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32351" documentId="13_ncr:1_{AD74628D-BE06-4FC1-BE04-2187DD70E9AC}" xr6:coauthVersionLast="47" xr6:coauthVersionMax="47" xr10:uidLastSave="{8569C00D-7146-4356-B5E0-C98379FB3BC3}"/>
  <bookViews>
    <workbookView xWindow="0" yWindow="0" windowWidth="28800" windowHeight="13905" xr2:uid="{00000000-000D-0000-FFFF-FFFF00000000}"/>
  </bookViews>
  <sheets>
    <sheet name="Sheet1" sheetId="1" r:id="rId1"/>
    <sheet name="REPOTEADOR" sheetId="3" r:id="rId2"/>
    <sheet name="Hoja1" sheetId="14" r:id="rId3"/>
    <sheet name="REPORTE GENERAL" sheetId="4" r:id="rId4"/>
    <sheet name="Pant. Ext." sheetId="5" r:id="rId5"/>
    <sheet name="FILTRADO" sheetId="8" r:id="rId6"/>
    <sheet name="LISTA" sheetId="2" r:id="rId7"/>
    <sheet name="REPORT YAMI" sheetId="10" r:id="rId8"/>
    <sheet name="SELECCIÓN YAMI" sheetId="11" r:id="rId9"/>
  </sheets>
  <definedNames>
    <definedName name="_xlnm._FilterDatabase" localSheetId="5" hidden="1">FILTRADO!$A$1:$V$695</definedName>
    <definedName name="_xlnm._FilterDatabase" localSheetId="3" hidden="1">'REPORTE GENERAL'!$A$3:$M$38</definedName>
  </definedNames>
  <calcPr calcId="191028"/>
  <pivotCaches>
    <pivotCache cacheId="54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214" i="1" l="1"/>
  <c r="R5214" i="1"/>
  <c r="O9" i="10"/>
  <c r="N9" i="10"/>
  <c r="M9" i="10"/>
  <c r="L9" i="10"/>
  <c r="I9" i="10"/>
  <c r="H9" i="10"/>
  <c r="G9" i="10"/>
  <c r="F9" i="10"/>
  <c r="E9" i="10"/>
  <c r="D9" i="10"/>
  <c r="C9" i="10"/>
  <c r="B9" i="10"/>
  <c r="O10" i="10"/>
  <c r="N10" i="10"/>
  <c r="M10" i="10"/>
  <c r="L10" i="10"/>
  <c r="I10" i="10"/>
  <c r="H10" i="10"/>
  <c r="G10" i="10"/>
  <c r="F10" i="10"/>
  <c r="E10" i="10"/>
  <c r="D10" i="10"/>
  <c r="C10" i="10"/>
  <c r="B10" i="10"/>
  <c r="O11" i="10"/>
  <c r="N11" i="10"/>
  <c r="M11" i="10"/>
  <c r="L11" i="10"/>
  <c r="I11" i="10"/>
  <c r="H11" i="10"/>
  <c r="G11" i="10"/>
  <c r="F11" i="10"/>
  <c r="E11" i="10"/>
  <c r="D11" i="10"/>
  <c r="C11" i="10"/>
  <c r="B11" i="10"/>
  <c r="O12" i="10"/>
  <c r="N12" i="10"/>
  <c r="M12" i="10"/>
  <c r="L12" i="10"/>
  <c r="I12" i="10"/>
  <c r="H12" i="10"/>
  <c r="G12" i="10"/>
  <c r="F12" i="10"/>
  <c r="E12" i="10"/>
  <c r="D12" i="10"/>
  <c r="C12" i="10"/>
  <c r="B12" i="10"/>
  <c r="O13" i="10"/>
  <c r="N13" i="10"/>
  <c r="M13" i="10"/>
  <c r="L13" i="10"/>
  <c r="I13" i="10"/>
  <c r="H13" i="10"/>
  <c r="G13" i="10"/>
  <c r="F13" i="10"/>
  <c r="E13" i="10"/>
  <c r="D13" i="10"/>
  <c r="C13" i="10"/>
  <c r="B13" i="10"/>
  <c r="O14" i="10"/>
  <c r="N14" i="10"/>
  <c r="M14" i="10"/>
  <c r="L14" i="10"/>
  <c r="I14" i="10"/>
  <c r="H14" i="10"/>
  <c r="G14" i="10"/>
  <c r="F14" i="10"/>
  <c r="E14" i="10"/>
  <c r="D14" i="10"/>
  <c r="C14" i="10"/>
  <c r="B14" i="10"/>
  <c r="O15" i="10"/>
  <c r="N15" i="10"/>
  <c r="M15" i="10"/>
  <c r="L15" i="10"/>
  <c r="I15" i="10"/>
  <c r="H15" i="10"/>
  <c r="G15" i="10"/>
  <c r="F15" i="10"/>
  <c r="E15" i="10"/>
  <c r="D15" i="10"/>
  <c r="C15" i="10"/>
  <c r="B15" i="10"/>
  <c r="O16" i="10"/>
  <c r="N16" i="10"/>
  <c r="M16" i="10"/>
  <c r="L16" i="10"/>
  <c r="I16" i="10"/>
  <c r="H16" i="10"/>
  <c r="G16" i="10"/>
  <c r="F16" i="10"/>
  <c r="E16" i="10"/>
  <c r="D16" i="10"/>
  <c r="C16" i="10"/>
  <c r="B16" i="10"/>
  <c r="O17" i="10"/>
  <c r="N17" i="10"/>
  <c r="M17" i="10"/>
  <c r="L17" i="10"/>
  <c r="I17" i="10"/>
  <c r="H17" i="10"/>
  <c r="G17" i="10"/>
  <c r="F17" i="10"/>
  <c r="E17" i="10"/>
  <c r="D17" i="10"/>
  <c r="C17" i="10"/>
  <c r="B17" i="10"/>
  <c r="O18" i="10"/>
  <c r="N18" i="10"/>
  <c r="M18" i="10"/>
  <c r="L18" i="10"/>
  <c r="I18" i="10"/>
  <c r="H18" i="10"/>
  <c r="G18" i="10"/>
  <c r="F18" i="10"/>
  <c r="E18" i="10"/>
  <c r="D18" i="10"/>
  <c r="C18" i="10"/>
  <c r="B18" i="10"/>
  <c r="O19" i="10"/>
  <c r="N19" i="10"/>
  <c r="M19" i="10"/>
  <c r="L19" i="10"/>
  <c r="I19" i="10"/>
  <c r="H19" i="10"/>
  <c r="G19" i="10"/>
  <c r="F19" i="10"/>
  <c r="E19" i="10"/>
  <c r="D19" i="10"/>
  <c r="C19" i="10"/>
  <c r="B19" i="10"/>
  <c r="O20" i="10"/>
  <c r="N20" i="10"/>
  <c r="M20" i="10"/>
  <c r="L20" i="10"/>
  <c r="I20" i="10"/>
  <c r="H20" i="10"/>
  <c r="G20" i="10"/>
  <c r="F20" i="10"/>
  <c r="E20" i="10"/>
  <c r="D20" i="10"/>
  <c r="C20" i="10"/>
  <c r="B20" i="10"/>
  <c r="O33" i="10"/>
  <c r="N33" i="10"/>
  <c r="M33" i="10"/>
  <c r="L33" i="10"/>
  <c r="I33" i="10"/>
  <c r="H33" i="10"/>
  <c r="G33" i="10"/>
  <c r="F33" i="10"/>
  <c r="E33" i="10"/>
  <c r="D33" i="10"/>
  <c r="C33" i="10"/>
  <c r="B33" i="10"/>
  <c r="O32" i="10"/>
  <c r="N32" i="10"/>
  <c r="M32" i="10"/>
  <c r="L32" i="10"/>
  <c r="I32" i="10"/>
  <c r="H32" i="10"/>
  <c r="G32" i="10"/>
  <c r="F32" i="10"/>
  <c r="E32" i="10"/>
  <c r="D32" i="10"/>
  <c r="C32" i="10"/>
  <c r="B32" i="10"/>
  <c r="O31" i="10"/>
  <c r="N31" i="10"/>
  <c r="M31" i="10"/>
  <c r="L31" i="10"/>
  <c r="I31" i="10"/>
  <c r="H31" i="10"/>
  <c r="G31" i="10"/>
  <c r="F31" i="10"/>
  <c r="E31" i="10"/>
  <c r="D31" i="10"/>
  <c r="C31" i="10"/>
  <c r="B31" i="10"/>
  <c r="O30" i="10"/>
  <c r="N30" i="10"/>
  <c r="M30" i="10"/>
  <c r="L30" i="10"/>
  <c r="I30" i="10"/>
  <c r="H30" i="10"/>
  <c r="G30" i="10"/>
  <c r="F30" i="10"/>
  <c r="E30" i="10"/>
  <c r="D30" i="10"/>
  <c r="C30" i="10"/>
  <c r="B30" i="10"/>
  <c r="O29" i="10"/>
  <c r="N29" i="10"/>
  <c r="M29" i="10"/>
  <c r="L29" i="10"/>
  <c r="I29" i="10"/>
  <c r="H29" i="10"/>
  <c r="G29" i="10"/>
  <c r="F29" i="10"/>
  <c r="E29" i="10"/>
  <c r="D29" i="10"/>
  <c r="C29" i="10"/>
  <c r="B29" i="10"/>
  <c r="O28" i="10"/>
  <c r="N28" i="10"/>
  <c r="M28" i="10"/>
  <c r="L28" i="10"/>
  <c r="I28" i="10"/>
  <c r="H28" i="10"/>
  <c r="G28" i="10"/>
  <c r="F28" i="10"/>
  <c r="E28" i="10"/>
  <c r="D28" i="10"/>
  <c r="C28" i="10"/>
  <c r="B28" i="10"/>
  <c r="O27" i="10"/>
  <c r="N27" i="10"/>
  <c r="M27" i="10"/>
  <c r="L27" i="10"/>
  <c r="I27" i="10"/>
  <c r="H27" i="10"/>
  <c r="G27" i="10"/>
  <c r="F27" i="10"/>
  <c r="E27" i="10"/>
  <c r="D27" i="10"/>
  <c r="C27" i="10"/>
  <c r="B27" i="10"/>
  <c r="O26" i="10"/>
  <c r="N26" i="10"/>
  <c r="M26" i="10"/>
  <c r="L26" i="10"/>
  <c r="I26" i="10"/>
  <c r="H26" i="10"/>
  <c r="G26" i="10"/>
  <c r="F26" i="10"/>
  <c r="E26" i="10"/>
  <c r="D26" i="10"/>
  <c r="C26" i="10"/>
  <c r="B26" i="10"/>
  <c r="O25" i="10"/>
  <c r="N25" i="10"/>
  <c r="M25" i="10"/>
  <c r="L25" i="10"/>
  <c r="I25" i="10"/>
  <c r="H25" i="10"/>
  <c r="G25" i="10"/>
  <c r="F25" i="10"/>
  <c r="E25" i="10"/>
  <c r="D25" i="10"/>
  <c r="C25" i="10"/>
  <c r="B25" i="10"/>
  <c r="O24" i="10"/>
  <c r="N24" i="10"/>
  <c r="M24" i="10"/>
  <c r="L24" i="10"/>
  <c r="I24" i="10"/>
  <c r="H24" i="10"/>
  <c r="G24" i="10"/>
  <c r="F24" i="10"/>
  <c r="E24" i="10"/>
  <c r="D24" i="10"/>
  <c r="C24" i="10"/>
  <c r="B24" i="10"/>
  <c r="O23" i="10"/>
  <c r="N23" i="10"/>
  <c r="M23" i="10"/>
  <c r="L23" i="10"/>
  <c r="I23" i="10"/>
  <c r="H23" i="10"/>
  <c r="G23" i="10"/>
  <c r="F23" i="10"/>
  <c r="E23" i="10"/>
  <c r="C23" i="10"/>
  <c r="B23" i="10"/>
  <c r="O22" i="10"/>
  <c r="N22" i="10"/>
  <c r="M22" i="10"/>
  <c r="L22" i="10"/>
  <c r="I22" i="10"/>
  <c r="H22" i="10"/>
  <c r="G22" i="10"/>
  <c r="F22" i="10"/>
  <c r="E22" i="10"/>
  <c r="D22" i="10"/>
  <c r="C22" i="10"/>
  <c r="B22" i="10"/>
  <c r="O21" i="10"/>
  <c r="N21" i="10"/>
  <c r="M21" i="10"/>
  <c r="L21" i="10"/>
  <c r="I21" i="10"/>
  <c r="H21" i="10"/>
  <c r="G21" i="10"/>
  <c r="F21" i="10"/>
  <c r="E21" i="10"/>
  <c r="D21" i="10"/>
  <c r="C21" i="10"/>
  <c r="B21" i="10"/>
  <c r="A14" i="11" a="1"/>
  <c r="A14" i="11"/>
  <c r="C14" i="11" a="1"/>
  <c r="C14" i="11"/>
  <c r="A15" i="11" a="1"/>
  <c r="A15" i="11"/>
  <c r="C15" i="11" a="1"/>
  <c r="C15" i="11"/>
  <c r="A16" i="11" a="1"/>
  <c r="A16" i="11"/>
  <c r="C16" i="11" a="1"/>
  <c r="C16" i="11"/>
  <c r="A17" i="11" a="1"/>
  <c r="A17" i="11"/>
  <c r="C17" i="11" a="1"/>
  <c r="C17" i="11"/>
  <c r="A18" i="11" a="1"/>
  <c r="A18" i="11"/>
  <c r="C18" i="11" a="1"/>
  <c r="C18" i="11"/>
  <c r="A19" i="11" a="1"/>
  <c r="A19" i="11"/>
  <c r="C19" i="11" a="1"/>
  <c r="C19" i="11"/>
  <c r="A20" i="11" a="1"/>
  <c r="A20" i="11"/>
  <c r="C20" i="11" a="1"/>
  <c r="C20" i="11"/>
  <c r="A21" i="11" a="1"/>
  <c r="A21" i="11"/>
  <c r="C21" i="11" a="1"/>
  <c r="C21" i="11"/>
  <c r="A22" i="11" a="1"/>
  <c r="A22" i="11"/>
  <c r="C22" i="11" a="1"/>
  <c r="C22" i="11"/>
  <c r="A23" i="11" a="1"/>
  <c r="A23" i="11"/>
  <c r="C23" i="11" a="1"/>
  <c r="C23" i="11"/>
  <c r="A24" i="11" a="1"/>
  <c r="A24" i="11"/>
  <c r="C24" i="11" a="1"/>
  <c r="C24" i="11"/>
  <c r="A25" i="11" a="1"/>
  <c r="A25" i="11"/>
  <c r="C25" i="11" a="1"/>
  <c r="C25" i="11"/>
  <c r="A26" i="11" a="1"/>
  <c r="A26" i="11"/>
  <c r="C26" i="11" a="1"/>
  <c r="C26" i="11"/>
  <c r="A27" i="11" a="1"/>
  <c r="A27" i="11"/>
  <c r="C27" i="11" a="1"/>
  <c r="C27" i="11"/>
  <c r="A28" i="11" a="1"/>
  <c r="A28" i="11"/>
  <c r="C28" i="11" a="1"/>
  <c r="C28" i="11"/>
  <c r="A29" i="11" a="1"/>
  <c r="A29" i="11"/>
  <c r="C29" i="11" a="1"/>
  <c r="C29" i="11"/>
  <c r="A30" i="11" a="1"/>
  <c r="A30" i="11"/>
  <c r="C30" i="11" a="1"/>
  <c r="C30" i="11"/>
  <c r="A31" i="11" a="1"/>
  <c r="A31" i="11"/>
  <c r="C31" i="11" a="1"/>
  <c r="C31" i="11"/>
  <c r="A32" i="11" a="1"/>
  <c r="A32" i="11"/>
  <c r="C32" i="11" a="1"/>
  <c r="C32" i="11"/>
  <c r="A33" i="11" a="1"/>
  <c r="A33" i="11"/>
  <c r="C33" i="11" a="1"/>
  <c r="C33" i="11"/>
  <c r="A34" i="11" a="1"/>
  <c r="A34" i="11"/>
  <c r="C34" i="11" a="1"/>
  <c r="C34" i="11"/>
  <c r="A35" i="11" a="1"/>
  <c r="A35" i="11"/>
  <c r="C35" i="11" a="1"/>
  <c r="C35" i="11"/>
  <c r="A36" i="11" a="1"/>
  <c r="A36" i="11"/>
  <c r="C36" i="11" a="1"/>
  <c r="C36" i="11"/>
  <c r="A37" i="11" a="1"/>
  <c r="A37" i="11"/>
  <c r="C37" i="11" a="1"/>
  <c r="C37" i="11"/>
  <c r="A38" i="11" a="1"/>
  <c r="A38" i="11"/>
  <c r="C38" i="11" a="1"/>
  <c r="C38" i="11"/>
  <c r="A39" i="11" a="1"/>
  <c r="A39" i="11"/>
  <c r="C39" i="11" a="1"/>
  <c r="C39" i="11"/>
  <c r="A40" i="11" a="1"/>
  <c r="A40" i="11"/>
  <c r="C40" i="11" a="1"/>
  <c r="C40" i="11"/>
  <c r="A41" i="11" a="1"/>
  <c r="A41" i="11"/>
  <c r="C41" i="11" a="1"/>
  <c r="C41" i="11"/>
  <c r="A42" i="11" a="1"/>
  <c r="A42" i="11"/>
  <c r="C42" i="11" a="1"/>
  <c r="C42" i="11"/>
  <c r="A43" i="11" a="1"/>
  <c r="A43" i="11"/>
  <c r="C43" i="11" a="1"/>
  <c r="C43" i="11"/>
  <c r="A44" i="11" a="1"/>
  <c r="A44" i="11"/>
  <c r="C44" i="11" a="1"/>
  <c r="C44" i="11"/>
  <c r="A45" i="11" a="1"/>
  <c r="A45" i="11"/>
  <c r="C45" i="11" a="1"/>
  <c r="C45" i="11"/>
  <c r="A46" i="11" a="1"/>
  <c r="A46" i="11"/>
  <c r="C46" i="11" a="1"/>
  <c r="C46" i="11"/>
  <c r="A47" i="11" a="1"/>
  <c r="A47" i="11"/>
  <c r="C47" i="11" a="1"/>
  <c r="C47" i="11"/>
  <c r="A48" i="11" a="1"/>
  <c r="A48" i="11"/>
  <c r="C48" i="11" a="1"/>
  <c r="C48" i="11"/>
  <c r="A49" i="11" a="1"/>
  <c r="A49" i="11"/>
  <c r="C49" i="11" a="1"/>
  <c r="C49" i="11"/>
  <c r="A50" i="11" a="1"/>
  <c r="A50" i="11"/>
  <c r="C50" i="11" a="1"/>
  <c r="C50" i="11"/>
  <c r="A51" i="11" a="1"/>
  <c r="A51" i="11"/>
  <c r="C51" i="11" a="1"/>
  <c r="C51" i="11"/>
  <c r="A52" i="11" a="1"/>
  <c r="A52" i="11"/>
  <c r="C52" i="11" a="1"/>
  <c r="C52" i="11"/>
  <c r="A53" i="11" a="1"/>
  <c r="A53" i="11"/>
  <c r="C53" i="11" a="1"/>
  <c r="C53" i="11"/>
  <c r="A54" i="11" a="1"/>
  <c r="A54" i="11"/>
  <c r="C54" i="11" a="1"/>
  <c r="C54" i="11"/>
  <c r="A55" i="11" a="1"/>
  <c r="A55" i="11"/>
  <c r="C55" i="11" a="1"/>
  <c r="C55" i="11"/>
  <c r="A56" i="11" a="1"/>
  <c r="A56" i="11"/>
  <c r="C56" i="11" a="1"/>
  <c r="C56" i="11"/>
  <c r="A57" i="11" a="1"/>
  <c r="A57" i="11"/>
  <c r="C57" i="11" a="1"/>
  <c r="C57" i="11"/>
  <c r="A58" i="11" a="1"/>
  <c r="A58" i="11"/>
  <c r="C58" i="11" a="1"/>
  <c r="C58" i="11"/>
  <c r="A59" i="11" a="1"/>
  <c r="A59" i="11"/>
  <c r="C59" i="11" a="1"/>
  <c r="C59" i="11"/>
  <c r="A60" i="11" a="1"/>
  <c r="A60" i="11"/>
  <c r="C60" i="11" a="1"/>
  <c r="C60" i="11"/>
  <c r="A61" i="11" a="1"/>
  <c r="A61" i="11"/>
  <c r="C61" i="11" a="1"/>
  <c r="C61" i="11"/>
  <c r="A62" i="11" a="1"/>
  <c r="A62" i="11"/>
  <c r="C62" i="11" a="1"/>
  <c r="C62" i="11"/>
  <c r="A63" i="11" a="1"/>
  <c r="A63" i="11"/>
  <c r="C63" i="11" a="1"/>
  <c r="C63" i="11"/>
  <c r="A64" i="11" a="1"/>
  <c r="A64" i="11" s="1"/>
  <c r="C64" i="11" s="1" a="1"/>
  <c r="C64" i="11" s="1"/>
  <c r="A65" i="11" a="1"/>
  <c r="A65" i="11" s="1"/>
  <c r="C65" i="11" s="1" a="1"/>
  <c r="C65" i="11" s="1"/>
  <c r="A66" i="11" a="1"/>
  <c r="A66" i="11"/>
  <c r="C66" i="11" s="1" a="1"/>
  <c r="C66" i="11" s="1"/>
  <c r="A67" i="11" a="1"/>
  <c r="A67" i="11" s="1"/>
  <c r="C67" i="11" s="1" a="1"/>
  <c r="C67" i="11" s="1"/>
  <c r="A68" i="11" a="1"/>
  <c r="A68" i="11" s="1"/>
  <c r="C68" i="11" s="1" a="1"/>
  <c r="C68" i="11" s="1"/>
  <c r="A69" i="11" a="1"/>
  <c r="A69" i="11"/>
  <c r="C69" i="11" a="1"/>
  <c r="C69" i="11" s="1"/>
  <c r="A70" i="11" a="1"/>
  <c r="A70" i="11" s="1"/>
  <c r="C70" i="11" s="1" a="1"/>
  <c r="C70" i="11" s="1"/>
  <c r="A71" i="11" a="1"/>
  <c r="A71" i="11" s="1"/>
  <c r="C71" i="11" s="1" a="1"/>
  <c r="C71" i="11" s="1"/>
  <c r="A72" i="11" a="1"/>
  <c r="A72" i="11" s="1"/>
  <c r="C72" i="11" s="1" a="1"/>
  <c r="C72" i="11" s="1"/>
  <c r="A73" i="11" a="1"/>
  <c r="A73" i="11" s="1"/>
  <c r="C73" i="11" s="1" a="1"/>
  <c r="C73" i="11" s="1"/>
  <c r="A74" i="11" a="1"/>
  <c r="A74" i="11" s="1"/>
  <c r="C74" i="11" s="1" a="1"/>
  <c r="C74" i="11" s="1"/>
  <c r="A75" i="11" a="1"/>
  <c r="A75" i="11"/>
  <c r="C75" i="11" s="1" a="1"/>
  <c r="C75" i="11" s="1"/>
  <c r="A76" i="11" a="1"/>
  <c r="A76" i="11" s="1"/>
  <c r="C76" i="11" s="1" a="1"/>
  <c r="C76" i="11" s="1"/>
  <c r="A77" i="11" a="1"/>
  <c r="A77" i="11" s="1"/>
  <c r="C77" i="11" s="1" a="1"/>
  <c r="C77" i="11" s="1"/>
  <c r="A78" i="11" a="1"/>
  <c r="A78" i="11"/>
  <c r="C78" i="11" a="1"/>
  <c r="C78" i="11" s="1"/>
  <c r="A79" i="11" a="1"/>
  <c r="A79" i="11" s="1"/>
  <c r="C79" i="11" s="1" a="1"/>
  <c r="C79" i="11" s="1"/>
  <c r="A80" i="11" a="1"/>
  <c r="A80" i="11" s="1"/>
  <c r="C80" i="11" s="1" a="1"/>
  <c r="C80" i="11" s="1"/>
  <c r="A81" i="11" a="1"/>
  <c r="A81" i="11" s="1"/>
  <c r="C81" i="11" s="1" a="1"/>
  <c r="C81" i="11" s="1"/>
  <c r="O72" i="10"/>
  <c r="N72" i="10"/>
  <c r="M72" i="10"/>
  <c r="L72" i="10"/>
  <c r="I72" i="10"/>
  <c r="H72" i="10"/>
  <c r="G72" i="10"/>
  <c r="F72" i="10"/>
  <c r="E72" i="10"/>
  <c r="D72" i="10"/>
  <c r="C72" i="10"/>
  <c r="B72" i="10"/>
  <c r="O71" i="10"/>
  <c r="N71" i="10"/>
  <c r="M71" i="10"/>
  <c r="L71" i="10"/>
  <c r="I71" i="10"/>
  <c r="H71" i="10"/>
  <c r="G71" i="10"/>
  <c r="F71" i="10"/>
  <c r="E71" i="10"/>
  <c r="D71" i="10"/>
  <c r="C71" i="10"/>
  <c r="B71" i="10"/>
  <c r="O70" i="10"/>
  <c r="N70" i="10"/>
  <c r="M70" i="10"/>
  <c r="L70" i="10"/>
  <c r="I70" i="10"/>
  <c r="H70" i="10"/>
  <c r="G70" i="10"/>
  <c r="F70" i="10"/>
  <c r="E70" i="10"/>
  <c r="D70" i="10"/>
  <c r="C70" i="10"/>
  <c r="B70" i="10"/>
  <c r="O69" i="10"/>
  <c r="N69" i="10"/>
  <c r="M69" i="10"/>
  <c r="L69" i="10"/>
  <c r="I69" i="10"/>
  <c r="H69" i="10"/>
  <c r="G69" i="10"/>
  <c r="F69" i="10"/>
  <c r="E69" i="10"/>
  <c r="D69" i="10"/>
  <c r="C69" i="10"/>
  <c r="B69" i="10"/>
  <c r="O68" i="10"/>
  <c r="N68" i="10"/>
  <c r="M68" i="10"/>
  <c r="L68" i="10"/>
  <c r="I68" i="10"/>
  <c r="H68" i="10"/>
  <c r="G68" i="10"/>
  <c r="F68" i="10"/>
  <c r="E68" i="10"/>
  <c r="D68" i="10"/>
  <c r="C68" i="10"/>
  <c r="B68" i="10"/>
  <c r="O67" i="10"/>
  <c r="N67" i="10"/>
  <c r="M67" i="10"/>
  <c r="L67" i="10"/>
  <c r="I67" i="10"/>
  <c r="H67" i="10"/>
  <c r="G67" i="10"/>
  <c r="F67" i="10"/>
  <c r="E67" i="10"/>
  <c r="D67" i="10"/>
  <c r="C67" i="10"/>
  <c r="B67" i="10"/>
  <c r="O66" i="10"/>
  <c r="N66" i="10"/>
  <c r="M66" i="10"/>
  <c r="L66" i="10"/>
  <c r="I66" i="10"/>
  <c r="H66" i="10"/>
  <c r="G66" i="10"/>
  <c r="F66" i="10"/>
  <c r="E66" i="10"/>
  <c r="D66" i="10"/>
  <c r="C66" i="10"/>
  <c r="B66" i="10"/>
  <c r="O65" i="10"/>
  <c r="N65" i="10"/>
  <c r="M65" i="10"/>
  <c r="L65" i="10"/>
  <c r="I65" i="10"/>
  <c r="H65" i="10"/>
  <c r="G65" i="10"/>
  <c r="F65" i="10"/>
  <c r="E65" i="10"/>
  <c r="D65" i="10"/>
  <c r="C65" i="10"/>
  <c r="B65" i="10"/>
  <c r="O64" i="10"/>
  <c r="N64" i="10"/>
  <c r="M64" i="10"/>
  <c r="L64" i="10"/>
  <c r="I64" i="10"/>
  <c r="H64" i="10"/>
  <c r="G64" i="10"/>
  <c r="F64" i="10"/>
  <c r="E64" i="10"/>
  <c r="D64" i="10"/>
  <c r="C64" i="10"/>
  <c r="B64" i="10"/>
  <c r="O63" i="10"/>
  <c r="N63" i="10"/>
  <c r="M63" i="10"/>
  <c r="L63" i="10"/>
  <c r="I63" i="10"/>
  <c r="H63" i="10"/>
  <c r="G63" i="10"/>
  <c r="F63" i="10"/>
  <c r="E63" i="10"/>
  <c r="D63" i="10"/>
  <c r="C63" i="10"/>
  <c r="B63" i="10"/>
  <c r="O62" i="10"/>
  <c r="N62" i="10"/>
  <c r="M62" i="10"/>
  <c r="L62" i="10"/>
  <c r="I62" i="10"/>
  <c r="H62" i="10"/>
  <c r="G62" i="10"/>
  <c r="F62" i="10"/>
  <c r="E62" i="10"/>
  <c r="D62" i="10"/>
  <c r="C62" i="10"/>
  <c r="B62" i="10"/>
  <c r="O61" i="10"/>
  <c r="N61" i="10"/>
  <c r="M61" i="10"/>
  <c r="L61" i="10"/>
  <c r="I61" i="10"/>
  <c r="H61" i="10"/>
  <c r="G61" i="10"/>
  <c r="F61" i="10"/>
  <c r="E61" i="10"/>
  <c r="D61" i="10"/>
  <c r="C61" i="10"/>
  <c r="B61" i="10"/>
  <c r="O60" i="10"/>
  <c r="N60" i="10"/>
  <c r="M60" i="10"/>
  <c r="L60" i="10"/>
  <c r="I60" i="10"/>
  <c r="H60" i="10"/>
  <c r="G60" i="10"/>
  <c r="F60" i="10"/>
  <c r="E60" i="10"/>
  <c r="D60" i="10"/>
  <c r="C60" i="10"/>
  <c r="B60" i="10"/>
  <c r="O59" i="10"/>
  <c r="N59" i="10"/>
  <c r="M59" i="10"/>
  <c r="L59" i="10"/>
  <c r="I59" i="10"/>
  <c r="H59" i="10"/>
  <c r="G59" i="10"/>
  <c r="F59" i="10"/>
  <c r="E59" i="10"/>
  <c r="D59" i="10"/>
  <c r="C59" i="10"/>
  <c r="B59" i="10"/>
  <c r="O58" i="10"/>
  <c r="N58" i="10"/>
  <c r="M58" i="10"/>
  <c r="L58" i="10"/>
  <c r="I58" i="10"/>
  <c r="H58" i="10"/>
  <c r="G58" i="10"/>
  <c r="F58" i="10"/>
  <c r="E58" i="10"/>
  <c r="D58" i="10"/>
  <c r="C58" i="10"/>
  <c r="B58" i="10"/>
  <c r="O57" i="10"/>
  <c r="N57" i="10"/>
  <c r="M57" i="10"/>
  <c r="L57" i="10"/>
  <c r="I57" i="10"/>
  <c r="H57" i="10"/>
  <c r="G57" i="10"/>
  <c r="F57" i="10"/>
  <c r="E57" i="10"/>
  <c r="D57" i="10"/>
  <c r="C57" i="10"/>
  <c r="B57" i="10"/>
  <c r="O56" i="10"/>
  <c r="N56" i="10"/>
  <c r="M56" i="10"/>
  <c r="L56" i="10"/>
  <c r="I56" i="10"/>
  <c r="H56" i="10"/>
  <c r="G56" i="10"/>
  <c r="F56" i="10"/>
  <c r="E56" i="10"/>
  <c r="D56" i="10"/>
  <c r="C56" i="10"/>
  <c r="B56" i="10"/>
  <c r="O55" i="10"/>
  <c r="N55" i="10"/>
  <c r="M55" i="10"/>
  <c r="L55" i="10"/>
  <c r="I55" i="10"/>
  <c r="H55" i="10"/>
  <c r="G55" i="10"/>
  <c r="F55" i="10"/>
  <c r="E55" i="10"/>
  <c r="D55" i="10"/>
  <c r="C55" i="10"/>
  <c r="B55" i="10"/>
  <c r="O54" i="10"/>
  <c r="N54" i="10"/>
  <c r="M54" i="10"/>
  <c r="L54" i="10"/>
  <c r="I54" i="10"/>
  <c r="H54" i="10"/>
  <c r="G54" i="10"/>
  <c r="F54" i="10"/>
  <c r="E54" i="10"/>
  <c r="D54" i="10"/>
  <c r="C54" i="10"/>
  <c r="B54" i="10"/>
  <c r="O53" i="10"/>
  <c r="N53" i="10"/>
  <c r="M53" i="10"/>
  <c r="L53" i="10"/>
  <c r="I53" i="10"/>
  <c r="H53" i="10"/>
  <c r="G53" i="10"/>
  <c r="F53" i="10"/>
  <c r="E53" i="10"/>
  <c r="D53" i="10"/>
  <c r="C53" i="10"/>
  <c r="B53" i="10"/>
  <c r="O52" i="10"/>
  <c r="N52" i="10"/>
  <c r="M52" i="10"/>
  <c r="L52" i="10"/>
  <c r="I52" i="10"/>
  <c r="H52" i="10"/>
  <c r="G52" i="10"/>
  <c r="F52" i="10"/>
  <c r="E52" i="10"/>
  <c r="D52" i="10"/>
  <c r="C52" i="10"/>
  <c r="B52" i="10"/>
  <c r="O51" i="10"/>
  <c r="N51" i="10"/>
  <c r="M51" i="10"/>
  <c r="L51" i="10"/>
  <c r="I51" i="10"/>
  <c r="H51" i="10"/>
  <c r="G51" i="10"/>
  <c r="F51" i="10"/>
  <c r="E51" i="10"/>
  <c r="D51" i="10"/>
  <c r="C51" i="10"/>
  <c r="B51" i="10"/>
  <c r="O50" i="10"/>
  <c r="N50" i="10"/>
  <c r="M50" i="10"/>
  <c r="L50" i="10"/>
  <c r="I50" i="10"/>
  <c r="H50" i="10"/>
  <c r="G50" i="10"/>
  <c r="F50" i="10"/>
  <c r="E50" i="10"/>
  <c r="D50" i="10"/>
  <c r="C50" i="10"/>
  <c r="B50" i="10"/>
  <c r="O49" i="10"/>
  <c r="N49" i="10"/>
  <c r="M49" i="10"/>
  <c r="L49" i="10"/>
  <c r="I49" i="10"/>
  <c r="H49" i="10"/>
  <c r="G49" i="10"/>
  <c r="F49" i="10"/>
  <c r="E49" i="10"/>
  <c r="D49" i="10"/>
  <c r="C49" i="10"/>
  <c r="B49" i="10"/>
  <c r="O48" i="10"/>
  <c r="N48" i="10"/>
  <c r="M48" i="10"/>
  <c r="L48" i="10"/>
  <c r="I48" i="10"/>
  <c r="H48" i="10"/>
  <c r="G48" i="10"/>
  <c r="F48" i="10"/>
  <c r="E48" i="10"/>
  <c r="D48" i="10"/>
  <c r="C48" i="10"/>
  <c r="B48" i="10"/>
  <c r="O47" i="10"/>
  <c r="N47" i="10"/>
  <c r="M47" i="10"/>
  <c r="L47" i="10"/>
  <c r="I47" i="10"/>
  <c r="H47" i="10"/>
  <c r="G47" i="10"/>
  <c r="F47" i="10"/>
  <c r="E47" i="10"/>
  <c r="D47" i="10"/>
  <c r="C47" i="10"/>
  <c r="B47" i="10"/>
  <c r="O46" i="10"/>
  <c r="N46" i="10"/>
  <c r="M46" i="10"/>
  <c r="L46" i="10"/>
  <c r="I46" i="10"/>
  <c r="H46" i="10"/>
  <c r="G46" i="10"/>
  <c r="F46" i="10"/>
  <c r="E46" i="10"/>
  <c r="D46" i="10"/>
  <c r="C46" i="10"/>
  <c r="B46" i="10"/>
  <c r="O45" i="10"/>
  <c r="N45" i="10"/>
  <c r="M45" i="10"/>
  <c r="L45" i="10"/>
  <c r="I45" i="10"/>
  <c r="H45" i="10"/>
  <c r="G45" i="10"/>
  <c r="F45" i="10"/>
  <c r="E45" i="10"/>
  <c r="D45" i="10"/>
  <c r="C45" i="10"/>
  <c r="B45" i="10"/>
  <c r="O44" i="10"/>
  <c r="N44" i="10"/>
  <c r="M44" i="10"/>
  <c r="L44" i="10"/>
  <c r="I44" i="10"/>
  <c r="H44" i="10"/>
  <c r="G44" i="10"/>
  <c r="F44" i="10"/>
  <c r="E44" i="10"/>
  <c r="D44" i="10"/>
  <c r="C44" i="10"/>
  <c r="B44" i="10"/>
  <c r="O43" i="10"/>
  <c r="N43" i="10"/>
  <c r="M43" i="10"/>
  <c r="L43" i="10"/>
  <c r="I43" i="10"/>
  <c r="H43" i="10"/>
  <c r="G43" i="10"/>
  <c r="F43" i="10"/>
  <c r="E43" i="10"/>
  <c r="D43" i="10"/>
  <c r="C43" i="10"/>
  <c r="B43" i="10"/>
  <c r="O42" i="10"/>
  <c r="N42" i="10"/>
  <c r="M42" i="10"/>
  <c r="L42" i="10"/>
  <c r="I42" i="10"/>
  <c r="H42" i="10"/>
  <c r="G42" i="10"/>
  <c r="F42" i="10"/>
  <c r="E42" i="10"/>
  <c r="D42" i="10"/>
  <c r="C42" i="10"/>
  <c r="B42" i="10"/>
  <c r="O41" i="10"/>
  <c r="N41" i="10"/>
  <c r="M41" i="10"/>
  <c r="L41" i="10"/>
  <c r="I41" i="10"/>
  <c r="H41" i="10"/>
  <c r="G41" i="10"/>
  <c r="F41" i="10"/>
  <c r="E41" i="10"/>
  <c r="D41" i="10"/>
  <c r="C41" i="10"/>
  <c r="B41" i="10"/>
  <c r="O40" i="10"/>
  <c r="N40" i="10"/>
  <c r="M40" i="10"/>
  <c r="L40" i="10"/>
  <c r="I40" i="10"/>
  <c r="H40" i="10"/>
  <c r="G40" i="10"/>
  <c r="F40" i="10"/>
  <c r="E40" i="10"/>
  <c r="D40" i="10"/>
  <c r="C40" i="10"/>
  <c r="B40" i="10"/>
  <c r="O39" i="10"/>
  <c r="N39" i="10"/>
  <c r="M39" i="10"/>
  <c r="L39" i="10"/>
  <c r="I39" i="10"/>
  <c r="H39" i="10"/>
  <c r="G39" i="10"/>
  <c r="F39" i="10"/>
  <c r="E39" i="10"/>
  <c r="D39" i="10"/>
  <c r="C39" i="10"/>
  <c r="B39" i="10"/>
  <c r="O38" i="10"/>
  <c r="N38" i="10"/>
  <c r="M38" i="10"/>
  <c r="L38" i="10"/>
  <c r="I38" i="10"/>
  <c r="H38" i="10"/>
  <c r="G38" i="10"/>
  <c r="F38" i="10"/>
  <c r="E38" i="10"/>
  <c r="D38" i="10"/>
  <c r="C38" i="10"/>
  <c r="B38" i="10"/>
  <c r="O37" i="10"/>
  <c r="N37" i="10"/>
  <c r="M37" i="10"/>
  <c r="L37" i="10"/>
  <c r="I37" i="10"/>
  <c r="H37" i="10"/>
  <c r="G37" i="10"/>
  <c r="F37" i="10"/>
  <c r="E37" i="10"/>
  <c r="D37" i="10"/>
  <c r="C37" i="10"/>
  <c r="B37" i="10"/>
  <c r="O36" i="10"/>
  <c r="N36" i="10"/>
  <c r="M36" i="10"/>
  <c r="L36" i="10"/>
  <c r="I36" i="10"/>
  <c r="H36" i="10"/>
  <c r="G36" i="10"/>
  <c r="F36" i="10"/>
  <c r="E36" i="10"/>
  <c r="D36" i="10"/>
  <c r="C36" i="10"/>
  <c r="B36" i="10"/>
  <c r="O35" i="10"/>
  <c r="N35" i="10"/>
  <c r="M35" i="10"/>
  <c r="L35" i="10"/>
  <c r="I35" i="10"/>
  <c r="H35" i="10"/>
  <c r="G35" i="10"/>
  <c r="F35" i="10"/>
  <c r="E35" i="10"/>
  <c r="D35" i="10"/>
  <c r="C35" i="10"/>
  <c r="B35" i="10"/>
  <c r="O34" i="10"/>
  <c r="N34" i="10"/>
  <c r="M34" i="10"/>
  <c r="L34" i="10"/>
  <c r="I34" i="10"/>
  <c r="H34" i="10"/>
  <c r="G34" i="10"/>
  <c r="F34" i="10"/>
  <c r="E34" i="10"/>
  <c r="D34" i="10"/>
  <c r="C34" i="10"/>
  <c r="B34" i="10"/>
  <c r="Q5213" i="1"/>
  <c r="R5213" i="1"/>
  <c r="Q5212" i="1"/>
  <c r="R5212" i="1"/>
  <c r="R5211" i="1"/>
  <c r="Q5211" i="1"/>
  <c r="O5210" i="1"/>
  <c r="Q5210" i="1"/>
  <c r="R5210" i="1"/>
  <c r="Q5207" i="1"/>
  <c r="R5207" i="1"/>
  <c r="Q5208" i="1"/>
  <c r="R5208" i="1"/>
  <c r="Q5209" i="1"/>
  <c r="R5209" i="1"/>
  <c r="Q5206" i="1"/>
  <c r="R5206" i="1"/>
  <c r="O5205" i="1"/>
  <c r="R5205" i="1" s="1"/>
  <c r="Q5204" i="1"/>
  <c r="R5204" i="1"/>
  <c r="Q5205" i="1"/>
  <c r="Q5203" i="1"/>
  <c r="R5202" i="1"/>
  <c r="R5203" i="1"/>
  <c r="Q5202" i="1"/>
  <c r="Q5201" i="1"/>
  <c r="R5201" i="1"/>
  <c r="Q5200" i="1"/>
  <c r="R5200" i="1"/>
  <c r="Q5199" i="1"/>
  <c r="R5199" i="1"/>
  <c r="Q5198" i="1"/>
  <c r="R5198" i="1"/>
  <c r="Q5196" i="1"/>
  <c r="R5196" i="1"/>
  <c r="Q5197" i="1"/>
  <c r="R5197" i="1"/>
  <c r="Q5195" i="1"/>
  <c r="R5195" i="1"/>
  <c r="Q5194" i="1"/>
  <c r="R5194" i="1"/>
  <c r="Q5193" i="1"/>
  <c r="R5193" i="1"/>
  <c r="Q5192" i="1"/>
  <c r="R5192" i="1"/>
  <c r="Q5191" i="1"/>
  <c r="R5191" i="1"/>
  <c r="Q5190" i="1"/>
  <c r="R5190" i="1"/>
  <c r="Q5189" i="1"/>
  <c r="R5189" i="1"/>
  <c r="Q5187" i="1"/>
  <c r="R5187" i="1"/>
  <c r="Q5188" i="1"/>
  <c r="R5188" i="1"/>
  <c r="Q5186" i="1"/>
  <c r="R5186" i="1"/>
  <c r="Q5185" i="1"/>
  <c r="R5185" i="1"/>
  <c r="Q5184" i="1"/>
  <c r="R5184" i="1"/>
  <c r="Q5182" i="1"/>
  <c r="R5182" i="1"/>
  <c r="Q5183" i="1"/>
  <c r="R5183" i="1"/>
  <c r="Q5179" i="1"/>
  <c r="R5179" i="1"/>
  <c r="Q5180" i="1"/>
  <c r="R5180" i="1"/>
  <c r="Q5181" i="1"/>
  <c r="R5181" i="1"/>
  <c r="Q5178" i="1"/>
  <c r="R5178" i="1"/>
  <c r="Q5176" i="1"/>
  <c r="R5176" i="1"/>
  <c r="Q5177" i="1"/>
  <c r="R5177" i="1"/>
  <c r="Q5175" i="1"/>
  <c r="R5175" i="1"/>
  <c r="Q5173" i="1"/>
  <c r="R5173" i="1"/>
  <c r="Q5174" i="1"/>
  <c r="R5174" i="1"/>
  <c r="U5172" i="1"/>
  <c r="Q5172" i="1"/>
  <c r="R5172" i="1"/>
  <c r="Q5170" i="1"/>
  <c r="R5170" i="1"/>
  <c r="Q5171" i="1"/>
  <c r="R5171" i="1"/>
  <c r="Q5168" i="1"/>
  <c r="R5168" i="1"/>
  <c r="Q5169" i="1"/>
  <c r="R5169" i="1"/>
  <c r="Q5165" i="1"/>
  <c r="R5165" i="1"/>
  <c r="Q5166" i="1"/>
  <c r="R5166" i="1"/>
  <c r="Q5167" i="1"/>
  <c r="R5167" i="1"/>
  <c r="O5162" i="1"/>
  <c r="Q5162" i="1" s="1"/>
  <c r="O5161" i="1"/>
  <c r="R5161" i="1" s="1"/>
  <c r="O5156" i="1"/>
  <c r="Q5156" i="1" s="1"/>
  <c r="O5153" i="1"/>
  <c r="Q5153" i="1" s="1"/>
  <c r="O5164" i="1"/>
  <c r="R5164" i="1" s="1"/>
  <c r="O5163" i="1"/>
  <c r="Q5163" i="1" s="1"/>
  <c r="O5160" i="1"/>
  <c r="R5160" i="1" s="1"/>
  <c r="O5158" i="1"/>
  <c r="R5158" i="1" s="1"/>
  <c r="Q5154" i="1"/>
  <c r="R5154" i="1"/>
  <c r="Q5155" i="1"/>
  <c r="R5155" i="1"/>
  <c r="Q5157" i="1"/>
  <c r="R5157" i="1"/>
  <c r="Q5159" i="1"/>
  <c r="R5159" i="1"/>
  <c r="O5130" i="1"/>
  <c r="R5130" i="1" s="1"/>
  <c r="Q5129" i="1"/>
  <c r="R5129" i="1"/>
  <c r="Q5130" i="1"/>
  <c r="Q5131" i="1"/>
  <c r="R5131" i="1"/>
  <c r="Q5132" i="1"/>
  <c r="R5132" i="1"/>
  <c r="Q5133" i="1"/>
  <c r="R5133" i="1"/>
  <c r="Q5134" i="1"/>
  <c r="R5134" i="1"/>
  <c r="Q5135" i="1"/>
  <c r="R5135" i="1"/>
  <c r="Q5136" i="1"/>
  <c r="R5136" i="1"/>
  <c r="Q5137" i="1"/>
  <c r="R5137" i="1"/>
  <c r="Q5138" i="1"/>
  <c r="R5138" i="1"/>
  <c r="Q5139" i="1"/>
  <c r="R5139" i="1"/>
  <c r="Q5140" i="1"/>
  <c r="R5140" i="1"/>
  <c r="Q5141" i="1"/>
  <c r="R5141" i="1"/>
  <c r="Q5142" i="1"/>
  <c r="R5142" i="1"/>
  <c r="Q5143" i="1"/>
  <c r="R5143" i="1"/>
  <c r="Q5144" i="1"/>
  <c r="R5144" i="1"/>
  <c r="Q5145" i="1"/>
  <c r="R5145" i="1"/>
  <c r="Q5146" i="1"/>
  <c r="R5146" i="1"/>
  <c r="Q5147" i="1"/>
  <c r="R5147" i="1"/>
  <c r="Q5148" i="1"/>
  <c r="R5148" i="1"/>
  <c r="Q5149" i="1"/>
  <c r="R5149" i="1"/>
  <c r="Q5150" i="1"/>
  <c r="R5150" i="1"/>
  <c r="Q5151" i="1"/>
  <c r="R5151" i="1"/>
  <c r="Q5152" i="1"/>
  <c r="R5152" i="1"/>
  <c r="Q5128" i="1"/>
  <c r="R5128" i="1"/>
  <c r="Q5126" i="1"/>
  <c r="R5126" i="1"/>
  <c r="Q5127" i="1"/>
  <c r="R5127" i="1"/>
  <c r="Q5125" i="1"/>
  <c r="R5125" i="1"/>
  <c r="O5123" i="1"/>
  <c r="Q5123" i="1" s="1"/>
  <c r="Q5124" i="1"/>
  <c r="R5124" i="1"/>
  <c r="Q5122" i="1"/>
  <c r="R5122" i="1"/>
  <c r="Q5120" i="1"/>
  <c r="R5120" i="1"/>
  <c r="Q5121" i="1"/>
  <c r="R5121" i="1"/>
  <c r="O5118" i="1"/>
  <c r="R5118" i="1" s="1"/>
  <c r="Q5117" i="1"/>
  <c r="R5117" i="1"/>
  <c r="Q5118" i="1"/>
  <c r="Q5119" i="1"/>
  <c r="R5119" i="1"/>
  <c r="Q5116" i="1"/>
  <c r="R5116" i="1"/>
  <c r="Q5114" i="1"/>
  <c r="R5114" i="1"/>
  <c r="Q5115" i="1"/>
  <c r="R5115" i="1"/>
  <c r="Q5112" i="1"/>
  <c r="R5112" i="1"/>
  <c r="Q5113" i="1"/>
  <c r="R5113" i="1"/>
  <c r="Q5111" i="1"/>
  <c r="R5111" i="1"/>
  <c r="Q5110" i="1"/>
  <c r="R5110" i="1"/>
  <c r="Q5108" i="1"/>
  <c r="R5108" i="1"/>
  <c r="Q5109" i="1"/>
  <c r="R5109" i="1"/>
  <c r="Q5107" i="1"/>
  <c r="R5107" i="1"/>
  <c r="Q5106" i="1"/>
  <c r="R5106" i="1"/>
  <c r="Q5105" i="1"/>
  <c r="R5105" i="1"/>
  <c r="Q5104" i="1"/>
  <c r="R5104" i="1"/>
  <c r="Q5103" i="1"/>
  <c r="R5103" i="1"/>
  <c r="Q5101" i="1"/>
  <c r="R5101" i="1"/>
  <c r="Q5102" i="1"/>
  <c r="R5102" i="1"/>
  <c r="Q5100" i="1"/>
  <c r="R5100" i="1"/>
  <c r="Q5098" i="1"/>
  <c r="R5098" i="1"/>
  <c r="Q5099" i="1"/>
  <c r="R5099" i="1"/>
  <c r="Q5097" i="1"/>
  <c r="R5097" i="1"/>
  <c r="Q5094" i="1"/>
  <c r="R5094" i="1"/>
  <c r="Q5095" i="1"/>
  <c r="R5095" i="1"/>
  <c r="Q5096" i="1"/>
  <c r="R5096" i="1"/>
  <c r="Q5093" i="1"/>
  <c r="R5093" i="1"/>
  <c r="Q5092" i="1"/>
  <c r="R5092" i="1"/>
  <c r="Q5091" i="1"/>
  <c r="R5091" i="1"/>
  <c r="Q5090" i="1"/>
  <c r="R5090" i="1"/>
  <c r="Q5089" i="1"/>
  <c r="R5089" i="1"/>
  <c r="Q5088" i="1"/>
  <c r="R5088" i="1"/>
  <c r="Q4622" i="1"/>
  <c r="R4622" i="1"/>
  <c r="Q5087" i="1"/>
  <c r="R5087" i="1"/>
  <c r="Q5086" i="1"/>
  <c r="R5086" i="1"/>
  <c r="Q5085" i="1"/>
  <c r="R5085" i="1"/>
  <c r="Q5083" i="1"/>
  <c r="R5083" i="1"/>
  <c r="Q5084" i="1"/>
  <c r="R5084" i="1"/>
  <c r="Q5082" i="1"/>
  <c r="R5082" i="1"/>
  <c r="Q5081" i="1"/>
  <c r="R5081" i="1"/>
  <c r="Q5080" i="1"/>
  <c r="R5080" i="1"/>
  <c r="Q5079" i="1"/>
  <c r="R5079" i="1"/>
  <c r="Q5078" i="1"/>
  <c r="R5078" i="1"/>
  <c r="R5075" i="1"/>
  <c r="R5076" i="1"/>
  <c r="R5077" i="1"/>
  <c r="Q5076" i="1"/>
  <c r="Q5077" i="1"/>
  <c r="Q5075" i="1"/>
  <c r="Q5074" i="1"/>
  <c r="R5074" i="1"/>
  <c r="Q5071" i="1"/>
  <c r="R5071" i="1"/>
  <c r="Q5072" i="1"/>
  <c r="R5072" i="1"/>
  <c r="Q5073" i="1"/>
  <c r="R5073" i="1"/>
  <c r="Q5070" i="1"/>
  <c r="R5070" i="1"/>
  <c r="Q5068" i="1"/>
  <c r="R5068" i="1"/>
  <c r="Q5069" i="1"/>
  <c r="R5069" i="1"/>
  <c r="Q5066" i="1"/>
  <c r="R5066" i="1"/>
  <c r="Q5067" i="1"/>
  <c r="R5067" i="1"/>
  <c r="Q5065" i="1"/>
  <c r="R5065" i="1"/>
  <c r="Q5064" i="1"/>
  <c r="R5064" i="1"/>
  <c r="Q5062" i="1"/>
  <c r="R5062" i="1"/>
  <c r="Q5063" i="1"/>
  <c r="R5063" i="1"/>
  <c r="Q5061" i="1"/>
  <c r="R5061" i="1"/>
  <c r="Q5060" i="1"/>
  <c r="R5060" i="1"/>
  <c r="O5050" i="1"/>
  <c r="Q5050" i="1" s="1"/>
  <c r="Q5058" i="1"/>
  <c r="R5058" i="1"/>
  <c r="Q5059" i="1"/>
  <c r="R5059" i="1"/>
  <c r="Q5057" i="1"/>
  <c r="R5057" i="1"/>
  <c r="Q5056" i="1"/>
  <c r="R5056" i="1"/>
  <c r="Q5054" i="1"/>
  <c r="R5054" i="1"/>
  <c r="Q5055" i="1"/>
  <c r="R5055" i="1"/>
  <c r="Q5052" i="1"/>
  <c r="R5052" i="1"/>
  <c r="Q5053" i="1"/>
  <c r="R5053" i="1"/>
  <c r="Q5051" i="1"/>
  <c r="R5051" i="1"/>
  <c r="Q5048" i="1"/>
  <c r="R5048" i="1"/>
  <c r="Q5049" i="1"/>
  <c r="R5049" i="1"/>
  <c r="Q5047" i="1"/>
  <c r="R5047" i="1"/>
  <c r="Q5045" i="1"/>
  <c r="R5045" i="1"/>
  <c r="Q5046" i="1"/>
  <c r="R5046" i="1"/>
  <c r="Q5044" i="1"/>
  <c r="R5044" i="1"/>
  <c r="Q5043" i="1"/>
  <c r="R5043" i="1"/>
  <c r="Q5040" i="1"/>
  <c r="R5040" i="1"/>
  <c r="Q5041" i="1"/>
  <c r="R5041" i="1"/>
  <c r="Q5042" i="1"/>
  <c r="R5042" i="1"/>
  <c r="Q5038" i="1"/>
  <c r="R5038" i="1"/>
  <c r="Q5039" i="1"/>
  <c r="R5039" i="1"/>
  <c r="Q5037" i="1"/>
  <c r="R5037" i="1"/>
  <c r="Q5036" i="1"/>
  <c r="R5036" i="1"/>
  <c r="Q5034" i="1"/>
  <c r="R5034" i="1"/>
  <c r="Q5035" i="1"/>
  <c r="R5035" i="1"/>
  <c r="Q5033" i="1"/>
  <c r="R5033" i="1"/>
  <c r="Q5032" i="1"/>
  <c r="R5032" i="1"/>
  <c r="Q5031" i="1"/>
  <c r="R5031" i="1"/>
  <c r="Q5030" i="1"/>
  <c r="R5030" i="1"/>
  <c r="Q5029" i="1"/>
  <c r="R5029" i="1"/>
  <c r="Q5028" i="1"/>
  <c r="R5028" i="1"/>
  <c r="Q5027" i="1"/>
  <c r="R5027" i="1"/>
  <c r="O5025" i="1"/>
  <c r="Q5025" i="1" s="1"/>
  <c r="Q5026" i="1"/>
  <c r="R5026" i="1"/>
  <c r="Q5024" i="1"/>
  <c r="R5024" i="1"/>
  <c r="Q5020" i="1"/>
  <c r="R5020" i="1"/>
  <c r="Q5021" i="1"/>
  <c r="R5021" i="1"/>
  <c r="Q5022" i="1"/>
  <c r="R5022" i="1"/>
  <c r="Q5023" i="1"/>
  <c r="R5023" i="1"/>
  <c r="Q5019" i="1"/>
  <c r="R5019" i="1"/>
  <c r="Q5018" i="1"/>
  <c r="R5018" i="1"/>
  <c r="Q5017" i="1"/>
  <c r="R5017" i="1"/>
  <c r="Q5016" i="1"/>
  <c r="R5016" i="1"/>
  <c r="Q5015" i="1"/>
  <c r="R5015" i="1"/>
  <c r="Q5014" i="1"/>
  <c r="R5014" i="1"/>
  <c r="Q5013" i="1"/>
  <c r="R5013" i="1"/>
  <c r="Q5012" i="1"/>
  <c r="R5012" i="1"/>
  <c r="Q5011" i="1"/>
  <c r="R5011" i="1"/>
  <c r="Q5009" i="1"/>
  <c r="R5009" i="1"/>
  <c r="Q5010" i="1"/>
  <c r="R5010" i="1"/>
  <c r="Q5008" i="1"/>
  <c r="R5008" i="1"/>
  <c r="Q5006" i="1"/>
  <c r="R5006" i="1"/>
  <c r="Q5007" i="1"/>
  <c r="R5007" i="1"/>
  <c r="Q5003" i="1"/>
  <c r="R5003" i="1"/>
  <c r="Q5004" i="1"/>
  <c r="R5004" i="1"/>
  <c r="Q5005" i="1"/>
  <c r="R5005" i="1"/>
  <c r="Q5001" i="1"/>
  <c r="R5001" i="1"/>
  <c r="Q5002" i="1"/>
  <c r="R5002" i="1"/>
  <c r="Q5000" i="1"/>
  <c r="R5000" i="1"/>
  <c r="O4999" i="1"/>
  <c r="R4999" i="1" s="1"/>
  <c r="Q4998" i="1"/>
  <c r="R4998" i="1"/>
  <c r="Q4997" i="1"/>
  <c r="R4997" i="1"/>
  <c r="Q4996" i="1"/>
  <c r="R4996" i="1"/>
  <c r="Q4995" i="1"/>
  <c r="R4995" i="1"/>
  <c r="Q4994" i="1"/>
  <c r="R4994" i="1"/>
  <c r="Q4993" i="1"/>
  <c r="R4993" i="1"/>
  <c r="Q4992" i="1"/>
  <c r="R4992" i="1"/>
  <c r="Q4990" i="1"/>
  <c r="R4990" i="1"/>
  <c r="Q4991" i="1"/>
  <c r="R4991" i="1"/>
  <c r="Q4989" i="1"/>
  <c r="R4989" i="1"/>
  <c r="Q4988" i="1"/>
  <c r="R4988" i="1"/>
  <c r="Q4987" i="1"/>
  <c r="R4987" i="1"/>
  <c r="Q4986" i="1"/>
  <c r="R4986" i="1"/>
  <c r="Q4985" i="1"/>
  <c r="R4985" i="1"/>
  <c r="Q4984" i="1"/>
  <c r="R4984" i="1"/>
  <c r="Q4983" i="1"/>
  <c r="R4983" i="1"/>
  <c r="Q4982" i="1"/>
  <c r="R4982" i="1"/>
  <c r="Q4980" i="1"/>
  <c r="R4980" i="1"/>
  <c r="Q4981" i="1"/>
  <c r="R4981" i="1"/>
  <c r="Q4979" i="1"/>
  <c r="R4979" i="1"/>
  <c r="Q4978" i="1"/>
  <c r="R4978" i="1"/>
  <c r="Q4977" i="1"/>
  <c r="R4977" i="1"/>
  <c r="Q4975" i="1"/>
  <c r="R4975" i="1"/>
  <c r="Q4976" i="1"/>
  <c r="R4976" i="1"/>
  <c r="Q4967" i="1"/>
  <c r="R4967" i="1"/>
  <c r="Q4968" i="1"/>
  <c r="R4968" i="1"/>
  <c r="Q4969" i="1"/>
  <c r="R4969" i="1"/>
  <c r="Q4970" i="1"/>
  <c r="R4970" i="1"/>
  <c r="Q4971" i="1"/>
  <c r="R4971" i="1"/>
  <c r="Q4972" i="1"/>
  <c r="R4972" i="1"/>
  <c r="Q4973" i="1"/>
  <c r="R4973" i="1"/>
  <c r="Q4974" i="1"/>
  <c r="R4974" i="1"/>
  <c r="Q4966" i="1"/>
  <c r="R4966" i="1"/>
  <c r="Q4965" i="1"/>
  <c r="R4965" i="1"/>
  <c r="Q4964" i="1"/>
  <c r="R4964" i="1"/>
  <c r="Q4963" i="1"/>
  <c r="R4963" i="1"/>
  <c r="Q4962" i="1"/>
  <c r="R4962" i="1"/>
  <c r="Q4957" i="1"/>
  <c r="R4957" i="1"/>
  <c r="Q4958" i="1"/>
  <c r="R4958" i="1"/>
  <c r="Q4959" i="1"/>
  <c r="R4959" i="1"/>
  <c r="Q4960" i="1"/>
  <c r="R4960" i="1"/>
  <c r="Q4961" i="1"/>
  <c r="R4961" i="1"/>
  <c r="Q4956" i="1"/>
  <c r="R4956" i="1"/>
  <c r="Q4955" i="1"/>
  <c r="R4955" i="1"/>
  <c r="Q4952" i="1"/>
  <c r="R4952" i="1"/>
  <c r="Q4953" i="1"/>
  <c r="R4953" i="1"/>
  <c r="Q4954" i="1"/>
  <c r="R4954" i="1"/>
  <c r="Q4951" i="1"/>
  <c r="R4951" i="1"/>
  <c r="Q4947" i="1"/>
  <c r="R4947" i="1"/>
  <c r="Q4948" i="1"/>
  <c r="R4948" i="1"/>
  <c r="Q4949" i="1"/>
  <c r="R4949" i="1"/>
  <c r="Q4950" i="1"/>
  <c r="R4950" i="1"/>
  <c r="Q4941" i="1"/>
  <c r="R4941" i="1"/>
  <c r="Q4942" i="1"/>
  <c r="R4942" i="1"/>
  <c r="Q4943" i="1"/>
  <c r="R4943" i="1"/>
  <c r="Q4944" i="1"/>
  <c r="R4944" i="1"/>
  <c r="Q4945" i="1"/>
  <c r="R4945" i="1"/>
  <c r="Q4946" i="1"/>
  <c r="R4946" i="1"/>
  <c r="Q4857" i="1"/>
  <c r="R4857" i="1"/>
  <c r="O4938" i="1"/>
  <c r="Q4938" i="1" s="1"/>
  <c r="Q4939" i="1"/>
  <c r="R4939" i="1"/>
  <c r="Q4940" i="1"/>
  <c r="R4940" i="1"/>
  <c r="Q4933" i="1"/>
  <c r="R4933" i="1"/>
  <c r="Q4934" i="1"/>
  <c r="R4934" i="1"/>
  <c r="Q4935" i="1"/>
  <c r="R4935" i="1"/>
  <c r="Q4937" i="1"/>
  <c r="R4937" i="1"/>
  <c r="O4925" i="1"/>
  <c r="Q4925" i="1" s="1"/>
  <c r="O4915" i="1"/>
  <c r="R4915" i="1" s="1"/>
  <c r="O4919" i="1"/>
  <c r="Q4919" i="1" s="1"/>
  <c r="O4920" i="1"/>
  <c r="Q4920" i="1" s="1"/>
  <c r="O4921" i="1"/>
  <c r="R4921" i="1" s="1"/>
  <c r="Q4928" i="1"/>
  <c r="R4928" i="1"/>
  <c r="Q4929" i="1"/>
  <c r="R4929" i="1"/>
  <c r="Q4930" i="1"/>
  <c r="R4930" i="1"/>
  <c r="Q4931" i="1"/>
  <c r="R4931" i="1"/>
  <c r="Q4932" i="1"/>
  <c r="R4932" i="1"/>
  <c r="P4900" i="1"/>
  <c r="O4900" i="1"/>
  <c r="Q4900" i="1" s="1"/>
  <c r="O4899" i="1"/>
  <c r="Q4899" i="1" s="1"/>
  <c r="O4904" i="1"/>
  <c r="R4904" i="1" s="1"/>
  <c r="Q4921" i="1"/>
  <c r="Q4922" i="1"/>
  <c r="R4922" i="1"/>
  <c r="Q4923" i="1"/>
  <c r="R4923" i="1"/>
  <c r="Q4924" i="1"/>
  <c r="R4924" i="1"/>
  <c r="Q4926" i="1"/>
  <c r="R4926" i="1"/>
  <c r="Q4927" i="1"/>
  <c r="R4927" i="1"/>
  <c r="Q4916" i="1"/>
  <c r="R4916" i="1"/>
  <c r="Q4917" i="1"/>
  <c r="R4917" i="1"/>
  <c r="Q4918" i="1"/>
  <c r="R4918" i="1"/>
  <c r="Q4892" i="1"/>
  <c r="R4892" i="1"/>
  <c r="Q4893" i="1"/>
  <c r="R4893" i="1"/>
  <c r="Q4894" i="1"/>
  <c r="R4894" i="1"/>
  <c r="Q4895" i="1"/>
  <c r="R4895" i="1"/>
  <c r="Q4896" i="1"/>
  <c r="R4896" i="1"/>
  <c r="Q4897" i="1"/>
  <c r="R4897" i="1"/>
  <c r="Q4898" i="1"/>
  <c r="R4898" i="1"/>
  <c r="Q4901" i="1"/>
  <c r="R4901" i="1"/>
  <c r="Q4902" i="1"/>
  <c r="R4902" i="1"/>
  <c r="Q4903" i="1"/>
  <c r="R4903" i="1"/>
  <c r="Q4905" i="1"/>
  <c r="R4905" i="1"/>
  <c r="Q4906" i="1"/>
  <c r="R4906" i="1"/>
  <c r="Q4907" i="1"/>
  <c r="R4907" i="1"/>
  <c r="Q4908" i="1"/>
  <c r="R4908" i="1"/>
  <c r="Q4909" i="1"/>
  <c r="R4909" i="1"/>
  <c r="Q4910" i="1"/>
  <c r="R4910" i="1"/>
  <c r="Q4911" i="1"/>
  <c r="R4911" i="1"/>
  <c r="Q4912" i="1"/>
  <c r="R4912" i="1"/>
  <c r="Q4913" i="1"/>
  <c r="R4913" i="1"/>
  <c r="Q4914" i="1"/>
  <c r="R4914" i="1"/>
  <c r="O4886" i="1"/>
  <c r="R4886" i="1" s="1"/>
  <c r="O4877" i="1"/>
  <c r="R4877" i="1" s="1"/>
  <c r="P4870" i="1"/>
  <c r="O4870" i="1"/>
  <c r="Q4870" i="1" s="1"/>
  <c r="O4869" i="1"/>
  <c r="Q4869" i="1" s="1"/>
  <c r="Q4891" i="1"/>
  <c r="R4891" i="1"/>
  <c r="O4868" i="1"/>
  <c r="R4868" i="1" s="1"/>
  <c r="O4865" i="1"/>
  <c r="Q4865" i="1" s="1"/>
  <c r="O4867" i="1"/>
  <c r="R4867" i="1" s="1"/>
  <c r="O4861" i="1"/>
  <c r="R4861" i="1" s="1"/>
  <c r="O4858" i="1"/>
  <c r="Q4858" i="1" s="1"/>
  <c r="P4889" i="1"/>
  <c r="O4889" i="1"/>
  <c r="O4862" i="1"/>
  <c r="Q4862" i="1" s="1"/>
  <c r="O4882" i="1"/>
  <c r="R4882" i="1" s="1"/>
  <c r="R4890" i="1"/>
  <c r="Q4890" i="1"/>
  <c r="R4888" i="1"/>
  <c r="Q4888" i="1"/>
  <c r="R4887" i="1"/>
  <c r="Q4887" i="1"/>
  <c r="R4885" i="1"/>
  <c r="Q4885" i="1"/>
  <c r="R4884" i="1"/>
  <c r="Q4884" i="1"/>
  <c r="R4883" i="1"/>
  <c r="Q4883" i="1"/>
  <c r="R4881" i="1"/>
  <c r="Q4881" i="1"/>
  <c r="R4880" i="1"/>
  <c r="Q4880" i="1"/>
  <c r="R4879" i="1"/>
  <c r="Q4879" i="1"/>
  <c r="R4878" i="1"/>
  <c r="Q4878" i="1"/>
  <c r="R4876" i="1"/>
  <c r="Q4876" i="1"/>
  <c r="R4875" i="1"/>
  <c r="Q4875" i="1"/>
  <c r="R4874" i="1"/>
  <c r="Q4874" i="1"/>
  <c r="R4873" i="1"/>
  <c r="Q4873" i="1"/>
  <c r="R4872" i="1"/>
  <c r="Q4872" i="1"/>
  <c r="R4871" i="1"/>
  <c r="Q4871" i="1"/>
  <c r="R4866" i="1"/>
  <c r="Q4866" i="1"/>
  <c r="R4864" i="1"/>
  <c r="Q4864" i="1"/>
  <c r="R4863" i="1"/>
  <c r="Q4863" i="1"/>
  <c r="R4860" i="1"/>
  <c r="Q4860" i="1"/>
  <c r="R4859" i="1"/>
  <c r="Q4859" i="1"/>
  <c r="Q4855" i="1"/>
  <c r="R4855" i="1"/>
  <c r="Q4856" i="1"/>
  <c r="R4856" i="1"/>
  <c r="Q4852" i="1"/>
  <c r="R4852" i="1"/>
  <c r="Q4853" i="1"/>
  <c r="R4853" i="1"/>
  <c r="Q4854" i="1"/>
  <c r="R4854" i="1"/>
  <c r="Q4851" i="1"/>
  <c r="R4851" i="1"/>
  <c r="Q4849" i="1"/>
  <c r="R4849" i="1"/>
  <c r="Q4850" i="1"/>
  <c r="R4850" i="1"/>
  <c r="Q4847" i="1"/>
  <c r="R4847" i="1"/>
  <c r="Q4848" i="1"/>
  <c r="R4848" i="1"/>
  <c r="Q4845" i="1"/>
  <c r="R4845" i="1"/>
  <c r="Q4846" i="1"/>
  <c r="R4846" i="1"/>
  <c r="Q4844" i="1"/>
  <c r="Q4843" i="1"/>
  <c r="R4843" i="1"/>
  <c r="R4844" i="1"/>
  <c r="Q4842" i="1"/>
  <c r="R4842" i="1"/>
  <c r="Q4840" i="1"/>
  <c r="R4840" i="1"/>
  <c r="Q4841" i="1"/>
  <c r="R4841" i="1"/>
  <c r="Q4837" i="1"/>
  <c r="R4837" i="1"/>
  <c r="Q4838" i="1"/>
  <c r="R4838" i="1"/>
  <c r="Q4839" i="1"/>
  <c r="R4839" i="1"/>
  <c r="Q4835" i="1"/>
  <c r="R4835" i="1"/>
  <c r="Q4836" i="1"/>
  <c r="R4836" i="1"/>
  <c r="Q4806" i="1"/>
  <c r="R4806" i="1"/>
  <c r="Q4834" i="1"/>
  <c r="R4834" i="1"/>
  <c r="Q4832" i="1"/>
  <c r="R4832" i="1"/>
  <c r="Q4833" i="1"/>
  <c r="R4833" i="1"/>
  <c r="Q4831" i="1"/>
  <c r="R4831" i="1"/>
  <c r="Q4830" i="1"/>
  <c r="R4830" i="1"/>
  <c r="Q4829" i="1"/>
  <c r="R4829" i="1"/>
  <c r="R4828" i="1"/>
  <c r="Q4828" i="1"/>
  <c r="Q4824" i="1"/>
  <c r="R4824" i="1"/>
  <c r="Q4825" i="1"/>
  <c r="R4825" i="1"/>
  <c r="Q4826" i="1"/>
  <c r="R4826" i="1"/>
  <c r="Q4827" i="1"/>
  <c r="R4827" i="1"/>
  <c r="Q4823" i="1"/>
  <c r="R4823" i="1"/>
  <c r="Q4822" i="1"/>
  <c r="R4822" i="1"/>
  <c r="O4821" i="1"/>
  <c r="R4821" i="1" s="1"/>
  <c r="Q4820" i="1"/>
  <c r="R4820" i="1"/>
  <c r="Q4817" i="1"/>
  <c r="R4817" i="1"/>
  <c r="Q4818" i="1"/>
  <c r="R4818" i="1"/>
  <c r="Q4819" i="1"/>
  <c r="R4819" i="1"/>
  <c r="Q4816" i="1"/>
  <c r="R4816" i="1"/>
  <c r="Q4813" i="1"/>
  <c r="R4813" i="1"/>
  <c r="Q4814" i="1"/>
  <c r="R4814" i="1"/>
  <c r="Q4815" i="1"/>
  <c r="R4815" i="1"/>
  <c r="O4810" i="1"/>
  <c r="R4810" i="1" s="1"/>
  <c r="Q4809" i="1"/>
  <c r="R4809" i="1"/>
  <c r="Q4810" i="1"/>
  <c r="Q4811" i="1"/>
  <c r="R4811" i="1"/>
  <c r="Q4812" i="1"/>
  <c r="R4812" i="1"/>
  <c r="Q4808" i="1"/>
  <c r="R4808" i="1"/>
  <c r="O4807" i="1"/>
  <c r="R4807" i="1" s="1"/>
  <c r="Q4805" i="1"/>
  <c r="R4805" i="1"/>
  <c r="U4804" i="1"/>
  <c r="Q4804" i="1"/>
  <c r="R4804" i="1"/>
  <c r="Q4803" i="1"/>
  <c r="R4803" i="1"/>
  <c r="Q4802" i="1"/>
  <c r="R4802" i="1"/>
  <c r="Q4801" i="1"/>
  <c r="R4801" i="1"/>
  <c r="Q4800" i="1"/>
  <c r="R4800" i="1"/>
  <c r="Q4799" i="1"/>
  <c r="R4799" i="1"/>
  <c r="Q4795" i="1"/>
  <c r="R4795" i="1"/>
  <c r="Q4796" i="1"/>
  <c r="R4796" i="1"/>
  <c r="Q4797" i="1"/>
  <c r="R4797" i="1"/>
  <c r="Q4798" i="1"/>
  <c r="R4798" i="1"/>
  <c r="Q4794" i="1"/>
  <c r="R4794" i="1"/>
  <c r="Q4792" i="1"/>
  <c r="R4792" i="1"/>
  <c r="Q4793" i="1"/>
  <c r="R4793" i="1"/>
  <c r="Q4791" i="1"/>
  <c r="R4791" i="1"/>
  <c r="Q4790" i="1"/>
  <c r="R4790" i="1"/>
  <c r="Q4788" i="1"/>
  <c r="R4788" i="1"/>
  <c r="Q4789" i="1"/>
  <c r="R4789" i="1"/>
  <c r="Q4787" i="1"/>
  <c r="R4787" i="1"/>
  <c r="Q4786" i="1"/>
  <c r="R4786" i="1"/>
  <c r="Q4785" i="1"/>
  <c r="R4785" i="1"/>
  <c r="O4784" i="1"/>
  <c r="R4784" i="1" s="1"/>
  <c r="Q4782" i="1"/>
  <c r="R4782" i="1"/>
  <c r="Q4783" i="1"/>
  <c r="R4783" i="1"/>
  <c r="Q4779" i="1"/>
  <c r="R4779" i="1"/>
  <c r="Q4780" i="1"/>
  <c r="R4780" i="1"/>
  <c r="Q4781" i="1"/>
  <c r="R4781" i="1"/>
  <c r="Q4777" i="1"/>
  <c r="R4777" i="1"/>
  <c r="Q4778" i="1"/>
  <c r="R4778" i="1"/>
  <c r="Q4776" i="1"/>
  <c r="R4776" i="1"/>
  <c r="Q4774" i="1"/>
  <c r="R4774" i="1"/>
  <c r="Q4775" i="1"/>
  <c r="R4775" i="1"/>
  <c r="Q4773" i="1"/>
  <c r="R4773" i="1"/>
  <c r="Q4772" i="1"/>
  <c r="R4772" i="1"/>
  <c r="Q4771" i="1"/>
  <c r="R4771" i="1"/>
  <c r="O4769" i="1"/>
  <c r="Q4769" i="1" s="1"/>
  <c r="Q4770" i="1"/>
  <c r="R4770" i="1"/>
  <c r="Q4765" i="1"/>
  <c r="R4765" i="1"/>
  <c r="Q4766" i="1"/>
  <c r="R4766" i="1"/>
  <c r="Q4767" i="1"/>
  <c r="R4767" i="1"/>
  <c r="Q4768" i="1"/>
  <c r="R4768" i="1"/>
  <c r="Q4763" i="1"/>
  <c r="R4763" i="1"/>
  <c r="Q4764" i="1"/>
  <c r="R4764" i="1"/>
  <c r="Q4759" i="1"/>
  <c r="R4759" i="1"/>
  <c r="Q4760" i="1"/>
  <c r="R4760" i="1"/>
  <c r="Q4761" i="1"/>
  <c r="R4761" i="1"/>
  <c r="Q4762" i="1"/>
  <c r="R4762" i="1"/>
  <c r="O4748" i="1"/>
  <c r="R4748" i="1" s="1"/>
  <c r="Q4749" i="1"/>
  <c r="R4749" i="1"/>
  <c r="Q4750" i="1"/>
  <c r="R4750" i="1"/>
  <c r="Q4751" i="1"/>
  <c r="R4751" i="1"/>
  <c r="Q4752" i="1"/>
  <c r="R4752" i="1"/>
  <c r="Q4753" i="1"/>
  <c r="R4753" i="1"/>
  <c r="Q4754" i="1"/>
  <c r="R4754" i="1"/>
  <c r="Q4755" i="1"/>
  <c r="R4755" i="1"/>
  <c r="Q4756" i="1"/>
  <c r="R4756" i="1"/>
  <c r="Q4757" i="1"/>
  <c r="R4757" i="1"/>
  <c r="Q4758" i="1"/>
  <c r="R4758" i="1"/>
  <c r="O4740" i="1"/>
  <c r="Q4740" i="1" s="1"/>
  <c r="Q4738" i="1"/>
  <c r="R4738" i="1"/>
  <c r="Q4739" i="1"/>
  <c r="R4739" i="1"/>
  <c r="Q4741" i="1"/>
  <c r="R4741" i="1"/>
  <c r="Q4742" i="1"/>
  <c r="R4742" i="1"/>
  <c r="Q4743" i="1"/>
  <c r="R4743" i="1"/>
  <c r="Q4744" i="1"/>
  <c r="R4744" i="1"/>
  <c r="Q4745" i="1"/>
  <c r="R4745" i="1"/>
  <c r="Q4746" i="1"/>
  <c r="R4746" i="1"/>
  <c r="Q4747" i="1"/>
  <c r="R4747" i="1"/>
  <c r="U4731" i="1"/>
  <c r="U4729" i="1"/>
  <c r="U4724" i="1"/>
  <c r="P4716" i="1"/>
  <c r="O4716" i="1"/>
  <c r="Q4716" i="1" s="1"/>
  <c r="O4720" i="1"/>
  <c r="R4720" i="1" s="1"/>
  <c r="O4719" i="1"/>
  <c r="R4719" i="1" s="1"/>
  <c r="O4709" i="1"/>
  <c r="R4709" i="1" s="1"/>
  <c r="Q4708" i="1"/>
  <c r="R4708" i="1"/>
  <c r="Q4709" i="1"/>
  <c r="Q4710" i="1"/>
  <c r="R4710" i="1"/>
  <c r="Q4711" i="1"/>
  <c r="R4711" i="1"/>
  <c r="Q4712" i="1"/>
  <c r="R4712" i="1"/>
  <c r="Q4713" i="1"/>
  <c r="R4713" i="1"/>
  <c r="Q4714" i="1"/>
  <c r="R4714" i="1"/>
  <c r="Q4715" i="1"/>
  <c r="R4715" i="1"/>
  <c r="Q4717" i="1"/>
  <c r="R4717" i="1"/>
  <c r="Q4718" i="1"/>
  <c r="R4718" i="1"/>
  <c r="Q4721" i="1"/>
  <c r="R4721" i="1"/>
  <c r="Q4722" i="1"/>
  <c r="R4722" i="1"/>
  <c r="Q4723" i="1"/>
  <c r="R4723" i="1"/>
  <c r="Q4724" i="1"/>
  <c r="R4724" i="1"/>
  <c r="Q4725" i="1"/>
  <c r="R4725" i="1"/>
  <c r="Q4726" i="1"/>
  <c r="R4726" i="1"/>
  <c r="Q4727" i="1"/>
  <c r="R4727" i="1"/>
  <c r="Q4728" i="1"/>
  <c r="R4728" i="1"/>
  <c r="Q4729" i="1"/>
  <c r="R4729" i="1"/>
  <c r="Q4730" i="1"/>
  <c r="R4730" i="1"/>
  <c r="Q4731" i="1"/>
  <c r="R4731" i="1"/>
  <c r="Q4732" i="1"/>
  <c r="R4732" i="1"/>
  <c r="Q4733" i="1"/>
  <c r="R4733" i="1"/>
  <c r="Q4734" i="1"/>
  <c r="R4734" i="1"/>
  <c r="Q4735" i="1"/>
  <c r="R4735" i="1"/>
  <c r="Q4736" i="1"/>
  <c r="R4736" i="1"/>
  <c r="Q4737" i="1"/>
  <c r="R4737" i="1"/>
  <c r="O4706" i="1"/>
  <c r="R4706" i="1" s="1"/>
  <c r="Q4705" i="1"/>
  <c r="R4705" i="1"/>
  <c r="Q4706" i="1"/>
  <c r="O4707" i="1"/>
  <c r="O4704" i="1"/>
  <c r="R4704" i="1" s="1"/>
  <c r="Q4703" i="1"/>
  <c r="R4703" i="1"/>
  <c r="R4701" i="1"/>
  <c r="Q4701" i="1"/>
  <c r="Q4702" i="1"/>
  <c r="R4702" i="1"/>
  <c r="Q4700" i="1"/>
  <c r="R4700" i="1"/>
  <c r="Q4699" i="1"/>
  <c r="R4699" i="1"/>
  <c r="Q4698" i="1"/>
  <c r="R4698" i="1"/>
  <c r="O4697" i="1"/>
  <c r="Q4697" i="1" s="1"/>
  <c r="O4696" i="1"/>
  <c r="Q4696" i="1" s="1"/>
  <c r="O4695" i="1"/>
  <c r="Q4695" i="1" s="1"/>
  <c r="O4694" i="1"/>
  <c r="Q4694" i="1" s="1"/>
  <c r="Q4693" i="1"/>
  <c r="R4693" i="1"/>
  <c r="Q4691" i="1"/>
  <c r="R4691" i="1"/>
  <c r="Q4692" i="1"/>
  <c r="R4692" i="1"/>
  <c r="Q4688" i="1"/>
  <c r="R4688" i="1"/>
  <c r="Q4689" i="1"/>
  <c r="R4689" i="1"/>
  <c r="Q4690" i="1"/>
  <c r="R4690" i="1"/>
  <c r="Q4687" i="1"/>
  <c r="R4687" i="1"/>
  <c r="Q4686" i="1"/>
  <c r="R4686" i="1"/>
  <c r="Q4684" i="1"/>
  <c r="R4684" i="1"/>
  <c r="Q4685" i="1"/>
  <c r="R4685" i="1"/>
  <c r="P4683" i="1"/>
  <c r="R4683" i="1" s="1"/>
  <c r="Q4683" i="1"/>
  <c r="Q4681" i="1"/>
  <c r="R4681" i="1"/>
  <c r="Q4682" i="1"/>
  <c r="R4682" i="1"/>
  <c r="Q4680" i="1"/>
  <c r="R4680" i="1"/>
  <c r="Q4679" i="1"/>
  <c r="R4679" i="1"/>
  <c r="O4678" i="1"/>
  <c r="R4678" i="1" s="1"/>
  <c r="Q4677" i="1"/>
  <c r="R4677" i="1"/>
  <c r="Q4676" i="1"/>
  <c r="R4676" i="1"/>
  <c r="Q4675" i="1"/>
  <c r="R4675" i="1"/>
  <c r="Q4673" i="1"/>
  <c r="R4673" i="1"/>
  <c r="Q4674" i="1"/>
  <c r="R4674" i="1"/>
  <c r="Q4672" i="1"/>
  <c r="R4672" i="1"/>
  <c r="Q4670" i="1"/>
  <c r="R4670" i="1"/>
  <c r="Q4671" i="1"/>
  <c r="R4671" i="1"/>
  <c r="Q4669" i="1"/>
  <c r="R4669" i="1"/>
  <c r="Q4668" i="1"/>
  <c r="R4668" i="1"/>
  <c r="Q4665" i="1"/>
  <c r="R4665" i="1"/>
  <c r="Q4666" i="1"/>
  <c r="R4666" i="1"/>
  <c r="Q4667" i="1"/>
  <c r="R4667" i="1"/>
  <c r="Q4664" i="1"/>
  <c r="R4664" i="1"/>
  <c r="Q4663" i="1"/>
  <c r="R4663" i="1"/>
  <c r="Q4662" i="1"/>
  <c r="R4662" i="1"/>
  <c r="O4653" i="1"/>
  <c r="Q4653" i="1" s="1"/>
  <c r="O4660" i="1"/>
  <c r="Q4660" i="1" s="1"/>
  <c r="O4659" i="1"/>
  <c r="Q4659" i="1" s="1"/>
  <c r="Q4657" i="1"/>
  <c r="R4657" i="1"/>
  <c r="Q4658" i="1"/>
  <c r="R4658" i="1"/>
  <c r="R4660" i="1"/>
  <c r="Q4661" i="1"/>
  <c r="R4661" i="1"/>
  <c r="Q4654" i="1"/>
  <c r="R4654" i="1"/>
  <c r="Q4655" i="1"/>
  <c r="R4655" i="1"/>
  <c r="P4656" i="1"/>
  <c r="O4656" i="1"/>
  <c r="Q4652" i="1"/>
  <c r="R4652" i="1"/>
  <c r="Q4651" i="1"/>
  <c r="R4651" i="1"/>
  <c r="Q4650" i="1"/>
  <c r="R4650" i="1"/>
  <c r="Q4648" i="1"/>
  <c r="R4648" i="1"/>
  <c r="Q4649" i="1"/>
  <c r="R4649" i="1"/>
  <c r="Q4647" i="1"/>
  <c r="R4647" i="1"/>
  <c r="Q4646" i="1"/>
  <c r="R4646" i="1"/>
  <c r="Q4645" i="1"/>
  <c r="R4645" i="1"/>
  <c r="Q4643" i="1"/>
  <c r="R4643" i="1"/>
  <c r="Q4644" i="1"/>
  <c r="R4644" i="1"/>
  <c r="Q4641" i="1"/>
  <c r="R4641" i="1"/>
  <c r="Q4642" i="1"/>
  <c r="R4642" i="1"/>
  <c r="Q4640" i="1"/>
  <c r="R4640" i="1"/>
  <c r="Q4639" i="1"/>
  <c r="R4639" i="1"/>
  <c r="Q4638" i="1"/>
  <c r="R4638" i="1"/>
  <c r="Q4637" i="1"/>
  <c r="R4637" i="1"/>
  <c r="Q4635" i="1"/>
  <c r="R4635" i="1"/>
  <c r="Q4636" i="1"/>
  <c r="R4636" i="1"/>
  <c r="Q4632" i="1"/>
  <c r="R4632" i="1"/>
  <c r="Q4633" i="1"/>
  <c r="R4633" i="1"/>
  <c r="Q4634" i="1"/>
  <c r="R4634" i="1"/>
  <c r="Q4630" i="1"/>
  <c r="R4630" i="1"/>
  <c r="Q4631" i="1"/>
  <c r="R4631" i="1"/>
  <c r="Q4620" i="1"/>
  <c r="R4620" i="1"/>
  <c r="P4619" i="1"/>
  <c r="O4619" i="1"/>
  <c r="Q4627" i="1"/>
  <c r="R4627" i="1"/>
  <c r="Q4628" i="1"/>
  <c r="R4628" i="1"/>
  <c r="Q4629" i="1"/>
  <c r="R4629" i="1"/>
  <c r="U4623" i="1"/>
  <c r="Q4623" i="1"/>
  <c r="R4623" i="1"/>
  <c r="Q4624" i="1"/>
  <c r="R4624" i="1"/>
  <c r="Q4625" i="1"/>
  <c r="R4625" i="1"/>
  <c r="Q4626" i="1"/>
  <c r="R4626" i="1"/>
  <c r="O4616" i="1"/>
  <c r="R4616" i="1" s="1"/>
  <c r="O4618" i="1"/>
  <c r="Q4618" i="1" s="1"/>
  <c r="R4621" i="1"/>
  <c r="Q4621" i="1"/>
  <c r="R4618" i="1"/>
  <c r="R4617" i="1"/>
  <c r="Q4617" i="1"/>
  <c r="O4608" i="1"/>
  <c r="Q4608" i="1" s="1"/>
  <c r="O4612" i="1"/>
  <c r="R4612" i="1" s="1"/>
  <c r="Q4613" i="1"/>
  <c r="R4613" i="1"/>
  <c r="Q4614" i="1"/>
  <c r="R4614" i="1"/>
  <c r="Q4615" i="1"/>
  <c r="R4615" i="1"/>
  <c r="O4599" i="1"/>
  <c r="R4599" i="1" s="1"/>
  <c r="Q4589" i="1"/>
  <c r="R4589" i="1"/>
  <c r="Q4590" i="1"/>
  <c r="R4590" i="1"/>
  <c r="Q4591" i="1"/>
  <c r="Q4592" i="1"/>
  <c r="Q4593" i="1"/>
  <c r="Q4594" i="1"/>
  <c r="Q4595" i="1"/>
  <c r="O4588" i="1"/>
  <c r="R4588" i="1" s="1"/>
  <c r="R4591" i="1"/>
  <c r="R4592" i="1"/>
  <c r="R4593" i="1"/>
  <c r="R4594" i="1"/>
  <c r="R4595" i="1"/>
  <c r="Q4596" i="1"/>
  <c r="R4596" i="1"/>
  <c r="Q4597" i="1"/>
  <c r="R4597" i="1"/>
  <c r="Q4598" i="1"/>
  <c r="R4598" i="1"/>
  <c r="Q4600" i="1"/>
  <c r="R4600" i="1"/>
  <c r="Q4601" i="1"/>
  <c r="R4601" i="1"/>
  <c r="Q4602" i="1"/>
  <c r="R4602" i="1"/>
  <c r="Q4603" i="1"/>
  <c r="R4603" i="1"/>
  <c r="Q4604" i="1"/>
  <c r="R4604" i="1"/>
  <c r="Q4605" i="1"/>
  <c r="R4605" i="1"/>
  <c r="Q4606" i="1"/>
  <c r="R4606" i="1"/>
  <c r="Q4607" i="1"/>
  <c r="R4607" i="1"/>
  <c r="Q4609" i="1"/>
  <c r="R4609" i="1"/>
  <c r="Q4610" i="1"/>
  <c r="R4610" i="1"/>
  <c r="Q4611" i="1"/>
  <c r="R4611" i="1"/>
  <c r="O4587" i="1"/>
  <c r="Q4586" i="1"/>
  <c r="R4586" i="1"/>
  <c r="Q4585" i="1"/>
  <c r="R4585" i="1"/>
  <c r="Q4584" i="1"/>
  <c r="R4584" i="1"/>
  <c r="Q4583" i="1"/>
  <c r="R4583" i="1"/>
  <c r="Q4582" i="1"/>
  <c r="R4582" i="1"/>
  <c r="Q4581" i="1"/>
  <c r="R4581" i="1"/>
  <c r="Q4580" i="1"/>
  <c r="R4580" i="1"/>
  <c r="Q4578" i="1"/>
  <c r="R4578" i="1"/>
  <c r="Q4579" i="1"/>
  <c r="R4579" i="1"/>
  <c r="Q4577" i="1"/>
  <c r="R4577" i="1"/>
  <c r="Q4576" i="1"/>
  <c r="R4576" i="1"/>
  <c r="Q4575" i="1"/>
  <c r="R4575" i="1"/>
  <c r="O4574" i="1"/>
  <c r="Q4574" i="1" s="1"/>
  <c r="Q4573" i="1"/>
  <c r="R4573" i="1"/>
  <c r="O4572" i="1"/>
  <c r="Q4572" i="1" s="1"/>
  <c r="Q4570" i="1"/>
  <c r="R4570" i="1"/>
  <c r="Q4571" i="1"/>
  <c r="R4571" i="1"/>
  <c r="Q4569" i="1"/>
  <c r="R4569" i="1"/>
  <c r="Q4568" i="1"/>
  <c r="R4568" i="1"/>
  <c r="Q4567" i="1"/>
  <c r="R4567" i="1"/>
  <c r="Q4564" i="1"/>
  <c r="R4564" i="1"/>
  <c r="Q4565" i="1"/>
  <c r="R4565" i="1"/>
  <c r="Q4566" i="1"/>
  <c r="R4566" i="1"/>
  <c r="Q4561" i="1"/>
  <c r="R4561" i="1"/>
  <c r="Q4562" i="1"/>
  <c r="R4562" i="1"/>
  <c r="Q4563" i="1"/>
  <c r="R4563" i="1"/>
  <c r="Q4560" i="1"/>
  <c r="R4560" i="1"/>
  <c r="Q4559" i="1"/>
  <c r="R4559" i="1"/>
  <c r="Q4558" i="1"/>
  <c r="R4558" i="1"/>
  <c r="Q4557" i="1"/>
  <c r="R4557" i="1"/>
  <c r="Q4556" i="1"/>
  <c r="R4556" i="1"/>
  <c r="Q4555" i="1"/>
  <c r="R4555" i="1"/>
  <c r="Q4554" i="1"/>
  <c r="R4554" i="1"/>
  <c r="Q4553" i="1"/>
  <c r="R4553" i="1"/>
  <c r="Q4552" i="1"/>
  <c r="R4552" i="1"/>
  <c r="Q4550" i="1"/>
  <c r="R4550" i="1"/>
  <c r="Q4551" i="1"/>
  <c r="R4551" i="1"/>
  <c r="Q4549" i="1"/>
  <c r="R4549" i="1"/>
  <c r="Q4548" i="1"/>
  <c r="R4548" i="1"/>
  <c r="Q4547" i="1"/>
  <c r="R4547" i="1"/>
  <c r="Q4546" i="1"/>
  <c r="R4546" i="1"/>
  <c r="Q4542" i="1"/>
  <c r="R4542" i="1"/>
  <c r="Q4543" i="1"/>
  <c r="R4543" i="1"/>
  <c r="Q4544" i="1"/>
  <c r="R4544" i="1"/>
  <c r="Q4545" i="1"/>
  <c r="R4545" i="1"/>
  <c r="U4541" i="1"/>
  <c r="Q4541" i="1"/>
  <c r="R4541" i="1"/>
  <c r="Q4540" i="1"/>
  <c r="R4540" i="1"/>
  <c r="Q4539" i="1"/>
  <c r="R4539" i="1"/>
  <c r="Q4538" i="1"/>
  <c r="R4538" i="1"/>
  <c r="Q4537" i="1"/>
  <c r="R4537" i="1"/>
  <c r="Q4536" i="1"/>
  <c r="R4536" i="1"/>
  <c r="Q4535" i="1"/>
  <c r="R4535" i="1"/>
  <c r="Q4534" i="1"/>
  <c r="R4534" i="1"/>
  <c r="Q4532" i="1"/>
  <c r="R4532" i="1"/>
  <c r="Q4533" i="1"/>
  <c r="R4533" i="1"/>
  <c r="Q4531" i="1"/>
  <c r="R4531" i="1"/>
  <c r="Q4530" i="1"/>
  <c r="R4530" i="1"/>
  <c r="Q4528" i="1"/>
  <c r="R4528" i="1"/>
  <c r="Q4529" i="1"/>
  <c r="R4529" i="1"/>
  <c r="Q4527" i="1"/>
  <c r="R4527" i="1"/>
  <c r="Q4526" i="1"/>
  <c r="R4526" i="1"/>
  <c r="Q4525" i="1"/>
  <c r="R4525" i="1"/>
  <c r="Q4523" i="1"/>
  <c r="R4523" i="1"/>
  <c r="Q4524" i="1"/>
  <c r="R4524" i="1"/>
  <c r="Q4522" i="1"/>
  <c r="R4522" i="1"/>
  <c r="Q4521" i="1"/>
  <c r="R4521" i="1"/>
  <c r="U4518" i="1"/>
  <c r="Q4517" i="1"/>
  <c r="R4517" i="1"/>
  <c r="Q4518" i="1"/>
  <c r="R4518" i="1"/>
  <c r="Q4519" i="1"/>
  <c r="R4519" i="1"/>
  <c r="Q4520" i="1"/>
  <c r="R4520" i="1"/>
  <c r="Q4516" i="1"/>
  <c r="R4516" i="1"/>
  <c r="B25" i="4"/>
  <c r="C25" i="4"/>
  <c r="D25" i="4"/>
  <c r="E25" i="4"/>
  <c r="F25" i="4"/>
  <c r="G25" i="4"/>
  <c r="H25" i="4"/>
  <c r="I25" i="4"/>
  <c r="J25" i="4"/>
  <c r="K25" i="4"/>
  <c r="L25" i="4"/>
  <c r="B26" i="4"/>
  <c r="C26" i="4"/>
  <c r="D26" i="4"/>
  <c r="E26" i="4"/>
  <c r="F26" i="4"/>
  <c r="G26" i="4"/>
  <c r="H26" i="4"/>
  <c r="I26" i="4"/>
  <c r="J26" i="4"/>
  <c r="K26" i="4"/>
  <c r="L26" i="4"/>
  <c r="B27" i="4"/>
  <c r="C27" i="4"/>
  <c r="D27" i="4"/>
  <c r="E27" i="4"/>
  <c r="F27" i="4"/>
  <c r="G27" i="4"/>
  <c r="H27" i="4"/>
  <c r="I27" i="4"/>
  <c r="J27" i="4"/>
  <c r="K27" i="4"/>
  <c r="L27" i="4"/>
  <c r="B28" i="4"/>
  <c r="C28" i="4"/>
  <c r="D28" i="4"/>
  <c r="E28" i="4"/>
  <c r="F28" i="4"/>
  <c r="G28" i="4"/>
  <c r="H28" i="4"/>
  <c r="I28" i="4"/>
  <c r="J28" i="4"/>
  <c r="K28" i="4"/>
  <c r="L28" i="4"/>
  <c r="Q4515" i="1"/>
  <c r="R4515" i="1"/>
  <c r="Q4514" i="1"/>
  <c r="R4514" i="1"/>
  <c r="Q4513" i="1"/>
  <c r="R4513" i="1"/>
  <c r="Q4512" i="1"/>
  <c r="R4512" i="1"/>
  <c r="Q4510" i="1"/>
  <c r="R4510" i="1"/>
  <c r="Q4511" i="1"/>
  <c r="R4511" i="1"/>
  <c r="Q4509" i="1"/>
  <c r="R4509" i="1"/>
  <c r="Q4507" i="1"/>
  <c r="R4507" i="1"/>
  <c r="Q4508" i="1"/>
  <c r="R4508" i="1"/>
  <c r="Q4506" i="1"/>
  <c r="R4506" i="1"/>
  <c r="Q4505" i="1"/>
  <c r="R4505" i="1"/>
  <c r="Q4504" i="1"/>
  <c r="R4504" i="1"/>
  <c r="Q4500" i="1"/>
  <c r="R4500" i="1"/>
  <c r="Q4501" i="1"/>
  <c r="R4501" i="1"/>
  <c r="Q4502" i="1"/>
  <c r="R4502" i="1"/>
  <c r="Q4503" i="1"/>
  <c r="R4503" i="1"/>
  <c r="Q4499" i="1"/>
  <c r="R4499" i="1"/>
  <c r="Q4496" i="1"/>
  <c r="R4496" i="1"/>
  <c r="Q4497" i="1"/>
  <c r="R4497" i="1"/>
  <c r="Q4498" i="1"/>
  <c r="R4498" i="1"/>
  <c r="Q4494" i="1"/>
  <c r="R4494" i="1"/>
  <c r="Q4495" i="1"/>
  <c r="R4495" i="1"/>
  <c r="O4492" i="1"/>
  <c r="Q4492" i="1" s="1"/>
  <c r="Q4493" i="1"/>
  <c r="R4493" i="1"/>
  <c r="Q4491" i="1"/>
  <c r="R4491" i="1"/>
  <c r="Q4489" i="1"/>
  <c r="R4489" i="1"/>
  <c r="Q4490" i="1"/>
  <c r="R4490" i="1"/>
  <c r="R4488" i="1"/>
  <c r="Q4488" i="1"/>
  <c r="Q4487" i="1"/>
  <c r="R4487" i="1"/>
  <c r="Q4486" i="1"/>
  <c r="R4486" i="1"/>
  <c r="Q4485" i="1"/>
  <c r="R4485" i="1"/>
  <c r="Q4484" i="1"/>
  <c r="R4484" i="1"/>
  <c r="Q4483" i="1"/>
  <c r="R4483" i="1"/>
  <c r="Q4480" i="1"/>
  <c r="R4480" i="1"/>
  <c r="Q4481" i="1"/>
  <c r="R4481" i="1"/>
  <c r="Q4482" i="1"/>
  <c r="R4482" i="1"/>
  <c r="Q4478" i="1"/>
  <c r="R4478" i="1"/>
  <c r="Q4479" i="1"/>
  <c r="R4479" i="1"/>
  <c r="Q4474" i="1"/>
  <c r="R4474" i="1"/>
  <c r="Q4475" i="1"/>
  <c r="R4475" i="1"/>
  <c r="Q4476" i="1"/>
  <c r="R4476" i="1"/>
  <c r="Q4477" i="1"/>
  <c r="R4477" i="1"/>
  <c r="Q4471" i="1"/>
  <c r="R4471" i="1"/>
  <c r="Q4472" i="1"/>
  <c r="R4472" i="1"/>
  <c r="Q4473" i="1"/>
  <c r="R4473" i="1"/>
  <c r="O4470" i="1"/>
  <c r="Q4470" i="1" s="1"/>
  <c r="Q4468" i="1"/>
  <c r="R4468" i="1"/>
  <c r="Q4469" i="1"/>
  <c r="R4469" i="1"/>
  <c r="Q4465" i="1"/>
  <c r="R4465" i="1"/>
  <c r="Q4466" i="1"/>
  <c r="R4466" i="1"/>
  <c r="Q4467" i="1"/>
  <c r="R4467" i="1"/>
  <c r="Q4464" i="1"/>
  <c r="R4464" i="1"/>
  <c r="B19" i="4"/>
  <c r="C19" i="4"/>
  <c r="D19" i="4"/>
  <c r="E19" i="4"/>
  <c r="F19" i="4"/>
  <c r="G19" i="4"/>
  <c r="H19" i="4"/>
  <c r="I19" i="4"/>
  <c r="J19" i="4"/>
  <c r="K19" i="4"/>
  <c r="L19" i="4"/>
  <c r="Q4462" i="1"/>
  <c r="R4462" i="1"/>
  <c r="Q4463" i="1"/>
  <c r="R4463" i="1"/>
  <c r="Q4461" i="1"/>
  <c r="R4461" i="1"/>
  <c r="Q4460" i="1"/>
  <c r="R4460" i="1"/>
  <c r="Q4459" i="1"/>
  <c r="R4459" i="1"/>
  <c r="Q4458" i="1"/>
  <c r="R4458" i="1"/>
  <c r="Q4453" i="1"/>
  <c r="R4453" i="1"/>
  <c r="Q4454" i="1"/>
  <c r="R4454" i="1"/>
  <c r="Q4455" i="1"/>
  <c r="R4455" i="1"/>
  <c r="Q4456" i="1"/>
  <c r="R4456" i="1"/>
  <c r="Q4457" i="1"/>
  <c r="R4457" i="1"/>
  <c r="O4452" i="1"/>
  <c r="R4452" i="1" s="1"/>
  <c r="Q4451" i="1"/>
  <c r="R4451" i="1"/>
  <c r="Q4452" i="1"/>
  <c r="Q4449" i="1"/>
  <c r="R4449" i="1"/>
  <c r="Q4450" i="1"/>
  <c r="R4450" i="1"/>
  <c r="Q4448" i="1"/>
  <c r="R4448" i="1"/>
  <c r="Q4447" i="1"/>
  <c r="R4447" i="1"/>
  <c r="Q4446" i="1"/>
  <c r="R4446" i="1"/>
  <c r="Q4445" i="1"/>
  <c r="R4445" i="1"/>
  <c r="Q4444" i="1"/>
  <c r="R4444" i="1"/>
  <c r="Q4443" i="1"/>
  <c r="R4443" i="1"/>
  <c r="Q4442" i="1"/>
  <c r="R4442" i="1"/>
  <c r="Q4438" i="1"/>
  <c r="R4438" i="1"/>
  <c r="Q4439" i="1"/>
  <c r="R4439" i="1"/>
  <c r="Q4440" i="1"/>
  <c r="R4440" i="1"/>
  <c r="Q4441" i="1"/>
  <c r="R4441" i="1"/>
  <c r="Q4437" i="1"/>
  <c r="R4437" i="1"/>
  <c r="Q4433" i="1"/>
  <c r="R4433" i="1"/>
  <c r="Q4434" i="1"/>
  <c r="R4434" i="1"/>
  <c r="Q4435" i="1"/>
  <c r="R4435" i="1"/>
  <c r="Q4436" i="1"/>
  <c r="R4436" i="1"/>
  <c r="Q4431" i="1"/>
  <c r="R4431" i="1"/>
  <c r="Q4432" i="1"/>
  <c r="R4432" i="1"/>
  <c r="Q4430" i="1"/>
  <c r="R4430" i="1"/>
  <c r="Q4428" i="1"/>
  <c r="R4428" i="1"/>
  <c r="Q4429" i="1"/>
  <c r="R4429" i="1"/>
  <c r="Q4425" i="1"/>
  <c r="R4425" i="1"/>
  <c r="Q4426" i="1"/>
  <c r="R4426" i="1"/>
  <c r="Q4427" i="1"/>
  <c r="R4427" i="1"/>
  <c r="Q4424" i="1"/>
  <c r="R4424" i="1"/>
  <c r="Q4423" i="1"/>
  <c r="R4423" i="1"/>
  <c r="O4422" i="1"/>
  <c r="R4422" i="1" s="1"/>
  <c r="Q4421" i="1"/>
  <c r="R4421" i="1"/>
  <c r="Q4422" i="1"/>
  <c r="Q4420" i="1"/>
  <c r="R4420" i="1"/>
  <c r="Q4416" i="1"/>
  <c r="R4416" i="1"/>
  <c r="Q4417" i="1"/>
  <c r="R4417" i="1"/>
  <c r="Q4418" i="1"/>
  <c r="R4418" i="1"/>
  <c r="Q4419" i="1"/>
  <c r="R4419" i="1"/>
  <c r="Q4414" i="1"/>
  <c r="R4414" i="1"/>
  <c r="Q4415" i="1"/>
  <c r="R4415" i="1"/>
  <c r="Q4409" i="1"/>
  <c r="Q4407" i="1"/>
  <c r="R4407" i="1"/>
  <c r="Q4408" i="1"/>
  <c r="R4408" i="1"/>
  <c r="R4409" i="1"/>
  <c r="Q4410" i="1"/>
  <c r="R4410" i="1"/>
  <c r="Q4411" i="1"/>
  <c r="R4411" i="1"/>
  <c r="Q4412" i="1"/>
  <c r="R4412" i="1"/>
  <c r="Q4413" i="1"/>
  <c r="R4413" i="1"/>
  <c r="Q4405" i="1"/>
  <c r="R4405" i="1"/>
  <c r="Q4406" i="1"/>
  <c r="R4406" i="1"/>
  <c r="Q4399" i="1"/>
  <c r="R4399" i="1"/>
  <c r="Q4400" i="1"/>
  <c r="R4400" i="1"/>
  <c r="Q4401" i="1"/>
  <c r="R4401" i="1"/>
  <c r="Q4402" i="1"/>
  <c r="R4402" i="1"/>
  <c r="Q4403" i="1"/>
  <c r="R4403" i="1"/>
  <c r="Q4404" i="1"/>
  <c r="R4404" i="1"/>
  <c r="Q4393" i="1"/>
  <c r="R4393" i="1"/>
  <c r="Q4394" i="1"/>
  <c r="R4394" i="1"/>
  <c r="Q4395" i="1"/>
  <c r="R4395" i="1"/>
  <c r="Q4396" i="1"/>
  <c r="R4396" i="1"/>
  <c r="Q4397" i="1"/>
  <c r="R4397" i="1"/>
  <c r="Q4398" i="1"/>
  <c r="R4398" i="1"/>
  <c r="Q4392" i="1"/>
  <c r="R4392" i="1"/>
  <c r="Q4387" i="1"/>
  <c r="R4387" i="1"/>
  <c r="Q4388" i="1"/>
  <c r="R4388" i="1"/>
  <c r="Q4389" i="1"/>
  <c r="R4389" i="1"/>
  <c r="Q4390" i="1"/>
  <c r="R4390" i="1"/>
  <c r="Q4391" i="1"/>
  <c r="R4391" i="1"/>
  <c r="Q4386" i="1"/>
  <c r="R4386" i="1"/>
  <c r="Q4385" i="1"/>
  <c r="R4385" i="1"/>
  <c r="R4384" i="1"/>
  <c r="Q4384" i="1"/>
  <c r="Q4383" i="1"/>
  <c r="R4383" i="1"/>
  <c r="Q4382" i="1"/>
  <c r="R4382" i="1"/>
  <c r="Q4379" i="1"/>
  <c r="R4379" i="1"/>
  <c r="Q4380" i="1"/>
  <c r="R4380" i="1"/>
  <c r="Q4381" i="1"/>
  <c r="R4381" i="1"/>
  <c r="Q4378" i="1"/>
  <c r="R4378" i="1"/>
  <c r="Q4377" i="1"/>
  <c r="R4377" i="1"/>
  <c r="Q4376" i="1"/>
  <c r="R4376" i="1"/>
  <c r="Q4375" i="1"/>
  <c r="R4375" i="1"/>
  <c r="Q4374" i="1"/>
  <c r="R4374" i="1"/>
  <c r="Q4373" i="1"/>
  <c r="R4373" i="1"/>
  <c r="Q4371" i="1"/>
  <c r="R4371" i="1"/>
  <c r="Q4372" i="1"/>
  <c r="R4372" i="1"/>
  <c r="Q4370" i="1"/>
  <c r="R4370" i="1"/>
  <c r="Q4369" i="1"/>
  <c r="R4369" i="1"/>
  <c r="Q4368" i="1"/>
  <c r="R4368" i="1"/>
  <c r="Q4366" i="1"/>
  <c r="R4366" i="1"/>
  <c r="Q4367" i="1"/>
  <c r="R4367" i="1"/>
  <c r="Q4365" i="1"/>
  <c r="R4365" i="1"/>
  <c r="Q4364" i="1"/>
  <c r="R4364" i="1"/>
  <c r="Q4363" i="1"/>
  <c r="R4363" i="1"/>
  <c r="Q4362" i="1"/>
  <c r="R4362" i="1"/>
  <c r="Q4361" i="1"/>
  <c r="R4361" i="1"/>
  <c r="Q4360" i="1"/>
  <c r="R4360" i="1"/>
  <c r="Q4359" i="1"/>
  <c r="R4359" i="1"/>
  <c r="Q4358" i="1"/>
  <c r="R4358" i="1"/>
  <c r="Q4357" i="1"/>
  <c r="R4357" i="1"/>
  <c r="Q4356" i="1"/>
  <c r="R4356" i="1"/>
  <c r="Q4355" i="1"/>
  <c r="Q4353" i="1"/>
  <c r="Q4354" i="1"/>
  <c r="Q4352" i="1"/>
  <c r="R4352" i="1"/>
  <c r="R4353" i="1"/>
  <c r="R4354" i="1"/>
  <c r="R4355" i="1"/>
  <c r="Q4349" i="1"/>
  <c r="R4349" i="1"/>
  <c r="Q4350" i="1"/>
  <c r="R4350" i="1"/>
  <c r="Q4351" i="1"/>
  <c r="R4351" i="1"/>
  <c r="Q4348" i="1"/>
  <c r="R4348" i="1"/>
  <c r="Q4347" i="1"/>
  <c r="R4347" i="1"/>
  <c r="O4346" i="1"/>
  <c r="R4346" i="1" s="1"/>
  <c r="O4345" i="1"/>
  <c r="R4345" i="1" s="1"/>
  <c r="Q4341" i="1"/>
  <c r="R4341" i="1"/>
  <c r="Q4342" i="1"/>
  <c r="R4342" i="1"/>
  <c r="Q4343" i="1"/>
  <c r="R4343" i="1"/>
  <c r="Q4344" i="1"/>
  <c r="R4344" i="1"/>
  <c r="Q4340" i="1"/>
  <c r="R4340" i="1"/>
  <c r="Q4338" i="1"/>
  <c r="R4338" i="1"/>
  <c r="Q4339" i="1"/>
  <c r="R4339" i="1"/>
  <c r="Q4336" i="1"/>
  <c r="R4336" i="1"/>
  <c r="Q4337" i="1"/>
  <c r="R4337" i="1"/>
  <c r="Q4334" i="1"/>
  <c r="R4334" i="1"/>
  <c r="Q4335" i="1"/>
  <c r="R4335" i="1"/>
  <c r="Q4332" i="1"/>
  <c r="R4332" i="1"/>
  <c r="Q4333" i="1"/>
  <c r="R4333" i="1"/>
  <c r="Q4331" i="1"/>
  <c r="R4331" i="1"/>
  <c r="Q4330" i="1"/>
  <c r="R4330" i="1"/>
  <c r="Q4329" i="1"/>
  <c r="R4329" i="1"/>
  <c r="Q4328" i="1"/>
  <c r="R4328" i="1"/>
  <c r="Q4324" i="1"/>
  <c r="R4324" i="1"/>
  <c r="Q4325" i="1"/>
  <c r="R4325" i="1"/>
  <c r="Q4326" i="1"/>
  <c r="R4326" i="1"/>
  <c r="Q4327" i="1"/>
  <c r="R4327" i="1"/>
  <c r="Q4319" i="1"/>
  <c r="R4319" i="1"/>
  <c r="Q4320" i="1"/>
  <c r="R4320" i="1"/>
  <c r="Q4321" i="1"/>
  <c r="R4321" i="1"/>
  <c r="Q4322" i="1"/>
  <c r="R4322" i="1"/>
  <c r="Q4323" i="1"/>
  <c r="R4323" i="1"/>
  <c r="Q4316" i="1"/>
  <c r="R4316" i="1"/>
  <c r="Q4317" i="1"/>
  <c r="R4317" i="1"/>
  <c r="Q4318" i="1"/>
  <c r="R4318" i="1"/>
  <c r="Q4314" i="1"/>
  <c r="R4314" i="1"/>
  <c r="Q4315" i="1"/>
  <c r="R4315" i="1"/>
  <c r="Q4312" i="1"/>
  <c r="R4312" i="1"/>
  <c r="Q4313" i="1"/>
  <c r="R4313" i="1"/>
  <c r="Q4310" i="1"/>
  <c r="R4310" i="1"/>
  <c r="Q4311" i="1"/>
  <c r="R4311" i="1"/>
  <c r="Q4307" i="1"/>
  <c r="R4307" i="1"/>
  <c r="Q4308" i="1"/>
  <c r="R4308" i="1"/>
  <c r="Q4309" i="1"/>
  <c r="R4309" i="1"/>
  <c r="Q4306" i="1"/>
  <c r="R4306" i="1"/>
  <c r="Q4304" i="1"/>
  <c r="R4304" i="1"/>
  <c r="Q4305" i="1"/>
  <c r="R4305" i="1"/>
  <c r="Q4303" i="1"/>
  <c r="R4303" i="1"/>
  <c r="Q4302" i="1"/>
  <c r="R4302" i="1"/>
  <c r="Q4301" i="1"/>
  <c r="R4301" i="1"/>
  <c r="Q4300" i="1"/>
  <c r="R4300" i="1"/>
  <c r="Q4299" i="1"/>
  <c r="R4299" i="1"/>
  <c r="Q4298" i="1"/>
  <c r="R4298" i="1"/>
  <c r="Q4297" i="1"/>
  <c r="R4297" i="1"/>
  <c r="Q4296" i="1"/>
  <c r="R4296" i="1"/>
  <c r="Q4295" i="1"/>
  <c r="R4295" i="1"/>
  <c r="Q4292" i="1"/>
  <c r="R4292" i="1"/>
  <c r="Q4293" i="1"/>
  <c r="R4293" i="1"/>
  <c r="Q4294" i="1"/>
  <c r="R4294" i="1"/>
  <c r="Q4290" i="1"/>
  <c r="R4290" i="1"/>
  <c r="Q4291" i="1"/>
  <c r="R4291" i="1"/>
  <c r="O4289" i="1"/>
  <c r="R4289" i="1" s="1"/>
  <c r="Q4288" i="1"/>
  <c r="R4288" i="1"/>
  <c r="Q4289" i="1"/>
  <c r="R4286" i="1"/>
  <c r="R4287" i="1"/>
  <c r="O4284" i="1"/>
  <c r="R4284" i="1" s="1"/>
  <c r="Q4285" i="1"/>
  <c r="R4285" i="1"/>
  <c r="Q4286" i="1"/>
  <c r="Q4287" i="1"/>
  <c r="Q4282" i="1"/>
  <c r="R4282" i="1"/>
  <c r="Q4283" i="1"/>
  <c r="R4283" i="1"/>
  <c r="Q4284" i="1"/>
  <c r="Q4277" i="1"/>
  <c r="R4277" i="1"/>
  <c r="Q4278" i="1"/>
  <c r="R4278" i="1"/>
  <c r="Q4279" i="1"/>
  <c r="R4279" i="1"/>
  <c r="Q4280" i="1"/>
  <c r="R4280" i="1"/>
  <c r="Q4281" i="1"/>
  <c r="R4281" i="1"/>
  <c r="Q4275" i="1"/>
  <c r="R4275" i="1"/>
  <c r="Q4276" i="1"/>
  <c r="R4276" i="1"/>
  <c r="O4267" i="1"/>
  <c r="Q4267" i="1" s="1"/>
  <c r="Q4274" i="1"/>
  <c r="R4274" i="1"/>
  <c r="Q4266" i="1"/>
  <c r="R4266" i="1"/>
  <c r="Q4268" i="1"/>
  <c r="R4268" i="1"/>
  <c r="Q4269" i="1"/>
  <c r="R4269" i="1"/>
  <c r="Q4270" i="1"/>
  <c r="R4270" i="1"/>
  <c r="Q4271" i="1"/>
  <c r="R4271" i="1"/>
  <c r="Q4272" i="1"/>
  <c r="R4272" i="1"/>
  <c r="Q4273" i="1"/>
  <c r="R4273" i="1"/>
  <c r="Q4263" i="1"/>
  <c r="R4263" i="1"/>
  <c r="Q4264" i="1"/>
  <c r="R4264" i="1"/>
  <c r="Q4265" i="1"/>
  <c r="R4265" i="1"/>
  <c r="Q4252" i="1"/>
  <c r="P4250" i="1"/>
  <c r="R4250" i="1" s="1"/>
  <c r="P4258" i="1"/>
  <c r="O4258" i="1"/>
  <c r="Q4258" i="1" s="1"/>
  <c r="P4219" i="1"/>
  <c r="R4219" i="1" s="1"/>
  <c r="O4200" i="1"/>
  <c r="Q4200" i="1" s="1"/>
  <c r="P4218" i="1"/>
  <c r="O4218" i="1"/>
  <c r="Q4218" i="1" s="1"/>
  <c r="O4261" i="1"/>
  <c r="Q4261" i="1" s="1"/>
  <c r="O4236" i="1"/>
  <c r="R4236" i="1" s="1"/>
  <c r="O4233" i="1"/>
  <c r="R4233" i="1" s="1"/>
  <c r="O4257" i="1"/>
  <c r="R4257" i="1" s="1"/>
  <c r="O4227" i="1"/>
  <c r="R4227" i="1" s="1"/>
  <c r="P4209" i="1"/>
  <c r="O4209" i="1"/>
  <c r="Q4209" i="1" s="1"/>
  <c r="Q4207" i="1"/>
  <c r="R4207" i="1"/>
  <c r="Q4208" i="1"/>
  <c r="R4208" i="1"/>
  <c r="Q4210" i="1"/>
  <c r="R4210" i="1"/>
  <c r="Q4211" i="1"/>
  <c r="R4211" i="1"/>
  <c r="Q4212" i="1"/>
  <c r="R4212" i="1"/>
  <c r="Q4213" i="1"/>
  <c r="R4213" i="1"/>
  <c r="Q4214" i="1"/>
  <c r="R4214" i="1"/>
  <c r="Q4215" i="1"/>
  <c r="R4215" i="1"/>
  <c r="Q4216" i="1"/>
  <c r="R4216" i="1"/>
  <c r="Q4217" i="1"/>
  <c r="R4217" i="1"/>
  <c r="Q4219" i="1"/>
  <c r="Q4220" i="1"/>
  <c r="R4220" i="1"/>
  <c r="Q4221" i="1"/>
  <c r="R4221" i="1"/>
  <c r="Q4222" i="1"/>
  <c r="R4222" i="1"/>
  <c r="Q4223" i="1"/>
  <c r="R4223" i="1"/>
  <c r="Q4224" i="1"/>
  <c r="R4224" i="1"/>
  <c r="Q4225" i="1"/>
  <c r="R4225" i="1"/>
  <c r="Q4226" i="1"/>
  <c r="R4226" i="1"/>
  <c r="Q4228" i="1"/>
  <c r="R4228" i="1"/>
  <c r="Q4229" i="1"/>
  <c r="R4229" i="1"/>
  <c r="Q4230" i="1"/>
  <c r="R4230" i="1"/>
  <c r="Q4231" i="1"/>
  <c r="R4231" i="1"/>
  <c r="Q4232" i="1"/>
  <c r="R4232" i="1"/>
  <c r="Q4234" i="1"/>
  <c r="R4234" i="1"/>
  <c r="Q4235" i="1"/>
  <c r="R4235" i="1"/>
  <c r="Q4237" i="1"/>
  <c r="R4237" i="1"/>
  <c r="Q4238" i="1"/>
  <c r="R4238" i="1"/>
  <c r="Q4239" i="1"/>
  <c r="R4239" i="1"/>
  <c r="Q4240" i="1"/>
  <c r="R4240" i="1"/>
  <c r="Q4241" i="1"/>
  <c r="R4241" i="1"/>
  <c r="Q4242" i="1"/>
  <c r="R4242" i="1"/>
  <c r="Q4243" i="1"/>
  <c r="R4243" i="1"/>
  <c r="Q4244" i="1"/>
  <c r="R4244" i="1"/>
  <c r="Q4245" i="1"/>
  <c r="R4245" i="1"/>
  <c r="Q4246" i="1"/>
  <c r="R4246" i="1"/>
  <c r="Q4247" i="1"/>
  <c r="R4247" i="1"/>
  <c r="Q4248" i="1"/>
  <c r="R4248" i="1"/>
  <c r="Q4249" i="1"/>
  <c r="R4249" i="1"/>
  <c r="Q4250" i="1"/>
  <c r="Q4251" i="1"/>
  <c r="R4251" i="1"/>
  <c r="R4252" i="1"/>
  <c r="Q4253" i="1"/>
  <c r="R4253" i="1"/>
  <c r="Q4254" i="1"/>
  <c r="R4254" i="1"/>
  <c r="Q4255" i="1"/>
  <c r="R4255" i="1"/>
  <c r="Q4256" i="1"/>
  <c r="R4256" i="1"/>
  <c r="Q4259" i="1"/>
  <c r="R4259" i="1"/>
  <c r="Q4260" i="1"/>
  <c r="R4260" i="1"/>
  <c r="Q4262" i="1"/>
  <c r="R4262" i="1"/>
  <c r="O4206" i="1"/>
  <c r="R4206" i="1" s="1"/>
  <c r="Q4205" i="1"/>
  <c r="R4205" i="1"/>
  <c r="Q4203" i="1"/>
  <c r="R4203" i="1"/>
  <c r="Q4204" i="1"/>
  <c r="R4204" i="1"/>
  <c r="Q4199" i="1"/>
  <c r="R4199" i="1"/>
  <c r="Q4201" i="1"/>
  <c r="R4201" i="1"/>
  <c r="Q4202" i="1"/>
  <c r="R4202" i="1"/>
  <c r="O4196" i="1"/>
  <c r="Q4196" i="1" s="1"/>
  <c r="Q4193" i="1"/>
  <c r="R4193" i="1"/>
  <c r="Q4197" i="1"/>
  <c r="R4197" i="1"/>
  <c r="Q4198" i="1"/>
  <c r="R4198" i="1"/>
  <c r="Q4194" i="1"/>
  <c r="R4194" i="1"/>
  <c r="Q4195" i="1"/>
  <c r="R4195" i="1"/>
  <c r="Q4187" i="1"/>
  <c r="R4187" i="1"/>
  <c r="Q4188" i="1"/>
  <c r="R4188" i="1"/>
  <c r="Q4189" i="1"/>
  <c r="R4189" i="1"/>
  <c r="Q4190" i="1"/>
  <c r="R4190" i="1"/>
  <c r="Q4191" i="1"/>
  <c r="R4191" i="1"/>
  <c r="Q4192" i="1"/>
  <c r="R4192" i="1"/>
  <c r="Q4186" i="1"/>
  <c r="R4186" i="1"/>
  <c r="Q4185" i="1"/>
  <c r="R4185" i="1"/>
  <c r="Q4184" i="1"/>
  <c r="R4184" i="1"/>
  <c r="Q4183" i="1"/>
  <c r="R4183" i="1"/>
  <c r="Q4182" i="1"/>
  <c r="R4182" i="1"/>
  <c r="Q4180" i="1"/>
  <c r="R4180" i="1"/>
  <c r="Q4181" i="1"/>
  <c r="R4181" i="1"/>
  <c r="O4178" i="1"/>
  <c r="R4178" i="1" s="1"/>
  <c r="Q4177" i="1"/>
  <c r="R4177" i="1"/>
  <c r="Q4178" i="1"/>
  <c r="Q4179" i="1"/>
  <c r="R4179" i="1"/>
  <c r="Q4176" i="1"/>
  <c r="R4176" i="1"/>
  <c r="Q4174" i="1"/>
  <c r="R4174" i="1"/>
  <c r="Q4175" i="1"/>
  <c r="R4175" i="1"/>
  <c r="Q4172" i="1"/>
  <c r="R4172" i="1"/>
  <c r="Q4173" i="1"/>
  <c r="R4173" i="1"/>
  <c r="Q4170" i="1"/>
  <c r="R4170" i="1"/>
  <c r="Q4171" i="1"/>
  <c r="R4171" i="1"/>
  <c r="Q4169" i="1"/>
  <c r="R4169" i="1"/>
  <c r="Q4166" i="1"/>
  <c r="R4166" i="1"/>
  <c r="Q4167" i="1"/>
  <c r="R4167" i="1"/>
  <c r="Q4168" i="1"/>
  <c r="R4168" i="1"/>
  <c r="Q4162" i="1"/>
  <c r="R4162" i="1"/>
  <c r="Q4163" i="1"/>
  <c r="R4163" i="1"/>
  <c r="Q4164" i="1"/>
  <c r="R4164" i="1"/>
  <c r="Q4165" i="1"/>
  <c r="R4165" i="1"/>
  <c r="Q4160" i="1"/>
  <c r="R4160" i="1"/>
  <c r="Q4161" i="1"/>
  <c r="R4161" i="1"/>
  <c r="Q4158" i="1"/>
  <c r="R4158" i="1"/>
  <c r="Q4159" i="1"/>
  <c r="R4159" i="1"/>
  <c r="Q4157" i="1"/>
  <c r="R4157" i="1"/>
  <c r="Q4155" i="1"/>
  <c r="R4155" i="1"/>
  <c r="Q4156" i="1"/>
  <c r="R4156" i="1"/>
  <c r="Q4154" i="1"/>
  <c r="R4154" i="1"/>
  <c r="Q4153" i="1"/>
  <c r="R4153" i="1"/>
  <c r="Q4152" i="1"/>
  <c r="R4152" i="1"/>
  <c r="Q4149" i="1"/>
  <c r="R4149" i="1"/>
  <c r="Q4150" i="1"/>
  <c r="R4150" i="1"/>
  <c r="Q4151" i="1"/>
  <c r="R4151" i="1"/>
  <c r="Q4148" i="1"/>
  <c r="R4148" i="1"/>
  <c r="Q4147" i="1"/>
  <c r="R4147" i="1"/>
  <c r="Q4145" i="1"/>
  <c r="R4145" i="1"/>
  <c r="Q4146" i="1"/>
  <c r="R4146" i="1"/>
  <c r="Q4144" i="1"/>
  <c r="R4144" i="1"/>
  <c r="Q4143" i="1"/>
  <c r="R4143" i="1"/>
  <c r="Q4142" i="1"/>
  <c r="R4142" i="1"/>
  <c r="Q4141" i="1"/>
  <c r="R4141" i="1"/>
  <c r="Q4140" i="1"/>
  <c r="R4140" i="1"/>
  <c r="Q4139" i="1"/>
  <c r="R4139" i="1"/>
  <c r="Q4138" i="1"/>
  <c r="R4138" i="1"/>
  <c r="Q4136" i="1"/>
  <c r="R4136" i="1"/>
  <c r="Q4137" i="1"/>
  <c r="R4137" i="1"/>
  <c r="Q4132" i="1"/>
  <c r="R4132" i="1"/>
  <c r="Q4133" i="1"/>
  <c r="R4133" i="1"/>
  <c r="Q4134" i="1"/>
  <c r="R4134" i="1"/>
  <c r="Q4135" i="1"/>
  <c r="R4135" i="1"/>
  <c r="Q4131" i="1"/>
  <c r="R4131" i="1"/>
  <c r="Q4130" i="1"/>
  <c r="R4130" i="1"/>
  <c r="Q4129" i="1"/>
  <c r="R4129" i="1"/>
  <c r="Q4125" i="1"/>
  <c r="R4125" i="1"/>
  <c r="Q4126" i="1"/>
  <c r="R4126" i="1"/>
  <c r="Q4127" i="1"/>
  <c r="R4127" i="1"/>
  <c r="Q4128" i="1"/>
  <c r="R4128" i="1"/>
  <c r="Q4124" i="1"/>
  <c r="R4124" i="1"/>
  <c r="Q4123" i="1"/>
  <c r="R4123" i="1"/>
  <c r="Q4122" i="1"/>
  <c r="R4122" i="1"/>
  <c r="Q4121" i="1"/>
  <c r="R4121" i="1"/>
  <c r="Q4120" i="1"/>
  <c r="R4120" i="1"/>
  <c r="Q4119" i="1"/>
  <c r="R4119" i="1"/>
  <c r="Q4118" i="1"/>
  <c r="R4118" i="1"/>
  <c r="Q4117" i="1"/>
  <c r="R4117" i="1"/>
  <c r="Q4116" i="1"/>
  <c r="R4116" i="1"/>
  <c r="Q4114" i="1"/>
  <c r="R4114" i="1"/>
  <c r="Q4115" i="1"/>
  <c r="R4115" i="1"/>
  <c r="Q4111" i="1"/>
  <c r="R4111" i="1"/>
  <c r="Q4112" i="1"/>
  <c r="R4112" i="1"/>
  <c r="Q4113" i="1"/>
  <c r="R4113" i="1"/>
  <c r="Q4110" i="1"/>
  <c r="R4110" i="1"/>
  <c r="Q4109" i="1"/>
  <c r="R4109" i="1"/>
  <c r="Q4108" i="1"/>
  <c r="R4108" i="1"/>
  <c r="Q4107" i="1"/>
  <c r="R4107" i="1"/>
  <c r="Q4104" i="1"/>
  <c r="R4104" i="1"/>
  <c r="Q4105" i="1"/>
  <c r="R4105" i="1"/>
  <c r="Q4106" i="1"/>
  <c r="R4106" i="1"/>
  <c r="Q4100" i="1"/>
  <c r="R4100" i="1"/>
  <c r="Q4101" i="1"/>
  <c r="R4101" i="1"/>
  <c r="Q4102" i="1"/>
  <c r="R4102" i="1"/>
  <c r="Q4103" i="1"/>
  <c r="R4103" i="1"/>
  <c r="Q4099" i="1"/>
  <c r="R4099" i="1"/>
  <c r="Q4097" i="1"/>
  <c r="R4097" i="1"/>
  <c r="Q4098" i="1"/>
  <c r="R4098" i="1"/>
  <c r="Q4096" i="1"/>
  <c r="R4096" i="1"/>
  <c r="Q4095" i="1"/>
  <c r="R4095" i="1"/>
  <c r="Q4094" i="1"/>
  <c r="R4094" i="1"/>
  <c r="O4093" i="1"/>
  <c r="Q4093" i="1" s="1"/>
  <c r="Q4091" i="1"/>
  <c r="R4091" i="1"/>
  <c r="Q4092" i="1"/>
  <c r="R4092" i="1"/>
  <c r="Q4090" i="1"/>
  <c r="R4090" i="1"/>
  <c r="Q4089" i="1"/>
  <c r="R4089" i="1"/>
  <c r="Q4086" i="1"/>
  <c r="Q4087" i="1"/>
  <c r="Q4088" i="1"/>
  <c r="R4086" i="1"/>
  <c r="R4087" i="1"/>
  <c r="R4088" i="1"/>
  <c r="Q4082" i="1"/>
  <c r="R4082" i="1"/>
  <c r="Q4083" i="1"/>
  <c r="R4083" i="1"/>
  <c r="Q4084" i="1"/>
  <c r="R4084" i="1"/>
  <c r="Q4085" i="1"/>
  <c r="R4085" i="1"/>
  <c r="Q4081" i="1"/>
  <c r="R4081" i="1"/>
  <c r="Q4080" i="1"/>
  <c r="R4080" i="1"/>
  <c r="Q4079" i="1"/>
  <c r="R4079" i="1"/>
  <c r="R4076" i="1"/>
  <c r="Q4076" i="1"/>
  <c r="Q4077" i="1"/>
  <c r="R4077" i="1"/>
  <c r="Q4078" i="1"/>
  <c r="R4078" i="1"/>
  <c r="Q4074" i="1"/>
  <c r="R4074" i="1"/>
  <c r="Q4075" i="1"/>
  <c r="R4075" i="1"/>
  <c r="Q4073" i="1"/>
  <c r="R4073" i="1"/>
  <c r="O4072" i="1"/>
  <c r="R4072" i="1" s="1"/>
  <c r="Q4071" i="1"/>
  <c r="R4071" i="1"/>
  <c r="Q4072" i="1"/>
  <c r="Q4070" i="1"/>
  <c r="R4070" i="1"/>
  <c r="Q4068" i="1"/>
  <c r="R4068" i="1"/>
  <c r="Q4069" i="1"/>
  <c r="R4069" i="1"/>
  <c r="Q4067" i="1"/>
  <c r="R4067" i="1"/>
  <c r="Q4066" i="1"/>
  <c r="R4066" i="1"/>
  <c r="Q4064" i="1"/>
  <c r="R4064" i="1"/>
  <c r="Q4065" i="1"/>
  <c r="R4065" i="1"/>
  <c r="Q4063" i="1"/>
  <c r="R4063" i="1"/>
  <c r="Q4062" i="1"/>
  <c r="R4062" i="1"/>
  <c r="O4060" i="1"/>
  <c r="Q4060" i="1" s="1"/>
  <c r="Q4061" i="1"/>
  <c r="R4061" i="1"/>
  <c r="Q4059" i="1"/>
  <c r="R4059" i="1"/>
  <c r="Q4058" i="1"/>
  <c r="R4058" i="1"/>
  <c r="Q4057" i="1"/>
  <c r="R4057" i="1"/>
  <c r="Q4054" i="1"/>
  <c r="R4054" i="1"/>
  <c r="Q4055" i="1"/>
  <c r="R4055" i="1"/>
  <c r="Q4056" i="1"/>
  <c r="R4056" i="1"/>
  <c r="Q4052" i="1"/>
  <c r="R4052" i="1"/>
  <c r="Q4053" i="1"/>
  <c r="R4053" i="1"/>
  <c r="Q4051" i="1"/>
  <c r="R4051" i="1"/>
  <c r="Q4050" i="1"/>
  <c r="R4050" i="1"/>
  <c r="Q4049" i="1"/>
  <c r="R4049" i="1"/>
  <c r="Q4048" i="1"/>
  <c r="R4048" i="1"/>
  <c r="Q4046" i="1"/>
  <c r="R4046" i="1"/>
  <c r="Q4047" i="1"/>
  <c r="R4047" i="1"/>
  <c r="Q4045" i="1"/>
  <c r="R4045" i="1"/>
  <c r="Q4042" i="1"/>
  <c r="R4042" i="1"/>
  <c r="Q4043" i="1"/>
  <c r="R4043" i="1"/>
  <c r="Q4044" i="1"/>
  <c r="R4044" i="1"/>
  <c r="Q4040" i="1"/>
  <c r="R4040" i="1"/>
  <c r="Q4041" i="1"/>
  <c r="R4041" i="1"/>
  <c r="Q4039" i="1"/>
  <c r="R4039" i="1"/>
  <c r="Q4038" i="1"/>
  <c r="R4038" i="1"/>
  <c r="Q4037" i="1"/>
  <c r="R4037" i="1"/>
  <c r="Q4036" i="1"/>
  <c r="R4036" i="1"/>
  <c r="Q4035" i="1"/>
  <c r="R4035" i="1"/>
  <c r="Q4034" i="1"/>
  <c r="R4034" i="1"/>
  <c r="Q4032" i="1"/>
  <c r="R4032" i="1"/>
  <c r="Q4033" i="1"/>
  <c r="R4033" i="1"/>
  <c r="Q4031" i="1"/>
  <c r="R4031" i="1"/>
  <c r="Q4030" i="1"/>
  <c r="R4030" i="1"/>
  <c r="Q4027" i="1"/>
  <c r="R4027" i="1"/>
  <c r="Q4028" i="1"/>
  <c r="R4028" i="1"/>
  <c r="Q4029" i="1"/>
  <c r="R4029" i="1"/>
  <c r="Q4025" i="1"/>
  <c r="R4025" i="1"/>
  <c r="Q4026" i="1"/>
  <c r="R4026" i="1"/>
  <c r="Q4024" i="1"/>
  <c r="R4024" i="1"/>
  <c r="Q4023" i="1"/>
  <c r="R4023" i="1"/>
  <c r="Q4019" i="1"/>
  <c r="R4019" i="1"/>
  <c r="Q4020" i="1"/>
  <c r="R4020" i="1"/>
  <c r="Q4021" i="1"/>
  <c r="R4021" i="1"/>
  <c r="Q4022" i="1"/>
  <c r="R4022" i="1"/>
  <c r="Q4015" i="1"/>
  <c r="R4015" i="1"/>
  <c r="Q4016" i="1"/>
  <c r="R4016" i="1"/>
  <c r="Q4017" i="1"/>
  <c r="R4017" i="1"/>
  <c r="Q4018" i="1"/>
  <c r="R4018" i="1"/>
  <c r="Q4010" i="1"/>
  <c r="R4010" i="1"/>
  <c r="Q4011" i="1"/>
  <c r="R4011" i="1"/>
  <c r="Q4012" i="1"/>
  <c r="R4012" i="1"/>
  <c r="Q4013" i="1"/>
  <c r="R4013" i="1"/>
  <c r="Q4014" i="1"/>
  <c r="R4014" i="1"/>
  <c r="P4009" i="1"/>
  <c r="R4009" i="1" s="1"/>
  <c r="Q4008" i="1"/>
  <c r="R4008" i="1"/>
  <c r="Q4009" i="1"/>
  <c r="Q4007" i="1"/>
  <c r="R4007" i="1"/>
  <c r="Q4006" i="1"/>
  <c r="R4006" i="1"/>
  <c r="Q4004" i="1"/>
  <c r="R4004" i="1"/>
  <c r="Q4005" i="1"/>
  <c r="R4005" i="1"/>
  <c r="Q4003" i="1"/>
  <c r="R4003" i="1"/>
  <c r="Q4001" i="1"/>
  <c r="R4001" i="1"/>
  <c r="Q4002" i="1"/>
  <c r="R4002" i="1"/>
  <c r="Q4000" i="1"/>
  <c r="R4000" i="1"/>
  <c r="Q3998" i="1"/>
  <c r="R3998" i="1"/>
  <c r="Q3999" i="1"/>
  <c r="R3999" i="1"/>
  <c r="O3997" i="1"/>
  <c r="Q3996" i="1"/>
  <c r="R3996" i="1"/>
  <c r="Q3993" i="1"/>
  <c r="R3993" i="1"/>
  <c r="Q3994" i="1"/>
  <c r="R3994" i="1"/>
  <c r="Q3995" i="1"/>
  <c r="R3995" i="1"/>
  <c r="Q3992" i="1"/>
  <c r="R3992" i="1"/>
  <c r="Q3990" i="1"/>
  <c r="R3990" i="1"/>
  <c r="Q3991" i="1"/>
  <c r="R3991" i="1"/>
  <c r="U3987" i="1"/>
  <c r="O3986" i="1"/>
  <c r="R3986" i="1" s="1"/>
  <c r="O3981" i="1"/>
  <c r="R3981" i="1" s="1"/>
  <c r="Q3988" i="1"/>
  <c r="R3988" i="1"/>
  <c r="Q3989" i="1"/>
  <c r="R3989" i="1"/>
  <c r="Q3986" i="1"/>
  <c r="Q3987" i="1"/>
  <c r="R3987" i="1"/>
  <c r="Q3985" i="1"/>
  <c r="R3985" i="1"/>
  <c r="Q3983" i="1"/>
  <c r="R3983" i="1"/>
  <c r="Q3984" i="1"/>
  <c r="R3984" i="1"/>
  <c r="Q3982" i="1"/>
  <c r="R3982" i="1"/>
  <c r="Q3977" i="1"/>
  <c r="R3977" i="1"/>
  <c r="Q3978" i="1"/>
  <c r="R3978" i="1"/>
  <c r="Q3979" i="1"/>
  <c r="R3979" i="1"/>
  <c r="Q3980" i="1"/>
  <c r="R3980" i="1"/>
  <c r="Q3976" i="1"/>
  <c r="R3976" i="1"/>
  <c r="O3975" i="1"/>
  <c r="R3975" i="1" s="1"/>
  <c r="Q3971" i="1"/>
  <c r="R3971" i="1"/>
  <c r="Q3972" i="1"/>
  <c r="R3972" i="1"/>
  <c r="Q3973" i="1"/>
  <c r="R3973" i="1"/>
  <c r="Q3974" i="1"/>
  <c r="R3974" i="1"/>
  <c r="Q3975" i="1"/>
  <c r="P3968" i="1"/>
  <c r="R3968" i="1" s="1"/>
  <c r="R3969" i="1"/>
  <c r="R3970" i="1"/>
  <c r="Q3968" i="1"/>
  <c r="Q3969" i="1"/>
  <c r="Q3970" i="1"/>
  <c r="Q3967" i="1"/>
  <c r="R3967" i="1"/>
  <c r="Q3964" i="1"/>
  <c r="R3964" i="1"/>
  <c r="Q3965" i="1"/>
  <c r="R3965" i="1"/>
  <c r="Q3966" i="1"/>
  <c r="R3966" i="1"/>
  <c r="O3962" i="1"/>
  <c r="Q3962" i="1" s="1"/>
  <c r="Q3963" i="1"/>
  <c r="R3963" i="1"/>
  <c r="Q3961" i="1"/>
  <c r="R3961" i="1"/>
  <c r="Q3959" i="1"/>
  <c r="R3959" i="1"/>
  <c r="Q3960" i="1"/>
  <c r="R3960" i="1"/>
  <c r="B24" i="4"/>
  <c r="C24" i="4"/>
  <c r="D24" i="4"/>
  <c r="E24" i="4"/>
  <c r="F24" i="4"/>
  <c r="G24" i="4"/>
  <c r="H24" i="4"/>
  <c r="I24" i="4"/>
  <c r="J24" i="4"/>
  <c r="K24" i="4"/>
  <c r="L24" i="4"/>
  <c r="Q3958" i="1"/>
  <c r="R3958" i="1"/>
  <c r="Q3957" i="1"/>
  <c r="R3957" i="1"/>
  <c r="Q3956" i="1"/>
  <c r="R3956" i="1"/>
  <c r="Q3954" i="1"/>
  <c r="Q3955" i="1"/>
  <c r="R3954" i="1"/>
  <c r="R3955" i="1"/>
  <c r="Q3952" i="1"/>
  <c r="R3952" i="1"/>
  <c r="Q3953" i="1"/>
  <c r="R3953" i="1"/>
  <c r="Q3951" i="1"/>
  <c r="R3951" i="1"/>
  <c r="Q3950" i="1"/>
  <c r="R3950" i="1"/>
  <c r="Q3949" i="1"/>
  <c r="R3949" i="1"/>
  <c r="Q3948" i="1"/>
  <c r="R3948" i="1"/>
  <c r="Q3946" i="1"/>
  <c r="R3946" i="1"/>
  <c r="Q3947" i="1"/>
  <c r="R3947" i="1"/>
  <c r="Q3944" i="1"/>
  <c r="R3944" i="1"/>
  <c r="Q3945" i="1"/>
  <c r="R3945" i="1"/>
  <c r="Q3943" i="1"/>
  <c r="R3943" i="1"/>
  <c r="Q3941" i="1"/>
  <c r="R3941" i="1"/>
  <c r="Q3942" i="1"/>
  <c r="R3942" i="1"/>
  <c r="Q3937" i="1"/>
  <c r="R3937" i="1"/>
  <c r="Q3938" i="1"/>
  <c r="R3938" i="1"/>
  <c r="Q3939" i="1"/>
  <c r="R3939" i="1"/>
  <c r="Q3940" i="1"/>
  <c r="R3940" i="1"/>
  <c r="Q3936" i="1"/>
  <c r="R3936" i="1"/>
  <c r="Q3935" i="1"/>
  <c r="R3935" i="1"/>
  <c r="Q3934" i="1"/>
  <c r="R3934" i="1"/>
  <c r="Q3928" i="1"/>
  <c r="R3928" i="1"/>
  <c r="Q3929" i="1"/>
  <c r="R3929" i="1"/>
  <c r="Q3930" i="1"/>
  <c r="R3930" i="1"/>
  <c r="Q3931" i="1"/>
  <c r="R3931" i="1"/>
  <c r="Q3932" i="1"/>
  <c r="R3932" i="1"/>
  <c r="Q3933" i="1"/>
  <c r="R3933" i="1"/>
  <c r="Q3925" i="1"/>
  <c r="R3925" i="1"/>
  <c r="Q3926" i="1"/>
  <c r="R3926" i="1"/>
  <c r="Q3927" i="1"/>
  <c r="R3927" i="1"/>
  <c r="Q3923" i="1"/>
  <c r="R3923" i="1"/>
  <c r="Q3924" i="1"/>
  <c r="R3924" i="1"/>
  <c r="Q3922" i="1"/>
  <c r="R3922" i="1"/>
  <c r="Q3921" i="1"/>
  <c r="R3921" i="1"/>
  <c r="Q3920" i="1"/>
  <c r="R3920" i="1"/>
  <c r="Q3919" i="1"/>
  <c r="R3919" i="1"/>
  <c r="R3918" i="1"/>
  <c r="Q3918" i="1"/>
  <c r="Q3917" i="1"/>
  <c r="R3917" i="1"/>
  <c r="Q3915" i="1"/>
  <c r="R3915" i="1"/>
  <c r="Q3916" i="1"/>
  <c r="R3916" i="1"/>
  <c r="Q3914" i="1"/>
  <c r="R3914" i="1"/>
  <c r="R3913" i="1"/>
  <c r="Q3913" i="1"/>
  <c r="P3912" i="1"/>
  <c r="R3912" i="1" s="1"/>
  <c r="Q3912" i="1"/>
  <c r="Q3911" i="1"/>
  <c r="R3911" i="1"/>
  <c r="Q3910" i="1"/>
  <c r="R3910" i="1"/>
  <c r="R3908" i="1"/>
  <c r="R3909" i="1"/>
  <c r="Q3908" i="1"/>
  <c r="Q3909" i="1"/>
  <c r="Q3907" i="1"/>
  <c r="R3907" i="1"/>
  <c r="Q3906" i="1"/>
  <c r="R3906" i="1"/>
  <c r="R3905" i="1"/>
  <c r="Q3905" i="1"/>
  <c r="R3904" i="1"/>
  <c r="Q3904" i="1"/>
  <c r="O3903" i="1"/>
  <c r="Q3903" i="1" s="1"/>
  <c r="Q3901" i="1"/>
  <c r="R3901" i="1"/>
  <c r="Q3902" i="1"/>
  <c r="R3902" i="1"/>
  <c r="Q3898" i="1"/>
  <c r="R3898" i="1"/>
  <c r="Q3899" i="1"/>
  <c r="R3899" i="1"/>
  <c r="Q3900" i="1"/>
  <c r="R3900" i="1"/>
  <c r="Q3895" i="1"/>
  <c r="R3895" i="1"/>
  <c r="Q3896" i="1"/>
  <c r="R3896" i="1"/>
  <c r="Q3897" i="1"/>
  <c r="R3897" i="1"/>
  <c r="Q3894" i="1"/>
  <c r="R3894" i="1"/>
  <c r="Q3893" i="1"/>
  <c r="R3893" i="1"/>
  <c r="Q3892" i="1"/>
  <c r="R3892" i="1"/>
  <c r="R3889" i="1"/>
  <c r="R3890" i="1"/>
  <c r="R3891" i="1"/>
  <c r="Q3889" i="1"/>
  <c r="Q3890" i="1"/>
  <c r="Q3891" i="1"/>
  <c r="Q3888" i="1"/>
  <c r="R3888" i="1"/>
  <c r="Q3886" i="1"/>
  <c r="R3886" i="1"/>
  <c r="Q3887" i="1"/>
  <c r="R3887" i="1"/>
  <c r="Q3885" i="1"/>
  <c r="R3885" i="1"/>
  <c r="Q3882" i="1"/>
  <c r="R3882" i="1"/>
  <c r="Q3883" i="1"/>
  <c r="R3883" i="1"/>
  <c r="Q3884" i="1"/>
  <c r="R3884" i="1"/>
  <c r="R3881" i="1"/>
  <c r="Q3881" i="1"/>
  <c r="Q3880" i="1"/>
  <c r="R3880" i="1"/>
  <c r="Q3879" i="1"/>
  <c r="R3879" i="1"/>
  <c r="Q3878" i="1"/>
  <c r="R3878" i="1"/>
  <c r="Q3877" i="1"/>
  <c r="R3877" i="1"/>
  <c r="Q3876" i="1"/>
  <c r="R3876" i="1"/>
  <c r="Q3875" i="1"/>
  <c r="R3875" i="1"/>
  <c r="R3873" i="1"/>
  <c r="Q3873" i="1"/>
  <c r="Q3874" i="1"/>
  <c r="R3874" i="1"/>
  <c r="Q3872" i="1"/>
  <c r="R3872" i="1"/>
  <c r="Q3869" i="1"/>
  <c r="R3869" i="1"/>
  <c r="Q3870" i="1"/>
  <c r="R3870" i="1"/>
  <c r="Q3871" i="1"/>
  <c r="R3871" i="1"/>
  <c r="Q3868" i="1"/>
  <c r="R3868" i="1"/>
  <c r="Q3866" i="1"/>
  <c r="R3866" i="1"/>
  <c r="Q3867" i="1"/>
  <c r="R3867" i="1"/>
  <c r="Q3864" i="1"/>
  <c r="R3864" i="1"/>
  <c r="Q3865" i="1"/>
  <c r="R3865" i="1"/>
  <c r="Q3860" i="1"/>
  <c r="R3860" i="1"/>
  <c r="Q3861" i="1"/>
  <c r="R3861" i="1"/>
  <c r="Q3862" i="1"/>
  <c r="R3862" i="1"/>
  <c r="Q3863" i="1"/>
  <c r="R3863" i="1"/>
  <c r="Q3859" i="1"/>
  <c r="R3859" i="1"/>
  <c r="Q3858" i="1"/>
  <c r="R3858" i="1"/>
  <c r="Q3851" i="1"/>
  <c r="R3851" i="1"/>
  <c r="Q3855" i="1"/>
  <c r="R3855" i="1"/>
  <c r="Q3856" i="1"/>
  <c r="R3856" i="1"/>
  <c r="Q3857" i="1"/>
  <c r="R3857" i="1"/>
  <c r="Q3852" i="1"/>
  <c r="R3852" i="1"/>
  <c r="Q3853" i="1"/>
  <c r="R3853" i="1"/>
  <c r="Q3854" i="1"/>
  <c r="R3854" i="1"/>
  <c r="Q3849" i="1"/>
  <c r="R3849" i="1"/>
  <c r="Q3850" i="1"/>
  <c r="R3850" i="1"/>
  <c r="Q3848" i="1"/>
  <c r="R3848" i="1"/>
  <c r="Q3847" i="1"/>
  <c r="R3847" i="1"/>
  <c r="Q3846" i="1"/>
  <c r="R3846" i="1"/>
  <c r="Q3845" i="1"/>
  <c r="R3845" i="1"/>
  <c r="O3844" i="1"/>
  <c r="Q3844" i="1" s="1"/>
  <c r="Q3843" i="1"/>
  <c r="R3843" i="1"/>
  <c r="Q3842" i="1"/>
  <c r="R3842" i="1"/>
  <c r="B18" i="4"/>
  <c r="C18" i="4"/>
  <c r="D18" i="4"/>
  <c r="E18" i="4"/>
  <c r="F18" i="4"/>
  <c r="G18" i="4"/>
  <c r="H18" i="4"/>
  <c r="I18" i="4"/>
  <c r="J18" i="4"/>
  <c r="K18" i="4"/>
  <c r="L18" i="4"/>
  <c r="Q3841" i="1"/>
  <c r="R3841" i="1"/>
  <c r="Q3840" i="1"/>
  <c r="R3840" i="1"/>
  <c r="Q3839" i="1"/>
  <c r="R3839" i="1"/>
  <c r="Q3838" i="1"/>
  <c r="R3838" i="1"/>
  <c r="Q3837" i="1"/>
  <c r="R3837" i="1"/>
  <c r="O3836" i="1"/>
  <c r="R3836" i="1" s="1"/>
  <c r="Q3835" i="1"/>
  <c r="R3835" i="1"/>
  <c r="R3834" i="1"/>
  <c r="Q3834" i="1"/>
  <c r="Q3833" i="1"/>
  <c r="R3833" i="1"/>
  <c r="Q3832" i="1"/>
  <c r="R3832" i="1"/>
  <c r="Q3831" i="1"/>
  <c r="R3831" i="1"/>
  <c r="Q3827" i="1"/>
  <c r="R3827" i="1"/>
  <c r="Q3828" i="1"/>
  <c r="R3828" i="1"/>
  <c r="Q3829" i="1"/>
  <c r="R3829" i="1"/>
  <c r="Q3830" i="1"/>
  <c r="R3830" i="1"/>
  <c r="Q3821" i="1"/>
  <c r="R3821" i="1"/>
  <c r="Q3822" i="1"/>
  <c r="R3822" i="1"/>
  <c r="Q3823" i="1"/>
  <c r="R3823" i="1"/>
  <c r="Q3824" i="1"/>
  <c r="R3824" i="1"/>
  <c r="Q3825" i="1"/>
  <c r="R3825" i="1"/>
  <c r="Q3826" i="1"/>
  <c r="R3826" i="1"/>
  <c r="Q3820" i="1"/>
  <c r="R3820" i="1"/>
  <c r="Q3819" i="1"/>
  <c r="R3819" i="1"/>
  <c r="Q3818" i="1"/>
  <c r="R3818" i="1"/>
  <c r="Q3817" i="1"/>
  <c r="R3817" i="1"/>
  <c r="Q3816" i="1"/>
  <c r="R3816" i="1"/>
  <c r="Q3815" i="1"/>
  <c r="R3815" i="1"/>
  <c r="Q3814" i="1"/>
  <c r="R3814" i="1"/>
  <c r="Q3813" i="1"/>
  <c r="R3813" i="1"/>
  <c r="Q3812" i="1"/>
  <c r="R3812" i="1"/>
  <c r="Q3811" i="1"/>
  <c r="R3811" i="1"/>
  <c r="Q3810" i="1"/>
  <c r="R3810" i="1"/>
  <c r="Q3809" i="1"/>
  <c r="R3809" i="1"/>
  <c r="Q3808" i="1"/>
  <c r="R3808" i="1"/>
  <c r="Q3807" i="1"/>
  <c r="R3807" i="1"/>
  <c r="Q3806" i="1"/>
  <c r="R3806" i="1"/>
  <c r="Q3805" i="1"/>
  <c r="R3805" i="1"/>
  <c r="Q3804" i="1"/>
  <c r="R3804" i="1"/>
  <c r="Q3803" i="1"/>
  <c r="R3803" i="1"/>
  <c r="Q3802" i="1"/>
  <c r="R3802" i="1"/>
  <c r="Q3801" i="1"/>
  <c r="R3801" i="1"/>
  <c r="Q3800" i="1"/>
  <c r="R3800" i="1"/>
  <c r="Q3799" i="1"/>
  <c r="R3799" i="1"/>
  <c r="Q3798" i="1"/>
  <c r="R3798" i="1"/>
  <c r="Q3797" i="1"/>
  <c r="R3797" i="1"/>
  <c r="Q3795" i="1"/>
  <c r="R3795" i="1"/>
  <c r="Q3796" i="1"/>
  <c r="R3796" i="1"/>
  <c r="Q3793" i="1"/>
  <c r="R3793" i="1"/>
  <c r="Q3794" i="1"/>
  <c r="R3794" i="1"/>
  <c r="Q3791" i="1"/>
  <c r="R3791" i="1"/>
  <c r="Q3792" i="1"/>
  <c r="R3792" i="1"/>
  <c r="Q3789" i="1"/>
  <c r="R3789" i="1"/>
  <c r="Q3790" i="1"/>
  <c r="R3790" i="1"/>
  <c r="Q3788" i="1"/>
  <c r="R3788" i="1"/>
  <c r="Q3786" i="1"/>
  <c r="R3786" i="1"/>
  <c r="Q3787" i="1"/>
  <c r="R3787" i="1"/>
  <c r="Q3784" i="1"/>
  <c r="R3784" i="1"/>
  <c r="Q3785" i="1"/>
  <c r="R3785" i="1"/>
  <c r="Q3783" i="1"/>
  <c r="Q3777" i="1"/>
  <c r="R3777" i="1"/>
  <c r="Q3775" i="1"/>
  <c r="R3775" i="1"/>
  <c r="R3778" i="1"/>
  <c r="R3779" i="1"/>
  <c r="R3780" i="1"/>
  <c r="R3781" i="1"/>
  <c r="R3782" i="1"/>
  <c r="R3783" i="1"/>
  <c r="Q3780" i="1"/>
  <c r="Q3781" i="1"/>
  <c r="Q3782" i="1"/>
  <c r="Q3778" i="1"/>
  <c r="Q3779" i="1"/>
  <c r="Q3776" i="1"/>
  <c r="R3776" i="1"/>
  <c r="O3774" i="1"/>
  <c r="R3774" i="1" s="1"/>
  <c r="R3765" i="1"/>
  <c r="Q3773" i="1"/>
  <c r="R3773" i="1"/>
  <c r="Q3771" i="1"/>
  <c r="R3771" i="1"/>
  <c r="Q3772" i="1"/>
  <c r="R3772" i="1"/>
  <c r="Q3768" i="1"/>
  <c r="R3768" i="1"/>
  <c r="Q3769" i="1"/>
  <c r="R3769" i="1"/>
  <c r="Q3770" i="1"/>
  <c r="R3770" i="1"/>
  <c r="Q3767" i="1"/>
  <c r="R3767" i="1"/>
  <c r="Q3766" i="1"/>
  <c r="R3766" i="1"/>
  <c r="Q3763" i="1"/>
  <c r="R3763" i="1"/>
  <c r="Q3764" i="1"/>
  <c r="R3764" i="1"/>
  <c r="Q3765" i="1"/>
  <c r="Q3762" i="1"/>
  <c r="R3762" i="1"/>
  <c r="Q3760" i="1"/>
  <c r="R3760" i="1"/>
  <c r="Q3761" i="1"/>
  <c r="R3761" i="1"/>
  <c r="B20" i="4"/>
  <c r="C20" i="4"/>
  <c r="D20" i="4"/>
  <c r="E20" i="4"/>
  <c r="F20" i="4"/>
  <c r="G20" i="4"/>
  <c r="H20" i="4"/>
  <c r="I20" i="4"/>
  <c r="J20" i="4"/>
  <c r="K20" i="4"/>
  <c r="L20" i="4"/>
  <c r="B21" i="4"/>
  <c r="C21" i="4"/>
  <c r="D21" i="4"/>
  <c r="E21" i="4"/>
  <c r="F21" i="4"/>
  <c r="G21" i="4"/>
  <c r="H21" i="4"/>
  <c r="I21" i="4"/>
  <c r="J21" i="4"/>
  <c r="K21" i="4"/>
  <c r="L21" i="4"/>
  <c r="B22" i="4"/>
  <c r="C22" i="4"/>
  <c r="D22" i="4"/>
  <c r="E22" i="4"/>
  <c r="F22" i="4"/>
  <c r="G22" i="4"/>
  <c r="H22" i="4"/>
  <c r="I22" i="4"/>
  <c r="J22" i="4"/>
  <c r="K22" i="4"/>
  <c r="L22" i="4"/>
  <c r="B23" i="4"/>
  <c r="C23" i="4"/>
  <c r="D23" i="4"/>
  <c r="E23" i="4"/>
  <c r="F23" i="4"/>
  <c r="G23" i="4"/>
  <c r="H23" i="4"/>
  <c r="I23" i="4"/>
  <c r="J23" i="4"/>
  <c r="K23" i="4"/>
  <c r="L23" i="4"/>
  <c r="Q3759" i="1"/>
  <c r="R3759" i="1"/>
  <c r="Q3758" i="1"/>
  <c r="R3758" i="1"/>
  <c r="Q3756" i="1"/>
  <c r="R3756" i="1"/>
  <c r="Q3757" i="1"/>
  <c r="R3757" i="1"/>
  <c r="Q3755" i="1"/>
  <c r="R3755" i="1"/>
  <c r="Q3754" i="1"/>
  <c r="R3754" i="1"/>
  <c r="Q3753" i="1"/>
  <c r="R3753" i="1"/>
  <c r="Q3752" i="1"/>
  <c r="R3752" i="1"/>
  <c r="Q3751" i="1"/>
  <c r="R3751" i="1"/>
  <c r="Q3748" i="1"/>
  <c r="R3748" i="1"/>
  <c r="Q3749" i="1"/>
  <c r="R3749" i="1"/>
  <c r="Q3750" i="1"/>
  <c r="R3750" i="1"/>
  <c r="Q3747" i="1"/>
  <c r="R3747" i="1"/>
  <c r="Q3746" i="1"/>
  <c r="R3746" i="1"/>
  <c r="Q3745" i="1"/>
  <c r="R3745" i="1"/>
  <c r="R3744" i="1"/>
  <c r="Q3744" i="1"/>
  <c r="O3742" i="1"/>
  <c r="Q3742" i="1" s="1"/>
  <c r="Q3743" i="1"/>
  <c r="R3743" i="1"/>
  <c r="Q3741" i="1"/>
  <c r="R3741" i="1"/>
  <c r="Q3738" i="1"/>
  <c r="R3738" i="1"/>
  <c r="Q3739" i="1"/>
  <c r="R3739" i="1"/>
  <c r="Q3740" i="1"/>
  <c r="R3740" i="1"/>
  <c r="Q3737" i="1"/>
  <c r="R3737" i="1"/>
  <c r="Q3736" i="1"/>
  <c r="R3736" i="1"/>
  <c r="Q3735" i="1"/>
  <c r="R3735" i="1"/>
  <c r="Q3732" i="1"/>
  <c r="R3732" i="1"/>
  <c r="Q3733" i="1"/>
  <c r="R3733" i="1"/>
  <c r="Q3734" i="1"/>
  <c r="R3734" i="1"/>
  <c r="Q3730" i="1"/>
  <c r="R3730" i="1"/>
  <c r="Q3731" i="1"/>
  <c r="R3731" i="1"/>
  <c r="Q3724" i="1"/>
  <c r="R3724" i="1"/>
  <c r="Q3725" i="1"/>
  <c r="R3725" i="1"/>
  <c r="Q3726" i="1"/>
  <c r="R3726" i="1"/>
  <c r="Q3727" i="1"/>
  <c r="R3727" i="1"/>
  <c r="Q3728" i="1"/>
  <c r="R3728" i="1"/>
  <c r="Q3729" i="1"/>
  <c r="R3729" i="1"/>
  <c r="Q3721" i="1"/>
  <c r="R3721" i="1"/>
  <c r="Q3722" i="1"/>
  <c r="R3722" i="1"/>
  <c r="Q3723" i="1"/>
  <c r="R3723" i="1"/>
  <c r="Q3715" i="1"/>
  <c r="R3715" i="1"/>
  <c r="Q3716" i="1"/>
  <c r="R3716" i="1"/>
  <c r="Q3717" i="1"/>
  <c r="R3717" i="1"/>
  <c r="Q3718" i="1"/>
  <c r="R3718" i="1"/>
  <c r="Q3719" i="1"/>
  <c r="R3719" i="1"/>
  <c r="Q3720" i="1"/>
  <c r="R3720" i="1"/>
  <c r="Q3714" i="1"/>
  <c r="R3714" i="1"/>
  <c r="Q3713" i="1"/>
  <c r="R3713" i="1"/>
  <c r="Q3712" i="1"/>
  <c r="R3712" i="1"/>
  <c r="Q3711" i="1"/>
  <c r="R3711" i="1"/>
  <c r="Q3710" i="1"/>
  <c r="R3710" i="1"/>
  <c r="Q3709" i="1"/>
  <c r="R3709" i="1"/>
  <c r="Q3708" i="1"/>
  <c r="R3708" i="1"/>
  <c r="Q3707" i="1"/>
  <c r="R3707" i="1"/>
  <c r="Q3706" i="1"/>
  <c r="R3706" i="1"/>
  <c r="Q3704" i="1"/>
  <c r="R3704" i="1"/>
  <c r="Q3705" i="1"/>
  <c r="R3705" i="1"/>
  <c r="Q3703" i="1"/>
  <c r="R3703" i="1"/>
  <c r="Q3702" i="1"/>
  <c r="R3702" i="1"/>
  <c r="Q3700" i="1"/>
  <c r="R3700" i="1"/>
  <c r="Q3701" i="1"/>
  <c r="R3701" i="1"/>
  <c r="Q3699" i="1"/>
  <c r="R3699" i="1"/>
  <c r="Q3698" i="1"/>
  <c r="R3698" i="1"/>
  <c r="Q3695" i="1"/>
  <c r="R3695" i="1"/>
  <c r="Q3696" i="1"/>
  <c r="R3696" i="1"/>
  <c r="Q3697" i="1"/>
  <c r="R3697" i="1"/>
  <c r="O3692" i="1"/>
  <c r="Q3692" i="1" s="1"/>
  <c r="Q3688" i="1"/>
  <c r="R3688" i="1"/>
  <c r="Q3689" i="1"/>
  <c r="R3689" i="1"/>
  <c r="Q3690" i="1"/>
  <c r="R3690" i="1"/>
  <c r="Q3691" i="1"/>
  <c r="R3691" i="1"/>
  <c r="R3692" i="1"/>
  <c r="Q3693" i="1"/>
  <c r="R3693" i="1"/>
  <c r="Q3694" i="1"/>
  <c r="R3694" i="1"/>
  <c r="Q3685" i="1"/>
  <c r="R3685" i="1"/>
  <c r="Q3686" i="1"/>
  <c r="R3686" i="1"/>
  <c r="Q3687" i="1"/>
  <c r="R3687" i="1"/>
  <c r="Q3672" i="1"/>
  <c r="R3672" i="1"/>
  <c r="Q3673" i="1"/>
  <c r="R3673" i="1"/>
  <c r="Q3674" i="1"/>
  <c r="R3674" i="1"/>
  <c r="Q3675" i="1"/>
  <c r="R3675" i="1"/>
  <c r="Q3676" i="1"/>
  <c r="R3676" i="1"/>
  <c r="Q3677" i="1"/>
  <c r="R3677" i="1"/>
  <c r="Q3678" i="1"/>
  <c r="R3678" i="1"/>
  <c r="Q3679" i="1"/>
  <c r="R3679" i="1"/>
  <c r="Q3680" i="1"/>
  <c r="R3680" i="1"/>
  <c r="Q3681" i="1"/>
  <c r="R3681" i="1"/>
  <c r="Q3682" i="1"/>
  <c r="R3682" i="1"/>
  <c r="Q3683" i="1"/>
  <c r="R3683" i="1"/>
  <c r="Q3684" i="1"/>
  <c r="R3684" i="1"/>
  <c r="Q3669" i="1"/>
  <c r="R3669" i="1"/>
  <c r="Q3670" i="1"/>
  <c r="R3670" i="1"/>
  <c r="Q3671" i="1"/>
  <c r="R3671" i="1"/>
  <c r="Q3668" i="1"/>
  <c r="R3668" i="1"/>
  <c r="Q3667" i="1"/>
  <c r="R3667" i="1"/>
  <c r="Q3664" i="1"/>
  <c r="R3664" i="1"/>
  <c r="Q3665" i="1"/>
  <c r="R3665" i="1"/>
  <c r="Q3666" i="1"/>
  <c r="R3666" i="1"/>
  <c r="Q3662" i="1"/>
  <c r="R3662" i="1"/>
  <c r="Q3663" i="1"/>
  <c r="R3663" i="1"/>
  <c r="Q3661" i="1"/>
  <c r="R3661" i="1"/>
  <c r="Q3659" i="1"/>
  <c r="R3659" i="1"/>
  <c r="Q3660" i="1"/>
  <c r="R3660" i="1"/>
  <c r="Q3658" i="1"/>
  <c r="R3658" i="1"/>
  <c r="Q3656" i="1"/>
  <c r="R3656" i="1"/>
  <c r="Q3657" i="1"/>
  <c r="R3657" i="1"/>
  <c r="O3655" i="1"/>
  <c r="Q3655" i="1" s="1"/>
  <c r="Q3653" i="1"/>
  <c r="R3653" i="1"/>
  <c r="Q3654" i="1"/>
  <c r="R3654" i="1"/>
  <c r="Q3651" i="1"/>
  <c r="R3651" i="1"/>
  <c r="Q3652" i="1"/>
  <c r="R3652" i="1"/>
  <c r="Q3649" i="1"/>
  <c r="R3649" i="1"/>
  <c r="Q3650" i="1"/>
  <c r="R3650" i="1"/>
  <c r="Q3647" i="1"/>
  <c r="R3647" i="1"/>
  <c r="Q3648" i="1"/>
  <c r="R3648" i="1"/>
  <c r="O3646" i="1"/>
  <c r="Q3645" i="1"/>
  <c r="R3645" i="1"/>
  <c r="Q3643" i="1"/>
  <c r="R3643" i="1"/>
  <c r="Q3644" i="1"/>
  <c r="R3644" i="1"/>
  <c r="Q3640" i="1"/>
  <c r="R3640" i="1"/>
  <c r="Q3641" i="1"/>
  <c r="R3641" i="1"/>
  <c r="Q3642" i="1"/>
  <c r="R3642" i="1"/>
  <c r="Q3638" i="1"/>
  <c r="R3638" i="1"/>
  <c r="Q3639" i="1"/>
  <c r="R3639" i="1"/>
  <c r="Q3637" i="1"/>
  <c r="R3637" i="1"/>
  <c r="Q3636" i="1"/>
  <c r="R3636" i="1"/>
  <c r="Q3635" i="1"/>
  <c r="R3635" i="1"/>
  <c r="Q3634" i="1"/>
  <c r="R3634" i="1"/>
  <c r="Q3633" i="1"/>
  <c r="R3633" i="1"/>
  <c r="Q3632" i="1"/>
  <c r="R3632" i="1"/>
  <c r="Q3630" i="1"/>
  <c r="R3630" i="1"/>
  <c r="Q3631" i="1"/>
  <c r="R3631" i="1"/>
  <c r="Q3629" i="1"/>
  <c r="R3629" i="1"/>
  <c r="Q3626" i="1"/>
  <c r="R3626" i="1"/>
  <c r="Q3627" i="1"/>
  <c r="R3627" i="1"/>
  <c r="Q3628" i="1"/>
  <c r="R3628" i="1"/>
  <c r="Q3622" i="1"/>
  <c r="R3622" i="1"/>
  <c r="Q3623" i="1"/>
  <c r="R3623" i="1"/>
  <c r="Q3624" i="1"/>
  <c r="R3624" i="1"/>
  <c r="Q3625" i="1"/>
  <c r="R3625" i="1"/>
  <c r="Q3619" i="1"/>
  <c r="R3619" i="1"/>
  <c r="Q3620" i="1"/>
  <c r="R3620" i="1"/>
  <c r="Q3621" i="1"/>
  <c r="R3621" i="1"/>
  <c r="Q3618" i="1"/>
  <c r="R3618" i="1"/>
  <c r="Q3614" i="1"/>
  <c r="R3614" i="1"/>
  <c r="Q3615" i="1"/>
  <c r="R3615" i="1"/>
  <c r="Q3616" i="1"/>
  <c r="R3616" i="1"/>
  <c r="Q3617" i="1"/>
  <c r="R3617" i="1"/>
  <c r="Q3611" i="1"/>
  <c r="R3611" i="1"/>
  <c r="Q3612" i="1"/>
  <c r="R3612" i="1"/>
  <c r="Q3613" i="1"/>
  <c r="R3613" i="1"/>
  <c r="Q3610" i="1"/>
  <c r="R3610" i="1"/>
  <c r="Q3609" i="1"/>
  <c r="R3609" i="1"/>
  <c r="Q3607" i="1"/>
  <c r="R3607" i="1"/>
  <c r="Q3608" i="1"/>
  <c r="R3608" i="1"/>
  <c r="Q3605" i="1"/>
  <c r="R3605" i="1"/>
  <c r="Q3606" i="1"/>
  <c r="R3606" i="1"/>
  <c r="Q3602" i="1"/>
  <c r="R3602" i="1"/>
  <c r="Q3603" i="1"/>
  <c r="R3603" i="1"/>
  <c r="Q3604" i="1"/>
  <c r="R3604" i="1"/>
  <c r="R3601" i="1"/>
  <c r="Q3601" i="1"/>
  <c r="Q3600" i="1"/>
  <c r="R3600" i="1"/>
  <c r="Q3598" i="1"/>
  <c r="R3598" i="1"/>
  <c r="Q3599" i="1"/>
  <c r="R3599" i="1"/>
  <c r="Q3596" i="1"/>
  <c r="R3596" i="1"/>
  <c r="Q3597" i="1"/>
  <c r="R3597" i="1"/>
  <c r="O3594" i="1"/>
  <c r="Q3594" i="1" s="1"/>
  <c r="Q3593" i="1"/>
  <c r="R3593" i="1"/>
  <c r="Q3595" i="1"/>
  <c r="R3595" i="1"/>
  <c r="Q3592" i="1"/>
  <c r="R3592" i="1"/>
  <c r="Q3590" i="1"/>
  <c r="R3590" i="1"/>
  <c r="Q3591" i="1"/>
  <c r="R3591" i="1"/>
  <c r="Q3588" i="1"/>
  <c r="R3588" i="1"/>
  <c r="Q3589" i="1"/>
  <c r="R3589" i="1"/>
  <c r="O3583" i="1"/>
  <c r="R3583" i="1" s="1"/>
  <c r="P3526" i="1"/>
  <c r="R3526" i="1" s="1"/>
  <c r="Q3584" i="1"/>
  <c r="R3584" i="1"/>
  <c r="Q3585" i="1"/>
  <c r="R3585" i="1"/>
  <c r="Q3586" i="1"/>
  <c r="R3586" i="1"/>
  <c r="Q3587" i="1"/>
  <c r="R3587" i="1"/>
  <c r="Q3579" i="1"/>
  <c r="R3579" i="1"/>
  <c r="Q3580" i="1"/>
  <c r="R3580" i="1"/>
  <c r="Q3581" i="1"/>
  <c r="R3581" i="1"/>
  <c r="Q3582" i="1"/>
  <c r="R3582" i="1"/>
  <c r="Q3576" i="1"/>
  <c r="R3576" i="1"/>
  <c r="Q3577" i="1"/>
  <c r="R3577" i="1"/>
  <c r="Q3578" i="1"/>
  <c r="R3578" i="1"/>
  <c r="Q3571" i="1"/>
  <c r="R3571" i="1"/>
  <c r="Q3572" i="1"/>
  <c r="R3572" i="1"/>
  <c r="Q3573" i="1"/>
  <c r="R3573" i="1"/>
  <c r="Q3574" i="1"/>
  <c r="R3574" i="1"/>
  <c r="Q3575" i="1"/>
  <c r="R3575" i="1"/>
  <c r="Q3570" i="1"/>
  <c r="R3570" i="1"/>
  <c r="O3569" i="1"/>
  <c r="R3569" i="1" s="1"/>
  <c r="Q3561" i="1"/>
  <c r="R3561" i="1"/>
  <c r="Q3562" i="1"/>
  <c r="R3562" i="1"/>
  <c r="Q3563" i="1"/>
  <c r="R3563" i="1"/>
  <c r="Q3564" i="1"/>
  <c r="R3564" i="1"/>
  <c r="Q3565" i="1"/>
  <c r="R3565" i="1"/>
  <c r="Q3566" i="1"/>
  <c r="R3566" i="1"/>
  <c r="Q3567" i="1"/>
  <c r="R3567" i="1"/>
  <c r="Q3568" i="1"/>
  <c r="R3568" i="1"/>
  <c r="O3560" i="1"/>
  <c r="Q3560" i="1" s="1"/>
  <c r="O3559" i="1"/>
  <c r="Q3559" i="1" s="1"/>
  <c r="O3556" i="1"/>
  <c r="R3556" i="1" s="1"/>
  <c r="R3527" i="1"/>
  <c r="Q3527" i="1"/>
  <c r="Q3555" i="1"/>
  <c r="R3555" i="1"/>
  <c r="Q3557" i="1"/>
  <c r="R3557" i="1"/>
  <c r="Q3558" i="1"/>
  <c r="R3558" i="1"/>
  <c r="O3539" i="1"/>
  <c r="Q3539" i="1" s="1"/>
  <c r="O3511" i="1"/>
  <c r="Q3511" i="1" s="1"/>
  <c r="Q3550" i="1"/>
  <c r="R3550" i="1"/>
  <c r="Q3551" i="1"/>
  <c r="R3551" i="1"/>
  <c r="Q3552" i="1"/>
  <c r="R3552" i="1"/>
  <c r="Q3553" i="1"/>
  <c r="R3553" i="1"/>
  <c r="Q3554" i="1"/>
  <c r="R3554" i="1"/>
  <c r="Q3510" i="1"/>
  <c r="R3510" i="1"/>
  <c r="Q3512" i="1"/>
  <c r="R3512" i="1"/>
  <c r="Q3513" i="1"/>
  <c r="R3513" i="1"/>
  <c r="Q3514" i="1"/>
  <c r="R3514" i="1"/>
  <c r="Q3515" i="1"/>
  <c r="R3515" i="1"/>
  <c r="Q3516" i="1"/>
  <c r="R3516" i="1"/>
  <c r="Q3517" i="1"/>
  <c r="R3517" i="1"/>
  <c r="Q3518" i="1"/>
  <c r="R3518" i="1"/>
  <c r="Q3519" i="1"/>
  <c r="R3519" i="1"/>
  <c r="Q3520" i="1"/>
  <c r="R3520" i="1"/>
  <c r="Q3521" i="1"/>
  <c r="R3521" i="1"/>
  <c r="Q3522" i="1"/>
  <c r="R3522" i="1"/>
  <c r="Q3523" i="1"/>
  <c r="R3523" i="1"/>
  <c r="Q3524" i="1"/>
  <c r="R3524" i="1"/>
  <c r="Q3525" i="1"/>
  <c r="R3525" i="1"/>
  <c r="Q3526" i="1"/>
  <c r="Q3528" i="1"/>
  <c r="R3528" i="1"/>
  <c r="Q3529" i="1"/>
  <c r="R3529" i="1"/>
  <c r="Q3530" i="1"/>
  <c r="R3530" i="1"/>
  <c r="Q3531" i="1"/>
  <c r="R3531" i="1"/>
  <c r="Q3532" i="1"/>
  <c r="R3532" i="1"/>
  <c r="Q3533" i="1"/>
  <c r="R3533" i="1"/>
  <c r="Q3534" i="1"/>
  <c r="R3534" i="1"/>
  <c r="Q3535" i="1"/>
  <c r="R3535" i="1"/>
  <c r="Q3536" i="1"/>
  <c r="R3536" i="1"/>
  <c r="Q3537" i="1"/>
  <c r="R3537" i="1"/>
  <c r="Q3538" i="1"/>
  <c r="R3538" i="1"/>
  <c r="Q3540" i="1"/>
  <c r="R3540" i="1"/>
  <c r="Q3541" i="1"/>
  <c r="R3541" i="1"/>
  <c r="Q3542" i="1"/>
  <c r="R3542" i="1"/>
  <c r="Q3543" i="1"/>
  <c r="R3543" i="1"/>
  <c r="Q3544" i="1"/>
  <c r="R3544" i="1"/>
  <c r="Q3545" i="1"/>
  <c r="R3545" i="1"/>
  <c r="Q3546" i="1"/>
  <c r="R3546" i="1"/>
  <c r="Q3547" i="1"/>
  <c r="R3547" i="1"/>
  <c r="Q3548" i="1"/>
  <c r="R3548" i="1"/>
  <c r="Q3549" i="1"/>
  <c r="R3549" i="1"/>
  <c r="Q3509" i="1"/>
  <c r="R3509" i="1"/>
  <c r="Q3508" i="1"/>
  <c r="R3508" i="1"/>
  <c r="Q3507" i="1"/>
  <c r="R3507" i="1"/>
  <c r="Q3505" i="1"/>
  <c r="R3505" i="1"/>
  <c r="Q3506" i="1"/>
  <c r="R3506" i="1"/>
  <c r="Q3502" i="1"/>
  <c r="Q3504" i="1"/>
  <c r="R3504" i="1"/>
  <c r="Q3503" i="1"/>
  <c r="R3503" i="1"/>
  <c r="Q3501" i="1"/>
  <c r="R3501" i="1"/>
  <c r="R3502" i="1"/>
  <c r="Q3495" i="1"/>
  <c r="R3495" i="1"/>
  <c r="Q3496" i="1"/>
  <c r="R3496" i="1"/>
  <c r="Q3497" i="1"/>
  <c r="R3497" i="1"/>
  <c r="Q3498" i="1"/>
  <c r="R3498" i="1"/>
  <c r="Q3499" i="1"/>
  <c r="R3499" i="1"/>
  <c r="Q3500" i="1"/>
  <c r="R3500" i="1"/>
  <c r="O3493" i="1"/>
  <c r="R3493" i="1" s="1"/>
  <c r="Q3492" i="1"/>
  <c r="R3492" i="1"/>
  <c r="Q3493" i="1"/>
  <c r="Q3494" i="1"/>
  <c r="R3494" i="1"/>
  <c r="O3490" i="1"/>
  <c r="Q3490" i="1" s="1"/>
  <c r="Q3491" i="1"/>
  <c r="R3491" i="1"/>
  <c r="R3486" i="1"/>
  <c r="R3487" i="1"/>
  <c r="R3488" i="1"/>
  <c r="R3489" i="1"/>
  <c r="Q3487" i="1"/>
  <c r="Q3488" i="1"/>
  <c r="Q3489" i="1"/>
  <c r="Q3486" i="1"/>
  <c r="C4" i="4"/>
  <c r="B4" i="4"/>
  <c r="D4" i="4"/>
  <c r="E4" i="4"/>
  <c r="F4" i="4"/>
  <c r="G4" i="4"/>
  <c r="H4" i="4"/>
  <c r="I4" i="4"/>
  <c r="J4" i="4"/>
  <c r="K4" i="4"/>
  <c r="L4" i="4"/>
  <c r="Q3485" i="1"/>
  <c r="R3485" i="1"/>
  <c r="Q3484" i="1"/>
  <c r="R3484" i="1"/>
  <c r="Q3478" i="1"/>
  <c r="R3478" i="1"/>
  <c r="Q3479" i="1"/>
  <c r="R3479" i="1"/>
  <c r="Q3480" i="1"/>
  <c r="R3480" i="1"/>
  <c r="Q3481" i="1"/>
  <c r="R3481" i="1"/>
  <c r="Q3482" i="1"/>
  <c r="R3482" i="1"/>
  <c r="Q3483" i="1"/>
  <c r="R3483" i="1"/>
  <c r="Q3477" i="1"/>
  <c r="R3477" i="1"/>
  <c r="R3476" i="1"/>
  <c r="Q3476" i="1"/>
  <c r="Q3475" i="1"/>
  <c r="R3475" i="1"/>
  <c r="Q3474" i="1"/>
  <c r="R3474" i="1"/>
  <c r="Q3472" i="1"/>
  <c r="R3472" i="1"/>
  <c r="Q3473" i="1"/>
  <c r="R3473" i="1"/>
  <c r="Q3471" i="1"/>
  <c r="R3471" i="1"/>
  <c r="Q3470" i="1"/>
  <c r="R3470" i="1"/>
  <c r="Q3469" i="1"/>
  <c r="R3469" i="1"/>
  <c r="Q3468" i="1"/>
  <c r="R3468" i="1"/>
  <c r="Q3464" i="1"/>
  <c r="R3464" i="1"/>
  <c r="Q3465" i="1"/>
  <c r="R3465" i="1"/>
  <c r="Q3466" i="1"/>
  <c r="R3466" i="1"/>
  <c r="Q3467" i="1"/>
  <c r="R3467" i="1"/>
  <c r="Q3463" i="1"/>
  <c r="R3463" i="1"/>
  <c r="Q3462" i="1"/>
  <c r="R3462" i="1"/>
  <c r="Q3461" i="1"/>
  <c r="R3461" i="1"/>
  <c r="Q3459" i="1"/>
  <c r="R3459" i="1"/>
  <c r="Q3460" i="1"/>
  <c r="R3460" i="1"/>
  <c r="Q3457" i="1"/>
  <c r="R3457" i="1"/>
  <c r="Q3458" i="1"/>
  <c r="R3458" i="1"/>
  <c r="Q3456" i="1"/>
  <c r="R3456" i="1"/>
  <c r="Q3454" i="1"/>
  <c r="R3454" i="1"/>
  <c r="Q3455" i="1"/>
  <c r="R3455" i="1"/>
  <c r="Q3453" i="1"/>
  <c r="R3453" i="1"/>
  <c r="O3451" i="1"/>
  <c r="Q3451" i="1" s="1"/>
  <c r="Q3452" i="1"/>
  <c r="R3452" i="1"/>
  <c r="R3449" i="1"/>
  <c r="Q3450" i="1"/>
  <c r="R3450" i="1"/>
  <c r="Q3449" i="1"/>
  <c r="Q3447" i="1"/>
  <c r="R3447" i="1"/>
  <c r="Q3448" i="1"/>
  <c r="R3448" i="1"/>
  <c r="O3446" i="1"/>
  <c r="Q3446" i="1" s="1"/>
  <c r="Q3443" i="1"/>
  <c r="R3443" i="1"/>
  <c r="Q3444" i="1"/>
  <c r="R3444" i="1"/>
  <c r="Q3445" i="1"/>
  <c r="R3445" i="1"/>
  <c r="Q3441" i="1"/>
  <c r="R3441" i="1"/>
  <c r="Q3442" i="1"/>
  <c r="R3442" i="1"/>
  <c r="O3439" i="1"/>
  <c r="Q3439" i="1" s="1"/>
  <c r="Q3440" i="1"/>
  <c r="R3440" i="1"/>
  <c r="Q3437" i="1"/>
  <c r="R3437" i="1"/>
  <c r="Q3438" i="1"/>
  <c r="R3438" i="1"/>
  <c r="Q3435" i="1"/>
  <c r="R3435" i="1"/>
  <c r="Q3436" i="1"/>
  <c r="R3436" i="1"/>
  <c r="Q3434" i="1"/>
  <c r="R3434" i="1"/>
  <c r="Q3433" i="1"/>
  <c r="R3433" i="1"/>
  <c r="Q3432" i="1"/>
  <c r="R3432" i="1"/>
  <c r="Q3431" i="1"/>
  <c r="R3431" i="1"/>
  <c r="Q3430" i="1"/>
  <c r="R3430" i="1"/>
  <c r="Q3429" i="1"/>
  <c r="R3429" i="1"/>
  <c r="Q3427" i="1"/>
  <c r="R3427" i="1"/>
  <c r="Q3428" i="1"/>
  <c r="R3428" i="1"/>
  <c r="Q3426" i="1"/>
  <c r="R3426" i="1"/>
  <c r="Q3423" i="1"/>
  <c r="R3423" i="1"/>
  <c r="Q3424" i="1"/>
  <c r="R3424" i="1"/>
  <c r="Q3425" i="1"/>
  <c r="R3425" i="1"/>
  <c r="Q3421" i="1"/>
  <c r="R3421" i="1"/>
  <c r="Q3422" i="1"/>
  <c r="R3422" i="1"/>
  <c r="Q3420" i="1"/>
  <c r="R3420" i="1"/>
  <c r="Q3419" i="1"/>
  <c r="R3419" i="1"/>
  <c r="Q3414" i="1"/>
  <c r="R3414" i="1"/>
  <c r="Q3410" i="1"/>
  <c r="R3410" i="1"/>
  <c r="Q3411" i="1"/>
  <c r="R3411" i="1"/>
  <c r="Q3412" i="1"/>
  <c r="R3412" i="1"/>
  <c r="Q3413" i="1"/>
  <c r="R3413" i="1"/>
  <c r="Q3415" i="1"/>
  <c r="R3415" i="1"/>
  <c r="Q3416" i="1"/>
  <c r="R3416" i="1"/>
  <c r="Q3417" i="1"/>
  <c r="R3417" i="1"/>
  <c r="Q3418" i="1"/>
  <c r="R3418" i="1"/>
  <c r="Q3409" i="1"/>
  <c r="R3409" i="1"/>
  <c r="Q3408" i="1"/>
  <c r="R3408" i="1"/>
  <c r="Q3407" i="1"/>
  <c r="R3407" i="1"/>
  <c r="Q3405" i="1"/>
  <c r="R3405" i="1"/>
  <c r="Q3406" i="1"/>
  <c r="R3406" i="1"/>
  <c r="Q3404" i="1"/>
  <c r="R3404" i="1"/>
  <c r="Q3403" i="1"/>
  <c r="R3403" i="1"/>
  <c r="Q3399" i="1"/>
  <c r="R3399" i="1"/>
  <c r="Q3400" i="1"/>
  <c r="R3400" i="1"/>
  <c r="Q3402" i="1"/>
  <c r="R3402" i="1"/>
  <c r="Q3398" i="1"/>
  <c r="R3398" i="1"/>
  <c r="Q3397" i="1"/>
  <c r="R3397" i="1"/>
  <c r="Q3395" i="1"/>
  <c r="R3395" i="1"/>
  <c r="Q3396" i="1"/>
  <c r="R3396" i="1"/>
  <c r="Q3394" i="1"/>
  <c r="R3394" i="1"/>
  <c r="Q3392" i="1"/>
  <c r="R3392" i="1"/>
  <c r="Q3393" i="1"/>
  <c r="R3393" i="1"/>
  <c r="Q3388" i="1"/>
  <c r="R3388" i="1"/>
  <c r="Q3389" i="1"/>
  <c r="R3389" i="1"/>
  <c r="Q3390" i="1"/>
  <c r="R3390" i="1"/>
  <c r="Q3391" i="1"/>
  <c r="R3391" i="1"/>
  <c r="R3385" i="1"/>
  <c r="Q3385" i="1"/>
  <c r="P3386" i="1"/>
  <c r="R3386" i="1" s="1"/>
  <c r="R3380" i="1"/>
  <c r="Q3380" i="1"/>
  <c r="Q3378" i="1"/>
  <c r="R3378" i="1"/>
  <c r="Q3379" i="1"/>
  <c r="R3379" i="1"/>
  <c r="Q3381" i="1"/>
  <c r="R3381" i="1"/>
  <c r="Q3382" i="1"/>
  <c r="R3382" i="1"/>
  <c r="Q3383" i="1"/>
  <c r="R3383" i="1"/>
  <c r="Q3384" i="1"/>
  <c r="R3384" i="1"/>
  <c r="Q3386" i="1"/>
  <c r="Q3387" i="1"/>
  <c r="R3387" i="1"/>
  <c r="Q3377" i="1"/>
  <c r="R3377" i="1"/>
  <c r="Q3374" i="1"/>
  <c r="R3374" i="1"/>
  <c r="Q3375" i="1"/>
  <c r="R3375" i="1"/>
  <c r="Q3376" i="1"/>
  <c r="R3376" i="1"/>
  <c r="Q3373" i="1"/>
  <c r="R3373" i="1"/>
  <c r="Q3372" i="1"/>
  <c r="R3372" i="1"/>
  <c r="Q3371" i="1"/>
  <c r="R3371" i="1"/>
  <c r="Q3370" i="1"/>
  <c r="R3370" i="1"/>
  <c r="Q3369" i="1"/>
  <c r="R3369" i="1"/>
  <c r="Q3368" i="1"/>
  <c r="R3368" i="1"/>
  <c r="O3365" i="1"/>
  <c r="R3365" i="1" s="1"/>
  <c r="Q3366" i="1"/>
  <c r="R3366" i="1"/>
  <c r="Q3367" i="1"/>
  <c r="R3367" i="1"/>
  <c r="Q3362" i="1"/>
  <c r="R3362" i="1"/>
  <c r="Q3363" i="1"/>
  <c r="R3363" i="1"/>
  <c r="Q3364" i="1"/>
  <c r="R3364" i="1"/>
  <c r="Q3361" i="1"/>
  <c r="R3361" i="1"/>
  <c r="O3358" i="1"/>
  <c r="Q3358" i="1" s="1"/>
  <c r="Q3359" i="1"/>
  <c r="R3359" i="1"/>
  <c r="Q3360" i="1"/>
  <c r="R3360" i="1"/>
  <c r="Q3356" i="1"/>
  <c r="R3356" i="1"/>
  <c r="Q3357" i="1"/>
  <c r="R3357" i="1"/>
  <c r="Q3354" i="1"/>
  <c r="R3354" i="1"/>
  <c r="Q3355" i="1"/>
  <c r="R3355" i="1"/>
  <c r="O3351" i="1"/>
  <c r="R3351" i="1" s="1"/>
  <c r="Q3350" i="1"/>
  <c r="R3350" i="1"/>
  <c r="Q3352" i="1"/>
  <c r="R3352" i="1"/>
  <c r="Q3353" i="1"/>
  <c r="R3353" i="1"/>
  <c r="O3349" i="1"/>
  <c r="Q3349" i="1" s="1"/>
  <c r="Q3347" i="1"/>
  <c r="R3347" i="1"/>
  <c r="Q3348" i="1"/>
  <c r="R3348" i="1"/>
  <c r="Q3342" i="1"/>
  <c r="R3342" i="1"/>
  <c r="Q3343" i="1"/>
  <c r="R3343" i="1"/>
  <c r="Q3344" i="1"/>
  <c r="R3344" i="1"/>
  <c r="Q3345" i="1"/>
  <c r="R3345" i="1"/>
  <c r="Q3346" i="1"/>
  <c r="R3346" i="1"/>
  <c r="Q3341" i="1"/>
  <c r="R3341" i="1"/>
  <c r="Q3340" i="1"/>
  <c r="R3340" i="1"/>
  <c r="O3332" i="1"/>
  <c r="Q3332" i="1" s="1"/>
  <c r="O3330" i="1"/>
  <c r="Q3330" i="1" s="1"/>
  <c r="P3305" i="1"/>
  <c r="R3305" i="1" s="1"/>
  <c r="Q3331" i="1"/>
  <c r="R3331" i="1"/>
  <c r="Q3333" i="1"/>
  <c r="R3333" i="1"/>
  <c r="Q3334" i="1"/>
  <c r="R3334" i="1"/>
  <c r="Q3335" i="1"/>
  <c r="R3335" i="1"/>
  <c r="Q3336" i="1"/>
  <c r="R3336" i="1"/>
  <c r="Q3337" i="1"/>
  <c r="R3337" i="1"/>
  <c r="Q3338" i="1"/>
  <c r="R3338" i="1"/>
  <c r="Q3339" i="1"/>
  <c r="R3339" i="1"/>
  <c r="O3326" i="1"/>
  <c r="R3326" i="1" s="1"/>
  <c r="O3322" i="1"/>
  <c r="R3322" i="1" s="1"/>
  <c r="Q3328" i="1"/>
  <c r="R3328" i="1"/>
  <c r="Q3329" i="1"/>
  <c r="R3329" i="1"/>
  <c r="O3317" i="1"/>
  <c r="R3317" i="1" s="1"/>
  <c r="Q3305" i="1"/>
  <c r="Q3306" i="1"/>
  <c r="R3306" i="1"/>
  <c r="Q3307" i="1"/>
  <c r="R3307" i="1"/>
  <c r="Q3308" i="1"/>
  <c r="R3308" i="1"/>
  <c r="Q3309" i="1"/>
  <c r="R3309" i="1"/>
  <c r="Q3310" i="1"/>
  <c r="R3310" i="1"/>
  <c r="Q3311" i="1"/>
  <c r="R3311" i="1"/>
  <c r="Q3312" i="1"/>
  <c r="R3312" i="1"/>
  <c r="Q3313" i="1"/>
  <c r="R3313" i="1"/>
  <c r="Q3314" i="1"/>
  <c r="R3314" i="1"/>
  <c r="Q3315" i="1"/>
  <c r="R3315" i="1"/>
  <c r="Q3316" i="1"/>
  <c r="R3316" i="1"/>
  <c r="Q3318" i="1"/>
  <c r="R3318" i="1"/>
  <c r="Q3319" i="1"/>
  <c r="R3319" i="1"/>
  <c r="Q3320" i="1"/>
  <c r="R3320" i="1"/>
  <c r="Q3321" i="1"/>
  <c r="R3321" i="1"/>
  <c r="Q3323" i="1"/>
  <c r="R3323" i="1"/>
  <c r="Q3324" i="1"/>
  <c r="R3324" i="1"/>
  <c r="Q3325" i="1"/>
  <c r="R3325" i="1"/>
  <c r="Q3327" i="1"/>
  <c r="R3327" i="1"/>
  <c r="O3304" i="1"/>
  <c r="Q3304" i="1" s="1"/>
  <c r="Q3302" i="1"/>
  <c r="R3302" i="1"/>
  <c r="Q3303" i="1"/>
  <c r="R3303" i="1"/>
  <c r="Q3301" i="1"/>
  <c r="R3301" i="1"/>
  <c r="Q3287" i="1"/>
  <c r="R3287" i="1"/>
  <c r="Q3288" i="1"/>
  <c r="R3288" i="1"/>
  <c r="Q3289" i="1"/>
  <c r="R3289" i="1"/>
  <c r="Q3290" i="1"/>
  <c r="R3290" i="1"/>
  <c r="Q3291" i="1"/>
  <c r="R3291" i="1"/>
  <c r="Q3292" i="1"/>
  <c r="R3292" i="1"/>
  <c r="Q3293" i="1"/>
  <c r="R3293" i="1"/>
  <c r="Q3294" i="1"/>
  <c r="R3294" i="1"/>
  <c r="Q3295" i="1"/>
  <c r="R3295" i="1"/>
  <c r="Q3296" i="1"/>
  <c r="R3296" i="1"/>
  <c r="Q3297" i="1"/>
  <c r="R3297" i="1"/>
  <c r="Q3298" i="1"/>
  <c r="R3298" i="1"/>
  <c r="Q3299" i="1"/>
  <c r="R3299" i="1"/>
  <c r="Q3300" i="1"/>
  <c r="R3300" i="1"/>
  <c r="Q3284" i="1"/>
  <c r="R3284" i="1"/>
  <c r="Q3285" i="1"/>
  <c r="R3285" i="1"/>
  <c r="Q3286" i="1"/>
  <c r="R3286" i="1"/>
  <c r="Q3282" i="1"/>
  <c r="R3282" i="1"/>
  <c r="Q3283" i="1"/>
  <c r="R3283" i="1"/>
  <c r="O3280" i="1"/>
  <c r="R3280" i="1" s="1"/>
  <c r="Q3281" i="1"/>
  <c r="R3281" i="1"/>
  <c r="O3278" i="1"/>
  <c r="Q3278" i="1" s="1"/>
  <c r="Q3279" i="1"/>
  <c r="R3279" i="1"/>
  <c r="O3276" i="1"/>
  <c r="R3276" i="1" s="1"/>
  <c r="O3274" i="1"/>
  <c r="R3274" i="1" s="1"/>
  <c r="Q3273" i="1"/>
  <c r="R3273" i="1"/>
  <c r="Q3275" i="1"/>
  <c r="R3275" i="1"/>
  <c r="Q3277" i="1"/>
  <c r="R3277" i="1"/>
  <c r="R3271" i="1"/>
  <c r="Q3271" i="1"/>
  <c r="Q3272" i="1"/>
  <c r="R3272" i="1"/>
  <c r="Q3266" i="1"/>
  <c r="R3266" i="1"/>
  <c r="Q3267" i="1"/>
  <c r="R3267" i="1"/>
  <c r="Q3268" i="1"/>
  <c r="R3268" i="1"/>
  <c r="Q3269" i="1"/>
  <c r="R3269" i="1"/>
  <c r="Q3270" i="1"/>
  <c r="R3270" i="1"/>
  <c r="Q3265" i="1"/>
  <c r="R3265" i="1"/>
  <c r="O3263" i="1"/>
  <c r="R3263" i="1" s="1"/>
  <c r="Q3264" i="1"/>
  <c r="R3264" i="1"/>
  <c r="Q3262" i="1"/>
  <c r="R3262" i="1"/>
  <c r="Q3261" i="1"/>
  <c r="R3261" i="1"/>
  <c r="Q3260" i="1"/>
  <c r="R3260" i="1"/>
  <c r="O3258" i="1"/>
  <c r="R3258" i="1" s="1"/>
  <c r="Q3253" i="1"/>
  <c r="R3253" i="1"/>
  <c r="Q3254" i="1"/>
  <c r="R3254" i="1"/>
  <c r="Q3255" i="1"/>
  <c r="R3255" i="1"/>
  <c r="Q3256" i="1"/>
  <c r="R3256" i="1"/>
  <c r="Q3257" i="1"/>
  <c r="R3257" i="1"/>
  <c r="Q3259" i="1"/>
  <c r="R3259" i="1"/>
  <c r="P3252" i="1"/>
  <c r="R3252" i="1" s="1"/>
  <c r="Q3252" i="1"/>
  <c r="Q3251" i="1"/>
  <c r="R3251" i="1"/>
  <c r="Q3250" i="1"/>
  <c r="R3250" i="1"/>
  <c r="O3249" i="1"/>
  <c r="Q3249" i="1" s="1"/>
  <c r="O3248" i="1"/>
  <c r="Q3248" i="1" s="1"/>
  <c r="R3247" i="1"/>
  <c r="Q3247" i="1"/>
  <c r="Q3246" i="1"/>
  <c r="R3246" i="1"/>
  <c r="Q3245" i="1"/>
  <c r="R3245" i="1"/>
  <c r="Q3242" i="1"/>
  <c r="R3242" i="1"/>
  <c r="Q3243" i="1"/>
  <c r="R3243" i="1"/>
  <c r="Q3244" i="1"/>
  <c r="R3244" i="1"/>
  <c r="O3238" i="1"/>
  <c r="Q3238" i="1" s="1"/>
  <c r="Q3237" i="1"/>
  <c r="R3237" i="1"/>
  <c r="Q3239" i="1"/>
  <c r="R3239" i="1"/>
  <c r="Q3240" i="1"/>
  <c r="R3240" i="1"/>
  <c r="Q3241" i="1"/>
  <c r="R3241" i="1"/>
  <c r="Q3235" i="1"/>
  <c r="R3235" i="1"/>
  <c r="Q3236" i="1"/>
  <c r="R3236" i="1"/>
  <c r="P3234" i="1"/>
  <c r="O3234" i="1"/>
  <c r="Q3233" i="1"/>
  <c r="R3233" i="1"/>
  <c r="Q3234" i="1"/>
  <c r="Q3232" i="1"/>
  <c r="R3232" i="1"/>
  <c r="Q3229" i="1"/>
  <c r="R3229" i="1"/>
  <c r="Q3230" i="1"/>
  <c r="R3230" i="1"/>
  <c r="Q3231" i="1"/>
  <c r="R3231" i="1"/>
  <c r="Q3227" i="1"/>
  <c r="R3227" i="1"/>
  <c r="Q3228" i="1"/>
  <c r="R3228" i="1"/>
  <c r="Q3225" i="1"/>
  <c r="R3225" i="1"/>
  <c r="Q3226" i="1"/>
  <c r="R3226" i="1"/>
  <c r="Q3223" i="1"/>
  <c r="R3223" i="1"/>
  <c r="Q3224" i="1"/>
  <c r="R3224" i="1"/>
  <c r="Q3222" i="1"/>
  <c r="R3222" i="1"/>
  <c r="Q3218" i="1"/>
  <c r="R3218" i="1"/>
  <c r="Q3219" i="1"/>
  <c r="R3219" i="1"/>
  <c r="Q3220" i="1"/>
  <c r="R3220" i="1"/>
  <c r="Q3221" i="1"/>
  <c r="R3221" i="1"/>
  <c r="Q3215" i="1"/>
  <c r="R3215" i="1"/>
  <c r="Q3216" i="1"/>
  <c r="R3216" i="1"/>
  <c r="Q3217" i="1"/>
  <c r="R3217" i="1"/>
  <c r="Q3212" i="1"/>
  <c r="R3212" i="1"/>
  <c r="Q3213" i="1"/>
  <c r="R3213" i="1"/>
  <c r="Q3214" i="1"/>
  <c r="R3214" i="1"/>
  <c r="O3209" i="1"/>
  <c r="Q3209" i="1" s="1"/>
  <c r="Q3210" i="1"/>
  <c r="R3210" i="1"/>
  <c r="Q3211" i="1"/>
  <c r="R3211" i="1"/>
  <c r="Q3205" i="1"/>
  <c r="R3205" i="1"/>
  <c r="Q3206" i="1"/>
  <c r="R3206" i="1"/>
  <c r="Q3207" i="1"/>
  <c r="R3207" i="1"/>
  <c r="Q3208" i="1"/>
  <c r="R3208" i="1"/>
  <c r="Q3201" i="1"/>
  <c r="R3201" i="1"/>
  <c r="Q3202" i="1"/>
  <c r="R3202" i="1"/>
  <c r="Q3203" i="1"/>
  <c r="R3203" i="1"/>
  <c r="Q3204" i="1"/>
  <c r="R3204" i="1"/>
  <c r="Q3200" i="1"/>
  <c r="R3200" i="1"/>
  <c r="Q3199" i="1"/>
  <c r="R3199" i="1"/>
  <c r="Q3193" i="1"/>
  <c r="R3193" i="1"/>
  <c r="Q3194" i="1"/>
  <c r="R3194" i="1"/>
  <c r="Q3195" i="1"/>
  <c r="R3195" i="1"/>
  <c r="Q3196" i="1"/>
  <c r="R3196" i="1"/>
  <c r="Q3197" i="1"/>
  <c r="R3197" i="1"/>
  <c r="Q3198" i="1"/>
  <c r="R3198" i="1"/>
  <c r="Q3190" i="1"/>
  <c r="R3190" i="1"/>
  <c r="Q3191" i="1"/>
  <c r="R3191" i="1"/>
  <c r="Q3192" i="1"/>
  <c r="R3192" i="1"/>
  <c r="Q3186" i="1"/>
  <c r="R3186" i="1"/>
  <c r="Q3187" i="1"/>
  <c r="R3187" i="1"/>
  <c r="Q3188" i="1"/>
  <c r="R3188" i="1"/>
  <c r="Q3189" i="1"/>
  <c r="R3189" i="1"/>
  <c r="Q3183" i="1"/>
  <c r="R3183" i="1"/>
  <c r="Q3184" i="1"/>
  <c r="R3184" i="1"/>
  <c r="Q3185" i="1"/>
  <c r="R3185" i="1"/>
  <c r="Q3182" i="1"/>
  <c r="R3182" i="1"/>
  <c r="Q3181" i="1"/>
  <c r="R3176" i="1"/>
  <c r="R3177" i="1"/>
  <c r="R3178" i="1"/>
  <c r="R3179" i="1"/>
  <c r="R3180" i="1"/>
  <c r="R3181" i="1"/>
  <c r="Q3176" i="1"/>
  <c r="Q3177" i="1"/>
  <c r="Q3178" i="1"/>
  <c r="Q3179" i="1"/>
  <c r="Q3180" i="1"/>
  <c r="Q3173" i="1"/>
  <c r="R3173" i="1"/>
  <c r="Q3174" i="1"/>
  <c r="R3174" i="1"/>
  <c r="Q3175" i="1"/>
  <c r="R3175" i="1"/>
  <c r="Q3170" i="1"/>
  <c r="R3170" i="1"/>
  <c r="Q3172" i="1"/>
  <c r="R3172" i="1"/>
  <c r="Q3168" i="1"/>
  <c r="R3168" i="1"/>
  <c r="Q3169" i="1"/>
  <c r="R3169" i="1"/>
  <c r="Q3171" i="1"/>
  <c r="R3171" i="1"/>
  <c r="Q3167" i="1"/>
  <c r="R3167" i="1"/>
  <c r="Q3165" i="1"/>
  <c r="R3165" i="1"/>
  <c r="Q3166" i="1"/>
  <c r="R3166" i="1"/>
  <c r="Q3164" i="1"/>
  <c r="R3164" i="1"/>
  <c r="Q3162" i="1"/>
  <c r="R3162" i="1"/>
  <c r="Q3163" i="1"/>
  <c r="R3163" i="1"/>
  <c r="O3161" i="1"/>
  <c r="O3160" i="1"/>
  <c r="Q3160" i="1" s="1"/>
  <c r="Q3158" i="1"/>
  <c r="R3158" i="1"/>
  <c r="Q3159" i="1"/>
  <c r="R3159" i="1"/>
  <c r="Q3153" i="1"/>
  <c r="R3153" i="1"/>
  <c r="Q3150" i="1"/>
  <c r="R3150" i="1"/>
  <c r="Q3151" i="1"/>
  <c r="R3151" i="1"/>
  <c r="Q3152" i="1"/>
  <c r="R3152" i="1"/>
  <c r="Q3154" i="1"/>
  <c r="R3154" i="1"/>
  <c r="Q3155" i="1"/>
  <c r="R3155" i="1"/>
  <c r="Q3156" i="1"/>
  <c r="R3156" i="1"/>
  <c r="Q3157" i="1"/>
  <c r="R3157" i="1"/>
  <c r="Q3147" i="1"/>
  <c r="R3147" i="1"/>
  <c r="Q3148" i="1"/>
  <c r="R3148" i="1"/>
  <c r="Q3149" i="1"/>
  <c r="R3149" i="1"/>
  <c r="Q3146" i="1"/>
  <c r="R3146" i="1"/>
  <c r="Q3144" i="1"/>
  <c r="R3144" i="1"/>
  <c r="Q3145" i="1"/>
  <c r="R3145" i="1"/>
  <c r="Q3138" i="1"/>
  <c r="R3138" i="1"/>
  <c r="Q3139" i="1"/>
  <c r="R3139" i="1"/>
  <c r="Q3140" i="1"/>
  <c r="R3140" i="1"/>
  <c r="Q3141" i="1"/>
  <c r="R3141" i="1"/>
  <c r="Q3142" i="1"/>
  <c r="R3142" i="1"/>
  <c r="Q3143" i="1"/>
  <c r="R3143" i="1"/>
  <c r="O3130" i="1"/>
  <c r="Q3130" i="1" s="1"/>
  <c r="O3128" i="1"/>
  <c r="R3128" i="1" s="1"/>
  <c r="R3126" i="1"/>
  <c r="Q3126" i="1"/>
  <c r="Q3123" i="1"/>
  <c r="R3123" i="1"/>
  <c r="Q3124" i="1"/>
  <c r="R3124" i="1"/>
  <c r="Q3125" i="1"/>
  <c r="R3125" i="1"/>
  <c r="Q3127" i="1"/>
  <c r="R3127" i="1"/>
  <c r="Q3129" i="1"/>
  <c r="R3129" i="1"/>
  <c r="Q3131" i="1"/>
  <c r="R3131" i="1"/>
  <c r="Q3132" i="1"/>
  <c r="R3132" i="1"/>
  <c r="Q3133" i="1"/>
  <c r="R3133" i="1"/>
  <c r="Q3134" i="1"/>
  <c r="R3134" i="1"/>
  <c r="Q3135" i="1"/>
  <c r="R3135" i="1"/>
  <c r="Q3136" i="1"/>
  <c r="R3136" i="1"/>
  <c r="Q3137" i="1"/>
  <c r="R3137" i="1"/>
  <c r="O3122" i="1"/>
  <c r="P3120" i="1"/>
  <c r="R3120" i="1" s="1"/>
  <c r="P3121" i="1"/>
  <c r="O3121" i="1"/>
  <c r="Q3121" i="1" s="1"/>
  <c r="P3115" i="1"/>
  <c r="R3115" i="1" s="1"/>
  <c r="P3118" i="1"/>
  <c r="O3118" i="1"/>
  <c r="Q3118" i="1" s="1"/>
  <c r="P3112" i="1"/>
  <c r="R3112" i="1" s="1"/>
  <c r="Q3102" i="1"/>
  <c r="R3102" i="1"/>
  <c r="O3086" i="1"/>
  <c r="R3086" i="1" s="1"/>
  <c r="Q3116" i="1"/>
  <c r="R3116" i="1"/>
  <c r="Q3117" i="1"/>
  <c r="R3117" i="1"/>
  <c r="Q3119" i="1"/>
  <c r="R3119" i="1"/>
  <c r="Q3120" i="1"/>
  <c r="O3103" i="1"/>
  <c r="Q3103" i="1" s="1"/>
  <c r="O3100" i="1"/>
  <c r="Q3100" i="1" s="1"/>
  <c r="Q3081" i="1"/>
  <c r="R3081" i="1"/>
  <c r="Q3082" i="1"/>
  <c r="R3082" i="1"/>
  <c r="Q3083" i="1"/>
  <c r="R3083" i="1"/>
  <c r="Q3084" i="1"/>
  <c r="R3084" i="1"/>
  <c r="Q3085" i="1"/>
  <c r="R3085" i="1"/>
  <c r="Q3087" i="1"/>
  <c r="R3087" i="1"/>
  <c r="Q3088" i="1"/>
  <c r="R3088" i="1"/>
  <c r="Q3089" i="1"/>
  <c r="R3089" i="1"/>
  <c r="Q3090" i="1"/>
  <c r="R3090" i="1"/>
  <c r="Q3091" i="1"/>
  <c r="R3091" i="1"/>
  <c r="Q3092" i="1"/>
  <c r="R3092" i="1"/>
  <c r="Q3093" i="1"/>
  <c r="R3093" i="1"/>
  <c r="Q3094" i="1"/>
  <c r="R3094" i="1"/>
  <c r="Q3095" i="1"/>
  <c r="R3095" i="1"/>
  <c r="Q3096" i="1"/>
  <c r="R3096" i="1"/>
  <c r="Q3097" i="1"/>
  <c r="R3097" i="1"/>
  <c r="Q3098" i="1"/>
  <c r="R3098" i="1"/>
  <c r="Q3099" i="1"/>
  <c r="R3099" i="1"/>
  <c r="Q3101" i="1"/>
  <c r="R3101" i="1"/>
  <c r="Q3104" i="1"/>
  <c r="R3104" i="1"/>
  <c r="Q3105" i="1"/>
  <c r="R3105" i="1"/>
  <c r="Q3106" i="1"/>
  <c r="R3106" i="1"/>
  <c r="Q3107" i="1"/>
  <c r="R3107" i="1"/>
  <c r="Q3108" i="1"/>
  <c r="R3108" i="1"/>
  <c r="Q3109" i="1"/>
  <c r="R3109" i="1"/>
  <c r="Q3110" i="1"/>
  <c r="R3110" i="1"/>
  <c r="Q3111" i="1"/>
  <c r="R3111" i="1"/>
  <c r="Q3112" i="1"/>
  <c r="Q3113" i="1"/>
  <c r="R3113" i="1"/>
  <c r="Q3114" i="1"/>
  <c r="R3114" i="1"/>
  <c r="Q3115" i="1"/>
  <c r="L11" i="4"/>
  <c r="L12" i="4"/>
  <c r="L13" i="4"/>
  <c r="L14" i="4"/>
  <c r="L15" i="4"/>
  <c r="L16" i="4"/>
  <c r="L17" i="4"/>
  <c r="L29" i="4"/>
  <c r="L30" i="4"/>
  <c r="L31" i="4"/>
  <c r="L32" i="4"/>
  <c r="L33" i="4"/>
  <c r="L34" i="4"/>
  <c r="L35" i="4"/>
  <c r="L36" i="4"/>
  <c r="L37" i="4"/>
  <c r="L6" i="4"/>
  <c r="L7" i="4"/>
  <c r="L8" i="4"/>
  <c r="L9" i="4"/>
  <c r="L10" i="4"/>
  <c r="L5" i="4"/>
  <c r="B8" i="4"/>
  <c r="P3078" i="1"/>
  <c r="R3078" i="1" s="1"/>
  <c r="Q3078" i="1"/>
  <c r="Q3079" i="1"/>
  <c r="R3079" i="1"/>
  <c r="Q3080" i="1"/>
  <c r="R3080" i="1"/>
  <c r="O3074" i="1"/>
  <c r="Q3074" i="1" s="1"/>
  <c r="Q3075" i="1"/>
  <c r="R3075" i="1"/>
  <c r="Q3076" i="1"/>
  <c r="R3076" i="1"/>
  <c r="Q3077" i="1"/>
  <c r="R3077" i="1"/>
  <c r="Q3072" i="1"/>
  <c r="R3072" i="1"/>
  <c r="Q3073" i="1"/>
  <c r="R3073" i="1"/>
  <c r="O3070" i="1"/>
  <c r="Q3070" i="1" s="1"/>
  <c r="Q3071" i="1"/>
  <c r="R3071" i="1"/>
  <c r="Q3069" i="1"/>
  <c r="R3069" i="1"/>
  <c r="Q3068" i="1"/>
  <c r="R3068" i="1"/>
  <c r="Q3067" i="1"/>
  <c r="R3067" i="1"/>
  <c r="Q3066" i="1"/>
  <c r="R3066" i="1"/>
  <c r="Q3065" i="1"/>
  <c r="R3065" i="1"/>
  <c r="Q3064" i="1"/>
  <c r="R3064" i="1"/>
  <c r="Q3062" i="1"/>
  <c r="R3062" i="1"/>
  <c r="Q3063" i="1"/>
  <c r="R3063" i="1"/>
  <c r="R3060" i="1"/>
  <c r="Q3058" i="1"/>
  <c r="R3058" i="1"/>
  <c r="Q3059" i="1"/>
  <c r="R3059" i="1"/>
  <c r="Q3060" i="1"/>
  <c r="Q3061" i="1"/>
  <c r="R3061" i="1"/>
  <c r="B6" i="11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J41" i="10"/>
  <c r="K41" i="10"/>
  <c r="J42" i="10"/>
  <c r="K42" i="10"/>
  <c r="J43" i="10"/>
  <c r="K43" i="10"/>
  <c r="J44" i="10"/>
  <c r="K44" i="10"/>
  <c r="J45" i="10"/>
  <c r="K45" i="10"/>
  <c r="J46" i="10"/>
  <c r="K46" i="10"/>
  <c r="J47" i="10"/>
  <c r="K47" i="10"/>
  <c r="J48" i="10"/>
  <c r="K48" i="10"/>
  <c r="J49" i="10"/>
  <c r="K49" i="10"/>
  <c r="J50" i="10"/>
  <c r="K50" i="10"/>
  <c r="J51" i="10"/>
  <c r="K51" i="10"/>
  <c r="J52" i="10"/>
  <c r="K52" i="10"/>
  <c r="J53" i="10"/>
  <c r="K53" i="10"/>
  <c r="J54" i="10"/>
  <c r="K54" i="10"/>
  <c r="J55" i="10"/>
  <c r="K55" i="10"/>
  <c r="J56" i="10"/>
  <c r="K56" i="10"/>
  <c r="J57" i="10"/>
  <c r="K57" i="10"/>
  <c r="J58" i="10"/>
  <c r="K58" i="10"/>
  <c r="J59" i="10"/>
  <c r="K59" i="10"/>
  <c r="J60" i="10"/>
  <c r="K60" i="10"/>
  <c r="J61" i="10"/>
  <c r="K61" i="10"/>
  <c r="J62" i="10"/>
  <c r="K62" i="10"/>
  <c r="J63" i="10"/>
  <c r="K63" i="10"/>
  <c r="J64" i="10"/>
  <c r="K64" i="10"/>
  <c r="J65" i="10"/>
  <c r="K65" i="10"/>
  <c r="J66" i="10"/>
  <c r="K66" i="10"/>
  <c r="J67" i="10"/>
  <c r="K67" i="10"/>
  <c r="J68" i="10"/>
  <c r="K68" i="10"/>
  <c r="J69" i="10"/>
  <c r="K69" i="10"/>
  <c r="J70" i="10"/>
  <c r="K70" i="10"/>
  <c r="J71" i="10"/>
  <c r="K71" i="10"/>
  <c r="J72" i="10"/>
  <c r="K72" i="10"/>
  <c r="E4" i="11"/>
  <c r="A3" i="10"/>
  <c r="Q3057" i="1"/>
  <c r="R3057" i="1"/>
  <c r="Q3056" i="1"/>
  <c r="R3056" i="1"/>
  <c r="Q3055" i="1"/>
  <c r="R3055" i="1"/>
  <c r="Q3054" i="1"/>
  <c r="R3054" i="1"/>
  <c r="Q3053" i="1"/>
  <c r="R3053" i="1"/>
  <c r="Q3052" i="1"/>
  <c r="R3052" i="1"/>
  <c r="Q3050" i="1"/>
  <c r="R3050" i="1"/>
  <c r="Q3051" i="1"/>
  <c r="R3051" i="1"/>
  <c r="Q3048" i="1"/>
  <c r="R3048" i="1"/>
  <c r="Q3049" i="1"/>
  <c r="R3049" i="1"/>
  <c r="O3047" i="1"/>
  <c r="R3047" i="1" s="1"/>
  <c r="R3043" i="1"/>
  <c r="Q3044" i="1"/>
  <c r="R3044" i="1"/>
  <c r="Q3046" i="1"/>
  <c r="R3046" i="1"/>
  <c r="Q3047" i="1"/>
  <c r="O3045" i="1"/>
  <c r="Q3043" i="1"/>
  <c r="Q3041" i="1"/>
  <c r="R3041" i="1"/>
  <c r="Q3042" i="1"/>
  <c r="R3042" i="1"/>
  <c r="Q3037" i="1"/>
  <c r="R3037" i="1"/>
  <c r="Q3038" i="1"/>
  <c r="R3038" i="1"/>
  <c r="Q3039" i="1"/>
  <c r="R3039" i="1"/>
  <c r="Q3040" i="1"/>
  <c r="R3040" i="1"/>
  <c r="Q3036" i="1"/>
  <c r="R3036" i="1"/>
  <c r="Q3035" i="1"/>
  <c r="R3035" i="1"/>
  <c r="Q3034" i="1"/>
  <c r="R3034" i="1"/>
  <c r="Q3033" i="1"/>
  <c r="R3033" i="1"/>
  <c r="Q3032" i="1"/>
  <c r="R3032" i="1"/>
  <c r="O3029" i="1"/>
  <c r="R3029" i="1" s="1"/>
  <c r="Q3030" i="1"/>
  <c r="R3030" i="1"/>
  <c r="Q3031" i="1"/>
  <c r="R3031" i="1"/>
  <c r="Q3027" i="1"/>
  <c r="R3027" i="1"/>
  <c r="Q3028" i="1"/>
  <c r="R3028" i="1"/>
  <c r="Q3025" i="1"/>
  <c r="R3025" i="1"/>
  <c r="Q3026" i="1"/>
  <c r="R3026" i="1"/>
  <c r="Q3023" i="1"/>
  <c r="R3023" i="1"/>
  <c r="Q3024" i="1"/>
  <c r="R3024" i="1"/>
  <c r="O3022" i="1"/>
  <c r="Q3022" i="1" s="1"/>
  <c r="Q3019" i="1"/>
  <c r="R3019" i="1"/>
  <c r="Q3020" i="1"/>
  <c r="R3020" i="1"/>
  <c r="Q3021" i="1"/>
  <c r="R3021" i="1"/>
  <c r="Q3015" i="1"/>
  <c r="R3015" i="1"/>
  <c r="Q3016" i="1"/>
  <c r="R3016" i="1"/>
  <c r="Q3017" i="1"/>
  <c r="R3017" i="1"/>
  <c r="Q3018" i="1"/>
  <c r="R3018" i="1"/>
  <c r="Q3014" i="1"/>
  <c r="R3014" i="1"/>
  <c r="Q3012" i="1"/>
  <c r="R3012" i="1"/>
  <c r="Q3013" i="1"/>
  <c r="R3013" i="1"/>
  <c r="Q3007" i="1"/>
  <c r="R3007" i="1"/>
  <c r="Q3008" i="1"/>
  <c r="R3008" i="1"/>
  <c r="Q3009" i="1"/>
  <c r="R3009" i="1"/>
  <c r="Q3010" i="1"/>
  <c r="R3010" i="1"/>
  <c r="Q3011" i="1"/>
  <c r="R3011" i="1"/>
  <c r="Q3006" i="1"/>
  <c r="R3006" i="1"/>
  <c r="Q3003" i="1"/>
  <c r="R3003" i="1"/>
  <c r="Q3004" i="1"/>
  <c r="R3004" i="1"/>
  <c r="Q3005" i="1"/>
  <c r="R3005" i="1"/>
  <c r="O3002" i="1"/>
  <c r="Q3002" i="1" s="1"/>
  <c r="Q3001" i="1"/>
  <c r="R3001" i="1"/>
  <c r="Q3000" i="1"/>
  <c r="R3000" i="1"/>
  <c r="Q2995" i="1"/>
  <c r="R2995" i="1"/>
  <c r="Q2996" i="1"/>
  <c r="R2996" i="1"/>
  <c r="Q2997" i="1"/>
  <c r="R2997" i="1"/>
  <c r="Q2998" i="1"/>
  <c r="R2998" i="1"/>
  <c r="Q2999" i="1"/>
  <c r="R2999" i="1"/>
  <c r="O2992" i="1"/>
  <c r="R2992" i="1" s="1"/>
  <c r="Q2993" i="1"/>
  <c r="R2993" i="1"/>
  <c r="Q2994" i="1"/>
  <c r="R2994" i="1"/>
  <c r="Q2991" i="1"/>
  <c r="R2991" i="1"/>
  <c r="Q2989" i="1"/>
  <c r="R2989" i="1"/>
  <c r="R2990" i="1"/>
  <c r="Q2990" i="1"/>
  <c r="Q2988" i="1"/>
  <c r="R2988" i="1"/>
  <c r="Q2987" i="1"/>
  <c r="R2987" i="1"/>
  <c r="Q2986" i="1"/>
  <c r="R2986" i="1"/>
  <c r="Q2985" i="1"/>
  <c r="R2985" i="1"/>
  <c r="Q2984" i="1"/>
  <c r="R2984" i="1"/>
  <c r="Q2979" i="1"/>
  <c r="R2979" i="1"/>
  <c r="Q2980" i="1"/>
  <c r="R2980" i="1"/>
  <c r="Q2981" i="1"/>
  <c r="R2981" i="1"/>
  <c r="Q2982" i="1"/>
  <c r="R2982" i="1"/>
  <c r="Q2983" i="1"/>
  <c r="R2983" i="1"/>
  <c r="O2973" i="1"/>
  <c r="R2973" i="1" s="1"/>
  <c r="Q2974" i="1"/>
  <c r="R2974" i="1"/>
  <c r="Q2975" i="1"/>
  <c r="R2975" i="1"/>
  <c r="Q2976" i="1"/>
  <c r="R2976" i="1"/>
  <c r="Q2977" i="1"/>
  <c r="R2977" i="1"/>
  <c r="Q2978" i="1"/>
  <c r="R2978" i="1"/>
  <c r="O2969" i="1"/>
  <c r="Q2969" i="1" s="1"/>
  <c r="Q2967" i="1"/>
  <c r="R2967" i="1"/>
  <c r="Q2968" i="1"/>
  <c r="R2968" i="1"/>
  <c r="Q2970" i="1"/>
  <c r="R2970" i="1"/>
  <c r="Q2971" i="1"/>
  <c r="R2971" i="1"/>
  <c r="Q2972" i="1"/>
  <c r="R2972" i="1"/>
  <c r="Q2960" i="1"/>
  <c r="R2960" i="1"/>
  <c r="Q2961" i="1"/>
  <c r="R2961" i="1"/>
  <c r="Q2962" i="1"/>
  <c r="R2962" i="1"/>
  <c r="Q2963" i="1"/>
  <c r="R2963" i="1"/>
  <c r="Q2964" i="1"/>
  <c r="R2964" i="1"/>
  <c r="Q2965" i="1"/>
  <c r="R2965" i="1"/>
  <c r="Q2966" i="1"/>
  <c r="R2966" i="1"/>
  <c r="Q2957" i="1"/>
  <c r="R2957" i="1"/>
  <c r="Q2958" i="1"/>
  <c r="R2958" i="1"/>
  <c r="Q2959" i="1"/>
  <c r="R2959" i="1"/>
  <c r="Q2956" i="1"/>
  <c r="R2956" i="1"/>
  <c r="Q2953" i="1"/>
  <c r="R2953" i="1"/>
  <c r="Q2954" i="1"/>
  <c r="R2954" i="1"/>
  <c r="Q2955" i="1"/>
  <c r="R2955" i="1"/>
  <c r="O2951" i="1"/>
  <c r="Q2951" i="1" s="1"/>
  <c r="Q2952" i="1"/>
  <c r="R2952" i="1"/>
  <c r="Q2948" i="1"/>
  <c r="R2948" i="1"/>
  <c r="Q2949" i="1"/>
  <c r="R2949" i="1"/>
  <c r="Q2950" i="1"/>
  <c r="R2950" i="1"/>
  <c r="O2945" i="1"/>
  <c r="Q2945" i="1" s="1"/>
  <c r="Q2943" i="1"/>
  <c r="R2943" i="1"/>
  <c r="Q2944" i="1"/>
  <c r="R2944" i="1"/>
  <c r="Q2946" i="1"/>
  <c r="R2946" i="1"/>
  <c r="Q2947" i="1"/>
  <c r="R2947" i="1"/>
  <c r="Q2941" i="1"/>
  <c r="R2941" i="1"/>
  <c r="Q2942" i="1"/>
  <c r="R2942" i="1"/>
  <c r="Q2940" i="1"/>
  <c r="R2940" i="1"/>
  <c r="Q2939" i="1"/>
  <c r="R2939" i="1"/>
  <c r="Q2937" i="1"/>
  <c r="R2937" i="1"/>
  <c r="Q2938" i="1"/>
  <c r="R2938" i="1"/>
  <c r="Q2935" i="1"/>
  <c r="R2935" i="1"/>
  <c r="Q2936" i="1"/>
  <c r="R2936" i="1"/>
  <c r="Q2930" i="1"/>
  <c r="R2930" i="1"/>
  <c r="Q2931" i="1"/>
  <c r="R2931" i="1"/>
  <c r="Q2932" i="1"/>
  <c r="R2932" i="1"/>
  <c r="Q2933" i="1"/>
  <c r="R2933" i="1"/>
  <c r="Q2934" i="1"/>
  <c r="R2934" i="1"/>
  <c r="Q2928" i="1"/>
  <c r="R2928" i="1"/>
  <c r="Q2929" i="1"/>
  <c r="R2929" i="1"/>
  <c r="Q2927" i="1"/>
  <c r="R2927" i="1"/>
  <c r="Q2926" i="1"/>
  <c r="R2926" i="1"/>
  <c r="O2925" i="1"/>
  <c r="R2925" i="1" s="1"/>
  <c r="Q2924" i="1"/>
  <c r="R2924" i="1"/>
  <c r="Q2923" i="1"/>
  <c r="R2923" i="1"/>
  <c r="Q2922" i="1"/>
  <c r="R2922" i="1"/>
  <c r="Q2918" i="1"/>
  <c r="R2918" i="1"/>
  <c r="Q2919" i="1"/>
  <c r="R2919" i="1"/>
  <c r="Q2920" i="1"/>
  <c r="R2920" i="1"/>
  <c r="Q2921" i="1"/>
  <c r="R2921" i="1"/>
  <c r="Q2916" i="1"/>
  <c r="R2916" i="1"/>
  <c r="Q2917" i="1"/>
  <c r="R2917" i="1"/>
  <c r="O2915" i="1"/>
  <c r="Q2913" i="1"/>
  <c r="R2913" i="1"/>
  <c r="Q2914" i="1"/>
  <c r="R2914" i="1"/>
  <c r="Q2911" i="1"/>
  <c r="R2911" i="1"/>
  <c r="Q2912" i="1"/>
  <c r="R2912" i="1"/>
  <c r="Q2909" i="1"/>
  <c r="R2909" i="1"/>
  <c r="Q2910" i="1"/>
  <c r="R2910" i="1"/>
  <c r="Q2908" i="1"/>
  <c r="R2908" i="1"/>
  <c r="O2907" i="1"/>
  <c r="Q2906" i="1"/>
  <c r="R2906" i="1"/>
  <c r="Q2905" i="1"/>
  <c r="R2905" i="1"/>
  <c r="O2902" i="1"/>
  <c r="R2902" i="1" s="1"/>
  <c r="Q2903" i="1"/>
  <c r="R2903" i="1"/>
  <c r="Q2904" i="1"/>
  <c r="R2904" i="1"/>
  <c r="Q2901" i="1"/>
  <c r="R2901" i="1"/>
  <c r="Q2899" i="1"/>
  <c r="R2899" i="1"/>
  <c r="Q2900" i="1"/>
  <c r="R2900" i="1"/>
  <c r="Q2897" i="1"/>
  <c r="R2897" i="1"/>
  <c r="Q2898" i="1"/>
  <c r="R2898" i="1"/>
  <c r="Q2895" i="1"/>
  <c r="R2895" i="1"/>
  <c r="Q2896" i="1"/>
  <c r="R2896" i="1"/>
  <c r="Q2892" i="1"/>
  <c r="R2892" i="1"/>
  <c r="Q2893" i="1"/>
  <c r="R2893" i="1"/>
  <c r="Q2894" i="1"/>
  <c r="R2894" i="1"/>
  <c r="Q2891" i="1"/>
  <c r="R2891" i="1"/>
  <c r="Q2890" i="1"/>
  <c r="R2890" i="1"/>
  <c r="Q2889" i="1"/>
  <c r="R2889" i="1"/>
  <c r="Q2888" i="1"/>
  <c r="R2888" i="1"/>
  <c r="Q2886" i="1"/>
  <c r="R2886" i="1"/>
  <c r="Q2887" i="1"/>
  <c r="R2887" i="1"/>
  <c r="Q2885" i="1"/>
  <c r="R2885" i="1"/>
  <c r="Q2884" i="1"/>
  <c r="R2884" i="1"/>
  <c r="Q2883" i="1"/>
  <c r="R2883" i="1"/>
  <c r="Q2882" i="1"/>
  <c r="R2882" i="1"/>
  <c r="Q2880" i="1"/>
  <c r="R2880" i="1"/>
  <c r="Q2881" i="1"/>
  <c r="R2881" i="1"/>
  <c r="O2879" i="1"/>
  <c r="R2879" i="1" s="1"/>
  <c r="O2878" i="1"/>
  <c r="Q2878" i="1" s="1"/>
  <c r="O2877" i="1"/>
  <c r="Q2877" i="1" s="1"/>
  <c r="Q2874" i="1"/>
  <c r="R2874" i="1"/>
  <c r="Q2875" i="1"/>
  <c r="R2875" i="1"/>
  <c r="Q2876" i="1"/>
  <c r="R2876" i="1"/>
  <c r="Q2873" i="1"/>
  <c r="R2873" i="1"/>
  <c r="Q2872" i="1"/>
  <c r="R2872" i="1"/>
  <c r="Q2868" i="1"/>
  <c r="R2868" i="1"/>
  <c r="Q2869" i="1"/>
  <c r="R2869" i="1"/>
  <c r="Q2870" i="1"/>
  <c r="R2870" i="1"/>
  <c r="Q2871" i="1"/>
  <c r="R2871" i="1"/>
  <c r="Q2866" i="1"/>
  <c r="R2866" i="1"/>
  <c r="Q2867" i="1"/>
  <c r="R2867" i="1"/>
  <c r="Q2864" i="1"/>
  <c r="R2864" i="1"/>
  <c r="Q2865" i="1"/>
  <c r="R2865" i="1"/>
  <c r="O2861" i="1"/>
  <c r="Q2861" i="1" s="1"/>
  <c r="Q2862" i="1"/>
  <c r="R2862" i="1"/>
  <c r="Q2863" i="1"/>
  <c r="R2863" i="1"/>
  <c r="Q2856" i="1"/>
  <c r="R2856" i="1"/>
  <c r="Q2857" i="1"/>
  <c r="R2857" i="1"/>
  <c r="Q2858" i="1"/>
  <c r="R2858" i="1"/>
  <c r="Q2859" i="1"/>
  <c r="R2859" i="1"/>
  <c r="Q2860" i="1"/>
  <c r="R2860" i="1"/>
  <c r="Q2854" i="1"/>
  <c r="R2854" i="1"/>
  <c r="Q2855" i="1"/>
  <c r="R2855" i="1"/>
  <c r="O2852" i="1"/>
  <c r="Q2852" i="1" s="1"/>
  <c r="Q2849" i="1"/>
  <c r="R2849" i="1"/>
  <c r="P2850" i="1"/>
  <c r="R2850" i="1" s="1"/>
  <c r="Q2851" i="1"/>
  <c r="R2851" i="1"/>
  <c r="Q2853" i="1"/>
  <c r="R2853" i="1"/>
  <c r="Q2848" i="1"/>
  <c r="R2848" i="1"/>
  <c r="Q2850" i="1"/>
  <c r="O2846" i="1"/>
  <c r="Q2846" i="1" s="1"/>
  <c r="Q2844" i="1"/>
  <c r="R2844" i="1"/>
  <c r="Q2845" i="1"/>
  <c r="R2845" i="1"/>
  <c r="Q2847" i="1"/>
  <c r="R2847" i="1"/>
  <c r="Q2842" i="1"/>
  <c r="R2842" i="1"/>
  <c r="Q2843" i="1"/>
  <c r="R2843" i="1"/>
  <c r="Q2841" i="1"/>
  <c r="R2841" i="1"/>
  <c r="Q2839" i="1"/>
  <c r="R2839" i="1"/>
  <c r="Q2840" i="1"/>
  <c r="R2840" i="1"/>
  <c r="Q2838" i="1"/>
  <c r="R2838" i="1"/>
  <c r="O2837" i="1"/>
  <c r="Q2837" i="1" s="1"/>
  <c r="R2835" i="1"/>
  <c r="Q2835" i="1"/>
  <c r="O2833" i="1"/>
  <c r="Q2833" i="1" s="1"/>
  <c r="Q2834" i="1"/>
  <c r="R2834" i="1"/>
  <c r="Q2836" i="1"/>
  <c r="R2836" i="1"/>
  <c r="Q2832" i="1"/>
  <c r="R2832" i="1"/>
  <c r="R2831" i="1"/>
  <c r="Q2831" i="1"/>
  <c r="Q2830" i="1"/>
  <c r="R2830" i="1"/>
  <c r="Q2829" i="1"/>
  <c r="R2829" i="1"/>
  <c r="Q2828" i="1"/>
  <c r="R2828" i="1"/>
  <c r="Q2827" i="1"/>
  <c r="R2827" i="1"/>
  <c r="Q2826" i="1"/>
  <c r="R2826" i="1"/>
  <c r="Q2825" i="1"/>
  <c r="R2825" i="1"/>
  <c r="Q2824" i="1"/>
  <c r="R2824" i="1"/>
  <c r="Q2821" i="1"/>
  <c r="R2821" i="1"/>
  <c r="Q2822" i="1"/>
  <c r="R2822" i="1"/>
  <c r="Q2823" i="1"/>
  <c r="R2823" i="1"/>
  <c r="Q2820" i="1"/>
  <c r="R2820" i="1"/>
  <c r="Q2816" i="1"/>
  <c r="R2816" i="1"/>
  <c r="Q2817" i="1"/>
  <c r="R2817" i="1"/>
  <c r="Q2818" i="1"/>
  <c r="R2818" i="1"/>
  <c r="Q2819" i="1"/>
  <c r="R2819" i="1"/>
  <c r="Q2811" i="1"/>
  <c r="R2811" i="1"/>
  <c r="Q2812" i="1"/>
  <c r="R2812" i="1"/>
  <c r="Q2813" i="1"/>
  <c r="R2813" i="1"/>
  <c r="Q2814" i="1"/>
  <c r="R2814" i="1"/>
  <c r="Q2815" i="1"/>
  <c r="R2815" i="1"/>
  <c r="Q2809" i="1"/>
  <c r="R2809" i="1"/>
  <c r="Q2810" i="1"/>
  <c r="R2810" i="1"/>
  <c r="Q2806" i="1"/>
  <c r="R2806" i="1"/>
  <c r="Q2807" i="1"/>
  <c r="R2807" i="1"/>
  <c r="Q2808" i="1"/>
  <c r="R2808" i="1"/>
  <c r="O2802" i="1"/>
  <c r="Q2803" i="1"/>
  <c r="R2803" i="1"/>
  <c r="Q2804" i="1"/>
  <c r="R2804" i="1"/>
  <c r="R2805" i="1"/>
  <c r="Q2805" i="1"/>
  <c r="Q2799" i="1"/>
  <c r="R2799" i="1"/>
  <c r="Q2800" i="1"/>
  <c r="R2800" i="1"/>
  <c r="Q2801" i="1"/>
  <c r="R2801" i="1"/>
  <c r="Q2798" i="1"/>
  <c r="R2798" i="1"/>
  <c r="Q2796" i="1"/>
  <c r="R2796" i="1"/>
  <c r="Q2797" i="1"/>
  <c r="R2797" i="1"/>
  <c r="Q2791" i="1"/>
  <c r="R2791" i="1"/>
  <c r="Q2792" i="1"/>
  <c r="R2792" i="1"/>
  <c r="Q2793" i="1"/>
  <c r="R2793" i="1"/>
  <c r="Q2794" i="1"/>
  <c r="R2794" i="1"/>
  <c r="Q2795" i="1"/>
  <c r="R2795" i="1"/>
  <c r="Q2790" i="1"/>
  <c r="R2790" i="1"/>
  <c r="Q2788" i="1"/>
  <c r="R2788" i="1"/>
  <c r="Q2789" i="1"/>
  <c r="R2789" i="1"/>
  <c r="Q2785" i="1"/>
  <c r="R2785" i="1"/>
  <c r="Q2787" i="1"/>
  <c r="R2787" i="1"/>
  <c r="O2786" i="1"/>
  <c r="Q2784" i="1"/>
  <c r="R2784" i="1"/>
  <c r="Q2783" i="1"/>
  <c r="R2783" i="1"/>
  <c r="Q2782" i="1"/>
  <c r="R2782" i="1"/>
  <c r="Q2781" i="1"/>
  <c r="R2781" i="1"/>
  <c r="Q2780" i="1"/>
  <c r="R2780" i="1"/>
  <c r="Q2778" i="1"/>
  <c r="R2778" i="1"/>
  <c r="Q2779" i="1"/>
  <c r="R2779" i="1"/>
  <c r="Q2777" i="1"/>
  <c r="R2777" i="1"/>
  <c r="Q2776" i="1"/>
  <c r="R2776" i="1"/>
  <c r="Q2775" i="1"/>
  <c r="R2775" i="1"/>
  <c r="Q2773" i="1"/>
  <c r="R2773" i="1"/>
  <c r="Q2774" i="1"/>
  <c r="R277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O2756" i="1"/>
  <c r="R2756" i="1" s="1"/>
  <c r="Q2761" i="1"/>
  <c r="R2761" i="1"/>
  <c r="Q2762" i="1"/>
  <c r="R2762" i="1"/>
  <c r="Q2763" i="1"/>
  <c r="R2763" i="1"/>
  <c r="Q2764" i="1"/>
  <c r="R2764" i="1"/>
  <c r="Q2760" i="1"/>
  <c r="R2760" i="1"/>
  <c r="O2757" i="1"/>
  <c r="Q2757" i="1" s="1"/>
  <c r="Q2752" i="1"/>
  <c r="R2752" i="1"/>
  <c r="Q2753" i="1"/>
  <c r="R2753" i="1"/>
  <c r="Q2754" i="1"/>
  <c r="R2754" i="1"/>
  <c r="Q2755" i="1"/>
  <c r="R2755" i="1"/>
  <c r="Q2758" i="1"/>
  <c r="R2758" i="1"/>
  <c r="Q2759" i="1"/>
  <c r="R2759" i="1"/>
  <c r="Q2751" i="1"/>
  <c r="R2751" i="1"/>
  <c r="Q2749" i="1"/>
  <c r="R2749" i="1"/>
  <c r="Q2750" i="1"/>
  <c r="R2750" i="1"/>
  <c r="Q2748" i="1"/>
  <c r="R2748" i="1"/>
  <c r="Q2746" i="1"/>
  <c r="R2746" i="1"/>
  <c r="Q2747" i="1"/>
  <c r="R2747" i="1"/>
  <c r="Q2745" i="1"/>
  <c r="R2745" i="1"/>
  <c r="Q2743" i="1"/>
  <c r="R2743" i="1"/>
  <c r="Q2744" i="1"/>
  <c r="R2744" i="1"/>
  <c r="Q2741" i="1"/>
  <c r="R2741" i="1"/>
  <c r="Q2742" i="1"/>
  <c r="R2742" i="1"/>
  <c r="Q2740" i="1"/>
  <c r="R2740" i="1"/>
  <c r="Q2738" i="1"/>
  <c r="R2738" i="1"/>
  <c r="Q2739" i="1"/>
  <c r="R2739" i="1"/>
  <c r="Q2737" i="1"/>
  <c r="R2737" i="1"/>
  <c r="Q2736" i="1"/>
  <c r="R2736" i="1"/>
  <c r="Q2735" i="1"/>
  <c r="R2735" i="1"/>
  <c r="Q2734" i="1"/>
  <c r="R2734" i="1"/>
  <c r="Q2733" i="1"/>
  <c r="R2733" i="1"/>
  <c r="Q2732" i="1"/>
  <c r="R2732" i="1"/>
  <c r="Q2731" i="1"/>
  <c r="R2731" i="1"/>
  <c r="Q2729" i="1"/>
  <c r="R2729" i="1"/>
  <c r="Q2730" i="1"/>
  <c r="R2730" i="1"/>
  <c r="Q2728" i="1"/>
  <c r="R2728" i="1"/>
  <c r="Q2723" i="1"/>
  <c r="R2723" i="1"/>
  <c r="Q2724" i="1"/>
  <c r="R2724" i="1"/>
  <c r="Q2725" i="1"/>
  <c r="R2725" i="1"/>
  <c r="Q2726" i="1"/>
  <c r="R2726" i="1"/>
  <c r="Q2727" i="1"/>
  <c r="R2727" i="1"/>
  <c r="Q2722" i="1"/>
  <c r="R2722" i="1"/>
  <c r="Q2719" i="1"/>
  <c r="R2719" i="1"/>
  <c r="Q2720" i="1"/>
  <c r="R2720" i="1"/>
  <c r="Q2721" i="1"/>
  <c r="R2721" i="1"/>
  <c r="Q2713" i="1"/>
  <c r="R2713" i="1"/>
  <c r="Q2714" i="1"/>
  <c r="R2714" i="1"/>
  <c r="Q2715" i="1"/>
  <c r="R2715" i="1"/>
  <c r="Q2716" i="1"/>
  <c r="R2716" i="1"/>
  <c r="Q2717" i="1"/>
  <c r="R2717" i="1"/>
  <c r="Q2718" i="1"/>
  <c r="R2718" i="1"/>
  <c r="Q2712" i="1"/>
  <c r="R2712" i="1"/>
  <c r="Q2710" i="1"/>
  <c r="R2710" i="1"/>
  <c r="Q2711" i="1"/>
  <c r="R2711" i="1"/>
  <c r="Q2708" i="1"/>
  <c r="R2708" i="1"/>
  <c r="Q2709" i="1"/>
  <c r="R2709" i="1"/>
  <c r="Q2707" i="1"/>
  <c r="R2707" i="1"/>
  <c r="Q2706" i="1"/>
  <c r="R2706" i="1"/>
  <c r="Q2703" i="1"/>
  <c r="R2703" i="1"/>
  <c r="Q2704" i="1"/>
  <c r="R2704" i="1"/>
  <c r="Q2705" i="1"/>
  <c r="R2705" i="1"/>
  <c r="Q2702" i="1"/>
  <c r="R2702" i="1"/>
  <c r="Q2699" i="1"/>
  <c r="R2699" i="1"/>
  <c r="Q2700" i="1"/>
  <c r="R2700" i="1"/>
  <c r="Q2701" i="1"/>
  <c r="R2701" i="1"/>
  <c r="Q2696" i="1"/>
  <c r="R2696" i="1"/>
  <c r="Q2697" i="1"/>
  <c r="R2697" i="1"/>
  <c r="Q2698" i="1"/>
  <c r="R2698" i="1"/>
  <c r="Q2695" i="1"/>
  <c r="R2695" i="1"/>
  <c r="Q2693" i="1"/>
  <c r="R2693" i="1"/>
  <c r="Q2694" i="1"/>
  <c r="R2694" i="1"/>
  <c r="O2691" i="1"/>
  <c r="R2691" i="1" s="1"/>
  <c r="Q2692" i="1"/>
  <c r="R2692" i="1"/>
  <c r="Q2689" i="1"/>
  <c r="R2689" i="1"/>
  <c r="Q2690" i="1"/>
  <c r="R2690" i="1"/>
  <c r="Q2688" i="1"/>
  <c r="R2688" i="1"/>
  <c r="Q2685" i="1"/>
  <c r="R2685" i="1"/>
  <c r="Q2686" i="1"/>
  <c r="R2686" i="1"/>
  <c r="Q2687" i="1"/>
  <c r="R2687" i="1"/>
  <c r="Q2683" i="1"/>
  <c r="R2683" i="1"/>
  <c r="Q2684" i="1"/>
  <c r="R2684" i="1"/>
  <c r="Q2682" i="1"/>
  <c r="R2682" i="1"/>
  <c r="Q2681" i="1"/>
  <c r="R2681" i="1"/>
  <c r="Q2680" i="1"/>
  <c r="R2680" i="1"/>
  <c r="O2679" i="1"/>
  <c r="R2679" i="1" s="1"/>
  <c r="Q2678" i="1"/>
  <c r="R2678" i="1"/>
  <c r="Q2679" i="1"/>
  <c r="Q2675" i="1"/>
  <c r="R2675" i="1"/>
  <c r="Q2676" i="1"/>
  <c r="R2676" i="1"/>
  <c r="Q2677" i="1"/>
  <c r="R2677" i="1"/>
  <c r="O2669" i="1"/>
  <c r="R2669" i="1" s="1"/>
  <c r="O2672" i="1"/>
  <c r="Q2671" i="1"/>
  <c r="R2671" i="1"/>
  <c r="Q2672" i="1"/>
  <c r="Q2673" i="1"/>
  <c r="R2673" i="1"/>
  <c r="Q2674" i="1"/>
  <c r="R2674" i="1"/>
  <c r="Q2670" i="1"/>
  <c r="R2670" i="1"/>
  <c r="O2657" i="1"/>
  <c r="Q2657" i="1" s="1"/>
  <c r="Q2668" i="1"/>
  <c r="R2668" i="1"/>
  <c r="Q2664" i="1"/>
  <c r="R2664" i="1"/>
  <c r="Q2665" i="1"/>
  <c r="R2665" i="1"/>
  <c r="Q2666" i="1"/>
  <c r="R2666" i="1"/>
  <c r="Q2667" i="1"/>
  <c r="R2667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R2580" i="1"/>
  <c r="O2644" i="1"/>
  <c r="R2644" i="1" s="1"/>
  <c r="O2619" i="1"/>
  <c r="R2619" i="1" s="1"/>
  <c r="O2587" i="1"/>
  <c r="Q2587" i="1" s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2606" i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Q2645" i="1"/>
  <c r="R2645" i="1"/>
  <c r="Q2646" i="1"/>
  <c r="R2646" i="1"/>
  <c r="Q2647" i="1"/>
  <c r="R2647" i="1"/>
  <c r="Q2648" i="1"/>
  <c r="R2648" i="1"/>
  <c r="Q2577" i="1"/>
  <c r="R2577" i="1"/>
  <c r="Q2578" i="1"/>
  <c r="R2578" i="1"/>
  <c r="Q2579" i="1"/>
  <c r="R2579" i="1"/>
  <c r="Q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8" i="1"/>
  <c r="R2588" i="1"/>
  <c r="O2576" i="1"/>
  <c r="R2576" i="1" s="1"/>
  <c r="Q2575" i="1"/>
  <c r="R2575" i="1"/>
  <c r="Q2573" i="1"/>
  <c r="R2573" i="1"/>
  <c r="Q2574" i="1"/>
  <c r="R2574" i="1"/>
  <c r="Q2572" i="1"/>
  <c r="R2572" i="1"/>
  <c r="Q2571" i="1"/>
  <c r="R2571" i="1"/>
  <c r="Q2570" i="1"/>
  <c r="R2570" i="1"/>
  <c r="Q2569" i="1"/>
  <c r="R2569" i="1"/>
  <c r="Q2568" i="1"/>
  <c r="R2568" i="1"/>
  <c r="Q2566" i="1"/>
  <c r="R2566" i="1"/>
  <c r="Q2567" i="1"/>
  <c r="R2567" i="1"/>
  <c r="Q2565" i="1"/>
  <c r="R2565" i="1"/>
  <c r="Q2561" i="1"/>
  <c r="R2561" i="1"/>
  <c r="Q2562" i="1"/>
  <c r="R2562" i="1"/>
  <c r="Q2563" i="1"/>
  <c r="R2563" i="1"/>
  <c r="Q2564" i="1"/>
  <c r="R2564" i="1"/>
  <c r="Q2559" i="1"/>
  <c r="R2559" i="1"/>
  <c r="Q2560" i="1"/>
  <c r="R2560" i="1"/>
  <c r="Q2556" i="1"/>
  <c r="R2556" i="1"/>
  <c r="Q2557" i="1"/>
  <c r="R2557" i="1"/>
  <c r="Q2558" i="1"/>
  <c r="R2558" i="1"/>
  <c r="Q2554" i="1"/>
  <c r="R2554" i="1"/>
  <c r="Q2555" i="1"/>
  <c r="R2555" i="1"/>
  <c r="Q2553" i="1"/>
  <c r="R2553" i="1"/>
  <c r="Q2552" i="1"/>
  <c r="R2552" i="1"/>
  <c r="Q2551" i="1"/>
  <c r="R2551" i="1"/>
  <c r="Q2548" i="1"/>
  <c r="R2548" i="1"/>
  <c r="Q2549" i="1"/>
  <c r="R2549" i="1"/>
  <c r="Q2550" i="1"/>
  <c r="R2550" i="1"/>
  <c r="Q2544" i="1"/>
  <c r="R2544" i="1"/>
  <c r="Q2545" i="1"/>
  <c r="R2545" i="1"/>
  <c r="Q2546" i="1"/>
  <c r="R2546" i="1"/>
  <c r="Q2547" i="1"/>
  <c r="R2547" i="1"/>
  <c r="Q2543" i="1"/>
  <c r="R2543" i="1"/>
  <c r="Q2541" i="1"/>
  <c r="R2541" i="1"/>
  <c r="Q2542" i="1"/>
  <c r="R2542" i="1"/>
  <c r="O2539" i="1"/>
  <c r="Q2540" i="1"/>
  <c r="R2540" i="1"/>
  <c r="Q2538" i="1"/>
  <c r="R2538" i="1"/>
  <c r="O2536" i="1"/>
  <c r="R2536" i="1" s="1"/>
  <c r="Q2535" i="1"/>
  <c r="R2535" i="1"/>
  <c r="Q2537" i="1"/>
  <c r="R2537" i="1"/>
  <c r="Q2534" i="1"/>
  <c r="R2534" i="1"/>
  <c r="Q2533" i="1"/>
  <c r="R2533" i="1"/>
  <c r="Q2532" i="1"/>
  <c r="R2532" i="1"/>
  <c r="Q2531" i="1"/>
  <c r="R2531" i="1"/>
  <c r="Q2529" i="1"/>
  <c r="R2529" i="1"/>
  <c r="Q2530" i="1"/>
  <c r="R2530" i="1"/>
  <c r="Q2528" i="1"/>
  <c r="R2528" i="1"/>
  <c r="Q2526" i="1"/>
  <c r="R2526" i="1"/>
  <c r="Q2527" i="1"/>
  <c r="R2527" i="1"/>
  <c r="O2523" i="1"/>
  <c r="R2523" i="1" s="1"/>
  <c r="Q2522" i="1"/>
  <c r="R2522" i="1"/>
  <c r="Q2523" i="1"/>
  <c r="Q2524" i="1"/>
  <c r="R2524" i="1"/>
  <c r="Q2525" i="1"/>
  <c r="R2525" i="1"/>
  <c r="Q2520" i="1"/>
  <c r="R2520" i="1"/>
  <c r="Q2521" i="1"/>
  <c r="R2521" i="1"/>
  <c r="Q2519" i="1"/>
  <c r="R2519" i="1"/>
  <c r="Q2517" i="1"/>
  <c r="R2517" i="1"/>
  <c r="Q2518" i="1"/>
  <c r="R2518" i="1"/>
  <c r="B14" i="4"/>
  <c r="C14" i="4"/>
  <c r="D14" i="4"/>
  <c r="E14" i="4"/>
  <c r="F14" i="4"/>
  <c r="G14" i="4"/>
  <c r="H14" i="4"/>
  <c r="I14" i="4"/>
  <c r="J14" i="4"/>
  <c r="K14" i="4"/>
  <c r="Q2516" i="1"/>
  <c r="R2516" i="1"/>
  <c r="Q2515" i="1"/>
  <c r="R2515" i="1"/>
  <c r="Q2513" i="1"/>
  <c r="R2513" i="1"/>
  <c r="Q2514" i="1"/>
  <c r="R2514" i="1"/>
  <c r="Q2511" i="1"/>
  <c r="R2511" i="1"/>
  <c r="Q2512" i="1"/>
  <c r="R2512" i="1"/>
  <c r="Q2510" i="1"/>
  <c r="R2510" i="1"/>
  <c r="Q2509" i="1"/>
  <c r="R2509" i="1"/>
  <c r="Q2507" i="1"/>
  <c r="R2507" i="1"/>
  <c r="Q2508" i="1"/>
  <c r="R2508" i="1"/>
  <c r="Q2505" i="1"/>
  <c r="R2505" i="1"/>
  <c r="Q2506" i="1"/>
  <c r="R2506" i="1"/>
  <c r="O2501" i="1"/>
  <c r="Q2501" i="1" s="1"/>
  <c r="Q2499" i="1"/>
  <c r="R2499" i="1"/>
  <c r="Q2500" i="1"/>
  <c r="R2500" i="1"/>
  <c r="Q2502" i="1"/>
  <c r="R2502" i="1"/>
  <c r="Q2503" i="1"/>
  <c r="R2503" i="1"/>
  <c r="Q2504" i="1"/>
  <c r="R2504" i="1"/>
  <c r="Q2498" i="1"/>
  <c r="R2498" i="1"/>
  <c r="Q2494" i="1"/>
  <c r="R2494" i="1"/>
  <c r="Q2495" i="1"/>
  <c r="R2495" i="1"/>
  <c r="Q2496" i="1"/>
  <c r="R2496" i="1"/>
  <c r="Q2497" i="1"/>
  <c r="R2497" i="1"/>
  <c r="Q2492" i="1"/>
  <c r="R2492" i="1"/>
  <c r="Q2493" i="1"/>
  <c r="R2493" i="1"/>
  <c r="Q2489" i="1"/>
  <c r="R2489" i="1"/>
  <c r="Q2490" i="1"/>
  <c r="R2490" i="1"/>
  <c r="Q2491" i="1"/>
  <c r="R2491" i="1"/>
  <c r="Q2488" i="1"/>
  <c r="R2488" i="1"/>
  <c r="Q2486" i="1"/>
  <c r="R2486" i="1"/>
  <c r="Q2487" i="1"/>
  <c r="R2487" i="1"/>
  <c r="Q2484" i="1"/>
  <c r="R2484" i="1"/>
  <c r="Q2485" i="1"/>
  <c r="R2485" i="1"/>
  <c r="Q2483" i="1"/>
  <c r="R2483" i="1"/>
  <c r="Q2482" i="1"/>
  <c r="R2482" i="1"/>
  <c r="Q2481" i="1"/>
  <c r="R2481" i="1"/>
  <c r="Q2479" i="1"/>
  <c r="R2479" i="1"/>
  <c r="Q2480" i="1"/>
  <c r="R2480" i="1"/>
  <c r="O2478" i="1"/>
  <c r="R2478" i="1" s="1"/>
  <c r="Q2475" i="1"/>
  <c r="R2475" i="1"/>
  <c r="Q2476" i="1"/>
  <c r="R2476" i="1"/>
  <c r="Q2477" i="1"/>
  <c r="R2477" i="1"/>
  <c r="Q2474" i="1"/>
  <c r="R2474" i="1"/>
  <c r="Q2473" i="1"/>
  <c r="R2473" i="1"/>
  <c r="Q2471" i="1"/>
  <c r="R2471" i="1"/>
  <c r="Q2472" i="1"/>
  <c r="R2472" i="1"/>
  <c r="Q2470" i="1"/>
  <c r="R2470" i="1"/>
  <c r="Q2469" i="1"/>
  <c r="R2469" i="1"/>
  <c r="Q2468" i="1"/>
  <c r="R2468" i="1"/>
  <c r="O2466" i="1"/>
  <c r="R2466" i="1" s="1"/>
  <c r="Q2467" i="1"/>
  <c r="R2467" i="1"/>
  <c r="Q2465" i="1"/>
  <c r="R2465" i="1"/>
  <c r="O2460" i="1"/>
  <c r="Q2460" i="1" s="1"/>
  <c r="Q2463" i="1"/>
  <c r="R2463" i="1"/>
  <c r="Q2464" i="1"/>
  <c r="R2464" i="1"/>
  <c r="Q2461" i="1"/>
  <c r="R2461" i="1"/>
  <c r="Q2462" i="1"/>
  <c r="R2462" i="1"/>
  <c r="Q2456" i="1"/>
  <c r="R2456" i="1"/>
  <c r="Q2457" i="1"/>
  <c r="R2457" i="1"/>
  <c r="Q2458" i="1"/>
  <c r="R2458" i="1"/>
  <c r="Q2459" i="1"/>
  <c r="R2459" i="1"/>
  <c r="Q2453" i="1"/>
  <c r="R2453" i="1"/>
  <c r="Q2454" i="1"/>
  <c r="R2454" i="1"/>
  <c r="Q2455" i="1"/>
  <c r="R2455" i="1"/>
  <c r="Q2452" i="1"/>
  <c r="R2452" i="1"/>
  <c r="Q2450" i="1"/>
  <c r="R2450" i="1"/>
  <c r="Q2449" i="1"/>
  <c r="R2449" i="1"/>
  <c r="Q2451" i="1"/>
  <c r="R2451" i="1"/>
  <c r="B13" i="4"/>
  <c r="C13" i="4"/>
  <c r="D13" i="4"/>
  <c r="E13" i="4"/>
  <c r="F13" i="4"/>
  <c r="G13" i="4"/>
  <c r="H13" i="4"/>
  <c r="I13" i="4"/>
  <c r="J13" i="4"/>
  <c r="K13" i="4"/>
  <c r="Q2448" i="1"/>
  <c r="R2448" i="1"/>
  <c r="Q2447" i="1"/>
  <c r="R2447" i="1"/>
  <c r="Q2446" i="1"/>
  <c r="R2446" i="1"/>
  <c r="Q2445" i="1"/>
  <c r="R2445" i="1"/>
  <c r="Q2444" i="1"/>
  <c r="R2444" i="1"/>
  <c r="Q2443" i="1"/>
  <c r="R2443" i="1"/>
  <c r="Q2439" i="1"/>
  <c r="R2439" i="1"/>
  <c r="Q2440" i="1"/>
  <c r="R2440" i="1"/>
  <c r="Q2441" i="1"/>
  <c r="R2441" i="1"/>
  <c r="Q2442" i="1"/>
  <c r="R2442" i="1"/>
  <c r="Q2436" i="1"/>
  <c r="R2436" i="1"/>
  <c r="Q2437" i="1"/>
  <c r="R2437" i="1"/>
  <c r="Q2438" i="1"/>
  <c r="R2438" i="1"/>
  <c r="Q2431" i="1"/>
  <c r="R2431" i="1"/>
  <c r="Q2432" i="1"/>
  <c r="R2432" i="1"/>
  <c r="Q2433" i="1"/>
  <c r="R2433" i="1"/>
  <c r="Q2434" i="1"/>
  <c r="R2434" i="1"/>
  <c r="Q2435" i="1"/>
  <c r="R2435" i="1"/>
  <c r="Q2430" i="1"/>
  <c r="R2430" i="1"/>
  <c r="Q2427" i="1"/>
  <c r="R2427" i="1"/>
  <c r="Q2428" i="1"/>
  <c r="R2428" i="1"/>
  <c r="Q2429" i="1"/>
  <c r="R2429" i="1"/>
  <c r="Q2426" i="1"/>
  <c r="R2426" i="1"/>
  <c r="Q2423" i="1"/>
  <c r="R2423" i="1"/>
  <c r="Q2424" i="1"/>
  <c r="R2424" i="1"/>
  <c r="Q2425" i="1"/>
  <c r="R2425" i="1"/>
  <c r="Q2421" i="1"/>
  <c r="R2421" i="1"/>
  <c r="Q2422" i="1"/>
  <c r="R2422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14" i="1"/>
  <c r="R2414" i="1"/>
  <c r="Q2412" i="1"/>
  <c r="R2412" i="1"/>
  <c r="Q2413" i="1"/>
  <c r="R2413" i="1"/>
  <c r="Q2411" i="1"/>
  <c r="R2411" i="1"/>
  <c r="Q2410" i="1"/>
  <c r="R2410" i="1"/>
  <c r="Q2408" i="1"/>
  <c r="R2408" i="1"/>
  <c r="Q2409" i="1"/>
  <c r="R2409" i="1"/>
  <c r="Q2407" i="1"/>
  <c r="R2407" i="1"/>
  <c r="O2405" i="1"/>
  <c r="R2405" i="1" s="1"/>
  <c r="Q2406" i="1"/>
  <c r="R2406" i="1"/>
  <c r="Q2403" i="1"/>
  <c r="R2403" i="1"/>
  <c r="Q2404" i="1"/>
  <c r="R2404" i="1"/>
  <c r="Q2401" i="1"/>
  <c r="R2401" i="1"/>
  <c r="Q2402" i="1"/>
  <c r="R2402" i="1"/>
  <c r="Q2396" i="1"/>
  <c r="R2396" i="1"/>
  <c r="Q2397" i="1"/>
  <c r="R2397" i="1"/>
  <c r="Q2398" i="1"/>
  <c r="R2398" i="1"/>
  <c r="Q2399" i="1"/>
  <c r="R2399" i="1"/>
  <c r="Q2400" i="1"/>
  <c r="R2400" i="1"/>
  <c r="Q2395" i="1"/>
  <c r="R2395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O2388" i="1"/>
  <c r="R2388" i="1" s="1"/>
  <c r="Q2387" i="1"/>
  <c r="R2387" i="1"/>
  <c r="Q2386" i="1"/>
  <c r="R2386" i="1"/>
  <c r="Q2384" i="1"/>
  <c r="R2384" i="1"/>
  <c r="Q2385" i="1"/>
  <c r="R2385" i="1"/>
  <c r="Q2380" i="1"/>
  <c r="R2380" i="1"/>
  <c r="Q2381" i="1"/>
  <c r="R2381" i="1"/>
  <c r="Q2382" i="1"/>
  <c r="R2382" i="1"/>
  <c r="Q2383" i="1"/>
  <c r="R2383" i="1"/>
  <c r="Q2379" i="1"/>
  <c r="R2379" i="1"/>
  <c r="Q2378" i="1"/>
  <c r="R2378" i="1"/>
  <c r="Q2377" i="1"/>
  <c r="R2377" i="1"/>
  <c r="Q2376" i="1"/>
  <c r="R2376" i="1"/>
  <c r="Q2375" i="1"/>
  <c r="R2375" i="1"/>
  <c r="Q2373" i="1"/>
  <c r="R2373" i="1"/>
  <c r="Q2374" i="1"/>
  <c r="R2374" i="1"/>
  <c r="Q2372" i="1"/>
  <c r="R2372" i="1"/>
  <c r="Q2370" i="1"/>
  <c r="R2370" i="1"/>
  <c r="Q2371" i="1"/>
  <c r="R2371" i="1"/>
  <c r="Q2366" i="1"/>
  <c r="R2366" i="1"/>
  <c r="Q2367" i="1"/>
  <c r="R2367" i="1"/>
  <c r="Q2368" i="1"/>
  <c r="R2368" i="1"/>
  <c r="Q2369" i="1"/>
  <c r="R2369" i="1"/>
  <c r="Q2365" i="1"/>
  <c r="R2365" i="1"/>
  <c r="Q2364" i="1"/>
  <c r="R2364" i="1"/>
  <c r="Q2362" i="1"/>
  <c r="R2362" i="1"/>
  <c r="Q2363" i="1"/>
  <c r="R2363" i="1"/>
  <c r="Q2360" i="1"/>
  <c r="R2360" i="1"/>
  <c r="Q2361" i="1"/>
  <c r="R2361" i="1"/>
  <c r="P2358" i="1"/>
  <c r="Q2359" i="1"/>
  <c r="R2359" i="1"/>
  <c r="Q2357" i="1"/>
  <c r="R2357" i="1"/>
  <c r="Q2358" i="1"/>
  <c r="R2358" i="1"/>
  <c r="Q2355" i="1"/>
  <c r="R2355" i="1"/>
  <c r="Q2356" i="1"/>
  <c r="R2356" i="1"/>
  <c r="Q2351" i="1"/>
  <c r="R2351" i="1"/>
  <c r="Q2352" i="1"/>
  <c r="R2352" i="1"/>
  <c r="Q2353" i="1"/>
  <c r="R2353" i="1"/>
  <c r="Q2354" i="1"/>
  <c r="R2354" i="1"/>
  <c r="Q2349" i="1"/>
  <c r="R2349" i="1"/>
  <c r="Q2350" i="1"/>
  <c r="R2350" i="1"/>
  <c r="R2348" i="1"/>
  <c r="Q2348" i="1"/>
  <c r="Q2346" i="1"/>
  <c r="R2346" i="1"/>
  <c r="Q2347" i="1"/>
  <c r="R2347" i="1"/>
  <c r="Q2344" i="1"/>
  <c r="R2344" i="1"/>
  <c r="Q2345" i="1"/>
  <c r="R2345" i="1"/>
  <c r="R2342" i="1"/>
  <c r="Q2342" i="1"/>
  <c r="Q2341" i="1"/>
  <c r="R2341" i="1"/>
  <c r="Q2343" i="1"/>
  <c r="R2343" i="1"/>
  <c r="R2340" i="1"/>
  <c r="Q2340" i="1"/>
  <c r="R2339" i="1"/>
  <c r="Q2339" i="1"/>
  <c r="Q2338" i="1"/>
  <c r="R2338" i="1"/>
  <c r="Q2337" i="1"/>
  <c r="R2337" i="1"/>
  <c r="Q2336" i="1"/>
  <c r="R2336" i="1"/>
  <c r="Q2335" i="1"/>
  <c r="R2335" i="1"/>
  <c r="Q2334" i="1"/>
  <c r="R2334" i="1"/>
  <c r="Q2333" i="1"/>
  <c r="R2333" i="1"/>
  <c r="Q2332" i="1"/>
  <c r="R2332" i="1"/>
  <c r="Q2331" i="1"/>
  <c r="R2331" i="1"/>
  <c r="Q2328" i="1"/>
  <c r="R2328" i="1"/>
  <c r="Q2329" i="1"/>
  <c r="R2329" i="1"/>
  <c r="Q2330" i="1"/>
  <c r="R2330" i="1"/>
  <c r="Q2327" i="1"/>
  <c r="R2327" i="1"/>
  <c r="Q2324" i="1"/>
  <c r="R2324" i="1"/>
  <c r="Q2325" i="1"/>
  <c r="R2325" i="1"/>
  <c r="Q2326" i="1"/>
  <c r="R2326" i="1"/>
  <c r="Q2323" i="1"/>
  <c r="R2323" i="1"/>
  <c r="Q2322" i="1"/>
  <c r="R2322" i="1"/>
  <c r="Q2320" i="1"/>
  <c r="R2320" i="1"/>
  <c r="Q2321" i="1"/>
  <c r="R2321" i="1"/>
  <c r="Q2315" i="1"/>
  <c r="R2315" i="1"/>
  <c r="Q2316" i="1"/>
  <c r="R2316" i="1"/>
  <c r="Q2317" i="1"/>
  <c r="R2317" i="1"/>
  <c r="Q2318" i="1"/>
  <c r="R2318" i="1"/>
  <c r="Q2319" i="1"/>
  <c r="R2319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P2302" i="1"/>
  <c r="R2302" i="1" s="1"/>
  <c r="Q2304" i="1"/>
  <c r="R2304" i="1"/>
  <c r="Q2305" i="1"/>
  <c r="R2305" i="1"/>
  <c r="Q2306" i="1"/>
  <c r="R2306" i="1"/>
  <c r="R2307" i="1"/>
  <c r="Q2307" i="1"/>
  <c r="Q2300" i="1"/>
  <c r="R2300" i="1"/>
  <c r="Q2301" i="1"/>
  <c r="R2301" i="1"/>
  <c r="Q2302" i="1"/>
  <c r="Q2303" i="1"/>
  <c r="R2303" i="1"/>
  <c r="Q2299" i="1"/>
  <c r="R2299" i="1"/>
  <c r="Q2297" i="1"/>
  <c r="R2297" i="1"/>
  <c r="Q2298" i="1"/>
  <c r="R2298" i="1"/>
  <c r="Q2296" i="1"/>
  <c r="R2296" i="1"/>
  <c r="Q2294" i="1"/>
  <c r="R2294" i="1"/>
  <c r="Q2295" i="1"/>
  <c r="R2295" i="1"/>
  <c r="Q2291" i="1"/>
  <c r="R2291" i="1"/>
  <c r="Q2292" i="1"/>
  <c r="R2292" i="1"/>
  <c r="Q2293" i="1"/>
  <c r="R2293" i="1"/>
  <c r="Q2288" i="1"/>
  <c r="R2288" i="1"/>
  <c r="Q2289" i="1"/>
  <c r="R2289" i="1"/>
  <c r="Q2290" i="1"/>
  <c r="R2290" i="1"/>
  <c r="Q2283" i="1"/>
  <c r="R2283" i="1"/>
  <c r="Q2284" i="1"/>
  <c r="R2284" i="1"/>
  <c r="Q2285" i="1"/>
  <c r="R2285" i="1"/>
  <c r="Q2286" i="1"/>
  <c r="R2286" i="1"/>
  <c r="Q2287" i="1"/>
  <c r="R2287" i="1"/>
  <c r="Q2278" i="1"/>
  <c r="R2278" i="1"/>
  <c r="Q2279" i="1"/>
  <c r="R2279" i="1"/>
  <c r="Q2280" i="1"/>
  <c r="R2280" i="1"/>
  <c r="Q2281" i="1"/>
  <c r="R2281" i="1"/>
  <c r="Q2282" i="1"/>
  <c r="R2282" i="1"/>
  <c r="Q2275" i="1"/>
  <c r="R2275" i="1"/>
  <c r="Q2276" i="1"/>
  <c r="R2276" i="1"/>
  <c r="Q2277" i="1"/>
  <c r="R2277" i="1"/>
  <c r="R227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58" i="1"/>
  <c r="R2259" i="1"/>
  <c r="Q2264" i="1"/>
  <c r="R2264" i="1"/>
  <c r="Q2256" i="1"/>
  <c r="R2256" i="1"/>
  <c r="Q2257" i="1"/>
  <c r="R2257" i="1"/>
  <c r="Q2258" i="1"/>
  <c r="Q2259" i="1"/>
  <c r="Q2260" i="1"/>
  <c r="R2260" i="1"/>
  <c r="Q2261" i="1"/>
  <c r="R2261" i="1"/>
  <c r="Q2262" i="1"/>
  <c r="R2262" i="1"/>
  <c r="Q2263" i="1"/>
  <c r="R2263" i="1"/>
  <c r="Q2250" i="1"/>
  <c r="R2250" i="1"/>
  <c r="Q2252" i="1"/>
  <c r="R2252" i="1"/>
  <c r="Q2253" i="1"/>
  <c r="R2253" i="1"/>
  <c r="Q2254" i="1"/>
  <c r="R2254" i="1"/>
  <c r="Q2255" i="1"/>
  <c r="R2255" i="1"/>
  <c r="V1" i="8"/>
  <c r="Q2247" i="1"/>
  <c r="R2247" i="1"/>
  <c r="Q2251" i="1"/>
  <c r="R2251" i="1"/>
  <c r="B31" i="4"/>
  <c r="C31" i="4"/>
  <c r="D31" i="4"/>
  <c r="E31" i="4"/>
  <c r="F31" i="4"/>
  <c r="G31" i="4"/>
  <c r="H31" i="4"/>
  <c r="I31" i="4"/>
  <c r="J31" i="4"/>
  <c r="K31" i="4"/>
  <c r="Q2246" i="1"/>
  <c r="R2246" i="1"/>
  <c r="Q2248" i="1"/>
  <c r="R2248" i="1"/>
  <c r="Q2249" i="1"/>
  <c r="R2249" i="1"/>
  <c r="Q2245" i="1"/>
  <c r="R2245" i="1"/>
  <c r="Q2244" i="1"/>
  <c r="R2244" i="1"/>
  <c r="Q2241" i="1"/>
  <c r="R2241" i="1"/>
  <c r="Q2242" i="1"/>
  <c r="R2242" i="1"/>
  <c r="Q2243" i="1"/>
  <c r="R2243" i="1"/>
  <c r="Q2238" i="1"/>
  <c r="R2238" i="1"/>
  <c r="Q2239" i="1"/>
  <c r="R2239" i="1"/>
  <c r="Q2240" i="1"/>
  <c r="R2240" i="1"/>
  <c r="Q2236" i="1"/>
  <c r="R2236" i="1"/>
  <c r="Q2237" i="1"/>
  <c r="R2237" i="1"/>
  <c r="O2233" i="1"/>
  <c r="R2233" i="1" s="1"/>
  <c r="O2232" i="1"/>
  <c r="Q2234" i="1"/>
  <c r="R2234" i="1"/>
  <c r="Q2235" i="1"/>
  <c r="R2235" i="1"/>
  <c r="Q2231" i="1"/>
  <c r="R2231" i="1"/>
  <c r="Q2230" i="1"/>
  <c r="R2230" i="1"/>
  <c r="Q2229" i="1"/>
  <c r="R2229" i="1"/>
  <c r="Q2228" i="1"/>
  <c r="R2228" i="1"/>
  <c r="Q2226" i="1"/>
  <c r="R2226" i="1"/>
  <c r="Q2227" i="1"/>
  <c r="R2227" i="1"/>
  <c r="Q2225" i="1"/>
  <c r="R2225" i="1"/>
  <c r="O2224" i="1"/>
  <c r="R2224" i="1" s="1"/>
  <c r="Q2223" i="1"/>
  <c r="R2223" i="1"/>
  <c r="Q2224" i="1"/>
  <c r="O2222" i="1"/>
  <c r="Q2222" i="1" s="1"/>
  <c r="R2220" i="1"/>
  <c r="R2221" i="1"/>
  <c r="Q2220" i="1"/>
  <c r="Q2221" i="1"/>
  <c r="Q2219" i="1"/>
  <c r="R2219" i="1"/>
  <c r="B12" i="4"/>
  <c r="C12" i="4"/>
  <c r="D12" i="4"/>
  <c r="E12" i="4"/>
  <c r="F12" i="4"/>
  <c r="G12" i="4"/>
  <c r="H12" i="4"/>
  <c r="I12" i="4"/>
  <c r="J12" i="4"/>
  <c r="K12" i="4"/>
  <c r="R2217" i="1"/>
  <c r="Q2218" i="1"/>
  <c r="R2218" i="1"/>
  <c r="R2216" i="1"/>
  <c r="Q2216" i="1"/>
  <c r="Q2215" i="1"/>
  <c r="Q2217" i="1"/>
  <c r="Q2213" i="1"/>
  <c r="R2213" i="1"/>
  <c r="Q2214" i="1"/>
  <c r="R2214" i="1"/>
  <c r="R2215" i="1"/>
  <c r="Q2212" i="1"/>
  <c r="R2212" i="1"/>
  <c r="Q2209" i="1"/>
  <c r="R2209" i="1"/>
  <c r="Q2210" i="1"/>
  <c r="R2210" i="1"/>
  <c r="Q2211" i="1"/>
  <c r="R2211" i="1"/>
  <c r="Q2208" i="1"/>
  <c r="R2208" i="1"/>
  <c r="Q2207" i="1"/>
  <c r="R2207" i="1"/>
  <c r="Q2206" i="1"/>
  <c r="R2206" i="1"/>
  <c r="Q2205" i="1"/>
  <c r="R2205" i="1"/>
  <c r="Q2203" i="1"/>
  <c r="R2203" i="1"/>
  <c r="Q2204" i="1"/>
  <c r="R2204" i="1"/>
  <c r="U1" i="8"/>
  <c r="R2202" i="1"/>
  <c r="Q2202" i="1"/>
  <c r="O2197" i="1"/>
  <c r="Q2197" i="1" s="1"/>
  <c r="Q2201" i="1"/>
  <c r="R2201" i="1"/>
  <c r="Q2199" i="1"/>
  <c r="R2199" i="1"/>
  <c r="Q2200" i="1"/>
  <c r="R2200" i="1"/>
  <c r="Q2196" i="1"/>
  <c r="R2196" i="1"/>
  <c r="Q2198" i="1"/>
  <c r="R2198" i="1"/>
  <c r="Q2194" i="1"/>
  <c r="R2194" i="1"/>
  <c r="Q2195" i="1"/>
  <c r="R2195" i="1"/>
  <c r="A1" i="8"/>
  <c r="B1" i="8"/>
  <c r="C1" i="8"/>
  <c r="D1" i="8"/>
  <c r="E1" i="8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Q2192" i="1"/>
  <c r="R2192" i="1"/>
  <c r="Q2193" i="1"/>
  <c r="R2193" i="1"/>
  <c r="Q2190" i="1"/>
  <c r="R2190" i="1"/>
  <c r="Q2191" i="1"/>
  <c r="R2191" i="1"/>
  <c r="R2189" i="1"/>
  <c r="Q2189" i="1"/>
  <c r="Q2187" i="1"/>
  <c r="R2187" i="1"/>
  <c r="Q2188" i="1"/>
  <c r="R2188" i="1"/>
  <c r="Q2183" i="1"/>
  <c r="R2183" i="1"/>
  <c r="Q2184" i="1"/>
  <c r="R2184" i="1"/>
  <c r="Q2185" i="1"/>
  <c r="R2185" i="1"/>
  <c r="Q2186" i="1"/>
  <c r="R2186" i="1"/>
  <c r="Q2179" i="1"/>
  <c r="R2179" i="1"/>
  <c r="Q2180" i="1"/>
  <c r="R2180" i="1"/>
  <c r="Q2181" i="1"/>
  <c r="R2181" i="1"/>
  <c r="Q2182" i="1"/>
  <c r="R2182" i="1"/>
  <c r="Q2177" i="1"/>
  <c r="R2177" i="1"/>
  <c r="Q2178" i="1"/>
  <c r="R2178" i="1"/>
  <c r="Q2173" i="1"/>
  <c r="R2173" i="1"/>
  <c r="Q2174" i="1"/>
  <c r="R2174" i="1"/>
  <c r="Q2175" i="1"/>
  <c r="R2175" i="1"/>
  <c r="Q2176" i="1"/>
  <c r="R2176" i="1"/>
  <c r="R2089" i="1"/>
  <c r="Q2171" i="1"/>
  <c r="R2171" i="1"/>
  <c r="Q2172" i="1"/>
  <c r="R2172" i="1"/>
  <c r="Q2170" i="1"/>
  <c r="R2170" i="1"/>
  <c r="Q2169" i="1"/>
  <c r="R2169" i="1"/>
  <c r="Q2168" i="1"/>
  <c r="R2168" i="1"/>
  <c r="Q2167" i="1"/>
  <c r="R2167" i="1"/>
  <c r="Q2166" i="1"/>
  <c r="R2166" i="1"/>
  <c r="O2164" i="1"/>
  <c r="R2164" i="1" s="1"/>
  <c r="Q2165" i="1"/>
  <c r="R2165" i="1"/>
  <c r="Q2163" i="1"/>
  <c r="R2163" i="1"/>
  <c r="O2162" i="1"/>
  <c r="R2162" i="1" s="1"/>
  <c r="Q2161" i="1"/>
  <c r="R2161" i="1"/>
  <c r="Q2160" i="1"/>
  <c r="R2160" i="1"/>
  <c r="Q2159" i="1"/>
  <c r="R2159" i="1"/>
  <c r="R2158" i="1"/>
  <c r="Q2158" i="1"/>
  <c r="Q2157" i="1"/>
  <c r="R2157" i="1"/>
  <c r="Q2156" i="1"/>
  <c r="R2156" i="1"/>
  <c r="Q2155" i="1"/>
  <c r="R2155" i="1"/>
  <c r="Q2153" i="1"/>
  <c r="R2153" i="1"/>
  <c r="Q2154" i="1"/>
  <c r="R2154" i="1"/>
  <c r="Q2150" i="1"/>
  <c r="R2150" i="1"/>
  <c r="Q2151" i="1"/>
  <c r="R2151" i="1"/>
  <c r="Q2152" i="1"/>
  <c r="R2152" i="1"/>
  <c r="Q2146" i="1"/>
  <c r="R2146" i="1"/>
  <c r="Q2147" i="1"/>
  <c r="R2147" i="1"/>
  <c r="Q2148" i="1"/>
  <c r="R2148" i="1"/>
  <c r="Q2149" i="1"/>
  <c r="R2149" i="1"/>
  <c r="Q2133" i="1"/>
  <c r="R2133" i="1"/>
  <c r="Q2145" i="1"/>
  <c r="R2145" i="1"/>
  <c r="Q2144" i="1"/>
  <c r="R2144" i="1"/>
  <c r="Q2143" i="1"/>
  <c r="R2143" i="1"/>
  <c r="Q2142" i="1"/>
  <c r="R2142" i="1"/>
  <c r="Q2139" i="1"/>
  <c r="R2139" i="1"/>
  <c r="Q2140" i="1"/>
  <c r="R2140" i="1"/>
  <c r="Q2141" i="1"/>
  <c r="R2141" i="1"/>
  <c r="Q2138" i="1"/>
  <c r="R2138" i="1"/>
  <c r="Q2136" i="1"/>
  <c r="R2136" i="1"/>
  <c r="Q2137" i="1"/>
  <c r="R2137" i="1"/>
  <c r="Q2134" i="1"/>
  <c r="R2134" i="1"/>
  <c r="Q2135" i="1"/>
  <c r="R2135" i="1"/>
  <c r="Q2131" i="1"/>
  <c r="R2131" i="1"/>
  <c r="Q2132" i="1"/>
  <c r="R2132" i="1"/>
  <c r="O2125" i="1"/>
  <c r="Q2125" i="1" s="1"/>
  <c r="Q2126" i="1"/>
  <c r="R2126" i="1"/>
  <c r="Q2127" i="1"/>
  <c r="R2127" i="1"/>
  <c r="Q2128" i="1"/>
  <c r="R2128" i="1"/>
  <c r="Q2129" i="1"/>
  <c r="R2129" i="1"/>
  <c r="Q2130" i="1"/>
  <c r="R2130" i="1"/>
  <c r="Q2120" i="1"/>
  <c r="R2120" i="1"/>
  <c r="Q2121" i="1"/>
  <c r="R2121" i="1"/>
  <c r="Q2122" i="1"/>
  <c r="R2122" i="1"/>
  <c r="Q2123" i="1"/>
  <c r="R2123" i="1"/>
  <c r="Q2124" i="1"/>
  <c r="R2124" i="1"/>
  <c r="O2118" i="1"/>
  <c r="R2118" i="1" s="1"/>
  <c r="Q2117" i="1"/>
  <c r="R2117" i="1"/>
  <c r="Q2119" i="1"/>
  <c r="R2119" i="1"/>
  <c r="Q2115" i="1"/>
  <c r="R2115" i="1"/>
  <c r="Q2116" i="1"/>
  <c r="R2116" i="1"/>
  <c r="Q2114" i="1"/>
  <c r="R2114" i="1"/>
  <c r="Q2113" i="1"/>
  <c r="R2113" i="1"/>
  <c r="Q2112" i="1"/>
  <c r="R2112" i="1"/>
  <c r="O2111" i="1"/>
  <c r="R2111" i="1" s="1"/>
  <c r="Q2110" i="1"/>
  <c r="R2110" i="1"/>
  <c r="Q2111" i="1"/>
  <c r="Q2108" i="1"/>
  <c r="R2108" i="1"/>
  <c r="Q2109" i="1"/>
  <c r="R2109" i="1"/>
  <c r="Q2107" i="1"/>
  <c r="R2107" i="1"/>
  <c r="Q2106" i="1"/>
  <c r="R2106" i="1"/>
  <c r="O2105" i="1"/>
  <c r="Q2104" i="1"/>
  <c r="R2104" i="1"/>
  <c r="Q2103" i="1"/>
  <c r="R2103" i="1"/>
  <c r="O2102" i="1"/>
  <c r="R2102" i="1" s="1"/>
  <c r="Q2098" i="1"/>
  <c r="R2098" i="1"/>
  <c r="Q2099" i="1"/>
  <c r="R2099" i="1"/>
  <c r="Q2100" i="1"/>
  <c r="R2100" i="1"/>
  <c r="Q2101" i="1"/>
  <c r="R2101" i="1"/>
  <c r="Q2102" i="1"/>
  <c r="Q2095" i="1"/>
  <c r="R2095" i="1"/>
  <c r="Q2096" i="1"/>
  <c r="R2096" i="1"/>
  <c r="Q2097" i="1"/>
  <c r="R2097" i="1"/>
  <c r="Q2093" i="1"/>
  <c r="R2093" i="1"/>
  <c r="Q2094" i="1"/>
  <c r="R2094" i="1"/>
  <c r="R2090" i="1"/>
  <c r="Q2090" i="1"/>
  <c r="Q2086" i="1"/>
  <c r="R2086" i="1"/>
  <c r="Q2087" i="1"/>
  <c r="R2087" i="1"/>
  <c r="Q2088" i="1"/>
  <c r="R2088" i="1"/>
  <c r="Q2089" i="1"/>
  <c r="Q2091" i="1"/>
  <c r="R2091" i="1"/>
  <c r="Q2092" i="1"/>
  <c r="R2092" i="1"/>
  <c r="Q2085" i="1"/>
  <c r="R2085" i="1"/>
  <c r="Q2083" i="1"/>
  <c r="R2083" i="1"/>
  <c r="Q2084" i="1"/>
  <c r="R2084" i="1"/>
  <c r="Q2082" i="1"/>
  <c r="R2082" i="1"/>
  <c r="Q2081" i="1"/>
  <c r="R2081" i="1"/>
  <c r="Q2080" i="1"/>
  <c r="R2080" i="1"/>
  <c r="Q2079" i="1"/>
  <c r="R2079" i="1"/>
  <c r="Q2077" i="1"/>
  <c r="R2077" i="1"/>
  <c r="Q2078" i="1"/>
  <c r="R2078" i="1"/>
  <c r="Q2073" i="1"/>
  <c r="R2073" i="1"/>
  <c r="Q2074" i="1"/>
  <c r="R2074" i="1"/>
  <c r="Q2075" i="1"/>
  <c r="R2075" i="1"/>
  <c r="Q2076" i="1"/>
  <c r="R2076" i="1"/>
  <c r="Q2068" i="1"/>
  <c r="R2068" i="1"/>
  <c r="Q2069" i="1"/>
  <c r="R2069" i="1"/>
  <c r="Q2070" i="1"/>
  <c r="R2070" i="1"/>
  <c r="Q2071" i="1"/>
  <c r="R2071" i="1"/>
  <c r="Q2072" i="1"/>
  <c r="R2072" i="1"/>
  <c r="Q2063" i="1"/>
  <c r="R2063" i="1"/>
  <c r="Q2064" i="1"/>
  <c r="R2064" i="1"/>
  <c r="Q2065" i="1"/>
  <c r="R2065" i="1"/>
  <c r="Q2066" i="1"/>
  <c r="R2066" i="1"/>
  <c r="Q2067" i="1"/>
  <c r="R2067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O2019" i="1"/>
  <c r="Q2019" i="1" s="1"/>
  <c r="Q2017" i="1"/>
  <c r="R2017" i="1"/>
  <c r="Q2018" i="1"/>
  <c r="R2018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O1969" i="1"/>
  <c r="Q1969" i="1" s="1"/>
  <c r="O1965" i="1"/>
  <c r="R1965" i="1" s="1"/>
  <c r="Q1966" i="1"/>
  <c r="R1966" i="1"/>
  <c r="Q1967" i="1"/>
  <c r="R1967" i="1"/>
  <c r="Q1968" i="1"/>
  <c r="R1968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O1942" i="1"/>
  <c r="R1942" i="1" s="1"/>
  <c r="Q1941" i="1"/>
  <c r="R1941" i="1"/>
  <c r="Q1942" i="1"/>
  <c r="Q1943" i="1"/>
  <c r="R1943" i="1"/>
  <c r="Q1940" i="1"/>
  <c r="R1940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R1868" i="1"/>
  <c r="O1914" i="1"/>
  <c r="Q1914" i="1" s="1"/>
  <c r="O1900" i="1"/>
  <c r="Q1900" i="1" s="1"/>
  <c r="O1896" i="1"/>
  <c r="Q1896" i="1" s="1"/>
  <c r="Q1915" i="1"/>
  <c r="R1915" i="1"/>
  <c r="Q1916" i="1"/>
  <c r="R1916" i="1"/>
  <c r="O1870" i="1"/>
  <c r="R1870" i="1" s="1"/>
  <c r="O1864" i="1"/>
  <c r="R1864" i="1" s="1"/>
  <c r="O1863" i="1"/>
  <c r="R1863" i="1" s="1"/>
  <c r="O1857" i="1"/>
  <c r="Q1857" i="1" s="1"/>
  <c r="Q1897" i="1"/>
  <c r="R1897" i="1"/>
  <c r="Q1898" i="1"/>
  <c r="R1898" i="1"/>
  <c r="Q1899" i="1"/>
  <c r="R1899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O1845" i="1"/>
  <c r="Q1845" i="1" s="1"/>
  <c r="O1844" i="1"/>
  <c r="Q1844" i="1" s="1"/>
  <c r="R1815" i="1"/>
  <c r="R1816" i="1"/>
  <c r="R1817" i="1"/>
  <c r="R1818" i="1"/>
  <c r="R1819" i="1"/>
  <c r="R1820" i="1"/>
  <c r="R1821" i="1"/>
  <c r="R1822" i="1"/>
  <c r="R1823" i="1"/>
  <c r="Q1815" i="1"/>
  <c r="Q1816" i="1"/>
  <c r="Q1817" i="1"/>
  <c r="Q1818" i="1"/>
  <c r="Q1819" i="1"/>
  <c r="Q1820" i="1"/>
  <c r="Q1821" i="1"/>
  <c r="Q1822" i="1"/>
  <c r="R1810" i="1"/>
  <c r="Q1810" i="1"/>
  <c r="R1808" i="1"/>
  <c r="Q180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88" i="1"/>
  <c r="R1888" i="1"/>
  <c r="Q1811" i="1"/>
  <c r="R1811" i="1"/>
  <c r="Q1812" i="1"/>
  <c r="R1812" i="1"/>
  <c r="Q1813" i="1"/>
  <c r="R1813" i="1"/>
  <c r="Q1814" i="1"/>
  <c r="R1814" i="1"/>
  <c r="Q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8" i="1"/>
  <c r="R1858" i="1"/>
  <c r="Q1859" i="1"/>
  <c r="R1859" i="1"/>
  <c r="Q1860" i="1"/>
  <c r="R1860" i="1"/>
  <c r="Q1861" i="1"/>
  <c r="R1861" i="1"/>
  <c r="Q1862" i="1"/>
  <c r="R1862" i="1"/>
  <c r="Q1865" i="1"/>
  <c r="R1865" i="1"/>
  <c r="Q1866" i="1"/>
  <c r="R1866" i="1"/>
  <c r="Q1867" i="1"/>
  <c r="R1867" i="1"/>
  <c r="Q1868" i="1"/>
  <c r="Q1869" i="1"/>
  <c r="R1869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09" i="1"/>
  <c r="R1809" i="1"/>
  <c r="Q1805" i="1"/>
  <c r="R1805" i="1"/>
  <c r="Q1806" i="1"/>
  <c r="R1806" i="1"/>
  <c r="Q1807" i="1"/>
  <c r="R1807" i="1"/>
  <c r="Q1804" i="1"/>
  <c r="R1804" i="1"/>
  <c r="Q1802" i="1"/>
  <c r="R1802" i="1"/>
  <c r="Q1803" i="1"/>
  <c r="R1803" i="1"/>
  <c r="Q1799" i="1"/>
  <c r="R1799" i="1"/>
  <c r="O1801" i="1"/>
  <c r="R1801" i="1" s="1"/>
  <c r="Q1800" i="1"/>
  <c r="R1800" i="1"/>
  <c r="Q1797" i="1"/>
  <c r="R1797" i="1"/>
  <c r="Q1798" i="1"/>
  <c r="R1798" i="1"/>
  <c r="Q1796" i="1"/>
  <c r="R1796" i="1"/>
  <c r="Q1793" i="1"/>
  <c r="R1793" i="1"/>
  <c r="Q1794" i="1"/>
  <c r="R1794" i="1"/>
  <c r="Q1795" i="1"/>
  <c r="R1795" i="1"/>
  <c r="Q1792" i="1"/>
  <c r="R1792" i="1"/>
  <c r="Q1790" i="1"/>
  <c r="R1790" i="1"/>
  <c r="Q1791" i="1"/>
  <c r="R1791" i="1"/>
  <c r="Q1789" i="1"/>
  <c r="R1789" i="1"/>
  <c r="O1787" i="1"/>
  <c r="R1787" i="1" s="1"/>
  <c r="Q1788" i="1"/>
  <c r="R1788" i="1"/>
  <c r="P1786" i="1"/>
  <c r="R1786" i="1" s="1"/>
  <c r="Q1786" i="1"/>
  <c r="O1784" i="1"/>
  <c r="R1784" i="1" s="1"/>
  <c r="Q1783" i="1"/>
  <c r="R1783" i="1"/>
  <c r="Q1784" i="1"/>
  <c r="Q1785" i="1"/>
  <c r="R1785" i="1"/>
  <c r="Q1782" i="1"/>
  <c r="R1782" i="1"/>
  <c r="Q1780" i="1"/>
  <c r="R1780" i="1"/>
  <c r="Q1781" i="1"/>
  <c r="R1781" i="1"/>
  <c r="Q1777" i="1"/>
  <c r="R1777" i="1"/>
  <c r="Q1778" i="1"/>
  <c r="R1778" i="1"/>
  <c r="Q1779" i="1"/>
  <c r="R1779" i="1"/>
  <c r="Q1776" i="1"/>
  <c r="R1776" i="1"/>
  <c r="Q1775" i="1"/>
  <c r="R1775" i="1"/>
  <c r="Q1774" i="1"/>
  <c r="R1774" i="1"/>
  <c r="Q1772" i="1"/>
  <c r="R1772" i="1"/>
  <c r="Q1773" i="1"/>
  <c r="R1773" i="1"/>
  <c r="Q1771" i="1"/>
  <c r="R1771" i="1"/>
  <c r="Q1770" i="1"/>
  <c r="R1770" i="1"/>
  <c r="Q1769" i="1"/>
  <c r="R1769" i="1"/>
  <c r="Q1768" i="1"/>
  <c r="R1768" i="1"/>
  <c r="Q1767" i="1"/>
  <c r="R1767" i="1"/>
  <c r="R1754" i="1"/>
  <c r="R1755" i="1"/>
  <c r="R1756" i="1"/>
  <c r="R1757" i="1"/>
  <c r="R1759" i="1"/>
  <c r="R1760" i="1"/>
  <c r="R1761" i="1"/>
  <c r="R1762" i="1"/>
  <c r="R1763" i="1"/>
  <c r="R1764" i="1"/>
  <c r="R1765" i="1"/>
  <c r="R1766" i="1"/>
  <c r="Q1765" i="1"/>
  <c r="Q1766" i="1"/>
  <c r="Q1763" i="1"/>
  <c r="Q1764" i="1"/>
  <c r="Q1762" i="1"/>
  <c r="Q1761" i="1"/>
  <c r="Q1760" i="1"/>
  <c r="O1758" i="1"/>
  <c r="R1758" i="1" s="1"/>
  <c r="Q1759" i="1"/>
  <c r="Q1757" i="1"/>
  <c r="Q1756" i="1"/>
  <c r="Q1755" i="1"/>
  <c r="O1753" i="1"/>
  <c r="R1753" i="1" s="1"/>
  <c r="Q1754" i="1"/>
  <c r="O1751" i="1"/>
  <c r="R1751" i="1" s="1"/>
  <c r="Q1752" i="1"/>
  <c r="R1752" i="1"/>
  <c r="Q1748" i="1"/>
  <c r="R1748" i="1"/>
  <c r="Q1749" i="1"/>
  <c r="R1749" i="1"/>
  <c r="Q1750" i="1"/>
  <c r="R1750" i="1"/>
  <c r="R1745" i="1"/>
  <c r="R1746" i="1"/>
  <c r="R1747" i="1"/>
  <c r="Q1745" i="1"/>
  <c r="Q1746" i="1"/>
  <c r="Q1747" i="1"/>
  <c r="Q1742" i="1"/>
  <c r="R1742" i="1"/>
  <c r="Q1743" i="1"/>
  <c r="R1743" i="1"/>
  <c r="Q1744" i="1"/>
  <c r="R1744" i="1"/>
  <c r="Q1738" i="1"/>
  <c r="R1738" i="1"/>
  <c r="Q1739" i="1"/>
  <c r="R1739" i="1"/>
  <c r="Q1740" i="1"/>
  <c r="R1740" i="1"/>
  <c r="Q1741" i="1"/>
  <c r="R1741" i="1"/>
  <c r="Q1737" i="1"/>
  <c r="R1737" i="1"/>
  <c r="Q1736" i="1"/>
  <c r="R1736" i="1"/>
  <c r="Q1732" i="1"/>
  <c r="R1732" i="1"/>
  <c r="Q1733" i="1"/>
  <c r="R1733" i="1"/>
  <c r="Q1734" i="1"/>
  <c r="R1734" i="1"/>
  <c r="Q1735" i="1"/>
  <c r="R1735" i="1"/>
  <c r="O1731" i="1"/>
  <c r="Q1731" i="1" s="1"/>
  <c r="Q1729" i="1"/>
  <c r="R1729" i="1"/>
  <c r="Q1730" i="1"/>
  <c r="R1730" i="1"/>
  <c r="Q1724" i="1"/>
  <c r="R1724" i="1"/>
  <c r="Q1725" i="1"/>
  <c r="R1725" i="1"/>
  <c r="Q1726" i="1"/>
  <c r="R1726" i="1"/>
  <c r="Q1727" i="1"/>
  <c r="R1727" i="1"/>
  <c r="Q1728" i="1"/>
  <c r="R1728" i="1"/>
  <c r="Q1722" i="1"/>
  <c r="R1722" i="1"/>
  <c r="Q1723" i="1"/>
  <c r="R1723" i="1"/>
  <c r="Q1721" i="1"/>
  <c r="R1721" i="1"/>
  <c r="Q1719" i="1"/>
  <c r="R1719" i="1"/>
  <c r="Q1720" i="1"/>
  <c r="R1720" i="1"/>
  <c r="Q1717" i="1"/>
  <c r="R1717" i="1"/>
  <c r="Q1718" i="1"/>
  <c r="R1718" i="1"/>
  <c r="Q1716" i="1"/>
  <c r="R1716" i="1"/>
  <c r="Q1715" i="1"/>
  <c r="R1715" i="1"/>
  <c r="Q1713" i="1"/>
  <c r="R1713" i="1"/>
  <c r="Q1714" i="1"/>
  <c r="R1714" i="1"/>
  <c r="Q1711" i="1"/>
  <c r="R1711" i="1"/>
  <c r="Q1712" i="1"/>
  <c r="R1712" i="1"/>
  <c r="Q1708" i="1"/>
  <c r="R1708" i="1"/>
  <c r="Q1709" i="1"/>
  <c r="R1709" i="1"/>
  <c r="Q1710" i="1"/>
  <c r="R1710" i="1"/>
  <c r="R1704" i="1"/>
  <c r="Q1704" i="1"/>
  <c r="R1696" i="1"/>
  <c r="Q1696" i="1"/>
  <c r="R1702" i="1"/>
  <c r="R1703" i="1"/>
  <c r="R1705" i="1"/>
  <c r="R1706" i="1"/>
  <c r="R1707" i="1"/>
  <c r="Q1702" i="1"/>
  <c r="Q1703" i="1"/>
  <c r="Q1705" i="1"/>
  <c r="Q1706" i="1"/>
  <c r="Q1707" i="1"/>
  <c r="Q1700" i="1"/>
  <c r="R1700" i="1"/>
  <c r="Q1701" i="1"/>
  <c r="R1701" i="1"/>
  <c r="R1694" i="1"/>
  <c r="R1695" i="1"/>
  <c r="R1697" i="1"/>
  <c r="R1698" i="1"/>
  <c r="R1699" i="1"/>
  <c r="Q1695" i="1"/>
  <c r="Q1697" i="1"/>
  <c r="Q1698" i="1"/>
  <c r="Q1699" i="1"/>
  <c r="Q1694" i="1"/>
  <c r="R1693" i="1"/>
  <c r="Q1693" i="1"/>
  <c r="Q1691" i="1"/>
  <c r="R1691" i="1"/>
  <c r="Q1692" i="1"/>
  <c r="R1692" i="1"/>
  <c r="Q1690" i="1"/>
  <c r="R1690" i="1"/>
  <c r="Q1687" i="1"/>
  <c r="R1687" i="1"/>
  <c r="Q1688" i="1"/>
  <c r="R1688" i="1"/>
  <c r="Q1689" i="1"/>
  <c r="R1689" i="1"/>
  <c r="R1685" i="1"/>
  <c r="R1686" i="1"/>
  <c r="Q1685" i="1"/>
  <c r="Q1686" i="1"/>
  <c r="Q1682" i="1"/>
  <c r="R1682" i="1"/>
  <c r="Q1683" i="1"/>
  <c r="R1683" i="1"/>
  <c r="Q1684" i="1"/>
  <c r="R1684" i="1"/>
  <c r="Q1680" i="1"/>
  <c r="R1680" i="1"/>
  <c r="Q1681" i="1"/>
  <c r="R1681" i="1"/>
  <c r="Q1679" i="1"/>
  <c r="R1679" i="1"/>
  <c r="Q1676" i="1"/>
  <c r="R1676" i="1"/>
  <c r="Q1677" i="1"/>
  <c r="R1677" i="1"/>
  <c r="Q1678" i="1"/>
  <c r="R1678" i="1"/>
  <c r="O1673" i="1"/>
  <c r="Q1673" i="1" s="1"/>
  <c r="Q1672" i="1"/>
  <c r="Q1674" i="1"/>
  <c r="Q1675" i="1"/>
  <c r="R1672" i="1"/>
  <c r="R1674" i="1"/>
  <c r="R1675" i="1"/>
  <c r="Q1667" i="1"/>
  <c r="R1667" i="1"/>
  <c r="Q1668" i="1"/>
  <c r="R1668" i="1"/>
  <c r="Q1669" i="1"/>
  <c r="R1669" i="1"/>
  <c r="Q1670" i="1"/>
  <c r="R1670" i="1"/>
  <c r="Q1671" i="1"/>
  <c r="R1671" i="1"/>
  <c r="Q1665" i="1"/>
  <c r="R1665" i="1"/>
  <c r="Q1661" i="1"/>
  <c r="R1661" i="1"/>
  <c r="Q1662" i="1"/>
  <c r="R1662" i="1"/>
  <c r="Q1663" i="1"/>
  <c r="R1663" i="1"/>
  <c r="Q1664" i="1"/>
  <c r="R1664" i="1"/>
  <c r="Q1666" i="1"/>
  <c r="R1666" i="1"/>
  <c r="Q1660" i="1"/>
  <c r="R1660" i="1"/>
  <c r="Q1657" i="1"/>
  <c r="R1657" i="1"/>
  <c r="Q1658" i="1"/>
  <c r="R1658" i="1"/>
  <c r="Q1659" i="1"/>
  <c r="R1659" i="1"/>
  <c r="Q1654" i="1"/>
  <c r="R1654" i="1"/>
  <c r="Q1655" i="1"/>
  <c r="R1655" i="1"/>
  <c r="Q1656" i="1"/>
  <c r="R1656" i="1"/>
  <c r="Q1652" i="1"/>
  <c r="R1652" i="1"/>
  <c r="Q1653" i="1"/>
  <c r="R1653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Q1650" i="1"/>
  <c r="Q1651" i="1"/>
  <c r="Q1649" i="1"/>
  <c r="Q1648" i="1"/>
  <c r="Q1647" i="1"/>
  <c r="Q1644" i="1"/>
  <c r="Q1645" i="1"/>
  <c r="Q1646" i="1"/>
  <c r="Q1643" i="1"/>
  <c r="Q1642" i="1"/>
  <c r="Q1641" i="1"/>
  <c r="Q1639" i="1"/>
  <c r="Q1640" i="1"/>
  <c r="Q1638" i="1"/>
  <c r="Q1637" i="1"/>
  <c r="O1631" i="1"/>
  <c r="Q1631" i="1" s="1"/>
  <c r="B6" i="4"/>
  <c r="C6" i="4"/>
  <c r="D6" i="4"/>
  <c r="E6" i="4"/>
  <c r="F6" i="4"/>
  <c r="G6" i="4"/>
  <c r="H6" i="4"/>
  <c r="I6" i="4"/>
  <c r="J6" i="4"/>
  <c r="K6" i="4"/>
  <c r="B7" i="4"/>
  <c r="C7" i="4"/>
  <c r="D7" i="4"/>
  <c r="E7" i="4"/>
  <c r="F7" i="4"/>
  <c r="G7" i="4"/>
  <c r="H7" i="4"/>
  <c r="I7" i="4"/>
  <c r="J7" i="4"/>
  <c r="K7" i="4"/>
  <c r="C8" i="4"/>
  <c r="D8" i="4"/>
  <c r="E8" i="4"/>
  <c r="F8" i="4"/>
  <c r="G8" i="4"/>
  <c r="H8" i="4"/>
  <c r="I8" i="4"/>
  <c r="J8" i="4"/>
  <c r="K8" i="4"/>
  <c r="B9" i="4"/>
  <c r="C9" i="4"/>
  <c r="D9" i="4"/>
  <c r="E9" i="4"/>
  <c r="F9" i="4"/>
  <c r="G9" i="4"/>
  <c r="H9" i="4"/>
  <c r="I9" i="4"/>
  <c r="J9" i="4"/>
  <c r="K9" i="4"/>
  <c r="B10" i="4"/>
  <c r="C10" i="4"/>
  <c r="D10" i="4"/>
  <c r="E10" i="4"/>
  <c r="F10" i="4"/>
  <c r="G10" i="4"/>
  <c r="H10" i="4"/>
  <c r="I10" i="4"/>
  <c r="J10" i="4"/>
  <c r="K10" i="4"/>
  <c r="B11" i="4"/>
  <c r="C11" i="4"/>
  <c r="D11" i="4"/>
  <c r="E11" i="4"/>
  <c r="F11" i="4"/>
  <c r="G11" i="4"/>
  <c r="H11" i="4"/>
  <c r="I11" i="4"/>
  <c r="J11" i="4"/>
  <c r="K11" i="4"/>
  <c r="B15" i="4"/>
  <c r="C15" i="4"/>
  <c r="D15" i="4"/>
  <c r="E15" i="4"/>
  <c r="F15" i="4"/>
  <c r="G15" i="4"/>
  <c r="H15" i="4"/>
  <c r="I15" i="4"/>
  <c r="J15" i="4"/>
  <c r="K15" i="4"/>
  <c r="B16" i="4"/>
  <c r="C16" i="4"/>
  <c r="D16" i="4"/>
  <c r="E16" i="4"/>
  <c r="F16" i="4"/>
  <c r="G16" i="4"/>
  <c r="H16" i="4"/>
  <c r="I16" i="4"/>
  <c r="J16" i="4"/>
  <c r="K16" i="4"/>
  <c r="B17" i="4"/>
  <c r="C17" i="4"/>
  <c r="D17" i="4"/>
  <c r="E17" i="4"/>
  <c r="F17" i="4"/>
  <c r="G17" i="4"/>
  <c r="H17" i="4"/>
  <c r="I17" i="4"/>
  <c r="J17" i="4"/>
  <c r="K17" i="4"/>
  <c r="B29" i="4"/>
  <c r="C29" i="4"/>
  <c r="D29" i="4"/>
  <c r="E29" i="4"/>
  <c r="F29" i="4"/>
  <c r="G29" i="4"/>
  <c r="H29" i="4"/>
  <c r="I29" i="4"/>
  <c r="J29" i="4"/>
  <c r="K29" i="4"/>
  <c r="B30" i="4"/>
  <c r="C30" i="4"/>
  <c r="D30" i="4"/>
  <c r="E30" i="4"/>
  <c r="F30" i="4"/>
  <c r="G30" i="4"/>
  <c r="H30" i="4"/>
  <c r="I30" i="4"/>
  <c r="J30" i="4"/>
  <c r="K30" i="4"/>
  <c r="B32" i="4"/>
  <c r="C32" i="4"/>
  <c r="D32" i="4"/>
  <c r="E32" i="4"/>
  <c r="F32" i="4"/>
  <c r="G32" i="4"/>
  <c r="H32" i="4"/>
  <c r="I32" i="4"/>
  <c r="J32" i="4"/>
  <c r="K32" i="4"/>
  <c r="B33" i="4"/>
  <c r="C33" i="4"/>
  <c r="D33" i="4"/>
  <c r="E33" i="4"/>
  <c r="F33" i="4"/>
  <c r="G33" i="4"/>
  <c r="H33" i="4"/>
  <c r="I33" i="4"/>
  <c r="J33" i="4"/>
  <c r="K33" i="4"/>
  <c r="B34" i="4"/>
  <c r="C34" i="4"/>
  <c r="D34" i="4"/>
  <c r="E34" i="4"/>
  <c r="F34" i="4"/>
  <c r="G34" i="4"/>
  <c r="H34" i="4"/>
  <c r="I34" i="4"/>
  <c r="J34" i="4"/>
  <c r="K34" i="4"/>
  <c r="B35" i="4"/>
  <c r="C35" i="4"/>
  <c r="D35" i="4"/>
  <c r="E35" i="4"/>
  <c r="F35" i="4"/>
  <c r="G35" i="4"/>
  <c r="H35" i="4"/>
  <c r="I35" i="4"/>
  <c r="J35" i="4"/>
  <c r="K35" i="4"/>
  <c r="B36" i="4"/>
  <c r="C36" i="4"/>
  <c r="D36" i="4"/>
  <c r="E36" i="4"/>
  <c r="F36" i="4"/>
  <c r="G36" i="4"/>
  <c r="H36" i="4"/>
  <c r="I36" i="4"/>
  <c r="J36" i="4"/>
  <c r="K36" i="4"/>
  <c r="B37" i="4"/>
  <c r="C37" i="4"/>
  <c r="D37" i="4"/>
  <c r="E37" i="4"/>
  <c r="F37" i="4"/>
  <c r="G37" i="4"/>
  <c r="H37" i="4"/>
  <c r="I37" i="4"/>
  <c r="J37" i="4"/>
  <c r="K37" i="4"/>
  <c r="K5" i="4"/>
  <c r="J5" i="4"/>
  <c r="I5" i="4"/>
  <c r="H5" i="4"/>
  <c r="Q1635" i="1"/>
  <c r="Q1636" i="1"/>
  <c r="G5" i="4"/>
  <c r="F5" i="4"/>
  <c r="E5" i="4"/>
  <c r="D5" i="4"/>
  <c r="C5" i="4"/>
  <c r="B5" i="4"/>
  <c r="R1628" i="1"/>
  <c r="R1629" i="1"/>
  <c r="O1626" i="1"/>
  <c r="Q1632" i="1"/>
  <c r="Q1633" i="1"/>
  <c r="Q1634" i="1"/>
  <c r="Q1628" i="1"/>
  <c r="Q1629" i="1"/>
  <c r="Q1630" i="1"/>
  <c r="R1630" i="1"/>
  <c r="R1622" i="1"/>
  <c r="R1623" i="1"/>
  <c r="R1624" i="1"/>
  <c r="R1625" i="1"/>
  <c r="R1627" i="1"/>
  <c r="Q1622" i="1"/>
  <c r="Q1623" i="1"/>
  <c r="Q1624" i="1"/>
  <c r="Q1625" i="1"/>
  <c r="Q1627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20" i="1"/>
  <c r="Q1621" i="1"/>
  <c r="Q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20" i="1"/>
  <c r="R1621" i="1"/>
  <c r="R1601" i="1"/>
  <c r="Q1787" i="1" l="1"/>
  <c r="R5163" i="1"/>
  <c r="Q5164" i="1"/>
  <c r="Q5158" i="1"/>
  <c r="Q5161" i="1"/>
  <c r="R5156" i="1"/>
  <c r="R5162" i="1"/>
  <c r="R5153" i="1"/>
  <c r="Q5160" i="1"/>
  <c r="R5123" i="1"/>
  <c r="R5050" i="1"/>
  <c r="Q4999" i="1"/>
  <c r="Q3274" i="1"/>
  <c r="Q3351" i="1"/>
  <c r="R4925" i="1"/>
  <c r="R5025" i="1"/>
  <c r="R4919" i="1"/>
  <c r="Q4915" i="1"/>
  <c r="R4899" i="1"/>
  <c r="Q4882" i="1"/>
  <c r="Q4904" i="1"/>
  <c r="Q4868" i="1"/>
  <c r="R4900" i="1"/>
  <c r="R4920" i="1"/>
  <c r="R4938" i="1"/>
  <c r="R4862" i="1"/>
  <c r="Q4867" i="1"/>
  <c r="Q4886" i="1"/>
  <c r="R4889" i="1"/>
  <c r="R4865" i="1"/>
  <c r="Q4877" i="1"/>
  <c r="R4858" i="1"/>
  <c r="R4869" i="1"/>
  <c r="Q4889" i="1"/>
  <c r="R4870" i="1"/>
  <c r="Q4861" i="1"/>
  <c r="Q4807" i="1"/>
  <c r="Q4821" i="1"/>
  <c r="Q4784" i="1"/>
  <c r="R4740" i="1"/>
  <c r="Q4748" i="1"/>
  <c r="R4769" i="1"/>
  <c r="Q4720" i="1"/>
  <c r="R4716" i="1"/>
  <c r="Q4719" i="1"/>
  <c r="Q4704" i="1"/>
  <c r="R4695" i="1"/>
  <c r="Q4707" i="1"/>
  <c r="R4707" i="1"/>
  <c r="R4696" i="1"/>
  <c r="R4697" i="1"/>
  <c r="R4694" i="1"/>
  <c r="Q4678" i="1"/>
  <c r="R4653" i="1"/>
  <c r="R4659" i="1"/>
  <c r="Q4656" i="1"/>
  <c r="R4656" i="1"/>
  <c r="R4608" i="1"/>
  <c r="Q4612" i="1"/>
  <c r="Q4599" i="1"/>
  <c r="R4572" i="1"/>
  <c r="Q4616" i="1"/>
  <c r="Q4588" i="1"/>
  <c r="Q4619" i="1"/>
  <c r="R4619" i="1"/>
  <c r="R4574" i="1"/>
  <c r="Q4587" i="1"/>
  <c r="R4587" i="1"/>
  <c r="M27" i="4"/>
  <c r="M28" i="4"/>
  <c r="M26" i="4"/>
  <c r="M25" i="4"/>
  <c r="R4492" i="1"/>
  <c r="R4470" i="1"/>
  <c r="M19" i="4"/>
  <c r="Q4346" i="1"/>
  <c r="Q4345" i="1"/>
  <c r="R4200" i="1"/>
  <c r="R4261" i="1"/>
  <c r="R4196" i="1"/>
  <c r="Q4236" i="1"/>
  <c r="R4267" i="1"/>
  <c r="Q4233" i="1"/>
  <c r="Q4227" i="1"/>
  <c r="R4218" i="1"/>
  <c r="R4258" i="1"/>
  <c r="Q4257" i="1"/>
  <c r="R4209" i="1"/>
  <c r="Q4206" i="1"/>
  <c r="M33" i="4"/>
  <c r="M32" i="4"/>
  <c r="R4093" i="1"/>
  <c r="R4060" i="1"/>
  <c r="Q3981" i="1"/>
  <c r="Q3997" i="1"/>
  <c r="R3997" i="1"/>
  <c r="R3962" i="1"/>
  <c r="M24" i="4"/>
  <c r="R3903" i="1"/>
  <c r="R3844" i="1"/>
  <c r="Q3836" i="1"/>
  <c r="M18" i="4"/>
  <c r="Q3774" i="1"/>
  <c r="R3742" i="1"/>
  <c r="M23" i="4"/>
  <c r="M22" i="4"/>
  <c r="M21" i="4"/>
  <c r="M20" i="4"/>
  <c r="Q3365" i="1"/>
  <c r="R3655" i="1"/>
  <c r="Q3646" i="1"/>
  <c r="R3646" i="1"/>
  <c r="R3594" i="1"/>
  <c r="Q3583" i="1"/>
  <c r="Q3556" i="1"/>
  <c r="Q3569" i="1"/>
  <c r="R3511" i="1"/>
  <c r="R3539" i="1"/>
  <c r="R3560" i="1"/>
  <c r="R3490" i="1"/>
  <c r="R3559" i="1"/>
  <c r="M4" i="4"/>
  <c r="R3439" i="1"/>
  <c r="R3446" i="1"/>
  <c r="R3451" i="1"/>
  <c r="R3330" i="1"/>
  <c r="Q3322" i="1"/>
  <c r="Q3326" i="1"/>
  <c r="R3349" i="1"/>
  <c r="Q3317" i="1"/>
  <c r="R3358" i="1"/>
  <c r="R3332" i="1"/>
  <c r="R3304" i="1"/>
  <c r="R3278" i="1"/>
  <c r="Q3276" i="1"/>
  <c r="Q3280" i="1"/>
  <c r="Q3263" i="1"/>
  <c r="R3249" i="1"/>
  <c r="Q3258" i="1"/>
  <c r="R3234" i="1"/>
  <c r="R3238" i="1"/>
  <c r="R3248" i="1"/>
  <c r="R3209" i="1"/>
  <c r="R3160" i="1"/>
  <c r="Q3161" i="1"/>
  <c r="R3161" i="1"/>
  <c r="Q3128" i="1"/>
  <c r="Q2536" i="1"/>
  <c r="R1631" i="1"/>
  <c r="R3130" i="1"/>
  <c r="Q3086" i="1"/>
  <c r="Q2539" i="1"/>
  <c r="R3103" i="1"/>
  <c r="R2837" i="1"/>
  <c r="R2587" i="1"/>
  <c r="Q3029" i="1"/>
  <c r="R3022" i="1"/>
  <c r="Q3122" i="1"/>
  <c r="R3122" i="1"/>
  <c r="Q1863" i="1"/>
  <c r="R3100" i="1"/>
  <c r="R3121" i="1"/>
  <c r="Q1870" i="1"/>
  <c r="R1857" i="1"/>
  <c r="Q2973" i="1"/>
  <c r="R3070" i="1"/>
  <c r="R3118" i="1"/>
  <c r="Q2669" i="1"/>
  <c r="Q2691" i="1"/>
  <c r="Q2992" i="1"/>
  <c r="R3002" i="1"/>
  <c r="R1673" i="1"/>
  <c r="R2945" i="1"/>
  <c r="R2833" i="1"/>
  <c r="R2877" i="1"/>
  <c r="R2460" i="1"/>
  <c r="R2969" i="1"/>
  <c r="R3074" i="1"/>
  <c r="R2757" i="1"/>
  <c r="R2501" i="1"/>
  <c r="R1896" i="1"/>
  <c r="R2657" i="1"/>
  <c r="R2846" i="1"/>
  <c r="Q2879" i="1"/>
  <c r="Q1801" i="1"/>
  <c r="R2878" i="1"/>
  <c r="R1844" i="1"/>
  <c r="R1845" i="1"/>
  <c r="R1969" i="1"/>
  <c r="R2125" i="1"/>
  <c r="R1900" i="1"/>
  <c r="Q2619" i="1"/>
  <c r="R2802" i="1"/>
  <c r="R2861" i="1"/>
  <c r="Q2902" i="1"/>
  <c r="Q2925" i="1"/>
  <c r="Q2576" i="1"/>
  <c r="R2852" i="1"/>
  <c r="Q2388" i="1"/>
  <c r="R1914" i="1"/>
  <c r="R2019" i="1"/>
  <c r="Q2118" i="1"/>
  <c r="R2197" i="1"/>
  <c r="Q2162" i="1"/>
  <c r="R2222" i="1"/>
  <c r="Q2233" i="1"/>
  <c r="Q2478" i="1"/>
  <c r="B38" i="4"/>
  <c r="Q1965" i="1"/>
  <c r="Q1864" i="1"/>
  <c r="R2232" i="1"/>
  <c r="Q2232" i="1"/>
  <c r="Q2405" i="1"/>
  <c r="Q2466" i="1"/>
  <c r="R2539" i="1"/>
  <c r="R2672" i="1"/>
  <c r="Q2802" i="1"/>
  <c r="R2951" i="1"/>
  <c r="R2915" i="1"/>
  <c r="Q2915" i="1"/>
  <c r="Q2756" i="1"/>
  <c r="L38" i="4"/>
  <c r="R1731" i="1"/>
  <c r="Q2164" i="1"/>
  <c r="M5" i="4"/>
  <c r="M10" i="4"/>
  <c r="M9" i="4"/>
  <c r="M8" i="4"/>
  <c r="M7" i="4"/>
  <c r="M6" i="4"/>
  <c r="M37" i="4"/>
  <c r="M36" i="4"/>
  <c r="M35" i="4"/>
  <c r="M34" i="4"/>
  <c r="M31" i="4"/>
  <c r="M30" i="4"/>
  <c r="M29" i="4"/>
  <c r="M17" i="4"/>
  <c r="M16" i="4"/>
  <c r="M15" i="4"/>
  <c r="M14" i="4"/>
  <c r="M13" i="4"/>
  <c r="M12" i="4"/>
  <c r="M11" i="4"/>
  <c r="Q1751" i="1"/>
  <c r="Q1753" i="1"/>
  <c r="Q1758" i="1"/>
  <c r="D38" i="4"/>
  <c r="G38" i="4"/>
  <c r="E38" i="4"/>
  <c r="I38" i="4"/>
  <c r="Q1626" i="1"/>
  <c r="R1626" i="1"/>
  <c r="C38" i="4"/>
  <c r="F38" i="4"/>
  <c r="J38" i="4"/>
  <c r="H38" i="4"/>
  <c r="K38" i="4"/>
  <c r="A6" i="10" a="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Q3045" i="1"/>
  <c r="R3045" i="1"/>
  <c r="Q2907" i="1"/>
  <c r="R2907" i="1"/>
  <c r="Q2786" i="1"/>
  <c r="R2786" i="1"/>
  <c r="Q2105" i="1"/>
  <c r="R2105" i="1"/>
  <c r="O7" i="10" l="1"/>
  <c r="B7" i="10"/>
  <c r="F8" i="10"/>
  <c r="L7" i="10"/>
  <c r="E8" i="10"/>
  <c r="O8" i="10"/>
  <c r="E7" i="10"/>
  <c r="F7" i="10"/>
  <c r="A77" i="10" a="1"/>
  <c r="A77" i="10" s="1"/>
  <c r="H7" i="10"/>
  <c r="C7" i="10"/>
  <c r="N8" i="10"/>
  <c r="M7" i="10"/>
  <c r="I8" i="10"/>
  <c r="C8" i="10"/>
  <c r="L8" i="10"/>
  <c r="G7" i="10"/>
  <c r="B8" i="10"/>
  <c r="D7" i="10"/>
  <c r="G8" i="10"/>
  <c r="N7" i="10"/>
  <c r="H8" i="10"/>
  <c r="M8" i="10"/>
  <c r="I7" i="10"/>
  <c r="D8" i="10"/>
  <c r="M38" i="4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20" i="10"/>
  <c r="K20" i="10"/>
  <c r="J19" i="10"/>
  <c r="K19" i="10"/>
  <c r="J18" i="10"/>
  <c r="K18" i="10"/>
  <c r="J17" i="10"/>
  <c r="K17" i="10"/>
  <c r="J16" i="10"/>
  <c r="K16" i="10"/>
  <c r="J15" i="10"/>
  <c r="K15" i="10"/>
  <c r="J14" i="10"/>
  <c r="K14" i="10"/>
  <c r="J13" i="10"/>
  <c r="K13" i="10"/>
  <c r="J12" i="10"/>
  <c r="K12" i="10"/>
  <c r="J11" i="10"/>
  <c r="K11" i="10"/>
  <c r="J10" i="10"/>
  <c r="K10" i="10"/>
  <c r="J9" i="10"/>
  <c r="K9" i="10"/>
  <c r="A6" i="10"/>
  <c r="D14" i="11"/>
  <c r="A2" i="8" a="1"/>
  <c r="A2" i="8" s="1"/>
  <c r="AB7" i="8" s="1"/>
  <c r="D6" i="10" l="1"/>
  <c r="C6" i="10"/>
  <c r="O6" i="10"/>
  <c r="O5" i="10" s="1"/>
  <c r="M6" i="10"/>
  <c r="H6" i="10"/>
  <c r="N6" i="10"/>
  <c r="F6" i="10"/>
  <c r="B6" i="10"/>
  <c r="G6" i="10"/>
  <c r="G5" i="10" s="1"/>
  <c r="E6" i="10"/>
  <c r="E5" i="10" s="1"/>
  <c r="I6" i="10"/>
  <c r="L6" i="10"/>
  <c r="L5" i="10" s="1"/>
  <c r="N5" i="10"/>
  <c r="M5" i="10"/>
  <c r="I5" i="10"/>
  <c r="D5" i="10"/>
  <c r="F5" i="10"/>
  <c r="C5" i="10"/>
  <c r="H5" i="10"/>
  <c r="J7" i="10"/>
  <c r="K7" i="10" s="1"/>
  <c r="J8" i="10"/>
  <c r="K8" i="10" s="1"/>
  <c r="J6" i="10" l="1"/>
  <c r="K6" i="10" s="1"/>
  <c r="B5" i="10"/>
  <c r="K5" i="10" l="1"/>
  <c r="J5" i="10"/>
  <c r="E5" i="11" l="1"/>
  <c r="E6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<sst xmlns="http://schemas.openxmlformats.org/spreadsheetml/2006/main" count="30319" uniqueCount="11647">
  <si>
    <t>Id</t>
  </si>
  <si>
    <t>Hora de inicio</t>
  </si>
  <si>
    <t>Hora de finalización</t>
  </si>
  <si>
    <t>Correo electrónico</t>
  </si>
  <si>
    <t>Nombre</t>
  </si>
  <si>
    <t>FECHA</t>
  </si>
  <si>
    <t>FECHA KOMMO</t>
  </si>
  <si>
    <t>Asesor</t>
  </si>
  <si>
    <t>NOMBRE CLIENTE</t>
  </si>
  <si>
    <t>NSS</t>
  </si>
  <si>
    <t>CURP</t>
  </si>
  <si>
    <t>LEAD</t>
  </si>
  <si>
    <t>TELEFONO</t>
  </si>
  <si>
    <t>ESTATUS</t>
  </si>
  <si>
    <t xml:space="preserve"> INFORMEDEPAGO </t>
  </si>
  <si>
    <t>DESCUENTOS</t>
  </si>
  <si>
    <t xml:space="preserve">$0.30 </t>
  </si>
  <si>
    <t>CAPACIDAD</t>
  </si>
  <si>
    <t>VENCIMIENTO</t>
  </si>
  <si>
    <t xml:space="preserve">FINANCIERA </t>
  </si>
  <si>
    <t>Monto compra</t>
  </si>
  <si>
    <t>Asignado</t>
  </si>
  <si>
    <t>Fecha asignacion</t>
  </si>
  <si>
    <t>CUENTA PANTALLAS</t>
  </si>
  <si>
    <t>anónimo</t>
  </si>
  <si>
    <t>28/06/2026</t>
  </si>
  <si>
    <t>GLORIA ORTIZ C/C</t>
  </si>
  <si>
    <t>SILVESTRE VAZQUEZ PEREZ</t>
  </si>
  <si>
    <t>NUEVO MAYOR</t>
  </si>
  <si>
    <t>KARLA GARCIA</t>
  </si>
  <si>
    <t>Santana Vazquez Martinez</t>
  </si>
  <si>
    <t>VAMS760419HTSZRN05</t>
  </si>
  <si>
    <t>SIN CAPACIDAD</t>
  </si>
  <si>
    <t>30/06/2026 17:26</t>
  </si>
  <si>
    <t>VALERY RODRIGUEZ SUR</t>
  </si>
  <si>
    <t>MARTIN ESQUIVEL BASULTO</t>
  </si>
  <si>
    <t>EUBM590828HJCSSR02</t>
  </si>
  <si>
    <t>COMPRA BIMESTRES</t>
  </si>
  <si>
    <t>29/07/2026</t>
  </si>
  <si>
    <t>IRAN CASTILLO SUR</t>
  </si>
  <si>
    <t>GUILLERMO GONZALEZ GUDIÑO</t>
  </si>
  <si>
    <t>GOGG650509HTSNDL06</t>
  </si>
  <si>
    <t>MIRIAM MONTELONGO SUR</t>
  </si>
  <si>
    <t>MAXIMINO SALUSTIANO ORTEGA VASQUEZ</t>
  </si>
  <si>
    <t>OEVM650608HOCRSX02</t>
  </si>
  <si>
    <t>30/06/2026</t>
  </si>
  <si>
    <t>JOSE PALACIOS ALVAREZ</t>
  </si>
  <si>
    <t>NUEVO MENOR</t>
  </si>
  <si>
    <t>DULCE ARTEAGA SUR</t>
  </si>
  <si>
    <t>ALBERTO RODRIGUEZ SALAS</t>
  </si>
  <si>
    <t>ROSA560606HNLDLL04</t>
  </si>
  <si>
    <t>ROSA CASTRO SUR</t>
  </si>
  <si>
    <t>MARCOS CUEVAS PUGA</t>
  </si>
  <si>
    <t>CUPM630425HJCVGR00</t>
  </si>
  <si>
    <t>ESMERALDA ESQUIVEL SUR</t>
  </si>
  <si>
    <t xml:space="preserve">Lorena Cedillo Saldivar </t>
  </si>
  <si>
    <t>CESL611222MCLDLR09</t>
  </si>
  <si>
    <t>HUMBERTO MORAN ROCHIN</t>
  </si>
  <si>
    <t>MORH570325HSLRCM08</t>
  </si>
  <si>
    <t>JORGE RIVAS MURILLO</t>
  </si>
  <si>
    <t>RIMJ600326HDFVRR09</t>
  </si>
  <si>
    <t>DULCE FRANCO</t>
  </si>
  <si>
    <t>JUANA ARACELI HERNANDEZ HERNANDEZ</t>
  </si>
  <si>
    <t>HEHJ650819MDGRRN07</t>
  </si>
  <si>
    <t>30/06/2026 16:00</t>
  </si>
  <si>
    <t>MARIA NIÑO</t>
  </si>
  <si>
    <t>IGNACIO MEDINA FERRETIZ</t>
  </si>
  <si>
    <t>MEFI550312HSPDRG00</t>
  </si>
  <si>
    <t>MARA HERNANDEZ SUR</t>
  </si>
  <si>
    <t>Martha Isabel Santos Barrios</t>
  </si>
  <si>
    <t>SABM621029MDGNRR05</t>
  </si>
  <si>
    <t>LITZY MARTINEZ C/C</t>
  </si>
  <si>
    <t>NORMA TERRONES</t>
  </si>
  <si>
    <t>LOPJ821011HGTPXN04</t>
  </si>
  <si>
    <t>LEY 97</t>
  </si>
  <si>
    <t>FERNANDA ROMERO SUR</t>
  </si>
  <si>
    <t>RICARDO REYES ZAMORA</t>
  </si>
  <si>
    <t>REZR630521HVZYMC00</t>
  </si>
  <si>
    <t>LILIANA MARTINEZ SUR</t>
  </si>
  <si>
    <t>MARIA GUADALUPE TIZNADO DELGADILLO</t>
  </si>
  <si>
    <t>TIDG840223MBCZLD05</t>
  </si>
  <si>
    <t>XIMENA RIVERA SUR</t>
  </si>
  <si>
    <t>JESUS IMELDO OROZCO PEREZ</t>
  </si>
  <si>
    <t>OOPJ580513HDFRRS02</t>
  </si>
  <si>
    <t>OPCIPRES</t>
  </si>
  <si>
    <t>CARLOS HERNANDEZ MALDONADO</t>
  </si>
  <si>
    <t>HEMC581103HTSRLR02</t>
  </si>
  <si>
    <t>JORGE MEDINA EXT C/C</t>
  </si>
  <si>
    <t>MANUEL IZMAEL CAB UUH</t>
  </si>
  <si>
    <t>CAUM630617HYNBHN05</t>
  </si>
  <si>
    <t>ALBERTO POZOS EXT</t>
  </si>
  <si>
    <t>JEUS AMARO FLORES</t>
  </si>
  <si>
    <t>AAFJ650316HNLMLS05</t>
  </si>
  <si>
    <t>HANIA GARCIA</t>
  </si>
  <si>
    <t>Ana Maria Barrera Lopez</t>
  </si>
  <si>
    <t>BALA650726MMCRPN01</t>
  </si>
  <si>
    <t xml:space="preserve">ROSIO BEATRIZ CHAN EK </t>
  </si>
  <si>
    <t>CAER740528MYNHKS10</t>
  </si>
  <si>
    <t>NO DATO</t>
  </si>
  <si>
    <t>ANTONIO TORIJA MEJIA</t>
  </si>
  <si>
    <t>TOMA570127HDFRJN06</t>
  </si>
  <si>
    <t>RAMON LINO PARRA SABORI</t>
  </si>
  <si>
    <t>PASR600902HSRRBM00</t>
  </si>
  <si>
    <t>ALAN ALTAMIRANO EXT</t>
  </si>
  <si>
    <t>ALFREDO ZAVALA TUDON</t>
  </si>
  <si>
    <t>ZATA620612HTSVDL03</t>
  </si>
  <si>
    <t>COMPRA MAYOR</t>
  </si>
  <si>
    <t>DEYANIRA CORDOVA C/C</t>
  </si>
  <si>
    <t xml:space="preserve">MARIO </t>
  </si>
  <si>
    <t>MEHM641116HCLNRR04</t>
  </si>
  <si>
    <t>ANA VILLEGAS C/C</t>
  </si>
  <si>
    <t>LILIA</t>
  </si>
  <si>
    <t>PESL741120MCLRFL03</t>
  </si>
  <si>
    <t xml:space="preserve">Fernando madera </t>
  </si>
  <si>
    <t>JORGE PEREZ</t>
  </si>
  <si>
    <t>PEOJ600728HDFRLR01</t>
  </si>
  <si>
    <t xml:space="preserve">José Juan Félix </t>
  </si>
  <si>
    <t>MERARI PEREZ</t>
  </si>
  <si>
    <t>NEREO REYES LOPEZ</t>
  </si>
  <si>
    <t>RELN560907HVZYPR08</t>
  </si>
  <si>
    <t>JOSE CRUZ LOPEZ CRUZ</t>
  </si>
  <si>
    <t>LOCC480503HCLPRR01</t>
  </si>
  <si>
    <t>JOSE ANGEL LOPEZ CASAS</t>
  </si>
  <si>
    <t>LXCA621017HNLPSN09</t>
  </si>
  <si>
    <t>YAMILETH LÓPEZ HDEZ SUR</t>
  </si>
  <si>
    <t>ANICETO RODOLFO BELTRAN CORIA</t>
  </si>
  <si>
    <t>BECA630417HMSLRN02</t>
  </si>
  <si>
    <t>MARIA MARTINEZ SUR</t>
  </si>
  <si>
    <t>BEATRIZ HERNANDEZ RODRIGUEZ</t>
  </si>
  <si>
    <t>HERB600202MDFRDT00</t>
  </si>
  <si>
    <t>COMPRA MENOR</t>
  </si>
  <si>
    <t>CARLOS MARTINEZ CRUZ</t>
  </si>
  <si>
    <t>MACC601124HQTRRR08</t>
  </si>
  <si>
    <t>JULIO BASULTO USCANGA</t>
  </si>
  <si>
    <t>BAUJ630925HVZSSL04</t>
  </si>
  <si>
    <t>LUIS DAVILA C/C</t>
  </si>
  <si>
    <t>SALVADOR AGUADO</t>
  </si>
  <si>
    <t>AULS641225HGTGPL02</t>
  </si>
  <si>
    <t>LUCIA RAMIREZ MACIAS</t>
  </si>
  <si>
    <t>RAML650917MCHMCC02</t>
  </si>
  <si>
    <t>JOSE DE JESUS MENDOZA GODINEZ</t>
  </si>
  <si>
    <t>MEGJ521109HJCNDS00</t>
  </si>
  <si>
    <t>FOAD650805HJCLVV08</t>
  </si>
  <si>
    <t>GUILLERMO</t>
  </si>
  <si>
    <t>POMG671205HSPNRL06</t>
  </si>
  <si>
    <t>MAFER Z</t>
  </si>
  <si>
    <t>MARTIN VALIÑO CALZADA</t>
  </si>
  <si>
    <t>VACM630728HDFLLR00</t>
  </si>
  <si>
    <t>521 5572809567</t>
  </si>
  <si>
    <t>24/06/2026</t>
  </si>
  <si>
    <t>Marco Antonio Pacheco Castro</t>
  </si>
  <si>
    <t>PACM630406HMCCSR07</t>
  </si>
  <si>
    <t>TRINIDAD RANGEL PADRON</t>
  </si>
  <si>
    <t>RAPT610528MSPNDR00</t>
  </si>
  <si>
    <t xml:space="preserve">JOSE MARTIN GONZALEZ ORTIZ </t>
  </si>
  <si>
    <t>GOOM610505HJCNRR08</t>
  </si>
  <si>
    <t xml:space="preserve">JOSE CAMPOS PAREDES </t>
  </si>
  <si>
    <t>CAPJ611220HTCMRS05</t>
  </si>
  <si>
    <t>RAFAELA HERNANDEZ GARCIA</t>
  </si>
  <si>
    <t>HEGR620805MNLRRF07</t>
  </si>
  <si>
    <t>JENNIFER AVENDAÑO SUR</t>
  </si>
  <si>
    <t>MARIA JULIETA PUENTE DEGOLLADO</t>
  </si>
  <si>
    <t>PUDJ680730MNLNGL02</t>
  </si>
  <si>
    <t>RUBEN RAMIREZ SALAZAR</t>
  </si>
  <si>
    <t>RASR650713HCLMLB06</t>
  </si>
  <si>
    <t>29/06/2026</t>
  </si>
  <si>
    <t>JUANA LETICIA FLORES GALVAN</t>
  </si>
  <si>
    <t>FOGJ760807MSRLLN02</t>
  </si>
  <si>
    <t>VICTOR RAMIREZ RUIZ</t>
  </si>
  <si>
    <t>RARV610217HTSMZC06</t>
  </si>
  <si>
    <t>YULIANA RODRIGUEZ C/C</t>
  </si>
  <si>
    <t xml:space="preserve">celso javier </t>
  </si>
  <si>
    <t>RAYMUNDO VALEN DOMINGUEZ</t>
  </si>
  <si>
    <t>VADR590511HVZLMY01</t>
  </si>
  <si>
    <t>María Josefina Salinas  Resendiz</t>
  </si>
  <si>
    <t>SARJ460213MDFLSS07</t>
  </si>
  <si>
    <t xml:space="preserve">TITO GODINEZ VILLANUEVA </t>
  </si>
  <si>
    <t>GOVT660206HGRDLT02</t>
  </si>
  <si>
    <t>FISOFO</t>
  </si>
  <si>
    <t>LUZ MIGDELIA ALVARADO RODRIGUEZ</t>
  </si>
  <si>
    <t>AARL640513MSRLDZ07</t>
  </si>
  <si>
    <t>MARIA GUADALUPE CRUZ DIAZ</t>
  </si>
  <si>
    <t>CUDG631113MSLRZD08</t>
  </si>
  <si>
    <t xml:space="preserve">Antonio Olguin Rodriguez </t>
  </si>
  <si>
    <t>OURA621211HCLLDN00</t>
  </si>
  <si>
    <t>LUIS G.</t>
  </si>
  <si>
    <t>GACL651205HDFRSS07</t>
  </si>
  <si>
    <t>JOSE PALLARES</t>
  </si>
  <si>
    <t>PASD681124HCHLLL02</t>
  </si>
  <si>
    <t>VIPM600605HDFLNR09</t>
  </si>
  <si>
    <t>ERNESTO SANCHEZ</t>
  </si>
  <si>
    <t>SACE720312HDFNSR09</t>
  </si>
  <si>
    <t>CONSUBANCO</t>
  </si>
  <si>
    <t>DOLORES MORENO</t>
  </si>
  <si>
    <t>MOGD720722MQTRNL09</t>
  </si>
  <si>
    <t>MARIO AROYO ISLAS</t>
  </si>
  <si>
    <t>AOIM520206HDFRSR08</t>
  </si>
  <si>
    <t>OIRR740307HQTRBM05</t>
  </si>
  <si>
    <t xml:space="preserve">JUVENTINO RICO RODRIGUEZ </t>
  </si>
  <si>
    <t>MARTIN CAMACHO GONZALEZ</t>
  </si>
  <si>
    <t>CAGM601206HDFMNR03</t>
  </si>
  <si>
    <t>JESUS ANTONIO FLORES HERNANDEZ</t>
  </si>
  <si>
    <t>FOHJ610326HCHLRS08</t>
  </si>
  <si>
    <t>ISIDRO GOMEZ CAMACHO</t>
  </si>
  <si>
    <t>GOCI480515HCLMMS04</t>
  </si>
  <si>
    <t>Maria Alicia Cantu Martinez</t>
  </si>
  <si>
    <t>CAMA590926MNLNRL09</t>
  </si>
  <si>
    <t>LUIS MANUEL CORTES SANCHEZ</t>
  </si>
  <si>
    <t>COSL560315HJCRNS04</t>
  </si>
  <si>
    <t>ROBERTO MIGUEL SILVA ORNELAS</t>
  </si>
  <si>
    <t>SIOR570606HJCLRB00</t>
  </si>
  <si>
    <t>17/06/2026</t>
  </si>
  <si>
    <t>IGNACIA ARZOLA MORENO</t>
  </si>
  <si>
    <t>AOMI720731MCHRRG01</t>
  </si>
  <si>
    <t>JUANA ROSARIO ZÚÑIGA VALLE</t>
  </si>
  <si>
    <t>ZUVJ600726MTSXLN00</t>
  </si>
  <si>
    <t>REFUGIO HERRERA GUZMAN</t>
  </si>
  <si>
    <t>HEGR580731HCHRZF09</t>
  </si>
  <si>
    <t>FRANCISCA CORRALES TORRES</t>
  </si>
  <si>
    <t>NO PROPORCIONO</t>
  </si>
  <si>
    <t>JUANA JUAREZ ZUÑIGA</t>
  </si>
  <si>
    <t>JUZJ740316MGTRXN00</t>
  </si>
  <si>
    <t>ANA ZAIRA FLORES FLORES</t>
  </si>
  <si>
    <t>FOFA950914MVZLLN05</t>
  </si>
  <si>
    <t xml:space="preserve">DANIEL CORREA ARCE </t>
  </si>
  <si>
    <t>PEDRO ROJAS ALVAREZ</t>
  </si>
  <si>
    <t>ROAP620109HDFJLD04</t>
  </si>
  <si>
    <t xml:space="preserve">GUILLERMO ALBERTO CAZARES VACA </t>
  </si>
  <si>
    <t>FRANCISCO PADRON RAMIREZ</t>
  </si>
  <si>
    <t>PARF600401HTSDMR05</t>
  </si>
  <si>
    <t>JUAN FRANCISCO QUINTERO RODRIGUEZ</t>
  </si>
  <si>
    <t>QURJ620829HTCNDN01</t>
  </si>
  <si>
    <t xml:space="preserve">GUADALUPE GARCIA DEL ANGEL </t>
  </si>
  <si>
    <t>JOSE GUADALUPE RIOS CASTILLO</t>
  </si>
  <si>
    <t>RICG721118HVZSSD03</t>
  </si>
  <si>
    <t>SIN NOMINA</t>
  </si>
  <si>
    <t xml:space="preserve">BLANCA </t>
  </si>
  <si>
    <t>MOCB660326MCMNML05</t>
  </si>
  <si>
    <t>RAMIREZ ROBLES ANTIONIO JUAN</t>
  </si>
  <si>
    <t>RARA530519HOCMBN07</t>
  </si>
  <si>
    <t xml:space="preserve">Alfredo Zavala </t>
  </si>
  <si>
    <t>Francisco Guadarrama Valdes</t>
  </si>
  <si>
    <t>GUVF610405HDFDLR02</t>
  </si>
  <si>
    <t>RUBEN VAZQUEZ BERRA</t>
  </si>
  <si>
    <t>VABR620312HVZZRB06</t>
  </si>
  <si>
    <t xml:space="preserve">Hector </t>
  </si>
  <si>
    <t>CORH760520HPLYMC02</t>
  </si>
  <si>
    <t>Javier Espinoza Neira</t>
  </si>
  <si>
    <t>EINJ650713HCLSRV07</t>
  </si>
  <si>
    <t>MARIBEL ROMERO ESQUIVEL</t>
  </si>
  <si>
    <t>ROEM730424MSRMSR03</t>
  </si>
  <si>
    <t xml:space="preserve">martin gonzalez capitan </t>
  </si>
  <si>
    <t>GOCM591015HOCNPR05</t>
  </si>
  <si>
    <t>JUDITH GOMEZ GRANADOS</t>
  </si>
  <si>
    <t>GOGJ620820MDFMRD00</t>
  </si>
  <si>
    <t>Jose Estanislao Gutierrez Aguayo</t>
  </si>
  <si>
    <t>GUAE790512HJCTGS05</t>
  </si>
  <si>
    <t>RAMIRO ZEPEDA</t>
  </si>
  <si>
    <t>ZEVR580926HSRPLM08</t>
  </si>
  <si>
    <t>CONSUPAGO</t>
  </si>
  <si>
    <t>ELIZABETH HERNANDEZ CONTRERAS</t>
  </si>
  <si>
    <t>HECE670409MJCRNL08</t>
  </si>
  <si>
    <t xml:space="preserve">JUAN CARLOS </t>
  </si>
  <si>
    <t>RESTRINGIDA</t>
  </si>
  <si>
    <t>OSCAR RAMIREZ COTA</t>
  </si>
  <si>
    <t>ANTONIO SEBASTIAN SANCHEZ MARTINEZ</t>
  </si>
  <si>
    <t>SAMA640613HVZNRN13</t>
  </si>
  <si>
    <t xml:space="preserve">Ma del rocío Medina García </t>
  </si>
  <si>
    <t>MEGR710701MZSDRC16</t>
  </si>
  <si>
    <t>GIOVANNI MELGAR</t>
  </si>
  <si>
    <t>LORENZANA JIMENEZ ALVIZAR</t>
  </si>
  <si>
    <t>JIAL680114MVZMLR08</t>
  </si>
  <si>
    <t>Noemí Sánchez cardelas</t>
  </si>
  <si>
    <t>30/07/2026</t>
  </si>
  <si>
    <t>JESUS GUADALUPE MONCIVAIS CHAIRES</t>
  </si>
  <si>
    <t>ANA MARÍA SOTO FLORES</t>
  </si>
  <si>
    <t>ISMAEL PEREZ MORA</t>
  </si>
  <si>
    <t>PEMI631217HTSRRS03</t>
  </si>
  <si>
    <t>JAVIER MARTINEZ TOBIAS</t>
  </si>
  <si>
    <t>MATJ621201HCLRBV00</t>
  </si>
  <si>
    <t>LUZ VAZQUEZ</t>
  </si>
  <si>
    <t>VABL780914MASZRZ14</t>
  </si>
  <si>
    <t>J. Guadalupe Venegas Garcia</t>
  </si>
  <si>
    <t>Maria de los Angeles Marentes Sanchez</t>
  </si>
  <si>
    <t>MASA651112MCHRNN07</t>
  </si>
  <si>
    <t>JUAN VARGAS MAYORGA</t>
  </si>
  <si>
    <t>VAMJ640821HNTRYN16</t>
  </si>
  <si>
    <t>OLGA ALICIA DIAZ MARTINEZ</t>
  </si>
  <si>
    <t>DIMO820413MVZZRL03</t>
  </si>
  <si>
    <t>VICENTE GARCIA LOPEZ</t>
  </si>
  <si>
    <t>GALV640310HVZRPC01</t>
  </si>
  <si>
    <t>MA. DE JESUS RUIZ SILVA</t>
  </si>
  <si>
    <t>RUSJ630228MGTZLS12</t>
  </si>
  <si>
    <t>CARLOS NAJERA BALMARES</t>
  </si>
  <si>
    <t>NABC471104HSPJLR06</t>
  </si>
  <si>
    <t>25/06/2026</t>
  </si>
  <si>
    <t>FRANCISCO ASENCIO SOTO</t>
  </si>
  <si>
    <t>AESF690306HTCSTR08</t>
  </si>
  <si>
    <t>MARIA GLORIA GASCA SALGADO</t>
  </si>
  <si>
    <t>GASG550409MDFSLL09</t>
  </si>
  <si>
    <t>Juventino Martinez Silva</t>
  </si>
  <si>
    <t>MASJ530125HDFRLV03</t>
  </si>
  <si>
    <t>Geronimo Amarillas Jusaino</t>
  </si>
  <si>
    <t>LAHN710908MOCRRT08</t>
  </si>
  <si>
    <t>FERNANDO VIDAL PEREZ</t>
  </si>
  <si>
    <t>VIPF541009HSLDRR06</t>
  </si>
  <si>
    <t xml:space="preserve">No proporciono </t>
  </si>
  <si>
    <t>GLORIA RUIZ SOTO</t>
  </si>
  <si>
    <t>RUSG650417MDFZTL09</t>
  </si>
  <si>
    <t>Emilio Torres Villarreal</t>
  </si>
  <si>
    <t xml:space="preserve">SONIA ZARATE PAZ </t>
  </si>
  <si>
    <t>ZAPS721109MMCRZN08</t>
  </si>
  <si>
    <t>27/04/2026</t>
  </si>
  <si>
    <t>SALVADOR REYES NORIEGA</t>
  </si>
  <si>
    <t>RENS640203HMCYRL08</t>
  </si>
  <si>
    <t>FABIAN MANZUR PAVON</t>
  </si>
  <si>
    <t>MAPF540120HVZNVB08</t>
  </si>
  <si>
    <t>JUAN JOSE MORGAN DOMINGUEZ</t>
  </si>
  <si>
    <t>MODJ650811HVZRMN07</t>
  </si>
  <si>
    <t>JOSE</t>
  </si>
  <si>
    <t>RAHJ630626HVZMRS01</t>
  </si>
  <si>
    <t>NO PROMOCIONO</t>
  </si>
  <si>
    <t>ENRIQUE RAMIREZ</t>
  </si>
  <si>
    <t>RADE520715HDFMLN00</t>
  </si>
  <si>
    <t>rosa maria</t>
  </si>
  <si>
    <t>LUCIO JUAN  RUBIO ANACORETA</t>
  </si>
  <si>
    <t>RUAL430127HMCBNC00</t>
  </si>
  <si>
    <t>GONZALO EGUIA MORENO</t>
  </si>
  <si>
    <t>EUMG560110HTSGRN09</t>
  </si>
  <si>
    <t>PABLO ADRIAN GARCIA MARTINEZ</t>
  </si>
  <si>
    <t>GAMP740917HGTRRB05</t>
  </si>
  <si>
    <t xml:space="preserve">MIGUEL ANGEL ESPARZA </t>
  </si>
  <si>
    <t>EACM640929HDGSSG08</t>
  </si>
  <si>
    <t>Humberto Gonzalez</t>
  </si>
  <si>
    <t>GOXH620224HCHNXM01</t>
  </si>
  <si>
    <t>Abelina tinas nicanor</t>
  </si>
  <si>
    <t>TINA480828MGRNCB04</t>
  </si>
  <si>
    <t>RAYMUNDO</t>
  </si>
  <si>
    <t>MOVR630501HPLGZY07</t>
  </si>
  <si>
    <t>LIDIA GUADALUPE VILLANUEVA CAMPOS</t>
  </si>
  <si>
    <t>VICL700518MTSLMD04</t>
  </si>
  <si>
    <t>ANA MARIA SANTACRUZ TOVAR</t>
  </si>
  <si>
    <t>SATA570109MNLNVN00</t>
  </si>
  <si>
    <t>GUSTAVO ADOLFO VILLASEÑOR BORBOLLA</t>
  </si>
  <si>
    <t>VIBG581021HSLLRS08</t>
  </si>
  <si>
    <t xml:space="preserve">MA. TRINIDAD LOZANO QUIROZ </t>
  </si>
  <si>
    <t>LOQT760613MGTZRR02</t>
  </si>
  <si>
    <t>22/06/2026</t>
  </si>
  <si>
    <t>SANDRA GAUNA HERNANDEZ</t>
  </si>
  <si>
    <t>GAHS650810MNLNRN09</t>
  </si>
  <si>
    <t>SERGIO MARCELINO MENDEZ OSORNO</t>
  </si>
  <si>
    <t>MEOS600602HVZNSR02</t>
  </si>
  <si>
    <t>27/06/2026</t>
  </si>
  <si>
    <t>ARCADIO PEÑA ROJAS</t>
  </si>
  <si>
    <t>RAFAEL MARIN BRAVO</t>
  </si>
  <si>
    <t>MABR621009HVZRRF02</t>
  </si>
  <si>
    <t xml:space="preserve">PEDRO MEZA GONZALEZ </t>
  </si>
  <si>
    <t>MEGP641227HGTZND08</t>
  </si>
  <si>
    <t>MARIO ALBERTO LOYA ORTIZ</t>
  </si>
  <si>
    <t>LOOM650119HCHYRR03</t>
  </si>
  <si>
    <t>PATRICIA CHAVARRIA SOLIS</t>
  </si>
  <si>
    <t>CASP691229MCLHLT09</t>
  </si>
  <si>
    <t xml:space="preserve">OPCIPRES </t>
  </si>
  <si>
    <t>ALEJANDRO MODESTO RAMOS GONZALEZ</t>
  </si>
  <si>
    <t>RAGA610718HDFMNL02</t>
  </si>
  <si>
    <t>MARTIN AGUILAR ALEMAN</t>
  </si>
  <si>
    <t>AUAM631225HCLGLR07</t>
  </si>
  <si>
    <t>ARTURO ARMENTA URIBE</t>
  </si>
  <si>
    <t>AEUA650213HDFRRR05</t>
  </si>
  <si>
    <t>Mario Mendoza Cerna</t>
  </si>
  <si>
    <t>MECM651225HMNNRR07</t>
  </si>
  <si>
    <t>VICENTE JUAREZ REYES</t>
  </si>
  <si>
    <t>JURV560719HHGRYC00</t>
  </si>
  <si>
    <t>MARIA VICTORIA VILLEGAS PALACIOS</t>
  </si>
  <si>
    <t>VIPV751013MYNLLC06</t>
  </si>
  <si>
    <t>EDUARDO FLORES HERNANDEZ</t>
  </si>
  <si>
    <t>FOHE701217HDFLRD05</t>
  </si>
  <si>
    <t xml:space="preserve">GUILLERMO PÉREZ MARTÍNEZ </t>
  </si>
  <si>
    <t>PEMG640903HDFRRL16</t>
  </si>
  <si>
    <t>JUAN ESTUDILLO RIOS</t>
  </si>
  <si>
    <t>EURJ591224HPLSSN07</t>
  </si>
  <si>
    <t>MAXIMINO MEXQUITIC ALVARADO</t>
  </si>
  <si>
    <t>MEAM620606HSPXLX05</t>
  </si>
  <si>
    <t>JORGE LOPEZ SALINAS</t>
  </si>
  <si>
    <t>LOSJ600727HCLPLR00</t>
  </si>
  <si>
    <t>ANTONIO GALICIA CALVARIO</t>
  </si>
  <si>
    <t>GACA650219HPLLLN06</t>
  </si>
  <si>
    <t>JOSE DE LA LUZ CANCHE PECH</t>
  </si>
  <si>
    <t>CAPL530913HCCNCZ05</t>
  </si>
  <si>
    <t>ANDRES NAPOLES SANCHEZ</t>
  </si>
  <si>
    <t>NASA511130HDFPNN08</t>
  </si>
  <si>
    <t>VICTOR MANUEL MUNGUIA CARRILLO</t>
  </si>
  <si>
    <t>MUCV511208HDFNRC06</t>
  </si>
  <si>
    <t xml:space="preserve">Agustina Guerrero Flores </t>
  </si>
  <si>
    <t>GUFA650301MCLRLG06</t>
  </si>
  <si>
    <t>MIGUEL HERNANDEZ ESQUIVEL</t>
  </si>
  <si>
    <t>HEEM610529HDFRSG08</t>
  </si>
  <si>
    <t>26/06/2026</t>
  </si>
  <si>
    <t>JOSE ANTONIO RADIA MELGAREJO</t>
  </si>
  <si>
    <t>521 4432229119</t>
  </si>
  <si>
    <t>EFRAIN TERAN GARCIA</t>
  </si>
  <si>
    <t>TEGE590604HTSRRF00</t>
  </si>
  <si>
    <t>MERCEDES CONCEPCION TABORA RIVERA</t>
  </si>
  <si>
    <t>TARM520718MNEBVR09</t>
  </si>
  <si>
    <t>SUSANA CANALES PARTIDA</t>
  </si>
  <si>
    <t>CAPS500819MJCNRS09</t>
  </si>
  <si>
    <t>VIDAL MARTIN YESCAS</t>
  </si>
  <si>
    <t xml:space="preserve">MARTIN PASCUAL VALDEZ MEDINA </t>
  </si>
  <si>
    <t>VAMM640707HYNLDR06</t>
  </si>
  <si>
    <t xml:space="preserve">GRACIELA TOLEDO IVARRA </t>
  </si>
  <si>
    <t>TOIG600714MCSLVR09</t>
  </si>
  <si>
    <t>JOSE ESCAMILLA HERNANDEZ</t>
  </si>
  <si>
    <t>EAHJ650105HCLSRS06</t>
  </si>
  <si>
    <t>ALMA DELIA VAZQUEZ PEREZ</t>
  </si>
  <si>
    <t>VAPA620921MDFZRL08</t>
  </si>
  <si>
    <t>JESUS RICARDO GONZALEZ RODRIGUEZ</t>
  </si>
  <si>
    <t>GORJ681008HDFNDS01</t>
  </si>
  <si>
    <t>Jose Martin Rogelio Gonzalez Ruiz</t>
  </si>
  <si>
    <t>GORM581111HVZNZR04</t>
  </si>
  <si>
    <t>RAUL ESPINOZO VILLASANA</t>
  </si>
  <si>
    <t>PEDRO RODRIGUEZ GARCIA</t>
  </si>
  <si>
    <t>ROGP541020HJCDRD04</t>
  </si>
  <si>
    <t>Alberto de la Garza Martínez</t>
  </si>
  <si>
    <t>GAMA710308HMCRRL07</t>
  </si>
  <si>
    <t>ADRIAN MORENO CAMPOS</t>
  </si>
  <si>
    <t>MOCA570908HDFRMD01</t>
  </si>
  <si>
    <t>MAXIMINO BANUELOS</t>
  </si>
  <si>
    <t xml:space="preserve"> BATM511004HBSXMX04</t>
  </si>
  <si>
    <t>Fatima del Rosario Heredia Sanchez</t>
  </si>
  <si>
    <t>HESF610514MCCRNT05</t>
  </si>
  <si>
    <t>MIGUEL MILLAN CARDENAS</t>
  </si>
  <si>
    <t>MICM690929HSLLRG05</t>
  </si>
  <si>
    <t>MARIA ISABEL MIRANDA RODRIGUEZ</t>
  </si>
  <si>
    <t>MIRI620830MDFRDS06</t>
  </si>
  <si>
    <t>JOSE LUIS TORRES LUNA</t>
  </si>
  <si>
    <t>TOLL600917HNLRNS06</t>
  </si>
  <si>
    <t>Cesar Lopez Rojo</t>
  </si>
  <si>
    <t>LORC601129HSLPJS03</t>
  </si>
  <si>
    <t>JAIME OVALLES PALACIOS</t>
  </si>
  <si>
    <t>OAPJ600925HCSVLM07</t>
  </si>
  <si>
    <t>MINERVA SANDOVAL CERVANTES</t>
  </si>
  <si>
    <t>SACM730912MSLNRN01</t>
  </si>
  <si>
    <t>Fernando rosales gardea</t>
  </si>
  <si>
    <t>ROGF650530HCHSRR03</t>
  </si>
  <si>
    <t>MARIA ALEJANDRA PALACIOS MACHADO</t>
  </si>
  <si>
    <t>PAMA600418MPLLCL00</t>
  </si>
  <si>
    <t>GUADALUPE LLERGO LEON</t>
  </si>
  <si>
    <t>LELG651017MTCLND00</t>
  </si>
  <si>
    <t>ROSA GUADALUPE ROMERO RAMIREZ</t>
  </si>
  <si>
    <t>Jesus Manuel Perez Peraza</t>
  </si>
  <si>
    <t xml:space="preserve">ABELARDO CORTES ROSAS </t>
  </si>
  <si>
    <t>CORA640205HDFRSB02</t>
  </si>
  <si>
    <t>IDELISA HERRERA MERAZ</t>
  </si>
  <si>
    <t>HEMI530720MDGRRD04</t>
  </si>
  <si>
    <t xml:space="preserve">BERTHA ALICIA CASAS HERNANDEZ </t>
  </si>
  <si>
    <t>CAHB560727MTSSRR08</t>
  </si>
  <si>
    <t>Jose Garcia Rangel</t>
  </si>
  <si>
    <t>GARJ630421HGTRNS06</t>
  </si>
  <si>
    <t>BENIGNO ARMANDO AVALOS QUINTERO</t>
  </si>
  <si>
    <t>AAQB540405HTSVNN01</t>
  </si>
  <si>
    <t>JAVIER REYES RAMIREZ</t>
  </si>
  <si>
    <t>AURORA PATRICIA MALDONADO MORA</t>
  </si>
  <si>
    <t>0-1946603329</t>
  </si>
  <si>
    <t>MAMA661015MDFLRR05</t>
  </si>
  <si>
    <t>RAMA540324HMNDLN07</t>
  </si>
  <si>
    <t>JOSE LUIS</t>
  </si>
  <si>
    <t>HEAL581227HSRRGS02</t>
  </si>
  <si>
    <t xml:space="preserve">Lidia minerva de leon uribe </t>
  </si>
  <si>
    <t>844 592 5608</t>
  </si>
  <si>
    <t xml:space="preserve">Freddy </t>
  </si>
  <si>
    <t>Juan Fernando Alvarez Rivas</t>
  </si>
  <si>
    <t xml:space="preserve">s / n </t>
  </si>
  <si>
    <t>Alejandro Ramirez Landeros</t>
  </si>
  <si>
    <t>RALA480826HDFMNL06</t>
  </si>
  <si>
    <t xml:space="preserve">OFELIA JIMENEZ SANCHEZ  </t>
  </si>
  <si>
    <t>JISO600816MDFMNF03</t>
  </si>
  <si>
    <t>GUADALUPE BECERRA C/C</t>
  </si>
  <si>
    <t>Leonardo Barrera castillo</t>
  </si>
  <si>
    <t>JOAQUIN SANTIAGO HERNANDEZ</t>
  </si>
  <si>
    <t>SAHJ640320HVZNRQ08</t>
  </si>
  <si>
    <t xml:space="preserve">Ana maria Gasca Robledo </t>
  </si>
  <si>
    <t>GARA760507MDFSBN05</t>
  </si>
  <si>
    <t>Ismael Amaro Hernández</t>
  </si>
  <si>
    <t>AAHI640708HDGMRS01</t>
  </si>
  <si>
    <t>ENRIQUE RAMON RUIZ HERNANDEZ</t>
  </si>
  <si>
    <t>RUHE600618HJCZRN03</t>
  </si>
  <si>
    <t>Ana María Carmona Cervantes</t>
  </si>
  <si>
    <t>consupago</t>
  </si>
  <si>
    <t>RAFAEL LOPEZ MARTINEZ</t>
  </si>
  <si>
    <t>LOMR570421HGTPRF06</t>
  </si>
  <si>
    <t>consubanco</t>
  </si>
  <si>
    <t>LEYDI PATRICIA PACHECO TREJO</t>
  </si>
  <si>
    <t>PATL570112MYNCRY01</t>
  </si>
  <si>
    <t>ARTURO CHAVEZ ALVARADO</t>
  </si>
  <si>
    <t>CAAA610910HNLHLR02</t>
  </si>
  <si>
    <t>JULIO CESAR JIMENEZ GOVEA</t>
  </si>
  <si>
    <t>JIGJ550901HTCMLV09</t>
  </si>
  <si>
    <t>MANUEL MATA RAMIREZ</t>
  </si>
  <si>
    <t>MARM581223HGTTMN06</t>
  </si>
  <si>
    <t>ANA BERTHA MARTINEZ VAZQUEZ</t>
  </si>
  <si>
    <t>MAVA540818MCLRZN01</t>
  </si>
  <si>
    <t>Nora Lozano Medina</t>
  </si>
  <si>
    <t>LOMN660612MDFZDR01</t>
  </si>
  <si>
    <t>JUAN ADOLFO MARTINEZ GUAJARDO</t>
  </si>
  <si>
    <t>MAGJ600110HNLRJN00</t>
  </si>
  <si>
    <t>ROGELIO COLIN MORA</t>
  </si>
  <si>
    <t>COMR650604HMNLRG03</t>
  </si>
  <si>
    <t>Raúl Rodriguez de la cruz</t>
  </si>
  <si>
    <t>MA. DOLORES MORENO GONZALEZ</t>
  </si>
  <si>
    <t>Maria Felipa de Jesus Rodea Lopez</t>
  </si>
  <si>
    <t>ROLF610205MDFDPL07</t>
  </si>
  <si>
    <t>SAN JUANA PERALES SOLANO</t>
  </si>
  <si>
    <t>PESS501028MCHRLN14</t>
  </si>
  <si>
    <t>FRANCISCO RAMIREZ ZEPEDA</t>
  </si>
  <si>
    <t>RAZF520810HNTMPR06</t>
  </si>
  <si>
    <t xml:space="preserve">Ricardo Velasco Padilla </t>
  </si>
  <si>
    <t>VEPR590410HJCLDC05</t>
  </si>
  <si>
    <t>878 109 6308</t>
  </si>
  <si>
    <t>MARIO HUMBERTO SANGUINO LOPEZ</t>
  </si>
  <si>
    <t>SALM670108HYNNPR02</t>
  </si>
  <si>
    <t>CADJ650719HYNBZN07</t>
  </si>
  <si>
    <t>ALEJANDRO GUTIERREZ ACOSTA</t>
  </si>
  <si>
    <t>GUAA610924HGRTCL06</t>
  </si>
  <si>
    <t>21/06/2026</t>
  </si>
  <si>
    <t xml:space="preserve">JOSE ANGEL MARTINEZ MORALES </t>
  </si>
  <si>
    <t>MAMA670110HDGRRN02</t>
  </si>
  <si>
    <t>MERCEDES GARCIA BARTOLO</t>
  </si>
  <si>
    <t>GABM610813MTCRRR00</t>
  </si>
  <si>
    <t>Ma. Del Carmen Valadez Espinoza</t>
  </si>
  <si>
    <t>VAEC630617MDGLSR00</t>
  </si>
  <si>
    <t>JOSE VACILIO AKE</t>
  </si>
  <si>
    <t xml:space="preserve">Joaquin Moroyoqui Alcantar </t>
  </si>
  <si>
    <t>MOAJ570211HSRRLQ00</t>
  </si>
  <si>
    <t>SAGRARIO ESCRIBANO SORIANO</t>
  </si>
  <si>
    <t>EISS820618MOCSRG09</t>
  </si>
  <si>
    <t>Roberto Mendez Olmos</t>
  </si>
  <si>
    <t>MEOR560318HDFNLB04</t>
  </si>
  <si>
    <t>ANTONIA SANTIAGO GASPAR</t>
  </si>
  <si>
    <t>SAGA610902MOCNSN05</t>
  </si>
  <si>
    <t>GUADALUPE ESTRADA CARRILLO</t>
  </si>
  <si>
    <t>EACG741030MCLSRD02</t>
  </si>
  <si>
    <t>JOSE ALFREDO DOÑEZ AGUILERA</t>
  </si>
  <si>
    <t>DOAA680112HNLXGL04</t>
  </si>
  <si>
    <t>VICTOR JESUS SALAS SANCHEZ</t>
  </si>
  <si>
    <t>SASV640719HTSLNC07</t>
  </si>
  <si>
    <t>PEDRO HERNANDEZ PEREZ</t>
  </si>
  <si>
    <t>HEPP620204HDFRRD04</t>
  </si>
  <si>
    <t>Oscar García polendo</t>
  </si>
  <si>
    <t>GAPO631204HCHRLS05</t>
  </si>
  <si>
    <t xml:space="preserve">MANUELA DE LOS SANTOS CRUZ </t>
  </si>
  <si>
    <t>SACM710126MVZNRN08</t>
  </si>
  <si>
    <t>JORGE RAZO HERNANDEZ</t>
  </si>
  <si>
    <t>RAHJ730312HDFZRR08</t>
  </si>
  <si>
    <t>RAMON GUZMAN IBARRA</t>
  </si>
  <si>
    <t>GUIR500402HDFZBM08</t>
  </si>
  <si>
    <t>MARIA GUADALUPE ROJAS PREZA</t>
  </si>
  <si>
    <t>ROPG590125MJCJRD05</t>
  </si>
  <si>
    <t>Norberto Perez Lopez</t>
  </si>
  <si>
    <t>PELN610724HDFRPR08</t>
  </si>
  <si>
    <t>LILIA ESTRADA ORNELAS</t>
  </si>
  <si>
    <t>EAOL650711MCHSRL06</t>
  </si>
  <si>
    <t>GUADALUPE SANCHEZ CARRILLO</t>
  </si>
  <si>
    <t>SACG670211MNTNRD07</t>
  </si>
  <si>
    <t>ROSA ORALIA SOTO GARCIA</t>
  </si>
  <si>
    <t>SOGR630122MSRTS09</t>
  </si>
  <si>
    <t>CARLOS ARTURO YAÑEZ PEREZ</t>
  </si>
  <si>
    <t>YAPC700810HDFXRR05</t>
  </si>
  <si>
    <t>GUSO630926HSLZBC05</t>
  </si>
  <si>
    <t>JOSE MARTIN ROGELIO GONZALEZ RUIZ</t>
  </si>
  <si>
    <t>MARCO ESCALANTE</t>
  </si>
  <si>
    <t>FRNCISCO JOSE VELEZ ROJANO</t>
  </si>
  <si>
    <t>FRANCISCO SOSA</t>
  </si>
  <si>
    <t>SOXF511004HMCSXR06</t>
  </si>
  <si>
    <t xml:space="preserve">MA. GUADALUPE MALDONADO ROSALES </t>
  </si>
  <si>
    <t>MARG621212MTSLSD20</t>
  </si>
  <si>
    <t>JOSE GUADALUPE RAMIREZ AGUILAR</t>
  </si>
  <si>
    <t>RAAG541127HTLMGD03</t>
  </si>
  <si>
    <t xml:space="preserve">ARTURO ALVAREZ VARGAS </t>
  </si>
  <si>
    <t>AAVA550409HCHLRR05</t>
  </si>
  <si>
    <t>Martha Lorena Nucamendi Fuentes</t>
  </si>
  <si>
    <t>NUFM960909MCSCNR05</t>
  </si>
  <si>
    <t>RICARDO MORENO</t>
  </si>
  <si>
    <t>MARIA DE LOS ANGELES</t>
  </si>
  <si>
    <t>BAMJ750810HDFTRV09</t>
  </si>
  <si>
    <t>JOSE JUAN SARAO MATEO</t>
  </si>
  <si>
    <t>SAMJ780710HCCRTN01</t>
  </si>
  <si>
    <t>Paco</t>
  </si>
  <si>
    <t>Catalina Morales Silva</t>
  </si>
  <si>
    <t>MOSC760801MTSRLT08</t>
  </si>
  <si>
    <t>GULA760707MMCTBN08</t>
  </si>
  <si>
    <t>Rigoberto Villanueva mora</t>
  </si>
  <si>
    <t>VIMR651124HCMLRG01</t>
  </si>
  <si>
    <t xml:space="preserve">MARIA ELIZABETH MALDONADO LANDA </t>
  </si>
  <si>
    <t>MALE861013MMNLNL01</t>
  </si>
  <si>
    <t>Felipe Gonzalez</t>
  </si>
  <si>
    <t>GOIF570526HHGNSL09</t>
  </si>
  <si>
    <t>ROSALBA ALVARADO REYES</t>
  </si>
  <si>
    <t>AARR751002MMNLYS09</t>
  </si>
  <si>
    <t>JULIO ALFONSO GARCIA GARCIA</t>
  </si>
  <si>
    <t>GAGJ800724HBCRRL06</t>
  </si>
  <si>
    <t>LEONEL MARTINEZ</t>
  </si>
  <si>
    <t>maml850819hocrrn07</t>
  </si>
  <si>
    <t>Juan Antonio Vázquez Valadéz</t>
  </si>
  <si>
    <t>VAVJ650105HDFZLN02</t>
  </si>
  <si>
    <t>JESUS ROCHA MORALES</t>
  </si>
  <si>
    <t>ARTURO ALVAREZ</t>
  </si>
  <si>
    <t>0-9957924468</t>
  </si>
  <si>
    <t>CONCEPCION RODRIGUEZ</t>
  </si>
  <si>
    <t xml:space="preserve">TARVIN </t>
  </si>
  <si>
    <t>S/ N</t>
  </si>
  <si>
    <t>PODV470209HBCNZC09</t>
  </si>
  <si>
    <t>MARIA ISABEL ZAPATA CHABLE</t>
  </si>
  <si>
    <t>ZACI680719MQRPHS06</t>
  </si>
  <si>
    <t>MARIA MANUELA GONZALEZ CERVANTES</t>
  </si>
  <si>
    <t>GOCM710124MJCNRN00</t>
  </si>
  <si>
    <t xml:space="preserve">LINA JULIA SANTOYO NUÑEZ </t>
  </si>
  <si>
    <t>SANL550923MMSNXN00</t>
  </si>
  <si>
    <t>SERGIO PONCE JIMENEZ</t>
  </si>
  <si>
    <t>POJS620322HPLNMR06</t>
  </si>
  <si>
    <t>PEDRO JOSE CARVAJAL MOGO</t>
  </si>
  <si>
    <t>CAMP650119HVZRGD02</t>
  </si>
  <si>
    <t>899 945 66 52</t>
  </si>
  <si>
    <t>JESUS SALVADOR PALOMO ROCHA</t>
  </si>
  <si>
    <t>PARJ751225HTSLCS07</t>
  </si>
  <si>
    <t>SILVESTRE MORA HUERTA</t>
  </si>
  <si>
    <t>MOHS651125HJCRRL09</t>
  </si>
  <si>
    <t>JESUS GUZMAN VILLEGAS</t>
  </si>
  <si>
    <t>GUVJ570703HJCZLS01</t>
  </si>
  <si>
    <t>MELBA BERENICE ZAPATA</t>
  </si>
  <si>
    <t>DANIEL BERMUDEZ GARCIA</t>
  </si>
  <si>
    <t>BEGD610524HDGRRN01</t>
  </si>
  <si>
    <t>CARLOS ARREDONDO TORRES</t>
  </si>
  <si>
    <t>AETC501104HSPRRR02</t>
  </si>
  <si>
    <t>13/07/2026</t>
  </si>
  <si>
    <t>SOCORRO OJEDA CAMACHO</t>
  </si>
  <si>
    <t>OECS590824MSLJMC00</t>
  </si>
  <si>
    <t>ALBERTO ARCE CALDERON</t>
  </si>
  <si>
    <t>AECA590921HBCRLL03</t>
  </si>
  <si>
    <t>624 129 6518</t>
  </si>
  <si>
    <t xml:space="preserve">JUAN GOMEZ GONZALEZ </t>
  </si>
  <si>
    <t>GORJ560222HPLMSN07</t>
  </si>
  <si>
    <t>BERNARDINO ORLANDO FLORES ANGELES</t>
  </si>
  <si>
    <t>FOAB590520HMCLNR05</t>
  </si>
  <si>
    <t>TERESA GONZALEZ CERRATES</t>
  </si>
  <si>
    <t>30/05/2026</t>
  </si>
  <si>
    <t>MARIA ELVIA PETRIZ LOPEZ</t>
  </si>
  <si>
    <t>PELE620305MBCTPL08</t>
  </si>
  <si>
    <t>HIDULIO</t>
  </si>
  <si>
    <t>AUCH640905HPLGRD01</t>
  </si>
  <si>
    <t>OLIVIA ORTEGA ALCALA</t>
  </si>
  <si>
    <t>OEAO670603MDFRLL05</t>
  </si>
  <si>
    <t>FANNY CRISTINA RODRIGUEZ FRANCO</t>
  </si>
  <si>
    <t>ROFF650104MJCDRN03</t>
  </si>
  <si>
    <t>ABRAHAM GOROSTIETA SANCHEZ</t>
  </si>
  <si>
    <t>GOSA640426HDFRNB07</t>
  </si>
  <si>
    <t xml:space="preserve">GUADALUPE SANCHEZ SAAVEDRA </t>
  </si>
  <si>
    <t>SASG721022MDFNVD01</t>
  </si>
  <si>
    <t xml:space="preserve">JUAN LUIS </t>
  </si>
  <si>
    <t>ISELDA VALENZUELA MARTINEZ</t>
  </si>
  <si>
    <t>VAMI750213MSLLRS19</t>
  </si>
  <si>
    <t>José Luis Ovando Reyes</t>
  </si>
  <si>
    <t>Jose Saturnino Cua Flores</t>
  </si>
  <si>
    <t>CUFS580717HYNXLT05</t>
  </si>
  <si>
    <t>21/04/2026</t>
  </si>
  <si>
    <t>MARIA JESUS CARRILLO ARBALLO</t>
  </si>
  <si>
    <t>CAAJ701006MSRRRS09</t>
  </si>
  <si>
    <t xml:space="preserve">MARIA GUADALUPE NEGRETE CANO </t>
  </si>
  <si>
    <t>NECG690505MGTGND06</t>
  </si>
  <si>
    <t>NORMA ALICIA TAPIA GUZMAN</t>
  </si>
  <si>
    <t>TAGN691121MCMPZR06</t>
  </si>
  <si>
    <t>EZEQUIEL ARIAS PEREZ</t>
  </si>
  <si>
    <t>AIPE621211HVZRRZ09</t>
  </si>
  <si>
    <t xml:space="preserve">JUANA MARIA CASTILLO GONZALEZ </t>
  </si>
  <si>
    <t>CAGJ591016MTSSNN04</t>
  </si>
  <si>
    <t>DAVID REY RAMIREZ NAVA</t>
  </si>
  <si>
    <t>RAND730507HCMMVV02</t>
  </si>
  <si>
    <t>MA. SOCORRO GUADALUPE SALAZAR ORTIZ</t>
  </si>
  <si>
    <t>SAOS641209MCLLRC11</t>
  </si>
  <si>
    <t>JESUS SANCHEZ DOMINGUEZ</t>
  </si>
  <si>
    <t>SADJ621214HDFNMS08</t>
  </si>
  <si>
    <t>WILBERT CAAMAL VILLAMIL</t>
  </si>
  <si>
    <t>CAVW600806HQRMLL01</t>
  </si>
  <si>
    <t>ESMERALDA PINEDA LOPEZ</t>
  </si>
  <si>
    <t xml:space="preserve"> PILE591228MMNNPS03</t>
  </si>
  <si>
    <t xml:space="preserve">NO PROPORCIONO </t>
  </si>
  <si>
    <t>JOSE MIGUEL LOPEZ BELTRAN</t>
  </si>
  <si>
    <t>LOBM670929HSLPLG09</t>
  </si>
  <si>
    <t>MARIA ISABEL CORONADO DELGADO</t>
  </si>
  <si>
    <t>Juan Manuel Acosta Alvarado</t>
  </si>
  <si>
    <t>AOAJ510415HGTCLN07</t>
  </si>
  <si>
    <t xml:space="preserve">ANABEL BARRERA ORTEGA </t>
  </si>
  <si>
    <t>BAOA570106MMNRRN07</t>
  </si>
  <si>
    <t>OCTAVIO NUÑEZ CASTRO</t>
  </si>
  <si>
    <t>CARMEN GOMEZ</t>
  </si>
  <si>
    <t>ALFREDO SILVA GONZALEZ</t>
  </si>
  <si>
    <t>SIGA620910HNLLNL04</t>
  </si>
  <si>
    <t>ROGELIO SEGURA QUEZADA</t>
  </si>
  <si>
    <t>SEQR601231HNLGZG06</t>
  </si>
  <si>
    <t xml:space="preserve">DONATO PEREZ BELLO </t>
  </si>
  <si>
    <t>PEBD651114HDFRLN05</t>
  </si>
  <si>
    <t>SABINA GAYTAN ALVARADO</t>
  </si>
  <si>
    <t>GAAS741116MGTYLB00</t>
  </si>
  <si>
    <t>ROBERTO IBARRA LARES</t>
  </si>
  <si>
    <t>IALR810614HCHBRB01</t>
  </si>
  <si>
    <t>Leocadio</t>
  </si>
  <si>
    <t>ROSAURA RAMIREZ ESQUIVEL</t>
  </si>
  <si>
    <t>RAER620604MNLMSS04</t>
  </si>
  <si>
    <t>MA. DEL SOCORRO GUERRERO RAMIREZ</t>
  </si>
  <si>
    <t xml:space="preserve">GERARDO RAYMUNDO MALDONADO SAN GERMAN </t>
  </si>
  <si>
    <t>MASG601003HDFLNR09</t>
  </si>
  <si>
    <t>19/06/2026</t>
  </si>
  <si>
    <t>JUAN PABLO ORDOÑEZ MENDEZ</t>
  </si>
  <si>
    <t>OOMJ730405HTSRNN01</t>
  </si>
  <si>
    <t>MARIA TERESA RODRIGUEZ MANDUJANO</t>
  </si>
  <si>
    <t>ROMT791216MGTDNR07</t>
  </si>
  <si>
    <t xml:space="preserve">LUIS ALBERTO DAVILA QUINTANILLA </t>
  </si>
  <si>
    <t>DAQL601130HNLVNS00</t>
  </si>
  <si>
    <t>JOSE FERNANDO GARCIA PEREZ</t>
  </si>
  <si>
    <t>GAPF621108HPLRRR06</t>
  </si>
  <si>
    <t>RODOLFO RIVERA BARAJAS</t>
  </si>
  <si>
    <t>RIBR590521HMCVRD00</t>
  </si>
  <si>
    <t>EVANGELINA HERNANDEZ PEREZ</t>
  </si>
  <si>
    <t>HEPE680608MCLRRV00</t>
  </si>
  <si>
    <t>Natividad Lara Hernandez</t>
  </si>
  <si>
    <t>LEONARDO HERRERA</t>
  </si>
  <si>
    <t>HEXL521106HVZRXN03</t>
  </si>
  <si>
    <t>ALEJANDRO JAIME ROJAS SÁNCHEZ</t>
  </si>
  <si>
    <t>ROSA540826HPLJNL09</t>
  </si>
  <si>
    <t xml:space="preserve">Feliciano Alfonso López León </t>
  </si>
  <si>
    <t>LOLF560609HSLPNL01</t>
  </si>
  <si>
    <t xml:space="preserve">Felipe Leon Guzman </t>
  </si>
  <si>
    <t>LEGF660307HPLNZL09</t>
  </si>
  <si>
    <t xml:space="preserve">CRISTIAN GERARDO RENTERIA GOMEZ </t>
  </si>
  <si>
    <t>REGC780908HDFNMR05</t>
  </si>
  <si>
    <t xml:space="preserve">MARIA VIRGINIA LOPEZ LAGUNES </t>
  </si>
  <si>
    <t xml:space="preserve">SAHI630207HVZLRS08 </t>
  </si>
  <si>
    <t>MA. ANTONIA PEREz MARTINEZ</t>
  </si>
  <si>
    <t>PEMA560322MTSRRN02</t>
  </si>
  <si>
    <t>MARIA GUADALUPE MONTALVO RIOS</t>
  </si>
  <si>
    <t>MORG540810MNLNSD08</t>
  </si>
  <si>
    <t xml:space="preserve">HEBERTO BRISEÑO GONZALEZ </t>
  </si>
  <si>
    <t>BIGH570715HNLRNB04</t>
  </si>
  <si>
    <t>JOSE DE JESUS PEÑA CAMACHO</t>
  </si>
  <si>
    <t>PECJ640126HJCXMS00</t>
  </si>
  <si>
    <t>JAIRO SORCIA CASTRO</t>
  </si>
  <si>
    <t>SOCJ751211HTCRSR02</t>
  </si>
  <si>
    <t>FRANCISCO JAVIER CABRERA VAZQUEZ</t>
  </si>
  <si>
    <t>CAVF610515HJCBLR06</t>
  </si>
  <si>
    <t>María de Jesús Espinosa Maya</t>
  </si>
  <si>
    <t>EIMJ651212MPLSYS08</t>
  </si>
  <si>
    <t>JOSE LUIS ALFARO JIMENEZ</t>
  </si>
  <si>
    <t>AAJL581220HSLLMS08</t>
  </si>
  <si>
    <t xml:space="preserve">JOSE PILAR REYES SOSA </t>
  </si>
  <si>
    <t>RESP631012HYNYSL08</t>
  </si>
  <si>
    <t>MARIA DEL CARMEN ESPIRIDION OLVERA</t>
  </si>
  <si>
    <t>EIOC630303MDFSLR09</t>
  </si>
  <si>
    <t>Jose Luis Méndez Gómez</t>
  </si>
  <si>
    <t>MEGL610621HGTNMS05</t>
  </si>
  <si>
    <t>María martha Reyna Rodríguez</t>
  </si>
  <si>
    <t>RERM631203MSPYDR00</t>
  </si>
  <si>
    <t>Laura jazmín Lora Rocha</t>
  </si>
  <si>
    <t xml:space="preserve">JUANA DEL SOCORRO MARTINEZ POLANCO </t>
  </si>
  <si>
    <t>MAPJ750811MCCRLN16</t>
  </si>
  <si>
    <t>Maria del Carmen Hernández Guevara</t>
  </si>
  <si>
    <t>HEGC690203MDGRVR05</t>
  </si>
  <si>
    <t>Julia Hernández Garay</t>
  </si>
  <si>
    <t>HEGJ591019MNLRRL07</t>
  </si>
  <si>
    <t>JAIME ARNOLDO OZUNA HAROS</t>
  </si>
  <si>
    <t>OUHJ570502HSRZRM07</t>
  </si>
  <si>
    <t>Virgilio Aguirre Beltrán</t>
  </si>
  <si>
    <t>AUBV771111HNLGLR05</t>
  </si>
  <si>
    <t>Andres Arturo Alvarez Ramos</t>
  </si>
  <si>
    <t>CONSUELO GARCIA SEGURA</t>
  </si>
  <si>
    <t>GASC661022MJCRGN02</t>
  </si>
  <si>
    <t>GLORIA LETICIA FLORES SANDOVAL</t>
  </si>
  <si>
    <t>FOSG740918MMNLNL02</t>
  </si>
  <si>
    <t>RAFAEL ARMANDO RODRIGUEZ MORENO</t>
  </si>
  <si>
    <t>ROMR560726HSPDRF03</t>
  </si>
  <si>
    <t>María del Socorro Ochoa Cosio</t>
  </si>
  <si>
    <t>OOCS620627MCSCSC11</t>
  </si>
  <si>
    <t>JENARO REYES MARIN</t>
  </si>
  <si>
    <t>REMJ630211HDFYRN04</t>
  </si>
  <si>
    <t>COPV640226HQRBTC07</t>
  </si>
  <si>
    <t>GUSTAVO CUMPLIDO SALAZAR</t>
  </si>
  <si>
    <t>CUSG630321HSRMLS00</t>
  </si>
  <si>
    <t>PUAF570410HSPNLR07</t>
  </si>
  <si>
    <t>FERNANDA GOMEZ</t>
  </si>
  <si>
    <t>MAMB620313MDFRRT08</t>
  </si>
  <si>
    <t xml:space="preserve">JESÚS ANGEL HERNANDEZ MARTÍNEZ </t>
  </si>
  <si>
    <t>HEMJ491001HNLRRS03</t>
  </si>
  <si>
    <t xml:space="preserve">MARCO ANTONIO RENDON MARTINEZ </t>
  </si>
  <si>
    <t>REMM940504HBCNRR01</t>
  </si>
  <si>
    <t>Dalia Fausto Montero</t>
  </si>
  <si>
    <t>FAMD750420MMNSNL08</t>
  </si>
  <si>
    <t>31/05/2026</t>
  </si>
  <si>
    <t>Jesús Guerrero Muñoz</t>
  </si>
  <si>
    <t>GUMJ670602HDFRXS09</t>
  </si>
  <si>
    <t xml:space="preserve">MARIA TERESA BELTRAN SANTIAGO </t>
  </si>
  <si>
    <t>BEST650702MDFLNR08</t>
  </si>
  <si>
    <t xml:space="preserve">BERTHA LOPEZ CHAVEZ </t>
  </si>
  <si>
    <t>LOCB590408MDGPHR02</t>
  </si>
  <si>
    <t>MARCO ANTONIO NOVELO BUENFIL</t>
  </si>
  <si>
    <t>NOBM661107HQRVNR08</t>
  </si>
  <si>
    <t>MARIO HURTADO CHAVEZ</t>
  </si>
  <si>
    <t>HUCM890328HHGRHR08</t>
  </si>
  <si>
    <t xml:space="preserve">JUAN ALMAGUER HERNANDEZ </t>
  </si>
  <si>
    <t>AAHJ720211HVZLRN06</t>
  </si>
  <si>
    <t>LAURO ALBERTO FLORES SALDAÑA</t>
  </si>
  <si>
    <t>FOSL611201HMSLLR09</t>
  </si>
  <si>
    <t xml:space="preserve">JAVIER GOMEZ ALVAREZ </t>
  </si>
  <si>
    <t>GOAJ640513HDFMLV07</t>
  </si>
  <si>
    <t>BERTHA ALICIA ARREOLA GARDEA</t>
  </si>
  <si>
    <t>AEGB610906MSRRRR08</t>
  </si>
  <si>
    <t>EMILIANO MARTINEZ MEJIA</t>
  </si>
  <si>
    <t>MXME600808HMCRJM06</t>
  </si>
  <si>
    <t>MA. DE JESUS SANCHEZ BADILLO</t>
  </si>
  <si>
    <t>SABJ570617MASNDS2</t>
  </si>
  <si>
    <t>Enedelia Vázquez Cruz</t>
  </si>
  <si>
    <t>VACE590107MNLZRN07</t>
  </si>
  <si>
    <t xml:space="preserve">ANTONIO DIAZ </t>
  </si>
  <si>
    <t>DIHA731103HDFZRN03</t>
  </si>
  <si>
    <t>RAMON GALINDO CARO</t>
  </si>
  <si>
    <t>GACR581027HCHLRM06</t>
  </si>
  <si>
    <t>Rosa Franco Garcia</t>
  </si>
  <si>
    <t>FAGR680130MJCRRS05</t>
  </si>
  <si>
    <t xml:space="preserve">NORMA </t>
  </si>
  <si>
    <t>DEMN750312MASLDR06</t>
  </si>
  <si>
    <t>Sonia Yadira Gómez Ortiz</t>
  </si>
  <si>
    <t xml:space="preserve">Carlos Ramírez Padron </t>
  </si>
  <si>
    <t>RAPC650626HDFMDR08</t>
  </si>
  <si>
    <t>Juan Ricardo Martinez</t>
  </si>
  <si>
    <t>JORGE LUIS TERRAZAS RICO</t>
  </si>
  <si>
    <t>TERJ611017HCLRCR09</t>
  </si>
  <si>
    <t xml:space="preserve">Candelaria Barajas. García </t>
  </si>
  <si>
    <t>BAGC550202MMNRRN02</t>
  </si>
  <si>
    <t>JORGE OSORIO RUIZ</t>
  </si>
  <si>
    <t>OORJ510918HDFSZR08</t>
  </si>
  <si>
    <t>FRANCISCO PADILLA GALVAN</t>
  </si>
  <si>
    <t>PAGF620926HMCDLR03</t>
  </si>
  <si>
    <t>HILDA MARGARITA RUIZ GONZALEZ</t>
  </si>
  <si>
    <t>RUGH690414MNLZNL09</t>
  </si>
  <si>
    <t xml:space="preserve">DIANA DE LA CRUZ </t>
  </si>
  <si>
    <t>CUCD810126MTCRSN07</t>
  </si>
  <si>
    <t xml:space="preserve">JUANA MARIA GUADALUPE HERNANDEZ VAZQUEZ </t>
  </si>
  <si>
    <t>HEVJ701110MNLRZN02</t>
  </si>
  <si>
    <t xml:space="preserve">MARIO HERNANDEZ OLVERA </t>
  </si>
  <si>
    <t>HEOM590520HDFRLR09</t>
  </si>
  <si>
    <t>VERONICA ALEJANDRA DIAZ FLORES</t>
  </si>
  <si>
    <t>Teresa Salgado Juárez</t>
  </si>
  <si>
    <t>SAJT660528MDFLRR07</t>
  </si>
  <si>
    <t>CLAUDIA EDUWIGES MORENO AHUMADA</t>
  </si>
  <si>
    <t>MOAC770909MSRRHL02</t>
  </si>
  <si>
    <t>EDGAR RAUL MEZA MARIN</t>
  </si>
  <si>
    <t>MEME650321HCHZRD00</t>
  </si>
  <si>
    <t xml:space="preserve">MUNUEL LOPEZ PEREZ </t>
  </si>
  <si>
    <t>PATRICIA VARELA RIVERO</t>
  </si>
  <si>
    <t>VARP620810MDFRVT03</t>
  </si>
  <si>
    <t xml:space="preserve">LAURA </t>
  </si>
  <si>
    <t>GACB800107HGRRSL04</t>
  </si>
  <si>
    <t xml:space="preserve">HECTOR RIVERA HERNANDEZ </t>
  </si>
  <si>
    <t>GABRIELA GARCIA GIL</t>
  </si>
  <si>
    <t>GAGG700830MMSRLB09</t>
  </si>
  <si>
    <t>ANA LAURA</t>
  </si>
  <si>
    <t>VASA641129MICZLN06</t>
  </si>
  <si>
    <t xml:space="preserve">JOSE GARCIA BACA </t>
  </si>
  <si>
    <t>GABJ730511HDFRCS08</t>
  </si>
  <si>
    <t xml:space="preserve">GUADALUPE ROMERO BARENQUE </t>
  </si>
  <si>
    <t>ROBG521212MDFMRD09</t>
  </si>
  <si>
    <t>JUAN ARMANDO CASTILLO GUZMAN</t>
  </si>
  <si>
    <t>CAGJ540827HNLSZN09</t>
  </si>
  <si>
    <t>JESUS HUMBERTOS ROSALES VAQUERA</t>
  </si>
  <si>
    <t>ROVJ661103HNLSQS09</t>
  </si>
  <si>
    <t>Francisco de Jesús Landeros Rentería</t>
  </si>
  <si>
    <t>SEVERINO HERNANDEZ ROSALES</t>
  </si>
  <si>
    <t>Víctor Hugo Sánchez Osuna</t>
  </si>
  <si>
    <t>SAOV480226HSLNSC00</t>
  </si>
  <si>
    <t>MARIA GUADALUPE FRANCO VALENZUELA</t>
  </si>
  <si>
    <t>FAVG671211MBCRLD02</t>
  </si>
  <si>
    <t>AURELIO SAUCEDO SAUCEDO</t>
  </si>
  <si>
    <t>SASA600118HNLCCR02</t>
  </si>
  <si>
    <t>MARIA ALMA GARDUÑO RAMIREZ</t>
  </si>
  <si>
    <t>GARA720209MMNRML08</t>
  </si>
  <si>
    <t>HECTOR PADILLA</t>
  </si>
  <si>
    <t>PAMH650923HASDLC05</t>
  </si>
  <si>
    <t>RODOLFO</t>
  </si>
  <si>
    <t>SAFR671031HCMNLB08</t>
  </si>
  <si>
    <t>AAHC760822MOCMRL08</t>
  </si>
  <si>
    <t>RAUL TRUJILLO RIVAS</t>
  </si>
  <si>
    <t>TURR740911HGTRVL08</t>
  </si>
  <si>
    <t>Eduardo Ramos Molina</t>
  </si>
  <si>
    <t>RAME551212HCSMLD00</t>
  </si>
  <si>
    <t>MARIA DEL REFUGIO BARRONES CHAVEZ</t>
  </si>
  <si>
    <t>BECR770704MCLRHF01</t>
  </si>
  <si>
    <t>María de la Paz Juarez González</t>
  </si>
  <si>
    <t>JUGP640123MDFRNZ04</t>
  </si>
  <si>
    <t xml:space="preserve">Arturo Roque </t>
  </si>
  <si>
    <t>ROFA720115HPLQLR04</t>
  </si>
  <si>
    <t>IRENE GARCIA LORENZO</t>
  </si>
  <si>
    <t>GALI860102MVZRRR05</t>
  </si>
  <si>
    <t>JESUS HERNANDEZ VALLEJO</t>
  </si>
  <si>
    <t>HEVJ520330HPLRLS05</t>
  </si>
  <si>
    <t>Juan Manuel Franco Lopez</t>
  </si>
  <si>
    <t>FALJ570131HDFRPN08</t>
  </si>
  <si>
    <t>MA. CONCEPCION CONTRERAS PINEDA</t>
  </si>
  <si>
    <t>COPC581208MMCNNN05</t>
  </si>
  <si>
    <t>VICENTE PALOMARES MEZA</t>
  </si>
  <si>
    <t>PAMV600510HJCLZC05</t>
  </si>
  <si>
    <t xml:space="preserve">Genaro </t>
  </si>
  <si>
    <t>BAGG780702HDFLNN06</t>
  </si>
  <si>
    <t xml:space="preserve">CONSUPAGO </t>
  </si>
  <si>
    <t>PEDRO PADILLA FLORES</t>
  </si>
  <si>
    <t>PAFP611023HSPDLD03</t>
  </si>
  <si>
    <t>VICTORIA ORTEGA CUEVAS</t>
  </si>
  <si>
    <t>OECV730217MDFRVC07</t>
  </si>
  <si>
    <t>MARGARITA EDITH PEREZ LUNA</t>
  </si>
  <si>
    <t>PELM670222MMCRNR05</t>
  </si>
  <si>
    <t>Blanca Soledad Granados escorza</t>
  </si>
  <si>
    <t>GAEB620322MCHRSL01</t>
  </si>
  <si>
    <t>FAUSTO VILLA LOPEZ</t>
  </si>
  <si>
    <t>VILF720530HSRLPS05</t>
  </si>
  <si>
    <t>MARGARITO URIBE AMADOR</t>
  </si>
  <si>
    <t>UIAM610120HJCRMR05</t>
  </si>
  <si>
    <t>LUCIA RANGEL VELAZQUEZ</t>
  </si>
  <si>
    <t>RAVL670625MGTNLC00</t>
  </si>
  <si>
    <t xml:space="preserve">Maria Elena Labastida Gonzalez </t>
  </si>
  <si>
    <t>LAGE660711MDFBNL01</t>
  </si>
  <si>
    <t>JULIO JOSE ALFREDO MENDOZA ROJAS</t>
  </si>
  <si>
    <t>MERJ551220HMCNJL08</t>
  </si>
  <si>
    <t>Jose Angel Hernandez Ramirez</t>
  </si>
  <si>
    <t>HERA591127HNLRMN05</t>
  </si>
  <si>
    <t>TELESFORA LOPEZ PEREZ</t>
  </si>
  <si>
    <t>LOPT780926MCSPRL07</t>
  </si>
  <si>
    <t>MARIA ARACELY GONZALEZ ROSALES</t>
  </si>
  <si>
    <t>GORA680604MNLNSR01</t>
  </si>
  <si>
    <t>Eliodoro Astorga Sosa</t>
  </si>
  <si>
    <t>AOSE640703HPLSSL03</t>
  </si>
  <si>
    <t>WILBER ENRIQUE TABARES JUAREZ</t>
  </si>
  <si>
    <t>TAJW710922HCCBRL01</t>
  </si>
  <si>
    <t>PERFECTO RODRIGUEZ SANCHEZ</t>
  </si>
  <si>
    <t>ROSP660418HCLDNR02</t>
  </si>
  <si>
    <t>RICARDO LOPEZ CASTILLO</t>
  </si>
  <si>
    <t>LOCR611111HCLPS08</t>
  </si>
  <si>
    <t>CARMEN LEON PEREZ</t>
  </si>
  <si>
    <t>LEPC650717MCSNRR04</t>
  </si>
  <si>
    <t xml:space="preserve">No proporcionó </t>
  </si>
  <si>
    <t>ANA MARIA HERNANDEZ BECERRA</t>
  </si>
  <si>
    <t>HEBA570726MDFRCN04</t>
  </si>
  <si>
    <t>JOSE RAMON LOPEZ LAINES</t>
  </si>
  <si>
    <t>JOSE JESUS ROCHIN CRUZ</t>
  </si>
  <si>
    <t>ROCJ490112HSLCRS08</t>
  </si>
  <si>
    <t>JOSE FRANCISCO HERNANDEZ GARCIA</t>
  </si>
  <si>
    <t>HEGF660525HTCRRR09</t>
  </si>
  <si>
    <t>PEDRO SOLIS FREGOZO</t>
  </si>
  <si>
    <t>SOFP660706HJCLRD03</t>
  </si>
  <si>
    <t>FELIPE AMARO SOLORZANO</t>
  </si>
  <si>
    <t>AASF610710HDFMLL03</t>
  </si>
  <si>
    <t>JULIA GUADALUPE ROMO HERNANDEZ</t>
  </si>
  <si>
    <t>ROHJ611001MNLMRL08</t>
  </si>
  <si>
    <t>JOSE ENRIQUE COLIN CARRANZA</t>
  </si>
  <si>
    <t>COCE560716HDFLRN05</t>
  </si>
  <si>
    <t>ROBERTO CANELA GONZALEZ</t>
  </si>
  <si>
    <t>CAGR650608HNLNNB08</t>
  </si>
  <si>
    <t>FIDEL SALTO DOMINGUEZ</t>
  </si>
  <si>
    <t>SADF650224HOCLMD03</t>
  </si>
  <si>
    <t>ANTONIO PALAFOX RAMIREZ</t>
  </si>
  <si>
    <t>PARA560329HJCLMN09</t>
  </si>
  <si>
    <t>justino cortes garcia</t>
  </si>
  <si>
    <t>COGJ610514HVZRRS05</t>
  </si>
  <si>
    <t>RAUL ENRIQUE SOTO</t>
  </si>
  <si>
    <t>SOXR570429HSLTXL09</t>
  </si>
  <si>
    <t>JOSE LUIS TORRES RODRIGUEZ</t>
  </si>
  <si>
    <t>TORL630506HDFRDS04</t>
  </si>
  <si>
    <t>LETICIA JIMENEZ RIVERA</t>
  </si>
  <si>
    <t>JIRL760912MGTMVT00</t>
  </si>
  <si>
    <t>JORGE LUIS HERNANDEZ REYES</t>
  </si>
  <si>
    <t>HERJ631113HDGRYR03</t>
  </si>
  <si>
    <t xml:space="preserve">Luis Bruno Dominguez Terrones </t>
  </si>
  <si>
    <t>DOTL540609HDFMRS01</t>
  </si>
  <si>
    <t>JUANA DOLORES MORA MACIEL</t>
  </si>
  <si>
    <t>CORH650402HDGNSG03</t>
  </si>
  <si>
    <t>ALEJANDRO JAVIER PELLICER JIMENEZ</t>
  </si>
  <si>
    <t>PEJA571203HDFLML05</t>
  </si>
  <si>
    <t>URIEL RAMIREZ</t>
  </si>
  <si>
    <t>NO PROPORCIONA</t>
  </si>
  <si>
    <t>ALEJANDRO IBARRA GALVAN</t>
  </si>
  <si>
    <t>IAGA720718HGTBLL07</t>
  </si>
  <si>
    <t>MARIA DE LOURDES CALDERA PEREZ</t>
  </si>
  <si>
    <t>ALBERTO RAMIREZ LUJA</t>
  </si>
  <si>
    <t>RALA630819HDFMJL02</t>
  </si>
  <si>
    <t>Jose Garcia Ventura</t>
  </si>
  <si>
    <t>GAVJ601102HTCRNS03</t>
  </si>
  <si>
    <t>MARTIN ZUVIERIE RODRIGUEZ</t>
  </si>
  <si>
    <t>ZURM650507HVZVDR08</t>
  </si>
  <si>
    <t>NORMA GARCIA URBINA</t>
  </si>
  <si>
    <t>GAUN660207MMNRRR00</t>
  </si>
  <si>
    <t>SILVESTRE TINAJERO</t>
  </si>
  <si>
    <t>MARIA DEL PILAR ZURITA PEREZ</t>
  </si>
  <si>
    <t>ZUPP601012MDFRRL03</t>
  </si>
  <si>
    <t>VICTOR MANUEL MORENO GUERRA</t>
  </si>
  <si>
    <t>MOGV660225HDFRRC09</t>
  </si>
  <si>
    <t>URBANO MAZA MORA</t>
  </si>
  <si>
    <t>MAMU520525HVZZRR09</t>
  </si>
  <si>
    <t>FAUSTINO RAMIREZ SILVA</t>
  </si>
  <si>
    <t>RASF560414HDFMLS01</t>
  </si>
  <si>
    <t>ROSALIA HERNANDEZ VICTORINO</t>
  </si>
  <si>
    <t xml:space="preserve">GARCIA RAMÍREZ </t>
  </si>
  <si>
    <t>N/P</t>
  </si>
  <si>
    <t>JORGE LUIS</t>
  </si>
  <si>
    <t>TAHJ710810HPLNRR09</t>
  </si>
  <si>
    <t>ALMA LILIA ROSAS</t>
  </si>
  <si>
    <t>ROLA780621MVZSPL00</t>
  </si>
  <si>
    <t>OLIVIA ROSAS AGUILAR</t>
  </si>
  <si>
    <t>ROAO790118MSPSGL01</t>
  </si>
  <si>
    <t xml:space="preserve">ALEJANDRO RIVERA ACOSTA </t>
  </si>
  <si>
    <t>+52 844 218 0083</t>
  </si>
  <si>
    <t xml:space="preserve">Yesenia Yañez Cardenas </t>
  </si>
  <si>
    <t>YACY721031MQTXRS04</t>
  </si>
  <si>
    <t>DORA ELENA MOLINA ZAPATA</t>
  </si>
  <si>
    <t>MOZD610901MNLLPR07</t>
  </si>
  <si>
    <t xml:space="preserve">ROCIO JUANA ZUÑIGA RESENDIZ </t>
  </si>
  <si>
    <t>ZURR650606MSRXSC09</t>
  </si>
  <si>
    <t>MARIA VICTORIA MARTINEZ RIOS</t>
  </si>
  <si>
    <t>MARV621108MZSRSC07</t>
  </si>
  <si>
    <t>Dario Ruiz Lopez</t>
  </si>
  <si>
    <t>RULD621219HCHZPR03</t>
  </si>
  <si>
    <t>ELIA IRMA SALAS MATA</t>
  </si>
  <si>
    <t>SAME600120MNLLTL00</t>
  </si>
  <si>
    <t>MA GUADALUPE OJEDA VAZQUEZ</t>
  </si>
  <si>
    <t>OEVG570116MGTJZD08</t>
  </si>
  <si>
    <t>JUAN JOSE MONROY GUTIÉRREZ</t>
  </si>
  <si>
    <t>MOGJ451126HDFNTN09</t>
  </si>
  <si>
    <t xml:space="preserve">JAVIER URIBE ROSALDO </t>
  </si>
  <si>
    <t>UIRJ540410HVZRSV09</t>
  </si>
  <si>
    <t>IRENE RAMIREZ MOTA</t>
  </si>
  <si>
    <t>RAMI611020MHGMTR00</t>
  </si>
  <si>
    <t>LESTER URBINA</t>
  </si>
  <si>
    <t>BEUL770402HNSTRS02</t>
  </si>
  <si>
    <t>HERRERA CASTRO CARLOS ROMAN</t>
  </si>
  <si>
    <t>HECC630821HVZRSR08</t>
  </si>
  <si>
    <t>CLAUDIA MEDRANO RAMIREZ</t>
  </si>
  <si>
    <t>MERC731127MDFDML02</t>
  </si>
  <si>
    <t>MAURICIO VELAZQUEZ MARTINEZ</t>
  </si>
  <si>
    <t>VEMM710816HJCLRR09</t>
  </si>
  <si>
    <t xml:space="preserve">Maria de Jesus Olazaba Rodriguez </t>
  </si>
  <si>
    <t>OARJ641225MZSLDS06</t>
  </si>
  <si>
    <t>ELEUTERIO ROMERO CARRILLO</t>
  </si>
  <si>
    <t>ROCE560220HNTMRL07</t>
  </si>
  <si>
    <t>ARTURO ORTIZ DIAZ</t>
  </si>
  <si>
    <t>OIDA511129HDFRZR04</t>
  </si>
  <si>
    <t>Pedro Soriano Segura</t>
  </si>
  <si>
    <t>SOSP720711HMSRGD02</t>
  </si>
  <si>
    <t>20/03/2026</t>
  </si>
  <si>
    <t>JOSE GUADALUPE JAIME JUAREZ</t>
  </si>
  <si>
    <t>JAJG611211HJCMRD02</t>
  </si>
  <si>
    <t>ESPERANZA KATIA ZUÑIGA HERRERA</t>
  </si>
  <si>
    <t>ZUHE800715MMSXRS06</t>
  </si>
  <si>
    <t>BALTAZAR ACOSTA CAMACHO</t>
  </si>
  <si>
    <t>AOCB590106HNLCML02</t>
  </si>
  <si>
    <t>PABLO GENARO MENESES ROSAS</t>
  </si>
  <si>
    <t>MERP700810HMCNSB06</t>
  </si>
  <si>
    <t>BEATRIZ UMELIA RODRIGUEZ GUTIERREZ</t>
  </si>
  <si>
    <t>ROGB771106MNLDTT14</t>
  </si>
  <si>
    <t>ALEJANDRA VALDEZ GARCIA</t>
  </si>
  <si>
    <t>VXGA870810MMCLRL15</t>
  </si>
  <si>
    <t>0-9947747318</t>
  </si>
  <si>
    <t xml:space="preserve">OLGA LIDIA BARRON RIOS </t>
  </si>
  <si>
    <t>BARO690108MSLRSL01</t>
  </si>
  <si>
    <t>ARTURO ESTRADA SOTO</t>
  </si>
  <si>
    <t>EASA600720HMCSTR02</t>
  </si>
  <si>
    <t>Hugo Alberto Olvera Paredes</t>
  </si>
  <si>
    <t>OEPH580430HCLLRG02</t>
  </si>
  <si>
    <t xml:space="preserve">ALMA ERICA HERNANDEZ </t>
  </si>
  <si>
    <t>MARTIN ARMANDO LOZANO YAÑEZ</t>
  </si>
  <si>
    <t>LOYM650710HJCZXR00</t>
  </si>
  <si>
    <t>MARIA VICTORIA OLIVAS GARCIA</t>
  </si>
  <si>
    <t xml:space="preserve">MARCO FLAVIO PASTOR GIL </t>
  </si>
  <si>
    <t>VICTOR MARTINEZ GOMEZ</t>
  </si>
  <si>
    <t>MAGV451108HHGRMC07</t>
  </si>
  <si>
    <t>DANIEL JUAREZ NOGUEDA</t>
  </si>
  <si>
    <t>JUND610103HGRRGN04</t>
  </si>
  <si>
    <t>JOSE MANUEL AGUILERA NAVARRO</t>
  </si>
  <si>
    <t>AUNM660110HJCGVN04</t>
  </si>
  <si>
    <t>JOSE LUIS DELGADILLO GARCIA</t>
  </si>
  <si>
    <t>DEGL580919HNLLRS06</t>
  </si>
  <si>
    <t>REFUGIO GURROLA MORENO</t>
  </si>
  <si>
    <t>GUMR471123HCHRRF07</t>
  </si>
  <si>
    <t>ALVARO ROBERTO ARANDA CASTREJON</t>
  </si>
  <si>
    <t>AACA570611HDFRSL06</t>
  </si>
  <si>
    <t xml:space="preserve">JUAN JOSE PEREZ FREGOSO </t>
  </si>
  <si>
    <t>PEFJ760722HBCRRN10</t>
  </si>
  <si>
    <t>JUAN PARRA RIVERA</t>
  </si>
  <si>
    <t>PARJ610830HNTRVN00</t>
  </si>
  <si>
    <t>MA IMELDA NIEVES DE LA PEÑA</t>
  </si>
  <si>
    <t>NIPI640513MMNVXM06</t>
  </si>
  <si>
    <t>LORENZO MIRANDA FLORES</t>
  </si>
  <si>
    <t>MIFL640905HMCRLR03</t>
  </si>
  <si>
    <t>Enrique Manuel Martinez Ramirez</t>
  </si>
  <si>
    <t>MARE751210HMNRMN04</t>
  </si>
  <si>
    <t>MARIA TERESA INZUNZA MACHADO</t>
  </si>
  <si>
    <t>IUMT731014MSLNCR00</t>
  </si>
  <si>
    <t>ANACLETO FLORES MONTALVO</t>
  </si>
  <si>
    <t>FOMA720403HTSLNN02</t>
  </si>
  <si>
    <t>JOEL REBOLLOSO TIRADO</t>
  </si>
  <si>
    <t>RETJ640214HTSBRL09</t>
  </si>
  <si>
    <t>JORGE ALFONSO BAZAN LARA</t>
  </si>
  <si>
    <t>BALJ521119HVZZRR09</t>
  </si>
  <si>
    <t>RODOLFO MENDOZA DUARTE</t>
  </si>
  <si>
    <t>MEDR730418HCHNRD07</t>
  </si>
  <si>
    <t>ROSAURA GOMEZ DE LA ROSA</t>
  </si>
  <si>
    <t>GORR660508MBCMSS02</t>
  </si>
  <si>
    <t xml:space="preserve">ISORA GABRIELA JASSO ALCAZAR </t>
  </si>
  <si>
    <t xml:space="preserve">OSORNIO SOTO </t>
  </si>
  <si>
    <t>S /N</t>
  </si>
  <si>
    <t>VICTOR ELIZALDE RAMOS</t>
  </si>
  <si>
    <t>EIRV560826HVZLMC09</t>
  </si>
  <si>
    <t xml:space="preserve">Jose Eladio Navarro Juarez </t>
  </si>
  <si>
    <t>NAJE700218HMCVRL03</t>
  </si>
  <si>
    <t>APOLONIA VARGAS BOTELLO</t>
  </si>
  <si>
    <t>VABA700209MHGRTP08</t>
  </si>
  <si>
    <t>ARMANDO VALENCIA VAZQUEZ</t>
  </si>
  <si>
    <t>VAVA650815HNTLZR00</t>
  </si>
  <si>
    <t>SANTIAGO SEGURA JIMENEZ</t>
  </si>
  <si>
    <t>SEJS770725HJCGMN02</t>
  </si>
  <si>
    <t xml:space="preserve"> Leticia Maria Rodriguez Jimenez </t>
  </si>
  <si>
    <t xml:space="preserve">ROJL510410MNLDMT09 </t>
  </si>
  <si>
    <t>OFELIA HERNANDEZ MERCADO</t>
  </si>
  <si>
    <t>HEMO621020MJCRRF09</t>
  </si>
  <si>
    <t>SERGIO ANTONIO RIVERA MANDUJANO</t>
  </si>
  <si>
    <t>RIMS750908HGTVNR05</t>
  </si>
  <si>
    <t>JESUS MARTINEZ ZARAGOZA</t>
  </si>
  <si>
    <t>MAZJ610806HTSRRS05</t>
  </si>
  <si>
    <t>JOSE FRANCISCO BELTRAN</t>
  </si>
  <si>
    <t>BEDF580714HHGLZR00</t>
  </si>
  <si>
    <t>OSCAR PALACIOS AYALA</t>
  </si>
  <si>
    <t>PAAO520725HDFLYS00</t>
  </si>
  <si>
    <t>ROBERTO CASTRO NAVARRO</t>
  </si>
  <si>
    <t>CANR590611HCLSVB02</t>
  </si>
  <si>
    <t>José Antonio Leal Navarro</t>
  </si>
  <si>
    <t>LENA690304HJCLVN03</t>
  </si>
  <si>
    <t xml:space="preserve">Rosario Ramirez </t>
  </si>
  <si>
    <t>RAXR560907MSRMXS02</t>
  </si>
  <si>
    <t>ALICIA HERNANDEZ ORTIZ</t>
  </si>
  <si>
    <t>EMILIO CORTES VELEZ</t>
  </si>
  <si>
    <t>COVE700311HGRRLM01</t>
  </si>
  <si>
    <t>ORLANDO PEREZ ESCALANTE</t>
  </si>
  <si>
    <t>PEEO610120HYNRSR08</t>
  </si>
  <si>
    <t>JUANA LUCIA HERNANDEZ ROCHA</t>
  </si>
  <si>
    <t>HERJ661213MTSRCN03</t>
  </si>
  <si>
    <t>Heal581227hsrrgs02</t>
  </si>
  <si>
    <t>NEGOCIO DUPLICADO</t>
  </si>
  <si>
    <t xml:space="preserve">MARIA DEL ROSIO ROQUE MARTINEZ </t>
  </si>
  <si>
    <t>Lucinda Verenice Rivera Millan</t>
  </si>
  <si>
    <t>RIML841208MSLVLC08</t>
  </si>
  <si>
    <t>Marco Félix Galán Vázquez</t>
  </si>
  <si>
    <t>GAVM600922HMCLZR04</t>
  </si>
  <si>
    <t>ENID ORALIA RIOS HERNANDEZ</t>
  </si>
  <si>
    <t>Joel Bañuelos Castillo</t>
  </si>
  <si>
    <t>BACJ590329HDFXDL02</t>
  </si>
  <si>
    <t>MIRIAM JANETH BOJORQUEZ FIGUEROA</t>
  </si>
  <si>
    <t>BOFM781108MSLJGR02</t>
  </si>
  <si>
    <t>Pedro betancourth chia</t>
  </si>
  <si>
    <t xml:space="preserve">MIGUEL SANDOVAL MARTINEZ </t>
  </si>
  <si>
    <t>SAMM760929HSPNRG00</t>
  </si>
  <si>
    <t>ALMA DELIA</t>
  </si>
  <si>
    <t>EAMA780604MMCSNL00</t>
  </si>
  <si>
    <t xml:space="preserve">SAMUEL HERNANDEZ RAMOS </t>
  </si>
  <si>
    <t>HERS600611HVZRMM04</t>
  </si>
  <si>
    <t>JAIME ALBERTO PACHECO LAUREAN</t>
  </si>
  <si>
    <t>PALJ620314HSLCRM09</t>
  </si>
  <si>
    <t xml:space="preserve">RICARDO RODRIGUEZ SANCHEZ </t>
  </si>
  <si>
    <t>ROSR560321HSPDNC09</t>
  </si>
  <si>
    <t>HOMERO CORONEL RODRIGUEZ</t>
  </si>
  <si>
    <t>CORH630202HDFRDM08</t>
  </si>
  <si>
    <t xml:space="preserve">Veronica Mejía Valdenegro </t>
  </si>
  <si>
    <t>MEVV750930MMCJLR07</t>
  </si>
  <si>
    <t>JOSE GUADALUPE HERNANDEZ AGUILERA</t>
  </si>
  <si>
    <t>HEAG701213HVZRGD08</t>
  </si>
  <si>
    <t xml:space="preserve">Ernesto </t>
  </si>
  <si>
    <t xml:space="preserve">Luciano Espinoza </t>
  </si>
  <si>
    <t>Eduardo Serhant Herrera</t>
  </si>
  <si>
    <t>SEHE570919HDFRRD09</t>
  </si>
  <si>
    <t>ANDRES RIVERO CASTELAN</t>
  </si>
  <si>
    <t>RICA681110HHGVSN01</t>
  </si>
  <si>
    <t>IRMA LETICIA SESTITO CONTRERAS</t>
  </si>
  <si>
    <t>SECI680709MSRSNR04</t>
  </si>
  <si>
    <t>MANUEL MORENO SALAS</t>
  </si>
  <si>
    <t>MOSM710718HZSRLN00</t>
  </si>
  <si>
    <t xml:space="preserve">Bertha cervera Hernandez </t>
  </si>
  <si>
    <t>CEHB650320MGTRRR03</t>
  </si>
  <si>
    <t xml:space="preserve">ADOLFO GARCIA </t>
  </si>
  <si>
    <t>GAMA630527HCHRND06</t>
  </si>
  <si>
    <t xml:space="preserve">Eleazar Murillo Muñoz </t>
  </si>
  <si>
    <t>MUME570825HMNRXL04</t>
  </si>
  <si>
    <t xml:space="preserve">Ricardo velazquez medina </t>
  </si>
  <si>
    <t>VEMR441009HDFLDC03</t>
  </si>
  <si>
    <t xml:space="preserve">Gerardo García </t>
  </si>
  <si>
    <t>GACG601114HDFRLR02</t>
  </si>
  <si>
    <t xml:space="preserve">JOSE ARMANDO SANTANDER AGUILAR </t>
  </si>
  <si>
    <t xml:space="preserve">María Laura </t>
  </si>
  <si>
    <t>HEVL661019MDFRZR09</t>
  </si>
  <si>
    <t>EDMUNDO ISLAS MARTINEZ</t>
  </si>
  <si>
    <t>IAME740824HMCSRD02</t>
  </si>
  <si>
    <t>VERE</t>
  </si>
  <si>
    <t>GAGV720322MCMRTR05</t>
  </si>
  <si>
    <t xml:space="preserve">Eliseo </t>
  </si>
  <si>
    <t>MAAE590614HDFRLL01</t>
  </si>
  <si>
    <t>SERGIO LEON VAZQUEZ</t>
  </si>
  <si>
    <t>LEVS601007HTLNZR03</t>
  </si>
  <si>
    <t xml:space="preserve">ROMEO ISAIAS LOPEZ NAVARRO </t>
  </si>
  <si>
    <t>LONR451128HMNPVM01</t>
  </si>
  <si>
    <t>JOSE ANTONIO SAUCEDO MORGUTIA</t>
  </si>
  <si>
    <t>SAMA640918HJCCRN07</t>
  </si>
  <si>
    <t>HECTOR TORRES CARRASCO</t>
  </si>
  <si>
    <t>TOCH590209HDFRRC03</t>
  </si>
  <si>
    <t xml:space="preserve">AURELIO VAZQUEZ MENDEZ </t>
  </si>
  <si>
    <t>VAMA650128HCSZNR00</t>
  </si>
  <si>
    <t xml:space="preserve">María margarita Ruiz Cabrera </t>
  </si>
  <si>
    <t>RUCM570508MDFZBR04</t>
  </si>
  <si>
    <t>MARIA GUILLERMINA</t>
  </si>
  <si>
    <t>MARG600331MJCTDL04</t>
  </si>
  <si>
    <t xml:space="preserve">FELIPE TELLES TELLES </t>
  </si>
  <si>
    <t>J. JESUS CUEVAS LARRAGOITIA</t>
  </si>
  <si>
    <t>CULJ510225HASVRS07</t>
  </si>
  <si>
    <t>J. CRUZ HERNANDEZ BARRON</t>
  </si>
  <si>
    <t>HEBC600503HTSRRR08</t>
  </si>
  <si>
    <t>JOAQUIN CRUZ NORBERTO</t>
  </si>
  <si>
    <t>CUNJ550412HVZRRQ08</t>
  </si>
  <si>
    <t>JOSE DE LA LUZ PEDRO GUZMAN MENDOZA</t>
  </si>
  <si>
    <t>GUML530208HDFZNZ08</t>
  </si>
  <si>
    <t>ELBA ROCIO FLORES MONTES</t>
  </si>
  <si>
    <t>FOME600829MVZLNL04</t>
  </si>
  <si>
    <t xml:space="preserve">ALFREDO MORALES LARA </t>
  </si>
  <si>
    <t>MOLA660112HDFRRL00</t>
  </si>
  <si>
    <t>TOMAS OLMOS RODRIGUEZ</t>
  </si>
  <si>
    <t>OORT561103HDFLDM09</t>
  </si>
  <si>
    <t>MERCED MANRIQUEZ LOPEZ</t>
  </si>
  <si>
    <t>MALM640413MCHNPR06</t>
  </si>
  <si>
    <t>JUANA MENDOZA YAÑEZ</t>
  </si>
  <si>
    <t>MEYJ571103MHGNXN09</t>
  </si>
  <si>
    <t>JOSE DE JESUS CANO RODRIGUEZ</t>
  </si>
  <si>
    <t xml:space="preserve">HECTOR MANUEL ZAMUDIO LOPEZ </t>
  </si>
  <si>
    <t>ZALH630113HSLMPC05</t>
  </si>
  <si>
    <t>lEONARDO SANCHEZ ACOSTA</t>
  </si>
  <si>
    <t>SAAL570115HCHNCN02</t>
  </si>
  <si>
    <t>CARLOS ESPINOSA</t>
  </si>
  <si>
    <t xml:space="preserve">HECTOR RIVAS </t>
  </si>
  <si>
    <t>Jose luis ramos rivas</t>
  </si>
  <si>
    <t>RARL650110HCLMVS02</t>
  </si>
  <si>
    <t>Bayardo Andrés Castañeda Lopez</t>
  </si>
  <si>
    <t>CALB621212HDFSPY00</t>
  </si>
  <si>
    <t xml:space="preserve">PATRICIA FRIAS ZUÑIGA </t>
  </si>
  <si>
    <t>FIZP470301MDFRXT06</t>
  </si>
  <si>
    <t xml:space="preserve">juan garcia </t>
  </si>
  <si>
    <t>GALJ491012HCHRPN03</t>
  </si>
  <si>
    <t>LUIS GREGORIO MARTINEZ MENDEZ</t>
  </si>
  <si>
    <t>MAML620312HVZRNS01</t>
  </si>
  <si>
    <t xml:space="preserve">AGAPITO RAMIREZ MAR </t>
  </si>
  <si>
    <t>RAMA630921HVZMRG07</t>
  </si>
  <si>
    <t xml:space="preserve">JORGE ALBERTO VASQUEZ LAGARDA </t>
  </si>
  <si>
    <t>VALJ610110HSRSGR05</t>
  </si>
  <si>
    <t>Mario Alberto Rodriguez Lopez</t>
  </si>
  <si>
    <t>ROLM591001HGTDPR06</t>
  </si>
  <si>
    <t>CUPERTINO SALAS CASTREJON</t>
  </si>
  <si>
    <t>SACC730401HDFLSP00</t>
  </si>
  <si>
    <t>JESUS HERNANDEZ GOMEZ</t>
  </si>
  <si>
    <t>HEGJ611211HVZRMS04</t>
  </si>
  <si>
    <t>Marco Antonio Ramirez Martinez</t>
  </si>
  <si>
    <t>IGNACIO DE JESUS DIAZ GONZALEZ</t>
  </si>
  <si>
    <t>DIGI520630HJCZNG01</t>
  </si>
  <si>
    <t>Florencia Rodriguez</t>
  </si>
  <si>
    <t>ROXF800816MVZDXL08</t>
  </si>
  <si>
    <t>Alberto Tolentino Martinez</t>
  </si>
  <si>
    <t>TOMA660617HNLLRL09</t>
  </si>
  <si>
    <t>Yolanda Ávila Hermandez</t>
  </si>
  <si>
    <t>AIHY731217MMCVRL06</t>
  </si>
  <si>
    <t>Ma. Antonia Luna Rosalez</t>
  </si>
  <si>
    <t>LURA610423MNLNSN06</t>
  </si>
  <si>
    <t xml:space="preserve">REMEDIOS </t>
  </si>
  <si>
    <t>HEBR770915MSLRRM04</t>
  </si>
  <si>
    <t>Jose Gerardo Ayala Serrato</t>
  </si>
  <si>
    <t>AASG540615HCLYRR06</t>
  </si>
  <si>
    <t>MARGARITO MORA BARILLAS</t>
  </si>
  <si>
    <t>MOBM670413HPLRRR07</t>
  </si>
  <si>
    <t>FRANCISCO DE JESUS BAZURTO RODRIGUEZ</t>
  </si>
  <si>
    <t>BARF650116HNLZDR06</t>
  </si>
  <si>
    <t>EMMANUEL ARIAS FLORES</t>
  </si>
  <si>
    <t>AIFE841007HMCRLM03</t>
  </si>
  <si>
    <t>GRACIELA BOCARDO GONZALEZ</t>
  </si>
  <si>
    <t>BOGG580417MJCCNR03</t>
  </si>
  <si>
    <t>MIGUELINA ABAD SOTO</t>
  </si>
  <si>
    <t>AASM871213MNEBTG08</t>
  </si>
  <si>
    <t>Victor Manuel Rodríguez sanchez</t>
  </si>
  <si>
    <t>ROSV650920HSLDNC01</t>
  </si>
  <si>
    <t xml:space="preserve">Rosa Armida arrechea Gilbert </t>
  </si>
  <si>
    <t>RICARDO GUADALUPE MORENO MONTEMAYOR</t>
  </si>
  <si>
    <t>MOMR510406HNLRNC05</t>
  </si>
  <si>
    <t>LUZ RODRIGUEZ</t>
  </si>
  <si>
    <t>MARIA CORTEZ</t>
  </si>
  <si>
    <t>COZM661128MBCRXR01</t>
  </si>
  <si>
    <t>AMANDO IGNACIO</t>
  </si>
  <si>
    <t>moja600204hplnrm06</t>
  </si>
  <si>
    <t>Arturo Codero Y Becerra</t>
  </si>
  <si>
    <t>COBA470316HDFRCR00</t>
  </si>
  <si>
    <t>Luis Fernando Garcia Quiroz</t>
  </si>
  <si>
    <t>CONSTANTINO RODRIGUEZ ALARCON</t>
  </si>
  <si>
    <t>ROAC580607HVZDLN04</t>
  </si>
  <si>
    <t xml:space="preserve">Nancy carrizales Anguiano </t>
  </si>
  <si>
    <t>CAAN640523MNLRNN07</t>
  </si>
  <si>
    <t>RENE PEREZ FLORES</t>
  </si>
  <si>
    <t>PEFR640318HCSRLN06</t>
  </si>
  <si>
    <t>ROMEO GARCIA MORENO</t>
  </si>
  <si>
    <t>GAMR581128HSRRRM06</t>
  </si>
  <si>
    <t>Fernando Martinez Zamora</t>
  </si>
  <si>
    <t>MAZF640208HNLRMR08</t>
  </si>
  <si>
    <t>JUAN MARTIN RODRIGUEZ</t>
  </si>
  <si>
    <t>Alvaro Jimenez Garcia</t>
  </si>
  <si>
    <t>JIGA581225HDFMRL01</t>
  </si>
  <si>
    <t>JONATHAN ROLDAN HERNANDEZ</t>
  </si>
  <si>
    <t>ROHJ880904HTLLRN05</t>
  </si>
  <si>
    <t xml:space="preserve">Mari </t>
  </si>
  <si>
    <t>MEPN721012MNLNRR07</t>
  </si>
  <si>
    <t>13/07/2026 07:51</t>
  </si>
  <si>
    <t xml:space="preserve">JORGE ARTURO MANRIQUE CANTÓ </t>
  </si>
  <si>
    <t>13/07/2026 08:17</t>
  </si>
  <si>
    <t>MANUEL SOLOÑO REYES</t>
  </si>
  <si>
    <t>SORM641013HJCLYN05</t>
  </si>
  <si>
    <t>13/07/2026 08:55</t>
  </si>
  <si>
    <t>20/06/2026</t>
  </si>
  <si>
    <t>Raul Rivas Martinez</t>
  </si>
  <si>
    <t>13/07/2026 09:53</t>
  </si>
  <si>
    <t>FEDERICO CASILLAS TORRES</t>
  </si>
  <si>
    <t>CATF600427HJCSRD01</t>
  </si>
  <si>
    <t>13/07/2026 10:45</t>
  </si>
  <si>
    <t>13/07/2026 11:03</t>
  </si>
  <si>
    <t xml:space="preserve">JESUS </t>
  </si>
  <si>
    <t>13/07/2026 11:06</t>
  </si>
  <si>
    <t>Raymundo Alaniz Hernandez</t>
  </si>
  <si>
    <t>AAHR630315HJCLRY04</t>
  </si>
  <si>
    <t>13/07/2026 10:56</t>
  </si>
  <si>
    <t>ENRIQUE NAVA VALENZUELA</t>
  </si>
  <si>
    <t>NAVE630714HDGVLN02</t>
  </si>
  <si>
    <t>13/07/2026 11:10</t>
  </si>
  <si>
    <t>Gilberto Vasquez Martinez</t>
  </si>
  <si>
    <t>13/07/2026 09:08</t>
  </si>
  <si>
    <t>Juan Rafael Dávila Lule</t>
  </si>
  <si>
    <t>DALJ601118HNLVLN00</t>
  </si>
  <si>
    <t>13/07/2026 11:12</t>
  </si>
  <si>
    <t>Juan Carlos nava Alvarado</t>
  </si>
  <si>
    <t>NAAJ600215HJCVLN06</t>
  </si>
  <si>
    <t>13/07/2026 09:02</t>
  </si>
  <si>
    <t>PATRICIA CRUZ TERRON</t>
  </si>
  <si>
    <t>CUTP600129MDFRR702</t>
  </si>
  <si>
    <t>13/07/2026 11:15</t>
  </si>
  <si>
    <t>TERESITA DE JESUS GUTIERREZ RODRIGUEZ</t>
  </si>
  <si>
    <t>GURT560527MCLTDR09</t>
  </si>
  <si>
    <t>13/07/2026 11:13</t>
  </si>
  <si>
    <t>JUAN MANUEL REZA GARCIA</t>
  </si>
  <si>
    <t>REGJ530614HZSZRN03</t>
  </si>
  <si>
    <t>13/07/2026 10:12</t>
  </si>
  <si>
    <t>ELIZABETH RAMIREZ TORRES</t>
  </si>
  <si>
    <t>RATE751225MPLMRL05</t>
  </si>
  <si>
    <t>13/07/2026 11:23</t>
  </si>
  <si>
    <t>DANEL SUAREZ CRUZ</t>
  </si>
  <si>
    <t>SUCD651211HPLRRN07</t>
  </si>
  <si>
    <t>13/07/2026 11:32</t>
  </si>
  <si>
    <t>Javier Orozco Felipe</t>
  </si>
  <si>
    <t>13/07/2026 11:21</t>
  </si>
  <si>
    <t>GABINO JARAMILLO LOPEZ</t>
  </si>
  <si>
    <t>JALG530219HSPRPB08</t>
  </si>
  <si>
    <t>13/07/2026 11:46</t>
  </si>
  <si>
    <t>RICARDO ORTIZ CHACON</t>
  </si>
  <si>
    <t>OICR610510HCHRHC04</t>
  </si>
  <si>
    <t>13/07/2026 11:26</t>
  </si>
  <si>
    <t>Pablo Ríos Vasquez</t>
  </si>
  <si>
    <t>RIVP620628HSLSSB01</t>
  </si>
  <si>
    <t>13/07/2026 11:29</t>
  </si>
  <si>
    <t>DAVID SAGASTE VALENZUELA</t>
  </si>
  <si>
    <t>SAVD571027HSLGLV00</t>
  </si>
  <si>
    <t>JESUS ANTONIO ELENES ARREDONDO</t>
  </si>
  <si>
    <t>EEAJ510909HSRLRS19</t>
  </si>
  <si>
    <t>13/07/2026 11:40</t>
  </si>
  <si>
    <t>VICTOR MANUEL ROCHA TORRES</t>
  </si>
  <si>
    <t>ROTV730128HCLCRC07</t>
  </si>
  <si>
    <t>JOSE ZAPATA VALLES</t>
  </si>
  <si>
    <t>ZAVJ560827HDGPLS02</t>
  </si>
  <si>
    <t>13/07/2026 11:04</t>
  </si>
  <si>
    <t xml:space="preserve">ALEJANDRO DE JESUS GARCIA MERCADO </t>
  </si>
  <si>
    <t xml:space="preserve">GAMA711029HSRRRL04 </t>
  </si>
  <si>
    <t>13/07/2026 11:52</t>
  </si>
  <si>
    <t>MANUELA MARGARITA GONZALEZ RESENDIZ</t>
  </si>
  <si>
    <t>GORM710610MDGNSN09</t>
  </si>
  <si>
    <t>13/07/2026 11:57</t>
  </si>
  <si>
    <t>FELIX TRUJILLO HERNANDEZ</t>
  </si>
  <si>
    <t>TUHF601120HVZRRL08</t>
  </si>
  <si>
    <t>13/07/2026 11:55</t>
  </si>
  <si>
    <t>RAUL FRANCO SANTIAGO</t>
  </si>
  <si>
    <t>FASR601209HMSRNL16</t>
  </si>
  <si>
    <t>DANIEL VIZCAYA BAUTISTA</t>
  </si>
  <si>
    <t>VIBD601211HMCZTN09</t>
  </si>
  <si>
    <t>13/07/2026 12:04</t>
  </si>
  <si>
    <t>MARIA CONCEPCION SANTANA ROSALES</t>
  </si>
  <si>
    <t>SARC590327MJCNSN06</t>
  </si>
  <si>
    <t>13/07/2026 11:33</t>
  </si>
  <si>
    <t>EVANGELINA SIMENTAL CHAPARRO</t>
  </si>
  <si>
    <t>SICE730109MCHMHV05</t>
  </si>
  <si>
    <t>13/07/2026 12:00</t>
  </si>
  <si>
    <t>ESPERANZA DOMINGUEZ ARGUELLES</t>
  </si>
  <si>
    <t>DOAE810424MCCMRS05</t>
  </si>
  <si>
    <t>13/07/2026 12:21</t>
  </si>
  <si>
    <t>JOSE MANUEL BIURQUES ANDRADE</t>
  </si>
  <si>
    <t>BIAM711125HJCRNN05</t>
  </si>
  <si>
    <t>13/07/2026 12:14</t>
  </si>
  <si>
    <t xml:space="preserve">JOSE MATILDE PEREZ KEB </t>
  </si>
  <si>
    <t>PEKM630307HYNRBT02</t>
  </si>
  <si>
    <t>MARGARITO JIMENEZ</t>
  </si>
  <si>
    <t>JIXM691106HOCMXR07</t>
  </si>
  <si>
    <t>13/07/2026 12:29</t>
  </si>
  <si>
    <t>MA. DEL ROSARIO SILVIA HERNANDEZ VARGAS</t>
  </si>
  <si>
    <t>HEVR620817MQTRRS09</t>
  </si>
  <si>
    <t>13/07/2026 12:44</t>
  </si>
  <si>
    <t>JOSE JUAN TORREZ MATA</t>
  </si>
  <si>
    <t>TOMJ630330HBCRTN08</t>
  </si>
  <si>
    <t>33 1345 6454</t>
  </si>
  <si>
    <t>13/07/2026 12:38</t>
  </si>
  <si>
    <t xml:space="preserve">FRANCISCO CAMPOS CORONA </t>
  </si>
  <si>
    <t>CACF520212HMNMRR07</t>
  </si>
  <si>
    <t xml:space="preserve">ISMAEL ZAVALA MARTINEZ </t>
  </si>
  <si>
    <t>ZAMI680906HGTVRS02</t>
  </si>
  <si>
    <t xml:space="preserve">AMALIA CARMEN MUÑOZ BOLAÑOS </t>
  </si>
  <si>
    <t>MUBA520710MOCXLM05</t>
  </si>
  <si>
    <t>13/07/2026 12:47</t>
  </si>
  <si>
    <t>VICTOR MANUEL ESPINOSA CORONADO</t>
  </si>
  <si>
    <t>EICV590305HDFSRC13</t>
  </si>
  <si>
    <t>LETY</t>
  </si>
  <si>
    <t>AULL680102MYNRRT04</t>
  </si>
  <si>
    <t>13/07/2026 13:18</t>
  </si>
  <si>
    <t xml:space="preserve">Ignacio Abel </t>
  </si>
  <si>
    <t>GAFI570501HSLMLG00</t>
  </si>
  <si>
    <t>13/07/2026 13:25</t>
  </si>
  <si>
    <t>JOSEFINA LARA SALAZAR</t>
  </si>
  <si>
    <t>LASJ610320MDGRLS09</t>
  </si>
  <si>
    <t>13/07/2026 11:35</t>
  </si>
  <si>
    <t>Martha Laura Carrillo González</t>
  </si>
  <si>
    <t>CAGM620425MTSRNR03</t>
  </si>
  <si>
    <t>13/07/2026 13:13</t>
  </si>
  <si>
    <t>LETICIA RAMIREZ RAMIREZ</t>
  </si>
  <si>
    <t>RARL780827MQTMMT07</t>
  </si>
  <si>
    <t>13/07/2026 13:36</t>
  </si>
  <si>
    <t>RAMON LOPEZ VILLANUEVA</t>
  </si>
  <si>
    <t>LOVR611220HJCPLM03</t>
  </si>
  <si>
    <t>13/07/2026 11:58</t>
  </si>
  <si>
    <t>PEDRO DE LA FUENTE</t>
  </si>
  <si>
    <t>13/07/2026 13:57</t>
  </si>
  <si>
    <t>13/07/2026 13:59</t>
  </si>
  <si>
    <t>UECJ670307MCHRRN03</t>
  </si>
  <si>
    <t>13/07/2026 11:59</t>
  </si>
  <si>
    <t>ANA MARIA VEGA BECERRA</t>
  </si>
  <si>
    <t>VEBA690814MCHGCN06</t>
  </si>
  <si>
    <t>13/07/2026 14:18</t>
  </si>
  <si>
    <t>HORTENCIA TAVAREZ MARTINEZ</t>
  </si>
  <si>
    <t>TAMH650111MASVRR08</t>
  </si>
  <si>
    <t>13/07/2026 12:36</t>
  </si>
  <si>
    <t xml:space="preserve">RAUL BAZALDUA DE LA ROSA </t>
  </si>
  <si>
    <t>13/07/2026 14:11</t>
  </si>
  <si>
    <t>ENRIQUE MARCOS CISNEROS RODRIGUEZ</t>
  </si>
  <si>
    <t>CIRE540123HMCSDN02</t>
  </si>
  <si>
    <t>JORGE LUIS MOLINA ROBLES</t>
  </si>
  <si>
    <t>MORJ561213HCSLBR00</t>
  </si>
  <si>
    <t>13/07/2026 14:32</t>
  </si>
  <si>
    <t xml:space="preserve">LUZ GABRIELA LOPEZ CARDENAS </t>
  </si>
  <si>
    <t xml:space="preserve">LOCL770212MGTPRZ03 </t>
  </si>
  <si>
    <t>13/07/2026 14:42</t>
  </si>
  <si>
    <t>JOSE LUIZ PAZ JUAREZ</t>
  </si>
  <si>
    <t>PAJL641122HDFZRS00</t>
  </si>
  <si>
    <t>13/07/2026 14:27</t>
  </si>
  <si>
    <t>CARLOS NAVA AGUSTIN</t>
  </si>
  <si>
    <t>NAAC590808HGRVGR05</t>
  </si>
  <si>
    <t>13/07/2026 14:39</t>
  </si>
  <si>
    <t xml:space="preserve">donicio hernandez </t>
  </si>
  <si>
    <t>13/07/2026 14:44</t>
  </si>
  <si>
    <t xml:space="preserve">elias mendez </t>
  </si>
  <si>
    <t>MEVE550720HPLNZL06</t>
  </si>
  <si>
    <t>MACARIO FLORES TELLEZ</t>
  </si>
  <si>
    <t>FOTM720102HMCLLC05</t>
  </si>
  <si>
    <t>13/07/2026 13:28</t>
  </si>
  <si>
    <t>ELVIRA DOMINGUEZ SANTIAGO</t>
  </si>
  <si>
    <t>DOSE550410MVZMNL07</t>
  </si>
  <si>
    <t>13/07/2026 15:01</t>
  </si>
  <si>
    <t>Irma Guadalupe Vazquez Ramirez</t>
  </si>
  <si>
    <t>VARI651219MSLZMR05</t>
  </si>
  <si>
    <t>13/07/2026 15:15</t>
  </si>
  <si>
    <t>SAMUEL GONZALEZ RAMOS</t>
  </si>
  <si>
    <t>GORS620827HGTNMM06</t>
  </si>
  <si>
    <t>13/07/2026 15:04</t>
  </si>
  <si>
    <t>Ma, Guadalupe Bernal Betancourt</t>
  </si>
  <si>
    <t>BEBG591122MMCRTD09</t>
  </si>
  <si>
    <t>13/07/2026 15:34</t>
  </si>
  <si>
    <t>13/07/2026 15:41</t>
  </si>
  <si>
    <t>JUANA PATRICIA UREÑA CORRAL</t>
  </si>
  <si>
    <t>13/07/2026 15:48</t>
  </si>
  <si>
    <t>MAXIMILIANO RINCON LOPEZ</t>
  </si>
  <si>
    <t>RILM621231HMNNPX02</t>
  </si>
  <si>
    <t>13/07/2026 15:45</t>
  </si>
  <si>
    <t>FRANCISCO HERRERA AVALOS</t>
  </si>
  <si>
    <t>HEAF500415HDGRVR07</t>
  </si>
  <si>
    <t>13/07/2026 15:12</t>
  </si>
  <si>
    <t xml:space="preserve">JUAN MARTINEZ ALFONSO </t>
  </si>
  <si>
    <t>MAAJ731110HVZRLN00</t>
  </si>
  <si>
    <t>ENRIQUE REYNOSO DIAZ</t>
  </si>
  <si>
    <t>REDE601229HJCYZN02</t>
  </si>
  <si>
    <t>13/07/2026 15:58</t>
  </si>
  <si>
    <t>EFRAIN ALONSO GUZMAN WING</t>
  </si>
  <si>
    <t>GUWE510426HNLZNF06</t>
  </si>
  <si>
    <t>13/07/2026 16:07</t>
  </si>
  <si>
    <t>FRANCISCO CRUZ REYES</t>
  </si>
  <si>
    <t>CURF680925HVZRYR02</t>
  </si>
  <si>
    <t>13/07/2026 16:18</t>
  </si>
  <si>
    <t>Juan Manuel Fragoso Martinez</t>
  </si>
  <si>
    <t>FAMJ730517HDFRRN00</t>
  </si>
  <si>
    <t>LUISA LARA SUR</t>
  </si>
  <si>
    <t>Bruno Perez Molina</t>
  </si>
  <si>
    <t>PEMB731223HJCRLR00</t>
  </si>
  <si>
    <t>13/07/2026 16:08</t>
  </si>
  <si>
    <t>ROBERTO RAMON PEREZ</t>
  </si>
  <si>
    <t xml:space="preserve">RAPR631128HTCMRB09 </t>
  </si>
  <si>
    <t>13/07/2026 16:35</t>
  </si>
  <si>
    <t>J. GUADALUPE BECERRA ORTIZ</t>
  </si>
  <si>
    <t>BEOG570822HGTCRD08</t>
  </si>
  <si>
    <t>13/07/2026 16:39</t>
  </si>
  <si>
    <t>Esmeralda Aguilar Orozco</t>
  </si>
  <si>
    <t>AUOE750618MMNGRS05</t>
  </si>
  <si>
    <t>13/07/2026 17:28</t>
  </si>
  <si>
    <t>MARIA ELENA ZAVALA URIARTE</t>
  </si>
  <si>
    <t>ZAUE651205MSLVRL08</t>
  </si>
  <si>
    <t>13/07/2026 12:48</t>
  </si>
  <si>
    <t xml:space="preserve">ADOLFO MORALES HIGUERA </t>
  </si>
  <si>
    <t>MOHA520609HSLRGD06</t>
  </si>
  <si>
    <t>13/07/2026 16:03</t>
  </si>
  <si>
    <t>ROBERTO JAVIER GARCIA CARRILLO</t>
  </si>
  <si>
    <t>GACR591118HCLRRB07</t>
  </si>
  <si>
    <t>14/07/2026 08:09</t>
  </si>
  <si>
    <t>JASHA ARACELI KOSBERG GONZALEZ</t>
  </si>
  <si>
    <t>KOGJ540819MDFSNS02</t>
  </si>
  <si>
    <t>14/07/2026 08:40</t>
  </si>
  <si>
    <t>OCTAVIO TORRES CRUZ</t>
  </si>
  <si>
    <t>TOCO580120HVZRRC09</t>
  </si>
  <si>
    <t>RIGOBERTO GONZALEZ</t>
  </si>
  <si>
    <t>14/07/2026 08:56</t>
  </si>
  <si>
    <t xml:space="preserve">BENJAMIN MONTOYA </t>
  </si>
  <si>
    <t>14/07/2026 08:59</t>
  </si>
  <si>
    <t>14/07/2026</t>
  </si>
  <si>
    <t>N/ P</t>
  </si>
  <si>
    <t>14/07/2026 09:00</t>
  </si>
  <si>
    <t>JAVIER MORALES GUTIERREZ</t>
  </si>
  <si>
    <t>GUMJ610123HJCTRV04</t>
  </si>
  <si>
    <t>14/07/2026 09:01</t>
  </si>
  <si>
    <t>14/07/2026 09:08</t>
  </si>
  <si>
    <t>BLANCA NOHEMI SANCHEZ ALONSO</t>
  </si>
  <si>
    <t>SAAB510524MVZNLL01</t>
  </si>
  <si>
    <t>13/07/2026 17:41</t>
  </si>
  <si>
    <t>JOSE GABRIEL MEJIA PACHECO</t>
  </si>
  <si>
    <t>MEPG550226HDFJCB06</t>
  </si>
  <si>
    <t>GABRIEL TAKAJASI MALDONADO</t>
  </si>
  <si>
    <t>TAMG640114HCLKLB02</t>
  </si>
  <si>
    <t>14/07/2026 09:19</t>
  </si>
  <si>
    <t xml:space="preserve">Fernando Jose </t>
  </si>
  <si>
    <t>MELF650909HDFNPR06</t>
  </si>
  <si>
    <t>14/07/2026 09:30</t>
  </si>
  <si>
    <t>N / P</t>
  </si>
  <si>
    <t>14/07/2026 09:26</t>
  </si>
  <si>
    <t>Irma Ayala González</t>
  </si>
  <si>
    <t>14/07/2026 09:28</t>
  </si>
  <si>
    <t>MARIA GUADALUPE AGUILAR MORALES</t>
  </si>
  <si>
    <t>AUMG930530MMNGRD02</t>
  </si>
  <si>
    <t>14/07/2026 09:55</t>
  </si>
  <si>
    <t>ADRIAN RODRIGUEZ</t>
  </si>
  <si>
    <t>ROHA800309HMCDRD05</t>
  </si>
  <si>
    <t>14/07/2026 09:44</t>
  </si>
  <si>
    <t>FAUSTA PETRA ROMAN CEVADA</t>
  </si>
  <si>
    <t>ROCF620217MPLMVS18</t>
  </si>
  <si>
    <t>14/07/2026 09:43</t>
  </si>
  <si>
    <t>GERMAN ORTIZ BALCAZAR</t>
  </si>
  <si>
    <t>OIBG641011HCHRLR01</t>
  </si>
  <si>
    <t>14/07/2026 10:20</t>
  </si>
  <si>
    <t>Juan Rene Martinez Huitron</t>
  </si>
  <si>
    <t>MAHJ660122HCHRTN05</t>
  </si>
  <si>
    <t>14/07/2026 09:25</t>
  </si>
  <si>
    <t>SALVADOR ESTRADA CHAVEZ</t>
  </si>
  <si>
    <t>14/07/2026 10:35</t>
  </si>
  <si>
    <t>ARMANDO TORRES CAMPOS</t>
  </si>
  <si>
    <t>TOCA610830HDFRMR09</t>
  </si>
  <si>
    <t>14/07/2026 10:18</t>
  </si>
  <si>
    <t xml:space="preserve">FREDY RAMON MEX CHIM  </t>
  </si>
  <si>
    <t>MECF620831HYNXHR01</t>
  </si>
  <si>
    <t>14/07/2026 08:00</t>
  </si>
  <si>
    <t>ALEJANDRO BECERRIL ALEJANDRO</t>
  </si>
  <si>
    <t>RXBA640620HDFDCL07</t>
  </si>
  <si>
    <t>14/07/2026 11:13</t>
  </si>
  <si>
    <t>EVANGELINA DE JESUS ABAD CONCHA</t>
  </si>
  <si>
    <t>AACE620324MDFBNV09</t>
  </si>
  <si>
    <t>14/07/2026 10:06</t>
  </si>
  <si>
    <t>RUBEN LEAL NIEBLAS</t>
  </si>
  <si>
    <t>LENR640611HSRLBB06</t>
  </si>
  <si>
    <t>14/07/2026 11:15</t>
  </si>
  <si>
    <t>MANUEL BECERRA ZEPEDA</t>
  </si>
  <si>
    <t>BEZM640410HJCCPN04</t>
  </si>
  <si>
    <t>14/07/2026 11:35</t>
  </si>
  <si>
    <t>Bertha Idalia Camarillo Gonzalez</t>
  </si>
  <si>
    <t>CAGB720930MNLMNR01</t>
  </si>
  <si>
    <t>14/07/2026 10:48</t>
  </si>
  <si>
    <t>MARIA DEL ROSARIO MENDEZ SANCHEZ</t>
  </si>
  <si>
    <t>MESR630411MDFNNS05</t>
  </si>
  <si>
    <t>14/07/2026 11:46</t>
  </si>
  <si>
    <t xml:space="preserve">MARTIN MARTINEZ MARTINEZ </t>
  </si>
  <si>
    <t>MAMM630816HNLRRR08</t>
  </si>
  <si>
    <t>14/07/2026 11:48</t>
  </si>
  <si>
    <t>VERONICA ENRIQUETA SAMPAYO DIAZ</t>
  </si>
  <si>
    <t>SADV640426MNLMZR05</t>
  </si>
  <si>
    <t>14/07/2026 11:58</t>
  </si>
  <si>
    <t>Reynaldo Sias Valencia</t>
  </si>
  <si>
    <t>SIVR530225HCHSLY08</t>
  </si>
  <si>
    <t>14/07/2026 12:00</t>
  </si>
  <si>
    <t>GUADALUPE GALICIA ANTONIO</t>
  </si>
  <si>
    <t>GAAG590326MOCLND09</t>
  </si>
  <si>
    <t>14/07/2026 12:08</t>
  </si>
  <si>
    <t>YAMILETH CARDONA EXT 2</t>
  </si>
  <si>
    <t>OSCAR SANCHEZ IBARRA</t>
  </si>
  <si>
    <t>SAIO731007HCLNBS01</t>
  </si>
  <si>
    <t>14/07/2026 12:44</t>
  </si>
  <si>
    <t>MAGALI MARTINEZ EXT 2</t>
  </si>
  <si>
    <t>BAGM680909HTCTMN03</t>
  </si>
  <si>
    <t>14/07/2026 12:54</t>
  </si>
  <si>
    <t>ADRIAN</t>
  </si>
  <si>
    <t>14/07/2026 12:43</t>
  </si>
  <si>
    <t xml:space="preserve">ROSA ELENA MARTINEZ VILLA </t>
  </si>
  <si>
    <t>MAVR750427MZSRLS09</t>
  </si>
  <si>
    <t>14/07/2026 12:58</t>
  </si>
  <si>
    <t>ANTONIO RIOS ALVAREZ</t>
  </si>
  <si>
    <t>RIAA640505HZSSLN04</t>
  </si>
  <si>
    <t>14/07/2026 13:13</t>
  </si>
  <si>
    <t xml:space="preserve">LUIS ARTURO RUIZ NOTARIO </t>
  </si>
  <si>
    <t>RUNL730922HDFZTS08</t>
  </si>
  <si>
    <t xml:space="preserve"> 449 203 0848</t>
  </si>
  <si>
    <t>14/07/2026 13:40</t>
  </si>
  <si>
    <t>José Casillas Moya</t>
  </si>
  <si>
    <t>14/07/2026 13:48</t>
  </si>
  <si>
    <t>Geraldine Arreola Acosta</t>
  </si>
  <si>
    <t>AEAG910718MSRRCR05</t>
  </si>
  <si>
    <t>14/07/2026 13:52</t>
  </si>
  <si>
    <t>LUCIANO</t>
  </si>
  <si>
    <t>14/07/2026 13:55</t>
  </si>
  <si>
    <t xml:space="preserve">MARTIN TORRES MUNGUIA </t>
  </si>
  <si>
    <t>TOMM660309HSRRNR04</t>
  </si>
  <si>
    <t>14/07/2026 11:55</t>
  </si>
  <si>
    <t xml:space="preserve">JOSE ALBERTO MENDEZ PADILLA </t>
  </si>
  <si>
    <t>MEPA670318HSRNDL03</t>
  </si>
  <si>
    <t>14/07/2026 14:06</t>
  </si>
  <si>
    <t xml:space="preserve">IGNACIO CEBALLOS OLIVERA  </t>
  </si>
  <si>
    <t>CEOI610718HJCBLG02</t>
  </si>
  <si>
    <t>14/07/2026 14:24</t>
  </si>
  <si>
    <t xml:space="preserve">TOMAS TORRES FLORES </t>
  </si>
  <si>
    <t>TOFT591221HGRRLM09</t>
  </si>
  <si>
    <t>NORMA CEDILLO GOMEZ</t>
  </si>
  <si>
    <t>CEGN640611MMSDMR03</t>
  </si>
  <si>
    <t>14/07/2026 14:18</t>
  </si>
  <si>
    <t>JOSE LUIS RODRIGUEZ MENDOZA</t>
  </si>
  <si>
    <t>ROML580704HCSDNS17</t>
  </si>
  <si>
    <t>14/07/2026 14:31</t>
  </si>
  <si>
    <t>ELIZABETH GODINEZ LOPEZ</t>
  </si>
  <si>
    <t>GOLE650728MDFDPL04</t>
  </si>
  <si>
    <t>MARIA TERESA CUEVA CRUZ</t>
  </si>
  <si>
    <t>CUCT890601MQTVRR00</t>
  </si>
  <si>
    <t>14/07/2026 14:29</t>
  </si>
  <si>
    <t>ZAIRA ROSARIO PEÑA DE LA CHICA</t>
  </si>
  <si>
    <t>PECZ740419MDFXHR08S</t>
  </si>
  <si>
    <t>14/07/2026 14:48</t>
  </si>
  <si>
    <t>ZAVM630118HMNMLR08</t>
  </si>
  <si>
    <t>14/07/2026 14:25</t>
  </si>
  <si>
    <t xml:space="preserve">MARIA PATRICIA MORAN </t>
  </si>
  <si>
    <t xml:space="preserve">
28976100579</t>
  </si>
  <si>
    <t>MOXP590401MDFRXT02</t>
  </si>
  <si>
    <t>14/07/2026 14:52</t>
  </si>
  <si>
    <t>JESUS MANUEL ONTIVEROS DE LA ROSA</t>
  </si>
  <si>
    <t>OIRJ650214HCHNSS04</t>
  </si>
  <si>
    <t>14/07/2026 13:50</t>
  </si>
  <si>
    <t>Antonio Hernández Arechiga</t>
  </si>
  <si>
    <t>HEAA640708HNLRRN07</t>
  </si>
  <si>
    <t>14/07/2026 15:15</t>
  </si>
  <si>
    <t>Jose Trinidad Fuentes Herrera</t>
  </si>
  <si>
    <t>FUHT770605HMCNRR08</t>
  </si>
  <si>
    <t>14/07/2026 15:02</t>
  </si>
  <si>
    <t>LUCIA MARINA SALAZAR OLIVO</t>
  </si>
  <si>
    <t>SAOL601226MNLLLC03</t>
  </si>
  <si>
    <t>14/07/2026 14:27</t>
  </si>
  <si>
    <t>FELIPA MENDEZ FERNANDEZ</t>
  </si>
  <si>
    <t>MEFF630823MCHNRL01</t>
  </si>
  <si>
    <t>ALVARO ULLOA MORALES</t>
  </si>
  <si>
    <t>UOMA630219HJCLRL08</t>
  </si>
  <si>
    <t>14/07/2026 14:28</t>
  </si>
  <si>
    <t>DAVID MORENO PEREZ</t>
  </si>
  <si>
    <t>MOPD571230HCSRRV19</t>
  </si>
  <si>
    <t>14/07/2026 15:20</t>
  </si>
  <si>
    <t>MARTIN RODRIGUEZ TORRES</t>
  </si>
  <si>
    <t>ROTM601111HTLDRR02</t>
  </si>
  <si>
    <t>14/07/2026 14:57</t>
  </si>
  <si>
    <t>Gustavo Adolfo Amador Gonzalez</t>
  </si>
  <si>
    <t>AAGG650106HCLMNS05</t>
  </si>
  <si>
    <t>14/07/2026 15:26</t>
  </si>
  <si>
    <t>JULIETA ALICIA MERIDA ORTIZ</t>
  </si>
  <si>
    <t>MEOJ630109MSLRRL06</t>
  </si>
  <si>
    <t>14/07/2026 15:38</t>
  </si>
  <si>
    <t>ANASTACIO ISLAS HERNANDEZ</t>
  </si>
  <si>
    <t>IAHA710529HHGSRN00</t>
  </si>
  <si>
    <t>14/07/2026 15:37</t>
  </si>
  <si>
    <t>CLEMENTE GOROSTIETA BENITES</t>
  </si>
  <si>
    <t>GOBC640916HMCRNL05</t>
  </si>
  <si>
    <t>14/07/2026 15:49</t>
  </si>
  <si>
    <t>GENARO DAVILA HILARIO</t>
  </si>
  <si>
    <t>DAHG620109HCLVLN03</t>
  </si>
  <si>
    <t>14/07/2026 16:04</t>
  </si>
  <si>
    <t xml:space="preserve">ALEJANDRO CERVANTES RUIZ </t>
  </si>
  <si>
    <t>CERA620424HDFRZL04</t>
  </si>
  <si>
    <t>14/07/2026 15:12</t>
  </si>
  <si>
    <t xml:space="preserve">MA DEL REFUGIO MENDEZ GUIDO </t>
  </si>
  <si>
    <t>MEGR711113MGTNDF09</t>
  </si>
  <si>
    <t>14/07/2026 15:32</t>
  </si>
  <si>
    <t>MARTIN ALEJANDRO LOPEZ BENITEZ</t>
  </si>
  <si>
    <t>LOBM630107HDFPNR01</t>
  </si>
  <si>
    <t>TEOFILO OLVERA LOPEZ</t>
  </si>
  <si>
    <t>OELT591013HQTLPF01</t>
  </si>
  <si>
    <t>14/07/2026 16:21</t>
  </si>
  <si>
    <t>14/07/2026 16:39</t>
  </si>
  <si>
    <t>jose juan</t>
  </si>
  <si>
    <t>COZJ750810HVZRLN08</t>
  </si>
  <si>
    <t>14/07/2026 16:52</t>
  </si>
  <si>
    <t>ROSA MA. FLORES GUERRERO</t>
  </si>
  <si>
    <t>FOGR620830MSPLRS02</t>
  </si>
  <si>
    <t>14/07/2026 16:57</t>
  </si>
  <si>
    <t>ARTURO BRIONES RAMIREZ</t>
  </si>
  <si>
    <t>BIRA590125HDFRMR06</t>
  </si>
  <si>
    <t>14/07/2026 16:10</t>
  </si>
  <si>
    <t xml:space="preserve">JOSE LUIS MORALES BALLEZA </t>
  </si>
  <si>
    <t>MOBL571109HNLRLS09</t>
  </si>
  <si>
    <t>14/07/2026 17:05</t>
  </si>
  <si>
    <t>LAURA ELSA CASTAÑON VAZQUEZ</t>
  </si>
  <si>
    <t>CAVL690512MTSSZR18</t>
  </si>
  <si>
    <t>14/07/2026 15:43</t>
  </si>
  <si>
    <t>RUBEN ANDAZOLA MENDOZA</t>
  </si>
  <si>
    <t>AAMR680918HCHNNB07</t>
  </si>
  <si>
    <t>14/07/2026 17:18</t>
  </si>
  <si>
    <t>MIGUEL MARQUEZ MONTOYA</t>
  </si>
  <si>
    <t>MAMM590116HDFRNG03</t>
  </si>
  <si>
    <t>14/07/2026 18:33</t>
  </si>
  <si>
    <t>15/07/2026 08:46</t>
  </si>
  <si>
    <t>15/07/2026</t>
  </si>
  <si>
    <t>15/07/2026 09:57</t>
  </si>
  <si>
    <t xml:space="preserve">VICTOR </t>
  </si>
  <si>
    <t>15/07/2026 09:59</t>
  </si>
  <si>
    <t>DEMETRIO MARTINEZ MENDEZ</t>
  </si>
  <si>
    <t>MAMD621222HMCRNM05</t>
  </si>
  <si>
    <t>15/07/2026 09:41</t>
  </si>
  <si>
    <t>MANUEL RODRIGUEZ CEJA</t>
  </si>
  <si>
    <t>ROCM571124HJCDJN08</t>
  </si>
  <si>
    <t>14/07/2026 17:04</t>
  </si>
  <si>
    <t>ALICIA GONZALEZ TEPANTITLA</t>
  </si>
  <si>
    <t>GOTA741007MDFNPL03</t>
  </si>
  <si>
    <t>15/07/2026 10:15</t>
  </si>
  <si>
    <t>JUAN MANUEL MORALES MEZA</t>
  </si>
  <si>
    <t>MOMJ640607HOCRZN01</t>
  </si>
  <si>
    <t>15/07/2026 10:04</t>
  </si>
  <si>
    <t>JOSEFINA JAIMES SANCHEZ</t>
  </si>
  <si>
    <t>JASJ590319MDFMNS02</t>
  </si>
  <si>
    <t>15/07/2026 08:44</t>
  </si>
  <si>
    <t>JOSE LUIS PATIÑO ROMAN</t>
  </si>
  <si>
    <t>PARL640812HMSTMS08</t>
  </si>
  <si>
    <t>15/07/2026 10:40</t>
  </si>
  <si>
    <t>GERARDO ROMAN LOPEZ</t>
  </si>
  <si>
    <t>ROLG630409HASMPR09</t>
  </si>
  <si>
    <t>15/07/2026 10:27</t>
  </si>
  <si>
    <t>Juana Camacho Yagle</t>
  </si>
  <si>
    <t>CATJ610324MASMGN00</t>
  </si>
  <si>
    <t>15/07/2026 10:18</t>
  </si>
  <si>
    <t>FERMIN MENDOZA VERDUGO</t>
  </si>
  <si>
    <t>MEVF590607HSRNRR05</t>
  </si>
  <si>
    <t>15/07/2026 11:08</t>
  </si>
  <si>
    <t xml:space="preserve"> Filiberto. Reyes</t>
  </si>
  <si>
    <t>15/07/2026 10:58</t>
  </si>
  <si>
    <t>TITO GARCIA RAMIREZ</t>
  </si>
  <si>
    <t>GART500210HDGRMT01</t>
  </si>
  <si>
    <t>15/07/2026 11:02</t>
  </si>
  <si>
    <t>JOSE ALBERTO CASTILLO PERALES</t>
  </si>
  <si>
    <t>CAPA541030HGTSRL06</t>
  </si>
  <si>
    <t>15/07/2026 11:04</t>
  </si>
  <si>
    <t>SERGIO ALEJANDRO MARTINEZ GONZALEZ</t>
  </si>
  <si>
    <t>MAGS650921HVZRNR04</t>
  </si>
  <si>
    <t>15/07/2026 10:59</t>
  </si>
  <si>
    <t>LEONOR MORENO ESCUTIA</t>
  </si>
  <si>
    <t>MOEL750821MMCRSN03</t>
  </si>
  <si>
    <t>15/07/2026 11:24</t>
  </si>
  <si>
    <t>REINA ELIHUT SANCHEZ SANCHEZ</t>
  </si>
  <si>
    <t>15/07/2026 11:36</t>
  </si>
  <si>
    <t>JOSE HUMBERTO CARBALLO GONZALEZ</t>
  </si>
  <si>
    <t>CAGH521006HDFRNM06</t>
  </si>
  <si>
    <t>15/07/2026 10:51</t>
  </si>
  <si>
    <t>MARTIN GERARDO RODALLEGAS MARTINEZ</t>
  </si>
  <si>
    <t>ROMM630909HCLDRR09</t>
  </si>
  <si>
    <t>15/07/2026 11:37</t>
  </si>
  <si>
    <t>MARIA GUADALUPE CLEMENTINA ORTA LAINEZ</t>
  </si>
  <si>
    <t>OALG550303MPLRND04</t>
  </si>
  <si>
    <t>15/07/2026 11:49</t>
  </si>
  <si>
    <t xml:space="preserve">Julio Trejo Angeles </t>
  </si>
  <si>
    <t>TEAJ630207HDFRNL07</t>
  </si>
  <si>
    <t>15/07/2026 11:59</t>
  </si>
  <si>
    <t>JULIO HERNANDEZ CRUZ</t>
  </si>
  <si>
    <t>HECJ640412HDFRRL09</t>
  </si>
  <si>
    <t>15/07/2026 10:05</t>
  </si>
  <si>
    <t xml:space="preserve">GABRIEL ALFONSO GONZALEZ SANTOS </t>
  </si>
  <si>
    <t>GOSG570620HYNNNB07</t>
  </si>
  <si>
    <t>15/07/2026 11:45</t>
  </si>
  <si>
    <t>GERARDO CORDOVA VALADEZ</t>
  </si>
  <si>
    <t>COVG620309HDGRLR02</t>
  </si>
  <si>
    <t>15/07/2026 12:36</t>
  </si>
  <si>
    <t>15/07/2026 12:48</t>
  </si>
  <si>
    <t>MA DE JESUS GONZÁLEZ VALDERRAMA</t>
  </si>
  <si>
    <t>GOVJ75012MJCNLS06</t>
  </si>
  <si>
    <t>ARMANDO ABARCA CORTEZ</t>
  </si>
  <si>
    <t>AACA630406HGRBRR18</t>
  </si>
  <si>
    <t>15/07/2026 12:46</t>
  </si>
  <si>
    <t>GERARDO ARMENTA CITAL</t>
  </si>
  <si>
    <t>AECG641121HSLRTR03</t>
  </si>
  <si>
    <t>15/07/2026 10:48</t>
  </si>
  <si>
    <t>CLAUDIA LOPEZ ABATCA</t>
  </si>
  <si>
    <t>LOAC601103MDFPBL09</t>
  </si>
  <si>
    <t>15/07/2026 13:01</t>
  </si>
  <si>
    <t>MARCELINO ROJAS ROSALES</t>
  </si>
  <si>
    <t>RORM680602HMCJSR04</t>
  </si>
  <si>
    <t>MARTIN ARELLANO ESPARZA</t>
  </si>
  <si>
    <t>AEEM630410HASRSR01</t>
  </si>
  <si>
    <t>15/07/2026 13:15</t>
  </si>
  <si>
    <t>N /P</t>
  </si>
  <si>
    <t>15/07/2026 13:23</t>
  </si>
  <si>
    <t>ALEJANDRINA RAMIREZ RODRIGUEZ</t>
  </si>
  <si>
    <t>RARA710610MJCMDL05</t>
  </si>
  <si>
    <t>15/07/2026 13:33</t>
  </si>
  <si>
    <t>JUANA CECILIA</t>
  </si>
  <si>
    <t>15/07/2026 13:42</t>
  </si>
  <si>
    <t>JUAN MANUEL HERNANDEZ SANCHEZ</t>
  </si>
  <si>
    <t>HESJ560605HASRNN07</t>
  </si>
  <si>
    <t>15/07/2026 13:58</t>
  </si>
  <si>
    <t>CARLOS MARTINEZ</t>
  </si>
  <si>
    <t>15/07/2026 14:00</t>
  </si>
  <si>
    <t>RAUL VARGAS RUELAS</t>
  </si>
  <si>
    <t>VARR660217HDFRLL05</t>
  </si>
  <si>
    <t>MARIA DEL ROCIO VILLEDA GARCIA</t>
  </si>
  <si>
    <t>VIGR590610MMCLRC04</t>
  </si>
  <si>
    <t>15/07/2026 14:01</t>
  </si>
  <si>
    <t>CARLOS ROSALES</t>
  </si>
  <si>
    <t>15/07/2026 14:14</t>
  </si>
  <si>
    <t>BONIFACIO HERNANDEZ CRUZ</t>
  </si>
  <si>
    <t>HECB630514HVZRRN08</t>
  </si>
  <si>
    <t>15/07/2026 14:20</t>
  </si>
  <si>
    <t>MIGUEL ANGEL MIRANDA RAMIREZ</t>
  </si>
  <si>
    <t>MIRM640915HDGRMG01</t>
  </si>
  <si>
    <t>MA DOLORES RIOS</t>
  </si>
  <si>
    <t>RIXD740426MGTSXL01</t>
  </si>
  <si>
    <t>15/07/2026 14:45</t>
  </si>
  <si>
    <t>MARIA ELENA GUTIERREZ GONZALEZ</t>
  </si>
  <si>
    <t>GUGE511107MCHTNL11</t>
  </si>
  <si>
    <t>15/07/2026 14:53</t>
  </si>
  <si>
    <t>Erasmo Valverde Cabrera</t>
  </si>
  <si>
    <t>VACE721125HMCLBR05</t>
  </si>
  <si>
    <t>15/07/2026 14:59</t>
  </si>
  <si>
    <t>CARLOS VALADEZ MONTAÑEZ</t>
  </si>
  <si>
    <t>VAMC730317HASLNR08</t>
  </si>
  <si>
    <t>15/07/2026 11:55</t>
  </si>
  <si>
    <t>Inocencio Alba García</t>
  </si>
  <si>
    <t>AAGI630622HJCLRN18</t>
  </si>
  <si>
    <t>15/07/2026 12:28</t>
  </si>
  <si>
    <t xml:space="preserve">MARIA DEL CARMEN REBOLLEDO ESTEVEZ </t>
  </si>
  <si>
    <t>REEC620606MVZBSR03</t>
  </si>
  <si>
    <t>15/07/2026 10:55</t>
  </si>
  <si>
    <t>Federico Miguel Delgado Vargas</t>
  </si>
  <si>
    <t>DEVF720502HTSLRD16</t>
  </si>
  <si>
    <t>ARTURO AGUIRRE HERNANDEZ</t>
  </si>
  <si>
    <t>AUHA621215HVZGRR00</t>
  </si>
  <si>
    <t>15/07/2026 15:15</t>
  </si>
  <si>
    <t>JOSE LUIS NOLASCO PEDRAZA</t>
  </si>
  <si>
    <t> </t>
  </si>
  <si>
    <t xml:space="preserve"> NOPL521029HDFLDS00</t>
  </si>
  <si>
    <t>15/07/2026 15:18</t>
  </si>
  <si>
    <t xml:space="preserve">MARIA TERESA </t>
  </si>
  <si>
    <t>CAHT601101MSLRRR05</t>
  </si>
  <si>
    <t>15/07/2026 15:20</t>
  </si>
  <si>
    <t>Roberto Guerrero Estrada</t>
  </si>
  <si>
    <t>GUER520513HDFRSB07</t>
  </si>
  <si>
    <t>ANGELICA LOPEZ</t>
  </si>
  <si>
    <t>15/07/2026 15:22</t>
  </si>
  <si>
    <t>MARCOS ADOLFO GONZALEZ PEREZ</t>
  </si>
  <si>
    <t>GOPM620407HBCNRR08</t>
  </si>
  <si>
    <t>15/07/2026 15:28</t>
  </si>
  <si>
    <t>JOSE CARMELO ARMANDO FLORES ALANIS</t>
  </si>
  <si>
    <t>FOAC471118HMNLLR02</t>
  </si>
  <si>
    <t>15/07/2026 15:29</t>
  </si>
  <si>
    <t>ROSA CASTILLEJOS MORALES</t>
  </si>
  <si>
    <t>CAMR670904MVZSRS02</t>
  </si>
  <si>
    <t>15/07/2026 15:21</t>
  </si>
  <si>
    <t>ALFREDO WIEDMANN GONZALEZ</t>
  </si>
  <si>
    <t>WIGA650914HJCDNL09</t>
  </si>
  <si>
    <t>15/07/2026 15:42</t>
  </si>
  <si>
    <t>RAFAEL REYES GUZMAN</t>
  </si>
  <si>
    <t>REGR580722HVZYZF03</t>
  </si>
  <si>
    <t>15/07/2026 15:50</t>
  </si>
  <si>
    <t>Juan Carlos Zepeda Diaz</t>
  </si>
  <si>
    <t>ZEDJ690529HNTPZN04</t>
  </si>
  <si>
    <t>GABRIELA HILARIO ANTONIO</t>
  </si>
  <si>
    <t>HIAG700324MDFLNB04</t>
  </si>
  <si>
    <t>15/07/2026 16:05</t>
  </si>
  <si>
    <t>María Guadalupe Velasco Gonzalez</t>
  </si>
  <si>
    <t>VEGG590627MDFLNLD1</t>
  </si>
  <si>
    <t>15/07/2026 14:51</t>
  </si>
  <si>
    <t xml:space="preserve">cecilio montoya flores </t>
  </si>
  <si>
    <t>MOFC610902HCLNLC12</t>
  </si>
  <si>
    <t>15/07/2026 15:38</t>
  </si>
  <si>
    <t>15/07/2026 16:31</t>
  </si>
  <si>
    <t>MARIA ESPERANZA PATRICIA</t>
  </si>
  <si>
    <t>TOME510126MDFRYS01</t>
  </si>
  <si>
    <t>15/07/2026 16:33</t>
  </si>
  <si>
    <t xml:space="preserve">Jose Rafael terraza Borquez </t>
  </si>
  <si>
    <t>TEBR670905HSLRRF05</t>
  </si>
  <si>
    <t>JOSE MARIA REYES MORALES</t>
  </si>
  <si>
    <t>REMM620520HVZYRR04</t>
  </si>
  <si>
    <t>15/07/2026 16:41</t>
  </si>
  <si>
    <t>VICTORIANO LARA CORPUS</t>
  </si>
  <si>
    <t>LACV590323HCLRRC09</t>
  </si>
  <si>
    <t>15/07/2026 16:54</t>
  </si>
  <si>
    <t xml:space="preserve">FAUSTO TORIZ MARIN </t>
  </si>
  <si>
    <t>TOMF580906HDFRRS05</t>
  </si>
  <si>
    <t>15/07/2026 16:57</t>
  </si>
  <si>
    <t>JOSE LUIS MARTINEZ GARCIA</t>
  </si>
  <si>
    <t>MAGL600508HDFRRS06</t>
  </si>
  <si>
    <t>15/07/2026 15:17</t>
  </si>
  <si>
    <t>EDUARDO GONZALEZ CELIS</t>
  </si>
  <si>
    <t>GOCE541013HGRNLD00</t>
  </si>
  <si>
    <t>15/07/2026 17:16</t>
  </si>
  <si>
    <t>SILVANO RAFAEL LORENZO</t>
  </si>
  <si>
    <t>RALS040802HGRFRLA1</t>
  </si>
  <si>
    <t>15/07/2026 17:14</t>
  </si>
  <si>
    <t>JESUS RAMIREZ ALFARO</t>
  </si>
  <si>
    <t>RAAJ510701HHGMLS00</t>
  </si>
  <si>
    <t>15/07/2026 17:39</t>
  </si>
  <si>
    <t>JESUS MANUEL MEJIA VALENCIANA</t>
  </si>
  <si>
    <t>MEVJ651225HNLJLS02</t>
  </si>
  <si>
    <t>16/07/2026 08:08</t>
  </si>
  <si>
    <t>16/07/2026</t>
  </si>
  <si>
    <t>ALFREDO FLORES ANGUIANO</t>
  </si>
  <si>
    <t>FOAA600130HDFLNL03</t>
  </si>
  <si>
    <t>16/07/2026 08:30</t>
  </si>
  <si>
    <t>AMIR NAVARRO EXT 2</t>
  </si>
  <si>
    <t>EDUARDO MENDEZ Y MENDEZ</t>
  </si>
  <si>
    <t>MEME440724HDFNND00</t>
  </si>
  <si>
    <t>16/07/2026 09:28</t>
  </si>
  <si>
    <t>PATRICIA ESPINOZA GALICIA</t>
  </si>
  <si>
    <t>EIGP641026MMCSLT03</t>
  </si>
  <si>
    <t>16/07/2026 09:32</t>
  </si>
  <si>
    <t>LEOPOLDO VALDES DOMINGUEZ</t>
  </si>
  <si>
    <t>VADL560828HVZLMP06</t>
  </si>
  <si>
    <t>15/07/2026 17:13</t>
  </si>
  <si>
    <t xml:space="preserve">BERTHA ALICIA GARZA ESPARZA </t>
  </si>
  <si>
    <t>GAEB840917MNLRSR04</t>
  </si>
  <si>
    <t>16/07/2026 09:29</t>
  </si>
  <si>
    <t>LUVIA QUIROZ GARCIA</t>
  </si>
  <si>
    <t>QUGL670905MVZRRV03</t>
  </si>
  <si>
    <t>María Guadalupe Pérez Mejínez</t>
  </si>
  <si>
    <t>PEMG661128MJCRJD09</t>
  </si>
  <si>
    <t>16/07/2026 09:49</t>
  </si>
  <si>
    <t>16/07/2026 09:53</t>
  </si>
  <si>
    <t>MARIA DEL ROSARIO CAMARENA NEVAREZ</t>
  </si>
  <si>
    <t>CANR761231MCHMVS00</t>
  </si>
  <si>
    <t>16/07/2026 09:00</t>
  </si>
  <si>
    <t>PABLO GARCIA IBARRA</t>
  </si>
  <si>
    <t>GAIP660115HHGRBB08</t>
  </si>
  <si>
    <t>16/07/2026 10:15</t>
  </si>
  <si>
    <t>PETRA YULIANA BERNAL VILLA</t>
  </si>
  <si>
    <t>BEVP840603MSLRLT06</t>
  </si>
  <si>
    <t>16/07/2026 09:38</t>
  </si>
  <si>
    <t xml:space="preserve">RAYMUNDO HERNANDEZ NUÑEZ </t>
  </si>
  <si>
    <t>HENR600315HTSRXY05</t>
  </si>
  <si>
    <t>16/07/2026 10:14</t>
  </si>
  <si>
    <t>Miguel Ángel Durán Xool</t>
  </si>
  <si>
    <t>DUXM601025HYNRLG03</t>
  </si>
  <si>
    <t>16/07/2026 10:00</t>
  </si>
  <si>
    <t>FRANCISCO ALEMAN</t>
  </si>
  <si>
    <t>16/07/2026 10:34</t>
  </si>
  <si>
    <t>NICOLAS SORIANO MIRANDA</t>
  </si>
  <si>
    <t>SOMN521206HDFRRC07</t>
  </si>
  <si>
    <t>16/07/2026 08:44</t>
  </si>
  <si>
    <t>JOSE ALBERTO BECERRA GUTIERREZ</t>
  </si>
  <si>
    <t>BEGA590322HMNCTL17</t>
  </si>
  <si>
    <t>16/07/2026 11:04</t>
  </si>
  <si>
    <t>REGINA</t>
  </si>
  <si>
    <t>SIAM890712MDFLRR00</t>
  </si>
  <si>
    <t>16/07/2026 11:12</t>
  </si>
  <si>
    <t>Martina Campos Pozos</t>
  </si>
  <si>
    <t>CAPM641201MGTMZR03</t>
  </si>
  <si>
    <t>16/07/2026 11:03</t>
  </si>
  <si>
    <t xml:space="preserve">LUIS ENRIQUE VILLANUEVA MOLINA </t>
  </si>
  <si>
    <t>VIML590713HSRLLS07</t>
  </si>
  <si>
    <t>16/07/2026 10:22</t>
  </si>
  <si>
    <t xml:space="preserve">JOSE ANTONIO REYES REYNA </t>
  </si>
  <si>
    <t xml:space="preserve">RERA630511HZSYYN07 </t>
  </si>
  <si>
    <t>16/07/2026 11:28</t>
  </si>
  <si>
    <t>Jaime Camacho Gutierrez</t>
  </si>
  <si>
    <t>COSME ORTIZ ALVARADO</t>
  </si>
  <si>
    <t>OIAC630221HNLRLS14</t>
  </si>
  <si>
    <t>16/07/2026 10:23</t>
  </si>
  <si>
    <t xml:space="preserve">Ignacio Mojica Escalera </t>
  </si>
  <si>
    <t>MOEI600731HDGJSG03</t>
  </si>
  <si>
    <t>16/07/2026 11:58</t>
  </si>
  <si>
    <t>REYNA DAMIAN AGUILAR</t>
  </si>
  <si>
    <t>DAAR690103MCSMGY04</t>
  </si>
  <si>
    <t>16/07/2026 12:01</t>
  </si>
  <si>
    <t>VICTOR MANUEL ORTEGA CALDERA</t>
  </si>
  <si>
    <t>OECV610126HZSRLC06</t>
  </si>
  <si>
    <t>16/07/2026 12:04</t>
  </si>
  <si>
    <t>ALFREDO AGUSTIN RANGEL NOYOLA</t>
  </si>
  <si>
    <t>RANA550220HJCNYL02</t>
  </si>
  <si>
    <t>16/07/2026 11:36</t>
  </si>
  <si>
    <t>Cristina Sánchez Salmorán</t>
  </si>
  <si>
    <t>SASC730725MVZNLR06</t>
  </si>
  <si>
    <t>SALVADOR MUÑOZ HERNANDEZ</t>
  </si>
  <si>
    <t>MUHS570804HNLXRL07</t>
  </si>
  <si>
    <t>16/07/2026 10:11</t>
  </si>
  <si>
    <t>ROSA ERENDIDA HURTADO MURRIETA</t>
  </si>
  <si>
    <t>HUMR551128MSRRRS09</t>
  </si>
  <si>
    <t>16/07/2026 12:26</t>
  </si>
  <si>
    <t>HECTOR MANUEL PEÑUELAS LOPEZ</t>
  </si>
  <si>
    <t>PELH630905HSLXPC01</t>
  </si>
  <si>
    <t>16/07/2026 12:42</t>
  </si>
  <si>
    <t>FRANCISCO JAVIER DIAZ FLORES</t>
  </si>
  <si>
    <t>DIFF740524HGTZLR08</t>
  </si>
  <si>
    <t>16/07/2026 12:20</t>
  </si>
  <si>
    <t>MARIA DEL CARMEN GRISELDA RAMIREZ TIRADO</t>
  </si>
  <si>
    <t>RATC551019MDFMRR05</t>
  </si>
  <si>
    <t>16/07/2026 12:17</t>
  </si>
  <si>
    <t>MARIA DEL RAYO NUÑEZ SANTACRUZ</t>
  </si>
  <si>
    <t>NUSR650114MDGXNY09</t>
  </si>
  <si>
    <t>16/07/2026 11:26</t>
  </si>
  <si>
    <t xml:space="preserve">FRANCISCO NUÑEZ SANCHEZ </t>
  </si>
  <si>
    <t>NUSF630402HGTXNR01</t>
  </si>
  <si>
    <t>16/07/2026 12:57</t>
  </si>
  <si>
    <t>FILIBERTO JARAMILLO SOLORZANO</t>
  </si>
  <si>
    <t>JASF650218HMSRLL05</t>
  </si>
  <si>
    <t>16/07/2026 13:02</t>
  </si>
  <si>
    <t>ESMERALDA RODRIGUEZ ORTEGA</t>
  </si>
  <si>
    <t>ROOE801107MVZDRS03</t>
  </si>
  <si>
    <t>16/07/2026 12:56</t>
  </si>
  <si>
    <t>MANUEL RODRIGUEZ LANDA</t>
  </si>
  <si>
    <t>ROLM610603HDFDNN02</t>
  </si>
  <si>
    <t>16/07/2026 11:32</t>
  </si>
  <si>
    <t>FRANCISCO</t>
  </si>
  <si>
    <t>PEVF461003HHGRZR05</t>
  </si>
  <si>
    <t>16/07/2026 12:10</t>
  </si>
  <si>
    <t>Jesús Eduardo Moreno Guajardo</t>
  </si>
  <si>
    <t>MOGJ650527HCLRJS02</t>
  </si>
  <si>
    <t>16/07/2026 13:04</t>
  </si>
  <si>
    <t>ELVIRA TORRES SALAS</t>
  </si>
  <si>
    <t>TOSE640125MZSRLL00</t>
  </si>
  <si>
    <t>16/07/2026 13:22</t>
  </si>
  <si>
    <t>MARINA</t>
  </si>
  <si>
    <t>VIHM670611MCHLRR03</t>
  </si>
  <si>
    <t>16/07/2026 13:54</t>
  </si>
  <si>
    <t>DARIO ALDAMA REYNALDO</t>
  </si>
  <si>
    <t>AARD631219HGRLYR04</t>
  </si>
  <si>
    <t>16/07/2026 14:01</t>
  </si>
  <si>
    <t>nicolas avila</t>
  </si>
  <si>
    <t>15/07/2026 16:28</t>
  </si>
  <si>
    <t>Maria Teresa Zarate Magdaleno</t>
  </si>
  <si>
    <t>ZAMT621013MJCRGR02</t>
  </si>
  <si>
    <t>16/07/2026 15:00</t>
  </si>
  <si>
    <t>ARLENA PEREZ CASTRO</t>
  </si>
  <si>
    <t>PECA791216MVZRSR03</t>
  </si>
  <si>
    <t>16/07/2026 14:47</t>
  </si>
  <si>
    <t>16/07/2026 14:35</t>
  </si>
  <si>
    <t>SALVADOR DIAZ TOCA</t>
  </si>
  <si>
    <t>DITS551009HDFZCL09</t>
  </si>
  <si>
    <t>16/07/2026 14:26</t>
  </si>
  <si>
    <t>MIGUEL HINOJOSA ALEJO</t>
  </si>
  <si>
    <t>HIAM660425HJCNLG09</t>
  </si>
  <si>
    <t>16/07/2026 15:11</t>
  </si>
  <si>
    <t>LUIS ANTONIO RODRIGUEZ RAMIREZ</t>
  </si>
  <si>
    <t>RORL650513HSPDMS02</t>
  </si>
  <si>
    <t>16/07/2026 15:18</t>
  </si>
  <si>
    <t xml:space="preserve">JOSE EFRAIN </t>
  </si>
  <si>
    <t>GAJE680208HZSRMF01</t>
  </si>
  <si>
    <t>16/07/2026 15:26</t>
  </si>
  <si>
    <t>ESTEBAN MARAVER MOYA</t>
  </si>
  <si>
    <t>16/07/2026 15:59</t>
  </si>
  <si>
    <t>18/01/2026</t>
  </si>
  <si>
    <t>MARIA CECILIA PEREZ REYES</t>
  </si>
  <si>
    <t>PERC471114MSRRYC07</t>
  </si>
  <si>
    <t>16/07/2026 12:55</t>
  </si>
  <si>
    <t>Oscar Aguilar Miguel</t>
  </si>
  <si>
    <t>AUMO650228HCSGGS08</t>
  </si>
  <si>
    <t>16/07/2026 16:18</t>
  </si>
  <si>
    <t>Jaime Cruz Avila</t>
  </si>
  <si>
    <t>CUAJ630506HVZRVM00</t>
  </si>
  <si>
    <t>16/07/2026 16:07</t>
  </si>
  <si>
    <t>ARTURO ALVARADO MARTINEZ</t>
  </si>
  <si>
    <t>AAMA620413HSPLRR01</t>
  </si>
  <si>
    <t>16/07/2026 16:27</t>
  </si>
  <si>
    <t>MARGARITA LOPEZ MARTINEZ</t>
  </si>
  <si>
    <t>LOMM630512MDFPRR14</t>
  </si>
  <si>
    <t>16/07/2026 16:25</t>
  </si>
  <si>
    <t>JOSE JOAQUIN MALVAEZ MUÑOZ</t>
  </si>
  <si>
    <t>MAMJ550209HDFLXQ00</t>
  </si>
  <si>
    <t>15/07/2026 17:56</t>
  </si>
  <si>
    <t>CAYETANO MAGAÑA ZAPATA</t>
  </si>
  <si>
    <t>MAZC640807HTCGPY04</t>
  </si>
  <si>
    <t>16/07/2026 16:39</t>
  </si>
  <si>
    <t>JOAQUIN FLORES</t>
  </si>
  <si>
    <t>HEFJ630801HMNRLQ08</t>
  </si>
  <si>
    <t>16/07/2026 17:10</t>
  </si>
  <si>
    <t>JOSE ANTONIO FLORES MERCADO</t>
  </si>
  <si>
    <t>FOMA620711HDFLRN04</t>
  </si>
  <si>
    <t>16/07/2026 17:13</t>
  </si>
  <si>
    <t>RODRIGO ORIGINALES IBARRA</t>
  </si>
  <si>
    <t>OIIR640502HCLRBD08</t>
  </si>
  <si>
    <t>16/07/2026 13:05</t>
  </si>
  <si>
    <t xml:space="preserve">Aurora Castro Inzunza </t>
  </si>
  <si>
    <t>CAIA601210MSLSNR02</t>
  </si>
  <si>
    <t>16/07/2026 17:28</t>
  </si>
  <si>
    <t>MARIA TERESA DOMINGUEZ L,OPEZ</t>
  </si>
  <si>
    <t>DOLT621026MCHMPR09</t>
  </si>
  <si>
    <t>16/07/2026 17:39</t>
  </si>
  <si>
    <t>Ramon Leal Silva</t>
  </si>
  <si>
    <t>LESR640322HVZLLM02</t>
  </si>
  <si>
    <t>16/07/2026 17:41</t>
  </si>
  <si>
    <t xml:space="preserve">jorge cobaxin cobaxin </t>
  </si>
  <si>
    <t>COCJ570312HVZBBR01</t>
  </si>
  <si>
    <t>16/07/2026 18:11</t>
  </si>
  <si>
    <t xml:space="preserve">LUCIA  NUÑEZ CORDOVA </t>
  </si>
  <si>
    <t>17/07/2026 08:46</t>
  </si>
  <si>
    <t>17/07/2026</t>
  </si>
  <si>
    <t>ROSENDO PALOMO MORA</t>
  </si>
  <si>
    <t>PAMR620301HNLLRS01</t>
  </si>
  <si>
    <t>17/07/2026 09:15</t>
  </si>
  <si>
    <t>J. JESUS GONZALEZ GONZALEZ</t>
  </si>
  <si>
    <t>GOGJ611003HMCNNSO4</t>
  </si>
  <si>
    <t>55 2805 1086</t>
  </si>
  <si>
    <t>17/07/2026 09:38</t>
  </si>
  <si>
    <t>ENRIQUE AVILA CERDA</t>
  </si>
  <si>
    <t>AICE630518HSPVRN06</t>
  </si>
  <si>
    <t>17/07/2026 09:59</t>
  </si>
  <si>
    <t>MA. CARMEN CORONA CASTRO</t>
  </si>
  <si>
    <t>COCC590707MGTRSR02</t>
  </si>
  <si>
    <t>17/07/2026 09:02</t>
  </si>
  <si>
    <t>JOAQUIN PEDRO AZTEPEITIA AVILA</t>
  </si>
  <si>
    <t>AEAJ600816HDFZVQ05</t>
  </si>
  <si>
    <t>17/07/2026 10:03</t>
  </si>
  <si>
    <t>PORFIRIO VERA CORTES</t>
  </si>
  <si>
    <t xml:space="preserve">
84745506765</t>
  </si>
  <si>
    <t>VECP550207HYNRRR09</t>
  </si>
  <si>
    <t>17/07/2026 10:09</t>
  </si>
  <si>
    <t>JUANA MARIA DAVILA ADAME</t>
  </si>
  <si>
    <t>DAAJ660327MCLVDN06</t>
  </si>
  <si>
    <t>17/07/2026 10:18</t>
  </si>
  <si>
    <t>SALVADOR LOZANO GUTIERREZ</t>
  </si>
  <si>
    <t>LOGS601127HCLZTL07</t>
  </si>
  <si>
    <t>17/07/2026 10:25</t>
  </si>
  <si>
    <t>JUAN MANUEL VAZQUEZ LIMON</t>
  </si>
  <si>
    <t>VALJ600524HPLZMN07</t>
  </si>
  <si>
    <t>221 401 8709</t>
  </si>
  <si>
    <t>17/07/2026 09:00</t>
  </si>
  <si>
    <t>MARIA DE LOURDES GARCIA MARTINEZ</t>
  </si>
  <si>
    <t>GAML620128MNLRRR03</t>
  </si>
  <si>
    <t xml:space="preserve">MARIA ELENA GAYTAN FLORES </t>
  </si>
  <si>
    <t>GAFE651101MCLYLL03</t>
  </si>
  <si>
    <t>17/07/2026 10:36</t>
  </si>
  <si>
    <t>Gabriela Murrieta tanori</t>
  </si>
  <si>
    <t>MUTG731207MSRRNB01</t>
  </si>
  <si>
    <t>17/07/2026 10:48</t>
  </si>
  <si>
    <t>ALFONSO GUSTAVO VENTURA MERINO MORA</t>
  </si>
  <si>
    <t>MEMA530714HVZRRL01</t>
  </si>
  <si>
    <t>17/07/2026 10:37</t>
  </si>
  <si>
    <t>LUIS ALFONSO ESTRELLA TUYIN</t>
  </si>
  <si>
    <t>EETL551006HYNSYS03</t>
  </si>
  <si>
    <t>17/07/2026 10:56</t>
  </si>
  <si>
    <t>MARIA FRANCISCA FIGUEYRAS AVILES</t>
  </si>
  <si>
    <t>FIAF551004MPLGVR00</t>
  </si>
  <si>
    <t>17/07/2026 11:01</t>
  </si>
  <si>
    <t xml:space="preserve">PLACIDO JAVIER MARTINEZ HERNANDEZ </t>
  </si>
  <si>
    <t xml:space="preserve">MAHP481005HPLRRL06 </t>
  </si>
  <si>
    <t>17/07/2026 11:16</t>
  </si>
  <si>
    <t>ADOLFO LUNA INZUNZA</t>
  </si>
  <si>
    <t>LUIA580620HNTNND04</t>
  </si>
  <si>
    <t>17/07/2026 11:35</t>
  </si>
  <si>
    <t>ROSA MARIA SANDOVAL BARRAGAN</t>
  </si>
  <si>
    <t>SABR610807MDFNRS03</t>
  </si>
  <si>
    <t>17/07/2026 11:42</t>
  </si>
  <si>
    <t>HERIBERTO FRIAS RANGEL</t>
  </si>
  <si>
    <t>FIRH651020HBCRNR09</t>
  </si>
  <si>
    <t>17/07/2026 11:54</t>
  </si>
  <si>
    <t>JESUS JAVIER GARCIA TAVITAS</t>
  </si>
  <si>
    <t>GATJ610228HCLRVS05</t>
  </si>
  <si>
    <t>17/07/2026 12:08</t>
  </si>
  <si>
    <t>Alfonso Antonio Del Prado Zertuche</t>
  </si>
  <si>
    <t>PAZA641110HSPRRL07</t>
  </si>
  <si>
    <t>17/07/2026 12:53</t>
  </si>
  <si>
    <t>MARIA LUISA HERNANDEZ MONTIEL</t>
  </si>
  <si>
    <t>HEML530905MTLRNS05</t>
  </si>
  <si>
    <t>17/07/2026 13:01</t>
  </si>
  <si>
    <t xml:space="preserve">ISRRAEL CAMACHO RUELAS </t>
  </si>
  <si>
    <t>CARI641203HBCMLS03</t>
  </si>
  <si>
    <t>17/07/2026 13:14</t>
  </si>
  <si>
    <t>INOCENCIA MORALES MORALES</t>
  </si>
  <si>
    <t>MOMI761008MCLRRN00</t>
  </si>
  <si>
    <t>17/07/2026 13:24</t>
  </si>
  <si>
    <t>JUAN MANUEL GONZALEZ REGOYTIA</t>
  </si>
  <si>
    <t>GORJ620703HMCNGN00</t>
  </si>
  <si>
    <t>56 5760 1811</t>
  </si>
  <si>
    <t>17/07/2026 13:53</t>
  </si>
  <si>
    <t>MARCO ANTONIO LOPEZ VILLARREAL</t>
  </si>
  <si>
    <t>LOVM641023HCLPLR06</t>
  </si>
  <si>
    <t xml:space="preserve"> 81 1663 9322</t>
  </si>
  <si>
    <t>17/07/2026 13:52</t>
  </si>
  <si>
    <t>JORGE AGUILERA MAGAÑA</t>
  </si>
  <si>
    <t>AUMJ610823HJCGGR05</t>
  </si>
  <si>
    <t>17/07/2026 14:15</t>
  </si>
  <si>
    <t>MARTIN HERNANDEZ LOPEZ</t>
  </si>
  <si>
    <t>HELM630210HCLRPR01</t>
  </si>
  <si>
    <t>17/07/2026 14:17</t>
  </si>
  <si>
    <t>GAHL631204HMCRRS01</t>
  </si>
  <si>
    <t>16/07/2026 17:05</t>
  </si>
  <si>
    <t xml:space="preserve">JAVIER MUÑOZ VARGAS </t>
  </si>
  <si>
    <t>MUVJ631209HDFXRV07</t>
  </si>
  <si>
    <t>17/07/2026 14:11</t>
  </si>
  <si>
    <t>18/07/2026</t>
  </si>
  <si>
    <t>Juan Carlos Guzmán Feregrino</t>
  </si>
  <si>
    <t>GUFJ631104HQTZRN02</t>
  </si>
  <si>
    <t>17/07/2026 14:20</t>
  </si>
  <si>
    <t>17/07/2026 14:27</t>
  </si>
  <si>
    <t>ANA MARIA CRUZ ROMERO MUÑOZ</t>
  </si>
  <si>
    <t>ROMA590501MPLMXN09</t>
  </si>
  <si>
    <t>55 8177 6070</t>
  </si>
  <si>
    <t>17/07/2026 14:28</t>
  </si>
  <si>
    <t>MIRANDA TORRES JOSE LUIS</t>
  </si>
  <si>
    <t>MITL600920HDFRRS04</t>
  </si>
  <si>
    <t>56 3137 9828</t>
  </si>
  <si>
    <t>17/07/2026 14:24</t>
  </si>
  <si>
    <t xml:space="preserve">ISIDRO RAMIREZ </t>
  </si>
  <si>
    <t>17/07/2026 14:16</t>
  </si>
  <si>
    <t>JOSE INOCENCIO ARREOLA SANCHEZ</t>
  </si>
  <si>
    <t>AESI631120HVZRNN05</t>
  </si>
  <si>
    <t>17/07/2026 14:50</t>
  </si>
  <si>
    <t>FRANCISCO JAVIER GARCIA GONZALEZ</t>
  </si>
  <si>
    <t>GAGF561010HJCRNR04</t>
  </si>
  <si>
    <t>449 201 1278</t>
  </si>
  <si>
    <t>17/07/2026 14:40</t>
  </si>
  <si>
    <t>JORGE JAIME JUAREZ AGUILAR</t>
  </si>
  <si>
    <t>JUAJ650508HCLRGR06</t>
  </si>
  <si>
    <t>GILBERTO MUÑOZ REYES</t>
  </si>
  <si>
    <t>MURG570204HVZXYL01</t>
  </si>
  <si>
    <t>17/07/2026 14:59</t>
  </si>
  <si>
    <t xml:space="preserve">AARON GONZALEZ ESQUIVEL </t>
  </si>
  <si>
    <t>GOEA480701HTSNSR02</t>
  </si>
  <si>
    <t>17/07/2026 14:32</t>
  </si>
  <si>
    <t>Monica Pérez creollo</t>
  </si>
  <si>
    <t>PECM740504MYNRRN01</t>
  </si>
  <si>
    <t>17/07/2026 15:00</t>
  </si>
  <si>
    <t>AMALIA OSUNA RIOS</t>
  </si>
  <si>
    <t>OURA580506MSLSSM00</t>
  </si>
  <si>
    <t>17/07/2026 10:43</t>
  </si>
  <si>
    <t>José Adolfo Hernández Canizales</t>
  </si>
  <si>
    <t>17/07/2026 15:02</t>
  </si>
  <si>
    <t>David Cárdenas Peña</t>
  </si>
  <si>
    <t>CAPD600721HTSRXV01</t>
  </si>
  <si>
    <t>17/07/2026 15:10</t>
  </si>
  <si>
    <t>Rosa Hernández Jiménez</t>
  </si>
  <si>
    <t>HERJ570903MOCRMS07</t>
  </si>
  <si>
    <t>17/07/2026 14:53</t>
  </si>
  <si>
    <t>MARGARITA GUZMAN CRUZ</t>
  </si>
  <si>
    <t>GUCM810630MHGZRR05</t>
  </si>
  <si>
    <t>17/07/2026 15:16</t>
  </si>
  <si>
    <t>Ernesto</t>
  </si>
  <si>
    <t>17/07/2026 15:21</t>
  </si>
  <si>
    <t>FERMIN SIMENTAL ESTRADA</t>
  </si>
  <si>
    <t>SIEF570707HDGMSR09</t>
  </si>
  <si>
    <t>17/07/2026 14:22</t>
  </si>
  <si>
    <t xml:space="preserve">GERMAN IBERIO RODRIGUEZ CARLOS </t>
  </si>
  <si>
    <t>ROCG540528HVZDRR03</t>
  </si>
  <si>
    <t>17/07/2026 15:36</t>
  </si>
  <si>
    <t>ANDRES LUNA HERMNANDEZ</t>
  </si>
  <si>
    <t>17/07/2026 15:12</t>
  </si>
  <si>
    <t>Julio Cesar Anduaga Corral</t>
  </si>
  <si>
    <t>AUCJ590505HSRNRL02</t>
  </si>
  <si>
    <t>17/07/2026 15:57</t>
  </si>
  <si>
    <t xml:space="preserve">JAIME PÉREZ HERNANDEZ </t>
  </si>
  <si>
    <t>PEHJ681110HMCRRM06</t>
  </si>
  <si>
    <t>17/07/2026 16:03</t>
  </si>
  <si>
    <t>BONIFACIO FUENTES TOTO</t>
  </si>
  <si>
    <t>17/07/2026 15:46</t>
  </si>
  <si>
    <t xml:space="preserve">Juan Manuel Dominguez Bermuda </t>
  </si>
  <si>
    <t>DOBJ550415HPLMRN01</t>
  </si>
  <si>
    <t>17/07/2026 16:11</t>
  </si>
  <si>
    <t>AARON SANDOVAL JUAREZ</t>
  </si>
  <si>
    <t>SAJA670701HDFNRR05</t>
  </si>
  <si>
    <t>17/07/2026 15:35</t>
  </si>
  <si>
    <t xml:space="preserve">OSCAR PEREZ </t>
  </si>
  <si>
    <t>PEXO561209HOCRXS06</t>
  </si>
  <si>
    <t>17/07/2026 16:23</t>
  </si>
  <si>
    <t xml:space="preserve">ROBERTO VAZQUEZ PRECIADO </t>
  </si>
  <si>
    <t>VAPR620607HJCZRB03</t>
  </si>
  <si>
    <t>17/07/2026 16:45</t>
  </si>
  <si>
    <t>Marcelino Cota Ruiz</t>
  </si>
  <si>
    <t>CORM560602HSLTZR06</t>
  </si>
  <si>
    <t>17/07/2026 14:35</t>
  </si>
  <si>
    <t>MANUEL CASTRO ESCALANTE</t>
  </si>
  <si>
    <t>CAEM680221HBCSSN06</t>
  </si>
  <si>
    <t>17/07/2026 16:49</t>
  </si>
  <si>
    <t>ARMANDO SALAZAR ALVAREZ</t>
  </si>
  <si>
    <t>SAAA670820HSPLLR07</t>
  </si>
  <si>
    <t>17/07/2026 17:08</t>
  </si>
  <si>
    <t>LUIS RAMOS ALVAREZ</t>
  </si>
  <si>
    <t>RAAL550727HDFMLS08</t>
  </si>
  <si>
    <t>17/07/2026 17:14</t>
  </si>
  <si>
    <t>LUZ DEL CARMEN PACHECO SANCHEZ</t>
  </si>
  <si>
    <t>PASL640705MSRCNZ08</t>
  </si>
  <si>
    <t>17/07/2026 17:19</t>
  </si>
  <si>
    <t>JOSE DE JESUS segobiano ramirez</t>
  </si>
  <si>
    <t>SERJ880906HJCGMS02</t>
  </si>
  <si>
    <t>MARYLINDA DIAZ RANGEL</t>
  </si>
  <si>
    <t>DIRM630501MNLZNR14</t>
  </si>
  <si>
    <t>17/07/2026 16:24</t>
  </si>
  <si>
    <t>JUAN GUALBERTO ROJAS SAUCEDO</t>
  </si>
  <si>
    <t>ROSJ650712HDGJCN03</t>
  </si>
  <si>
    <t>17/07/2026 17:36</t>
  </si>
  <si>
    <t>CHILO</t>
  </si>
  <si>
    <t>17/07/2026 17:45</t>
  </si>
  <si>
    <t>Roberto De La Torre Garcia</t>
  </si>
  <si>
    <t>TOGR591230HMCRRB01</t>
  </si>
  <si>
    <t>17/07/2026 17:53</t>
  </si>
  <si>
    <t>SANTA ÁLVAREZ GARCIA</t>
  </si>
  <si>
    <t>AAGS600419MDGLRN01</t>
  </si>
  <si>
    <t>17/07/2026 18:10</t>
  </si>
  <si>
    <t>Guillermo Yañez García</t>
  </si>
  <si>
    <t>YAGG570831HSPXRL06</t>
  </si>
  <si>
    <t>17/07/2026 18:18</t>
  </si>
  <si>
    <t>Adriana Zamora Saucedo</t>
  </si>
  <si>
    <t>ZASA900928MASMCD04</t>
  </si>
  <si>
    <t>17/07/2026 18:44</t>
  </si>
  <si>
    <t>German Perez Venegas</t>
  </si>
  <si>
    <t>PEVG511123HPLRNR09</t>
  </si>
  <si>
    <t>17/07/2026 19:23</t>
  </si>
  <si>
    <t>ENDELIA GUTIERREZ VAZQUEZ</t>
  </si>
  <si>
    <t>GUVE730329MGTTZN01</t>
  </si>
  <si>
    <t>18/07/2026 08:32</t>
  </si>
  <si>
    <t>18/07/2026 08:34</t>
  </si>
  <si>
    <t>18/07/2026 09:55</t>
  </si>
  <si>
    <t>MARIA CONCEPCION CISNEROS SALAS</t>
  </si>
  <si>
    <t>CISC650907MCLSLN09</t>
  </si>
  <si>
    <t>17/07/2026 17:22</t>
  </si>
  <si>
    <t xml:space="preserve">EUSEBIO JACOME GONZALEZ </t>
  </si>
  <si>
    <t>JAGE610714HVZCNS07</t>
  </si>
  <si>
    <t>18/07/2026 10:00</t>
  </si>
  <si>
    <t>ROSALBA GOMEZ ALDAMA</t>
  </si>
  <si>
    <t>GOAR700503MJCMLS05</t>
  </si>
  <si>
    <t>18/07/2026 10:42</t>
  </si>
  <si>
    <t>RUBEN DE JESUS TELLO LEON</t>
  </si>
  <si>
    <t>TELR651219HCSLNB08</t>
  </si>
  <si>
    <t>18/07/2026 09:43</t>
  </si>
  <si>
    <t>18/07/2026 10:03</t>
  </si>
  <si>
    <t xml:space="preserve">JOSE ANTONIO GARCIA ROSAS </t>
  </si>
  <si>
    <t>GARA640626HPLRSN09</t>
  </si>
  <si>
    <t>18/07/2026 11:08</t>
  </si>
  <si>
    <t>RUBEN ALONSO ESPITIA MORENO</t>
  </si>
  <si>
    <t>EIMR600725HSRSRB07</t>
  </si>
  <si>
    <t>18/07/2026 11:06</t>
  </si>
  <si>
    <t xml:space="preserve">ISMAEL SAAVEDRA RODRIGUEZ </t>
  </si>
  <si>
    <t>SARI620819HGTVDS04</t>
  </si>
  <si>
    <t>18/07/2026 11:25</t>
  </si>
  <si>
    <t>YOLANDA MANUELA MORALES ROLDAN</t>
  </si>
  <si>
    <t>MORY750429MDFRLL04</t>
  </si>
  <si>
    <t>18/07/2026 11:26</t>
  </si>
  <si>
    <t>PEDRO ARMANDO HERNANDEZ ZAMORA</t>
  </si>
  <si>
    <t>HEZP651022HNLRMD01</t>
  </si>
  <si>
    <t>18/07/2026 11:09</t>
  </si>
  <si>
    <t>CARLOS IRACHETA REYES</t>
  </si>
  <si>
    <t>IARC600824HTSRYR06</t>
  </si>
  <si>
    <t>18/07/2026 11:35</t>
  </si>
  <si>
    <t>JOSE LUIS  RAMIRZ ESQUIVEL</t>
  </si>
  <si>
    <t>RAEL651206HCLMSS01</t>
  </si>
  <si>
    <t>LAZARO HERNANDEZ ALCALA</t>
  </si>
  <si>
    <t>HEAL571217HGTRLZ03</t>
  </si>
  <si>
    <t>ERENDIRA VALENCIA GARDUÑO</t>
  </si>
  <si>
    <t>VAGE650226MDFLRR05</t>
  </si>
  <si>
    <t>18/07/2026 11:53</t>
  </si>
  <si>
    <t>JOSE MANUEL PEREZ ABARCA</t>
  </si>
  <si>
    <t>PEAM590603HDFRBN04</t>
  </si>
  <si>
    <t>18/07/2026 11:49</t>
  </si>
  <si>
    <t>HECTOR ROSALES ALVAREZ</t>
  </si>
  <si>
    <t>ROAH620529HNLSLC02</t>
  </si>
  <si>
    <t>18/07/2026 11:43</t>
  </si>
  <si>
    <t xml:space="preserve">JULIA HERNANDEZ CRUZ </t>
  </si>
  <si>
    <t>HECJ611125MCHRRL07</t>
  </si>
  <si>
    <t>18/07/2026 11:58</t>
  </si>
  <si>
    <t>JESUS HUMBERTO PEREZ QUINTERO</t>
  </si>
  <si>
    <t>PEQJ620320HSLRNS00</t>
  </si>
  <si>
    <t>18/07/2026 12:05</t>
  </si>
  <si>
    <t xml:space="preserve">RAMON GONZALEZ ROJAS </t>
  </si>
  <si>
    <t>GORR610314HPLNJM02</t>
  </si>
  <si>
    <t>18/07/2026 12:19</t>
  </si>
  <si>
    <t>Jesus Manuel Torres Carrasco</t>
  </si>
  <si>
    <t>TOCJ930306HTCRRS09</t>
  </si>
  <si>
    <t>18/07/2026 12:16</t>
  </si>
  <si>
    <t>MARTIN ENRIQUE LECIANO ACOSTA</t>
  </si>
  <si>
    <t>LEAM630330HCCCCR04</t>
  </si>
  <si>
    <t>18/07/2026 12:30</t>
  </si>
  <si>
    <t>MARIA ALICIA OVALLE BRISEÑO</t>
  </si>
  <si>
    <t>OABA610930MCLVRL07</t>
  </si>
  <si>
    <t>ROCIO GUZMAN GALVAN</t>
  </si>
  <si>
    <t>GUGR610619MQTZLC00</t>
  </si>
  <si>
    <t>FIDOFO</t>
  </si>
  <si>
    <t>18/07/2026 12:43</t>
  </si>
  <si>
    <t>DIANA PATRICIA TORRES GOMEZ</t>
  </si>
  <si>
    <t>18/07/2026 12:37</t>
  </si>
  <si>
    <t>MARIA YESENIA FLORES PACHECO</t>
  </si>
  <si>
    <t>FEPY751104MSLLCS04</t>
  </si>
  <si>
    <t>18/07/2026 12:36</t>
  </si>
  <si>
    <t>SUSANA HERRERA MARTINEZ</t>
  </si>
  <si>
    <t>HEMS630524MSRRRS09</t>
  </si>
  <si>
    <t>18/07/2026 13:22</t>
  </si>
  <si>
    <t xml:space="preserve">GRACIELA GONZALEZ GALICIA </t>
  </si>
  <si>
    <t>GOGG560701MSPNLR09</t>
  </si>
  <si>
    <t>18/07/2026 13:53</t>
  </si>
  <si>
    <t>manuel nava paduano</t>
  </si>
  <si>
    <t>NAPM561209HMCVDN04</t>
  </si>
  <si>
    <t>18/07/2026 12:42</t>
  </si>
  <si>
    <t>VICTOR MANUEL HIDALGO GONZALEZ</t>
  </si>
  <si>
    <t>HIGV530421HTSDNC07</t>
  </si>
  <si>
    <t>MIGUEL JAQUEZ ROJAS</t>
  </si>
  <si>
    <t>JARM641216HCLQJG01</t>
  </si>
  <si>
    <t>18/07/2026 14:40</t>
  </si>
  <si>
    <t>SERGIO LLACA TAGLE</t>
  </si>
  <si>
    <t>LATS740801HDFLGR00</t>
  </si>
  <si>
    <t>18/07/2026 11:30</t>
  </si>
  <si>
    <t>18/07/2026 15:06</t>
  </si>
  <si>
    <t>JOSE ANDRES BORREGO JUAREZ</t>
  </si>
  <si>
    <t>BOJA611127HTSRRN09</t>
  </si>
  <si>
    <t>18/07/2026 15:07</t>
  </si>
  <si>
    <t>JUDITH VILLEGAS DE LEON</t>
  </si>
  <si>
    <t>VILJ670413MVZLND09</t>
  </si>
  <si>
    <t>18/07/2026 15:18</t>
  </si>
  <si>
    <t xml:space="preserve">JOSE LUIS JIMENEZ </t>
  </si>
  <si>
    <t>18/07/2026 15:17</t>
  </si>
  <si>
    <t xml:space="preserve">José de la luz Rodríguez Holguín </t>
  </si>
  <si>
    <t>ROHL500712HCHDLZ00</t>
  </si>
  <si>
    <t>18/07/2026 15:25</t>
  </si>
  <si>
    <t>Leticia Ducoyng Ortiz</t>
  </si>
  <si>
    <t>DUOL650421MVZCRT04</t>
  </si>
  <si>
    <t>18/07/2026 15:26</t>
  </si>
  <si>
    <t>María Martha Cervantes Cruz</t>
  </si>
  <si>
    <t>CECM610223MTLRRR00</t>
  </si>
  <si>
    <t>18/07/2026 14:29</t>
  </si>
  <si>
    <t>ENRIQUE VEGA GONZALEZ</t>
  </si>
  <si>
    <t>VEGE630925HDFGNN05</t>
  </si>
  <si>
    <t>18/07/2026 15:41</t>
  </si>
  <si>
    <t>Francisco antonio catalán García</t>
  </si>
  <si>
    <t>CAGF631006HJCTRR07</t>
  </si>
  <si>
    <t>FILOGONIO RAMIREZ HERNANDEZ</t>
  </si>
  <si>
    <t>RAHF611220HVZMRL07</t>
  </si>
  <si>
    <t>18/07/2026 15:35</t>
  </si>
  <si>
    <t>JESUS GERARDO CANTERA QUEZADA</t>
  </si>
  <si>
    <t>CAQJ631003HCHNZS07</t>
  </si>
  <si>
    <t>18/07/2026 15:39</t>
  </si>
  <si>
    <t>EDUARDO GRIJALVA GUEVARA</t>
  </si>
  <si>
    <t>GIGE591220HVZRVD06</t>
  </si>
  <si>
    <t>18/07/2026 15:59</t>
  </si>
  <si>
    <t>SILVERIO GAMEZ RANGEL</t>
  </si>
  <si>
    <t>GARS430620HNLMNL00</t>
  </si>
  <si>
    <t>18/07/2026 16:05</t>
  </si>
  <si>
    <t>TOMAS HERNANDEZ RAMIRES</t>
  </si>
  <si>
    <t>HERT471229HVZRMM06</t>
  </si>
  <si>
    <t>18/07/2026 14:13</t>
  </si>
  <si>
    <t>MARTIN RODRIGUEZ PEREZ</t>
  </si>
  <si>
    <t>ROPM521111HDFDRR09</t>
  </si>
  <si>
    <t>18/07/2026 16:14</t>
  </si>
  <si>
    <t>Arcelia Gerónimo Mateo</t>
  </si>
  <si>
    <t>GEMA610403MMNRTR02</t>
  </si>
  <si>
    <t xml:space="preserve">CONSUBANCO </t>
  </si>
  <si>
    <t>18/07/2026 16:36</t>
  </si>
  <si>
    <t>BUMH620422HJCNNC02</t>
  </si>
  <si>
    <t>18/07/2026 16:42</t>
  </si>
  <si>
    <t>Juana Rodriguez Ramírez</t>
  </si>
  <si>
    <t>RORJ540407MMCDMN05</t>
  </si>
  <si>
    <t>18/07/2026 11:47</t>
  </si>
  <si>
    <t>Ma.Susana Saldaña machado</t>
  </si>
  <si>
    <t>SAMS690524MDGLCS06</t>
  </si>
  <si>
    <t>18/07/2026 17:02</t>
  </si>
  <si>
    <t xml:space="preserve">JAVIER MARCELO JUAREZ </t>
  </si>
  <si>
    <t>MAJJ660601HVZRRV04</t>
  </si>
  <si>
    <t>18/07/2026 17:00</t>
  </si>
  <si>
    <t>FELIX FLORES SOSA</t>
  </si>
  <si>
    <t>FOSF621101HTLLSL08</t>
  </si>
  <si>
    <t>18/07/2026 17:12</t>
  </si>
  <si>
    <t>JAIME GONZALO CAYETANO</t>
  </si>
  <si>
    <t>CAGJ590110HDFYRM05</t>
  </si>
  <si>
    <t>18/07/2026 17:22</t>
  </si>
  <si>
    <t>JOSE ALFREDO ORTEGA FRANCO</t>
  </si>
  <si>
    <t>OEFA650922HCHRRL09</t>
  </si>
  <si>
    <t>18/07/2026 14:51</t>
  </si>
  <si>
    <t>Maria Guadalupe Anguiano Salazar</t>
  </si>
  <si>
    <t>AUSG621210MNLNLD04</t>
  </si>
  <si>
    <t>18/07/2026 16:31</t>
  </si>
  <si>
    <t>IRMA TORRIJOS ROJAS</t>
  </si>
  <si>
    <t>18/07/2026 18:30</t>
  </si>
  <si>
    <t>JUAN JOSE RODRIGUEZ DOMINGUEZ</t>
  </si>
  <si>
    <t>18/07/2026 18:56</t>
  </si>
  <si>
    <t>Ana Amelia González flores</t>
  </si>
  <si>
    <t>19/07/2026 08:05</t>
  </si>
  <si>
    <t>Victor Lira Hernandez</t>
  </si>
  <si>
    <t>LIHV570329HDGRRC08</t>
  </si>
  <si>
    <t>19/07/2026 08:15</t>
  </si>
  <si>
    <t>GREGORIA CECILIA BOBADILLA HERNANDEZ</t>
  </si>
  <si>
    <t>BOHG670312MDFBRR01</t>
  </si>
  <si>
    <t>19/07/2026 08:07</t>
  </si>
  <si>
    <t>ARACELI JIMENEZ MIRANDA</t>
  </si>
  <si>
    <t>JIMA751109MTCMRR09</t>
  </si>
  <si>
    <t>19/07/2026 08:34</t>
  </si>
  <si>
    <t>19/07/2026</t>
  </si>
  <si>
    <t>JOSE SALOME MARES JIMENEZ</t>
  </si>
  <si>
    <t>MAJS730331HVZRML09</t>
  </si>
  <si>
    <t>19/07/2026 07:59</t>
  </si>
  <si>
    <t xml:space="preserve">FRANCISCO JAVIER OCHOA GARCIA </t>
  </si>
  <si>
    <t>OOGF640616HSPCRR07</t>
  </si>
  <si>
    <t>19/07/2026 09:05</t>
  </si>
  <si>
    <t>EFRAIN ZALETA HERNANDEZ</t>
  </si>
  <si>
    <t>ZAHE460618HVZLRF00</t>
  </si>
  <si>
    <t>19/07/2026 09:14</t>
  </si>
  <si>
    <t xml:space="preserve">IGNACIO CABRALES DIAZ </t>
  </si>
  <si>
    <t>19/07/2026 09:36</t>
  </si>
  <si>
    <t xml:space="preserve">RAMIRO ARNULFO CORNEJO TAVERA </t>
  </si>
  <si>
    <t>COTR510523HHGRVM09</t>
  </si>
  <si>
    <t>19/07/2026 09:55</t>
  </si>
  <si>
    <t>MARIA AURORA MARTINEZ CARDONA</t>
  </si>
  <si>
    <t>MACA650712MNLRRR09</t>
  </si>
  <si>
    <t>19/07/2026 10:33</t>
  </si>
  <si>
    <t>CRESENCIO GUTIERREZ</t>
  </si>
  <si>
    <t>19/07/2026 10:43</t>
  </si>
  <si>
    <t>Marta Beatriz Hernández</t>
  </si>
  <si>
    <t>HEXM710206MSLRXR00</t>
  </si>
  <si>
    <t>19/07/2026 08:26</t>
  </si>
  <si>
    <t xml:space="preserve">LUIS REY AGUILAR CHIRINO </t>
  </si>
  <si>
    <t>19/07/2026 10:57</t>
  </si>
  <si>
    <t>Lorena Jonguitud López</t>
  </si>
  <si>
    <t>JOLL780804MDFNPR06</t>
  </si>
  <si>
    <t>19/07/2026 11:32</t>
  </si>
  <si>
    <t>GUADALUPE PEREZ REYES</t>
  </si>
  <si>
    <t>19/07/2026 10:35</t>
  </si>
  <si>
    <t>ADRIAN MILLAN FLORES</t>
  </si>
  <si>
    <t>MIFA560718HHGLLD10</t>
  </si>
  <si>
    <t>19/07/2026 13:09</t>
  </si>
  <si>
    <t>DULCE  ALLIN PORCAYO FLORES</t>
  </si>
  <si>
    <t xml:space="preserve">POFD850103MDFRLL03 </t>
  </si>
  <si>
    <t>19/07/2026 13:23</t>
  </si>
  <si>
    <t>esteban</t>
  </si>
  <si>
    <t>19/07/2026 13:39</t>
  </si>
  <si>
    <t xml:space="preserve">LUIS RAUL HERNANDEZ CELAYA </t>
  </si>
  <si>
    <t>HECL650527HDFRLS04</t>
  </si>
  <si>
    <t>19/07/2026 13:53</t>
  </si>
  <si>
    <t>oscar daniel</t>
  </si>
  <si>
    <t>BACO610626HCLRRS03</t>
  </si>
  <si>
    <t>19/07/2026 14:01</t>
  </si>
  <si>
    <t>arnulfo</t>
  </si>
  <si>
    <t>HECA650528HVZRRR06</t>
  </si>
  <si>
    <t>19/07/2026 14:09</t>
  </si>
  <si>
    <t>EPIFANIO MORALES BONILLA</t>
  </si>
  <si>
    <t>MOBE570307HTLRNP04</t>
  </si>
  <si>
    <t>19/07/2026 14:15</t>
  </si>
  <si>
    <t>ANGEL PEDRO DE LA CRUZ ZUÑIGA</t>
  </si>
  <si>
    <t>19/07/2026 14:18</t>
  </si>
  <si>
    <t>GRACIELA GONZALEZ</t>
  </si>
  <si>
    <t>19/07/2026 14:19</t>
  </si>
  <si>
    <t xml:space="preserve">RODOLFO BALTAZAR MONDES DE OCA </t>
  </si>
  <si>
    <t>BAMR460705HSLLND03</t>
  </si>
  <si>
    <t>19/07/2026 14:22</t>
  </si>
  <si>
    <t>Gustavo Hernandez Guzman</t>
  </si>
  <si>
    <t>HEGG430802HTLRZS06</t>
  </si>
  <si>
    <t>19/07/2026 15:44</t>
  </si>
  <si>
    <t>ABEL LOZANO SERAFIN</t>
  </si>
  <si>
    <t>LOSA770830HGRZRB05</t>
  </si>
  <si>
    <t>19/07/2026 15:47</t>
  </si>
  <si>
    <t>JOSE ANTONIO GARCIA VAZQUEZ</t>
  </si>
  <si>
    <t>GAVA650803HVZRZN07</t>
  </si>
  <si>
    <t>19/07/2026 16:29</t>
  </si>
  <si>
    <t>Miguel angel Villela Toledo</t>
  </si>
  <si>
    <t>VITM580929HSRLLG00</t>
  </si>
  <si>
    <t>19/07/2026 16:49</t>
  </si>
  <si>
    <t xml:space="preserve">Felipe </t>
  </si>
  <si>
    <t>19/07/2026 16:51</t>
  </si>
  <si>
    <t>Antonio</t>
  </si>
  <si>
    <t>19/07/2026 16:52</t>
  </si>
  <si>
    <t>19/07/2026 20:32</t>
  </si>
  <si>
    <t>CIPRIANO</t>
  </si>
  <si>
    <t>20/07/2026 07:58</t>
  </si>
  <si>
    <t>20/07/2026</t>
  </si>
  <si>
    <t>HUGO ALEJANDRO CASTILLO GARCIA</t>
  </si>
  <si>
    <t>CAGH710718HMCSRG14</t>
  </si>
  <si>
    <t>20/07/2026 09:14</t>
  </si>
  <si>
    <t xml:space="preserve">HUGO ELOY CABALLERO GASTELUM </t>
  </si>
  <si>
    <t>20/07/2026 09:18</t>
  </si>
  <si>
    <t>HECTOR MANUEL BUENROSTRO MENDOZA</t>
  </si>
  <si>
    <t>20/07/2026 09:37</t>
  </si>
  <si>
    <t>20/07/2026 09:34</t>
  </si>
  <si>
    <t>Miguel Hinojosa Alejo</t>
  </si>
  <si>
    <t>20/07/2026 09:47</t>
  </si>
  <si>
    <t xml:space="preserve">AGUSTIN DOMINGUEZ MORALES </t>
  </si>
  <si>
    <t>20/07/2026 09:49</t>
  </si>
  <si>
    <t>PEDRO CERVANTES RAMIREZ</t>
  </si>
  <si>
    <t>CERP650820HDFRMD07</t>
  </si>
  <si>
    <t>20/07/2026 09:52</t>
  </si>
  <si>
    <t>MARIA DE LA LUZ MARTINEZ ANGELES</t>
  </si>
  <si>
    <t>MAAL610331MDFNZ03</t>
  </si>
  <si>
    <t>55 3154 7832</t>
  </si>
  <si>
    <t>20/07/2026 10:02</t>
  </si>
  <si>
    <t xml:space="preserve">SERGIO FLORES CASTILLO </t>
  </si>
  <si>
    <t>FOCS600330HDFLSR09</t>
  </si>
  <si>
    <t>20/07/2026 09:12</t>
  </si>
  <si>
    <t>MERCEDES DANIEL BARROSO</t>
  </si>
  <si>
    <t>DABM550924MGTNRR01</t>
  </si>
  <si>
    <t>20/07/2026 10:06</t>
  </si>
  <si>
    <t>VERONICA PATRICIA VILCHIS CORTES</t>
  </si>
  <si>
    <t>VICV740102MMCLRR04</t>
  </si>
  <si>
    <t>20/07/2026 10:18</t>
  </si>
  <si>
    <t>ANTONIA OLVERA GARCIA</t>
  </si>
  <si>
    <t>20/07/2026 10:23</t>
  </si>
  <si>
    <t>20/07/2026 10:21</t>
  </si>
  <si>
    <t>MACARIO HERNANDEZ CEPEDA</t>
  </si>
  <si>
    <t>HECM750108HCLRPC02</t>
  </si>
  <si>
    <t>20/07/2026 10:37</t>
  </si>
  <si>
    <t>NICOMEDES CHUC BAAS</t>
  </si>
  <si>
    <t>CUBN620215HYNHSC03</t>
  </si>
  <si>
    <t>20/07/2026 10:22</t>
  </si>
  <si>
    <t>MARTIN MARTINEZ MONROY</t>
  </si>
  <si>
    <t>MAMM650328HDFRNR05</t>
  </si>
  <si>
    <t>20/07/2026 10:39</t>
  </si>
  <si>
    <t>JOSE ANTONIO SANCHEZ TORRES</t>
  </si>
  <si>
    <t>SATA440920HJCNRN04</t>
  </si>
  <si>
    <t>20/07/2026 10:42</t>
  </si>
  <si>
    <t xml:space="preserve">MANUEL JESUS COB LOPEZ </t>
  </si>
  <si>
    <t>20/07/2026 10:49</t>
  </si>
  <si>
    <t>20/07/2026 10:57</t>
  </si>
  <si>
    <t>20/07/2026 11:10</t>
  </si>
  <si>
    <t>ANTONIO OLVERA TORRES</t>
  </si>
  <si>
    <t>OETA531218HDFLRN04</t>
  </si>
  <si>
    <t>20/07/2026 10:45</t>
  </si>
  <si>
    <t>ELSA CASTAÑEDA QUINTANAR</t>
  </si>
  <si>
    <t>CAQE600406MDFSNL03</t>
  </si>
  <si>
    <t>20/07/2026 11:19</t>
  </si>
  <si>
    <t>MIRIAM LIZETH LARA MOLINA</t>
  </si>
  <si>
    <t>LAMM771104MSRRLR07</t>
  </si>
  <si>
    <t>20/07/2026 11:31</t>
  </si>
  <si>
    <t>Rosa Martha Galan Miranda</t>
  </si>
  <si>
    <t>GAMR580227MMCLRS05</t>
  </si>
  <si>
    <t>Amado Ramirez Torres</t>
  </si>
  <si>
    <t>20/07/2026 11:39</t>
  </si>
  <si>
    <t>LEONARDO HIDALGO ASTUDIO</t>
  </si>
  <si>
    <t>HIAL611218HDFDSN03</t>
  </si>
  <si>
    <t>20/07/2026 11:43</t>
  </si>
  <si>
    <t>JOB MONSIVAIS</t>
  </si>
  <si>
    <t>20/07/2026 11:44</t>
  </si>
  <si>
    <t>JUAN CARLOS LOPEZ ZENDEJAS</t>
  </si>
  <si>
    <t>LOZJ700127HCMPNN01</t>
  </si>
  <si>
    <t>20/07/2026 11:45</t>
  </si>
  <si>
    <t xml:space="preserve">ENRIQUE </t>
  </si>
  <si>
    <t>ROPE640404HDFMRN01</t>
  </si>
  <si>
    <t>20/07/2026 11:35</t>
  </si>
  <si>
    <t xml:space="preserve">GABRIELA AYALA MELLANADO </t>
  </si>
  <si>
    <t>AAMG730922MMCYLB00</t>
  </si>
  <si>
    <t>20/07/2026 11:49</t>
  </si>
  <si>
    <t>J. JESUS ANGUIANO DIAZ</t>
  </si>
  <si>
    <t>AUDJ610815HGTNZS06</t>
  </si>
  <si>
    <t>20/07/2026 11:56</t>
  </si>
  <si>
    <t>Miguel Angel Tadeo Martinez</t>
  </si>
  <si>
    <t>20/07/2026 11:55</t>
  </si>
  <si>
    <t>JESUS NICANDRO CUEVAS LOPEZ</t>
  </si>
  <si>
    <t>CULJ660617HOCVPS01</t>
  </si>
  <si>
    <t>20/07/2026 12:04</t>
  </si>
  <si>
    <t>Aries Alonso Cervantes Jara</t>
  </si>
  <si>
    <t>CEJA751130HCHRRR08</t>
  </si>
  <si>
    <t>20/07/2026 12:10</t>
  </si>
  <si>
    <t>Jose Rafael Marquez Rivera</t>
  </si>
  <si>
    <t>MARR740805HSPRVF05</t>
  </si>
  <si>
    <t>20/07/2026 12:12</t>
  </si>
  <si>
    <t xml:space="preserve"> MARQUIBEL BAUTISTA NAJERA</t>
  </si>
  <si>
    <t>BANM620910MMSTJR01</t>
  </si>
  <si>
    <t>RIGOBERTO VILLANUEVA MORA</t>
  </si>
  <si>
    <t>20/07/2026 12:19</t>
  </si>
  <si>
    <t>AARON CRUZ BELTRAN</t>
  </si>
  <si>
    <t>CUBA650701HJCRLR07</t>
  </si>
  <si>
    <t>20/07/2026 12:26</t>
  </si>
  <si>
    <t>HONORIO ENRIQUE CRUZ MARTINEZ</t>
  </si>
  <si>
    <t>CUMH581230HDFRRN04</t>
  </si>
  <si>
    <t>20/07/2026 12:27</t>
  </si>
  <si>
    <t>armando sosa desirena</t>
  </si>
  <si>
    <t>SODA700826HOCSSR07</t>
  </si>
  <si>
    <t>20/07/2026 12:34</t>
  </si>
  <si>
    <t>ANDRES DE LUNA MENDEZ</t>
  </si>
  <si>
    <t>LUMA630119HNLNNN09</t>
  </si>
  <si>
    <t>20/07/2026 10:09</t>
  </si>
  <si>
    <t>RAYMUNDO MEDINA REYES</t>
  </si>
  <si>
    <t>MERR570227HGTDYY04</t>
  </si>
  <si>
    <t>ELOY RAMOS DELGADO</t>
  </si>
  <si>
    <t>RADE640221HVZMLL08</t>
  </si>
  <si>
    <t>LUZ MARIA MARTINEZ</t>
  </si>
  <si>
    <t>MAXL650420MGTRXZ00</t>
  </si>
  <si>
    <t>20/07/2026 12:07</t>
  </si>
  <si>
    <t>CARLOS OROZCO LOPEZ</t>
  </si>
  <si>
    <t>OOLC591103HMNRPR06</t>
  </si>
  <si>
    <t>20/07/2026 12:39</t>
  </si>
  <si>
    <t>NOHEMI PATRICIA ALCARAZ LOPEZ</t>
  </si>
  <si>
    <t>AALN610807MNLLPH08</t>
  </si>
  <si>
    <t>20/07/2026 12:49</t>
  </si>
  <si>
    <t>MARIA LUISA REVELES LOPEZ</t>
  </si>
  <si>
    <t>RELL710919MNLVPS02</t>
  </si>
  <si>
    <t>20/07/2026 13:00</t>
  </si>
  <si>
    <t>J. esequiel Sánchez bello</t>
  </si>
  <si>
    <t>SABE480511HMNNLS04</t>
  </si>
  <si>
    <t>20/07/2026 13:12</t>
  </si>
  <si>
    <t>CARLOS MANUEL AGUILAR PEREZ</t>
  </si>
  <si>
    <t>20/07/2026 13:32</t>
  </si>
  <si>
    <t>JOSE ANTONIO BRIONES SALAZAR</t>
  </si>
  <si>
    <t>BISA020718HCLRLNA8</t>
  </si>
  <si>
    <t>20/07/2026 13:53</t>
  </si>
  <si>
    <t>JOSE LORENZO LOPEZ SALAZAR</t>
  </si>
  <si>
    <t>LOSL610920HYNPLR05</t>
  </si>
  <si>
    <t>20/07/2026 14:01</t>
  </si>
  <si>
    <t xml:space="preserve">Porfirio </t>
  </si>
  <si>
    <t>20/07/2026 14:14</t>
  </si>
  <si>
    <t>JUAN BARRERA GONZALEZ</t>
  </si>
  <si>
    <t>BAGJ420202HDFRNN01</t>
  </si>
  <si>
    <t>20/07/2026 12:35</t>
  </si>
  <si>
    <t>Sisilia Morales Resendiz</t>
  </si>
  <si>
    <t>MORS640511MGTRSS05</t>
  </si>
  <si>
    <t>20/07/2026 14:15</t>
  </si>
  <si>
    <t>José Antonio Juárez Bonilla</t>
  </si>
  <si>
    <t>20/07/2026 14:16</t>
  </si>
  <si>
    <t xml:space="preserve">Lázaro Madrigal Rocha </t>
  </si>
  <si>
    <t xml:space="preserve">MARL620214HCSDCZ08 </t>
  </si>
  <si>
    <t>20/07/2026 14:11</t>
  </si>
  <si>
    <t>ROBERTO CERVANTES CRUZ</t>
  </si>
  <si>
    <t>CECR640730HDFRRB09</t>
  </si>
  <si>
    <t>20/07/2026 14:18</t>
  </si>
  <si>
    <t>EIGV601223HMCNNC06</t>
  </si>
  <si>
    <t>20/07/2026 14:26</t>
  </si>
  <si>
    <t>FERNANDO</t>
  </si>
  <si>
    <t>RORF630314HSPDZR08</t>
  </si>
  <si>
    <t>20/07/2026 14:44</t>
  </si>
  <si>
    <t>LOOF600423HDFPRR04</t>
  </si>
  <si>
    <t>20/07/2026 14:59</t>
  </si>
  <si>
    <t>EINR610508MSLSXM08</t>
  </si>
  <si>
    <t>20/07/2026 15:16</t>
  </si>
  <si>
    <t>MARIA IRENE GUZMAN MARTINEZ</t>
  </si>
  <si>
    <t>GUMI600221MDFZRR05</t>
  </si>
  <si>
    <t>20/07/2026 15:25</t>
  </si>
  <si>
    <t>TERESA GABRIELA RANGEL TOVAR</t>
  </si>
  <si>
    <t>RATT760414MCHNVR01</t>
  </si>
  <si>
    <t>20/07/2026 15:31</t>
  </si>
  <si>
    <t>María Olga Soto Rodriguez</t>
  </si>
  <si>
    <t>Vinicio Hernandez Rodriguez</t>
  </si>
  <si>
    <t>HERV621119HVZRDN07</t>
  </si>
  <si>
    <t>20/07/2026 13:25</t>
  </si>
  <si>
    <t>JESUS RAMON RAMIREZ ANAYA</t>
  </si>
  <si>
    <t>RAAJ611112HSRMNS07</t>
  </si>
  <si>
    <t>20/07/2026 15:37</t>
  </si>
  <si>
    <t xml:space="preserve">CLEMENTE VEGA GONZALEZ </t>
  </si>
  <si>
    <t>20/07/2026 15:35</t>
  </si>
  <si>
    <t>INES BLANCO RAMIREZ</t>
  </si>
  <si>
    <t>20/07/2026 15:33</t>
  </si>
  <si>
    <t>MIGUEL DOMINGUEZ FERNANDEZ</t>
  </si>
  <si>
    <t>DOFM600820HDFMRG02</t>
  </si>
  <si>
    <t>20/07/2026 15:48</t>
  </si>
  <si>
    <t xml:space="preserve">REFUGIO VERA CONTRERAS </t>
  </si>
  <si>
    <t>VECR550703HZSRNF06</t>
  </si>
  <si>
    <t>20/07/2026 15:42</t>
  </si>
  <si>
    <t>ISELA MATILDE BARRERA VARGAS</t>
  </si>
  <si>
    <t>BAVI650314MDFRRS06</t>
  </si>
  <si>
    <t>MARGARITO CASTAÑEDA RODRIGUEZ</t>
  </si>
  <si>
    <t>CARM680921HNLSDR06</t>
  </si>
  <si>
    <t>20/07/2026 16:05</t>
  </si>
  <si>
    <t>DONACIANO GUZMAN CARBAJAL</t>
  </si>
  <si>
    <t>GUCD650524HGRZRN19</t>
  </si>
  <si>
    <t>20/07/2026 16:29</t>
  </si>
  <si>
    <t>NICOLAS</t>
  </si>
  <si>
    <t>MOJN880713HTSRMC06</t>
  </si>
  <si>
    <t>20/07/2026 16:32</t>
  </si>
  <si>
    <t>20/07/2026 16:36</t>
  </si>
  <si>
    <t xml:space="preserve">jesus escobar cartas </t>
  </si>
  <si>
    <t>EOCJ441015HVZSRS01</t>
  </si>
  <si>
    <t>JESUS RAUL CASTRO DOMINGUEZ</t>
  </si>
  <si>
    <t>CADJ611029HSLSMS06</t>
  </si>
  <si>
    <t>20/07/2026 16:25</t>
  </si>
  <si>
    <t>Victor Manuel Rangel</t>
  </si>
  <si>
    <t>RAXV630626HGTNXC04</t>
  </si>
  <si>
    <t>20/07/2026 16:06</t>
  </si>
  <si>
    <t>RUBEN FUENTES GALICIA</t>
  </si>
  <si>
    <t>FUGR730920HMCNLB07</t>
  </si>
  <si>
    <t>DINA GONZALEZ ISMERIO</t>
  </si>
  <si>
    <t>GOID570623MNTNSN03</t>
  </si>
  <si>
    <t>20/07/2026 16:47</t>
  </si>
  <si>
    <t>JORGE</t>
  </si>
  <si>
    <t>MACJ560715HMNRRR03</t>
  </si>
  <si>
    <t>20/07/2026 17:10</t>
  </si>
  <si>
    <t>JUAN GABRIEL MUÑOZ VELAZQUEZ</t>
  </si>
  <si>
    <t>MUVJ731121HSLXLN03</t>
  </si>
  <si>
    <t xml:space="preserve"> 624 358 6244</t>
  </si>
  <si>
    <t>20/07/2026 17:26</t>
  </si>
  <si>
    <t>JUAN MIGUEL AGUIRRE JIMENEZ</t>
  </si>
  <si>
    <t>AUJM610831HDFGMG02</t>
  </si>
  <si>
    <t>55 3124 6144</t>
  </si>
  <si>
    <t>20/07/2026 17:00</t>
  </si>
  <si>
    <t>Édgar Constantino caballero</t>
  </si>
  <si>
    <t>COCE580226HCSNBD05</t>
  </si>
  <si>
    <t>20/07/2026 17:37</t>
  </si>
  <si>
    <t xml:space="preserve">florencio </t>
  </si>
  <si>
    <t>GACF640707HSRRHL01</t>
  </si>
  <si>
    <t>20/07/2026 17:39</t>
  </si>
  <si>
    <t>Norma Angelica Ovalle Lucio</t>
  </si>
  <si>
    <t>OALN730610MCLVCR08</t>
  </si>
  <si>
    <t>20/07/2026 15:57</t>
  </si>
  <si>
    <t xml:space="preserve">FRANCISCO ROMERO MENDOZA </t>
  </si>
  <si>
    <t>ROMF600428HDFMNR01</t>
  </si>
  <si>
    <t>20/07/2026 17:45</t>
  </si>
  <si>
    <t>779 124 0984</t>
  </si>
  <si>
    <t>20/07/2026 17:42</t>
  </si>
  <si>
    <t>JUAN PARRA CONTRERAS</t>
  </si>
  <si>
    <t>PACJ640312HBCRNN02</t>
  </si>
  <si>
    <t>20/07/2026 17:46</t>
  </si>
  <si>
    <t xml:space="preserve">FRANCISCO JAVIER SERVIN CANO </t>
  </si>
  <si>
    <t xml:space="preserve">SECF720901HMNRNR07 </t>
  </si>
  <si>
    <t>20/07/2026 17:49</t>
  </si>
  <si>
    <t>JOAQUIN BARRAZA MURILLO</t>
  </si>
  <si>
    <t>BAMJ600816HSLRRQ01</t>
  </si>
  <si>
    <t>20/07/2026 17:50</t>
  </si>
  <si>
    <t>BENEDICTO POPOCA SAUCEDO</t>
  </si>
  <si>
    <t>POSB590215HGRPCN01</t>
  </si>
  <si>
    <t>20/07/2026 18:01</t>
  </si>
  <si>
    <t>JESUS ARTURO DOMINGUEZ AGUILAR</t>
  </si>
  <si>
    <t>DOAJ630523HCHMGS08</t>
  </si>
  <si>
    <t>20/07/2026 18:02</t>
  </si>
  <si>
    <t>CARLOS JAVIER PERAZA VELAZQUEZ</t>
  </si>
  <si>
    <t>PEVC621104HJCRLR04</t>
  </si>
  <si>
    <t>20/07/2026 18:17</t>
  </si>
  <si>
    <t>Apolinar Bartolo Reyes</t>
  </si>
  <si>
    <t>BARA640108HVZRYP01</t>
  </si>
  <si>
    <t>20/07/2026 18:27</t>
  </si>
  <si>
    <t xml:space="preserve">Oscar humberto camarillo reyes </t>
  </si>
  <si>
    <t>20/07/2026 18:45</t>
  </si>
  <si>
    <t>FRANCISCO ARTURO GARCIA MARTINEZ</t>
  </si>
  <si>
    <t>21/07/2026 08:43</t>
  </si>
  <si>
    <t>21/07/2026</t>
  </si>
  <si>
    <t>LINO CRUZ PIÑON</t>
  </si>
  <si>
    <t>CUPL610915HNLRXN07</t>
  </si>
  <si>
    <t>21/07/2026 09:01</t>
  </si>
  <si>
    <t>ARMANDO GOMEZ LEDEZMA</t>
  </si>
  <si>
    <t>21/07/2026 09:06</t>
  </si>
  <si>
    <t>JOAQUIN ULLOA CORNEJO</t>
  </si>
  <si>
    <t>UOCJ640131HMNLRQ08</t>
  </si>
  <si>
    <t>21/07/2026 09:30</t>
  </si>
  <si>
    <t xml:space="preserve">PEDRO RAMOS MUÑOZ </t>
  </si>
  <si>
    <t>RAMP640429HVZMXD02</t>
  </si>
  <si>
    <t>21/07/2026 09:55</t>
  </si>
  <si>
    <t xml:space="preserve">ROSALVA ROCHA LEON </t>
  </si>
  <si>
    <t>ROLR601115MMNCNS14</t>
  </si>
  <si>
    <t>21/07/2026 09:59</t>
  </si>
  <si>
    <t>ANDRES RAMIREZ LOPEZ</t>
  </si>
  <si>
    <t>RALA631130HMCMPN09</t>
  </si>
  <si>
    <t>220 490 1437</t>
  </si>
  <si>
    <t>PEDRO ALVAREZ LUNA</t>
  </si>
  <si>
    <t>AALP710817HDFLND09</t>
  </si>
  <si>
    <t>21/07/2026 10:01</t>
  </si>
  <si>
    <t>LUZ MARIA VELASCO ROMERO</t>
  </si>
  <si>
    <t>VERL430515MDFLMZ00</t>
  </si>
  <si>
    <t>21/07/2026 09:56</t>
  </si>
  <si>
    <t>JOSE LUIS SALVADOR SANCHEZ</t>
  </si>
  <si>
    <t>SASL640829HDFLNS03</t>
  </si>
  <si>
    <t>21/07/2026 10:09</t>
  </si>
  <si>
    <t>Gregorio Arturo de la Rosa Pérez</t>
  </si>
  <si>
    <t>ROPG480312HDFSRR06</t>
  </si>
  <si>
    <t>21/07/2026 10:17</t>
  </si>
  <si>
    <t>MARIO IBAÑEZ RAMOS</t>
  </si>
  <si>
    <t>IARM740809HOCBMR09</t>
  </si>
  <si>
    <t>Felipe valenzuela solis</t>
  </si>
  <si>
    <t>21/07/2026 09:49</t>
  </si>
  <si>
    <t xml:space="preserve">JUAN MANUEL HERNANDEZ RAMIREZ </t>
  </si>
  <si>
    <t xml:space="preserve">HERJ660612HDFRMN03 </t>
  </si>
  <si>
    <t>20/07/2026 12:02</t>
  </si>
  <si>
    <t>FELIPE ALVAREZ BOLAÑOS</t>
  </si>
  <si>
    <t>AABF600723HCHLLL07</t>
  </si>
  <si>
    <t>21/07/2026 10:20</t>
  </si>
  <si>
    <t>JOSE JAIME AGUERO ESPINOZA</t>
  </si>
  <si>
    <t>AUEJ660313HCHGSM08</t>
  </si>
  <si>
    <t>21/07/2026 10:35</t>
  </si>
  <si>
    <t>YOLANDA DE LUNA SAN MARTIN</t>
  </si>
  <si>
    <t>LUSY700715MVZNNL00</t>
  </si>
  <si>
    <t>21/07/2026 10:24</t>
  </si>
  <si>
    <t>JESUS ERNESTO ESTRADA DOMINGUEZ</t>
  </si>
  <si>
    <t>EADJ780414HCHSMS01</t>
  </si>
  <si>
    <t>21/07/2026 10:40</t>
  </si>
  <si>
    <t>YAJAHIRA GONZALEZ EXT 2</t>
  </si>
  <si>
    <t>JACOBO ISRAEL GONZALEZ MARTINEZ</t>
  </si>
  <si>
    <t>GOMJ601017HDFNRC01</t>
  </si>
  <si>
    <t>21/07/2026 10:52</t>
  </si>
  <si>
    <t>JORGE ZARATE LARA</t>
  </si>
  <si>
    <t>ZALJ620706HVZRRR08</t>
  </si>
  <si>
    <t>21/07/2026 10:55</t>
  </si>
  <si>
    <t>MIGUEL ANGEL PEREZ QUIROZ</t>
  </si>
  <si>
    <t>PEQM590601HDFRRG03</t>
  </si>
  <si>
    <t>ARCADIO GUZMAN MENDOZA</t>
  </si>
  <si>
    <t>GUMA590112HNLZNR08</t>
  </si>
  <si>
    <t>81 1589 4768</t>
  </si>
  <si>
    <t>21/07/2026 11:02</t>
  </si>
  <si>
    <t xml:space="preserve">HUMBERTO FERNÁNDEZ LÓPEZ </t>
  </si>
  <si>
    <t>21/07/2026 09:05</t>
  </si>
  <si>
    <t>ANGEL CENICEROS MARTINEZ</t>
  </si>
  <si>
    <t>CEMA640318HCLNRN01</t>
  </si>
  <si>
    <t>21/07/2026 11:15</t>
  </si>
  <si>
    <t>ARACELI RODRIGUEZ BARRAGAN</t>
  </si>
  <si>
    <t>RXBA611227MJCDRR06</t>
  </si>
  <si>
    <t>33 2054 4460</t>
  </si>
  <si>
    <t>21/07/2026 11:11</t>
  </si>
  <si>
    <t xml:space="preserve">Rodolfo Jaime Ortiz Zetina.  </t>
  </si>
  <si>
    <t xml:space="preserve">OIZR620417HMCRTD00 </t>
  </si>
  <si>
    <t>21/07/2026 11:08</t>
  </si>
  <si>
    <t>JAVIER BAEZ DIAZ</t>
  </si>
  <si>
    <t>BADJ610402HDFZZV03</t>
  </si>
  <si>
    <t>21/07/2026 10:42</t>
  </si>
  <si>
    <t>ROSA ISELA CANO ALVAREZ</t>
  </si>
  <si>
    <t>CAAR731221MDGNLS05</t>
  </si>
  <si>
    <t>21/07/2026 11:22</t>
  </si>
  <si>
    <t>JOSE MARCELINO ZAVALA ZUÑIGA</t>
  </si>
  <si>
    <t>ZAZM570602HDFVXR04</t>
  </si>
  <si>
    <t>21/07/2026 11:35</t>
  </si>
  <si>
    <t>21/07/2026 11:33</t>
  </si>
  <si>
    <t>FELIPE FRANCISCO GUADARRAMA SANTACRUZ</t>
  </si>
  <si>
    <t>GUSF600203HDFDNL06</t>
  </si>
  <si>
    <t>JOSE MARIO GARNICA MUÑOZ</t>
  </si>
  <si>
    <t>GAMM550216HMNRXR01</t>
  </si>
  <si>
    <t>21/07/2026 11:41</t>
  </si>
  <si>
    <t>JOSE GUADALUPE SANCHEZ CAMACHO</t>
  </si>
  <si>
    <t>SACG600806HNTNMD01</t>
  </si>
  <si>
    <t>21/07/2026 11:29</t>
  </si>
  <si>
    <t>MARIANA ROSTRO MEDINA</t>
  </si>
  <si>
    <t>ROMM630123MMCSDR05</t>
  </si>
  <si>
    <t>21/07/2026 11:25</t>
  </si>
  <si>
    <t>NORA LUISA VALDEZ VALLE</t>
  </si>
  <si>
    <t>VAVN580203MSLLLR06</t>
  </si>
  <si>
    <t>21/07/2026 11:58</t>
  </si>
  <si>
    <t>JAVIER FRANCISCO QUINTERO LOZANO</t>
  </si>
  <si>
    <t>QUSF680312HJCNLR05</t>
  </si>
  <si>
    <t>341 137 2877</t>
  </si>
  <si>
    <t>21/07/2026 11:56</t>
  </si>
  <si>
    <t xml:space="preserve">ESGAR GARCIA GARCIA </t>
  </si>
  <si>
    <t>GAGE630702HVZRRS03</t>
  </si>
  <si>
    <t>21/07/2026 12:03</t>
  </si>
  <si>
    <t>MARTIN CASTRO BRIANO</t>
  </si>
  <si>
    <t>CABM691129HSPSRR07</t>
  </si>
  <si>
    <t>21/07/2026 12:02</t>
  </si>
  <si>
    <t>RENE MORALES GARCIA</t>
  </si>
  <si>
    <t>MOGR551126HDFRRN03</t>
  </si>
  <si>
    <t>21/07/2026 12:07</t>
  </si>
  <si>
    <t>ISRRAEL ARMANDO RODRIGUEZ ESPINOZA</t>
  </si>
  <si>
    <t>ROEI591118HNLDSS04</t>
  </si>
  <si>
    <t>81 2366 9303</t>
  </si>
  <si>
    <t>21/07/2026 11:40</t>
  </si>
  <si>
    <t>MATILDE CASTELLANOS HERNANDEZ</t>
  </si>
  <si>
    <t>CAHM530130MTSSRT05</t>
  </si>
  <si>
    <t>21/07/2026 11:27</t>
  </si>
  <si>
    <t xml:space="preserve">ARACELI CORCUERA ORTIZ </t>
  </si>
  <si>
    <t>COOA720913MOCRRR00</t>
  </si>
  <si>
    <t>21/07/2026 12:18</t>
  </si>
  <si>
    <t>JAIME TORRES VAZQUEZ</t>
  </si>
  <si>
    <t>TOVJ600809HMNRZM07</t>
  </si>
  <si>
    <t>21/07/2026 12:25</t>
  </si>
  <si>
    <t>ROMUALDO FLORES VELAZQUEZ</t>
  </si>
  <si>
    <t>FOVR650207HMSLLM00</t>
  </si>
  <si>
    <t>21/07/2026 12:08</t>
  </si>
  <si>
    <t>AGUSTIN ESPARZA JARERO</t>
  </si>
  <si>
    <t>EAJA641216HJCSRG04</t>
  </si>
  <si>
    <t>33 2587 0489</t>
  </si>
  <si>
    <t>21/07/2026 11:55</t>
  </si>
  <si>
    <t>ALFONSO CHAPARRO ROSAS</t>
  </si>
  <si>
    <t>CARA670209HDFHSL07</t>
  </si>
  <si>
    <t>21/07/2026 12:31</t>
  </si>
  <si>
    <t>21/07/2026 11:13</t>
  </si>
  <si>
    <t>Rosa María González Rojas</t>
  </si>
  <si>
    <t>GORR571209MJCNJS04</t>
  </si>
  <si>
    <t>21/07/2026 12:42</t>
  </si>
  <si>
    <t>ERNESTO</t>
  </si>
  <si>
    <t>MEME610703HPLZRR03</t>
  </si>
  <si>
    <t>21/07/2026 12:46</t>
  </si>
  <si>
    <t>JOSE JUAN CECILIO SORIANO ROSAS</t>
  </si>
  <si>
    <t>SORJ621122HPLRSN00</t>
  </si>
  <si>
    <t>229 162 3334</t>
  </si>
  <si>
    <t>21/07/2026 12:11</t>
  </si>
  <si>
    <t xml:space="preserve">PAULA MARIA DEL SOCORRO UH GARMA </t>
  </si>
  <si>
    <t>UXGP500618MYNHRL01</t>
  </si>
  <si>
    <t>21/07/2026 12:57</t>
  </si>
  <si>
    <t>MARISOL HERNANDEZ C/C</t>
  </si>
  <si>
    <t>RODOLFO GARCIA BOTELLO</t>
  </si>
  <si>
    <t>GABR670622HMCRTD06</t>
  </si>
  <si>
    <t>21/07/2026 12:52</t>
  </si>
  <si>
    <t>JOSE LUIS CAJAL COLORADO</t>
  </si>
  <si>
    <t>CACL630824HDFJLS07</t>
  </si>
  <si>
    <t>21/07/2026 12:10</t>
  </si>
  <si>
    <t>Sergio Ruben Obeso Arias</t>
  </si>
  <si>
    <t>OEAS671114HSLBRR07</t>
  </si>
  <si>
    <t>21/07/2026 13:02</t>
  </si>
  <si>
    <t>YOLANDA BENITEZ HERNANDEZ</t>
  </si>
  <si>
    <t>21/07/2026 13:04</t>
  </si>
  <si>
    <t>JESUS MARTINEZ ALVARADO</t>
  </si>
  <si>
    <t>MAAJ690206HNLRLS08</t>
  </si>
  <si>
    <t>21/07/2026 13:06</t>
  </si>
  <si>
    <t>MELANIE CIBRIAN C/C</t>
  </si>
  <si>
    <t>VICTOR  ALEJANDRO MORENO SALES</t>
  </si>
  <si>
    <t>MOSV601223HPLRLC06</t>
  </si>
  <si>
    <t>21/07/2026 12:54</t>
  </si>
  <si>
    <t xml:space="preserve">NOHEMI GALLEGOS ESPINOZA </t>
  </si>
  <si>
    <t>GAEN760315MDFLSH00</t>
  </si>
  <si>
    <t>21/07/2026 13:01</t>
  </si>
  <si>
    <t>Sonia Gutiérrez Saldaña</t>
  </si>
  <si>
    <t>GUSS620930MSRTLN07</t>
  </si>
  <si>
    <t>21/07/2026 13:45</t>
  </si>
  <si>
    <t>manuel mancilla garcia</t>
  </si>
  <si>
    <t>21/07/2026 13:46</t>
  </si>
  <si>
    <t>GAVINO ALEJANDRO AQUINO SANCHEZ</t>
  </si>
  <si>
    <t>AUSG741025HVZQNB06</t>
  </si>
  <si>
    <t>CAROLINA RAMIREZ C/C</t>
  </si>
  <si>
    <t>OMAR ESQUIVEL</t>
  </si>
  <si>
    <t>21/07/2026 14:10</t>
  </si>
  <si>
    <t>REBECA TREVIÑO TORRES</t>
  </si>
  <si>
    <t xml:space="preserve"> TETR620503MDFRRB08</t>
  </si>
  <si>
    <t>21/07/2026 13:32</t>
  </si>
  <si>
    <t xml:space="preserve">MA. FAUSTA CHABERO CAMACHO </t>
  </si>
  <si>
    <t>CACF491013MSPHMS00</t>
  </si>
  <si>
    <t>21/07/2026 14:15</t>
  </si>
  <si>
    <t>LEOBARDO LOZADA FERNANDEZ</t>
  </si>
  <si>
    <t>LOFL590118HVZZRB01</t>
  </si>
  <si>
    <t>21/07/2026 13:52</t>
  </si>
  <si>
    <t xml:space="preserve">ANGEL VICENTE MARTINEZ MARTINEZ </t>
  </si>
  <si>
    <t>MAMA620719HDFRRN06</t>
  </si>
  <si>
    <t>21/07/2026 13:10</t>
  </si>
  <si>
    <t>RICARDO VARGAS PONCE</t>
  </si>
  <si>
    <t>VAPR780405HGRRNC03</t>
  </si>
  <si>
    <t>21/07/2026 14:23</t>
  </si>
  <si>
    <t>Consuelo castillo soto</t>
  </si>
  <si>
    <t>21/07/2026 14:24</t>
  </si>
  <si>
    <t>YOLANDA LETICIA SOTO ROBLEDO</t>
  </si>
  <si>
    <t>SORY551025MTSTBL01</t>
  </si>
  <si>
    <t>21/07/2026 14:26</t>
  </si>
  <si>
    <t>JUAN HUESCA GARCIA</t>
  </si>
  <si>
    <t>HUGJ730522HPLSRN06</t>
  </si>
  <si>
    <t>21/07/2026 14:28</t>
  </si>
  <si>
    <t>OCTAVIO AGUILAR LICONA</t>
  </si>
  <si>
    <t>AULO740615HDFGCC00</t>
  </si>
  <si>
    <t>56 2512 5073</t>
  </si>
  <si>
    <t>21/07/2026 14:32</t>
  </si>
  <si>
    <t>OSCAR JACOME HERNANDEZ</t>
  </si>
  <si>
    <t>JAHO690309HVZCRS01</t>
  </si>
  <si>
    <t>JESUS HERNANDEZ SUAREZ</t>
  </si>
  <si>
    <t>21/07/2026 14:34</t>
  </si>
  <si>
    <t>ROQUE JACINTO OSUNA MALDONADO</t>
  </si>
  <si>
    <t>OUMR511002HSRSLQ01</t>
  </si>
  <si>
    <t>662 316 6708</t>
  </si>
  <si>
    <t>21/07/2026 14:18</t>
  </si>
  <si>
    <t>LUCIANO HERNANDEZ RUIZ</t>
  </si>
  <si>
    <t>HERL530924HPLRZC05</t>
  </si>
  <si>
    <t>21/07/2026 14:38</t>
  </si>
  <si>
    <t>GERARDO PADILLA ARTEAGA</t>
  </si>
  <si>
    <t>PAAG530924HMSDRR03</t>
  </si>
  <si>
    <t>21/07/2026 14:25</t>
  </si>
  <si>
    <t>GUMERCINDO MONTOYA ARREDONDO</t>
  </si>
  <si>
    <t>MOAG750414HNLNRM00</t>
  </si>
  <si>
    <t>ROSALINDA MONTOYA ARREDONDO</t>
  </si>
  <si>
    <t>MOAR650523MNLNRS01</t>
  </si>
  <si>
    <t>21/07/2026 14:43</t>
  </si>
  <si>
    <t>GREGORIO ZAPATA MORENO</t>
  </si>
  <si>
    <t>ZAMG540425HNLPRR00</t>
  </si>
  <si>
    <t>21/07/2026 14:48</t>
  </si>
  <si>
    <t>GUALBERTO DE LA CRUZ BAUTISTA</t>
  </si>
  <si>
    <t>CUBG740904HPLRTL09</t>
  </si>
  <si>
    <t>21/07/2026 14:57</t>
  </si>
  <si>
    <t>Margarita mendez torres</t>
  </si>
  <si>
    <t>METM671014MJCNRR01</t>
  </si>
  <si>
    <t>GUSTAVO GARCIA TREJO</t>
  </si>
  <si>
    <t>GATG710908HMCRRS09</t>
  </si>
  <si>
    <t>21/07/2026 14:59</t>
  </si>
  <si>
    <t>Ma. Guadalupe Hernández Ramírez</t>
  </si>
  <si>
    <t>HERG660328MQTRMD09</t>
  </si>
  <si>
    <t>21/07/2026 12:34</t>
  </si>
  <si>
    <t>JUAN CARLOS ALMAZAN MARTINEZ</t>
  </si>
  <si>
    <t>AAMJ640424HDFLRN04</t>
  </si>
  <si>
    <t>FRANCISCO OROZCO BAEZ</t>
  </si>
  <si>
    <t>OOBF611004HSLRZR06</t>
  </si>
  <si>
    <t>21/07/2026 15:04</t>
  </si>
  <si>
    <t>MARIA LUISA NAVARRO ZAMORA</t>
  </si>
  <si>
    <t>NAZL580518MBCVMS12</t>
  </si>
  <si>
    <t>21/07/2026 12:55</t>
  </si>
  <si>
    <t>FLOR ESTELA CORTEZ RODRIGUEZ</t>
  </si>
  <si>
    <t>CORF690829MCLRDL05</t>
  </si>
  <si>
    <t>21/07/2026 15:03</t>
  </si>
  <si>
    <t>Carlos Hernández Palomares</t>
  </si>
  <si>
    <t>21/07/2026 15:08</t>
  </si>
  <si>
    <t>JOSE DE JESUS AGUILAR PIÑA</t>
  </si>
  <si>
    <t>AUPJ620331HSPGXS02</t>
  </si>
  <si>
    <t xml:space="preserve">JOSE VICTORINO ROJAS ROSALES </t>
  </si>
  <si>
    <t>RORV600329HNLJSC05</t>
  </si>
  <si>
    <t>21/07/2026 15:01</t>
  </si>
  <si>
    <t>JOSE DE JESUS ISLAS GOMEZ</t>
  </si>
  <si>
    <t>IAGJ620923HJCSMS08</t>
  </si>
  <si>
    <t>21/07/2026 15:29</t>
  </si>
  <si>
    <t>HECTOR PEREZ FERNANDEZ</t>
  </si>
  <si>
    <t>PEFH630608HTSRRC00</t>
  </si>
  <si>
    <t>21/07/2026 15:24</t>
  </si>
  <si>
    <t>MARIO ALBERTO RUIZ BAZULTO</t>
  </si>
  <si>
    <t>RUBM660925HJCZZR08</t>
  </si>
  <si>
    <t>21/07/2026 15:13</t>
  </si>
  <si>
    <t xml:space="preserve">MIGUEL REYES ESQUIVEL </t>
  </si>
  <si>
    <t>REEM701014HMCYSG07</t>
  </si>
  <si>
    <t>21/07/2026 15:35</t>
  </si>
  <si>
    <t>ANGEL RAMON LOVERA VILLEGAS</t>
  </si>
  <si>
    <t>LOVA580615HMCVLN05</t>
  </si>
  <si>
    <t>21/07/2026 15:39</t>
  </si>
  <si>
    <t>JUAN DE LA CRUZ NAVARRO</t>
  </si>
  <si>
    <t>CUNJ650731HNLRVN09</t>
  </si>
  <si>
    <t>21/07/2026 15:43</t>
  </si>
  <si>
    <t xml:space="preserve">JOSE MIGUEL CONTRERAS LASCURAIN </t>
  </si>
  <si>
    <t>COLM600929HVZNSG04</t>
  </si>
  <si>
    <t>21/07/2026 15:10</t>
  </si>
  <si>
    <t>MARIA DEL CARMEN MEDINA VELAZQUEZ</t>
  </si>
  <si>
    <t>MEVC671126MTSDLR09</t>
  </si>
  <si>
    <t>JUAN GARCIA HERNANDEZ</t>
  </si>
  <si>
    <t>GAHJ770722HDFRRN03</t>
  </si>
  <si>
    <t>21/07/2026 15:48</t>
  </si>
  <si>
    <t>REYNALDA SANTIAGO LOPEZ</t>
  </si>
  <si>
    <t>SALR690207MGRNPY14</t>
  </si>
  <si>
    <t>21/07/2026 15:51</t>
  </si>
  <si>
    <t>EDUARDO GOMEZ CISNEROS</t>
  </si>
  <si>
    <t>GOCE630730HDFMSD03</t>
  </si>
  <si>
    <t>GERARDO ENRIQUE GONZALEZ PEREZ</t>
  </si>
  <si>
    <t>GOPG590327HJCNRR06</t>
  </si>
  <si>
    <t>21/07/2026 15:56</t>
  </si>
  <si>
    <t>TERESAITA DE JESUS GUTIERREZ RODRIGUEZ</t>
  </si>
  <si>
    <t>21/07/2026 16:00</t>
  </si>
  <si>
    <t>MARTHA MARTINEZ SAMANO</t>
  </si>
  <si>
    <t>MASM601218MSLRMR03</t>
  </si>
  <si>
    <t>21/07/2026 16:10</t>
  </si>
  <si>
    <t>GABRIEL RAMIREZ FUENTES</t>
  </si>
  <si>
    <t>RAFG660526HMNMNB02</t>
  </si>
  <si>
    <t>21/07/2026 16:11</t>
  </si>
  <si>
    <t>BLANCA ESTELA ALCANTAR</t>
  </si>
  <si>
    <t>AAXB601226MJCLXL04</t>
  </si>
  <si>
    <t>21/07/2026 16:14</t>
  </si>
  <si>
    <t>MARCELINO COTA RUIZ</t>
  </si>
  <si>
    <t>222 203 0925</t>
  </si>
  <si>
    <t>21/07/2026 16:06</t>
  </si>
  <si>
    <t>MARIA DEL RAYO TERESA TELLEZ CRUZ</t>
  </si>
  <si>
    <t>TECR581014MPLLRY10</t>
  </si>
  <si>
    <t>21/07/2026 16:21</t>
  </si>
  <si>
    <t>Jose Armando</t>
  </si>
  <si>
    <t>21/07/2026 15:33</t>
  </si>
  <si>
    <t>Elizabeth Valdez barrios</t>
  </si>
  <si>
    <t>VABE751025MSRLRL01</t>
  </si>
  <si>
    <t>21/07/2026 16:24</t>
  </si>
  <si>
    <t>LUZ MARIA CHAVEZ PALACIOS</t>
  </si>
  <si>
    <t>CAPL570111MZSHLZ03</t>
  </si>
  <si>
    <t>21/07/2026 16:29</t>
  </si>
  <si>
    <t>María Guadalupe cahuich Segovia</t>
  </si>
  <si>
    <t>21/07/2026 16:26</t>
  </si>
  <si>
    <t>IRMA DOMINGUEZ MEDINA</t>
  </si>
  <si>
    <t>DOMI511203MDGMDR06</t>
  </si>
  <si>
    <t>21/07/2026 16:38</t>
  </si>
  <si>
    <t>JOSE MIGUEL LOPEZ MANCILLA</t>
  </si>
  <si>
    <t>LOMM580318HMNPNG08</t>
  </si>
  <si>
    <t>21/07/2026 15:45</t>
  </si>
  <si>
    <t>José Alfredo Jiménez Morales</t>
  </si>
  <si>
    <t>JIMA521108HDFMRL07</t>
  </si>
  <si>
    <t>21/07/2026 16:42</t>
  </si>
  <si>
    <t>NORMA EDELMIRA SANTIAGO ARRAZATE</t>
  </si>
  <si>
    <t>SAAN740920MCSNRR09</t>
  </si>
  <si>
    <t>21/07/2026 16:45</t>
  </si>
  <si>
    <t>JESUS ROSENDO DIAZ</t>
  </si>
  <si>
    <t>DIXJ550616HSLZXS08</t>
  </si>
  <si>
    <t>21/07/2026 16:56</t>
  </si>
  <si>
    <t>LYDIA VAZQUEZ SILVA</t>
  </si>
  <si>
    <t>VASL550629MNLZLY01</t>
  </si>
  <si>
    <t>21/07/2026 16:58</t>
  </si>
  <si>
    <t>LETICIA DE LA FUENTE HERNANDEZ</t>
  </si>
  <si>
    <t>FUHL590725MTCNRT02</t>
  </si>
  <si>
    <t>21/07/2026 16:41</t>
  </si>
  <si>
    <t>AGUSTIN ORTIZ SEGURA</t>
  </si>
  <si>
    <t>OISA631203HGTRGG06</t>
  </si>
  <si>
    <t>21/07/2026 17:06</t>
  </si>
  <si>
    <t>Arturo landeros cadena</t>
  </si>
  <si>
    <t>21/07/2026 15:42</t>
  </si>
  <si>
    <t>FELICIANO AZUA LARA</t>
  </si>
  <si>
    <t>AULF620609HSPZRL05</t>
  </si>
  <si>
    <t>21/07/2026 17:25</t>
  </si>
  <si>
    <t>PATRICIA EPIGMENIA CARMONA PACHECO</t>
  </si>
  <si>
    <t>CAPP620309MDFRCT09</t>
  </si>
  <si>
    <t>21/07/2026 17:33</t>
  </si>
  <si>
    <t>ZULEMA ALEJANDRINA ROSALES GOMEZ</t>
  </si>
  <si>
    <t>ROGZ751120MSLSML08</t>
  </si>
  <si>
    <t>21/07/2026 15:21</t>
  </si>
  <si>
    <t>JESUS ROSALES CORDOVA</t>
  </si>
  <si>
    <t>ROCJ640520HDGSRS06</t>
  </si>
  <si>
    <t>21/07/2026 17:12</t>
  </si>
  <si>
    <t>BEATRIZ MARIN REYES</t>
  </si>
  <si>
    <t>MARB690526MDFRYT04</t>
  </si>
  <si>
    <t>21/07/2026 17:47</t>
  </si>
  <si>
    <t>PEDRO PULIDO SANTILLAN</t>
  </si>
  <si>
    <t>PUSP510610HMNLND08</t>
  </si>
  <si>
    <t>33 3467 4265</t>
  </si>
  <si>
    <t>21/07/2026 17:39</t>
  </si>
  <si>
    <t>MARTA ELENA REYES RAMIREZ</t>
  </si>
  <si>
    <t>RERM720315MGTYMR03</t>
  </si>
  <si>
    <t>21/07/2026 17:55</t>
  </si>
  <si>
    <t>JAZMIN DIAZ SANDOVAL</t>
  </si>
  <si>
    <t>DISJ960710MMCZNZ08</t>
  </si>
  <si>
    <t>21/07/2026 17:56</t>
  </si>
  <si>
    <t>ARTURO MACIAS RODELO</t>
  </si>
  <si>
    <t>MARA710521HDGCDR02</t>
  </si>
  <si>
    <t>21/07/2026 17:36</t>
  </si>
  <si>
    <t>SILVIA ELENA SOTO CARRASCO</t>
  </si>
  <si>
    <t>SOCS670225MSLTRL12</t>
  </si>
  <si>
    <t>RODOLFO CONTRERAS RUIZ</t>
  </si>
  <si>
    <t>CORR540418HPLNZD01</t>
  </si>
  <si>
    <t>21/07/2026 17:54</t>
  </si>
  <si>
    <t>MARTHA PATRICIA TOVAR ZARATE</t>
  </si>
  <si>
    <t>TOZM620515MTSVRR03</t>
  </si>
  <si>
    <t>21/07/2026 18:00</t>
  </si>
  <si>
    <t>MANUEL DE JESUS CHE PAN</t>
  </si>
  <si>
    <t>CEPM830629HYNHNN07</t>
  </si>
  <si>
    <t>21/07/2026 16:57</t>
  </si>
  <si>
    <t>JUAN MANUEL UGALDE</t>
  </si>
  <si>
    <t>21/07/2026 18:07</t>
  </si>
  <si>
    <t>MARIA ELENA ALVAREZ DOMINGUEZ</t>
  </si>
  <si>
    <t>AADE630505MMSLML09</t>
  </si>
  <si>
    <t>21/07/2026 18:28</t>
  </si>
  <si>
    <t>VICTOR MURILLO DIAZ</t>
  </si>
  <si>
    <t>MUDV720728HSPRZC01</t>
  </si>
  <si>
    <t>21/07/2026 18:09</t>
  </si>
  <si>
    <t>21/07/2026 18:45</t>
  </si>
  <si>
    <t>ANGEL PULIDO</t>
  </si>
  <si>
    <t>21/07/2026 17:24</t>
  </si>
  <si>
    <t xml:space="preserve">BEATRIZ GUADALUPE TORRES MARQUEZ </t>
  </si>
  <si>
    <t xml:space="preserve">TOMB730818MNLRRT06 </t>
  </si>
  <si>
    <t>21/07/2026 19:08</t>
  </si>
  <si>
    <t xml:space="preserve">ROQUE ANTONIO SALINAS GONZÁLEZ </t>
  </si>
  <si>
    <t>SAGR660204HNLLNQ01</t>
  </si>
  <si>
    <t>22/07/2026 09:05</t>
  </si>
  <si>
    <t>22/07/2026</t>
  </si>
  <si>
    <t>SERGIO FLORES CASTILLO</t>
  </si>
  <si>
    <t>744 652 6635</t>
  </si>
  <si>
    <t>JOSE DE JESUS SANCHEZ LUNA</t>
  </si>
  <si>
    <t>SALJ700528HJCNNS07</t>
  </si>
  <si>
    <t>33 3324 9483</t>
  </si>
  <si>
    <t>22/07/2026 09:46</t>
  </si>
  <si>
    <t xml:space="preserve">ISMAEL PADROZA WALDO </t>
  </si>
  <si>
    <t>PEWI640530HSPDLS04</t>
  </si>
  <si>
    <t>22/07/2026 09:49</t>
  </si>
  <si>
    <t>MARIA DE JESUS ZARATE MORENO</t>
  </si>
  <si>
    <t>ZAMJ410620MDFRRS04</t>
  </si>
  <si>
    <t>55 1959 6145</t>
  </si>
  <si>
    <t>22/07/2026 09:59</t>
  </si>
  <si>
    <t>PEDRO GUTIERREZ GONZALEZ</t>
  </si>
  <si>
    <t>GUGP640810HNLTND01</t>
  </si>
  <si>
    <t>22/07/2026 09:45</t>
  </si>
  <si>
    <t xml:space="preserve">LUIS RAMON VAZQUEZ HERNANDEZ </t>
  </si>
  <si>
    <t>VAHL640604HDFZRS03</t>
  </si>
  <si>
    <t>22/07/2026 10:18</t>
  </si>
  <si>
    <t>ALBERTO QUINTANA CASTILLO</t>
  </si>
  <si>
    <t>QUCA630918HDFNSL00</t>
  </si>
  <si>
    <t>22/07/2026 10:09</t>
  </si>
  <si>
    <t xml:space="preserve">MARIA LUISA GARCIA JUAREZ </t>
  </si>
  <si>
    <t>GAJL610708MTSRRS08</t>
  </si>
  <si>
    <t>22/07/2026 10:21</t>
  </si>
  <si>
    <t>Juan Jesus Yañez Calistro</t>
  </si>
  <si>
    <t>YACJ600624HMCXLN02</t>
  </si>
  <si>
    <t>22/07/2026 10:26</t>
  </si>
  <si>
    <t>MARIA DE LOS ANGELES DOMINGUEZ PECINA</t>
  </si>
  <si>
    <t>DOPA580810MCLMCN00</t>
  </si>
  <si>
    <t>22/07/2026 10:32</t>
  </si>
  <si>
    <t>JESUS ROJAS HURTADO</t>
  </si>
  <si>
    <t>Ma Jesus Campos Rios</t>
  </si>
  <si>
    <t>CARJ650506MGTMSS02</t>
  </si>
  <si>
    <t>22/07/2026 10:22</t>
  </si>
  <si>
    <t>MARIA ELVIA FELIX CALDERON</t>
  </si>
  <si>
    <t>MIGUEL SOTO CORONA</t>
  </si>
  <si>
    <t>SOCM720209HJCTRG03</t>
  </si>
  <si>
    <t>22/07/2026 10:42</t>
  </si>
  <si>
    <t xml:space="preserve">Abraham MIMIAGA Ramírez </t>
  </si>
  <si>
    <t xml:space="preserve">MIRA650103HCSMMB08 </t>
  </si>
  <si>
    <t>22/07/2026 10:50</t>
  </si>
  <si>
    <t>XAVIER VILLALOBOS LOPEZ</t>
  </si>
  <si>
    <t>VILJ720511HDFLPR09</t>
  </si>
  <si>
    <t>22/07/2026 10:56</t>
  </si>
  <si>
    <t>JUAN FLORES</t>
  </si>
  <si>
    <t>22/07/2026 10:49</t>
  </si>
  <si>
    <t>ALFONSO SILVESTRE CAMACHO</t>
  </si>
  <si>
    <t>SICA690818HDGLML00</t>
  </si>
  <si>
    <t>22/07/2026 11:03</t>
  </si>
  <si>
    <t>JOSE ROSARIO AVILA DEL RAYO</t>
  </si>
  <si>
    <t>AIRR760228HJCVYS08</t>
  </si>
  <si>
    <t>22/07/2026 10:44</t>
  </si>
  <si>
    <t>ROGELIO MARTINEZ LEOS</t>
  </si>
  <si>
    <t>MALR600113HCHRSG00</t>
  </si>
  <si>
    <t>22/07/2026 11:22</t>
  </si>
  <si>
    <t>MARTIN LUNA RIOS</t>
  </si>
  <si>
    <t>LURM690927HSPNSR04</t>
  </si>
  <si>
    <t>22/07/2026 11:12</t>
  </si>
  <si>
    <t>GUADALUPE URQUIDEZ CASTILLO</t>
  </si>
  <si>
    <t>UUCG721114MSRRSD08</t>
  </si>
  <si>
    <t>OPCIIPRES</t>
  </si>
  <si>
    <t>22/07/2026 11:10</t>
  </si>
  <si>
    <t>FRANCISCO JAVIER RODRIGUEZ PEREZ</t>
  </si>
  <si>
    <t>ROPF640615HZSDRR00</t>
  </si>
  <si>
    <t>22/07/2026 11:29</t>
  </si>
  <si>
    <t>HEMF621007MDFRRL02</t>
  </si>
  <si>
    <t>22/07/2026 11:33</t>
  </si>
  <si>
    <t>ELEAZAR DIAZ MAGAÑA</t>
  </si>
  <si>
    <t>DIME590823HSRZGL10</t>
  </si>
  <si>
    <t>22/07/2026 11:26</t>
  </si>
  <si>
    <t>VICTOR DE LA ROSA RODRIGUEZ</t>
  </si>
  <si>
    <t>RORV540102HVZSDC03</t>
  </si>
  <si>
    <t>22/07/2026 10:43</t>
  </si>
  <si>
    <t>JUAN CARLOS GUEVARA VILLA</t>
  </si>
  <si>
    <t>GUVJ600221HNLVLN07</t>
  </si>
  <si>
    <t>22/07/2026 11:41</t>
  </si>
  <si>
    <t>IRMA DIONISIO BAUTISTA</t>
  </si>
  <si>
    <t>DIBI690608MDFNTR09</t>
  </si>
  <si>
    <t>22/07/2026 11:51</t>
  </si>
  <si>
    <t>AGAPITO VALENCIA RANGEL</t>
  </si>
  <si>
    <t xml:space="preserve"> VARA490806HGTLNG08</t>
  </si>
  <si>
    <t>22/07/2026 10:58</t>
  </si>
  <si>
    <t>JESUS ORTIZ ESPÍNOSA</t>
  </si>
  <si>
    <t>OIEJ570415HCLRSS06</t>
  </si>
  <si>
    <t>22/07/2026 11:46</t>
  </si>
  <si>
    <t>EDMUNDO ANGELES LOPEZ</t>
  </si>
  <si>
    <t>AELE621116HDFNPD04</t>
  </si>
  <si>
    <t>JESUS MANUEL BOJORQUEZ BUSTAMANTE</t>
  </si>
  <si>
    <t>BOBJ650919HSRJSS02</t>
  </si>
  <si>
    <t>22/07/2026 12:04</t>
  </si>
  <si>
    <t>FERNANDA CASTILLO C/C</t>
  </si>
  <si>
    <t>JUAN PABLO</t>
  </si>
  <si>
    <t>22/07/2026 10:28</t>
  </si>
  <si>
    <t>JORGE RODRIGUEZ DERAS</t>
  </si>
  <si>
    <t xml:space="preserve">HORACIO ZAMORANO BUSTAMANTE </t>
  </si>
  <si>
    <t>ZABH620803HSRMSR09</t>
  </si>
  <si>
    <t>ARTURO RODRIGUEZ RESENDIZ</t>
  </si>
  <si>
    <t>RORA550313HTSDSR03</t>
  </si>
  <si>
    <t>22/07/2026 12:17</t>
  </si>
  <si>
    <t>IVAN DE JESUS VILLAVICENCIO MEZA</t>
  </si>
  <si>
    <t>VIMI800802HBSLZV14</t>
  </si>
  <si>
    <t>22/07/2026 12:23</t>
  </si>
  <si>
    <t>MIGUEL AGUSTIN ALBA ROBLES</t>
  </si>
  <si>
    <t>AARM570707HCLLBG08</t>
  </si>
  <si>
    <t>22/07/2026 12:32</t>
  </si>
  <si>
    <t>EZEQUIEL GONZALEZ OROZCO</t>
  </si>
  <si>
    <t>GOOE590925HJCNRZ00</t>
  </si>
  <si>
    <t>33 3022 4016</t>
  </si>
  <si>
    <t>22/07/2026 12:29</t>
  </si>
  <si>
    <t>VICTOR MANUEL PEREZ CARBALLO</t>
  </si>
  <si>
    <t>PECV600128HVZRRC01</t>
  </si>
  <si>
    <t>22/07/2026 12:36</t>
  </si>
  <si>
    <t>Enrique Aranda Ontiveros</t>
  </si>
  <si>
    <t>AAOE680725HGTRNN01</t>
  </si>
  <si>
    <t>22/07/2026 12:41</t>
  </si>
  <si>
    <t>RODRIGO GUZMAN GARCIA</t>
  </si>
  <si>
    <t>GUGR641016HVZZRD00</t>
  </si>
  <si>
    <t>22/07/2026 12:43</t>
  </si>
  <si>
    <t>JOSE SERGIO AVILA DE SANTIAGO</t>
  </si>
  <si>
    <t>AISS550215HDGVNR04</t>
  </si>
  <si>
    <t>22/07/2026 12:53</t>
  </si>
  <si>
    <t>ADELA PEREZ MARTINEZ</t>
  </si>
  <si>
    <t>PEMA580921MTSRRD09</t>
  </si>
  <si>
    <t>22/07/2026 12:46</t>
  </si>
  <si>
    <t>MANUEL ANGEL MURILLO TALAMANTES</t>
  </si>
  <si>
    <t>MUTM780806HCHRLN08</t>
  </si>
  <si>
    <t>22/07/2026 13:04</t>
  </si>
  <si>
    <t>HEBO640115HDFRRS07</t>
  </si>
  <si>
    <t>22/07/2026 13:11</t>
  </si>
  <si>
    <t>GERARDO CONTRERAS FLORES</t>
  </si>
  <si>
    <t>COLG610308HSPNPR03</t>
  </si>
  <si>
    <t>22/07/2026 13:32</t>
  </si>
  <si>
    <t>22/07/2026 13:53</t>
  </si>
  <si>
    <t>VICTOR MANUEL BORJA MACIAS</t>
  </si>
  <si>
    <t>BOMV580325HDFRCC02</t>
  </si>
  <si>
    <t>22/07/2026 13:54</t>
  </si>
  <si>
    <t>PEDRO VENEGAS CRUZ</t>
  </si>
  <si>
    <t>VECP650105HDFNRD06</t>
  </si>
  <si>
    <t>55 6410 1091</t>
  </si>
  <si>
    <t>22/07/2026 13:55</t>
  </si>
  <si>
    <t>CARLOS ERNESTO ANG RODRIGUEZ</t>
  </si>
  <si>
    <t>AXRC631107HDFNDR07</t>
  </si>
  <si>
    <t xml:space="preserve"> 722 513 4498</t>
  </si>
  <si>
    <t>22/07/2026 12:06</t>
  </si>
  <si>
    <t>RODRIGO SORIA GARCIA</t>
  </si>
  <si>
    <t>22/07/2026 13:51</t>
  </si>
  <si>
    <t>ABRAHAM MEJIA BRAVO</t>
  </si>
  <si>
    <t>MEBA620428HDFJRB07</t>
  </si>
  <si>
    <t>22/07/2026 12:16</t>
  </si>
  <si>
    <t xml:space="preserve">JOSE AGUSTIN ROA MARTINEZ </t>
  </si>
  <si>
    <t>ROMA500318HDFXRG07</t>
  </si>
  <si>
    <t>22/07/2026 14:07</t>
  </si>
  <si>
    <t>LORETO REYES GUTIERREZ</t>
  </si>
  <si>
    <t>REGL641210MSLYTR03</t>
  </si>
  <si>
    <t>CELIA JIMENEZ FLORES</t>
  </si>
  <si>
    <t>22/07/2026 14:14</t>
  </si>
  <si>
    <t>JUAN DIEGO TRINIDAD DELGADO</t>
  </si>
  <si>
    <t>TIDJ640504HVZRLN05</t>
  </si>
  <si>
    <t>22/07/2026 11:55</t>
  </si>
  <si>
    <t xml:space="preserve">Emma Sandoval Labra </t>
  </si>
  <si>
    <t>SALE640417MDFNBM07</t>
  </si>
  <si>
    <t>22/07/2026 14:30</t>
  </si>
  <si>
    <t>JOSE LUIS HERRERA RUIZ</t>
  </si>
  <si>
    <t>HERL610621HCLRZS04</t>
  </si>
  <si>
    <t>22/07/2026 14:05</t>
  </si>
  <si>
    <t>VERONICA DEL VALLE NARVAEZ</t>
  </si>
  <si>
    <t>VANV730715MVZLRR00</t>
  </si>
  <si>
    <t>22/07/2026 14:39</t>
  </si>
  <si>
    <t>NELVA</t>
  </si>
  <si>
    <t>PESN890110MOCRNL07</t>
  </si>
  <si>
    <t>22/07/2026 14:40</t>
  </si>
  <si>
    <t>JOSE ISMAEL CETZ PALMA</t>
  </si>
  <si>
    <t>CEPI751106HYNTLS00</t>
  </si>
  <si>
    <t>22/07/2026 14:50</t>
  </si>
  <si>
    <t>CARLOS ALBERTO FIERRO GAYTAN</t>
  </si>
  <si>
    <t>FIGC601121HSLRYR03</t>
  </si>
  <si>
    <t>22/07/2026 14:55</t>
  </si>
  <si>
    <t>ROSA MARLENE VILLANUEVA SANTOS</t>
  </si>
  <si>
    <t>VISR610906MYNLNS01</t>
  </si>
  <si>
    <t>22/07/2026 14:52</t>
  </si>
  <si>
    <t>ELITANIA CRUZ ROSAS</t>
  </si>
  <si>
    <t>CURE700421MMNRSL01</t>
  </si>
  <si>
    <t>22/07/2026 14:51</t>
  </si>
  <si>
    <t>MARGARITA CERVANTES</t>
  </si>
  <si>
    <t>CEXM640705MDFRXR07</t>
  </si>
  <si>
    <t>22/07/2026 14:54</t>
  </si>
  <si>
    <t>JOSE ENRIQUE FERNANDEZ PALOMO</t>
  </si>
  <si>
    <t>FEPE710107HDFRLN01</t>
  </si>
  <si>
    <t>56 1869 7621</t>
  </si>
  <si>
    <t>22/07/2026 14:58</t>
  </si>
  <si>
    <t>HANIA GARCIA C/C</t>
  </si>
  <si>
    <t>Jesus Garcia Vazquez</t>
  </si>
  <si>
    <t>GAVJ640701HNTRZS05</t>
  </si>
  <si>
    <t>22/07/2026 15:01</t>
  </si>
  <si>
    <t>MARINA ISABEL ROMAN CARREÑO</t>
  </si>
  <si>
    <t>ROCM710805MPLMRR05</t>
  </si>
  <si>
    <t>BARBARA MEJIA RUIZ</t>
  </si>
  <si>
    <t>MERB581204MDFJZR09</t>
  </si>
  <si>
    <t>22/07/2026 15:00</t>
  </si>
  <si>
    <t>JOSE MARTIN GONZALEZ CHOY</t>
  </si>
  <si>
    <t>GOCM630227HDFNHR03</t>
  </si>
  <si>
    <t>22/07/2026 12:19</t>
  </si>
  <si>
    <t>LUZ ALBERTO MARTINEZ IBARRA</t>
  </si>
  <si>
    <t>MAIL750501HNLRBZ09</t>
  </si>
  <si>
    <t>JORGE ANTONIO HERRERA MARTINEZ</t>
  </si>
  <si>
    <t>HEMJ570809HOCRRR00</t>
  </si>
  <si>
    <t>342 107 5262</t>
  </si>
  <si>
    <t>22/07/2026 14:31</t>
  </si>
  <si>
    <t>Fidel Garcia Hernandez</t>
  </si>
  <si>
    <t>GAHF440424HPLRRD02</t>
  </si>
  <si>
    <t>22/07/2026 15:09</t>
  </si>
  <si>
    <t>NICACIO MARTINEZ GARCIA</t>
  </si>
  <si>
    <t>MAGN651011HPLRRC01</t>
  </si>
  <si>
    <t>22/07/2026 15:11</t>
  </si>
  <si>
    <t>SALVADOR LARA RAMIREZ</t>
  </si>
  <si>
    <t>LARS440403HDFRML02</t>
  </si>
  <si>
    <t>22/07/2026 15:18</t>
  </si>
  <si>
    <t>22/07/2026 15:17</t>
  </si>
  <si>
    <t>ANTONIO MONTIEL PARRA</t>
  </si>
  <si>
    <t>22/07/2026 15:16</t>
  </si>
  <si>
    <t>MANUEL HUIZAR FAJARDO</t>
  </si>
  <si>
    <t>HUFM650708HZSZJN02</t>
  </si>
  <si>
    <t>ANITA BENITEZ CONTRERAS</t>
  </si>
  <si>
    <t>BECA531114MPLNNN04</t>
  </si>
  <si>
    <t>272 102 9322</t>
  </si>
  <si>
    <t>FRANCISCO RUBEN HERNANDEZ FELIX</t>
  </si>
  <si>
    <t>HEFF631116HSRRLR06</t>
  </si>
  <si>
    <t>22/07/2026 15:23</t>
  </si>
  <si>
    <t>Pedro Reyna Sandoval</t>
  </si>
  <si>
    <t>RESP640628HTSYND04</t>
  </si>
  <si>
    <t>22/07/2026 15:24</t>
  </si>
  <si>
    <t>ERNESTO LEON GONZALEZ</t>
  </si>
  <si>
    <t>LEGE640413HPLNNR06</t>
  </si>
  <si>
    <t>22/07/2026 14:56</t>
  </si>
  <si>
    <t>EMILIO GUILLERMO ROBLEDO TORRES</t>
  </si>
  <si>
    <t>ROTE580522HDFBRM04</t>
  </si>
  <si>
    <t>JOSE GUSTAVO LASCARRO VILLAFUERTE</t>
  </si>
  <si>
    <t>LAVG511210HDFSLS00</t>
  </si>
  <si>
    <t>22/07/2026 15:31</t>
  </si>
  <si>
    <t>Jesus Cobos Tovar</t>
  </si>
  <si>
    <t>COTJ570807HTSBVS02</t>
  </si>
  <si>
    <t>22/07/2026 15:26</t>
  </si>
  <si>
    <t>Sergio</t>
  </si>
  <si>
    <t>22/07/2026 15:36</t>
  </si>
  <si>
    <t>HIGINIO GONZALO MOYEDA MORALES</t>
  </si>
  <si>
    <t>MOMH600111HNLYRG00</t>
  </si>
  <si>
    <t>MA. CRISTINA CERVANTES CERVANTES</t>
  </si>
  <si>
    <t>CECC621025MMNRRR03</t>
  </si>
  <si>
    <t>MARIO</t>
  </si>
  <si>
    <t>22/07/2026 15:22</t>
  </si>
  <si>
    <t>LUIS CARLOS MORALES VILLARREAL</t>
  </si>
  <si>
    <t>MOVL621209HDFRLS09</t>
  </si>
  <si>
    <t>81 1543 9489</t>
  </si>
  <si>
    <t>22/07/2026 15:45</t>
  </si>
  <si>
    <t>Carlos Alberto Hammin del Alto</t>
  </si>
  <si>
    <t>HAAC510910HDFMLR07</t>
  </si>
  <si>
    <t>22/07/2026 12:25</t>
  </si>
  <si>
    <t>MARIA MAGDALENO SANCHEZ</t>
  </si>
  <si>
    <t>MASM711208MOCGNT08</t>
  </si>
  <si>
    <t>22/07/2026 15:51</t>
  </si>
  <si>
    <t>CLARA ANGELICA AGUILAR  ASCENCIO</t>
  </si>
  <si>
    <t>AUAC641217MDFGSL04</t>
  </si>
  <si>
    <t>22/07/2026 15:54</t>
  </si>
  <si>
    <t>Martin Baeza Corzo</t>
  </si>
  <si>
    <t>22/07/2026 15:39</t>
  </si>
  <si>
    <t>JESUS</t>
  </si>
  <si>
    <t>22/07/2026 15:25</t>
  </si>
  <si>
    <t>GUILLERMO REYES ANOTA</t>
  </si>
  <si>
    <t>REAG580519HOCYNL05</t>
  </si>
  <si>
    <t>22/07/2026 15:56</t>
  </si>
  <si>
    <t>VICTOR VEGA NOEGGERATH</t>
  </si>
  <si>
    <t>VENV570212HHGGGC06</t>
  </si>
  <si>
    <t>22/07/2026 16:10</t>
  </si>
  <si>
    <t>GERARDO RUIZ MALDONADO</t>
  </si>
  <si>
    <t>RUMG551113HMCZLR02</t>
  </si>
  <si>
    <t>55 5181 9665</t>
  </si>
  <si>
    <t>22/07/2026 15:27</t>
  </si>
  <si>
    <t>LAURA NELLY LOZANO CAVAZOS</t>
  </si>
  <si>
    <t>LOCL611019MNLZVR05</t>
  </si>
  <si>
    <t>22/07/2026 16:22</t>
  </si>
  <si>
    <t>JOSE ANGEL FRAGOSO ALVAREZ</t>
  </si>
  <si>
    <t>FAAA620802HCLRLN05</t>
  </si>
  <si>
    <t>844 499 4568</t>
  </si>
  <si>
    <t>22/07/2026 16:16</t>
  </si>
  <si>
    <t>MANUEL ROMERO MENDEZ</t>
  </si>
  <si>
    <t>ROMM610522HASMNN08</t>
  </si>
  <si>
    <t>22/07/2026 16:36</t>
  </si>
  <si>
    <t xml:space="preserve">OLIVIA ÁVILA MORENO </t>
  </si>
  <si>
    <t>22/07/2026 16:37</t>
  </si>
  <si>
    <t>BELLO FLORES MARTHA PATRICIA</t>
  </si>
  <si>
    <t>BEFM680914MDFLLR01</t>
  </si>
  <si>
    <t>22/07/2026 16:41</t>
  </si>
  <si>
    <t>Herminio Cruz reyes</t>
  </si>
  <si>
    <t>CURH630426HVZRYR03</t>
  </si>
  <si>
    <t>22/07/2026 16:42</t>
  </si>
  <si>
    <t>CELIA GARCIA LOPEZ</t>
  </si>
  <si>
    <t>GALC660606MSRRPL00</t>
  </si>
  <si>
    <t>22/07/2026 16:28</t>
  </si>
  <si>
    <t>MELQUIADES JUAREZ GARCIA</t>
  </si>
  <si>
    <t>JUGM651210HSPRRL02</t>
  </si>
  <si>
    <t>22/07/2026 16:24</t>
  </si>
  <si>
    <t>JUAN REYES LENDIZABAL</t>
  </si>
  <si>
    <t>RELJ640601HMCYNN08</t>
  </si>
  <si>
    <t>22/07/2026 16:38</t>
  </si>
  <si>
    <t xml:space="preserve">JOSE RAMON MARTIN GOMEZ RAMIREZ </t>
  </si>
  <si>
    <t>GORR651101HDFMMM07</t>
  </si>
  <si>
    <t>22/07/2026 16:49</t>
  </si>
  <si>
    <t>ANA MARIA VAZQUEZ CARVAJAL</t>
  </si>
  <si>
    <t>VXCA660723MSLZRN02</t>
  </si>
  <si>
    <t>22/07/2026 16:58</t>
  </si>
  <si>
    <t>PAOLA RODRIGUEZ C/C</t>
  </si>
  <si>
    <t xml:space="preserve"> Filiberto Hernández Cervantes</t>
  </si>
  <si>
    <t>22/07/2026 17:05</t>
  </si>
  <si>
    <t>DULCE FRANCO C/C</t>
  </si>
  <si>
    <t>YOLANDA PATRICIA ALVAREZ RODRIGUEZ</t>
  </si>
  <si>
    <t>AARY761118MNLLDL03</t>
  </si>
  <si>
    <t>22/07/2026 17:07</t>
  </si>
  <si>
    <t>56 1619 6142</t>
  </si>
  <si>
    <t>FIDEL CATARINO RUBIO CARRILLO</t>
  </si>
  <si>
    <t>RUCF600323HCHBRD00</t>
  </si>
  <si>
    <t>22/07/2026 17:12</t>
  </si>
  <si>
    <t>MARIA ISABEL CORONADO</t>
  </si>
  <si>
    <t>CODI570805MNLRLS03</t>
  </si>
  <si>
    <t>22/07/2026 17:09</t>
  </si>
  <si>
    <t>LEONARDO ZENEN PIZANO ESTRADA</t>
  </si>
  <si>
    <t>PIEL681105HMSZSN02</t>
  </si>
  <si>
    <t>956 489 2291</t>
  </si>
  <si>
    <t>22/07/2026 16:02</t>
  </si>
  <si>
    <t>J. JUAN ORTIZ CARMONA</t>
  </si>
  <si>
    <t>OICJ500812HGTRRN02</t>
  </si>
  <si>
    <t>22/07/2026 17:11</t>
  </si>
  <si>
    <t>ALFONSO MORALES ALVISO</t>
  </si>
  <si>
    <t>MOAA700803HCLRLL11</t>
  </si>
  <si>
    <t>22/07/2026 17:14</t>
  </si>
  <si>
    <t>GUILLERMO COTERO GUTIERREZ</t>
  </si>
  <si>
    <t>COGG640904HJCTTL08</t>
  </si>
  <si>
    <t>22/07/2026 17:20</t>
  </si>
  <si>
    <t>GLORIA LUZ OTAÑEZ CELIS</t>
  </si>
  <si>
    <t>OACG490328MDFTLL14</t>
  </si>
  <si>
    <t>22/07/2026 17:29</t>
  </si>
  <si>
    <t>VIRGINIA HERNANDEZ SANCHEZ</t>
  </si>
  <si>
    <t>HESV730414MSPRNR04</t>
  </si>
  <si>
    <t>22/07/2026 15:21</t>
  </si>
  <si>
    <t xml:space="preserve">AMBROSIO HERNANDEZ MENDEZ </t>
  </si>
  <si>
    <t>HEMA601207HGRRNM09</t>
  </si>
  <si>
    <t>22/07/2026 17:18</t>
  </si>
  <si>
    <t>GILBERTO GARDUÑO RODRIGUEZ</t>
  </si>
  <si>
    <t>GARG640204HNLRDL02</t>
  </si>
  <si>
    <t>22/07/2026 17:22</t>
  </si>
  <si>
    <t>GILBERTO AURELIO OCAMPO HERNANDEZ</t>
  </si>
  <si>
    <t>OAHG630925HVZCRL00</t>
  </si>
  <si>
    <t>ROSARIO NIETO</t>
  </si>
  <si>
    <t>22/07/2026 17:34</t>
  </si>
  <si>
    <t>JAVIER LIRA ESPINO</t>
  </si>
  <si>
    <t>LIEJ670322HCLRSV03</t>
  </si>
  <si>
    <t>22/07/2026 17:47</t>
  </si>
  <si>
    <t>J. CARMEN TORRES CALDERON</t>
  </si>
  <si>
    <t>TOCC590716HSPRLR02</t>
  </si>
  <si>
    <t>Blanca Alicia Cázares de León</t>
  </si>
  <si>
    <t>CALB601108MVZZNL03</t>
  </si>
  <si>
    <t>22/07/2026 17:59</t>
  </si>
  <si>
    <t>MA. LUZ DEL CARMEN FRAUSTO ESPARZA</t>
  </si>
  <si>
    <t>FAEL500722MZSRSZ00</t>
  </si>
  <si>
    <t>22/07/2026 18:23</t>
  </si>
  <si>
    <t>GABRIEL JIMENEZ ORTEGA</t>
  </si>
  <si>
    <t>JIOG760226HMCMRB03</t>
  </si>
  <si>
    <t>ALICIA ALVAREZ COLIN</t>
  </si>
  <si>
    <t>AACA650616MMCLLL05</t>
  </si>
  <si>
    <t>22/07/2026 18:43</t>
  </si>
  <si>
    <t>balbina</t>
  </si>
  <si>
    <t>BACB600331MVZSSL09</t>
  </si>
  <si>
    <t>MOISES RAMIREZ CASTRO</t>
  </si>
  <si>
    <t>RACM840120HDFMSS09</t>
  </si>
  <si>
    <t>22/07/2026 18:49</t>
  </si>
  <si>
    <t>MARIA DEL REFUGIO DIAZ CARMONA</t>
  </si>
  <si>
    <t>DICR641105MMSZRF03</t>
  </si>
  <si>
    <t>22/07/2026 19:01</t>
  </si>
  <si>
    <t>SERGIO MONTIEL CAUDILLO</t>
  </si>
  <si>
    <t>23/07/2026 08:14</t>
  </si>
  <si>
    <t>23/07/2026</t>
  </si>
  <si>
    <t>GABRIEL DOMINGUEZ TORRES</t>
  </si>
  <si>
    <t>DOTG670215HVZMRB08</t>
  </si>
  <si>
    <t>662 173 6264</t>
  </si>
  <si>
    <t>23/07/2026 08:18</t>
  </si>
  <si>
    <t>MARIA GUADALUPE AYALA GONZALEZ</t>
  </si>
  <si>
    <t>AAGG520405MDFYND06</t>
  </si>
  <si>
    <t>55 3409 3662</t>
  </si>
  <si>
    <t>23/07/2026 09:09</t>
  </si>
  <si>
    <t>NICOLASA AVILA RAMIREZ</t>
  </si>
  <si>
    <t>AIRN581206MDFVMC08</t>
  </si>
  <si>
    <t>55 6442 7400</t>
  </si>
  <si>
    <t>23/07/2026 09:51</t>
  </si>
  <si>
    <t xml:space="preserve">JOSE </t>
  </si>
  <si>
    <t>23/07/2026 10:08</t>
  </si>
  <si>
    <t>JUAN POLANCO GONZALEZ</t>
  </si>
  <si>
    <t>POGJ600612HNTLNN05</t>
  </si>
  <si>
    <t>23/07/2026 10:14</t>
  </si>
  <si>
    <t xml:space="preserve">María Isabel </t>
  </si>
  <si>
    <t>XOAI670820MYNLLS05</t>
  </si>
  <si>
    <t>23/07/2026 10:15</t>
  </si>
  <si>
    <t xml:space="preserve">JULIO CESAR GARCIA MARTINEZ </t>
  </si>
  <si>
    <t>GAMJ700614HMNRRL02</t>
  </si>
  <si>
    <t>23/07/2026 08:07</t>
  </si>
  <si>
    <t>JUAN JAIME GUERRERO COSTILLA</t>
  </si>
  <si>
    <t>GUCJ720707HCLRSN03</t>
  </si>
  <si>
    <t>23/07/2026 10:26</t>
  </si>
  <si>
    <t>JUAN MANUEL VASQUEZ ESQUIVEL</t>
  </si>
  <si>
    <t>VAEJ620729HCLSSN01</t>
  </si>
  <si>
    <t>23/07/2026 10:25</t>
  </si>
  <si>
    <t xml:space="preserve">GUADALUPE REYES GONZALEZ </t>
  </si>
  <si>
    <t>REGG710104MVZYND02</t>
  </si>
  <si>
    <t>23/07/2026 09:03</t>
  </si>
  <si>
    <t>MARCELO CRUZ GARCIA</t>
  </si>
  <si>
    <t>CUGM641008HVZRRR09</t>
  </si>
  <si>
    <t>23/07/2026 10:30</t>
  </si>
  <si>
    <t>MARTHA ELENA CASTILLO RAMIREZ</t>
  </si>
  <si>
    <t>CARM630917MNLSMR01</t>
  </si>
  <si>
    <t>23/07/2026 10:46</t>
  </si>
  <si>
    <t>MARIA TERESA URBINA DELFIN</t>
  </si>
  <si>
    <t>UIDT610527MCHRLR03</t>
  </si>
  <si>
    <t>23/07/2026 10:58</t>
  </si>
  <si>
    <t>ZOILA GUADALUPE PERALTA RABELO</t>
  </si>
  <si>
    <t>PERZ641212MTCRBL03</t>
  </si>
  <si>
    <t>23/07/2026 10:43</t>
  </si>
  <si>
    <t>JOSE LUIS GARCIA TINTA</t>
  </si>
  <si>
    <t>GATL630904HJCRNS09</t>
  </si>
  <si>
    <t>23/07/2026 11:13</t>
  </si>
  <si>
    <t>JACINTO GARZA ESTRADA</t>
  </si>
  <si>
    <t>GAEJ660911HCHRSC09</t>
  </si>
  <si>
    <t>MARTHA MAGDALENA PEREZ JUAREZ</t>
  </si>
  <si>
    <t>23/07/2026 11:23</t>
  </si>
  <si>
    <t xml:space="preserve">Claudia Valdez </t>
  </si>
  <si>
    <t>VALC750301MCLLPL05</t>
  </si>
  <si>
    <t>23/07/2026 11:10</t>
  </si>
  <si>
    <t>MA. DEL CARMEN MARTÍNEZ GUTIÉRREZ</t>
  </si>
  <si>
    <t>MAGC630823MDFRTR09</t>
  </si>
  <si>
    <t>23/07/2026 11:11</t>
  </si>
  <si>
    <t>JOSE DE JESUS GUEVARA GARCIA</t>
  </si>
  <si>
    <t>GUGJ610620HSPVRS07</t>
  </si>
  <si>
    <t>23/07/2026 11:15</t>
  </si>
  <si>
    <t>PABLO TORRES GALLARDO</t>
  </si>
  <si>
    <t>TOGP620718HGTRLB05</t>
  </si>
  <si>
    <t>23/07/2026 11:25</t>
  </si>
  <si>
    <t>CARLOS ZARZA</t>
  </si>
  <si>
    <t>ZAXC700529HDFRXR07</t>
  </si>
  <si>
    <t>ERASMO PEREZ RUIZ</t>
  </si>
  <si>
    <t>PERE650602HVZRZR09</t>
  </si>
  <si>
    <t>23/07/2026 11:30</t>
  </si>
  <si>
    <t>FERNANDO MARTINEZ AMESCUA</t>
  </si>
  <si>
    <t>MAAF611211HMCRMR05</t>
  </si>
  <si>
    <t>23/07/2026 11:40</t>
  </si>
  <si>
    <t>Ma. Elba Lozano Jimenez</t>
  </si>
  <si>
    <t>LOJE720201MASZML07</t>
  </si>
  <si>
    <t>23/07/2026 11:35</t>
  </si>
  <si>
    <t>ISABEL PEREZ</t>
  </si>
  <si>
    <t>23/07/2026 11:47</t>
  </si>
  <si>
    <t>MARCOS LENIN JUAREZ HERNANDEZ</t>
  </si>
  <si>
    <t>JUHM650504HDFRRR06</t>
  </si>
  <si>
    <t>23/07/2026 11:45</t>
  </si>
  <si>
    <t>MARTHA GRANADOS YEBRA</t>
  </si>
  <si>
    <t>GAYM600816MGTRBR00</t>
  </si>
  <si>
    <t>23/07/2026 11:37</t>
  </si>
  <si>
    <t>JORGE LUIS MARTINEZ CARDENAS</t>
  </si>
  <si>
    <t>MACJ610423HSRRRR06</t>
  </si>
  <si>
    <t>23/07/2026 11:49</t>
  </si>
  <si>
    <t>DANIEL HALEY GARCIA</t>
  </si>
  <si>
    <t>23/07/2026 12:14</t>
  </si>
  <si>
    <t>MARTIN SEGURA ROMERO</t>
  </si>
  <si>
    <t>SERM610130HCLGMR06</t>
  </si>
  <si>
    <t>871 145 8811</t>
  </si>
  <si>
    <t>23/07/2026 12:24</t>
  </si>
  <si>
    <t xml:space="preserve">RENE REFUGIO ARIAS OROZCO </t>
  </si>
  <si>
    <t>AIOR490719HJCRRN01</t>
  </si>
  <si>
    <t>23/07/2026 12:32</t>
  </si>
  <si>
    <t>VICENTE GUERRERO TEJEDA</t>
  </si>
  <si>
    <t>GUTV450414HPLRJC08</t>
  </si>
  <si>
    <t>23/07/2026 12:34</t>
  </si>
  <si>
    <t>Gloria Elena López González</t>
  </si>
  <si>
    <t>LOGG590513MMNPNL09</t>
  </si>
  <si>
    <t>23/07/2026 12:15</t>
  </si>
  <si>
    <t>SONIA ROJAS ALVAREZ</t>
  </si>
  <si>
    <t>ROAS730109MDFJLN02</t>
  </si>
  <si>
    <t>56 1179 3169</t>
  </si>
  <si>
    <t>23/07/2026 11:55</t>
  </si>
  <si>
    <t>OFELIA ACEVEDO NUÑO</t>
  </si>
  <si>
    <t>AENO700402MNTCXF01</t>
  </si>
  <si>
    <t>23/07/2026 12:08</t>
  </si>
  <si>
    <t>JOSE LUIS OSORIO HUERTA</t>
  </si>
  <si>
    <t>OOHL640227HDFSRS14</t>
  </si>
  <si>
    <t>23/07/2026 11:52</t>
  </si>
  <si>
    <t>INES OROPEZA JIMENEZ</t>
  </si>
  <si>
    <t>OOJI610420MPLRMN09</t>
  </si>
  <si>
    <t>23/07/2026 10:37</t>
  </si>
  <si>
    <t xml:space="preserve">GUADALUPE GUTIERREZ BLANCO </t>
  </si>
  <si>
    <t>GUBG710730MCHTLD06</t>
  </si>
  <si>
    <t>23/07/2026 12:38</t>
  </si>
  <si>
    <t>RAMIRO RANGEL SANTOS</t>
  </si>
  <si>
    <t>RASR541023HCLNNM02</t>
  </si>
  <si>
    <t>TORIBIO LARA GUERRA</t>
  </si>
  <si>
    <t>LAGT640416HSPRRR01</t>
  </si>
  <si>
    <t>23/07/2026 12:00</t>
  </si>
  <si>
    <t>MIGUEL ANGEL TELLEZ RAMIREZ</t>
  </si>
  <si>
    <t>TERM650312HDFLMG06</t>
  </si>
  <si>
    <t>23/07/2026 12:30</t>
  </si>
  <si>
    <t>ANTONIO RUIZ HUERTA</t>
  </si>
  <si>
    <t>RUHA600117HVZZRN02</t>
  </si>
  <si>
    <t>23/07/2026 11:26</t>
  </si>
  <si>
    <t>ELIZABETH MARTINEZ AGUILAR</t>
  </si>
  <si>
    <t>MAAE661004MCSRGL03</t>
  </si>
  <si>
    <t>23/07/2026 12:53</t>
  </si>
  <si>
    <t>Jorge Alberto Bacelis Arjona</t>
  </si>
  <si>
    <t>23/07/2026 12:59</t>
  </si>
  <si>
    <t>ALFONSO HERNANDEZ MELENDEZ</t>
  </si>
  <si>
    <t>HEMA601030HVZRLL05</t>
  </si>
  <si>
    <t>23/07/2026 12:49</t>
  </si>
  <si>
    <t>JOSE VENANCIO VILLAVICENCIO GONZALEZ</t>
  </si>
  <si>
    <t>VIGV630626HCHLNN01</t>
  </si>
  <si>
    <t>23/07/2026 13:13</t>
  </si>
  <si>
    <t>MIRTHA LIZBETH JUAREZ CAMARILLO</t>
  </si>
  <si>
    <t xml:space="preserve">S /N </t>
  </si>
  <si>
    <t>PEDRO AGUILAR HERNANDEZ</t>
  </si>
  <si>
    <t>AUHP660128HCLGRD09</t>
  </si>
  <si>
    <t>23/07/2026 13:31</t>
  </si>
  <si>
    <t xml:space="preserve">MARTIN ALVAREZ  VILLA </t>
  </si>
  <si>
    <t>AAVM580101HSRLLR04</t>
  </si>
  <si>
    <t>23/07/2026 13:44</t>
  </si>
  <si>
    <t>ROCIO IZGUERRA HERNANDEZ</t>
  </si>
  <si>
    <t>IUHR770220MMNZRC00</t>
  </si>
  <si>
    <t>23/07/2026 10:59</t>
  </si>
  <si>
    <t>ABENAMAR ZANCHEZ GARCIA</t>
  </si>
  <si>
    <t>ZAGA571002HCSNRB01</t>
  </si>
  <si>
    <t>23/07/2026 13:59</t>
  </si>
  <si>
    <t xml:space="preserve">ALEJANDRO </t>
  </si>
  <si>
    <t>23/07/2026 14:01</t>
  </si>
  <si>
    <t>J. Fermin Castro Morales</t>
  </si>
  <si>
    <t>CAMF570108HGTSRR04</t>
  </si>
  <si>
    <t>23/07/2026 13:22</t>
  </si>
  <si>
    <t>OSCAR MENDEZ MALDONADO</t>
  </si>
  <si>
    <t>MEMO631022HGRNLS04</t>
  </si>
  <si>
    <t>23/07/2026 14:08</t>
  </si>
  <si>
    <t>Mario Amezcua Hernández</t>
  </si>
  <si>
    <t>AEHM670410HMNMRR07</t>
  </si>
  <si>
    <t>23/07/2026 12:39</t>
  </si>
  <si>
    <t>VIRGINIA ALVAREZ ROJAS</t>
  </si>
  <si>
    <t>AARV620831MVZLJR04</t>
  </si>
  <si>
    <t>23/07/2026 14:19</t>
  </si>
  <si>
    <t>Silvia Noemi Tuz Kauil</t>
  </si>
  <si>
    <t>TUKS830802MYNZLL05</t>
  </si>
  <si>
    <t>ANTONIO CASILLAS MARTINEZ</t>
  </si>
  <si>
    <t>CAMA620613HNLSRN00</t>
  </si>
  <si>
    <t>23/07/2026 14:23</t>
  </si>
  <si>
    <t>MARTIN CRUZ CAUDILLO</t>
  </si>
  <si>
    <t>CUCM600201HMNRDR06</t>
  </si>
  <si>
    <t>23/07/2026 14:24</t>
  </si>
  <si>
    <t>J.ENCARNACION OLGUIN CASTRO</t>
  </si>
  <si>
    <t>OUCE641025HDFLSN01</t>
  </si>
  <si>
    <t>23/07/2026 12:42</t>
  </si>
  <si>
    <t>Teresa Ascencio González</t>
  </si>
  <si>
    <t>AEGT681202MDFSNR08</t>
  </si>
  <si>
    <t>23/07/2026 14:16</t>
  </si>
  <si>
    <t>YOLANDA LUNA CORTE</t>
  </si>
  <si>
    <t>LUCY540905MMCNRL00</t>
  </si>
  <si>
    <t>23/07/2026 14:31</t>
  </si>
  <si>
    <t>23/07/2026 14:33</t>
  </si>
  <si>
    <t xml:space="preserve">OMAR </t>
  </si>
  <si>
    <t>IAOO751228HMCSRM01</t>
  </si>
  <si>
    <t>23/07/2026 14:35</t>
  </si>
  <si>
    <t xml:space="preserve">ARTURO VARGAS MATA </t>
  </si>
  <si>
    <t>VAMA540425HNLRTR04</t>
  </si>
  <si>
    <t>23/07/2026 14:52</t>
  </si>
  <si>
    <t>JUAN VALADEZ DELGADO</t>
  </si>
  <si>
    <t>23/07/2026 14:58</t>
  </si>
  <si>
    <t xml:space="preserve">MA. LUISA ALVAREZ JUAREZ </t>
  </si>
  <si>
    <t>23/07/2026 15:01</t>
  </si>
  <si>
    <t>ENRIQUE ORTEGA SERRANO</t>
  </si>
  <si>
    <t>OESE601105HDFRRN08</t>
  </si>
  <si>
    <t>23/07/2026 15:02</t>
  </si>
  <si>
    <t xml:space="preserve">JOSE YANETH QUIROZ VALENZUELA </t>
  </si>
  <si>
    <t>QUVJ801225MSRRLS01</t>
  </si>
  <si>
    <t>23/07/2026 15:06</t>
  </si>
  <si>
    <t>Maria Luisa Ortiz Juarez</t>
  </si>
  <si>
    <t>OIJL651217MMCRRS08</t>
  </si>
  <si>
    <t>23/07/2026 14:22</t>
  </si>
  <si>
    <t>JORGE REYES MARQUEZ</t>
  </si>
  <si>
    <t>REMJ650121HCLYRR05</t>
  </si>
  <si>
    <t>23/07/2026 13:28</t>
  </si>
  <si>
    <t xml:space="preserve">JESUS MANUEL BADILLO RODRIGUEZ </t>
  </si>
  <si>
    <t>BARJ591128HCHDDS01</t>
  </si>
  <si>
    <t>23/07/2026 14:36</t>
  </si>
  <si>
    <t>MARIA LUISA GARCIA QUINTERO</t>
  </si>
  <si>
    <t>GAQL640321MTSRNS08</t>
  </si>
  <si>
    <t>MARIA ISELA BARRON RODRIGUEZ</t>
  </si>
  <si>
    <t>BARI690909MDFRDS07</t>
  </si>
  <si>
    <t>23/07/2026 14:21</t>
  </si>
  <si>
    <t xml:space="preserve">HILARIO ORTIZ RAMOS </t>
  </si>
  <si>
    <t>OIRH471103HSPRML08</t>
  </si>
  <si>
    <t>23/07/2026 15:17</t>
  </si>
  <si>
    <t>Virginia Arroyo Arvizu</t>
  </si>
  <si>
    <t>AOAV650116MGTRRR07</t>
  </si>
  <si>
    <t>23/07/2026 14:25</t>
  </si>
  <si>
    <t>VICENTE DE LA ROSA ROSAS</t>
  </si>
  <si>
    <t>RORV660405HVZSSC09</t>
  </si>
  <si>
    <t>23/07/2026 14:51</t>
  </si>
  <si>
    <t>Norma Alicia Valadez cano</t>
  </si>
  <si>
    <t>VACN660206MCHLNR06</t>
  </si>
  <si>
    <t>23/07/2026 15:27</t>
  </si>
  <si>
    <t>Armando Morales Martinez</t>
  </si>
  <si>
    <t>MOMA621210HDFRRR00</t>
  </si>
  <si>
    <t>23/07/2026 15:23</t>
  </si>
  <si>
    <t>CESAR ALEMAN ESTRADA</t>
  </si>
  <si>
    <t>AEEC650406HVZLSS07</t>
  </si>
  <si>
    <t>SERGIO BELTRAN BUSTOS</t>
  </si>
  <si>
    <t>BEBS610217HZSLSR04</t>
  </si>
  <si>
    <t>23/07/2026 15:25</t>
  </si>
  <si>
    <t>FERNANDO ABARCA GOMEZ</t>
  </si>
  <si>
    <t>AAGF690421HGRBMR02</t>
  </si>
  <si>
    <t>23/07/2026 12:36</t>
  </si>
  <si>
    <t>MANUELA JAIME GALVAN</t>
  </si>
  <si>
    <t>JAGM580123MCLMLN35</t>
  </si>
  <si>
    <t>23/07/2026 15:43</t>
  </si>
  <si>
    <t>PUCH660113MVZCSR02</t>
  </si>
  <si>
    <t>23/07/2026 15:40</t>
  </si>
  <si>
    <t>GUADALUPE RODOLFO GALVEZ CORDOVA</t>
  </si>
  <si>
    <t>GACG620304HDFLRD08</t>
  </si>
  <si>
    <t>anonymous</t>
  </si>
  <si>
    <t>RUTILIO GONZALEZ LOZA</t>
  </si>
  <si>
    <t>GOLR441113HJCNZT03</t>
  </si>
  <si>
    <t>5213322037721</t>
  </si>
  <si>
    <t>ROSA ANA IMELDA ROMO CAREAGA</t>
  </si>
  <si>
    <t>ROCR550504MDFMRS07</t>
  </si>
  <si>
    <t>5215517069313</t>
  </si>
  <si>
    <t>JOSE OROZCO BARRERA</t>
  </si>
  <si>
    <t>OOBR611031HQRRRM00</t>
  </si>
  <si>
    <t>Oscar Mayo Córdova</t>
  </si>
  <si>
    <t>JULIO CESAR PERALTA ZAMORANO</t>
  </si>
  <si>
    <t>PEZJ630414HSRRML02</t>
  </si>
  <si>
    <t>Jorge Enrique Manzo Moye</t>
  </si>
  <si>
    <t>15805705181</t>
  </si>
  <si>
    <t>ALFONSO ALVAREZ GODINEZ</t>
  </si>
  <si>
    <t>AAGA600919HGTLDL02</t>
  </si>
  <si>
    <t>Jose Antonio Velázquez Jiménez</t>
  </si>
  <si>
    <t>VEJA761028HSRLMN03</t>
  </si>
  <si>
    <t>JOSE DEL CARMEN CENICEROS MUÑOZ</t>
  </si>
  <si>
    <t>CEMC590712HDGNXR04</t>
  </si>
  <si>
    <t>871 280 1438</t>
  </si>
  <si>
    <t>YOLANDA AVILA HERNANDEZ</t>
  </si>
  <si>
    <t>7297192425</t>
  </si>
  <si>
    <t>IRMA LAURA CENICEROS ORTEGA</t>
  </si>
  <si>
    <t>31846411382</t>
  </si>
  <si>
    <t>Jesus Parra Morales</t>
  </si>
  <si>
    <t>PAMJ650329HDFRRS06</t>
  </si>
  <si>
    <t>MARIA DE JESUS VILLEGAS</t>
  </si>
  <si>
    <t>VIXJ620629MGTLXS14</t>
  </si>
  <si>
    <t>MARCELINA SANTES MORALES</t>
  </si>
  <si>
    <t>GABRIELA MARGARITA ARCE FLORES</t>
  </si>
  <si>
    <t>AEFG611019MPLRLB01</t>
  </si>
  <si>
    <t>FELIPE CORDOVA CARMONA</t>
  </si>
  <si>
    <t>COCF510510HZSRRL07</t>
  </si>
  <si>
    <t>ADELICIO HERNANDEZ MEDINA</t>
  </si>
  <si>
    <t>848</t>
  </si>
  <si>
    <t>ANA MARIA VALLE CARRILLO</t>
  </si>
  <si>
    <t xml:space="preserve">51897210483 </t>
  </si>
  <si>
    <t>2593.96</t>
  </si>
  <si>
    <t>MARTIN ROSAS PEREZ</t>
  </si>
  <si>
    <t>32896781864</t>
  </si>
  <si>
    <t>ROPM670313HPLSRR05</t>
  </si>
  <si>
    <t>RICARDO OLAVARRIETA DE ALBA</t>
  </si>
  <si>
    <t xml:space="preserve">	OAAR561019HGTLLC06</t>
  </si>
  <si>
    <t>CARLOS JAVIER PEREZ PEREGRINA</t>
  </si>
  <si>
    <t>01785515170</t>
  </si>
  <si>
    <t>PEPC550501HPLRRR09</t>
  </si>
  <si>
    <t>ALBERTO BARCENAS</t>
  </si>
  <si>
    <t>879</t>
  </si>
  <si>
    <t>Rosario Hernández Santamaría</t>
  </si>
  <si>
    <t>01483300263</t>
  </si>
  <si>
    <t>HESR421109MDFRNS00</t>
  </si>
  <si>
    <t>Armando Barrios Silva</t>
  </si>
  <si>
    <t>01775533217</t>
  </si>
  <si>
    <t>BASA550221HDFRLR07</t>
  </si>
  <si>
    <t>Ma. Magdalena Rangel Alvarez</t>
  </si>
  <si>
    <t>RAAM570602MCLNLG08</t>
  </si>
  <si>
    <t>ERNESTO CORTES GARCIA</t>
  </si>
  <si>
    <t>CXGE641011HPLRRR03</t>
  </si>
  <si>
    <t>OLGA JACQUELLINE CASTRO CORRAL</t>
  </si>
  <si>
    <t>CXCO580314MCHSRL04</t>
  </si>
  <si>
    <t>ROBLE GUADALUPE VILLAZANA GASPAR</t>
  </si>
  <si>
    <t>VIGR790514MCLLSB06</t>
  </si>
  <si>
    <t>ARCELIA MORIN CHARLES</t>
  </si>
  <si>
    <t>MOCA561120MNLRHR01</t>
  </si>
  <si>
    <t xml:space="preserve">JUANITA RUBI PIEDRA SORIANO </t>
  </si>
  <si>
    <t>PISJ851022MPLDRN00</t>
  </si>
  <si>
    <t>MA. DEL REFUGIO MALDONADO HERNANDEZ</t>
  </si>
  <si>
    <t>06806106461</t>
  </si>
  <si>
    <t>MAHR670618MDGLRF04</t>
  </si>
  <si>
    <t>55 6485 2346</t>
  </si>
  <si>
    <t>ALFREDO HERNANDEZ GOMEZ</t>
  </si>
  <si>
    <t>01623828520</t>
  </si>
  <si>
    <t>HEGA381028HGTRML01</t>
  </si>
  <si>
    <t>983 135 2485</t>
  </si>
  <si>
    <t>MANUEL CAYETANO PALAFOX</t>
  </si>
  <si>
    <t>06547330818</t>
  </si>
  <si>
    <t>CAPM530905HVZYLN01</t>
  </si>
  <si>
    <t>56 1683 3761</t>
  </si>
  <si>
    <t>RAMON LAZCANO REYES</t>
  </si>
  <si>
    <t xml:space="preserve">06796182811
</t>
  </si>
  <si>
    <t>LARR610901HDFZYM06</t>
  </si>
  <si>
    <t>LUZ MARIA GARCIA VALDIVIA</t>
  </si>
  <si>
    <t>51925901368</t>
  </si>
  <si>
    <t>GAVL581213MASRLZ08</t>
  </si>
  <si>
    <t>ROGELIO ESQUIVEL POSADAS</t>
  </si>
  <si>
    <t>19805400272</t>
  </si>
  <si>
    <t>EUPR530223HMCSSG06</t>
  </si>
  <si>
    <t>PABLO IGNACIO PORTILLO PEÑALOZA</t>
  </si>
  <si>
    <t>06725538026</t>
  </si>
  <si>
    <t>POPP550711HDFRXB04</t>
  </si>
  <si>
    <t>Julio Antonio Muñoz Potenciano</t>
  </si>
  <si>
    <t>MUPJ620424HTCXTL05</t>
  </si>
  <si>
    <t>MARIA GABRIELA NUÑEZ ZAVALA</t>
  </si>
  <si>
    <t>NUZG650318MMSXVB04</t>
  </si>
  <si>
    <t>MA. CLEMENTINA MARTINEZ OROZCO</t>
  </si>
  <si>
    <t>MAOC590824MGTRRL00</t>
  </si>
  <si>
    <t>JUAN FRANCISCO BUSTO RAMIREZ</t>
  </si>
  <si>
    <t>32866476974</t>
  </si>
  <si>
    <t>BURJ640920HCLSMN09</t>
  </si>
  <si>
    <t>JESUS ANGEL HERNANDEZ MARTINEZ</t>
  </si>
  <si>
    <t>J. JESUS VALLEJO FERNANDEZ</t>
  </si>
  <si>
    <t>VAFJ540505HGTLRS05</t>
  </si>
  <si>
    <t>JORGE RODRIGUEZ GUTIERRE</t>
  </si>
  <si>
    <t>ROGJ621031HDFDTR03</t>
  </si>
  <si>
    <t>GUILLERMO ISLAS ANAYA</t>
  </si>
  <si>
    <t>IAAG720210HMCSNL08</t>
  </si>
  <si>
    <t>ADRIAN DIAZ VAZQUEZ</t>
  </si>
  <si>
    <t>DIVA580407HSLZZD09</t>
  </si>
  <si>
    <t>VERONICA MARTINEZ ANTONIO</t>
  </si>
  <si>
    <t>07967702304</t>
  </si>
  <si>
    <t>MAAV790923MMCRNR05</t>
  </si>
  <si>
    <t xml:space="preserve">	ALVARO	MIJARES	SERRANO</t>
  </si>
  <si>
    <t>MISA650104HDGJRL05</t>
  </si>
  <si>
    <t>MARCOS DE LA CRUZ HERNANDEZ</t>
  </si>
  <si>
    <t>CUHM561117HHGRRR04</t>
  </si>
  <si>
    <t>HECTOR MARTINEZ GUTIERREZ</t>
  </si>
  <si>
    <t>03695260186</t>
  </si>
  <si>
    <t>MAGH521220HSPRTC02</t>
  </si>
  <si>
    <t xml:space="preserve">FABIOLA AZAHELA LOZOYA </t>
  </si>
  <si>
    <t>LOXF760122MCHZXB02</t>
  </si>
  <si>
    <t>LUCERO ANGELICA BARRIENTOS MORALES</t>
  </si>
  <si>
    <t>BAML650704MDFRRC08</t>
  </si>
  <si>
    <t>CANDIDO ROLANDO CRUZ SALOMON</t>
  </si>
  <si>
    <t>CUSC571011HYNRLN09</t>
  </si>
  <si>
    <t>LUIS MIGUEL CARRILLO MEJIA</t>
  </si>
  <si>
    <t>CAML580628HVZRJS06</t>
  </si>
  <si>
    <t>JUAN MENDOZA ARAIZA</t>
  </si>
  <si>
    <t>MEAJ720519HGTNRN07</t>
  </si>
  <si>
    <t>IGNACIO VICENCIO MARTINEZ</t>
  </si>
  <si>
    <t>VIMI641029HVZCRG01</t>
  </si>
  <si>
    <t>Miguel Enrique Molina López</t>
  </si>
  <si>
    <t>MOLM631124HSRLPG07</t>
  </si>
  <si>
    <t>MARIA DEL CARMEN CALETI CHAVEZ</t>
  </si>
  <si>
    <t>01725554792</t>
  </si>
  <si>
    <t>CACC560926MDFLHR07</t>
  </si>
  <si>
    <t>MARIA DEL PILAR DEL CASTILLO SANDOVAL</t>
  </si>
  <si>
    <t>0785706322</t>
  </si>
  <si>
    <t>CASP570210MDFSNL00</t>
  </si>
  <si>
    <t>ROSA MA. SOTO BELTRAN</t>
  </si>
  <si>
    <t>SOBR630423MCLTLS22</t>
  </si>
  <si>
    <t>Alicia</t>
  </si>
  <si>
    <t xml:space="preserve">16856409467 </t>
  </si>
  <si>
    <t>RAMON CERVANTES ISLAS</t>
  </si>
  <si>
    <t>05685102104</t>
  </si>
  <si>
    <t>CEIR510922HZSRSM04</t>
  </si>
  <si>
    <t>Guadalupe Rodriguez</t>
  </si>
  <si>
    <t>NEGE790508HDFRND02</t>
  </si>
  <si>
    <t>4288.14</t>
  </si>
  <si>
    <t>JOSE LUIS GUZMAN TORRES</t>
  </si>
  <si>
    <t>GUTL621102HSPZRS05</t>
  </si>
  <si>
    <t>ELIAS ORTALEJO HERNANDEZ</t>
  </si>
  <si>
    <t>OAHE630727HCHRRL08</t>
  </si>
  <si>
    <t>JOSE GONZALEZ CASTRO</t>
  </si>
  <si>
    <t>GOCM600426HCLNSR02</t>
  </si>
  <si>
    <t>LUIS ALEJANDRO BASTO ALCOCER</t>
  </si>
  <si>
    <t>BAAL640424HYNSLS06</t>
  </si>
  <si>
    <t>ELDA RAMOS GOMEZ</t>
  </si>
  <si>
    <t>RAGE610808MGRMML06</t>
  </si>
  <si>
    <t>ELVIRA BAUTISTA MARIN</t>
  </si>
  <si>
    <t>BAME800125MGRTRL01</t>
  </si>
  <si>
    <t>2269.22</t>
  </si>
  <si>
    <t>JOSE MARTINEZ ROMERO</t>
  </si>
  <si>
    <t>MARJ540319HMCRMS08</t>
  </si>
  <si>
    <t>DANTE MARTINEZ GARCIA</t>
  </si>
  <si>
    <t>01705486494</t>
  </si>
  <si>
    <t>MAGD540131HDFRRN03</t>
  </si>
  <si>
    <t>GABRIEL SANCHEZ MENDOZA</t>
  </si>
  <si>
    <t>SAMG660324HPLNNB01</t>
  </si>
  <si>
    <t xml:space="preserve">AIDA VERONICA DIAZ LANZAGORTA </t>
  </si>
  <si>
    <t>01786213924</t>
  </si>
  <si>
    <t>DILA620206MDFZND00</t>
  </si>
  <si>
    <t>JOSE LUIS GONZALEZ LEON</t>
  </si>
  <si>
    <t>GOLL630529HDFNNS06</t>
  </si>
  <si>
    <t xml:space="preserve">SANTA GUADALUPE GALAVIZ DELGADO </t>
  </si>
  <si>
    <t>01674520117</t>
  </si>
  <si>
    <t>GADS741212MSLLLN04</t>
  </si>
  <si>
    <t>2044.33</t>
  </si>
  <si>
    <t>MARTHA VELAZQUEZ LANDA</t>
  </si>
  <si>
    <t>VELM710223MVZLNR03</t>
  </si>
  <si>
    <t xml:space="preserve">JUAN MARTINEZ </t>
  </si>
  <si>
    <t>MALJ581005HSPRPN04</t>
  </si>
  <si>
    <t>ENRIQUE LEOS CAMPOS</t>
  </si>
  <si>
    <t>LECE591203HASSMN02</t>
  </si>
  <si>
    <t>MARIA ELENA MONTAÑEZ VILLA</t>
  </si>
  <si>
    <t>33865828397</t>
  </si>
  <si>
    <t>MOVE700812MCHNLL09</t>
  </si>
  <si>
    <t>Lorenzo huchin uc</t>
  </si>
  <si>
    <t>HUUL660707HCCCCR00</t>
  </si>
  <si>
    <t>BULMARO SANTOS GUZMAN</t>
  </si>
  <si>
    <t>SAGB580920HSLNZL07</t>
  </si>
  <si>
    <t>Ramon mejia zuñiga</t>
  </si>
  <si>
    <t>MEZR620831HDFJXM09</t>
  </si>
  <si>
    <t>GUILLERMINA NAPOLES RAMIREZ</t>
  </si>
  <si>
    <t>NARG660625MDFPML07</t>
  </si>
  <si>
    <t>GUSTAZO ZAPATA IBARRA</t>
  </si>
  <si>
    <t>ZAIG620217HCLPBS02</t>
  </si>
  <si>
    <t>JOSE DE JESUS VERDIN CASTILLO</t>
  </si>
  <si>
    <t>VECJ611008HJCRSS04</t>
  </si>
  <si>
    <t>Arcadio leal Hernández</t>
  </si>
  <si>
    <t xml:space="preserve">	LEHA430207HPLLRR07</t>
  </si>
  <si>
    <t>TIMOTEA</t>
  </si>
  <si>
    <t>AAMT550201MHGMTM05</t>
  </si>
  <si>
    <t>FELIPE CARDONA CASTILLO</t>
  </si>
  <si>
    <t>CACF581008HCLRSL04</t>
  </si>
  <si>
    <t>PABLO MARQUEZ MARTINEZ</t>
  </si>
  <si>
    <t>MAMP700626HNLRRB06</t>
  </si>
  <si>
    <t>ANTONIO ALBERTO REBOLLAR CAMACHO</t>
  </si>
  <si>
    <t>RECA630904HDFBMN09</t>
  </si>
  <si>
    <t>ARMANDO REYES RODRIGUEZ</t>
  </si>
  <si>
    <t>RERA591215HCLYDR07</t>
  </si>
  <si>
    <t>PAULINO CESAR MAULION</t>
  </si>
  <si>
    <t>CEMP710622HDFSLL00</t>
  </si>
  <si>
    <t>PABLO LOPEZ GARCIA</t>
  </si>
  <si>
    <t>71755608792</t>
  </si>
  <si>
    <t>LOGP560102HCSPRB05</t>
  </si>
  <si>
    <t>ATANACIO CAMACHO MORENO</t>
  </si>
  <si>
    <t>CAMA600503HTSMRT04</t>
  </si>
  <si>
    <t xml:space="preserve">IRMA </t>
  </si>
  <si>
    <t>LOFI600801MVZPLR02</t>
  </si>
  <si>
    <t>J. JESUS PEREZ ARREDONDO</t>
  </si>
  <si>
    <t>PEAJ710213HQTRRS05</t>
  </si>
  <si>
    <t>MARTIN OROZCO LOPEZ</t>
  </si>
  <si>
    <t>OOLM801103HJCRPR08</t>
  </si>
  <si>
    <t>Emilio cruz ramirez</t>
  </si>
  <si>
    <t>CURE630317HVZRMM00</t>
  </si>
  <si>
    <t>OMAR BAZALDUA SANDOVAL</t>
  </si>
  <si>
    <t>03664628454</t>
  </si>
  <si>
    <t>BASO460328HNLZNM03</t>
  </si>
  <si>
    <t>RAGA690425MCHMYN09</t>
  </si>
  <si>
    <t>Dulce María mendoza torres</t>
  </si>
  <si>
    <t>24684710940</t>
  </si>
  <si>
    <t>METD580906MVZNRL08</t>
  </si>
  <si>
    <t>Eric</t>
  </si>
  <si>
    <t>LOOE800705HPLPSR09</t>
  </si>
  <si>
    <t>JUAN DIRGO MENDEZ LOPEZ</t>
  </si>
  <si>
    <t xml:space="preserve">otilia </t>
  </si>
  <si>
    <t>FOLO600604MJCLRT00</t>
  </si>
  <si>
    <t>GUADALUPE VELDERRAIN RICARDEZ</t>
  </si>
  <si>
    <t>VERG640307MSRLCD15</t>
  </si>
  <si>
    <t>Salvador</t>
  </si>
  <si>
    <t>MAPS611224HDFRCL08</t>
  </si>
  <si>
    <t>EDUARDO OLIVARES MALDONADO</t>
  </si>
  <si>
    <t>OIME611013HMCLLD06</t>
  </si>
  <si>
    <t>JUAN HERNANDEZ GONZALEZ</t>
  </si>
  <si>
    <t>HEGJ660110HSPRNN06</t>
  </si>
  <si>
    <t>JESUS ESPINOZA AGUILAR</t>
  </si>
  <si>
    <t>EIAJ591224HTSSGS04</t>
  </si>
  <si>
    <t>Miguel Angel Valencia Perez</t>
  </si>
  <si>
    <t>VAPM600830HPLLRG07</t>
  </si>
  <si>
    <t xml:space="preserve">BALDOMERO NAVARRO ALVAREZ </t>
  </si>
  <si>
    <t>NAAB510112HJCVLL01</t>
  </si>
  <si>
    <t>FIDEL JAVIER ALVARADO CORDERO</t>
  </si>
  <si>
    <t>AACF700323HMCLRD07</t>
  </si>
  <si>
    <t>ROSA IZQUERDO ESPINOZA</t>
  </si>
  <si>
    <t>IUER680321MTSZSS02</t>
  </si>
  <si>
    <t>ERNESTO DELGADO DAVALOS</t>
  </si>
  <si>
    <t>DEDE661107HJCLVR04</t>
  </si>
  <si>
    <t>VICTOR BERNAL</t>
  </si>
  <si>
    <t>Gilberto Maldonado Guzman</t>
  </si>
  <si>
    <t>MAGG610420HTSLZL05</t>
  </si>
  <si>
    <t>GUADALUPE ZUÑIGA IZQUIERDO</t>
  </si>
  <si>
    <t>ZUIG561013MTCXZD09</t>
  </si>
  <si>
    <t>PRIMO RAMIREZ LUCIANO</t>
  </si>
  <si>
    <t>RALP610609HMNMCR06</t>
  </si>
  <si>
    <t>Manuel Zapata Yerena</t>
  </si>
  <si>
    <t>ZAYM651009HNLPRN06</t>
  </si>
  <si>
    <t>RICARDO LOERA BARRERAS</t>
  </si>
  <si>
    <t>LOBR530327HSRRRS00</t>
  </si>
  <si>
    <t xml:space="preserve">MARCO ANTONIO SANCHEZ ESPINOSA  </t>
  </si>
  <si>
    <t>SAEM721221HDFNSR05</t>
  </si>
  <si>
    <t>Osvaldo Sergio Ortega Pérez</t>
  </si>
  <si>
    <t>OEPO620805HPLRRS05</t>
  </si>
  <si>
    <t>Carlos Rabiela Lombell</t>
  </si>
  <si>
    <t>01785441971</t>
  </si>
  <si>
    <t>RALC540113HDFBMR06</t>
  </si>
  <si>
    <t xml:space="preserve">benjamín bravo bravo </t>
  </si>
  <si>
    <t>BABB840331HSPRRN09</t>
  </si>
  <si>
    <t>Irma Lopez Rodriguez</t>
  </si>
  <si>
    <t>LORI690715MZSPDR08</t>
  </si>
  <si>
    <t>13816435666</t>
  </si>
  <si>
    <t>ENRIQUE GARCIA HERNANDEZ</t>
  </si>
  <si>
    <t>GAHE630715HSPRRN09</t>
  </si>
  <si>
    <t xml:space="preserve">KIRA PERAZA PAZ </t>
  </si>
  <si>
    <t>PEPK550419MTCRZR02</t>
  </si>
  <si>
    <t>OTILIO LOPEZ OLVERA</t>
  </si>
  <si>
    <t>13725103165</t>
  </si>
  <si>
    <t>RENE CARDONA CARREON</t>
  </si>
  <si>
    <t>CACR591112HDGRRN00</t>
  </si>
  <si>
    <t>FEDERICO</t>
  </si>
  <si>
    <t>HEMF630302HDFRCD01</t>
  </si>
  <si>
    <t xml:space="preserve">JOSSE BENJAMIN GOMEZ BACILIO </t>
  </si>
  <si>
    <t>06775977397</t>
  </si>
  <si>
    <t>GOBB590331HMCMCN08</t>
  </si>
  <si>
    <t>Alberto Ortega Hernandez</t>
  </si>
  <si>
    <t>OEHA630228HTCRRL00</t>
  </si>
  <si>
    <t>CRISTINA RAMOS ROSALES</t>
  </si>
  <si>
    <t>RARC760617MPLMSR09</t>
  </si>
  <si>
    <t>MARIO LUNA RODRIGUEZ</t>
  </si>
  <si>
    <t>LURM590119HZSNDR05</t>
  </si>
  <si>
    <t>CARLOS BAEZ LEON</t>
  </si>
  <si>
    <t xml:space="preserve">	BALC511107HMNZNR03</t>
  </si>
  <si>
    <t>CARLOS SANCHEZ GONZALEZ</t>
  </si>
  <si>
    <t>SAGC571103HMNNNR02</t>
  </si>
  <si>
    <t>Juan Antonio de la Cruz Aguilar</t>
  </si>
  <si>
    <t>CUAJ640427HCLRGN00</t>
  </si>
  <si>
    <t xml:space="preserve">NAHUM N. OSEGUERA JUAREZ </t>
  </si>
  <si>
    <t>0-6755656763</t>
  </si>
  <si>
    <t>OEJN561124HOCSRH05</t>
  </si>
  <si>
    <t>JOSE LUIS CALLES CHAN</t>
  </si>
  <si>
    <t>CACL530206HTCLHS12</t>
  </si>
  <si>
    <t>SANTOS ENCINIA EGUIA</t>
  </si>
  <si>
    <t>43776110017</t>
  </si>
  <si>
    <t>SANB650212HCHNVN02</t>
  </si>
  <si>
    <t>REYNA</t>
  </si>
  <si>
    <t>04906304532</t>
  </si>
  <si>
    <t>ELIDA GOMEZ</t>
  </si>
  <si>
    <t>ANA MARIA CAMPOY CORRAL</t>
  </si>
  <si>
    <t xml:space="preserve">	CXCA490423MSRMRN02</t>
  </si>
  <si>
    <t>Antonio León Hernández</t>
  </si>
  <si>
    <t>LEHA631004HGTNRN07</t>
  </si>
  <si>
    <t xml:space="preserve">ANDRES OROPEZA LARA </t>
  </si>
  <si>
    <t>OOLA630907HPLRRN09</t>
  </si>
  <si>
    <t>AMADOR MERCADO MONTES</t>
  </si>
  <si>
    <t>41806301556</t>
  </si>
  <si>
    <t>MEMA630501HSPRNM04</t>
  </si>
  <si>
    <t xml:space="preserve">gabriel gonzalez ortega </t>
  </si>
  <si>
    <t>GOOG760324HJCNRB01</t>
  </si>
  <si>
    <t>SALVADOR VARGAS ROBLES</t>
  </si>
  <si>
    <t>01785989417</t>
  </si>
  <si>
    <t>VARS590212HDFRBL00</t>
  </si>
  <si>
    <t>JUAN RUBEN GUTIERREZ AVILA</t>
  </si>
  <si>
    <t>01765343767</t>
  </si>
  <si>
    <t>GUAJ530624HDFTVN05</t>
  </si>
  <si>
    <t>ABEL HUITRON MARTINEZ</t>
  </si>
  <si>
    <t>HUMA620119HDFTRB01</t>
  </si>
  <si>
    <t>FRANCISCO VILLALOBOS MEJIA</t>
  </si>
  <si>
    <t>VIMF581004HCLLJR08</t>
  </si>
  <si>
    <t>JUAN ANTONIO TORRES SALDAÑA</t>
  </si>
  <si>
    <t>TOSJ601108HNLRLN19</t>
  </si>
  <si>
    <t>MA. DEL SOCORRO YAÑEZ PEREZ</t>
  </si>
  <si>
    <t>YAPS660510MTSXRC04</t>
  </si>
  <si>
    <t>ABELARDO CASTRO TORRES</t>
  </si>
  <si>
    <t>CATA620829HYNSRB06</t>
  </si>
  <si>
    <t xml:space="preserve">MA. DE LOS ANGELES ALVAREZ  FLORES </t>
  </si>
  <si>
    <t>AAFA651018MCLLLN03</t>
  </si>
  <si>
    <t>ELISA ARTEAGA LOPEZ</t>
  </si>
  <si>
    <t xml:space="preserve">06786091857
</t>
  </si>
  <si>
    <t>AELE600419MHGRPL09</t>
  </si>
  <si>
    <t>FRANCISCO JAVIER GARCIA SALAZAR</t>
  </si>
  <si>
    <t>GASF650210HGTRLR06</t>
  </si>
  <si>
    <t>ANTONIO FRANCISCO MARTINEZ LIRA</t>
  </si>
  <si>
    <t>MALA600317HOCRRN04</t>
  </si>
  <si>
    <t>JUAN CARLOS CURIEL MARTINEZ</t>
  </si>
  <si>
    <t>01796009593</t>
  </si>
  <si>
    <t>CUMJ600421HDFRRN05</t>
  </si>
  <si>
    <t>JOSE ANTONIO FELGEUREZ CARDONA</t>
  </si>
  <si>
    <t>FECA510208HDFLRN00</t>
  </si>
  <si>
    <t>JOSE MANUEL CORTEZ TORRES</t>
  </si>
  <si>
    <t>COTJ630624HBCRRN03</t>
  </si>
  <si>
    <t>LUIS MAURO BALDERAS SUSTAITA</t>
  </si>
  <si>
    <t>BASL621228HNLLSS06</t>
  </si>
  <si>
    <t>CARLOS MARCIAL DIAZ</t>
  </si>
  <si>
    <t>MADC630204HOCRZR04</t>
  </si>
  <si>
    <t xml:space="preserve">	JESUS MANUEL</t>
  </si>
  <si>
    <t>AAPJ641101HNLLXS00</t>
  </si>
  <si>
    <t>J. CARLOS HERNANDEZ MERIDA</t>
  </si>
  <si>
    <t>HEMC581111HQTRRR07</t>
  </si>
  <si>
    <t>FRANCISCO JAVIER CASTILLO GAONA</t>
  </si>
  <si>
    <t>CAGF600426HTSSNR00</t>
  </si>
  <si>
    <t xml:space="preserve">JOSE DE JESUS PEÑA RIVERA </t>
  </si>
  <si>
    <t>PERJ650729HTSXVS09</t>
  </si>
  <si>
    <t>VICTOR ELOY JIMENEZ PARTIDA</t>
  </si>
  <si>
    <t>JIPV541202HNTMRC07</t>
  </si>
  <si>
    <t>RAMON ALBERTO ORTIZ RASCON</t>
  </si>
  <si>
    <t>OIRR660601HCHRSM05</t>
  </si>
  <si>
    <t>RAUL MEJIA GOMEZ</t>
  </si>
  <si>
    <t>MEGR631115HJCJML02</t>
  </si>
  <si>
    <t>Martin solis rodriguez</t>
  </si>
  <si>
    <t>SORM651211HVZLDR06</t>
  </si>
  <si>
    <t>Ana Bertha Salmerón Gómez</t>
  </si>
  <si>
    <t>MARTHA ALICIA PAVON HERNANDEZ</t>
  </si>
  <si>
    <t>PAHM600606MDFVRR03</t>
  </si>
  <si>
    <t>RODOLFO MARTÍNEZ TORRES</t>
  </si>
  <si>
    <t>MATR640814HMNRRD05</t>
  </si>
  <si>
    <t>ELBA</t>
  </si>
  <si>
    <t>GOHE660704MVZMRL09</t>
  </si>
  <si>
    <t xml:space="preserve">LEUCADIO FLORES MENDOZA </t>
  </si>
  <si>
    <t>FOML741209HVZLNC04</t>
  </si>
  <si>
    <t>Felipe de Jesus Navarro Soto</t>
  </si>
  <si>
    <t>SONF540205HNLTVL07</t>
  </si>
  <si>
    <t>VICTOR MANUEL ECHEVERRIA PEREZ</t>
  </si>
  <si>
    <t>EEPV530325HCSCRC05</t>
  </si>
  <si>
    <t>RUBEN FROILAN VILLAR PONCE</t>
  </si>
  <si>
    <t xml:space="preserve">	VIPR641216HBCLNB29</t>
  </si>
  <si>
    <t>MARIA GUADALUPE GARCIA PINEDA</t>
  </si>
  <si>
    <t>GAPG591211MDFRND08</t>
  </si>
  <si>
    <t>ANTONIO SAUCEDO GONZALEZ</t>
  </si>
  <si>
    <t>SAGA510310HCLCNN09</t>
  </si>
  <si>
    <t>MEML641226HDFNRS04</t>
  </si>
  <si>
    <t>ALVARO GUTIERRES AGUILAR</t>
  </si>
  <si>
    <t>GUAA660701HDFTGL03</t>
  </si>
  <si>
    <t>Miguel Angel Gómez Padillo</t>
  </si>
  <si>
    <t>GOPM660321HHGMDG06</t>
  </si>
  <si>
    <t>Ataulfo Sánchez López</t>
  </si>
  <si>
    <t>SALA621108HTCNPT00</t>
  </si>
  <si>
    <t>RAUL GOMEZ GONZALEZ</t>
  </si>
  <si>
    <t>GOGR640406HCLMNL14</t>
  </si>
  <si>
    <t>Juan Jiménez Ramírez</t>
  </si>
  <si>
    <t>JIRJ641105HCSMMN04</t>
  </si>
  <si>
    <t xml:space="preserve">MARÍA GUADALUPE CASTRO ORTEGA </t>
  </si>
  <si>
    <t>Amanda Cuervo riande</t>
  </si>
  <si>
    <t>CURA560811MVZRNM00</t>
  </si>
  <si>
    <t>AGRIPINO ESCALERA GONZALEZ</t>
  </si>
  <si>
    <t>EAGA600512HGRSNG04</t>
  </si>
  <si>
    <t>Elizabeth clark clark|</t>
  </si>
  <si>
    <t>CACE740917MSRLLL01</t>
  </si>
  <si>
    <t xml:space="preserve">	DENNIS ARIANA	JIMENEZ</t>
  </si>
  <si>
    <t>78128610363</t>
  </si>
  <si>
    <t>JIAD860927MOCMVN05</t>
  </si>
  <si>
    <t>JOSE LUIS CASTILLO PINZON</t>
  </si>
  <si>
    <t>CAPL631127HYNSNS01</t>
  </si>
  <si>
    <t xml:space="preserve">MARIA TERESA LOPEZ MARTINEZ </t>
  </si>
  <si>
    <t>LOMT611027MCLPRR01</t>
  </si>
  <si>
    <t>ANTONIA ROMERO DELGADO</t>
  </si>
  <si>
    <t>RODA441101MSRMLN03</t>
  </si>
  <si>
    <t>4332.01</t>
  </si>
  <si>
    <t>Roger Manuel Aguilar manzanilla</t>
  </si>
  <si>
    <t>ARMANDO CRUZ CALDERON</t>
  </si>
  <si>
    <t>CUCA630214HOCRLR03</t>
  </si>
  <si>
    <t>GABRIELA RANGEL DE LIRA</t>
  </si>
  <si>
    <t>RALG721019MASNRB03</t>
  </si>
  <si>
    <t>GERONIMO BULMARO SALMORAN BRUNO</t>
  </si>
  <si>
    <t>SABG610720HOCLRR04</t>
  </si>
  <si>
    <t>LAURA TELLEZ ROMERO</t>
  </si>
  <si>
    <t>TERL720922MDFLMR04</t>
  </si>
  <si>
    <t>CUCE601221MDFRRL06</t>
  </si>
  <si>
    <t>FRANCISCO JAVIER CRUZ MEDINA</t>
  </si>
  <si>
    <t>CUMF540527HMNEDE06</t>
  </si>
  <si>
    <t>Esperanza Rosario González Velasquez</t>
  </si>
  <si>
    <t>GOVE510801MOCNLS06</t>
  </si>
  <si>
    <t>HECTOR ALVARADO ZAVALA</t>
  </si>
  <si>
    <t>AAZH550414HDFLVC08</t>
  </si>
  <si>
    <t>GUSTAVO AVILA ROMAN</t>
  </si>
  <si>
    <t>43745911099</t>
  </si>
  <si>
    <t>AIRG590108HSPVMS06</t>
  </si>
  <si>
    <t>BECC710309MSLRRL07</t>
  </si>
  <si>
    <t>Fernando Moreno Garcia</t>
  </si>
  <si>
    <t>MOGF640718HDFRRR00</t>
  </si>
  <si>
    <t>JESUS HALLER RAMOS</t>
  </si>
  <si>
    <t>HARJ551107HDFLMS03</t>
  </si>
  <si>
    <t xml:space="preserve">JUAN JOSE BENITEZ PEREZ </t>
  </si>
  <si>
    <t>BEPJ640624HDFNRN02</t>
  </si>
  <si>
    <t>RUFINO GONZALEZ MONTALVO</t>
  </si>
  <si>
    <t>GOMR580823HVZNNF08</t>
  </si>
  <si>
    <t>FELIPE DEMETRIO CABELLO</t>
  </si>
  <si>
    <t>DECF640526HDFMBL02</t>
  </si>
  <si>
    <t>DANIEL ARELLANO ARGUELLES</t>
  </si>
  <si>
    <t>AEAD650322HVZRRN00</t>
  </si>
  <si>
    <t xml:space="preserve">MA BERTHA VEGA ESTRADA </t>
  </si>
  <si>
    <t>01775815325</t>
  </si>
  <si>
    <t>VEEB580714MGTGSR02</t>
  </si>
  <si>
    <t>JUAN MANUEL CALDERON Y ZAPATA</t>
  </si>
  <si>
    <t>CAZJ470225HPLLPN07</t>
  </si>
  <si>
    <t>CECILIO COMPARAN MIRALTA</t>
  </si>
  <si>
    <t>06745330818</t>
  </si>
  <si>
    <t>JOSE JUAN CORTES ALVAREZ</t>
  </si>
  <si>
    <t>COAJ600328HDFRLN05</t>
  </si>
  <si>
    <t xml:space="preserve"> Arturo Alcazar Mendiola</t>
  </si>
  <si>
    <t>AAMA690923HDFLNR03</t>
  </si>
  <si>
    <t>MIGUEL ANGEL GARCIA AGUIRRE</t>
  </si>
  <si>
    <t>GAAM450510HTCRGG06</t>
  </si>
  <si>
    <t>SAMUEL TREJO TALLEDOS</t>
  </si>
  <si>
    <t>TETS680617HDFRLM03</t>
  </si>
  <si>
    <t>ALMA ROSA BECERRA HERNANDEZ</t>
  </si>
  <si>
    <t>BEHA630116MNTCRL02</t>
  </si>
  <si>
    <t>VICTOR HUGO SERVIN VARGAS</t>
  </si>
  <si>
    <t>SEVV790808HDFRRC08</t>
  </si>
  <si>
    <t>JOSE INES ARIAS SEGURA</t>
  </si>
  <si>
    <t>AISI580123HGTRGN07</t>
  </si>
  <si>
    <t>GABRIEL ROLDAN DELGADO</t>
  </si>
  <si>
    <t>04856584380</t>
  </si>
  <si>
    <t>RODG650228HJCLLB07</t>
  </si>
  <si>
    <t>ADDA GABRIELA DIAZ HERNANDEZ</t>
  </si>
  <si>
    <t>84815801315</t>
  </si>
  <si>
    <t>DIHA580811MYNZRD07</t>
  </si>
  <si>
    <t>RAUL RAMOS MORENO</t>
  </si>
  <si>
    <t>RAMR611023HPLMRL09</t>
  </si>
  <si>
    <t>MARIANO MENDEZ</t>
  </si>
  <si>
    <t>JOSE LUIS BARRERA SANTES</t>
  </si>
  <si>
    <t>BASL600621HVZRNS09</t>
  </si>
  <si>
    <t xml:space="preserve"> Juan José De La Cruz Pérez Reyes.</t>
  </si>
  <si>
    <t>43785930447</t>
  </si>
  <si>
    <t>JOSE CARMEN ESCOBAR FLORES</t>
  </si>
  <si>
    <t>EOFC560426HGRSLR08</t>
  </si>
  <si>
    <t>Jose arturo leyva arcos</t>
  </si>
  <si>
    <t>LEAA730223HDFYRR00</t>
  </si>
  <si>
    <t>JOSE RAUL RAMIREZ JIMENEZ</t>
  </si>
  <si>
    <t>RAJR610812HPLMML04</t>
  </si>
  <si>
    <t xml:space="preserve">SERGIO RUBEN GAXIOLA CANO </t>
  </si>
  <si>
    <t>GACS640426HSLXNR00</t>
  </si>
  <si>
    <t>JORGE OCTAVIO ABURTO HERNANDEZ</t>
  </si>
  <si>
    <t>AUHJ641212HPLBRR03</t>
  </si>
  <si>
    <t>JOSE CARRASCO MORALES</t>
  </si>
  <si>
    <t>CAMJ591014HTCRRS05</t>
  </si>
  <si>
    <t>Juan de Dios Dorantes Márquez</t>
  </si>
  <si>
    <t>DOMJ590805HYNRRN04</t>
  </si>
  <si>
    <t>EPIFANIO LOPEZ OSORNIO</t>
  </si>
  <si>
    <t>LOOE650407HHGPSP06</t>
  </si>
  <si>
    <t>MARIA DEL ROSARIO CASTRO CORTEZ</t>
  </si>
  <si>
    <t>CACR670806MSRSRS04</t>
  </si>
  <si>
    <t>REYNA PULIDO HERNANDEZ</t>
  </si>
  <si>
    <t>PUHR590106MNLLRY06</t>
  </si>
  <si>
    <t>MARIA DOLORES MONTEJO ALCUDIA</t>
  </si>
  <si>
    <t>MOAD681214MTCNLL06</t>
  </si>
  <si>
    <t>ROGELIO OJEDA ESCOBEDO</t>
  </si>
  <si>
    <t>06815905887</t>
  </si>
  <si>
    <t>OEER590908HSPJSG06</t>
  </si>
  <si>
    <t>JUAN CARLOS MARQUEZ SEGURA</t>
  </si>
  <si>
    <t>MASJ770304HTSRGN04</t>
  </si>
  <si>
    <t>Gerardo arrona Peralta</t>
  </si>
  <si>
    <t>AOPG591214HOCRRR03</t>
  </si>
  <si>
    <t>Jose García romero</t>
  </si>
  <si>
    <t>GARJ650422HCLRMS07</t>
  </si>
  <si>
    <t xml:space="preserve">CATARINO LOPEZ HERRERA </t>
  </si>
  <si>
    <t>04745822587</t>
  </si>
  <si>
    <t>Maria de Jesús Puentes Favela</t>
  </si>
  <si>
    <t>Juan antonio gaytan torres</t>
  </si>
  <si>
    <t>GATJ640523HNLYRN00</t>
  </si>
  <si>
    <t>Francisco rivas franco</t>
  </si>
  <si>
    <t>RIFF720512HSRVRR05</t>
  </si>
  <si>
    <t>703</t>
  </si>
  <si>
    <t>APOLINAR ALBORTANTE CRUZ</t>
  </si>
  <si>
    <t>AOCA490909HVZLRP09</t>
  </si>
  <si>
    <t>José Antonio Garibay Esquivel</t>
  </si>
  <si>
    <t>GAEA520420HYNRSN04</t>
  </si>
  <si>
    <t>ARNULFO CORTEZ FLORES</t>
  </si>
  <si>
    <t>Carlos Ramírez Pérez</t>
  </si>
  <si>
    <t>RAPC721020HPLMRR04</t>
  </si>
  <si>
    <t>MANUEL ANTONIO RAMIREZ RUIZ</t>
  </si>
  <si>
    <t>RARM520210HCHMZN05</t>
  </si>
  <si>
    <t>Irineo Alejandro Mercado Gómez</t>
  </si>
  <si>
    <t>06815804619</t>
  </si>
  <si>
    <t>Gabriel Ramírez Morán</t>
  </si>
  <si>
    <t>RAMG650228HVZMRB00</t>
  </si>
  <si>
    <t>JESUS ISABEL PRECIADO ROSALES</t>
  </si>
  <si>
    <t>PERJ650708HJCRSS09</t>
  </si>
  <si>
    <t>silvia sebastian elvira</t>
  </si>
  <si>
    <t>SEES650822MVZBLL08</t>
  </si>
  <si>
    <t>Jose Martin Serrano Rocha</t>
  </si>
  <si>
    <t>SERM630616HGTRCR09</t>
  </si>
  <si>
    <t>Aurora Lourdes Landeros Orozco</t>
  </si>
  <si>
    <t>LAOA520212MDFNRR08</t>
  </si>
  <si>
    <t>JOSE MIGUEL LOPEZ MANSILLA</t>
  </si>
  <si>
    <t>LOMM580318HMNPNG16</t>
  </si>
  <si>
    <t>DANIEL</t>
  </si>
  <si>
    <t>OITD650710HMSRVN02</t>
  </si>
  <si>
    <t>LEOPOLDO</t>
  </si>
  <si>
    <t>RUVL770321HGTZLP01</t>
  </si>
  <si>
    <t>Martha Patricia Yañez Benítez</t>
  </si>
  <si>
    <t>Salvador Cabestany Ortiz</t>
  </si>
  <si>
    <t>CAOS560519HMNBRL07</t>
  </si>
  <si>
    <t>MIDRED ONAGA RODRIGUEZ</t>
  </si>
  <si>
    <t>OARM840828MDFNDL01</t>
  </si>
  <si>
    <t>REYMUNDO QUINTERO VEGA</t>
  </si>
  <si>
    <t>QUVR811211HDFNGY06</t>
  </si>
  <si>
    <t>VALENTINA ESPINO GONZALEZ</t>
  </si>
  <si>
    <t>33775801930</t>
  </si>
  <si>
    <t>EIGV580214MCHSNL02</t>
  </si>
  <si>
    <t>Hector Rivera hernandez</t>
  </si>
  <si>
    <t>31835701884</t>
  </si>
  <si>
    <t xml:space="preserve">narcizo </t>
  </si>
  <si>
    <t>Luz Gabriela Mendoza</t>
  </si>
  <si>
    <t>ARMANDO JOSE RAMON RUIZ HERRRA</t>
  </si>
  <si>
    <t>01664640768</t>
  </si>
  <si>
    <t>RUHA460901HDFZRR02</t>
  </si>
  <si>
    <t>JESUS JORGE CHAVARRIA TORRES</t>
  </si>
  <si>
    <t>43806104782</t>
  </si>
  <si>
    <t>CATJ610101HNLHRS05</t>
  </si>
  <si>
    <t>Miguel Angel Montes Quevedo</t>
  </si>
  <si>
    <t>MOQM600914HQTNVG02</t>
  </si>
  <si>
    <t>JULIO ANDRES MIRANDA REYES</t>
  </si>
  <si>
    <t>MIRJ641220HHGRYL01</t>
  </si>
  <si>
    <t>teodoro</t>
  </si>
  <si>
    <t>Otilia Oliva Lopez</t>
  </si>
  <si>
    <t>OILO510601MSPLPT01</t>
  </si>
  <si>
    <t>yolanda</t>
  </si>
  <si>
    <t>RIEY660115MCHVSL02</t>
  </si>
  <si>
    <t>Teresa Torres Vela</t>
  </si>
  <si>
    <t>TOVT641014MCLRLR05</t>
  </si>
  <si>
    <t>VIRGINIA GAMEZ CORONADO</t>
  </si>
  <si>
    <t>GACV680119MSRMRR07</t>
  </si>
  <si>
    <t>669</t>
  </si>
  <si>
    <t xml:space="preserve">PATRICIA </t>
  </si>
  <si>
    <t>RAUL GONZALEZ SALINAS</t>
  </si>
  <si>
    <t>GOSR601021HDFNLL09</t>
  </si>
  <si>
    <t>Munguía Olalde Antonio</t>
  </si>
  <si>
    <t>MOISES ANTONIO FELIX PULIDO</t>
  </si>
  <si>
    <t>06715255524</t>
  </si>
  <si>
    <t>FEPM520904HMNLLS01</t>
  </si>
  <si>
    <t xml:space="preserve">John </t>
  </si>
  <si>
    <t xml:space="preserve">ALFONSO SOLIS JUAREZ </t>
  </si>
  <si>
    <t>SOJA480702HOCLRL01</t>
  </si>
  <si>
    <t>Ascario Pérez Ortiz</t>
  </si>
  <si>
    <t>PEOA490626HOCRRS09</t>
  </si>
  <si>
    <t>Juan carlos jaramillo caballero</t>
  </si>
  <si>
    <t>JACJ611214HDFRBN04</t>
  </si>
  <si>
    <t>ROSARIO CRUZ GARCIA</t>
  </si>
  <si>
    <t>CUGR601013HVZRRS03</t>
  </si>
  <si>
    <t>IMELDA MARTINEZ RAMIREZ</t>
  </si>
  <si>
    <t>656947171690</t>
  </si>
  <si>
    <t>MARI500513MVZRMM04</t>
  </si>
  <si>
    <t>Alejandro Rosales Bretón</t>
  </si>
  <si>
    <t xml:space="preserve">	RXBA610524HPLSRL00</t>
  </si>
  <si>
    <t xml:space="preserve">Patricia Elizabeth Vazquez Sanchez </t>
  </si>
  <si>
    <t>01563820321</t>
  </si>
  <si>
    <t>VASP730914MTSZNT06</t>
  </si>
  <si>
    <t xml:space="preserve">PEDRO LARA CORNEJO </t>
  </si>
  <si>
    <t>LACP490629HHGRRD08</t>
  </si>
  <si>
    <t>PIO SILVA BRAVO</t>
  </si>
  <si>
    <t>SIBP500505HTSLRX07</t>
  </si>
  <si>
    <t>Anastacio Juarez Santiago</t>
  </si>
  <si>
    <t>JUSA630329HSPRNN04</t>
  </si>
  <si>
    <t>DANIEL MORALES LAGUNA</t>
  </si>
  <si>
    <t>MOLD750224HGTRGN06</t>
  </si>
  <si>
    <t>Cresencio sarabia barrientos</t>
  </si>
  <si>
    <t xml:space="preserve">	SABC651012HDGRRR04</t>
  </si>
  <si>
    <t>OSCAR PRIETO ARROYO</t>
  </si>
  <si>
    <t>06846610464</t>
  </si>
  <si>
    <t>PIAO660117HDFRRS09</t>
  </si>
  <si>
    <t>Martin Calzadilla Torres</t>
  </si>
  <si>
    <t>CATM630224HDFLRR05</t>
  </si>
  <si>
    <t>Juan carlos luna escogido</t>
  </si>
  <si>
    <t>LUEJ570228HTSNSN27</t>
  </si>
  <si>
    <t>Ismael Maldonado Espinosa</t>
  </si>
  <si>
    <t>MAEI570705HDFLSS02</t>
  </si>
  <si>
    <t>NORMA ANGELICA</t>
  </si>
  <si>
    <t>JUAN ZAMORA MORELOS</t>
  </si>
  <si>
    <t>ZAMJ630308HDFMRN09</t>
  </si>
  <si>
    <t>Faustino Matías Domínguez</t>
  </si>
  <si>
    <t>MADF680116HVZTMS07</t>
  </si>
  <si>
    <t>ANA MARIA CRISTINA  MARTINEZ GARCIA</t>
  </si>
  <si>
    <t>MAGA700724MDFRRN17</t>
  </si>
  <si>
    <t>CARLOS MANUEL RAMOS ARREOLA</t>
  </si>
  <si>
    <t>RAAC541225HJCMRR08</t>
  </si>
  <si>
    <t>Efrain causor Lopez</t>
  </si>
  <si>
    <t>CALE620108HMNSPF03</t>
  </si>
  <si>
    <t xml:space="preserve"> Silvia Flores</t>
  </si>
  <si>
    <t>JOSE FERNANDO ZEPEDA SOLIS</t>
  </si>
  <si>
    <t>ZESF640602HSRPLR00</t>
  </si>
  <si>
    <t>PABLO</t>
  </si>
  <si>
    <t>VEAJ580909MMCLLR02</t>
  </si>
  <si>
    <t>RAUL</t>
  </si>
  <si>
    <t>Marco Antonio Martín Aramburu Porras</t>
  </si>
  <si>
    <t>AAPM561106HDFRRR06</t>
  </si>
  <si>
    <t>Maria carmen</t>
  </si>
  <si>
    <t>CLEOTILDE MARTINEZ VELASCO</t>
  </si>
  <si>
    <t xml:space="preserve"> 78694512068</t>
  </si>
  <si>
    <t>MAVC540603MOCRLL15</t>
  </si>
  <si>
    <t>MARIA MERCEDES COVARRUBIAS</t>
  </si>
  <si>
    <t>COGM670815MJCVRR08</t>
  </si>
  <si>
    <t>RICARDO FIGUEROA</t>
  </si>
  <si>
    <t>YOLANDA GONZALEZ GOMEZ</t>
  </si>
  <si>
    <t>GOGY670415MTCNML08</t>
  </si>
  <si>
    <t xml:space="preserve"> José Alfredo Siqueiros Díaz</t>
  </si>
  <si>
    <t>ELEUTERIO ROMAN ALEJANDRE</t>
  </si>
  <si>
    <t>ROAE580418HVZMLL08</t>
  </si>
  <si>
    <t>MA. GUADALUPE VELIZ CHAIRES</t>
  </si>
  <si>
    <t>VECG601224MCLLHD10</t>
  </si>
  <si>
    <t>754.14</t>
  </si>
  <si>
    <t>DEMETRIO ESPINOSA RUIZ</t>
  </si>
  <si>
    <t>EIRD621222HNLSZM09</t>
  </si>
  <si>
    <t>FRANCISCO JAVIER CONTRERAS MEDINA</t>
  </si>
  <si>
    <t>COMF591203HCCNDR01</t>
  </si>
  <si>
    <t>INES LOPEZ DIAS</t>
  </si>
  <si>
    <t>LODI630219MDFPZN03</t>
  </si>
  <si>
    <t>Norberto rodriguez aguilar</t>
  </si>
  <si>
    <t>ROAN740606HDFDGR06</t>
  </si>
  <si>
    <t>VICTOR MANUEL RANGEL</t>
  </si>
  <si>
    <t>12876322822</t>
  </si>
  <si>
    <t>CUMM530314HTCRNG09</t>
  </si>
  <si>
    <t>MILAGROS SALAZAR CAZARES</t>
  </si>
  <si>
    <t>SACM790603MCLLZL18</t>
  </si>
  <si>
    <t>FRANCISCO HERNANDEZ GUZMAN</t>
  </si>
  <si>
    <t>HEGF631216HDFRZR09</t>
  </si>
  <si>
    <t>RENE CARRILLO SILVA</t>
  </si>
  <si>
    <t>CASR591013HMNRLN03</t>
  </si>
  <si>
    <t>RENE RODRIGUEZ LIMONES</t>
  </si>
  <si>
    <t>32907104619</t>
  </si>
  <si>
    <t>ROLR710128HCLDMN03</t>
  </si>
  <si>
    <t>PEDRO VERA HERNANDEZ</t>
  </si>
  <si>
    <t>VEHP640222HPLRRD03</t>
  </si>
  <si>
    <t>ANTONIO DIAZ DOMINGUEZ</t>
  </si>
  <si>
    <t>DIDA590708HHGZMN08</t>
  </si>
  <si>
    <t>AMPARO AGUILAR SANTOS</t>
  </si>
  <si>
    <t>AUSA621223MNLGNM07</t>
  </si>
  <si>
    <t>José Emilio Díaz García</t>
  </si>
  <si>
    <t xml:space="preserve">	DIGE640821HMCZRM01</t>
  </si>
  <si>
    <t>MARTHA GABRIELA FELGUEREZ CARDONA</t>
  </si>
  <si>
    <t>FECM610224MDFLRR07</t>
  </si>
  <si>
    <t>RUBEN CAMPOS HERRERA</t>
  </si>
  <si>
    <t>CAHR640217HDFMRB09</t>
  </si>
  <si>
    <t>AMALIA</t>
  </si>
  <si>
    <t>32735538723</t>
  </si>
  <si>
    <t>Juan José Padua Navarrete</t>
  </si>
  <si>
    <t>PANJ650227HGRDVN07</t>
  </si>
  <si>
    <t>ANGEL JESUS GARCIA VALENZUELA</t>
  </si>
  <si>
    <t>GAVA721212HSLRLN06</t>
  </si>
  <si>
    <t>Carmen Alicia Cervantes Gutierrez</t>
  </si>
  <si>
    <t>CEGC670613MJCRTR07</t>
  </si>
  <si>
    <t>JUAN LUIS BRAVO MAGAÑA</t>
  </si>
  <si>
    <t>BAMJ840508HMNRGN03</t>
  </si>
  <si>
    <t>Gerardo García Caballero</t>
  </si>
  <si>
    <t>GACG630522HCHRBR12</t>
  </si>
  <si>
    <t xml:space="preserve">DANIEL GOMEZ GONZALEZ </t>
  </si>
  <si>
    <t>GOGD560103HTSMNN09</t>
  </si>
  <si>
    <t>ROBERTO URIBE GARCIA</t>
  </si>
  <si>
    <t>UIGR640930HSLRRB05</t>
  </si>
  <si>
    <t>FELIPE AGUIRRE CAMPOS</t>
  </si>
  <si>
    <t>62775818101</t>
  </si>
  <si>
    <t>AUCF580411HTLGML06</t>
  </si>
  <si>
    <t>MARTIN MEDELLIN GONZALEZ</t>
  </si>
  <si>
    <t>01725682494</t>
  </si>
  <si>
    <t>MEGM561111HDFDNR02</t>
  </si>
  <si>
    <t>32816359650</t>
  </si>
  <si>
    <t>ARTURO ORTEGA PONCE</t>
  </si>
  <si>
    <t>OEPA550115HJCRNR08</t>
  </si>
  <si>
    <t>JUAN VALENCIA LEON</t>
  </si>
  <si>
    <t>62816507941</t>
  </si>
  <si>
    <t>VALJ650910HPLLNN05</t>
  </si>
  <si>
    <t>NELZAHUALCOYOTL ALVAREZ CARMONA</t>
  </si>
  <si>
    <t>AACN630418HGRLRT19</t>
  </si>
  <si>
    <t xml:space="preserve"> Rocio Quintero Valdez</t>
  </si>
  <si>
    <t>QUVR720127MDFNLC05</t>
  </si>
  <si>
    <t>ROMAN RAMOS PINEDO</t>
  </si>
  <si>
    <t>RAPR620627HZSMNM01</t>
  </si>
  <si>
    <t>ANGEL FLORES GARCIA</t>
  </si>
  <si>
    <t>FOGA631006HMCLRN02</t>
  </si>
  <si>
    <t>Ester Jadhasa García Góngora</t>
  </si>
  <si>
    <t>01917403451</t>
  </si>
  <si>
    <t>GAGE791213MDFRNS04</t>
  </si>
  <si>
    <t xml:space="preserve">benito priciliano hernandez jarquin </t>
  </si>
  <si>
    <t>10836204643</t>
  </si>
  <si>
    <t>MARIA GUADALUPE DOMINGUEZ HERNANDEZ</t>
  </si>
  <si>
    <t>DOHG600928MNLMRD00</t>
  </si>
  <si>
    <t>2511.76</t>
  </si>
  <si>
    <t>SERGIO DAVID VALENCIA BARRIENTOS</t>
  </si>
  <si>
    <t>VABS640322HDFLRR08</t>
  </si>
  <si>
    <t>FRANCISCO VELA BASURTO</t>
  </si>
  <si>
    <t>VEBF600510HCHLSR09</t>
  </si>
  <si>
    <t>HECTOR ZUÑIGA GARCIA</t>
  </si>
  <si>
    <t>ZUGH660501HNLXRC07</t>
  </si>
  <si>
    <t>Roberto Gámez Guerra</t>
  </si>
  <si>
    <t>GAGR520405HCLMRB00</t>
  </si>
  <si>
    <t>JUAN CARLOS BAUTISTA JIMENEZ</t>
  </si>
  <si>
    <t>BAJJ631222HNTTMN04</t>
  </si>
  <si>
    <t>Guadalupe Escalante García</t>
  </si>
  <si>
    <t>EAGG620228MNLSRD09</t>
  </si>
  <si>
    <t>Rocio Idalia Riojas Saucedo</t>
  </si>
  <si>
    <t>RISR790603MNLJCC06</t>
  </si>
  <si>
    <t>2059.03</t>
  </si>
  <si>
    <t>José Antonio Valdez Aranza</t>
  </si>
  <si>
    <t>VAAA7505HDFLRN08</t>
  </si>
  <si>
    <t>GUADALUPE JIMENEZ NORBERTO</t>
  </si>
  <si>
    <t>78815003849</t>
  </si>
  <si>
    <t>JING601209MOCMRD01</t>
  </si>
  <si>
    <t>FERNANDO FLORES</t>
  </si>
  <si>
    <t>FOCF610218HJCLRR05</t>
  </si>
  <si>
    <t>Mario Garcia Rodriguez</t>
  </si>
  <si>
    <t>GARM540815HVZRDR15</t>
  </si>
  <si>
    <t>ALFREDO CABALLERO MORALES</t>
  </si>
  <si>
    <t>CAMA590722HCSBRL06</t>
  </si>
  <si>
    <t>MARIA DE LOS ANGELES ORTIZ MARTINEZ</t>
  </si>
  <si>
    <t xml:space="preserve">Luz del alba hernandez zapata </t>
  </si>
  <si>
    <t>83846721443</t>
  </si>
  <si>
    <t>JOSE ARTURO TORRES ZEPEDA</t>
  </si>
  <si>
    <t>54796096029</t>
  </si>
  <si>
    <t>TOZA600224HJCRPR08</t>
  </si>
  <si>
    <t xml:space="preserve">ROBERTO APOLO OCAMPO ARREOLA </t>
  </si>
  <si>
    <t>OAAR530206HQTCRB05</t>
  </si>
  <si>
    <t>VICTOR JAVIER HERNANDEZ LEYVA</t>
  </si>
  <si>
    <t>33786206079</t>
  </si>
  <si>
    <t>HELV630602HCHRYC05</t>
  </si>
  <si>
    <t>JUAN FIDENCIO MAGAÑA SALAZAR</t>
  </si>
  <si>
    <t>MASJ621116HVZGLN09</t>
  </si>
  <si>
    <t>ARMANDO BERMUDEZ MARMOLEJO</t>
  </si>
  <si>
    <t>BEMA660820HDGRRR03</t>
  </si>
  <si>
    <t xml:space="preserve">ALFONSO BARAJAS VAZQUEZ </t>
  </si>
  <si>
    <t>33826625304</t>
  </si>
  <si>
    <t>BAVA660123HCHRZL01</t>
  </si>
  <si>
    <t xml:space="preserve">MARIA DE LA CRUZ GUILLEN ORTIZ </t>
  </si>
  <si>
    <t>11685990422</t>
  </si>
  <si>
    <t>GUOC520111MDFLRR01</t>
  </si>
  <si>
    <t>PEDRO RAMIREZ HERNANDEZ</t>
  </si>
  <si>
    <t>RAHP620629HNLMRD03</t>
  </si>
  <si>
    <t>JESUS JOSE CHAVEZ BOLAÑOS</t>
  </si>
  <si>
    <t>JOAQUIN GUTIERREZ TELLEZ</t>
  </si>
  <si>
    <t>GUTJ540816HTSTLQ01</t>
  </si>
  <si>
    <t>Eduardo Morales Garza.</t>
  </si>
  <si>
    <t>MOGE580211HTSRRD07</t>
  </si>
  <si>
    <t>LUIS ROJAS RIOS</t>
  </si>
  <si>
    <t>RORL530227HVZJSS00</t>
  </si>
  <si>
    <t>JESUS PARDO TORRES</t>
  </si>
  <si>
    <t>41745707970</t>
  </si>
  <si>
    <t>PATJ570908HSPRRS01</t>
  </si>
  <si>
    <t>RODOLFO MARTINEZ RUIZ</t>
  </si>
  <si>
    <t>MARR650510HCLRZD03</t>
  </si>
  <si>
    <t>VIRGINIA LARA GUARNEROS</t>
  </si>
  <si>
    <t>LAGV621016MDFRRR07</t>
  </si>
  <si>
    <t>ABEL RIVERA</t>
  </si>
  <si>
    <t xml:space="preserve">José Roberto Saldaña Sánchez </t>
  </si>
  <si>
    <t>SASR621121HSPLNB07</t>
  </si>
  <si>
    <t>LEOPOLDO PULQUERO ROMERO</t>
  </si>
  <si>
    <t>PURL601115HDFLMP02</t>
  </si>
  <si>
    <t>Ma Jesus Duarte Gonzalez</t>
  </si>
  <si>
    <t>GODJ560426MGTNRS06</t>
  </si>
  <si>
    <t>ESMERALDA MACIAS PIÑA</t>
  </si>
  <si>
    <t>MAPE730928MJCCXS06</t>
  </si>
  <si>
    <t>LUIS GERARDO GOMEZ BARRAGAN</t>
  </si>
  <si>
    <t>GOBL560922HTSMRS02</t>
  </si>
  <si>
    <t>HUGO ALEJANDRO LOPEZ RENDON</t>
  </si>
  <si>
    <t>LORH640601HNLPNG00</t>
  </si>
  <si>
    <t>Gonzalo Martínez Castañeda</t>
  </si>
  <si>
    <t>MACG690110HDFRSN08</t>
  </si>
  <si>
    <t>RICARDO VALENZUELA ROMERO</t>
  </si>
  <si>
    <t>VARR740315HSRLMC02</t>
  </si>
  <si>
    <t>CUTBERTO OSANTE CARRASCO</t>
  </si>
  <si>
    <t>OACC510927HPLSRT02</t>
  </si>
  <si>
    <t>VICENTE MAYA VELAZQUEZ</t>
  </si>
  <si>
    <t>MAVV610417HMNYLC05</t>
  </si>
  <si>
    <t>ALFREDO ESPINOZA GONZALEZ</t>
  </si>
  <si>
    <t>016245295988</t>
  </si>
  <si>
    <t>EIGA450320HHGSNL01</t>
  </si>
  <si>
    <t>ROSARIO USTAQUIO ESPINOZA LOPEZ</t>
  </si>
  <si>
    <t>EILR600920HSLSPS02</t>
  </si>
  <si>
    <t>Gerardo Nieto Hernandez</t>
  </si>
  <si>
    <t>NIHG580924HPLTRR09</t>
  </si>
  <si>
    <t>ESPERANZA MARTINEZ CISNEROS</t>
  </si>
  <si>
    <t xml:space="preserve">31684310829
</t>
  </si>
  <si>
    <t>MASE480908MZSRSS04</t>
  </si>
  <si>
    <t>Ramón Moreno Gomez</t>
  </si>
  <si>
    <t>MOGR650629HBCRMM08</t>
  </si>
  <si>
    <t>Maria Fimbres Noriega</t>
  </si>
  <si>
    <t>FINM590324MSRMRR07</t>
  </si>
  <si>
    <t>Jose Solis Hernandez</t>
  </si>
  <si>
    <t>SOHJ590124HSRLRS01</t>
  </si>
  <si>
    <t>ENRIQUE CORTEZ ALVARADO</t>
  </si>
  <si>
    <t>COAE610706HSPRLN03</t>
  </si>
  <si>
    <t>apolonia</t>
  </si>
  <si>
    <t>FEGA690209MHGRDP01</t>
  </si>
  <si>
    <t>1913.52</t>
  </si>
  <si>
    <t>jose gerardo</t>
  </si>
  <si>
    <t>GOLG650628HSPNPR06</t>
  </si>
  <si>
    <t>MARIA DE LA LUZ GONZALEZ PEREZ</t>
  </si>
  <si>
    <t>43926504648</t>
  </si>
  <si>
    <t>GOLP650719MNLNRZ01</t>
  </si>
  <si>
    <t>JOSE MARIA MOROYOQUI FLORES</t>
  </si>
  <si>
    <t>MOFM590815HSRRLR04</t>
  </si>
  <si>
    <t xml:space="preserve">AMADO </t>
  </si>
  <si>
    <t>JAIME ESTRADA GALLEGOS</t>
  </si>
  <si>
    <t>EAGJ520528HDFSLM02</t>
  </si>
  <si>
    <t>ALFREDO DROUAILLET RICO</t>
  </si>
  <si>
    <t>DORA611129HVZRCL05</t>
  </si>
  <si>
    <t>GERARDO MAYA CAMARENA</t>
  </si>
  <si>
    <t>MACG550106HMNYMR07</t>
  </si>
  <si>
    <t>MIGUEL ANGEL VALENCIA PEREZ</t>
  </si>
  <si>
    <t>Fernando Rivero Montoya</t>
  </si>
  <si>
    <t>RIMF650505HMCVNR06</t>
  </si>
  <si>
    <t>LEONCIO AURELIANO VAZQUEZ RAMIREZ</t>
  </si>
  <si>
    <t>37966301154</t>
  </si>
  <si>
    <t>VARL630226HDFZMN08</t>
  </si>
  <si>
    <t>PEDRO GUILLERMO FIERRO TORRES</t>
  </si>
  <si>
    <t>FITP780728HDGRRD09</t>
  </si>
  <si>
    <t>1838.41</t>
  </si>
  <si>
    <t>MARIA DE LOURDES LOPEZ CASTAÑEDA</t>
  </si>
  <si>
    <t>LOCL720504MDGPSR02</t>
  </si>
  <si>
    <t>570.48</t>
  </si>
  <si>
    <t xml:space="preserve">HUGO FLAVIO OLIVERIO GARCIA RUIZ </t>
  </si>
  <si>
    <t>GARH580326HMNRZG08</t>
  </si>
  <si>
    <t>J INEZ GARCIA RAMIREZ</t>
  </si>
  <si>
    <t>GARI530420HSPRMN09</t>
  </si>
  <si>
    <t>María Guadalupe Herrera López</t>
  </si>
  <si>
    <t xml:space="preserve">HELG641117MVZRPD09 </t>
  </si>
  <si>
    <t>SERGIO MANUEL GOMEZ IDE</t>
  </si>
  <si>
    <t>GOIS700821HSLMDR08</t>
  </si>
  <si>
    <t>SAN JUANA CARREON URQUIETA</t>
  </si>
  <si>
    <t>HENER FERMIN HERNANDEZ MARTINEZ</t>
  </si>
  <si>
    <t>HEME770718HCLRRN09</t>
  </si>
  <si>
    <t>ALEJANDRO PADILLA VELIZ</t>
  </si>
  <si>
    <t>PAVA651028HDFDLL08</t>
  </si>
  <si>
    <t xml:space="preserve">maria patricia monroy gomez </t>
  </si>
  <si>
    <t>MOGP630107MDFNMT06</t>
  </si>
  <si>
    <t>GAMALIEL LLANES OVALLE</t>
  </si>
  <si>
    <t>LAOG570613HCLLVM03</t>
  </si>
  <si>
    <t>MIGUEL MENDOZA LOPEZ</t>
  </si>
  <si>
    <t>MELM630917HQTNPG03</t>
  </si>
  <si>
    <t>Francisco Acosta De La Hoya</t>
  </si>
  <si>
    <t>AOHF651227HSLCYR03</t>
  </si>
  <si>
    <t>JOSE AVALOS HERRERA</t>
  </si>
  <si>
    <t>AAHJ571125HMNVRS07</t>
  </si>
  <si>
    <t>Cecilia Flores Gomez</t>
  </si>
  <si>
    <t>FOGC431122MJCLMC03</t>
  </si>
  <si>
    <t xml:space="preserve">JUAN ANTONIO </t>
  </si>
  <si>
    <t>David Bravo Martínez del campo</t>
  </si>
  <si>
    <t>BAMD510414HDFRRV07</t>
  </si>
  <si>
    <t>PATRICIA NEREIDA ARIAS FLORES</t>
  </si>
  <si>
    <t>AIFP850814MJCRLT08</t>
  </si>
  <si>
    <t>JORGE ALFONSO RAMIREZ LUGO</t>
  </si>
  <si>
    <t>RALJ650123HSRMGR03</t>
  </si>
  <si>
    <t>Raúl Jiménez Quiroz</t>
  </si>
  <si>
    <t xml:space="preserve">	JIQR591017HMCMRL01</t>
  </si>
  <si>
    <t xml:space="preserve">JESUS LOPEZ MARTINEZ </t>
  </si>
  <si>
    <t>LOMJ590817HNLPRS00</t>
  </si>
  <si>
    <t>JOSE OCTAVIO GUIZAR IBARRA</t>
  </si>
  <si>
    <t>GUIO800812HCMZBC02</t>
  </si>
  <si>
    <t>JOSE LUIS MEZA PINEDA</t>
  </si>
  <si>
    <t>MEPL650621HCLZNS06</t>
  </si>
  <si>
    <t>ESMERALDA IVONNE GONZALEZ CARRASCO</t>
  </si>
  <si>
    <t>GOCE750104MCHNRS09</t>
  </si>
  <si>
    <t>ALEJANDRO GONZALEZ ZARATE</t>
  </si>
  <si>
    <t>GOZA750620HJCNRL01</t>
  </si>
  <si>
    <t>Carolina López Alvarado</t>
  </si>
  <si>
    <t xml:space="preserve">74907356252
</t>
  </si>
  <si>
    <t>LOAC780302MJCPLR05</t>
  </si>
  <si>
    <t xml:space="preserve">Justino Lopez Hernandez </t>
  </si>
  <si>
    <t>06856500647</t>
  </si>
  <si>
    <t>LOHJ650512HHGPRS08</t>
  </si>
  <si>
    <t>JOSE ANTONIO TORRES RODRIGUEZ</t>
  </si>
  <si>
    <t>06806333404</t>
  </si>
  <si>
    <t>TORA630709HDFRDN08</t>
  </si>
  <si>
    <t>Ma. Del Carmen Carrillo Garcia</t>
  </si>
  <si>
    <t>CAGC641228MCMRRR08</t>
  </si>
  <si>
    <t>ANGEL CORONADO MORENO</t>
  </si>
  <si>
    <t>COMA560802HSLRRN07</t>
  </si>
  <si>
    <t>JESUS NUÑEZ GOMEZ</t>
  </si>
  <si>
    <t>NUGJ620912HCLXMS00</t>
  </si>
  <si>
    <t>LEON VILLEGAS GONZALEZ</t>
  </si>
  <si>
    <t>VIGL620411HMCLNN06</t>
  </si>
  <si>
    <t>JUAN JOSE SANTOS ESCOBAR</t>
  </si>
  <si>
    <t>SAEJ631214HVZNSN00</t>
  </si>
  <si>
    <t>ANDRES SALA RIVERA</t>
  </si>
  <si>
    <t>31846725773</t>
  </si>
  <si>
    <t>SARA671130HDGLVN07</t>
  </si>
  <si>
    <t>JORGE FRANCISCO TOVILLA COELLO</t>
  </si>
  <si>
    <t xml:space="preserve">12785606802
</t>
  </si>
  <si>
    <t>TOCJ560106HCSVLR03</t>
  </si>
  <si>
    <t>JAVIER MORENO MENDOZA</t>
  </si>
  <si>
    <t>MOMJ570307HVZRNV01</t>
  </si>
  <si>
    <t>Guillermo Cruz Cuevas</t>
  </si>
  <si>
    <t>CUCG710916HDFRVL03</t>
  </si>
  <si>
    <t xml:space="preserve">ROSALIO MONDRAGON SOLIS </t>
  </si>
  <si>
    <t>MOSR630830HMNNLS00</t>
  </si>
  <si>
    <t>RUBEN ROBLES ROBLES</t>
  </si>
  <si>
    <t>RORR610328HNLBBB06</t>
  </si>
  <si>
    <t>DORA VAZQUEZ CONTRERAS</t>
  </si>
  <si>
    <t>VACD471013MCLZNR09</t>
  </si>
  <si>
    <t>Teofilo Rosas Rosas</t>
  </si>
  <si>
    <t>RORT530206HBSSSF05</t>
  </si>
  <si>
    <t>Alma Delia Costilla Camacho</t>
  </si>
  <si>
    <t>43897254876</t>
  </si>
  <si>
    <t>COCA681016MNLSML04</t>
  </si>
  <si>
    <t>JUAN FRANCISCO PICAZO FLORES</t>
  </si>
  <si>
    <t>PIFJ541026HCLCLN04</t>
  </si>
  <si>
    <t>JULIO CESAR MARQUEZ BOROSTIETA</t>
  </si>
  <si>
    <t xml:space="preserve">JOSE ANTONIO </t>
  </si>
  <si>
    <t xml:space="preserve">	CRISTINA</t>
  </si>
  <si>
    <t>CUHC581024MTSLNR02</t>
  </si>
  <si>
    <t>JOSE ANTONIO GUTIERREZ ROMERO</t>
  </si>
  <si>
    <t>GURA531008HDFTMN00</t>
  </si>
  <si>
    <t>ricardo de la o rodirguez</t>
  </si>
  <si>
    <t>OXRR540328HCHXDC07</t>
  </si>
  <si>
    <t>ROMAN MARIO MEDINA BAUTISTA</t>
  </si>
  <si>
    <t>MEBR610809HDFDTM06</t>
  </si>
  <si>
    <t>Elena Avalos de la Rosa</t>
  </si>
  <si>
    <t>AARE580802MTCVSL05</t>
  </si>
  <si>
    <t>CANDELARIA TORRES GOMEZ</t>
  </si>
  <si>
    <t>TOGC630224MJCRMN00</t>
  </si>
  <si>
    <t>REBECA RIOS MARTINEZ</t>
  </si>
  <si>
    <t>RIMR620920MNLSRB06</t>
  </si>
  <si>
    <t>MIGUEL ANGEL FLORES CERVANTES</t>
  </si>
  <si>
    <t>FOCM810217HPLLRG04</t>
  </si>
  <si>
    <t>NEREYDA</t>
  </si>
  <si>
    <t>TOMAS REBOLLENO BENITEZ</t>
  </si>
  <si>
    <t>15866308347</t>
  </si>
  <si>
    <t>REBT630130HMSBNM01</t>
  </si>
  <si>
    <t>VIOLETA AVENDAÑO ZAVALA</t>
  </si>
  <si>
    <t>AEZV690228MCSVVL06</t>
  </si>
  <si>
    <t>FLOR AZUCENA ELIZONDO TORRES</t>
  </si>
  <si>
    <t>EITF800413MBCLRL09</t>
  </si>
  <si>
    <t>VICTOR HUGO GONZALEZ</t>
  </si>
  <si>
    <t xml:space="preserve">ERNESTO ALONSO ARREGUIN PONCE </t>
  </si>
  <si>
    <t>AEPE820814HCHRNR06</t>
  </si>
  <si>
    <t>725.47</t>
  </si>
  <si>
    <t>Juan Mateo Hernández Díaz</t>
  </si>
  <si>
    <t>HEDJ670920HGRRZN00</t>
  </si>
  <si>
    <t xml:space="preserve">CANDELARIO PATRICIO </t>
  </si>
  <si>
    <t>83846315154</t>
  </si>
  <si>
    <t>EUSTACIO MARTINEZ GARCIA</t>
  </si>
  <si>
    <t>José Francisco cadena Lule</t>
  </si>
  <si>
    <t>RICARDO GARCIA</t>
  </si>
  <si>
    <t xml:space="preserve">	GAZR690414HNTRMC04</t>
  </si>
  <si>
    <t>JAVIER IBARRA CAMPOS</t>
  </si>
  <si>
    <t>IACJ740505HJCBMV09</t>
  </si>
  <si>
    <t xml:space="preserve">MIGUEL ANGEL VILLARREAL GONZALEZ </t>
  </si>
  <si>
    <t>03664816083</t>
  </si>
  <si>
    <t>VIGM480212HNLLNG04</t>
  </si>
  <si>
    <t xml:space="preserve">JOSE LUIS CARDENAS MUÑOZ </t>
  </si>
  <si>
    <t>90876410284</t>
  </si>
  <si>
    <t>CAML640909HTLRXS06</t>
  </si>
  <si>
    <t>ALBERTO VAZQUEZ VELDERRAIN</t>
  </si>
  <si>
    <t>VAVA751010HSRZLL03</t>
  </si>
  <si>
    <t>499</t>
  </si>
  <si>
    <t>ROSA AMELIA CUADRAS RUELAS</t>
  </si>
  <si>
    <t>CURR540710MSLDLS09</t>
  </si>
  <si>
    <t>IMELDA MANUELA RAMIREZ NAVA</t>
  </si>
  <si>
    <t>RANI790322MMSMVM04</t>
  </si>
  <si>
    <t>501.46</t>
  </si>
  <si>
    <t>ANA LILIA SANCHEZ ORTEGA</t>
  </si>
  <si>
    <t>01755813811</t>
  </si>
  <si>
    <t>SAOA580214MDFNRN03</t>
  </si>
  <si>
    <t>LUIS FILIBERTO PAVON NAVARRO</t>
  </si>
  <si>
    <t>PANL550822HYNVVS04</t>
  </si>
  <si>
    <t xml:space="preserve">JULIAN REYNA AYALA </t>
  </si>
  <si>
    <t>REAJ641203HCLYYL10</t>
  </si>
  <si>
    <t>SALVADOR ORTIZ LOPEZ</t>
  </si>
  <si>
    <t>OILS740413HJCRPL04</t>
  </si>
  <si>
    <t>MANUEL</t>
  </si>
  <si>
    <t>ALBERTO MUÑOZ LANDAVERDE</t>
  </si>
  <si>
    <t>MXLA621115HSPXNL02</t>
  </si>
  <si>
    <t>NAZARIA SANTILLAN ARELLANO</t>
  </si>
  <si>
    <t>SAAN510612MSPNRZ06</t>
  </si>
  <si>
    <t>JOSE SALVADOR ROMERO IBARRA</t>
  </si>
  <si>
    <t>318763OO158</t>
  </si>
  <si>
    <t>ROIS630712HDGMBL00</t>
  </si>
  <si>
    <t>RAFAEL HECTOR SALAZAR GRAJALES</t>
  </si>
  <si>
    <t>SAGR580620HTSLRF00</t>
  </si>
  <si>
    <t>MARCO ANTONIO DELGADO DELGADO</t>
  </si>
  <si>
    <t>DEDM560712HVZLLR08</t>
  </si>
  <si>
    <t xml:space="preserve">PROFETA LOPEZ RAMIREZ </t>
  </si>
  <si>
    <t>LORP620331HOCPMR02</t>
  </si>
  <si>
    <t>AURELIA QUIÑONES ALVARADO</t>
  </si>
  <si>
    <t>QUAA660508MDGXLR07</t>
  </si>
  <si>
    <t>MARTIN ESPINO CEBALLOS</t>
  </si>
  <si>
    <t>EICM601112HMNSBR04</t>
  </si>
  <si>
    <t xml:space="preserve">RAMON GONZALEZ MARTINEZ </t>
  </si>
  <si>
    <t>GOMR560906HTSNRM01</t>
  </si>
  <si>
    <t>RAUL JUAN FRANCO HERNANDEZ</t>
  </si>
  <si>
    <t>01634367195</t>
  </si>
  <si>
    <t>FAHR430328HDFRRL06</t>
  </si>
  <si>
    <t>JOSE JAVIER GONZALEZ MORENO</t>
  </si>
  <si>
    <t>GOMJ621114HPLNRV04</t>
  </si>
  <si>
    <t>MARTIN FLORES RAMIREZ</t>
  </si>
  <si>
    <t xml:space="preserve">FORM610118HPLLMR06 </t>
  </si>
  <si>
    <t>CONCEPCION NIEVES ORTEGA</t>
  </si>
  <si>
    <t>NIOC751005MBCVRN04</t>
  </si>
  <si>
    <t xml:space="preserve">SILVA CASIANO HERNÁNDEZ </t>
  </si>
  <si>
    <t>CAHS821105MPLSRL07</t>
  </si>
  <si>
    <t>JOSE OSCAR GERVANCIO TOLENTINO JIMENEZ</t>
  </si>
  <si>
    <t>62846434009</t>
  </si>
  <si>
    <t>TOJO640513HPLLMS04</t>
  </si>
  <si>
    <t>ALFREDO DE LA CRUZ PUENTE</t>
  </si>
  <si>
    <t>CUPA580112HNLRNL00</t>
  </si>
  <si>
    <t>MANUEL DE JESUS ENRIQUEZ FLORES</t>
  </si>
  <si>
    <t>EIFM760919HSRNLN01</t>
  </si>
  <si>
    <t>GUSTAVO DE JESUS BAHENA</t>
  </si>
  <si>
    <t>JEBG690416HGRSHS09</t>
  </si>
  <si>
    <t>ILFOR HERNANDEZ BRONCA</t>
  </si>
  <si>
    <t>HEBI690628HTCRRL08</t>
  </si>
  <si>
    <t>SERGIO ESPINOZA RAMIREZ</t>
  </si>
  <si>
    <t>EIRS630220HSRSMR00</t>
  </si>
  <si>
    <t>ROSA TREVIÑO RIVAS</t>
  </si>
  <si>
    <t>TERR810831MZSRVS05</t>
  </si>
  <si>
    <t>GINA</t>
  </si>
  <si>
    <t>07866301828</t>
  </si>
  <si>
    <t>FELIX</t>
  </si>
  <si>
    <t>LOHF611206HCSPRL06</t>
  </si>
  <si>
    <t>JOSE LUIS MORENO</t>
  </si>
  <si>
    <t>MOXL560907HVZRXS01</t>
  </si>
  <si>
    <t>Pedro Francisco Sánchez Reyna</t>
  </si>
  <si>
    <t>03816501500</t>
  </si>
  <si>
    <t>FERNANDO FERNANDEZ GARCIA</t>
  </si>
  <si>
    <t>FEGF650527HZSRRR06</t>
  </si>
  <si>
    <t>Jorge Aguilar Vázquez</t>
  </si>
  <si>
    <t xml:space="preserve">65916630455
</t>
  </si>
  <si>
    <t>SERGIO MARTINEZ SOLARES</t>
  </si>
  <si>
    <t>MASS621007HDFRLR05</t>
  </si>
  <si>
    <t>MANUEL REYES ALMARAZ</t>
  </si>
  <si>
    <t>REAM620531HDFYLN09</t>
  </si>
  <si>
    <t>ROSA ELENA GONZALEZ ALMAZAN</t>
  </si>
  <si>
    <t>GOAR531230MTSNLS08</t>
  </si>
  <si>
    <t>ANGELICA GARCIA RODRIGUEZ</t>
  </si>
  <si>
    <t>GARA700401MGTRDN04</t>
  </si>
  <si>
    <t>SAUL RIVERA REGALADO</t>
  </si>
  <si>
    <t>RIRS680521HCLVGL02</t>
  </si>
  <si>
    <t>Alvaro Muñoz Montes</t>
  </si>
  <si>
    <t>MUMA630831HDFXNL03</t>
  </si>
  <si>
    <t>MANUEL SALGADO RORIGUEZ</t>
  </si>
  <si>
    <t>11705427695</t>
  </si>
  <si>
    <t>SARM540918HGTLDN03</t>
  </si>
  <si>
    <t>PEDRO TORRES CEREZO</t>
  </si>
  <si>
    <t>01927428902</t>
  </si>
  <si>
    <t>TOCP740528HDFRRD08</t>
  </si>
  <si>
    <t>GUADALUPE ADRIANA BARRERA SANCHEZ</t>
  </si>
  <si>
    <t>BASG590305MDFRND05</t>
  </si>
  <si>
    <t xml:space="preserve">Genaro Hernández parra </t>
  </si>
  <si>
    <t>HEPG721211HBCRRN07</t>
  </si>
  <si>
    <t>Alfredo Díaz robles</t>
  </si>
  <si>
    <t>DIRA561016HCHZBL09</t>
  </si>
  <si>
    <t>Ma. Del Carmen Contreras Trujillo</t>
  </si>
  <si>
    <t>COTC590905MSPNRR02</t>
  </si>
  <si>
    <t>SERGIO CISNEROS SANTANA</t>
  </si>
  <si>
    <t>52855902905</t>
  </si>
  <si>
    <t>CISS581210HCMSNR08</t>
  </si>
  <si>
    <t>JESUS MANUEL PARADA PEREZ</t>
  </si>
  <si>
    <t>olga</t>
  </si>
  <si>
    <t>rene favela</t>
  </si>
  <si>
    <t>DORA LUZ RODRIGUEZ</t>
  </si>
  <si>
    <t>ROXD720727MCHDXR01</t>
  </si>
  <si>
    <t>JULIO ANTONIO CANCHE CENTENO</t>
  </si>
  <si>
    <t>CACJ550927HYNNNL01</t>
  </si>
  <si>
    <t>CONCEPCION APARICIO SALAS</t>
  </si>
  <si>
    <t>65724202059</t>
  </si>
  <si>
    <t>MARIA FLORA HERRERA TOVIAS</t>
  </si>
  <si>
    <t>HETF631124MSPRVL03</t>
  </si>
  <si>
    <t>Marcelino Martín Tuyub Medina</t>
  </si>
  <si>
    <t>TUMM641230HYNYDR01</t>
  </si>
  <si>
    <t>LETICIA OLIVARRIA AGUILAR</t>
  </si>
  <si>
    <t>AUOL610326MSRGLT03</t>
  </si>
  <si>
    <t>AGUSTIN ARECHIGA GARCIA</t>
  </si>
  <si>
    <t>AEGA540213HDFRRG08</t>
  </si>
  <si>
    <t xml:space="preserve">IMELDA NORIEGA JUAREZ </t>
  </si>
  <si>
    <t>NOJI690512MVZRRM09</t>
  </si>
  <si>
    <t>ELADIO SOSA HUERTA</t>
  </si>
  <si>
    <t>SOHE560218HCHSRL07</t>
  </si>
  <si>
    <t>María Teresa Hernandez Guel</t>
  </si>
  <si>
    <t>HEGT671031MTSRLR06</t>
  </si>
  <si>
    <t>CLEMENTINA LOPEZ MARIN</t>
  </si>
  <si>
    <t>01704767951</t>
  </si>
  <si>
    <t>LOMC540320MDFPRL08</t>
  </si>
  <si>
    <t>David Ponce Juarez</t>
  </si>
  <si>
    <t>POJD741223HPLNRV00</t>
  </si>
  <si>
    <t>MARIA DE LA LUZ ESPERANZA TELLEZ</t>
  </si>
  <si>
    <t>EATL611204MDFSLZ02</t>
  </si>
  <si>
    <t>JUAN CARLOS BOJORQUEZ SANTOS</t>
  </si>
  <si>
    <t>BOSJ650501HSLJNN04</t>
  </si>
  <si>
    <t>MARIA DE LOS ANGELES GONZALEZ BERUMEN</t>
  </si>
  <si>
    <t>GOBA600110MNLNRN07</t>
  </si>
  <si>
    <t>MAGALI HERNANDEZ C/C</t>
  </si>
  <si>
    <t xml:space="preserve">HECTOR MELCAMPO ZATARIAN </t>
  </si>
  <si>
    <t>MAZH610118HSLLTC07</t>
  </si>
  <si>
    <t>Juan Humberto García Ramírez</t>
  </si>
  <si>
    <t>GARJ620708HNLRMN00</t>
  </si>
  <si>
    <t xml:space="preserve">PESJ780717HOCRLQ05 </t>
  </si>
  <si>
    <t xml:space="preserve">ROSA MARIA SANCHEZ VIDAL </t>
  </si>
  <si>
    <t>SAVR501105MBCNDS09</t>
  </si>
  <si>
    <t>CANDELARIO MISS BENITEZ</t>
  </si>
  <si>
    <t>MIBC650905HCCSNN01</t>
  </si>
  <si>
    <t>MARIA JOSEDINA BARRERA HUESCA</t>
  </si>
  <si>
    <t xml:space="preserve">Gayosso angeles jose alfonso </t>
  </si>
  <si>
    <t xml:space="preserve">	GAAA620319HHGYNL07</t>
  </si>
  <si>
    <t>DOMITILIO</t>
  </si>
  <si>
    <t>MARIA DE LOS ANGELES GARCIA DIAZ</t>
  </si>
  <si>
    <t>2364.73</t>
  </si>
  <si>
    <t>JORGE AGUSTIN MEJIA MORALES</t>
  </si>
  <si>
    <t>MEMJ630828HSPJRR00</t>
  </si>
  <si>
    <t xml:space="preserve">julia perez garcia </t>
  </si>
  <si>
    <t>PEGJ490423MCLRRL08</t>
  </si>
  <si>
    <t>MA. ASCENCION HERRERA REYES</t>
  </si>
  <si>
    <t>HERA590406MZSRYS04</t>
  </si>
  <si>
    <t>Fidel Rodriguez Rosales</t>
  </si>
  <si>
    <t>RORF561212HQTDSD03</t>
  </si>
  <si>
    <t>ERNESTO GREGORIO HUMMEL RAMIREZ</t>
  </si>
  <si>
    <t xml:space="preserve"> 1080634989</t>
  </si>
  <si>
    <t>HURE630509HDFMMR01</t>
  </si>
  <si>
    <t>MARIA GUADALUPE CAASTILLO GARCIA</t>
  </si>
  <si>
    <t>CAGG730206MMCSRD07</t>
  </si>
  <si>
    <t>JESUS CELSO BANDA AVILA</t>
  </si>
  <si>
    <t>BAAJ630408HSPNVS03</t>
  </si>
  <si>
    <t xml:space="preserve">ROBERTO MUÑOZ ESPINOSA </t>
  </si>
  <si>
    <t>15745601714</t>
  </si>
  <si>
    <t>MUER560910HMSXSB03</t>
  </si>
  <si>
    <t>MA GUADALUPE CONTRERAS PEREZ</t>
  </si>
  <si>
    <t>COPG711212MJCNRD03</t>
  </si>
  <si>
    <t xml:space="preserve">ANGEL CONTRERAS TOVAR </t>
  </si>
  <si>
    <t>COTA580802HSPNVN02</t>
  </si>
  <si>
    <t>LOPA631117HNLZXL00</t>
  </si>
  <si>
    <t>JOSE HUMBERTO GARCIA MORALES</t>
  </si>
  <si>
    <t>SERGIO ARMANDO BUENROSTRO CARDENAS</t>
  </si>
  <si>
    <t>BUCS621020HMNNRR07</t>
  </si>
  <si>
    <t>MARIO VALENTE MORENO APOLONIO</t>
  </si>
  <si>
    <t>MOAM601123HDFRPR00</t>
  </si>
  <si>
    <t>GENARO REYES VILLAREAL</t>
  </si>
  <si>
    <t>REVG731208HSLYLN00</t>
  </si>
  <si>
    <t>NIDIA ANGELICA GARZA AVILA</t>
  </si>
  <si>
    <t>GAAN630604MNLRVD02</t>
  </si>
  <si>
    <t>JOSE GERARDO GARCIA RODRIGUEZ</t>
  </si>
  <si>
    <t>GARG620529HSPRDR07</t>
  </si>
  <si>
    <t>ROBERTO SANDOVAL MARIN</t>
  </si>
  <si>
    <t>GENOVEVA GARCIA VALDES</t>
  </si>
  <si>
    <t>GAVG620101MMCRLN05</t>
  </si>
  <si>
    <t>NOE ORTEGA ERIVES</t>
  </si>
  <si>
    <t>OEEN611113HCHRRX00</t>
  </si>
  <si>
    <t>JUAN ZAMORA LUCIO</t>
  </si>
  <si>
    <t>ZALJ620315HSPMCN01</t>
  </si>
  <si>
    <t>IGNACIO SOLANO CARDONA</t>
  </si>
  <si>
    <t>SOCI710801HMNLRG00</t>
  </si>
  <si>
    <t>FRANCISCO DE LA ROSA RODRIGUEZ</t>
  </si>
  <si>
    <t>RORF580603HSPSDR05</t>
  </si>
  <si>
    <t>RAMON INFANZON GONZALEZ</t>
  </si>
  <si>
    <t>MARTINA ELENA ARRAS</t>
  </si>
  <si>
    <t>AAXM650422MCHRXR03</t>
  </si>
  <si>
    <t>María de Lourdes castañeda Zamora</t>
  </si>
  <si>
    <t>33796166842</t>
  </si>
  <si>
    <t>Carmen Serrano flores</t>
  </si>
  <si>
    <t>21857007815</t>
  </si>
  <si>
    <t xml:space="preserve">EVARISTO ARREDONDO ALVARADO </t>
  </si>
  <si>
    <t>AEAE620527HCLRLV08</t>
  </si>
  <si>
    <t>Higinio Alejandro Gonzalez Ortega</t>
  </si>
  <si>
    <t>GOOH640111HHGNRG00</t>
  </si>
  <si>
    <t>Ma. De Los Angeles Cardenas</t>
  </si>
  <si>
    <t>CAXA611001MNTRXN00</t>
  </si>
  <si>
    <t>JUAN MAR CARDENAS</t>
  </si>
  <si>
    <t>MACJ680524HVZRRN01</t>
  </si>
  <si>
    <t>Guillermina García Herrera</t>
  </si>
  <si>
    <t>33735708175</t>
  </si>
  <si>
    <t>Perpetuo socorro Alvarado Rivas</t>
  </si>
  <si>
    <t>AARP730627MCLLVR03</t>
  </si>
  <si>
    <t>MARIA DEL ROCIO CUAUTLI CASTILLO</t>
  </si>
  <si>
    <t>37897206258</t>
  </si>
  <si>
    <t>CUCR700315MPLTSC03</t>
  </si>
  <si>
    <t>Rosa Elia Robledo Ramos</t>
  </si>
  <si>
    <t>RORR601027MNLBMS01</t>
  </si>
  <si>
    <t>LEONARDO CEJA RINCON</t>
  </si>
  <si>
    <t>CERL630104HBCJNN02</t>
  </si>
  <si>
    <t>JOSE ELIAS GODOY</t>
  </si>
  <si>
    <t>ESTHER HERMINA RUIZ</t>
  </si>
  <si>
    <t>HERE530609MVZRZS05</t>
  </si>
  <si>
    <t>MARIA EDITH CABRERA TAPIA</t>
  </si>
  <si>
    <t>198263 13348</t>
  </si>
  <si>
    <t>CATE631005MVZBPD00</t>
  </si>
  <si>
    <t>ARNOLDO GUAJARDO AGUILERA</t>
  </si>
  <si>
    <t>GUAA640703HDGJGR09</t>
  </si>
  <si>
    <t>JUAN PABLO ALMARAZ CERDA</t>
  </si>
  <si>
    <t>AACJ640717HNLLRN08</t>
  </si>
  <si>
    <t>JOSE ELIZONDO AGUIRRE</t>
  </si>
  <si>
    <t>04896526805</t>
  </si>
  <si>
    <t>EIAJ650122HJCLGS02</t>
  </si>
  <si>
    <t>FERNANDO ADOLFO ESPINOZA GRANADOS</t>
  </si>
  <si>
    <t>EIGF650627HDFSRR05</t>
  </si>
  <si>
    <t>YESSENIA ESPINO</t>
  </si>
  <si>
    <t>Martin Gandara Olivas</t>
  </si>
  <si>
    <t>33846404391</t>
  </si>
  <si>
    <t>GAOM640711HCHNLR05</t>
  </si>
  <si>
    <t>24806157772</t>
  </si>
  <si>
    <t>Adriana Guadalupe callejas Araujo</t>
  </si>
  <si>
    <t>CAAA640305MSRLRD07</t>
  </si>
  <si>
    <t>Jorge Ley Tamez</t>
  </si>
  <si>
    <t xml:space="preserve">LETJ500616HTSYMR02 </t>
  </si>
  <si>
    <t>Antonio Ruvalcaba Becerra</t>
  </si>
  <si>
    <t>04826480438</t>
  </si>
  <si>
    <t>RUBA641223HZSVCN15</t>
  </si>
  <si>
    <t>10292.00</t>
  </si>
  <si>
    <t>MARIA DE LOS ANGELES MENDOZA LOPEZ</t>
  </si>
  <si>
    <t>MELA641031MBCNPN00</t>
  </si>
  <si>
    <t>2051.43</t>
  </si>
  <si>
    <t>Martin Arnoldo Rodríguez Nuñez</t>
  </si>
  <si>
    <t>RONM630110HMNDXR06</t>
  </si>
  <si>
    <t xml:space="preserve">EDUARDO LEGORRETA CASAS </t>
  </si>
  <si>
    <t>LECE600202HDFGSD06</t>
  </si>
  <si>
    <t>HERIBERTO</t>
  </si>
  <si>
    <t>2373.77</t>
  </si>
  <si>
    <t>Gelacio Vázquez González</t>
  </si>
  <si>
    <t>VAGG560129HHGZNL02</t>
  </si>
  <si>
    <t>6076.55</t>
  </si>
  <si>
    <t>JOSE LUIS CIBRIAN VERGARA</t>
  </si>
  <si>
    <t>CIVL571119HCMBRS00</t>
  </si>
  <si>
    <t>1825.08</t>
  </si>
  <si>
    <t>PEDRO COLLAZO PORTILLO</t>
  </si>
  <si>
    <t>COPP570429HCHLRD09</t>
  </si>
  <si>
    <t>JERONIMO LUNA MEJIA</t>
  </si>
  <si>
    <t>53846414190</t>
  </si>
  <si>
    <t>LUMJ641211HMNNJR06</t>
  </si>
  <si>
    <t>Genny Concepcion Cano Jiménez</t>
  </si>
  <si>
    <t>84725207363</t>
  </si>
  <si>
    <t>CAJG591208MYNNMN06</t>
  </si>
  <si>
    <t>MANUEL FELIPE MARTINEZ ALTAMIRANO</t>
  </si>
  <si>
    <t>MAAM580526HQTRLN03</t>
  </si>
  <si>
    <t>LEONEL ARROYO HERNANDEZ</t>
  </si>
  <si>
    <t>AOHL650105HBCRRN07</t>
  </si>
  <si>
    <t>alberto</t>
  </si>
  <si>
    <t>FAGA600415HJCRRL05</t>
  </si>
  <si>
    <t>2468.54</t>
  </si>
  <si>
    <t xml:space="preserve">JOSE ARTURO </t>
  </si>
  <si>
    <t>RERA650305HDFYMR09</t>
  </si>
  <si>
    <t>Jose Guillermo Quintanilla Villarreal</t>
  </si>
  <si>
    <t>QUVG640625HNLNLL03</t>
  </si>
  <si>
    <t>PEDRO TERRONES TORRES</t>
  </si>
  <si>
    <t>TETP550128HGRRRD07</t>
  </si>
  <si>
    <t>JORGE PARRA EUSEBIO</t>
  </si>
  <si>
    <t>PAEJ631004HJCRSR01</t>
  </si>
  <si>
    <t>MARTHA PATRICIA YAÑEZ BENITEZ</t>
  </si>
  <si>
    <t>YABM700718MDFXNR04</t>
  </si>
  <si>
    <t>ROSA GONZALEZ MENDEZ</t>
  </si>
  <si>
    <t>GOMR650205MQTNNS00</t>
  </si>
  <si>
    <t>NOEMI BERENICE GARCIA CASTILLO</t>
  </si>
  <si>
    <t>92937279161</t>
  </si>
  <si>
    <t>MECN790112MDFJSM01</t>
  </si>
  <si>
    <t>JOSE JERONIMO DE LOS ANGELES</t>
  </si>
  <si>
    <t>CACJ651205HYNNRR09</t>
  </si>
  <si>
    <t>FRANCISCO JAVIER ZARAGOZA NAVARRETE</t>
  </si>
  <si>
    <t>06816366329</t>
  </si>
  <si>
    <t>ZANF630122HDFRVR08</t>
  </si>
  <si>
    <t>VICTOR MANUEL GODOY FRANCO</t>
  </si>
  <si>
    <t>GOFV620421HSPDRC06</t>
  </si>
  <si>
    <t>HERMINIO MEZA VILLA</t>
  </si>
  <si>
    <t>54806355902</t>
  </si>
  <si>
    <t>MEVH650721HJCZLR05</t>
  </si>
  <si>
    <t>CARMEN ROBERTA RODRIGUEZ MARTINEZ</t>
  </si>
  <si>
    <t xml:space="preserve">49846514153   </t>
  </si>
  <si>
    <t>ROMC770423MTSDRR08</t>
  </si>
  <si>
    <t>ADOLFO MARQUEZ PULIDO</t>
  </si>
  <si>
    <t>MARIA ELIZABETH CARRILLO RAMOS</t>
  </si>
  <si>
    <t>CARE621111MNLRML00</t>
  </si>
  <si>
    <t>MARCO ANTONIO ISLAS RODRIGUEZ</t>
  </si>
  <si>
    <t>IARM570613HHGSDR02</t>
  </si>
  <si>
    <t>OSCAR RIEBELING BARAJAS</t>
  </si>
  <si>
    <t>04856229481</t>
  </si>
  <si>
    <t>RIBO620722HJCBRS09</t>
  </si>
  <si>
    <t xml:space="preserve">ANGEL ROBERTO NAGAYA GARCIA </t>
  </si>
  <si>
    <t>NAGA771213HCSGRN05</t>
  </si>
  <si>
    <t>Jorge Quintana Grijalva.</t>
  </si>
  <si>
    <t>21846307573</t>
  </si>
  <si>
    <t>RODOLFO FABIAN ACOSTA CASAS</t>
  </si>
  <si>
    <t>AOCR660120HCLCSD09</t>
  </si>
  <si>
    <t>ANDREA GARCIA VILLANUEVA</t>
  </si>
  <si>
    <t>GAVA701030MSLRLN10</t>
  </si>
  <si>
    <t xml:space="preserve">ROSALIO JESUS HERRERA REYES </t>
  </si>
  <si>
    <t>HERR560904HDFRYS01</t>
  </si>
  <si>
    <t>MARCOS MARTINEZ CONTRERAS</t>
  </si>
  <si>
    <t>MACM600711HNLRNR03</t>
  </si>
  <si>
    <t>GUADALUPE ENRIQUEZ HERRERA</t>
  </si>
  <si>
    <t>EIHG611211NCHNRD02</t>
  </si>
  <si>
    <t>FRANCISCO PADILLA CHAVEZ</t>
  </si>
  <si>
    <t>PACF600403HDFDHR06</t>
  </si>
  <si>
    <t>MANUEL ABAD VALVERDE LUNA</t>
  </si>
  <si>
    <t>10856556930</t>
  </si>
  <si>
    <t>VALM651226HOCLNN02</t>
  </si>
  <si>
    <t>IRMA GUADALUPE ESTRADA ALVARADO</t>
  </si>
  <si>
    <t>EAAI580528MCLSLR08</t>
  </si>
  <si>
    <t>EDUARDO LOPEZ LLAMAS</t>
  </si>
  <si>
    <t>LOLE620623HNLPLD02</t>
  </si>
  <si>
    <t>RAMIRO CORDOVA HERNANDEZ</t>
  </si>
  <si>
    <t>32836617558</t>
  </si>
  <si>
    <t>COHR660124HCLRRM04</t>
  </si>
  <si>
    <t>JOSE LUIS VICENCIO ROJAS</t>
  </si>
  <si>
    <t>VIRL551102HVZCJS00</t>
  </si>
  <si>
    <t>Salome Velazquez Celaya</t>
  </si>
  <si>
    <t>VECS541022HDGLLL02</t>
  </si>
  <si>
    <t>MARIO CAMACHO</t>
  </si>
  <si>
    <t>CAXM600815HMNMXR05</t>
  </si>
  <si>
    <t>Ernesto Mauro Nuñez</t>
  </si>
  <si>
    <t>NUXE600211HDGXXR07</t>
  </si>
  <si>
    <t>Celestina Vega Gómez</t>
  </si>
  <si>
    <t>21784502854</t>
  </si>
  <si>
    <t>VEGC551125MJCGML05</t>
  </si>
  <si>
    <t>Antonio Meza Mendez</t>
  </si>
  <si>
    <t>MEMA530703HGRZNN12</t>
  </si>
  <si>
    <t xml:space="preserve">JACOBO GALVEZ FAVELA </t>
  </si>
  <si>
    <t>GAFJ501115HSLLVC05</t>
  </si>
  <si>
    <t>MARTIN ERNESTO JUAREZ SANCHEZ</t>
  </si>
  <si>
    <t>JUSM641105HCLRNR01</t>
  </si>
  <si>
    <t>PATRICIA HERNÁNDEZ HERNÁNDEZ</t>
  </si>
  <si>
    <t xml:space="preserve">42966301618
</t>
  </si>
  <si>
    <t>HEHP620507MDFRRT07</t>
  </si>
  <si>
    <t>Silvia barron olivas</t>
  </si>
  <si>
    <t>31876803516</t>
  </si>
  <si>
    <t>BAOS730909MCHRLL01</t>
  </si>
  <si>
    <t xml:space="preserve">ROSA ISELA RODRIGUEZ LEON </t>
  </si>
  <si>
    <t>ROLR640721MSLDNS04</t>
  </si>
  <si>
    <t>Francisco Javier Lopez Medran</t>
  </si>
  <si>
    <t>LOMF591115HPLPDR05</t>
  </si>
  <si>
    <t>efrain becerraa</t>
  </si>
  <si>
    <t>BEHE611124HNLCRF06</t>
  </si>
  <si>
    <t>Isidro López Flores</t>
  </si>
  <si>
    <t>54836450806</t>
  </si>
  <si>
    <t>Marco Antonio Sandoval de la Cruz</t>
  </si>
  <si>
    <t>SACM671027HCLNRR09</t>
  </si>
  <si>
    <t>JOSE OCTAVIO SALDAÑA IRUEGAS</t>
  </si>
  <si>
    <t>SAIO630121HNLLRC06</t>
  </si>
  <si>
    <t>guillermo</t>
  </si>
  <si>
    <t>EICG620418HDFSML01</t>
  </si>
  <si>
    <t>SILVIA VELAZQUEZ TELLEZ</t>
  </si>
  <si>
    <t>VETS640329MDFLLL02</t>
  </si>
  <si>
    <t>ELIZABETH PORTILLO HERNANDEZ</t>
  </si>
  <si>
    <t>POHE661028MCHRRL02</t>
  </si>
  <si>
    <t>EDUARDO SERHANT HERRERA</t>
  </si>
  <si>
    <t xml:space="preserve">GENARO GARCIA SANDOVAL </t>
  </si>
  <si>
    <t>GASG590906HJCRNN06</t>
  </si>
  <si>
    <t xml:space="preserve">ALEJANDRO JIMENEZ GUILLEN </t>
  </si>
  <si>
    <t>JIGA640111HDFMLL06</t>
  </si>
  <si>
    <t>GUSTAVO LUNA MEJIA</t>
  </si>
  <si>
    <t>LUMG651130HDFNJS06</t>
  </si>
  <si>
    <t>FRANCISCO JAVIER NAVARRO</t>
  </si>
  <si>
    <t>NAXF601115HSLVXR00</t>
  </si>
  <si>
    <t>Salvador Moreno García</t>
  </si>
  <si>
    <t>Valente Elizondo flores</t>
  </si>
  <si>
    <t>03816476398</t>
  </si>
  <si>
    <t xml:space="preserve">EDIEL BENITEZ OCHOA </t>
  </si>
  <si>
    <t>BEOE600609HVZNCD05</t>
  </si>
  <si>
    <t>ELISA GONZALEZ GODINES</t>
  </si>
  <si>
    <t>04725534954</t>
  </si>
  <si>
    <t>GOGE550530MVZNDL13</t>
  </si>
  <si>
    <t>omar</t>
  </si>
  <si>
    <t>GOTO610208HTSNVM02</t>
  </si>
  <si>
    <t>Sara Gómez Jiménez</t>
  </si>
  <si>
    <t>GOJS610929MCSMMR05</t>
  </si>
  <si>
    <t>JORGE PINZO RAMIREZ</t>
  </si>
  <si>
    <t>PIRJ580424HOCNMR09</t>
  </si>
  <si>
    <t>75836205940</t>
  </si>
  <si>
    <t xml:space="preserve">CARLOS HERNANDEZ APODACA </t>
  </si>
  <si>
    <t>HEAC621129HVZRPR08</t>
  </si>
  <si>
    <t>Maria Estela Campos Arenas</t>
  </si>
  <si>
    <t xml:space="preserve">GUADALUPE FERNANDEZ ALVAREZ </t>
  </si>
  <si>
    <t>FEAG610101MZSRLD00</t>
  </si>
  <si>
    <t>ALVARO PEDRO MARTINEZ TORRES</t>
  </si>
  <si>
    <t>MATA770819HMCRRL09</t>
  </si>
  <si>
    <t>J. ENCARNACION OLGUIN CASTRO</t>
  </si>
  <si>
    <t>JAIME ALBA MADRAZO</t>
  </si>
  <si>
    <t>AAMJ500801HDFLDM06</t>
  </si>
  <si>
    <t>MARIA DEL ROSARIO RUIZ RAMIREZ</t>
  </si>
  <si>
    <t xml:space="preserve">43776207607
</t>
  </si>
  <si>
    <t xml:space="preserve">RURR650809MNLZMS05 </t>
  </si>
  <si>
    <t>ARTURO QUIROZ MANCILLA</t>
  </si>
  <si>
    <t>QUMA641117HMCRNR05</t>
  </si>
  <si>
    <t>CARMEN ARAUJO HERNANDEZ</t>
  </si>
  <si>
    <t>JOSE MARTIN SERRANO ROCHA</t>
  </si>
  <si>
    <t>asuncion vicente lopez</t>
  </si>
  <si>
    <t>VILA531208MOCCPS03</t>
  </si>
  <si>
    <t>JOSE RAUL PEREZ FLORES</t>
  </si>
  <si>
    <t>01725563793</t>
  </si>
  <si>
    <t xml:space="preserve">ARZALIA IVETH LIZARRAGA DURAZO </t>
  </si>
  <si>
    <t>24826614901</t>
  </si>
  <si>
    <t xml:space="preserve">	LIDA721118MSRZRR06</t>
  </si>
  <si>
    <t>MANUEL JAIME PORTILLA VARGAS</t>
  </si>
  <si>
    <t>04916421862</t>
  </si>
  <si>
    <t>MARIO ARTURO SANCHEZ LLANES</t>
  </si>
  <si>
    <t>SALM640203HNLNLR01</t>
  </si>
  <si>
    <t>ALGERIO OLVERA RIOS</t>
  </si>
  <si>
    <t>OERA570920HNLLSR06</t>
  </si>
  <si>
    <t xml:space="preserve">LUCILA TOLEDO LOPEZ </t>
  </si>
  <si>
    <t>TOLL710412MOCLPC03</t>
  </si>
  <si>
    <t>EFRAIN MARTINEZ SOTO</t>
  </si>
  <si>
    <t>MA. DEL SOCORRO DE LA CRUZ JIMENEZ</t>
  </si>
  <si>
    <t>CUJS630513MGRRMC03</t>
  </si>
  <si>
    <t>MIGUEL ANTONIO GUTIERREZ RODRIGUEZ</t>
  </si>
  <si>
    <t>GURM560928HCLTDG02</t>
  </si>
  <si>
    <t>RUCB680115MDFBNL19</t>
  </si>
  <si>
    <t xml:space="preserve">	ROBERTO	 MARISCAL BARBERENA</t>
  </si>
  <si>
    <t>06735403088</t>
  </si>
  <si>
    <t>MABR540116HTSRRB06</t>
  </si>
  <si>
    <t>Sandra Patricia Rocha Manjarrez</t>
  </si>
  <si>
    <t>1291630003</t>
  </si>
  <si>
    <t>ROMS631120MGTCNN09</t>
  </si>
  <si>
    <t>REYES MENDEZ</t>
  </si>
  <si>
    <t>Ramiro Portales Castillo</t>
  </si>
  <si>
    <t>POCR600704HCLRSM00</t>
  </si>
  <si>
    <t>carlos</t>
  </si>
  <si>
    <t>43846659738</t>
  </si>
  <si>
    <t>ESGC661010HNLSDPR04</t>
  </si>
  <si>
    <t>Gonzalo Trejo Gil</t>
  </si>
  <si>
    <t>TEGG590721HDFRLN03</t>
  </si>
  <si>
    <t>GUILLERMINA ROJAS GARCIA</t>
  </si>
  <si>
    <t>ROGG610914MMNJRL05</t>
  </si>
  <si>
    <t>Heriberto</t>
  </si>
  <si>
    <t>MAAH600316HDFRRR05</t>
  </si>
  <si>
    <t>PATRICIA CASTAÑEDA REYNOSO</t>
  </si>
  <si>
    <t>35937705263</t>
  </si>
  <si>
    <t>CARP740802MCHSYT03</t>
  </si>
  <si>
    <t>GUADALUPE DEL CARMEN GALINDO TINAJERO</t>
  </si>
  <si>
    <t>GATG620911MTSLND08</t>
  </si>
  <si>
    <t>MARIA GUADALUPE CASAS BLANCO</t>
  </si>
  <si>
    <t>CABG460620MOCSLD07</t>
  </si>
  <si>
    <t xml:space="preserve">FISOFO </t>
  </si>
  <si>
    <t>MARIA DEL CARMEN JAIME SIERRA</t>
  </si>
  <si>
    <t>JASC590704MNLMRR05</t>
  </si>
  <si>
    <t>81 1324 3344</t>
  </si>
  <si>
    <t>YADHIRA ARACELI REMIGIO  LOPEZ</t>
  </si>
  <si>
    <t>35907457259</t>
  </si>
  <si>
    <t>RELY770407MCHMPD06</t>
  </si>
  <si>
    <t>MARIA SOFIA GUARDIOLA ESTRADA</t>
  </si>
  <si>
    <t>03816452381</t>
  </si>
  <si>
    <t>GUES660918MNLRSF09</t>
  </si>
  <si>
    <t>ADOLFO HERNANDEZ MALDONADO</t>
  </si>
  <si>
    <t>HEMA620110HCCRLD08</t>
  </si>
  <si>
    <t>JAVIER DE JESUS MORAN VEGA</t>
  </si>
  <si>
    <t>06866413344</t>
  </si>
  <si>
    <t>MOVJ640409HDFRGV04</t>
  </si>
  <si>
    <t>MANUEL AMARO LEAL</t>
  </si>
  <si>
    <t>01796197760</t>
  </si>
  <si>
    <t>AALM610706HDFMLN06</t>
  </si>
  <si>
    <t>LUIS DIAZ SOZA</t>
  </si>
  <si>
    <t>DISL640907HMCZZS00</t>
  </si>
  <si>
    <t>FELIX GARCIA MEJIA</t>
  </si>
  <si>
    <t>14806422920</t>
  </si>
  <si>
    <t xml:space="preserve"> GAMF640114HQTRJL08</t>
  </si>
  <si>
    <t xml:space="preserve">YADHIRA ARACELI REMIGIO LOPEZ </t>
  </si>
  <si>
    <t xml:space="preserve">JESUS MANUEL MUÑIZ GUTIERREZ </t>
  </si>
  <si>
    <t>MUGJ561227HCHXTS02</t>
  </si>
  <si>
    <t>NORBERTO MARTIN ESCOBAR JIMENEZ</t>
  </si>
  <si>
    <t>EOJN621005HSPSMR05</t>
  </si>
  <si>
    <t>Jesus Ramírez Alvarez</t>
  </si>
  <si>
    <t>06855906779</t>
  </si>
  <si>
    <t>RAAJ590301HDFMLS04</t>
  </si>
  <si>
    <t>RAFAEL CRUZ DELGADO</t>
  </si>
  <si>
    <t>CUDR581024HSLRLF03</t>
  </si>
  <si>
    <t>JOSE ELESAR ESTRADA VERDIN</t>
  </si>
  <si>
    <t>EAVE640823HJCSRL04</t>
  </si>
  <si>
    <t xml:space="preserve">RITO CRUZ GUTIERREZ </t>
  </si>
  <si>
    <t>24695410563</t>
  </si>
  <si>
    <t>CUGR540203HSRRTT03</t>
  </si>
  <si>
    <t>MARIA BAUTISTA ALCANTARA</t>
  </si>
  <si>
    <t>BAAM801124MGRTLR07</t>
  </si>
  <si>
    <t>MAGDALENA FALCON AMBRIZ</t>
  </si>
  <si>
    <t>FAAM560529MGTLMG07</t>
  </si>
  <si>
    <t>JESUS MANUEL LOPEZ VEGA</t>
  </si>
  <si>
    <t>LOVJ570814HSLPGS09</t>
  </si>
  <si>
    <t xml:space="preserve">LUIS MORALES GASPAR </t>
  </si>
  <si>
    <t>MOGL651225HHGRSS06</t>
  </si>
  <si>
    <t>FRANCISCO LUCIANO MARTINEZ LLANAS</t>
  </si>
  <si>
    <t>MALF670107HNLRLR03</t>
  </si>
  <si>
    <t>DEMETRIO RAMIREZ GONZALEZ</t>
  </si>
  <si>
    <t>RAGD600813HMCMNM06</t>
  </si>
  <si>
    <t>MANUEL TANORI FIGUEROA</t>
  </si>
  <si>
    <t>TAFM490710HSRNGN05</t>
  </si>
  <si>
    <t>Juan Manuel Andazola Medina</t>
  </si>
  <si>
    <t>AAMJ560127HCHNDN03</t>
  </si>
  <si>
    <t>ISIDRO CRUZ JULIAN</t>
  </si>
  <si>
    <t>82805804133</t>
  </si>
  <si>
    <t>CUIJ580512HCSRLS19</t>
  </si>
  <si>
    <t>ARMANDO AGUILAR GARCIA</t>
  </si>
  <si>
    <t>AUGA430827HDGGRR02</t>
  </si>
  <si>
    <t>FRANCISCO ENRIQUE CARRILLO CEBALLOS</t>
  </si>
  <si>
    <t xml:space="preserve">35927508420
</t>
  </si>
  <si>
    <t>CACF751004HCHRBR06</t>
  </si>
  <si>
    <t>GUSTAVO HURTADO ORTEGA</t>
  </si>
  <si>
    <t>HUOG620516HNLRRS06</t>
  </si>
  <si>
    <t>NORMA DE SANTIAGO RODRIGUEZ</t>
  </si>
  <si>
    <t>31956610823</t>
  </si>
  <si>
    <t>SARN660331MDGNDR07</t>
  </si>
  <si>
    <t>MANUEL SOLIS SOLIS</t>
  </si>
  <si>
    <t>SOSM571216HZSLLN00</t>
  </si>
  <si>
    <t>RAMON GILBERTO ROBLEDO MIRANDA</t>
  </si>
  <si>
    <t>ROMR620814HSRBRM05</t>
  </si>
  <si>
    <t>Ma guadalupe flores vazquez</t>
  </si>
  <si>
    <t>FOVG581004MJCLZD02</t>
  </si>
  <si>
    <t>ROBERTO MARTIN CERECER DUARTE</t>
  </si>
  <si>
    <t>CEDR640508HSRRRB03</t>
  </si>
  <si>
    <t>MIGUEL LOPEZ SOSA</t>
  </si>
  <si>
    <t>LOSM501214HTSPSG09</t>
  </si>
  <si>
    <t xml:space="preserve">GILBERTO DE LOS REYES REYES </t>
  </si>
  <si>
    <t>RERG660507HCSYYL08</t>
  </si>
  <si>
    <t>ARMANDO RAYA ARAIZA</t>
  </si>
  <si>
    <t>RAAA630915HGTYRR00</t>
  </si>
  <si>
    <t>SIXTO AMIGON TAPIA</t>
  </si>
  <si>
    <t>AITS610806HPLMPX00</t>
  </si>
  <si>
    <t>MARIA ERNESTINA TORRES PEREZ</t>
  </si>
  <si>
    <t>TOPE570318MSPRRR02</t>
  </si>
  <si>
    <t>JOSE REFUGIO FRAYRE MEJIA</t>
  </si>
  <si>
    <t>FAMR720219HDGRJF07</t>
  </si>
  <si>
    <t>Jose Rafael García Laguna</t>
  </si>
  <si>
    <t>GALR610506HDFRGF04</t>
  </si>
  <si>
    <t>JOSE GABRIEL BARRETO SOLIS</t>
  </si>
  <si>
    <t>BASG620815HDFRLB01</t>
  </si>
  <si>
    <t>PEDRO VARELA RAMIREZ</t>
  </si>
  <si>
    <t>07846300981</t>
  </si>
  <si>
    <t>Laura Elena Soberanis Gamboa</t>
  </si>
  <si>
    <t>85721304732</t>
  </si>
  <si>
    <t>SOGL681114MYNBMR09</t>
  </si>
  <si>
    <t>RIGOBERTO ESQUEDA LOPEZ</t>
  </si>
  <si>
    <t>EULR630128HNTSPG05</t>
  </si>
  <si>
    <t xml:space="preserve">ALEJANDRO MONDRAGON ESPANTA </t>
  </si>
  <si>
    <t>MOEA620313HJCNSL00</t>
  </si>
  <si>
    <t>ERNESTO ACEVES SANTILLAN</t>
  </si>
  <si>
    <t>04865923165</t>
  </si>
  <si>
    <t>AESE590521HDFCNR04</t>
  </si>
  <si>
    <t>CARLOS CORONADO BRIONES</t>
  </si>
  <si>
    <t>COBC710713HNLRRR09</t>
  </si>
  <si>
    <t>SALOME ARMENTA CAMACHO</t>
  </si>
  <si>
    <t>HEOJ530624MSRRRN02</t>
  </si>
  <si>
    <t>RANDELL CAÑEZ SAUSTEGUI</t>
  </si>
  <si>
    <t xml:space="preserve">
2467511275
</t>
  </si>
  <si>
    <t xml:space="preserve">CASR510808HSRXSN05 </t>
  </si>
  <si>
    <t>Antonio Victorio Reyes</t>
  </si>
  <si>
    <t>VIRA560418HGTCYN09</t>
  </si>
  <si>
    <t>Joel</t>
  </si>
  <si>
    <t>DEBJ590513HDFLSL07</t>
  </si>
  <si>
    <t>SERGIO CAMACHO NUÑEZ</t>
  </si>
  <si>
    <t>CANS641016HNTMXR02</t>
  </si>
  <si>
    <t>MARINA NERI CUENCA</t>
  </si>
  <si>
    <t>NECM650112MPLRNR08</t>
  </si>
  <si>
    <t>JUAN EDUARDO MAYA SALDAÑA</t>
  </si>
  <si>
    <t>MASJ790826HTSYLN00</t>
  </si>
  <si>
    <t>MARTIN GUAJARDO VILLA</t>
  </si>
  <si>
    <t>GUVM650928HDGJLR07</t>
  </si>
  <si>
    <t>Isaías González Solís</t>
  </si>
  <si>
    <t>GOSI620706HVZNLS00</t>
  </si>
  <si>
    <t>JAIME IBARRA DEL RIO</t>
  </si>
  <si>
    <t>34796203031</t>
  </si>
  <si>
    <t>ADRIAN DURAN DIMAS</t>
  </si>
  <si>
    <t>DUDA600305HCLRMD06</t>
  </si>
  <si>
    <t>MARISEL APIZAÑA HERNANDEZ</t>
  </si>
  <si>
    <t>PIHM710105MDGZRR08</t>
  </si>
  <si>
    <t>Hermelinda Guzmán Jimenez</t>
  </si>
  <si>
    <t>GUJH651011MCSZMR00</t>
  </si>
  <si>
    <t>OLGA MORALES GARCIA</t>
  </si>
  <si>
    <t>MOGO580101MPLRRL05</t>
  </si>
  <si>
    <t>LUIS ENRIQUE JIMENEZ GARCIA</t>
  </si>
  <si>
    <t>06786081874</t>
  </si>
  <si>
    <t>JIGL600904HDFMRS06</t>
  </si>
  <si>
    <t xml:space="preserve">JUAN TRUJANO MARTINEZ </t>
  </si>
  <si>
    <t>TUMJ691014HASRRN06</t>
  </si>
  <si>
    <t>Irma esther guajardo Uribe</t>
  </si>
  <si>
    <t xml:space="preserve">HUMBERTO ISLAS VELAZQUEZ </t>
  </si>
  <si>
    <t>43886510817</t>
  </si>
  <si>
    <t>Silvia Guadalupe López coronado</t>
  </si>
  <si>
    <t>LOCS641103MSRPRL02</t>
  </si>
  <si>
    <t>PABLO GARCIA HERNANDEZ</t>
  </si>
  <si>
    <t>GAHP560130HVZRRB00</t>
  </si>
  <si>
    <t>RAFAEL ESCOBAR OJEDA</t>
  </si>
  <si>
    <t>01715527287</t>
  </si>
  <si>
    <t>LAURA ELENA MARTINEZ MIRANDA</t>
  </si>
  <si>
    <t>21887044432</t>
  </si>
  <si>
    <t>MAML810411MDGRRR00</t>
  </si>
  <si>
    <t>JESUS MUÑOZ GARCIA</t>
  </si>
  <si>
    <t>MUGJ570220HCLXRS08</t>
  </si>
  <si>
    <t>GABRIEL RODRIGUEZ ROMERO</t>
  </si>
  <si>
    <t>RORG630331HSRDMB05</t>
  </si>
  <si>
    <t>JOSE ALFREDO VARGAS PRADO</t>
  </si>
  <si>
    <t>VAPA750222HDFRRL03</t>
  </si>
  <si>
    <t xml:space="preserve">PABLO COMUNIDAD TORAL </t>
  </si>
  <si>
    <t>COTP610607HPLMRB04</t>
  </si>
  <si>
    <t>JOSEFINA DIAZ ESTRADA</t>
  </si>
  <si>
    <t>34956501026</t>
  </si>
  <si>
    <t>DIEJ650727MZSZSS07</t>
  </si>
  <si>
    <t>FELIPE AGUILAR CHIU</t>
  </si>
  <si>
    <t>AUCF551218HDFGHL07</t>
  </si>
  <si>
    <t>CAROLINA NUÑEZ GARCIA</t>
  </si>
  <si>
    <t>NUGC721002MVZXRR07</t>
  </si>
  <si>
    <t>Francisco valencia cruz</t>
  </si>
  <si>
    <t>VACF551004HMCLRR01</t>
  </si>
  <si>
    <t>Jose Antonio lucero</t>
  </si>
  <si>
    <t>RAMON TALAVERA ANTUNEZ</t>
  </si>
  <si>
    <t>TAAR600828HDGLNM00</t>
  </si>
  <si>
    <t>Jorge Zapata Pedraaz</t>
  </si>
  <si>
    <t>EUSEBIA LEMUS FRANCO</t>
  </si>
  <si>
    <t>LEFE690304MPLMRS01</t>
  </si>
  <si>
    <t>SAMUEL 	RESENDIZ GARCIA</t>
  </si>
  <si>
    <t>REGS630604HSPSRM04</t>
  </si>
  <si>
    <t>JORGE AGUILAR AGUILAR HUERTA</t>
  </si>
  <si>
    <t>AUHJ550220HGTGRR05</t>
  </si>
  <si>
    <t>Minerva Jimenez Hernandez</t>
  </si>
  <si>
    <t>JIHM530426MOCMRN09</t>
  </si>
  <si>
    <t>EDILBERTO LUNA SANTOS</t>
  </si>
  <si>
    <t>LUSE660303HZSNND01</t>
  </si>
  <si>
    <t>ISIDRO GUTIERREZ</t>
  </si>
  <si>
    <t>Zaida Guadalupe Berrelleza Escobar</t>
  </si>
  <si>
    <t>VICTOR DELINO OCHOA</t>
  </si>
  <si>
    <t>DEOV550226HCMLCC06</t>
  </si>
  <si>
    <t>RAMON SOSA CHAVEZ</t>
  </si>
  <si>
    <t>SOCR621202HMCSHM08</t>
  </si>
  <si>
    <t>ANTONIA CERROQUE MURO</t>
  </si>
  <si>
    <t xml:space="preserve">32735430665
</t>
  </si>
  <si>
    <t>CEMA550127MDGRRN01</t>
  </si>
  <si>
    <t>EUSEBIO GONZALEZ JIMENEZ</t>
  </si>
  <si>
    <t>04826270136</t>
  </si>
  <si>
    <t>GOJE620712HJCNMS07</t>
  </si>
  <si>
    <t>33 5086 8370</t>
  </si>
  <si>
    <t>MARGARITO HERNANDEZ PACHECANO</t>
  </si>
  <si>
    <t>Jaime Betancourt Guzman</t>
  </si>
  <si>
    <t>BEGJ580524HCLTZM02</t>
  </si>
  <si>
    <t>EULOGIO POBLANO HERNANDEZ</t>
  </si>
  <si>
    <t>POHE620318HZSBRL08</t>
  </si>
  <si>
    <t>ARMANDO TREJO PERALES</t>
  </si>
  <si>
    <t>TEPA621010HCHRRR06</t>
  </si>
  <si>
    <t xml:space="preserve">MARIA ELIZABETH GARCIA MARTINEZ </t>
  </si>
  <si>
    <t>GAME650413MCLRRL09</t>
  </si>
  <si>
    <t>Raúl Carrillo Sánchez</t>
  </si>
  <si>
    <t xml:space="preserve">83816428979
</t>
  </si>
  <si>
    <t xml:space="preserve">IMELDA GARCIA CORTES </t>
  </si>
  <si>
    <t>GACI680513MVZRRM06</t>
  </si>
  <si>
    <t>moises tovar delgado</t>
  </si>
  <si>
    <t xml:space="preserve">MIGUEL ANGEL MONTES BELTRAN </t>
  </si>
  <si>
    <t>MOBM800901HCLNLG00</t>
  </si>
  <si>
    <t>Maria Elodia Salazar Tamayo</t>
  </si>
  <si>
    <t>SATE580424MSRLML01</t>
  </si>
  <si>
    <t>SILVIA ANGUIANO CHAIREZ</t>
  </si>
  <si>
    <t>AUCS550327MCLNHL03</t>
  </si>
  <si>
    <t>JOSE AGUILAR GARCIA</t>
  </si>
  <si>
    <t>AUGJ601020HGTGRS09</t>
  </si>
  <si>
    <t>MA. DE LA LUZ ENRIQUEZ BUSTAMANTE</t>
  </si>
  <si>
    <t>EIBL640108MDGNSZ18</t>
  </si>
  <si>
    <t>871 336 5291</t>
  </si>
  <si>
    <t>ELSA MIREYA HERNANDEZ ZAPATA</t>
  </si>
  <si>
    <t>HEZE600725MNLRPL04</t>
  </si>
  <si>
    <t xml:space="preserve"> 81 2368 2395</t>
  </si>
  <si>
    <t>Cesar Quezada Torres</t>
  </si>
  <si>
    <t>QUTC720813HDFZRS02</t>
  </si>
  <si>
    <t>Juan Manuel Echeverria Camelo</t>
  </si>
  <si>
    <t>84694912746</t>
  </si>
  <si>
    <t>EECJ490208HYNCMN00</t>
  </si>
  <si>
    <t>Manuel Espinosa Roa</t>
  </si>
  <si>
    <t xml:space="preserve">89856725034
</t>
  </si>
  <si>
    <t>EIRM670525HDFSXN02</t>
  </si>
  <si>
    <t>43816496822</t>
  </si>
  <si>
    <t>MA. CONCEPCION PEREZ GONZALEZ</t>
  </si>
  <si>
    <t>PEGC591115MCLRNN14</t>
  </si>
  <si>
    <t>María De Lourdes Escalona Rodríguez</t>
  </si>
  <si>
    <t xml:space="preserve">90927347246
</t>
  </si>
  <si>
    <t>EARL730705MDFSDR08</t>
  </si>
  <si>
    <t>KARINA MATA C/C</t>
  </si>
  <si>
    <t>Humberto Arias Lopez</t>
  </si>
  <si>
    <t>AILH620423HTCRPM04</t>
  </si>
  <si>
    <t>J JOSE DE LIRA MIRELES</t>
  </si>
  <si>
    <t>LIMJ600915HZSRRS00</t>
  </si>
  <si>
    <t>IRMA</t>
  </si>
  <si>
    <t>TOSI570112MJCRTR06</t>
  </si>
  <si>
    <t>FERNANDO VALERIO HERNANDEZ</t>
  </si>
  <si>
    <t>VAHF561212HVZLRR00</t>
  </si>
  <si>
    <t xml:space="preserve">martin bolañoz gonzalez </t>
  </si>
  <si>
    <t>9947655004</t>
  </si>
  <si>
    <t>BOGM751210HTSLNR03</t>
  </si>
  <si>
    <t>FERNANDO JARQUIN ORTIZ</t>
  </si>
  <si>
    <t>JAOF491221HOCRRR08</t>
  </si>
  <si>
    <t>MA DEL ROSARIO CHAVEZ RIVAS</t>
  </si>
  <si>
    <t>EDUARDO YAÑEZ MOYA</t>
  </si>
  <si>
    <t>NUME610622HNLXYD04</t>
  </si>
  <si>
    <t>ALEJANDRO MUÑOZ ORTEGA</t>
  </si>
  <si>
    <t>MUOA551126HDFXRL03</t>
  </si>
  <si>
    <t>ISMAEL CANO HERNANDEZ</t>
  </si>
  <si>
    <t xml:space="preserve">65785511521
</t>
  </si>
  <si>
    <t>CAHI550621HVZNRS02</t>
  </si>
  <si>
    <t xml:space="preserve">MARIO PEREZ MERAZ </t>
  </si>
  <si>
    <t>PEMM640911HSLRRR07</t>
  </si>
  <si>
    <t xml:space="preserve">ARTURO ALDRETE MORA </t>
  </si>
  <si>
    <t>AEMA630821HJCLRR08</t>
  </si>
  <si>
    <t>RAMON ESPINOZA SOTELO</t>
  </si>
  <si>
    <t>EISR530718HSLSTM04</t>
  </si>
  <si>
    <t>GUSTAVO ALFONSO GARCIA GONZALEZ</t>
  </si>
  <si>
    <t>GAGG600712HCLRNS02</t>
  </si>
  <si>
    <t>JUAN HERNANDEZ RODRIGUEZ</t>
  </si>
  <si>
    <t>HERJ650108HSPRDN05</t>
  </si>
  <si>
    <t>Juana Enedina Sánchez Cruz</t>
  </si>
  <si>
    <t>SACJ650514MDFNRN08</t>
  </si>
  <si>
    <t>MIGUEL ANGEL CARREÑO GARCIA</t>
  </si>
  <si>
    <t>CAGM670802HDFRRG00</t>
  </si>
  <si>
    <t>HIGINIO BARRAZA GARDEA</t>
  </si>
  <si>
    <t>BAGH650417HCHRRG03</t>
  </si>
  <si>
    <t>ARTURO ALEJANDRO VELAZQUEZ DELGADO</t>
  </si>
  <si>
    <t>41816330371</t>
  </si>
  <si>
    <t>VEDA630923HSPLLR01</t>
  </si>
  <si>
    <t>JOSE LUIS CARRILLO VILLASANA</t>
  </si>
  <si>
    <t>CAVL651117HCLRLS05</t>
  </si>
  <si>
    <t xml:space="preserve">HILDER PEREGRINO HERNANDEZ </t>
  </si>
  <si>
    <t>PEHH660316HTCRRL05</t>
  </si>
  <si>
    <t>FELIPE DE JESUS PANIAGUA DIAZ</t>
  </si>
  <si>
    <t>PADF650205HDFNZL04</t>
  </si>
  <si>
    <t>JOSE ANTONIO ROBLEDO SANJUAN</t>
  </si>
  <si>
    <t>ROSA561105HDFBNN08</t>
  </si>
  <si>
    <t xml:space="preserve">JUAN GERARDO HAGELSIEB OLIVARRIA </t>
  </si>
  <si>
    <t>HAOJ600919HSRGLN05</t>
  </si>
  <si>
    <t xml:space="preserve">HELEODORO ATZIN GARCIA </t>
  </si>
  <si>
    <t>AIGH620703HVZTRL08</t>
  </si>
  <si>
    <t>JOSE LUIS PEREZ MORENO</t>
  </si>
  <si>
    <t>PEML640910HYNRRS04</t>
  </si>
  <si>
    <t>HUMBERTO JUVENTINO PERALTA HERNANDEZ</t>
  </si>
  <si>
    <t>67735302944</t>
  </si>
  <si>
    <t>PEHH530220HPLRRM04</t>
  </si>
  <si>
    <t>JESUS RENTERIA ONTIVEROS</t>
  </si>
  <si>
    <t>REOJ601220HCHNNS09</t>
  </si>
  <si>
    <t>Sandra Arceo Hernández</t>
  </si>
  <si>
    <t>AEHS630205MMNRRN06</t>
  </si>
  <si>
    <t>ALMA NEREIDA MEDINA GUICOZA</t>
  </si>
  <si>
    <t>MEGA840310MSRDCL00</t>
  </si>
  <si>
    <t>NORMA ALICIA MARQUEZ RIVAS</t>
  </si>
  <si>
    <t xml:space="preserve">33786014044
</t>
  </si>
  <si>
    <t>MARN600808MCHRVR03</t>
  </si>
  <si>
    <t>SERGIO VARELA PIMENTEL</t>
  </si>
  <si>
    <t>VAPS621005HCHRMR02</t>
  </si>
  <si>
    <t>IRMA AGUILAR DIAZ</t>
  </si>
  <si>
    <t>AUDI650130MTSGZR07</t>
  </si>
  <si>
    <t xml:space="preserve">ARTURO TALAVERA VENZOR </t>
  </si>
  <si>
    <t>TAVA631129HSRLNR03</t>
  </si>
  <si>
    <t>Jorge Alberto Márquez</t>
  </si>
  <si>
    <t>23644723456</t>
  </si>
  <si>
    <t>Martin Ibarra Ramos</t>
  </si>
  <si>
    <t>IARM630223HVZBMR03</t>
  </si>
  <si>
    <t>MANUEL RAMIREZ CARDENAS</t>
  </si>
  <si>
    <t>RACM580823HQTMRN09</t>
  </si>
  <si>
    <t>SILVIA RAMIREZ DEL VALLE</t>
  </si>
  <si>
    <t>06745032026</t>
  </si>
  <si>
    <t>RAVS540208MDFMLL09</t>
  </si>
  <si>
    <t>ALBERTO CANSECO REYES</t>
  </si>
  <si>
    <t>67795805703</t>
  </si>
  <si>
    <t xml:space="preserve">MARCELO EDUARDO RUANA HUERTA </t>
  </si>
  <si>
    <t>RUHM491027HMNNRR00</t>
  </si>
  <si>
    <t>CARRANZA SARDINA C/C</t>
  </si>
  <si>
    <t>Julio Cesar Rendon Galaviz</t>
  </si>
  <si>
    <t>REGJ671222HDFNLL01</t>
  </si>
  <si>
    <t>Esteban Pech mex</t>
  </si>
  <si>
    <t xml:space="preserve">PEME631226HYNCXS09 </t>
  </si>
  <si>
    <t>Francisco Carlos Espinoza Morán</t>
  </si>
  <si>
    <t>JOSEFINA GARCIA PEREZ</t>
  </si>
  <si>
    <t>04664818665</t>
  </si>
  <si>
    <t>GAPJ530224MMNRRS07</t>
  </si>
  <si>
    <t xml:space="preserve">J. JESUS TAVARES RODRIGUEZ </t>
  </si>
  <si>
    <t>TARJ561109HJCVDS05</t>
  </si>
  <si>
    <t>LEONOR DIAS TORRES</t>
  </si>
  <si>
    <t>DITL640713MPLSRN05</t>
  </si>
  <si>
    <t>JUAN MANUEL RAMIREZ RUIZ</t>
  </si>
  <si>
    <t>RARJ620823HDFMZN08</t>
  </si>
  <si>
    <t>GISELA SOLIS TORRES</t>
  </si>
  <si>
    <t>SOTG760327MMNLRS09</t>
  </si>
  <si>
    <t>Leopoldo Tellaeche Galván</t>
  </si>
  <si>
    <t>TEGL610405HSRLLP01</t>
  </si>
  <si>
    <t>FIFOSO</t>
  </si>
  <si>
    <t>Félix de Hoyos Castro</t>
  </si>
  <si>
    <t>HOCF620429HCLYSL15</t>
  </si>
  <si>
    <t>CARLOS CLEOFAS HERNANDEZ CAVAZOS</t>
  </si>
  <si>
    <t>43745428367</t>
  </si>
  <si>
    <t>HECC540925HNLRVR03</t>
  </si>
  <si>
    <t>81 1249 6402</t>
  </si>
  <si>
    <t>JOSE SANTOS JIMENEZ RAMIREZ</t>
  </si>
  <si>
    <t>JIRS630411HASMMN06</t>
  </si>
  <si>
    <t>MARIA AURELIA ESTHER ZAMITIZ PEREZ</t>
  </si>
  <si>
    <t>02936200514</t>
  </si>
  <si>
    <t>ZAPA620925MPLMRR02</t>
  </si>
  <si>
    <t>EMERICO BAZALDUA LOPEZ</t>
  </si>
  <si>
    <t>BALE701012HNLZPM05</t>
  </si>
  <si>
    <t>826 103 1103</t>
  </si>
  <si>
    <t>Raúl Prado Garcia</t>
  </si>
  <si>
    <t>PAGR601016HJCRRL00</t>
  </si>
  <si>
    <t>JUAN CARLOS HERNANDEZ GARIBAY</t>
  </si>
  <si>
    <t>HEGJ740721HJCRRN07</t>
  </si>
  <si>
    <t>Cristina Escoto</t>
  </si>
  <si>
    <t>LIGIA ESPERANZA LOPEZ SOLIS</t>
  </si>
  <si>
    <t>LOSL600115MYNPLG07</t>
  </si>
  <si>
    <t>maria elena casas lopez</t>
  </si>
  <si>
    <t>CALE610621MSRSPL07</t>
  </si>
  <si>
    <t>MA. REFUGIO LUNA NERI</t>
  </si>
  <si>
    <t>55816006252</t>
  </si>
  <si>
    <t>LUNR6006619MNTNRF07</t>
  </si>
  <si>
    <t>ELADIO TREVIÑO TORRES</t>
  </si>
  <si>
    <t>MARTHA EDITH HERVERT TREJO</t>
  </si>
  <si>
    <t>HETM620205MVZRRR07</t>
  </si>
  <si>
    <t>MARIO MARTIN RANGEL SEGURA</t>
  </si>
  <si>
    <t>RASM640120HGTNGR04</t>
  </si>
  <si>
    <t>MARIA HERLINDA AGUILAR SANCHEZ</t>
  </si>
  <si>
    <t xml:space="preserve">01776072710
</t>
  </si>
  <si>
    <t>AUSH610307MDFGNR08</t>
  </si>
  <si>
    <t>MIGUEL ANGEL AGUILAR SANCHEZ</t>
  </si>
  <si>
    <t>AUSM600922HDFGNG01</t>
  </si>
  <si>
    <t>RUBEN GUZMAN LOPEZ</t>
  </si>
  <si>
    <t>04856905114</t>
  </si>
  <si>
    <t>GULR690805HJCZPB07</t>
  </si>
  <si>
    <t>MARGARITA PONCE QUEZADA</t>
  </si>
  <si>
    <t>3367511109</t>
  </si>
  <si>
    <t>POQM510125MCHNZR01</t>
  </si>
  <si>
    <t>Julia Maria Guadalupe avendaño</t>
  </si>
  <si>
    <t xml:space="preserve">AEGJ600412MDGVNL07 </t>
  </si>
  <si>
    <t>ESMERALDA SANCHEZ BENITEZ</t>
  </si>
  <si>
    <t>SABE830614MGRNNS09</t>
  </si>
  <si>
    <t>83957801190</t>
  </si>
  <si>
    <t>JUAN MANUEL SMITH RANGEL</t>
  </si>
  <si>
    <t>49906530891</t>
  </si>
  <si>
    <t>SIRJ650623HTSMNN06</t>
  </si>
  <si>
    <t>JORGE GONZALEZ LARA</t>
  </si>
  <si>
    <t>23886205089</t>
  </si>
  <si>
    <t>GOLJ621118HSLNRR05</t>
  </si>
  <si>
    <t>LAURA IMELDA MARTINEZ CONTRERAS</t>
  </si>
  <si>
    <t>MACL580511MSPRNR08</t>
  </si>
  <si>
    <t>Bernardo Jacinto torres Marín</t>
  </si>
  <si>
    <t>TOMB630817HNLRRR13</t>
  </si>
  <si>
    <t>ANGEL CASTRO GUTIERREZ</t>
  </si>
  <si>
    <t>24734903263</t>
  </si>
  <si>
    <t>CXGA490911HSRSTN08</t>
  </si>
  <si>
    <t>MARIA GREGORIA DOLORES PALMA</t>
  </si>
  <si>
    <t>02522000203</t>
  </si>
  <si>
    <t>GUPG550309MPLZLR08</t>
  </si>
  <si>
    <t>222 100 2331</t>
  </si>
  <si>
    <t>Francisco Javier flores leon</t>
  </si>
  <si>
    <t xml:space="preserve">	FOLF750112HDFLNR04</t>
  </si>
  <si>
    <t>JUAN</t>
  </si>
  <si>
    <t>RODJ630217HQTDZN07</t>
  </si>
  <si>
    <t>GERARDO TORO HERRERA</t>
  </si>
  <si>
    <t>TOHG600403HMNRRR04</t>
  </si>
  <si>
    <t>hector ruben cabrera alvarado</t>
  </si>
  <si>
    <t>CAAH530508HVZBLC02</t>
  </si>
  <si>
    <t>YOLANDA</t>
  </si>
  <si>
    <t>12816505957</t>
  </si>
  <si>
    <t>JOSE LUIS VAZQUEZ SANTIAGO</t>
  </si>
  <si>
    <t>VASL620425HCSZNS03</t>
  </si>
  <si>
    <t>CELINA VEGA</t>
  </si>
  <si>
    <t>VELC820314MSLGGL01</t>
  </si>
  <si>
    <t xml:space="preserve">EZEQUIEL ALFARO SUAREZ </t>
  </si>
  <si>
    <t xml:space="preserve">	PABLO	MONTOYA	GONGORA</t>
  </si>
  <si>
    <t>MOGP610811HSRNNB02</t>
  </si>
  <si>
    <t>JUSTINA</t>
  </si>
  <si>
    <t>ROSJ690719MMCDSS03</t>
  </si>
  <si>
    <t>MARCELINO JUAN MORALES HERNANDEZ</t>
  </si>
  <si>
    <t>MOHM640602HTSRRR01</t>
  </si>
  <si>
    <t>ERNESTO BURNES VELA</t>
  </si>
  <si>
    <t>03806227751</t>
  </si>
  <si>
    <t xml:space="preserve">BUVE620228HNLRLR08 </t>
  </si>
  <si>
    <t>HECTOR ORTIZ PIÑON</t>
  </si>
  <si>
    <t xml:space="preserve">43816555015
</t>
  </si>
  <si>
    <t>OIPH650114HNLRXC02</t>
  </si>
  <si>
    <t>FAUSTINO CARRANZA REYES</t>
  </si>
  <si>
    <t>CARF570310HJCRYS09</t>
  </si>
  <si>
    <t>JAIME MOCTEZUMA CASTILLO</t>
  </si>
  <si>
    <t xml:space="preserve">61816309787
</t>
  </si>
  <si>
    <t>MOCJ630120HTLCSM04</t>
  </si>
  <si>
    <t>MARIA DE LA SOLEDAD MACIAS BECERRA</t>
  </si>
  <si>
    <t>MABS600306MHGCCL00</t>
  </si>
  <si>
    <t xml:space="preserve">MARTIN RAMIREZ MARTINEZ </t>
  </si>
  <si>
    <t>RAMM630930HASMRR06</t>
  </si>
  <si>
    <t xml:space="preserve">SARA ELVA JIMENEZ ALVAREZ </t>
  </si>
  <si>
    <t>JIAS640528MTSMLR06</t>
  </si>
  <si>
    <t xml:space="preserve">ELISEO NUÑEZ </t>
  </si>
  <si>
    <t>NUJE590106HJCXRL07</t>
  </si>
  <si>
    <t>ROCIO IZQUIERDO BOTELLO</t>
  </si>
  <si>
    <t>IUBR600524MDFZTC05</t>
  </si>
  <si>
    <t xml:space="preserve">HECTOR GUSTAVO GUTIERREZ FONSECA </t>
  </si>
  <si>
    <t>GUFH631101HDFTNC00</t>
  </si>
  <si>
    <t>JOSE IGNACIO JUAREZ GOMEZ</t>
  </si>
  <si>
    <t>06825902437</t>
  </si>
  <si>
    <t>JUGI590731HPLRMG02</t>
  </si>
  <si>
    <t>LUIS BELTRAN ROSALES</t>
  </si>
  <si>
    <t>BERL640524HSPLSS01</t>
  </si>
  <si>
    <t>81 3600 1949</t>
  </si>
  <si>
    <t>MARIA DE LOURDES GONZALEZ CESAR</t>
  </si>
  <si>
    <t>01745905214</t>
  </si>
  <si>
    <t>GOCL600723MDFNSR00</t>
  </si>
  <si>
    <t>JORGE EDUARDO CANCHE PECH</t>
  </si>
  <si>
    <t>CAPJ600926HCCNCR07</t>
  </si>
  <si>
    <t>FRANCISCO JAVIER CRUZ</t>
  </si>
  <si>
    <t>JOSE NICOLAS VILLA MOLINA</t>
  </si>
  <si>
    <t xml:space="preserve">24806108759    </t>
  </si>
  <si>
    <t>VIMN610910HSRLLC03</t>
  </si>
  <si>
    <t>ESTEBAN VARGAS SANCHEZ</t>
  </si>
  <si>
    <t>VASE670102HOCRNS04</t>
  </si>
  <si>
    <t>ELENA OJEDA</t>
  </si>
  <si>
    <t xml:space="preserve">CARMEN YOLANDA BORUNDA HERNANDEZ </t>
  </si>
  <si>
    <t>BOHC580724MCHRRR00</t>
  </si>
  <si>
    <t>JOSE DE JESUS DURAN HERNANDEZ</t>
  </si>
  <si>
    <t>5479607662</t>
  </si>
  <si>
    <t>DUHJ600811HJCRRS01</t>
  </si>
  <si>
    <t>MA. GLORIA INOCENCIA PIÑA SÁNCHEZ</t>
  </si>
  <si>
    <t>RODOLFO VELASCO ITURBE</t>
  </si>
  <si>
    <t xml:space="preserve"> VEIR571007HDFLTD01</t>
  </si>
  <si>
    <t>ISAIAS CASTRO OLIVA</t>
  </si>
  <si>
    <t>CAOI760706HGTSLS03</t>
  </si>
  <si>
    <t>CARLOS RICARDO BAHENA LOPEZ</t>
  </si>
  <si>
    <t>BALC640719HDFHPR02</t>
  </si>
  <si>
    <t xml:space="preserve">ANTONIO </t>
  </si>
  <si>
    <t>MAAA650520HTLRRN07</t>
  </si>
  <si>
    <t>Armando alcantara mayen</t>
  </si>
  <si>
    <t>AAMA620714HDFLYR09</t>
  </si>
  <si>
    <t xml:space="preserve">ANGEL ARTURO LUIS PERALTA </t>
  </si>
  <si>
    <t>RUPA651215HDFZRN07</t>
  </si>
  <si>
    <t>J. GUADALUPE GARCIA SANCHEZ</t>
  </si>
  <si>
    <t>GASG461009HSPRND13</t>
  </si>
  <si>
    <t>MANUEL MARTINEZ CADENA</t>
  </si>
  <si>
    <t>MACM660128HSRRDN09</t>
  </si>
  <si>
    <t xml:space="preserve">JULIO FRANCISCO MARQUEZ FERNANDEZ </t>
  </si>
  <si>
    <t>MAFJ610616HVZRRL01</t>
  </si>
  <si>
    <t>ISTVAN KADAS SZENASY</t>
  </si>
  <si>
    <t>KASI571118HDFDZS07</t>
  </si>
  <si>
    <t>GREGORIO EDUARDO MARTINEZ ZUÑIGA</t>
  </si>
  <si>
    <t>MAZG610219HVZRXR02</t>
  </si>
  <si>
    <t>JOSE ANGEL NIEVES MENDEZ</t>
  </si>
  <si>
    <t>NIMA571015HDGVNN06</t>
  </si>
  <si>
    <t>JULIO GUSTAVO ESCARCEGA CERVANTES</t>
  </si>
  <si>
    <t xml:space="preserve">01796272662
</t>
  </si>
  <si>
    <t>EACJ620407HDFSRL07</t>
  </si>
  <si>
    <t>ISABEL GARCIA</t>
  </si>
  <si>
    <t>FRANCISCO ABARCA LOPEZ</t>
  </si>
  <si>
    <t>AALF590709HGRBPR05</t>
  </si>
  <si>
    <t>ENRIQUE JAVIER BELMONTE ARENAS</t>
  </si>
  <si>
    <t>BEAE610912HASLRN04</t>
  </si>
  <si>
    <t>LETICIA VALENZUELA ESCAMILLA</t>
  </si>
  <si>
    <t>23877222754</t>
  </si>
  <si>
    <t xml:space="preserve"> VAEL700618MBCLST03</t>
  </si>
  <si>
    <t>LILIA DEL CARMEN TORRES TAMAYO</t>
  </si>
  <si>
    <t>TOTL660805MYNRML05</t>
  </si>
  <si>
    <t>SACL651207HDFNRS04</t>
  </si>
  <si>
    <t xml:space="preserve">Jose Isidro Gómez reyes </t>
  </si>
  <si>
    <t>GORI500515HVZMYS06</t>
  </si>
  <si>
    <t xml:space="preserve">JAVIER MARTINEZ OLGUIN </t>
  </si>
  <si>
    <t xml:space="preserve">	SANTIAGO RUIZ</t>
  </si>
  <si>
    <t>RUCS590901HOCZRN11</t>
  </si>
  <si>
    <t>MA.REBECA PEREZ FERRER</t>
  </si>
  <si>
    <t>PEFR650930MMNRRB03</t>
  </si>
  <si>
    <t>JOSE SIMON SAUCEDO REYES</t>
  </si>
  <si>
    <t>3181590913</t>
  </si>
  <si>
    <t>SARS590930HZSCYM01</t>
  </si>
  <si>
    <t>JORGE MANUEL CRUZ</t>
  </si>
  <si>
    <t>MACJ550423HVZNRR04</t>
  </si>
  <si>
    <t>NORMA ADRIANA LARA ORTEGA</t>
  </si>
  <si>
    <t>54816309345</t>
  </si>
  <si>
    <t>LAON640505MJCRRR04</t>
  </si>
  <si>
    <t>YARA EKEBA CALDERON BRAVO</t>
  </si>
  <si>
    <t>CABY810326MBCLRR05</t>
  </si>
  <si>
    <t xml:space="preserve">VICTOR DE LA O MARTINEZ </t>
  </si>
  <si>
    <t>OXMV690707HDFXRC04</t>
  </si>
  <si>
    <t>MARCO ANTONIO LEON GONZALEZ</t>
  </si>
  <si>
    <t>LEGM560130HSLNNR03</t>
  </si>
  <si>
    <t>JULIO CESAR PEREZ</t>
  </si>
  <si>
    <t>MARIA ANGELICA NATIVIDAD MORALES ROSALES</t>
  </si>
  <si>
    <t>MORA640601MPLRSN01</t>
  </si>
  <si>
    <t>SALUSTIO</t>
  </si>
  <si>
    <t>EIMS500914HMSNDL14</t>
  </si>
  <si>
    <t>HILDA ESTRADA</t>
  </si>
  <si>
    <t>eduardo farfan lopez</t>
  </si>
  <si>
    <t>11947719404</t>
  </si>
  <si>
    <t xml:space="preserve">MARCOS JESUS CRUZ CARRANZA </t>
  </si>
  <si>
    <t>CUCM590308HVZRRR01</t>
  </si>
  <si>
    <t>JOSE LUIS PANIAGUA CARRILLO</t>
  </si>
  <si>
    <t>PACL610927HMNNRS04</t>
  </si>
  <si>
    <t>ANDRES TORRES TORRES</t>
  </si>
  <si>
    <t>TOTA651020HGTRRN05</t>
  </si>
  <si>
    <t>Juan Rodriguez Rodriguez</t>
  </si>
  <si>
    <t>RORJ630910HMCDDN08</t>
  </si>
  <si>
    <t>JOEL CARVAJAL MENDEZ</t>
  </si>
  <si>
    <t>CAMJ590714HSRRNL05</t>
  </si>
  <si>
    <t>Maria de los angeles alcazar bravo</t>
  </si>
  <si>
    <t>AABA560802MDFLRN07</t>
  </si>
  <si>
    <t>Ruben Rodriguez Ramirez</t>
  </si>
  <si>
    <t>RORR640430HDFDMB00</t>
  </si>
  <si>
    <t>MARIA LOURDES ARMENTA PLATA</t>
  </si>
  <si>
    <t>AEPL600908MDFRLR01</t>
  </si>
  <si>
    <t>LUIS ENRIQUE RODRIGUEZ GARCIA</t>
  </si>
  <si>
    <t xml:space="preserve">	ROGJ591015HNLDRM00</t>
  </si>
  <si>
    <t>Magdalena Miron Martinez</t>
  </si>
  <si>
    <t>05705301454</t>
  </si>
  <si>
    <t>MEEM530426HVZZSR09</t>
  </si>
  <si>
    <t>JUVENTINO RIVERA MOLINERO</t>
  </si>
  <si>
    <t>54806152960</t>
  </si>
  <si>
    <t xml:space="preserve"> RIMJ611220HMNVLV04</t>
  </si>
  <si>
    <t>Lucia Roman Jimenez</t>
  </si>
  <si>
    <t>Jesus Guzman Fierro</t>
  </si>
  <si>
    <t>FRANCISCO LOPEZ CASTAÑEDA</t>
  </si>
  <si>
    <t>LOCF691201HNLPSR03</t>
  </si>
  <si>
    <t>ALMA ROSA MEDINA KOCH</t>
  </si>
  <si>
    <t>MEKA720710MSPDCL04</t>
  </si>
  <si>
    <t>GUADALUPE DOLORES TELLO ROLDAN</t>
  </si>
  <si>
    <t>TERG541212MPLLLD08</t>
  </si>
  <si>
    <t>JORGE REYES COLIN</t>
  </si>
  <si>
    <t>RECJ651209HMCYLR02</t>
  </si>
  <si>
    <t>OSCAR HUMBERTO NIEBLAS LOPEZ</t>
  </si>
  <si>
    <t xml:space="preserve"> NILO600320HSLBPS01</t>
  </si>
  <si>
    <t>Juan Armando Berdon Alva</t>
  </si>
  <si>
    <t>BEAJ640808HVZRLN04</t>
  </si>
  <si>
    <t>JOSE JOAQUIN PASCUAL DAZA CERVANTES</t>
  </si>
  <si>
    <t>DACJ490816HDFZRQ04</t>
  </si>
  <si>
    <t>ALEJANDRO PEREZ ESCOBAR</t>
  </si>
  <si>
    <t>PEEA600717HCSRSL11</t>
  </si>
  <si>
    <t>RUBEN HERNANDEZ BENITEZ</t>
  </si>
  <si>
    <t xml:space="preserve">	HEBR520815HMCRNB04</t>
  </si>
  <si>
    <t>Jose Galarza Campos</t>
  </si>
  <si>
    <t>GACJ640813HDGLMS01</t>
  </si>
  <si>
    <t>HECTOR RAUL MARTINEZ GARZA</t>
  </si>
  <si>
    <t>MAGH620319HNLRRC08</t>
  </si>
  <si>
    <t>JOSE MARTIN MACIAS ESPINOZA</t>
  </si>
  <si>
    <t>21816258475</t>
  </si>
  <si>
    <t>MAEM620205HBCCSR08</t>
  </si>
  <si>
    <t>MARCO ANTONIO CRUZ SEVILLA</t>
  </si>
  <si>
    <t>CUSM610523HDFRVR05</t>
  </si>
  <si>
    <t>ROBERTO VARGAS</t>
  </si>
  <si>
    <t>RAUL GOMEZ</t>
  </si>
  <si>
    <t xml:space="preserve">JAVIER HERNANDEZ </t>
  </si>
  <si>
    <t>PEDRO</t>
  </si>
  <si>
    <t xml:space="preserve">MARTHA </t>
  </si>
  <si>
    <t>Renato Martinez ibarra</t>
  </si>
  <si>
    <t>MAIR620405HJCRBN03</t>
  </si>
  <si>
    <t>JUANA DE DIOS ARIAS DE LA CRUZ</t>
  </si>
  <si>
    <t>AICJ630308MCSRRN04</t>
  </si>
  <si>
    <t xml:space="preserve">JUAN ANTONIO REYES GALVAN </t>
  </si>
  <si>
    <t>REGJ601012HGTYLN07</t>
  </si>
  <si>
    <t xml:space="preserve">honorio dzib dzib </t>
  </si>
  <si>
    <t>DIDH420101HYNZZN03</t>
  </si>
  <si>
    <t>Marco Antonio León López</t>
  </si>
  <si>
    <t>LELM550627HVZNPR05</t>
  </si>
  <si>
    <t>NICOLAS IBARRA ALVAREZ</t>
  </si>
  <si>
    <t xml:space="preserve">LAURA ELENA BLANCO SANCHEZ </t>
  </si>
  <si>
    <t>BASL580310MCLLNR09</t>
  </si>
  <si>
    <t>MARTIN FRANCISCO LOPEZ GARCIA</t>
  </si>
  <si>
    <t>LOGM510615HDGPRR08</t>
  </si>
  <si>
    <t>OLIVIA PEREZ ZAVALA</t>
  </si>
  <si>
    <t>01563822707</t>
  </si>
  <si>
    <t>PEZO441228MDFRVL01</t>
  </si>
  <si>
    <t xml:space="preserve">ARMIDA LAU MORALES </t>
  </si>
  <si>
    <t>LAMA650225MCSXRR04</t>
  </si>
  <si>
    <t>Martha Alicia Treviño Tristán</t>
  </si>
  <si>
    <t>43796177194</t>
  </si>
  <si>
    <t>Maria Guadalupe Trejo Muñoz</t>
  </si>
  <si>
    <t>TEMG620324MNLRXD03</t>
  </si>
  <si>
    <t>Nazaria Alvarez Aguilar</t>
  </si>
  <si>
    <t>78816008896</t>
  </si>
  <si>
    <t>AAAN630728MOCLGZ03</t>
  </si>
  <si>
    <t>Víctor Alberto Domínguez Gómez</t>
  </si>
  <si>
    <t>DOGV671127HDFMMC03</t>
  </si>
  <si>
    <t xml:space="preserve">RAQUEL MARIN GONZALEZ </t>
  </si>
  <si>
    <t>MAGR621117MMCRNQ07</t>
  </si>
  <si>
    <t>Juan huerta arambula</t>
  </si>
  <si>
    <t xml:space="preserve">PEDRO HERNANDEZ PEREZ </t>
  </si>
  <si>
    <t>HEPP621025HSPRRD07</t>
  </si>
  <si>
    <t xml:space="preserve">ELFEGO OROPEZA MORALES </t>
  </si>
  <si>
    <t>OOME501220HPLRRL00</t>
  </si>
  <si>
    <t>FERNANDO CHAVEZ MOLINA</t>
  </si>
  <si>
    <t>CAMF610813HDFHLR05</t>
  </si>
  <si>
    <t>Rodolfo Guerra Velez</t>
  </si>
  <si>
    <t xml:space="preserve">JUAN MARTIN GARCIA GARCIA </t>
  </si>
  <si>
    <t>GAGJ551111HGTRRN05</t>
  </si>
  <si>
    <t>CALIXTRO TORRES DELFIN</t>
  </si>
  <si>
    <t>TODC501014HNTRLL05</t>
  </si>
  <si>
    <t>PEDRO VALERIANO GONZALEZ PORTILLO</t>
  </si>
  <si>
    <t>Valente Mendoza Hurtado</t>
  </si>
  <si>
    <t>08170176575</t>
  </si>
  <si>
    <t>Raymundo Lopez Rivera</t>
  </si>
  <si>
    <t>LORR491115HQTPVY00</t>
  </si>
  <si>
    <t>Guadalupe Elena Ibarra Valencia</t>
  </si>
  <si>
    <t>IAVG630512MSLBLD05</t>
  </si>
  <si>
    <t>MARGARITA GARCIA ORTIZ</t>
  </si>
  <si>
    <t>GAOM601025MCMRRR03</t>
  </si>
  <si>
    <t>MIGUEL ANGEL ALEGRIA MONROY</t>
  </si>
  <si>
    <t>AEMM630312HDFLNG04</t>
  </si>
  <si>
    <t>RAUL MENDOZA VAZQUEZ</t>
  </si>
  <si>
    <t>MEVR630827HMNNZL00</t>
  </si>
  <si>
    <t>Claudia Franco Espinoza</t>
  </si>
  <si>
    <t>FAEC771218MBCRSL07</t>
  </si>
  <si>
    <t xml:space="preserve">Mario Morales Guillen </t>
  </si>
  <si>
    <t>JUAN JOSE CERVANTES VELAZQUEZ</t>
  </si>
  <si>
    <t>0677604496</t>
  </si>
  <si>
    <t>CEVJ611121HDFRLN00</t>
  </si>
  <si>
    <t>Aura Luz Garcia Lopez</t>
  </si>
  <si>
    <t>VICENTE CONTRERAS MOLINA</t>
  </si>
  <si>
    <t>COMV570406HCMNLC01</t>
  </si>
  <si>
    <t>José Alberto Hernandez Hernandez</t>
  </si>
  <si>
    <t>HEHA600201HDFRRL07</t>
  </si>
  <si>
    <t xml:space="preserve">roberto lopez hernandez </t>
  </si>
  <si>
    <t>LOHR650621HDFPRB09</t>
  </si>
  <si>
    <t>FELIPE DE JESUS RODRIGUEZ GUERRERO</t>
  </si>
  <si>
    <t>ROGF640205HCLDRL01</t>
  </si>
  <si>
    <t>francisco javier rincon de la cruz</t>
  </si>
  <si>
    <t>RICF671022HJCNRR06</t>
  </si>
  <si>
    <t>adelaida avila garcia</t>
  </si>
  <si>
    <t>JOSE DANIEL GONZALEZ MORENO</t>
  </si>
  <si>
    <t>49926215614</t>
  </si>
  <si>
    <t>GOMD620319HTSNRN00</t>
  </si>
  <si>
    <t>Marco Antonio Rodriguez Mejia</t>
  </si>
  <si>
    <t>ROMM600910HDFDJR04</t>
  </si>
  <si>
    <t xml:space="preserve">DAVID ROMERO LORENZANA </t>
  </si>
  <si>
    <t>55795902760</t>
  </si>
  <si>
    <t>ROLD591229HNTMRV03</t>
  </si>
  <si>
    <t>Veronica Rosas Ramirez</t>
  </si>
  <si>
    <t>89846629395</t>
  </si>
  <si>
    <t>RORV660125MDFSMR01</t>
  </si>
  <si>
    <t>JOSE GUADALUPE RAMIREZ CABRALES</t>
  </si>
  <si>
    <t>RACG561212HTCMBD03</t>
  </si>
  <si>
    <t>FERNANDO GOMEZ LOPEZ</t>
  </si>
  <si>
    <t>GOLF610223HSRMPR05</t>
  </si>
  <si>
    <t>EVODIO MOSSO PEREZ</t>
  </si>
  <si>
    <t>MOPE540506HGRSRV03</t>
  </si>
  <si>
    <t xml:space="preserve">	ROSA MARIA SANCHEZ</t>
  </si>
  <si>
    <t>49966000345</t>
  </si>
  <si>
    <t>LUXE660524HSPGXS00</t>
  </si>
  <si>
    <t>JORGE OCTAVIO CALIXTO VIEYRA</t>
  </si>
  <si>
    <t>10816012073</t>
  </si>
  <si>
    <t>CAVJ600709HDFLYR09</t>
  </si>
  <si>
    <t>JUAN MARCELO FUENTES ROJAS</t>
  </si>
  <si>
    <t>12895908213</t>
  </si>
  <si>
    <t>FURJ590116HGTNJN00</t>
  </si>
  <si>
    <t>ALFONSO ORTINEZ ESCORZA</t>
  </si>
  <si>
    <t>OIEA620628HDFRSL06</t>
  </si>
  <si>
    <t>OSCAR ALMARAZ DE LA CRUZ</t>
  </si>
  <si>
    <t>AACO650415HPLLRS07</t>
  </si>
  <si>
    <t>GABINO RUBEN MARTINEZ MONTELLANO</t>
  </si>
  <si>
    <t>MAMG591021HOCRNB06</t>
  </si>
  <si>
    <t>LUNA ESPINOSA JUAN CARLOS</t>
  </si>
  <si>
    <t>06786025129</t>
  </si>
  <si>
    <t>LUEJ620306HMCNSN07</t>
  </si>
  <si>
    <t>DOMINGO HECTOR DOMINGUEZ PUENTE</t>
  </si>
  <si>
    <t xml:space="preserve">32755828616
</t>
  </si>
  <si>
    <t>DOPD610713HNLMNM08</t>
  </si>
  <si>
    <t>ZACARIAS SANCHEZ VASQUEZ</t>
  </si>
  <si>
    <t>SAVZ640229HQTNSC05</t>
  </si>
  <si>
    <t>81 1128 9988</t>
  </si>
  <si>
    <t>ISMAEL ZAVALA MARTINEZ</t>
  </si>
  <si>
    <t>33 1637 2260</t>
  </si>
  <si>
    <t xml:space="preserve">HORTENSIA RODRIGUEZ ARREGUIN </t>
  </si>
  <si>
    <t>43806326781</t>
  </si>
  <si>
    <t>AERH650102MNLRDR02</t>
  </si>
  <si>
    <t>JOSE FORTINO MIJANGOS BECERRA</t>
  </si>
  <si>
    <t>01735138115</t>
  </si>
  <si>
    <t>MIBF510812HDFJCR04</t>
  </si>
  <si>
    <t xml:space="preserve"> 729 801 8036</t>
  </si>
  <si>
    <t>ANTONIO GALLEGOS PORRAS</t>
  </si>
  <si>
    <t>GAPA651116HTSLRN04</t>
  </si>
  <si>
    <t>ARMANDO DOMINGUEZ SANTOS</t>
  </si>
  <si>
    <t>DOSA610314HVZMNR09</t>
  </si>
  <si>
    <t>BERTHA PEREZ JIMENEZ</t>
  </si>
  <si>
    <t>01776063552</t>
  </si>
  <si>
    <t>PEJB610408MDFRMR03</t>
  </si>
  <si>
    <t>ROSSANA MENA SANCHEZ</t>
  </si>
  <si>
    <t>MESR600219MMSNNS07</t>
  </si>
  <si>
    <t>55805802018</t>
  </si>
  <si>
    <t>JOSE RAFAEL RUIZ DIAZ</t>
  </si>
  <si>
    <t xml:space="preserve">24846229946
</t>
  </si>
  <si>
    <t>RUDR620914HSRZZF00</t>
  </si>
  <si>
    <t>AMALIA ZAVALA LARA</t>
  </si>
  <si>
    <t>ZALA640406MCCVRM02</t>
  </si>
  <si>
    <t>GABRIEL ESCARRAMAN SALAZAR</t>
  </si>
  <si>
    <t>15897401160</t>
  </si>
  <si>
    <t>EASG740817HMSSLB07</t>
  </si>
  <si>
    <t>Martha Natalia Perez Buenrostro</t>
  </si>
  <si>
    <t>64846405138</t>
  </si>
  <si>
    <t>PEBM640705MDFRNR07</t>
  </si>
  <si>
    <t>RODOLFO CONTRERAS BARAJAS</t>
  </si>
  <si>
    <t>COBR491101HMNNRD04</t>
  </si>
  <si>
    <t>477 273 4701</t>
  </si>
  <si>
    <t>FRANCISCO JAVIER ZACARIAS FLORES</t>
  </si>
  <si>
    <t>ZAFF660101HASCLR07</t>
  </si>
  <si>
    <t>CESAR GARCIA JACOBO</t>
  </si>
  <si>
    <t>GAJC640709HJCRCS08</t>
  </si>
  <si>
    <t>Alvaro Valdes Arzate</t>
  </si>
  <si>
    <t>VAAA580509HDFLRL07</t>
  </si>
  <si>
    <t>GUADALUPE TRUJILLO NAVARRO</t>
  </si>
  <si>
    <t>TUNG571019MSRRVD07</t>
  </si>
  <si>
    <t xml:space="preserve">FELIX LIBORIO BARRITA LOPEZ </t>
  </si>
  <si>
    <t>BALF610710HOCRPL07</t>
  </si>
  <si>
    <t>LUIS ALBERTO MENDOZA BARRERAS</t>
  </si>
  <si>
    <t>MEBL660528HSRNRS05</t>
  </si>
  <si>
    <t>MARTIN JAIME GONZALEZ</t>
  </si>
  <si>
    <t>12916201093</t>
  </si>
  <si>
    <t>GOXM620829HGTNXR01</t>
  </si>
  <si>
    <t>JOSE FABIAN MONTES PEREZ</t>
  </si>
  <si>
    <t xml:space="preserve">62816403943
</t>
  </si>
  <si>
    <t xml:space="preserve"> MOPF640430HPLNRB04</t>
  </si>
  <si>
    <t xml:space="preserve">Angel Eduardo </t>
  </si>
  <si>
    <t>Romelia Hernández Linares</t>
  </si>
  <si>
    <t xml:space="preserve">32806320209
</t>
  </si>
  <si>
    <t>JOSE LUIS GONZALEZ CORTEZ</t>
  </si>
  <si>
    <t>GOCL640703HVZNRS00</t>
  </si>
  <si>
    <t>FRANCISCA</t>
  </si>
  <si>
    <t>78825604701</t>
  </si>
  <si>
    <t xml:space="preserve">ALFREDO RUIZ MILLAN </t>
  </si>
  <si>
    <t>RUMA620910HTSZLL01</t>
  </si>
  <si>
    <t>ARIEL FERNANDO MAYORGA HERNANDEZ</t>
  </si>
  <si>
    <t>MAHA600215HTSYRR00</t>
  </si>
  <si>
    <t>MARIA SAN JUANA ORDAZ AGUAYO</t>
  </si>
  <si>
    <t>OAAS551105MDFRGN02</t>
  </si>
  <si>
    <t>HANZ GERARDO HERNANDEZ GUEVARA</t>
  </si>
  <si>
    <t xml:space="preserve">51826106968
</t>
  </si>
  <si>
    <t>HEGH610811HASRVN04</t>
  </si>
  <si>
    <t xml:space="preserve">DANIEL REYES SILVA </t>
  </si>
  <si>
    <t>89816351533</t>
  </si>
  <si>
    <t xml:space="preserve">JORGE </t>
  </si>
  <si>
    <t>OECJ670116HDFRTR04</t>
  </si>
  <si>
    <t>HECTOR ELIAS GARIBAY CAMPOS</t>
  </si>
  <si>
    <t>GACH730701HMNRMC00</t>
  </si>
  <si>
    <t>GERSON GUTIERREZ LLANOS</t>
  </si>
  <si>
    <t>GULG790623HVZTLR07</t>
  </si>
  <si>
    <t>VERONICA ANDRADE FLORES</t>
  </si>
  <si>
    <t>AAFV740618MPLNLR05</t>
  </si>
  <si>
    <t>222 564 1138</t>
  </si>
  <si>
    <t>ALFREDO BETANCOURT</t>
  </si>
  <si>
    <t>BEXA620414HBSTXL04</t>
  </si>
  <si>
    <t>33815636635</t>
  </si>
  <si>
    <t xml:space="preserve">MARINA ARREOLA CLAUDIO </t>
  </si>
  <si>
    <t>2187653106</t>
  </si>
  <si>
    <t>AECM700323MBCRLR09</t>
  </si>
  <si>
    <t>04684920459</t>
  </si>
  <si>
    <t xml:space="preserve">ROSA MELCHORA BERLANGA DE LA CRUZ </t>
  </si>
  <si>
    <t>BECR570830MNLRRS01</t>
  </si>
  <si>
    <t>CARLOS SIMBRON SANTES</t>
  </si>
  <si>
    <t>SISC640316HVZMNR03</t>
  </si>
  <si>
    <t>DIONICIO HERNANDEZ BARRETO</t>
  </si>
  <si>
    <t>HEBD701012HZSRRN04</t>
  </si>
  <si>
    <t>CARLOS ADOLFO RAMIREZ ROMERO</t>
  </si>
  <si>
    <t>RARC640401HJCMMR06</t>
  </si>
  <si>
    <t xml:space="preserve">MIGUEL CAÑEDO </t>
  </si>
  <si>
    <t>24755704939</t>
  </si>
  <si>
    <t>Javier Pizaña Palma</t>
  </si>
  <si>
    <t>PIPJ530617HDFZLV00</t>
  </si>
  <si>
    <t>FELIX MAGALLANES RIOS</t>
  </si>
  <si>
    <t>MARF571122HDGGSL07</t>
  </si>
  <si>
    <t xml:space="preserve">JUAN BENJAMIN SUAREZ CERVANTES </t>
  </si>
  <si>
    <t>01765771173</t>
  </si>
  <si>
    <t>SUCJ580310HMCRRN04</t>
  </si>
  <si>
    <t>LUCILA MONREAL RODRIGUEZ</t>
  </si>
  <si>
    <t>MORL570430MSPNDC03</t>
  </si>
  <si>
    <t>BERNARDO MACHADO</t>
  </si>
  <si>
    <t>BECH731208HDFJRC04</t>
  </si>
  <si>
    <t>BREATRIZ CRUZ</t>
  </si>
  <si>
    <t>EDY MOLINA CARDENAS</t>
  </si>
  <si>
    <t>MOCE611114HCSLRD01</t>
  </si>
  <si>
    <t>BECM610705HMNRRN04</t>
  </si>
  <si>
    <t>FIDEL HERNANDEZ</t>
  </si>
  <si>
    <t>HEBF490528HHGRTD05</t>
  </si>
  <si>
    <t>Maria Guadalupe cervantes martinez</t>
  </si>
  <si>
    <t>CEMG610108MDGRRD00</t>
  </si>
  <si>
    <t>PABLO AMADOR DELGADO</t>
  </si>
  <si>
    <t>RICARDO LIÑAN SANCHEZ</t>
  </si>
  <si>
    <t>LISR520303HSPXNC03</t>
  </si>
  <si>
    <t xml:space="preserve">ERASMO RAFAEL SAUZA BALDENEGRO </t>
  </si>
  <si>
    <t>SABE541125HGTZLR06</t>
  </si>
  <si>
    <t>EDUARDO GONZALEZ DIAZ</t>
  </si>
  <si>
    <t>13766005741</t>
  </si>
  <si>
    <t>ROGELIO DE LA CRUZ MACHIN</t>
  </si>
  <si>
    <t>65695118805</t>
  </si>
  <si>
    <t>CUMR510310HTCRCG05</t>
  </si>
  <si>
    <t>GUADALUPE MEJIA PATIÑO</t>
  </si>
  <si>
    <t>MEPG570927MDFJTD06</t>
  </si>
  <si>
    <t xml:space="preserve">MARGARITA ZARREON NARVAEZ </t>
  </si>
  <si>
    <t>ZANM650225MDFRRR05</t>
  </si>
  <si>
    <t>MARCO ANTONIO FLORES ROJAS</t>
  </si>
  <si>
    <t>15796104188</t>
  </si>
  <si>
    <t xml:space="preserve"> FORM611114HDFLJR09</t>
  </si>
  <si>
    <t xml:space="preserve">MARTHA RODRIGUEZ LOPEZ </t>
  </si>
  <si>
    <t>64856418336</t>
  </si>
  <si>
    <t>ROLM641126MDFDPR02</t>
  </si>
  <si>
    <t>CONRADO CASTRO BRAVO</t>
  </si>
  <si>
    <t>62805804580</t>
  </si>
  <si>
    <t xml:space="preserve"> CABC580512HPLSRN01</t>
  </si>
  <si>
    <t>CLARA ELENA BAUTISTA VENEGAS</t>
  </si>
  <si>
    <t>43816490809</t>
  </si>
  <si>
    <t xml:space="preserve"> BAVC640206MNLTNL00</t>
  </si>
  <si>
    <t>HERMELINDA GUADALUPE RODRIGUEZ GANDARA</t>
  </si>
  <si>
    <t>04896030675</t>
  </si>
  <si>
    <t>ROGH601028MNLDNR08</t>
  </si>
  <si>
    <t xml:space="preserve"> 33 1903 8120</t>
  </si>
  <si>
    <t>CARMEN</t>
  </si>
  <si>
    <t>62684400047</t>
  </si>
  <si>
    <t>JUSTO GABRIEL ALENCASTRO</t>
  </si>
  <si>
    <t>54846471008</t>
  </si>
  <si>
    <t>GAAJ640408HJCBLS08</t>
  </si>
  <si>
    <t>CARLOS EDUARDO SALAVARRIA VELAZQUEZ</t>
  </si>
  <si>
    <t>81875903411</t>
  </si>
  <si>
    <t xml:space="preserve"> SAVC590620HCCLLR08</t>
  </si>
  <si>
    <t>FELIPE DE JESUS ALDAPE CARLOS</t>
  </si>
  <si>
    <t>AACF590205HCLLRL03</t>
  </si>
  <si>
    <t>TEODORO CRUZ LEZAMA</t>
  </si>
  <si>
    <t>CULT541029HVZRZD07</t>
  </si>
  <si>
    <t>GABRIEL AGUILAR GARCIA</t>
  </si>
  <si>
    <t>AUGG630725HDFGRB00</t>
  </si>
  <si>
    <t>JOSE ANTONIO CAZARES ALMIRAY</t>
  </si>
  <si>
    <t>CAAA600502HTSZLN04</t>
  </si>
  <si>
    <t>REYNALDO QUIROZ MORENO</t>
  </si>
  <si>
    <t>QUMR520808HGTRRY04</t>
  </si>
  <si>
    <t>MARIA LAURA LULE GONZALEZ</t>
  </si>
  <si>
    <t>14957305544</t>
  </si>
  <si>
    <t>LUGL750502MGTLNR09</t>
  </si>
  <si>
    <t>JOSE ADOLFO ARELLANO MARTINEZ</t>
  </si>
  <si>
    <t>AEMA640314HCHRRD02</t>
  </si>
  <si>
    <t>VICTOR GUAJARDO PONCE</t>
  </si>
  <si>
    <t>GUPV660603HNLJNC08</t>
  </si>
  <si>
    <t>Berta Alicia Venegas Ferman</t>
  </si>
  <si>
    <t>04896523331</t>
  </si>
  <si>
    <t>VEFB780214MJCNRR09</t>
  </si>
  <si>
    <t>ROSA NELLY HERNANDEZ MURILLO</t>
  </si>
  <si>
    <t>HEMR550626MNLRRS07</t>
  </si>
  <si>
    <t>MA. MAGDALENA VALLE TORRES</t>
  </si>
  <si>
    <t>VATM670923MNLLRG05</t>
  </si>
  <si>
    <t>JOSE LORENZO NAJERA</t>
  </si>
  <si>
    <t>NAXL540102HCHJXR09</t>
  </si>
  <si>
    <t>JOSE MANUEL DE JESUS LEAL</t>
  </si>
  <si>
    <t>65786014962</t>
  </si>
  <si>
    <t>JUAN CRUZ REYES</t>
  </si>
  <si>
    <t>CUBJ620624HPLRLN07</t>
  </si>
  <si>
    <t>ABELARDO HERNANDEZ ABURTO</t>
  </si>
  <si>
    <t>HEAA650125HVZRBB08</t>
  </si>
  <si>
    <t>JOSE LUIS ALVARADO ALMAZAN</t>
  </si>
  <si>
    <t>AAAL470808HVZLLS06</t>
  </si>
  <si>
    <t>GABRIEL BUGARIN VALENZUELA</t>
  </si>
  <si>
    <t>BUVG641128HCHGLB03</t>
  </si>
  <si>
    <t>RAMON BLANCO CHAVEZ</t>
  </si>
  <si>
    <t>BACR510121HCHLHM06</t>
  </si>
  <si>
    <t>MARIA DE JESUS DIAZ FLORES</t>
  </si>
  <si>
    <t>DIFJ490329MDFZLS00</t>
  </si>
  <si>
    <t>VICTOR MANUEL ROBLES GOMEZ</t>
  </si>
  <si>
    <t>GABRIEL JUAREZ REYES</t>
  </si>
  <si>
    <t>JURG660307HVZRYB06</t>
  </si>
  <si>
    <t xml:space="preserve">JESUS ANTONIO VILLANUEVA ALVAREZ </t>
  </si>
  <si>
    <t>VIAJ570409HTSLLS01</t>
  </si>
  <si>
    <t>Juanita Alejandra Teja Camargo</t>
  </si>
  <si>
    <t>017549161185</t>
  </si>
  <si>
    <t>PEDRO PIÑA ESCARCEGA</t>
  </si>
  <si>
    <t>PIEP490629HDFXSD00</t>
  </si>
  <si>
    <t>RAFAEL DAVID GONZALEZ ECHAVARRIA</t>
  </si>
  <si>
    <t>81846606838</t>
  </si>
  <si>
    <t>GOER861229HCCNCF08</t>
  </si>
  <si>
    <t>MIGUEL JIMENEZ PALAGOT</t>
  </si>
  <si>
    <t>JIPM580928HVZMLG03</t>
  </si>
  <si>
    <t xml:space="preserve">SERGIO ZAVALA MARQUEZ </t>
  </si>
  <si>
    <t>ZAMS640303HVZVRR07</t>
  </si>
  <si>
    <t>AARON CRUZ MEXICANO</t>
  </si>
  <si>
    <t>CUMA641230HPLRXR01</t>
  </si>
  <si>
    <t>J FELIZ MARTINEZ NEGRETE</t>
  </si>
  <si>
    <t>MANF491120HGTRGL00</t>
  </si>
  <si>
    <t>JOSE HECTOR FLORES TAPIA</t>
  </si>
  <si>
    <t>FOTH620622HSPLPC06</t>
  </si>
  <si>
    <t>LILIA ESPERANZA DZUL</t>
  </si>
  <si>
    <t>DUXL470529MYNZXL09</t>
  </si>
  <si>
    <t>JOSE ISMAEL GONZALEZ</t>
  </si>
  <si>
    <t>GOXI540818HDFNXS06</t>
  </si>
  <si>
    <t>NORMA CRUZ ALVAREZ</t>
  </si>
  <si>
    <t>CUAN760706MMNRLR09</t>
  </si>
  <si>
    <t>JULIO ERNESTO LOPEZ RAMIREZ</t>
  </si>
  <si>
    <t>LORJ590121HDFPML09</t>
  </si>
  <si>
    <t>Jose Rocha Morales</t>
  </si>
  <si>
    <t>43765802285</t>
  </si>
  <si>
    <t>JAVIER FERNANDO SABIDO MEDINA</t>
  </si>
  <si>
    <t>SAMJ541129HYNBDV03</t>
  </si>
  <si>
    <t xml:space="preserve">gustavo </t>
  </si>
  <si>
    <t>FABIOLA DAVILA FLORES</t>
  </si>
  <si>
    <t>06725459900</t>
  </si>
  <si>
    <t>DAFF681108MDFVLB04</t>
  </si>
  <si>
    <t>ERNESTO CASANOVA GARCIA</t>
  </si>
  <si>
    <t>CAGE621107HVZSRR05</t>
  </si>
  <si>
    <t>OSCAR CABEALLERO PALMENO</t>
  </si>
  <si>
    <t>CAPO500428HDFBLS04</t>
  </si>
  <si>
    <t>JORGE OCTAVIO ALCALA</t>
  </si>
  <si>
    <t>54775949701</t>
  </si>
  <si>
    <t>AAGJ710520HJCLTR03</t>
  </si>
  <si>
    <t>Silvia Sandoval Lopez</t>
  </si>
  <si>
    <t xml:space="preserve">32966825062
</t>
  </si>
  <si>
    <t xml:space="preserve">SALS700206MCLNPL05 </t>
  </si>
  <si>
    <t>MARGARITA MORALES MEZTA</t>
  </si>
  <si>
    <t>32806148493</t>
  </si>
  <si>
    <t>MOMM630319MCLRZR06</t>
  </si>
  <si>
    <t xml:space="preserve">MARIA DE JESUS ZAVALA </t>
  </si>
  <si>
    <t>ZAHJ590522MNLVRS03</t>
  </si>
  <si>
    <t>JAVIER RUTILO ARELLANO OLVERA</t>
  </si>
  <si>
    <t>64846500417</t>
  </si>
  <si>
    <t>AEOJ650604HDFRLV09</t>
  </si>
  <si>
    <t>MARIA DE LOURDES CEREZO PAYAN</t>
  </si>
  <si>
    <t>CEPL631024MVZRYR04</t>
  </si>
  <si>
    <t>Jose Fidel Cobos Tovar</t>
  </si>
  <si>
    <t>IGNACIO PARRA MONTES</t>
  </si>
  <si>
    <t>PAMI570104HCHRNG00</t>
  </si>
  <si>
    <t>cONSUBANCO</t>
  </si>
  <si>
    <t xml:space="preserve">LETICIA ORTIZ RENTERIA </t>
  </si>
  <si>
    <t>OIRL640301MNTRNT04</t>
  </si>
  <si>
    <t>MIGUEL BARRERA RAMIREZ</t>
  </si>
  <si>
    <t xml:space="preserve">53826238080
</t>
  </si>
  <si>
    <t>BARM620929HMNRMG00</t>
  </si>
  <si>
    <t>GUSTAVO CRUZ CHACON</t>
  </si>
  <si>
    <t xml:space="preserve">3382680199
</t>
  </si>
  <si>
    <t xml:space="preserve">MAXIMO CANIZALES HERNANDEZ </t>
  </si>
  <si>
    <t>CAHM630511HNLNRX03</t>
  </si>
  <si>
    <t>VALENTIN HERNANDEZ CASTRO</t>
  </si>
  <si>
    <t>HECV500214HVZRSL01</t>
  </si>
  <si>
    <t>MARIA DE LOURDES ARMENTA PLATA</t>
  </si>
  <si>
    <t>56 5204 1208</t>
  </si>
  <si>
    <t>ISIDRO CALZADA TORRES</t>
  </si>
  <si>
    <t xml:space="preserve">23745305138
</t>
  </si>
  <si>
    <t>CATI530407HDGLRS01</t>
  </si>
  <si>
    <t>Juan Diego Bueno Martinez</t>
  </si>
  <si>
    <t>BUMJ481209HCSNRN03</t>
  </si>
  <si>
    <t>Justo Esteban Navarrete</t>
  </si>
  <si>
    <t>NAXJ580902HYNVXS04</t>
  </si>
  <si>
    <t>HILDA REYES CABRERA</t>
  </si>
  <si>
    <t>RECH601213MPLYBL00</t>
  </si>
  <si>
    <t>HECTOR TRUJILLO DE LA CRUZ</t>
  </si>
  <si>
    <t>TUCH630330HPLRRC08</t>
  </si>
  <si>
    <t>444 800 2526</t>
  </si>
  <si>
    <t>CONSUBCANCO</t>
  </si>
  <si>
    <t xml:space="preserve">HOMERO MONTOYA CARRERA </t>
  </si>
  <si>
    <t>MOCH650312HCLNRM03</t>
  </si>
  <si>
    <t xml:space="preserve">ROGELIO ROBLES CAMPA </t>
  </si>
  <si>
    <t>ROCR481201HSRBMG08</t>
  </si>
  <si>
    <t>CECILIA MELENDEZ  CROSTHWAITE</t>
  </si>
  <si>
    <t xml:space="preserve">21836101135
</t>
  </si>
  <si>
    <t>MECC610826MBCLRC07</t>
  </si>
  <si>
    <t>JUAN MANUEL LOPEZ MARTINE</t>
  </si>
  <si>
    <t>MANUELA MARTINA ARAMBULA RUEDA</t>
  </si>
  <si>
    <t>AARM640908MDGRDN01</t>
  </si>
  <si>
    <t>FELIX RAMOS CAMPA</t>
  </si>
  <si>
    <t>RACF600107HCLMML04</t>
  </si>
  <si>
    <t>FEDEBERTO VILLA GONZALEZ</t>
  </si>
  <si>
    <t xml:space="preserve">24825810401
</t>
  </si>
  <si>
    <t>VIGF580817HSRLNR04</t>
  </si>
  <si>
    <t>Jaime Velazco Santiago</t>
  </si>
  <si>
    <t>VESJ640414HBSLNM01</t>
  </si>
  <si>
    <t>DELIA VERONICA NEVAREZ CHAIREZ</t>
  </si>
  <si>
    <t xml:space="preserve">33836571407
</t>
  </si>
  <si>
    <t>NECD651218MCHVHL03</t>
  </si>
  <si>
    <t>JOSE LUIS CARRILLO GUEL</t>
  </si>
  <si>
    <t>CAGL481128HCHRLS05</t>
  </si>
  <si>
    <t>MARTIN ORTIZ</t>
  </si>
  <si>
    <t>SALVADOR RODRIGUEZ GARCIA</t>
  </si>
  <si>
    <t xml:space="preserve"> ROGS660313HJCDRL07</t>
  </si>
  <si>
    <t xml:space="preserve">RODOLFO </t>
  </si>
  <si>
    <t xml:space="preserve">65836370051
</t>
  </si>
  <si>
    <t>RONR630809HVZDJD05</t>
  </si>
  <si>
    <t>Froilan Olea Hernandez</t>
  </si>
  <si>
    <t>JESUS RODRIGUEZ CARAVEO</t>
  </si>
  <si>
    <t xml:space="preserve">24695024760
</t>
  </si>
  <si>
    <t>IRASEMA LIBRADO SAPIEN</t>
  </si>
  <si>
    <t>LASI611112MCHBPR05</t>
  </si>
  <si>
    <t xml:space="preserve">maria elena </t>
  </si>
  <si>
    <t>TEJE620618MDFLML07</t>
  </si>
  <si>
    <t>ALDO JIMENEZ</t>
  </si>
  <si>
    <t>Alejandro Betancourt Hernandez</t>
  </si>
  <si>
    <t>VICENTE FLORES REYES</t>
  </si>
  <si>
    <t>06836506268</t>
  </si>
  <si>
    <t>FORV650320HSPLYC09</t>
  </si>
  <si>
    <t>440 231 0460</t>
  </si>
  <si>
    <t>MARIA DEL ROCIO RIOS JUAREZ</t>
  </si>
  <si>
    <t>RIJR660628MPLSRC09</t>
  </si>
  <si>
    <t>Martin de Santos Cervantes</t>
  </si>
  <si>
    <t>SACM630321HSPNRR05</t>
  </si>
  <si>
    <t>COMNSUBANCO</t>
  </si>
  <si>
    <t xml:space="preserve">CARMEN ALICIA PEREZ LARIOS </t>
  </si>
  <si>
    <t>52774900733</t>
  </si>
  <si>
    <t>PELC530108MCMRRR08</t>
  </si>
  <si>
    <t xml:space="preserve">FERNANDO BENITEZ MORENO </t>
  </si>
  <si>
    <t>BEMF711022HBCNRR00</t>
  </si>
  <si>
    <t>JOSE DE JESUS MARTINEZ CHAVEZ</t>
  </si>
  <si>
    <t>MACJ670526HZSRHS06</t>
  </si>
  <si>
    <t>JESUS DURAN HERNANDEZ</t>
  </si>
  <si>
    <t>01654518909</t>
  </si>
  <si>
    <t>HEDJ460101HDFRRS03</t>
  </si>
  <si>
    <t>LEOPOLDO GABRIEL MANRIQUEZ OROZCO</t>
  </si>
  <si>
    <t>64826121283</t>
  </si>
  <si>
    <t>MAOL611102HDFNRP17</t>
  </si>
  <si>
    <t>JOSE DE CUPERTINO CORTES GONZALEZ</t>
  </si>
  <si>
    <t>01674795578</t>
  </si>
  <si>
    <t>COGC470918HDFRNP08</t>
  </si>
  <si>
    <t>RENE PALACIOS VALDES</t>
  </si>
  <si>
    <t>PAVR640730HNLLLN06</t>
  </si>
  <si>
    <t>MARTHA SOFIA GONZALEZ ARMENTA</t>
  </si>
  <si>
    <t>35886534722</t>
  </si>
  <si>
    <t xml:space="preserve"> GOAM650713MSLNRR08</t>
  </si>
  <si>
    <t>ENRIQUE ANGELES COBARRUBIAS</t>
  </si>
  <si>
    <t>12775911303</t>
  </si>
  <si>
    <t>AECE590724HGTNBN04</t>
  </si>
  <si>
    <t>55 3554 4267</t>
  </si>
  <si>
    <t>REYNALDA GARCIA CERVANTES</t>
  </si>
  <si>
    <t>GACR540103MDGRRY00</t>
  </si>
  <si>
    <t>MARIA ANDREA RICO PRADO</t>
  </si>
  <si>
    <t>RIPA500301MSLCRN06</t>
  </si>
  <si>
    <t>Hugo Ignacio Vazquez Ornelas</t>
  </si>
  <si>
    <t>JUAN ULISES CRUZ PERALTA</t>
  </si>
  <si>
    <t>92886007233</t>
  </si>
  <si>
    <t xml:space="preserve"> CUPJ600424HCSRRN07</t>
  </si>
  <si>
    <t>hector lugo</t>
  </si>
  <si>
    <t>MARIA DEL CARMEN ORTEGA LICONA</t>
  </si>
  <si>
    <t>01725687329</t>
  </si>
  <si>
    <t>OELC600124MDFRCR06</t>
  </si>
  <si>
    <t xml:space="preserve">LUIS EUSEBIO </t>
  </si>
  <si>
    <t>RIGL500814HCHVRS04</t>
  </si>
  <si>
    <t>GREGORIO AGUILAR ORTEGA</t>
  </si>
  <si>
    <t>AUOG620309HMCGRR01</t>
  </si>
  <si>
    <t xml:space="preserve">JOSAFAT FILEMON CUAUTLE ZAMORA </t>
  </si>
  <si>
    <t>CUZJ641114HPLTMS02</t>
  </si>
  <si>
    <t>MAURILIO NUÑEZ MONTIEL</t>
  </si>
  <si>
    <t>NUMM510908HVZXNR01</t>
  </si>
  <si>
    <t>IAFE500224MTSSLP01</t>
  </si>
  <si>
    <t>ALFREDO NUÑEZ AGUILERA</t>
  </si>
  <si>
    <t>NUAA610910HDFXGL09</t>
  </si>
  <si>
    <t>Pedro López Medrano</t>
  </si>
  <si>
    <t>LOMP580629HSLPDD08</t>
  </si>
  <si>
    <t xml:space="preserve">VERONICA VIDACA MARTINEZ </t>
  </si>
  <si>
    <t>VIMV750830MCHDRR02</t>
  </si>
  <si>
    <t>SANTOS RUBIO COLIN</t>
  </si>
  <si>
    <t>RUCS521101HBCBLN01</t>
  </si>
  <si>
    <t>JUAN FRANCISCO CHAVEZ ARREDONDO</t>
  </si>
  <si>
    <t>CAAJ530223HHGHRN04</t>
  </si>
  <si>
    <t>JAVIER ORNELAS ERIVES</t>
  </si>
  <si>
    <t>238057058210</t>
  </si>
  <si>
    <t>OEEJ570220HCHRRV00</t>
  </si>
  <si>
    <t>JOSEFINA TORRES DAVILA</t>
  </si>
  <si>
    <t>TODJ610701MZSRVS02</t>
  </si>
  <si>
    <t>SIMONA</t>
  </si>
  <si>
    <t>GUCS480229MCMTRM05</t>
  </si>
  <si>
    <t xml:space="preserve">DIAZ </t>
  </si>
  <si>
    <t xml:space="preserve">MANUEL FONSECA CASTAÑEDA </t>
  </si>
  <si>
    <t>FOCM580205HCHNSN00</t>
  </si>
  <si>
    <t xml:space="preserve"> Juan Bautista De Jesús Briceño Coronado</t>
  </si>
  <si>
    <t>BICJ600710HYNRRN08</t>
  </si>
  <si>
    <t>Martiniano Olivares</t>
  </si>
  <si>
    <t>EVA CRUZ MARIN BARAJAS</t>
  </si>
  <si>
    <t>33874919882</t>
  </si>
  <si>
    <t>MABE570503MCHRRV05</t>
  </si>
  <si>
    <t>CARLOS ARTURO PACHECO RIVAS</t>
  </si>
  <si>
    <t>PARC581021HDFCVR00</t>
  </si>
  <si>
    <t xml:space="preserve">MARIA DEL CARMEN LOPEZ MORALES </t>
  </si>
  <si>
    <t>LOMC630526MCLPRR01</t>
  </si>
  <si>
    <t>RAUL GOMEZ REVILLA</t>
  </si>
  <si>
    <t>GORR570913HDFMVL04</t>
  </si>
  <si>
    <t xml:space="preserve">54917159086
</t>
  </si>
  <si>
    <t>JOSE COLIN TRINIDAD</t>
  </si>
  <si>
    <t>COTJ600319HMCLRS00</t>
  </si>
  <si>
    <t>Mario Mejia Fernandez</t>
  </si>
  <si>
    <t>MEFM490402HVZJRR04</t>
  </si>
  <si>
    <t>Javier Melgarejo Orduña</t>
  </si>
  <si>
    <t>MEOJ641114HVZLRV07</t>
  </si>
  <si>
    <t>MARIA JESUS RASCON CADENA</t>
  </si>
  <si>
    <t>RACJ550101MSRSDS03</t>
  </si>
  <si>
    <t>GUADALUPE REYNA PERALTA MARTINEZ</t>
  </si>
  <si>
    <t>PEMG591226MOCRRD03</t>
  </si>
  <si>
    <t>ALICIA MARIA GONZALEZ GARCIA</t>
  </si>
  <si>
    <t>GOGA650128MJCNRL08</t>
  </si>
  <si>
    <t>SACP711109HTSNRD05</t>
  </si>
  <si>
    <t>PAULA PATRICIA RAMOS ESPINOZA</t>
  </si>
  <si>
    <t>RAEP650322MOCMSL00</t>
  </si>
  <si>
    <t>LUCIA BERTHA BAUTISTA ALVAREZ</t>
  </si>
  <si>
    <t>0858420004</t>
  </si>
  <si>
    <t>RODRIGO ROMAN ROJAS CONTRERAS</t>
  </si>
  <si>
    <t xml:space="preserve">63816305435
</t>
  </si>
  <si>
    <t>ROCR630228HDFJND09</t>
  </si>
  <si>
    <t>WAPR481022HSRLDL03</t>
  </si>
  <si>
    <t>632 112 8596</t>
  </si>
  <si>
    <t>ROMAN GUADALUPE JIMENEZ ORTIZ</t>
  </si>
  <si>
    <t>JIOR490809HDFMRM05</t>
  </si>
  <si>
    <t>ANTONIO RAZO</t>
  </si>
  <si>
    <t xml:space="preserve">12927468400 </t>
  </si>
  <si>
    <t>RICARDO TORRES CRUZ</t>
  </si>
  <si>
    <t>TOCR631201HVZRRC03</t>
  </si>
  <si>
    <t>MA DE LOURDES GAMEZ ESPARZA</t>
  </si>
  <si>
    <t>GAEL720224MSPMSR06</t>
  </si>
  <si>
    <t>Sandra Michel Chavez Estrella</t>
  </si>
  <si>
    <t>CAES890227MDFHSN04</t>
  </si>
  <si>
    <t xml:space="preserve">JESUS RAMIREZ PEREZ </t>
  </si>
  <si>
    <t>RAPJ601221HZSMRS07</t>
  </si>
  <si>
    <t>821 106 9011</t>
  </si>
  <si>
    <t>EDUARDO GANDUR LAYON</t>
  </si>
  <si>
    <t>GALE621110HDFNYD02</t>
  </si>
  <si>
    <t>JOSE LUIS ELIAS ISLAS</t>
  </si>
  <si>
    <t>EIIL601201HDFLSS07</t>
  </si>
  <si>
    <t>lorena</t>
  </si>
  <si>
    <t>CORL590823MZSRBR04</t>
  </si>
  <si>
    <t xml:space="preserve">ALFREDO CID GARCIA </t>
  </si>
  <si>
    <t>CIGA630907HPLDRL03</t>
  </si>
  <si>
    <t>LUIS ALBERTO URESTI SALDIVAR</t>
  </si>
  <si>
    <t>UEZL620408HDFRLS09</t>
  </si>
  <si>
    <t xml:space="preserve">leticia </t>
  </si>
  <si>
    <t>AUHL590331MCLGTT01</t>
  </si>
  <si>
    <t>BALTAZAR ESPINOSA SOLIS</t>
  </si>
  <si>
    <t>49654415584</t>
  </si>
  <si>
    <t>EISB440106HTSSLL08</t>
  </si>
  <si>
    <t>RAUL FAVELA AVILA</t>
  </si>
  <si>
    <t>FAAR610115HDGVVL03</t>
  </si>
  <si>
    <t>JUAN  GONZALEZ BAROLA</t>
  </si>
  <si>
    <t>GOBJ500614HDFNRN01</t>
  </si>
  <si>
    <t xml:space="preserve">ALVARO DANIEL CERDA ZAPATA </t>
  </si>
  <si>
    <t>CEZA780928HCLRPL04</t>
  </si>
  <si>
    <t>FIDEL RUIZ GARCIA</t>
  </si>
  <si>
    <t>RUGF600508HCLZRD00</t>
  </si>
  <si>
    <t>FOSOFO</t>
  </si>
  <si>
    <t>52816311022</t>
  </si>
  <si>
    <t>COGA650405MCMNRN07</t>
  </si>
  <si>
    <t>49966600345</t>
  </si>
  <si>
    <t>RUVI651107MMNZLS03</t>
  </si>
  <si>
    <t xml:space="preserve">ANA LILIA RAMIREZ </t>
  </si>
  <si>
    <t>04036906321</t>
  </si>
  <si>
    <t>RAXA710715MJCMXN03</t>
  </si>
  <si>
    <t>JORGE MANUEL PUENTE</t>
  </si>
  <si>
    <t>PUXJ580424HNLNXR04</t>
  </si>
  <si>
    <t>FAHGRE FALLAD CHAVEZ</t>
  </si>
  <si>
    <t>04866406194</t>
  </si>
  <si>
    <t>FACF640810HJCLHH04</t>
  </si>
  <si>
    <t xml:space="preserve">HUMBERTO FEDERICO VAZQUEZ DE LA ROSA </t>
  </si>
  <si>
    <t>VARH640513HDFZSM04</t>
  </si>
  <si>
    <t>MARIA SALUSTIA HERNANDEZ BARRON</t>
  </si>
  <si>
    <t>41846308942</t>
  </si>
  <si>
    <t>HEBS630914MSPRRL07</t>
  </si>
  <si>
    <t xml:space="preserve">	EFRAIN 	MORALES 	VILLAMAR</t>
  </si>
  <si>
    <t>MOVE611223HMNRLF02</t>
  </si>
  <si>
    <t>ADELFO CORTES SANTIAGO</t>
  </si>
  <si>
    <t>67796007580</t>
  </si>
  <si>
    <t xml:space="preserve"> COSA600829HVZRND05</t>
  </si>
  <si>
    <t>Matias Izaguirre</t>
  </si>
  <si>
    <t>IAMM590130HSPZRT09</t>
  </si>
  <si>
    <t>09058551293</t>
  </si>
  <si>
    <t xml:space="preserve">bertha </t>
  </si>
  <si>
    <t>roob590204mchslr06</t>
  </si>
  <si>
    <t xml:space="preserve">jorge </t>
  </si>
  <si>
    <t>BERNARDINO ESPINOZA GODINEZ</t>
  </si>
  <si>
    <t>01563825486</t>
  </si>
  <si>
    <t>EIGB390520HDFSDR09</t>
  </si>
  <si>
    <t>Evangelina Dimas Ruvalcaba</t>
  </si>
  <si>
    <t>DIRE690709MNTMVV02</t>
  </si>
  <si>
    <t>Juan Vargas</t>
  </si>
  <si>
    <t>JESUS RAMOS LOZADA</t>
  </si>
  <si>
    <t>RALJ620702HMNMZS01</t>
  </si>
  <si>
    <t>LEANDRA LOPEZ MERCADO</t>
  </si>
  <si>
    <t>03634406767</t>
  </si>
  <si>
    <t>LOML450227MCLPRN07</t>
  </si>
  <si>
    <t>czp</t>
  </si>
  <si>
    <t>JULIO</t>
  </si>
  <si>
    <t>RICJ560412HVZVRL02</t>
  </si>
  <si>
    <t xml:space="preserve">ELIAS ESCOBAR </t>
  </si>
  <si>
    <t>EODE560130HOCSZL01</t>
  </si>
  <si>
    <t>ROCIO MORALES SANCHEZ</t>
  </si>
  <si>
    <t>MOSR630208MVZRNC04</t>
  </si>
  <si>
    <t>GERMAN BARRIENTOS VAZQUEZ</t>
  </si>
  <si>
    <t>BAVG601106HGTRZR03</t>
  </si>
  <si>
    <t>FELIPE REYES CRUZ</t>
  </si>
  <si>
    <t>RECF720526HSPYRL03</t>
  </si>
  <si>
    <t>JOAQUIN MARTINEZ COXCA</t>
  </si>
  <si>
    <t>MACJ640405HPLRXQ01</t>
  </si>
  <si>
    <t xml:space="preserve">DANIEL </t>
  </si>
  <si>
    <t>AAGD640408HDFLNN04</t>
  </si>
  <si>
    <t>Rodolfo Misael Coria Jimenez</t>
  </si>
  <si>
    <t>COJR571103HDFRMD00</t>
  </si>
  <si>
    <t>Ricardo Ibarra Osuna</t>
  </si>
  <si>
    <t>IAOR671027HSLBSC04</t>
  </si>
  <si>
    <t>BEATRIZ DE LA CRUZ C/C</t>
  </si>
  <si>
    <t>MAXIMO CANIZALES HERNANDEZ</t>
  </si>
  <si>
    <t>ESTEBAN BENITO GONZALEZ ZAMORA</t>
  </si>
  <si>
    <t>06695270931</t>
  </si>
  <si>
    <t>GOZE521120HDFNMS05</t>
  </si>
  <si>
    <t>Manuel Suárez Hernández</t>
  </si>
  <si>
    <t>SUHM580329HVZRRN04</t>
  </si>
  <si>
    <t>Octavio Montero Rodriguez</t>
  </si>
  <si>
    <t>MORO561016HSPNDC04</t>
  </si>
  <si>
    <t>NORBERTO CARRERA ALVARADO</t>
  </si>
  <si>
    <t>01705009577</t>
  </si>
  <si>
    <t>CAAN500606HPLRLR07</t>
  </si>
  <si>
    <t>Sergio Munguia mendoza</t>
  </si>
  <si>
    <t>53765513493</t>
  </si>
  <si>
    <t>WILLIAMS LANZ FACUNDO</t>
  </si>
  <si>
    <t>LAFW610614HVZNCL06</t>
  </si>
  <si>
    <t>RAMON CAUDILLO DELGADO</t>
  </si>
  <si>
    <t>12694716478</t>
  </si>
  <si>
    <t>CADR470322HASDLM03</t>
  </si>
  <si>
    <t>Fernando Ayala Rajz</t>
  </si>
  <si>
    <t>43856410964</t>
  </si>
  <si>
    <t>Luis Paul</t>
  </si>
  <si>
    <t>MARIA DE LOURDES BAEZA CAMPOS</t>
  </si>
  <si>
    <t>BACL560210MDFZMR06</t>
  </si>
  <si>
    <t xml:space="preserve"> Enrique Gerardo Zaragoza Medina.</t>
  </si>
  <si>
    <t xml:space="preserve"> 55695111355</t>
  </si>
  <si>
    <t>JUAN MARIO LOPEZ HERNANDEZ</t>
  </si>
  <si>
    <t>LOHJ781227HVZPRN04</t>
  </si>
  <si>
    <t>JUAN ORLANDO GUTIERREZ OCHOA</t>
  </si>
  <si>
    <t>PETRA DOMINGUEZ GARCIA</t>
  </si>
  <si>
    <t>DOGP620122MPLMRT00</t>
  </si>
  <si>
    <t>55 3034 5735</t>
  </si>
  <si>
    <t>EVANGELINA DIMAS RUVALCABA</t>
  </si>
  <si>
    <t>JOSE HILARIO RUGERIO PEREZ</t>
  </si>
  <si>
    <t>65825127650</t>
  </si>
  <si>
    <t>RUPH510228HPLGRL02</t>
  </si>
  <si>
    <t>MA. SOCORRO MERCADO CARDONA</t>
  </si>
  <si>
    <t xml:space="preserve">4171540460
</t>
  </si>
  <si>
    <t>MECS610409MSPRRC04</t>
  </si>
  <si>
    <t>Miguel Angel Marquez Flores</t>
  </si>
  <si>
    <t>51735710181</t>
  </si>
  <si>
    <t>ANA LIDIA</t>
  </si>
  <si>
    <t>CARMELA MARTINEZ OLIVERA</t>
  </si>
  <si>
    <t>MAOC640105MOCRLR01</t>
  </si>
  <si>
    <t>LUZ HERNANDEZ RODRIGUEZ</t>
  </si>
  <si>
    <t>45917234929</t>
  </si>
  <si>
    <t>HERL780829MDFRDZ05</t>
  </si>
  <si>
    <t>Victor</t>
  </si>
  <si>
    <t>NUCV650716HCSCRC05</t>
  </si>
  <si>
    <t>Maricela Zamudio Felix</t>
  </si>
  <si>
    <t>ZAFM611203MBCMLR01</t>
  </si>
  <si>
    <t>DAVID ROMERO AGUILAR</t>
  </si>
  <si>
    <t>23776001143</t>
  </si>
  <si>
    <t xml:space="preserve"> ROAD600531HSLMGV03</t>
  </si>
  <si>
    <t>Rogelio Antonio Gaona Lopez</t>
  </si>
  <si>
    <t>GALR600804HCLNPG05</t>
  </si>
  <si>
    <t>FERNANDO BENAVIDES DELGADO</t>
  </si>
  <si>
    <t>BEDF710130HCMNLR04</t>
  </si>
  <si>
    <t>LESLIE SANTIAGO C/C</t>
  </si>
  <si>
    <t>PEDRO MIGUEL LOPEZ</t>
  </si>
  <si>
    <t>MILP500701HVZGPD07</t>
  </si>
  <si>
    <t>SAMUEL CRUZ DE LA CRUZ</t>
  </si>
  <si>
    <t>64856954549</t>
  </si>
  <si>
    <t>CUCS690409HTCRRM08</t>
  </si>
  <si>
    <t>NANCY EVELIA GARZA GARZA</t>
  </si>
  <si>
    <t>03693811394</t>
  </si>
  <si>
    <t>GAGN590604MNLRRN32</t>
  </si>
  <si>
    <t>JOSE LUIS DANZOS ROMERO</t>
  </si>
  <si>
    <t>DARL610616HSRNMS09</t>
  </si>
  <si>
    <t>MARIO PALMA LOPEZ</t>
  </si>
  <si>
    <t>PALM630603HPLLPR03</t>
  </si>
  <si>
    <t>Rodrigo Navarro Rodríguez</t>
  </si>
  <si>
    <t>49947801673</t>
  </si>
  <si>
    <t>Benigno Martiniano Ortega Osorio</t>
  </si>
  <si>
    <t>OEOB580213HPLRSN05</t>
  </si>
  <si>
    <t xml:space="preserve">RENE VELASQUEZ CID </t>
  </si>
  <si>
    <t>VECR560914HVZLDN09</t>
  </si>
  <si>
    <t>MARIA MARCELA SANCHEZ MONTOYA</t>
  </si>
  <si>
    <t>01694937432</t>
  </si>
  <si>
    <t>CUTBERTO RODRIGUEZ</t>
  </si>
  <si>
    <t>54826583491</t>
  </si>
  <si>
    <t>Rocc650320hjcdnt09</t>
  </si>
  <si>
    <t>Rosa Maria Tapia Marquez</t>
  </si>
  <si>
    <t>MARIA GUADALUPE</t>
  </si>
  <si>
    <t>MEJG730722MCCNMD06</t>
  </si>
  <si>
    <t>SERGIO MUNGUIA MENDOZA</t>
  </si>
  <si>
    <t>MUMS551209HMNNNR01</t>
  </si>
  <si>
    <t>SALVADOR PATIÑO TRENADO</t>
  </si>
  <si>
    <t>PATS641225HQTTRL02</t>
  </si>
  <si>
    <t>JOSE CELEDONIO MONTOYA SILVA</t>
  </si>
  <si>
    <t>MOSC571121HSPNLL05</t>
  </si>
  <si>
    <t>HUMBERTO</t>
  </si>
  <si>
    <t>06786031960</t>
  </si>
  <si>
    <t xml:space="preserve">ALEJANDRO JEREZANO CABRERA </t>
  </si>
  <si>
    <t>JECA600430HVZRBL07</t>
  </si>
  <si>
    <t>EDGAR</t>
  </si>
  <si>
    <t>MOGE670821HOCRZD05</t>
  </si>
  <si>
    <t>JORGE ALBERTO NOLASCO CANTON</t>
  </si>
  <si>
    <t xml:space="preserve">75836000734
</t>
  </si>
  <si>
    <t>NOCJ600113HDFLNR04</t>
  </si>
  <si>
    <t>HEGG601215HOCRRL09</t>
  </si>
  <si>
    <t>ARTURO CORTEZ ACUÑA</t>
  </si>
  <si>
    <t>COAA650603HDFRCR08</t>
  </si>
  <si>
    <t xml:space="preserve">ELENA GARCIA BALLADARES </t>
  </si>
  <si>
    <t xml:space="preserve">leopoldo </t>
  </si>
  <si>
    <t>23725012019</t>
  </si>
  <si>
    <t>84846801995</t>
  </si>
  <si>
    <t>ANTONIO MARQUEZ ARELLANO</t>
  </si>
  <si>
    <t>748 100 4130</t>
  </si>
  <si>
    <t>19795829019</t>
  </si>
  <si>
    <t>669 447 9601</t>
  </si>
  <si>
    <t>Eric Tec Ciau</t>
  </si>
  <si>
    <t>TECE860304HYNCXR02</t>
  </si>
  <si>
    <t>MARÍA DE JESUS MONCADA PICON</t>
  </si>
  <si>
    <t>MOPJ590605MCLNCS04</t>
  </si>
  <si>
    <t>GERONIMO GARCIA GUISAMAN</t>
  </si>
  <si>
    <t>GAGG580930HVZRSR07</t>
  </si>
  <si>
    <t xml:space="preserve">JUAN MANUEL CERVANTES MARTINEZ </t>
  </si>
  <si>
    <t>CEMJ630707HTSRRN05</t>
  </si>
  <si>
    <t>Laura Elena Topete Sahaun</t>
  </si>
  <si>
    <t>TOSL700614MJCPHR03</t>
  </si>
  <si>
    <t>Rosa María villalvazo Olivares</t>
  </si>
  <si>
    <t>04916401864</t>
  </si>
  <si>
    <t>Gabriel cruz lira</t>
  </si>
  <si>
    <t>TOMAS CEPEDA GONZALES</t>
  </si>
  <si>
    <t>43846862225</t>
  </si>
  <si>
    <t>CEGT680315HNLPNM03</t>
  </si>
  <si>
    <t>Luis Antonio</t>
  </si>
  <si>
    <t>BERL490508HVZDSS07</t>
  </si>
  <si>
    <t>JOSE FRANCISCO ZUÑIGA GONZALEZ</t>
  </si>
  <si>
    <t>54795006847</t>
  </si>
  <si>
    <t xml:space="preserve"> ZUGF500309HJCXNR03</t>
  </si>
  <si>
    <t>DAVID</t>
  </si>
  <si>
    <t xml:space="preserve">Armando </t>
  </si>
  <si>
    <t>ROBERTO AGUIRRE OLVERA</t>
  </si>
  <si>
    <t>16917007409</t>
  </si>
  <si>
    <t>AVOR700607HMCGLB07</t>
  </si>
  <si>
    <t>ARMANDO GALLEGOS OLVERA</t>
  </si>
  <si>
    <t>GARA600503HTCLVR03</t>
  </si>
  <si>
    <t>Manuel Lopez Ramirez</t>
  </si>
  <si>
    <t>LOLM750122uGo</t>
  </si>
  <si>
    <t xml:space="preserve">ANGEL RANGEL PADRON </t>
  </si>
  <si>
    <t>RAPA570514HDFNDN05</t>
  </si>
  <si>
    <t>GUILLERMO AARON LUNA MONTELONGO</t>
  </si>
  <si>
    <t xml:space="preserve">31825801059 </t>
  </si>
  <si>
    <t>LUMG580923HDGNNL00</t>
  </si>
  <si>
    <t>MARICELA ARCE RAMOS</t>
  </si>
  <si>
    <t>AERM591013MNLRMR03</t>
  </si>
  <si>
    <t xml:space="preserve">ALMA ROSA ROSALES CARMONA </t>
  </si>
  <si>
    <t>ROCA640512MCHSRL08</t>
  </si>
  <si>
    <t xml:space="preserve">ANGEL BRIONES ANTOPIA </t>
  </si>
  <si>
    <t>BIAA531001HZSRNN03</t>
  </si>
  <si>
    <t>JOSE MARIA AVALOS SILVA</t>
  </si>
  <si>
    <t>AASM720820HMNVLR08</t>
  </si>
  <si>
    <t>JUAN CARLOS</t>
  </si>
  <si>
    <t>HEPJ810115HSPRRN08</t>
  </si>
  <si>
    <t xml:space="preserve">RAUL CORTES ALAMILLO </t>
  </si>
  <si>
    <t>COAR551103HTCRLL09</t>
  </si>
  <si>
    <t xml:space="preserve">LUZ DEL CARMEN LETICIA BERMUDEZ VELARDE </t>
  </si>
  <si>
    <t>24796254217</t>
  </si>
  <si>
    <t>BEVL620716MSRRLZ07</t>
  </si>
  <si>
    <t>MARCELO EBODIO DE LA CRUZ</t>
  </si>
  <si>
    <t>CUDM500506HVZRZR06</t>
  </si>
  <si>
    <t>MARGARITA RAMIREZ ARMENTA</t>
  </si>
  <si>
    <t xml:space="preserve"> 62806314324</t>
  </si>
  <si>
    <t>RAAM631107MPLMRR07</t>
  </si>
  <si>
    <t>221 418 5417</t>
  </si>
  <si>
    <t xml:space="preserve">Valentín De Leon Jiménez </t>
  </si>
  <si>
    <t>LEJV640521HZSNML02</t>
  </si>
  <si>
    <t>ROBERTO OYERVIDES GONZALEZ</t>
  </si>
  <si>
    <t>OEGR490214HNLYNB02</t>
  </si>
  <si>
    <t>Paz Juarez Hernandez</t>
  </si>
  <si>
    <t>JUHP650705MQTRRZ03</t>
  </si>
  <si>
    <t>DORA PATRICIA CRIOLLO LOPEZ</t>
  </si>
  <si>
    <t>CILD610926MOCRPR06</t>
  </si>
  <si>
    <t>CARLOS ARRIOLA ESQUEDA</t>
  </si>
  <si>
    <t>0480629231</t>
  </si>
  <si>
    <t>AIEC620113HJCRSR01</t>
  </si>
  <si>
    <t>DONATO HERNANDEZ SANTIBAÑEZ</t>
  </si>
  <si>
    <t>12643910693</t>
  </si>
  <si>
    <t>HESD390916HGTRNN06</t>
  </si>
  <si>
    <t>LUZ MARIA ALMIRAY PINZON</t>
  </si>
  <si>
    <t xml:space="preserve"> AIPL591120MMCLNZ06</t>
  </si>
  <si>
    <t xml:space="preserve">Jorge luis luna guerrero </t>
  </si>
  <si>
    <t xml:space="preserve">03927640775 </t>
  </si>
  <si>
    <t xml:space="preserve">GREGORIO GONZALEZ CARRIZALES </t>
  </si>
  <si>
    <t>GOCG720426HTSNRR10</t>
  </si>
  <si>
    <t>CARLOS RAMIREZ CRUZ</t>
  </si>
  <si>
    <t>RACC361016HGRMRR06</t>
  </si>
  <si>
    <t>ENRIQUE MONTAÑO ARTEAGA</t>
  </si>
  <si>
    <t>06846522180</t>
  </si>
  <si>
    <t>MOAE650208HDFNRN03</t>
  </si>
  <si>
    <t>JOSE MARIO MIGUEL GONZALES</t>
  </si>
  <si>
    <t>MIGM620819HPLGNR03</t>
  </si>
  <si>
    <t>ma. angelica Bustamante Parral</t>
  </si>
  <si>
    <t>BUPA660714MMSSRN04</t>
  </si>
  <si>
    <t>PEDRO FEDERICO CHAVEZ PINEDA</t>
  </si>
  <si>
    <t>CAPP610502HDFHND05</t>
  </si>
  <si>
    <t>771 607 5729</t>
  </si>
  <si>
    <t>JESUS FELIPE BORQUEZ HERNANDEZ</t>
  </si>
  <si>
    <t>BOHJ570205HSLRRS08</t>
  </si>
  <si>
    <t xml:space="preserve">JORGE RAMIRO ZARATE ALTAMIRANO </t>
  </si>
  <si>
    <t>ZAAJ610304HOCRLR00</t>
  </si>
  <si>
    <t xml:space="preserve">CESAR LEAL RODRIGUEZ </t>
  </si>
  <si>
    <t>LERC580225HTSLDS01</t>
  </si>
  <si>
    <t>JUAN FRANCISCO AVILA GONZALEZ</t>
  </si>
  <si>
    <t>AIGJ580616HNTVNN01</t>
  </si>
  <si>
    <t>JESUS DUARTE</t>
  </si>
  <si>
    <t>DUXJ660531HSPRXS06</t>
  </si>
  <si>
    <t>MARIA CONCEPCION MORENO PADILLA</t>
  </si>
  <si>
    <t>MOPC840217MCLRDN07</t>
  </si>
  <si>
    <t xml:space="preserve">GERARDO GUERRERO ARREOLA </t>
  </si>
  <si>
    <t>43816571178</t>
  </si>
  <si>
    <t>MARCO ANTONIO RODRIGUEZ MELGAREJO</t>
  </si>
  <si>
    <t>ROMM621118HDFDLR04</t>
  </si>
  <si>
    <t xml:space="preserve">ROBERTO MORALES CASTRO </t>
  </si>
  <si>
    <t>MOCR651121HMCRSB05</t>
  </si>
  <si>
    <t xml:space="preserve">modesta alfreda lopez lopez </t>
  </si>
  <si>
    <t>AURELIO LOPEZ DE LA CRUZ</t>
  </si>
  <si>
    <t>LXCA580926HVZPRR03</t>
  </si>
  <si>
    <t>Dula Hernández Baños</t>
  </si>
  <si>
    <t>10795909349</t>
  </si>
  <si>
    <t>NANCY RAMIREZ MARTINEZ</t>
  </si>
  <si>
    <t>RAMN820813MCHMRN03</t>
  </si>
  <si>
    <t>RAUL LOPEZ OLIVARES</t>
  </si>
  <si>
    <t>LOOR650318HDGPLL03</t>
  </si>
  <si>
    <t>81 8168 9599</t>
  </si>
  <si>
    <t>MUHF621207HVZXRR01</t>
  </si>
  <si>
    <t xml:space="preserve">JOSE ALFREDO MARTINEZ RAMOS </t>
  </si>
  <si>
    <t>MARA660720HNLRML03</t>
  </si>
  <si>
    <t>Martin antonio rocha wilson</t>
  </si>
  <si>
    <t>24936730861</t>
  </si>
  <si>
    <t>JOSE DE JESUS SOTO ALONSO</t>
  </si>
  <si>
    <t>SOAJ610609HNLTLS00</t>
  </si>
  <si>
    <t xml:space="preserve">JORGE OCHOA TAPIA </t>
  </si>
  <si>
    <t>06806128754</t>
  </si>
  <si>
    <t>OOTJ610604HDFCPR06</t>
  </si>
  <si>
    <t>maxiliano</t>
  </si>
  <si>
    <t>MIRIAM ESTHER VIRUES ARROYO</t>
  </si>
  <si>
    <t>VIAM570401MVZRRR02</t>
  </si>
  <si>
    <t>maria</t>
  </si>
  <si>
    <t>MARIA DEL SOCORRO SALAZAR GARZA</t>
  </si>
  <si>
    <t xml:space="preserve">MARIA MAGDALENA VALDEZ OROZCO </t>
  </si>
  <si>
    <t>VAOM620113MBCLRG06</t>
  </si>
  <si>
    <t>Bernardo Reyes Ruiz</t>
  </si>
  <si>
    <t>RERB490820HDGYZR08</t>
  </si>
  <si>
    <t>felipe</t>
  </si>
  <si>
    <t xml:space="preserve">Beatriz Carlota Delgado Díaz </t>
  </si>
  <si>
    <t>SANDRA CECILIA PAYANES CONTRERAS</t>
  </si>
  <si>
    <t>PACS631120MSRYNN06</t>
  </si>
  <si>
    <t>BANCREA</t>
  </si>
  <si>
    <t>CANDELARIO VAQUERA MUÑOZ</t>
  </si>
  <si>
    <t>VAMC590224HZSQXN05</t>
  </si>
  <si>
    <t>TERESA MENDEZ RICO</t>
  </si>
  <si>
    <t xml:space="preserve">1481622726
</t>
  </si>
  <si>
    <t>MERT621016MGTNCR07</t>
  </si>
  <si>
    <t>MANUEL IDELFONSO ROQUE CASTILLO</t>
  </si>
  <si>
    <t>MARIA CRISTINA GUADALUPE PORRAS CASTORENA</t>
  </si>
  <si>
    <t>POCC531011MPLRSR01</t>
  </si>
  <si>
    <t>FERNANDO SAMPERIO RODRIGUEZ</t>
  </si>
  <si>
    <t>SARF630705HMCMDR02</t>
  </si>
  <si>
    <t>Maria Tomasa Hernandez Mendez</t>
  </si>
  <si>
    <t>HEMT550922MVZRNM08</t>
  </si>
  <si>
    <t>PEDRO LOPEZ VALDEZ</t>
  </si>
  <si>
    <t>JUSL801223MDGRNC08</t>
  </si>
  <si>
    <t>LOVP821130HDGPLD08</t>
  </si>
  <si>
    <t>JAIME CASTRO CRUZ</t>
  </si>
  <si>
    <t>CACJ580710HDFSRM06</t>
  </si>
  <si>
    <t>JORGE CHULIA ORTEGA</t>
  </si>
  <si>
    <t>CUOJ550626HDFHRR09</t>
  </si>
  <si>
    <t>Rosalba Bravo Hernandez</t>
  </si>
  <si>
    <t>BAHR611213MOCRRS00</t>
  </si>
  <si>
    <t>MAURA SILVIA TAPIA RUIZ</t>
  </si>
  <si>
    <t>TARM650627MCHPZR04</t>
  </si>
  <si>
    <t>HILDA EMMA MEDINA VALLES</t>
  </si>
  <si>
    <t>MEVH660330MSRDLL05</t>
  </si>
  <si>
    <t>PEDRO ALVARADO MORENO</t>
  </si>
  <si>
    <t>AAMP590914HGRLRD04</t>
  </si>
  <si>
    <t>GREGORIO CRUZ PORTES</t>
  </si>
  <si>
    <t>CUPG640509HHGRRR02</t>
  </si>
  <si>
    <t>ELIGIO ORDUÑA HERNANDEZ</t>
  </si>
  <si>
    <t>OUHE601018HVZRRL02</t>
  </si>
  <si>
    <t>OSCAR ARMANDO ADAME TAVAREZ</t>
  </si>
  <si>
    <t>AATO640304HCHDVS08</t>
  </si>
  <si>
    <t>VIRGINIA DEL CARMEN TIBURCIO CAMACHO</t>
  </si>
  <si>
    <t xml:space="preserve">MARIA DEL CARMEN RODRIGUEZ VAZQUEZ </t>
  </si>
  <si>
    <t>ROVC601030MMNDZR02</t>
  </si>
  <si>
    <t>ALEJANDRO REYES HERNANDEZ</t>
  </si>
  <si>
    <t>67785607473</t>
  </si>
  <si>
    <t>REHA560826HOCYRL03</t>
  </si>
  <si>
    <t>VICTOR MANUEL REYES ALBERT</t>
  </si>
  <si>
    <t>REAV550523HDFYLC09</t>
  </si>
  <si>
    <t>CONSTANTINO HERNANDEZ MAVIL</t>
  </si>
  <si>
    <t>65947620616</t>
  </si>
  <si>
    <t>HEMC761220HvzRvN01</t>
  </si>
  <si>
    <t>ARNULFO MARQUEZ REYES</t>
  </si>
  <si>
    <t>MARA641205HCHRYR05</t>
  </si>
  <si>
    <t>J. CLETO MONTOYA ZAMORA</t>
  </si>
  <si>
    <t>MOZC500713HSPNML08</t>
  </si>
  <si>
    <t>01754916185</t>
  </si>
  <si>
    <t>TECJ700523MDFJMN06</t>
  </si>
  <si>
    <t xml:space="preserve">ULISES RAMOS BAUTISTA </t>
  </si>
  <si>
    <t>RABU731214HTCMTL07</t>
  </si>
  <si>
    <t>Jorge Andrade Cobos</t>
  </si>
  <si>
    <t>AACJ690503HVZNBR01</t>
  </si>
  <si>
    <t>MARTIN SANGABRIEL GARCIA</t>
  </si>
  <si>
    <t>SAGM631111HVZNRR18</t>
  </si>
  <si>
    <t>ALBERTO REYES MARTINEZ</t>
  </si>
  <si>
    <t>32765919900</t>
  </si>
  <si>
    <t xml:space="preserve"> REMA600601HCLYRL01</t>
  </si>
  <si>
    <t>MIGUEL JUAREZ ESPINOZA</t>
  </si>
  <si>
    <t>89826436068</t>
  </si>
  <si>
    <t>JUEM650825HMCRSG09</t>
  </si>
  <si>
    <t>JOSE DOLORES FALCON</t>
  </si>
  <si>
    <t>FAAD820403HGTLYL00</t>
  </si>
  <si>
    <t xml:space="preserve">ARTURO RODRIGUEZ LOPEZ </t>
  </si>
  <si>
    <t>ROPA471030HMNDRR07</t>
  </si>
  <si>
    <t xml:space="preserve">carlos enrique gutierrez alvizo </t>
  </si>
  <si>
    <t>GUAC620715HCLTLR09</t>
  </si>
  <si>
    <t xml:space="preserve">JUAN JOSE ALVARADO CHAVEZ </t>
  </si>
  <si>
    <t>AACJ730403HZSLHN01</t>
  </si>
  <si>
    <t>Jorge Alonso Domínguez Ortiz.</t>
  </si>
  <si>
    <t xml:space="preserve"> 81825702814</t>
  </si>
  <si>
    <t xml:space="preserve">	DOOJ570215HYNMRR03</t>
  </si>
  <si>
    <t>MAXIMINA RAMOS RUIZ</t>
  </si>
  <si>
    <t>33956405435</t>
  </si>
  <si>
    <t>RARM671025MDGMZX15</t>
  </si>
  <si>
    <t>DOMINGA MARIA ELENA LOPEZ MONROY</t>
  </si>
  <si>
    <t>75826523229</t>
  </si>
  <si>
    <t>LOMD650804MDFPNM02</t>
  </si>
  <si>
    <t>Crescencio Trejo hernandez</t>
  </si>
  <si>
    <t>TEHC481229HDFRRR02</t>
  </si>
  <si>
    <t>JOSE JESUS FLORES RAMIREZ</t>
  </si>
  <si>
    <t>19786235267</t>
  </si>
  <si>
    <t>FORJ620610HDFLMS09</t>
  </si>
  <si>
    <t>Ramon</t>
  </si>
  <si>
    <t>Francisco Espejel Y Hernandez</t>
  </si>
  <si>
    <t>EEHF500916HPLSRR05</t>
  </si>
  <si>
    <t>Victor Modesto Gervacio Diaz</t>
  </si>
  <si>
    <t>GEDV580615HOCRZC08</t>
  </si>
  <si>
    <t>Alejandro Adrian Vargas Millan</t>
  </si>
  <si>
    <t>VAMA550731HMSRLL00</t>
  </si>
  <si>
    <t>VICTOR MANUEL</t>
  </si>
  <si>
    <t>MECV541014HTSNDC01</t>
  </si>
  <si>
    <t>GENOVEBA OCHOA CEBREROS</t>
  </si>
  <si>
    <t>OOCG601102MBCCBN00</t>
  </si>
  <si>
    <t>MARIA MARTINEZ</t>
  </si>
  <si>
    <t>MAPM610119MDFRZR04</t>
  </si>
  <si>
    <t>Adriana Melendez Martinez</t>
  </si>
  <si>
    <t>MEMA660322MTSLRD05</t>
  </si>
  <si>
    <t>FERNANDO MORALES RASCON</t>
  </si>
  <si>
    <t>MORF631002HSRRSR06</t>
  </si>
  <si>
    <t>BLANCA ESTELA CAMPOS RUIZ</t>
  </si>
  <si>
    <t>CARB610827MDFMZL09</t>
  </si>
  <si>
    <t>Rafael Perez Cruz</t>
  </si>
  <si>
    <t>PECR730528HCSRRF07</t>
  </si>
  <si>
    <t>MOGF640313HCLRRR18</t>
  </si>
  <si>
    <t>Ofelia Cano Vega</t>
  </si>
  <si>
    <t>CAVO421222MSLNGF04</t>
  </si>
  <si>
    <t>GABRIEL MONTALVO AUDELO</t>
  </si>
  <si>
    <t>MOAG650524HOCNDB06</t>
  </si>
  <si>
    <t>Guillermo Jimenez Luna</t>
  </si>
  <si>
    <t>JILG630109HTCMNL08</t>
  </si>
  <si>
    <t>Martha Olivia Ramirez Aragon</t>
  </si>
  <si>
    <t xml:space="preserve">MARTHA LYDIA RESENDIZ SOLANO </t>
  </si>
  <si>
    <t>RESM640417MDFSLR01</t>
  </si>
  <si>
    <t>JOSE MARIA ORNELAS MARTINEZ</t>
  </si>
  <si>
    <t>OEMM681227HJCRRR16</t>
  </si>
  <si>
    <t>Mauricio Lazo Cuamatzi</t>
  </si>
  <si>
    <t>Edilberto Asuncion pech</t>
  </si>
  <si>
    <t>Juan Bautista Flores</t>
  </si>
  <si>
    <t>BAFJ541112HPLTLN07</t>
  </si>
  <si>
    <t>GILBERTO ARMANDO RAMIREZ ENCINIA</t>
  </si>
  <si>
    <t xml:space="preserve">ISRAEL </t>
  </si>
  <si>
    <t>ROCI741027HVZDNS04</t>
  </si>
  <si>
    <t>SERGIO</t>
  </si>
  <si>
    <t>LAURA ISABEL ALVARADO ARREDONDO</t>
  </si>
  <si>
    <t>65825615084</t>
  </si>
  <si>
    <t>AAAL520708MSPLRR04</t>
  </si>
  <si>
    <t>Gustavo Leon Aispuro</t>
  </si>
  <si>
    <t>23776002885</t>
  </si>
  <si>
    <t>FRANCISCO JAVIER AMEZCUA LOPEZ</t>
  </si>
  <si>
    <t>04826623326</t>
  </si>
  <si>
    <t>AELF660309HJCMPR06</t>
  </si>
  <si>
    <t>MARTHA SILVIA SIGALA OCHOA</t>
  </si>
  <si>
    <t>047455203736</t>
  </si>
  <si>
    <t>SIOM520113MJCGCR05</t>
  </si>
  <si>
    <t>Miguel Angel urquidez Rios</t>
  </si>
  <si>
    <t>UURM720526HSLRSG05</t>
  </si>
  <si>
    <t>Juan Marcos Ortiz Sandoval</t>
  </si>
  <si>
    <t>OISJ651122HDFRNN07</t>
  </si>
  <si>
    <t>Carlos Espinosa Reyes</t>
  </si>
  <si>
    <t>EIRC560401HDFSYR07</t>
  </si>
  <si>
    <t>MAYNOR LEONEL PINEDA RAMOS</t>
  </si>
  <si>
    <t>01785857176</t>
  </si>
  <si>
    <t>JIMJ641219HNLMRN00</t>
  </si>
  <si>
    <t>HECTOR MANUEL MORALES OLIVARES</t>
  </si>
  <si>
    <t>MOOH620323HDFRLC07</t>
  </si>
  <si>
    <t>MA TERESA AGUILAR SEVILLA</t>
  </si>
  <si>
    <t>AUST701003MJCGVR09</t>
  </si>
  <si>
    <t>33 3451 3904</t>
  </si>
  <si>
    <t>FAUSTO TORIZ MARIN</t>
  </si>
  <si>
    <t>FRANCISCO RAMIREZ BARRON</t>
  </si>
  <si>
    <t>BARF590519HGTRMR06</t>
  </si>
  <si>
    <t>JULIO CESAR TORRES PALACIOS</t>
  </si>
  <si>
    <t>TOPJ580913HNLRLL04</t>
  </si>
  <si>
    <t>AMELIA LOURDES MARTINEZ HERNANDEZ</t>
  </si>
  <si>
    <t>17826403473</t>
  </si>
  <si>
    <t>MAHA640105MDFRRM05</t>
  </si>
  <si>
    <t>55 2946 8858</t>
  </si>
  <si>
    <t>JULIO ENRIQUE BOBADILLA MOLINA</t>
  </si>
  <si>
    <t>BOMJ610514HYNBLL01</t>
  </si>
  <si>
    <t>COSME MANUEL HERNANDEZ CAMACHO</t>
  </si>
  <si>
    <t>01685128835</t>
  </si>
  <si>
    <t>HECC510927HDFRMS07</t>
  </si>
  <si>
    <t>FIDEL JESUS SILVA ANZALDUA</t>
  </si>
  <si>
    <t>SIAF560406HNLLND02</t>
  </si>
  <si>
    <t>81 4180 3372</t>
  </si>
  <si>
    <t>APOLONIO NIEVES	RAMIREZ</t>
  </si>
  <si>
    <t>NIRA790728HNTVMP05</t>
  </si>
  <si>
    <t>JOSE ANTONIO LARA SEGURA</t>
  </si>
  <si>
    <t>LASA801211HSPRGN05</t>
  </si>
  <si>
    <t>55 3766 8103</t>
  </si>
  <si>
    <t xml:space="preserve">Gina margarita aviles aviles </t>
  </si>
  <si>
    <t>AIAG600123MYNVVN06</t>
  </si>
  <si>
    <t>ALEJANDRO GURROLA SIFUENTES</t>
  </si>
  <si>
    <t>GUSA740725HCLRFL00</t>
  </si>
  <si>
    <t>RODRIGO MEDEL HERNANDEZ</t>
  </si>
  <si>
    <t>MEHR770302HPLDRD04</t>
  </si>
  <si>
    <t>Isaías Sosa Lozano</t>
  </si>
  <si>
    <t>SOLI610706HDFSZS06</t>
  </si>
  <si>
    <t>ma rosario</t>
  </si>
  <si>
    <t>ANDRES GUERRERO VELAZQUEZ</t>
  </si>
  <si>
    <t>32826475967</t>
  </si>
  <si>
    <t>GUVA641130HCLRLN05</t>
  </si>
  <si>
    <t>GERMAN ALBARRAN PEREZ</t>
  </si>
  <si>
    <t>AAPG510913HDFLRR07</t>
  </si>
  <si>
    <t>EDMUNDO DE JESUS CASTRO BARRAGAN</t>
  </si>
  <si>
    <t>01634320889</t>
  </si>
  <si>
    <t>CABE430512HDFSRD07</t>
  </si>
  <si>
    <t>RAFAEL MARCELO</t>
  </si>
  <si>
    <t>33796010180</t>
  </si>
  <si>
    <t>APOLINAR MANCILLA PASCACIO</t>
  </si>
  <si>
    <t>MAPA590920HGRNSP07</t>
  </si>
  <si>
    <t>GREGORIO ADRIAN ROMERO GARCIA</t>
  </si>
  <si>
    <t>ROGG561117HOCMRR02</t>
  </si>
  <si>
    <t>JUAN FRANCISCO BALBUENA VAZQUEZ</t>
  </si>
  <si>
    <t>32796202375</t>
  </si>
  <si>
    <t>BAVJ621110HCLLSN06</t>
  </si>
  <si>
    <t>JESUS DURAN CORONA</t>
  </si>
  <si>
    <t xml:space="preserve">	DUCJ500802HDFRRS00</t>
  </si>
  <si>
    <t>JOSE HERNANDEZ RECILLAS</t>
  </si>
  <si>
    <t>HERJ570501HMSRCS09</t>
  </si>
  <si>
    <t xml:space="preserve"> JOEL VELAZQUEZ CALVO</t>
  </si>
  <si>
    <t>VECJ620713HMCLLL01</t>
  </si>
  <si>
    <t>PATRICIA JUAREZ SOTO</t>
  </si>
  <si>
    <t>89826310578</t>
  </si>
  <si>
    <t>JUSP630122MVZRTT09</t>
  </si>
  <si>
    <t>OCTAVIO CRUZ FLORES</t>
  </si>
  <si>
    <t>04897265502</t>
  </si>
  <si>
    <t>RUBEN RODRIGUEZ ORTIZ</t>
  </si>
  <si>
    <t>ROOR601008HDFDRB06</t>
  </si>
  <si>
    <t>SILVESTRE SANCHEZ CAMACHO</t>
  </si>
  <si>
    <t>SACS691231HPLNML07</t>
  </si>
  <si>
    <t>JUAN MANUEL VEGA TAPIA</t>
  </si>
  <si>
    <t>VETJ630719HJCGPN06</t>
  </si>
  <si>
    <t>49876949980</t>
  </si>
  <si>
    <t>49885303641</t>
  </si>
  <si>
    <t>JAVIER MOREIRA ANDRADE</t>
  </si>
  <si>
    <t>62906650095</t>
  </si>
  <si>
    <t>MOAJ660506HDFRNV08</t>
  </si>
  <si>
    <t>JUSTINO GARCIA PINALES</t>
  </si>
  <si>
    <t>GAPJ550414HCLRNS01</t>
  </si>
  <si>
    <t xml:space="preserve"> MIGUEL MENDOZA GARCIA</t>
  </si>
  <si>
    <t>MEGM621005HDFNRG01</t>
  </si>
  <si>
    <t>J. SANTANA RAMOS ALVARADO</t>
  </si>
  <si>
    <t>RAAS600726HTSMLN03</t>
  </si>
  <si>
    <t>JOSE LUIS TREJO MEJIA</t>
  </si>
  <si>
    <t>TEML550409HDFRJS05</t>
  </si>
  <si>
    <t>FRANCISCO JAVIER CHAVEZ GONZALEZ</t>
  </si>
  <si>
    <t>CAGF620903HJCHNR05</t>
  </si>
  <si>
    <t>ARTURO LANDEROS CADENA</t>
  </si>
  <si>
    <t>LACA631202HDFNDR07</t>
  </si>
  <si>
    <t>Gerardo quiroz martinez</t>
  </si>
  <si>
    <t>QUMG540718HZSRRR06</t>
  </si>
  <si>
    <t>VICTOR ALBINO JIMENEZ</t>
  </si>
  <si>
    <t>72935900737</t>
  </si>
  <si>
    <t>AIJV591109HMCLMC08</t>
  </si>
  <si>
    <t>04694909708</t>
  </si>
  <si>
    <t>MARIA ELENA VILLALBA ROSAS</t>
  </si>
  <si>
    <t>07836830690</t>
  </si>
  <si>
    <t>VIRE680822MDFLSL05</t>
  </si>
  <si>
    <t xml:space="preserve">gabriel avila tirado </t>
  </si>
  <si>
    <t>23955604642</t>
  </si>
  <si>
    <t>AITG560324HSLVRB07</t>
  </si>
  <si>
    <t xml:space="preserve">MARTIN AMAYA DE LEON </t>
  </si>
  <si>
    <t>AALM581111HTSMNR02</t>
  </si>
  <si>
    <t xml:space="preserve">JUAN MARTIN JIMENEZ PERDOMO </t>
  </si>
  <si>
    <t>JIPJ630824HVZMRN07</t>
  </si>
  <si>
    <t>PABLO SANTOS RESENDIZ RIVERA</t>
  </si>
  <si>
    <t>06745733722</t>
  </si>
  <si>
    <t>RERP571102HMCSVB00</t>
  </si>
  <si>
    <t>AILR580216HDFRRB06</t>
  </si>
  <si>
    <t>LUIS REY NOH QUINTANA</t>
  </si>
  <si>
    <t>NOQL620825HCCHNS05</t>
  </si>
  <si>
    <t>IRENE MORAN CONTRERAS</t>
  </si>
  <si>
    <t>MOCI610628MVZRNR00</t>
  </si>
  <si>
    <t>Martín Miguel Herrera bocarando</t>
  </si>
  <si>
    <t xml:space="preserve">	HEBM640410HVZRCR02</t>
  </si>
  <si>
    <t xml:space="preserve">Juan Carlos Celis Flores </t>
  </si>
  <si>
    <t xml:space="preserve">	CEFJ621016HVZLLN01</t>
  </si>
  <si>
    <t>ALBERTA PIÑA IBARRA</t>
  </si>
  <si>
    <t xml:space="preserve">23745604381
</t>
  </si>
  <si>
    <t>PIIA560105MSLXBL02</t>
  </si>
  <si>
    <t>IGNACIO REMES VELIZ</t>
  </si>
  <si>
    <t>REVI630201HCHMLG08</t>
  </si>
  <si>
    <t>ROGELIO TORRES BAZAN</t>
  </si>
  <si>
    <t xml:space="preserve">72776003468
</t>
  </si>
  <si>
    <t>TOBR600605HGRRZG06</t>
  </si>
  <si>
    <t>JOSE LUIS HERNANDEZ HERNANDEZ</t>
  </si>
  <si>
    <t>HEHL730522HNLRRS07</t>
  </si>
  <si>
    <t>81 2358 7472</t>
  </si>
  <si>
    <t>Juan Castañeda Morales</t>
  </si>
  <si>
    <t>01796044715</t>
  </si>
  <si>
    <t>Hilaria Celestina Cabrera Rosas</t>
  </si>
  <si>
    <t>01654603230</t>
  </si>
  <si>
    <t>54806161292</t>
  </si>
  <si>
    <t>JESUS DE LOS ANGELES PAVON</t>
  </si>
  <si>
    <t>07835903332</t>
  </si>
  <si>
    <t>AEPJ580110HGRNVS00</t>
  </si>
  <si>
    <t xml:space="preserve">Julio Sergio Saavedra Daniel </t>
  </si>
  <si>
    <t>SADJ460806HNLVNL01</t>
  </si>
  <si>
    <t xml:space="preserve">21886863477
</t>
  </si>
  <si>
    <t>Jorge Alberto Aguilar Huerta</t>
  </si>
  <si>
    <t>JESUS LEONARDO VEGA RUIZ</t>
  </si>
  <si>
    <t>VERJ601120HSRGZS08</t>
  </si>
  <si>
    <t>Venancio Jimenez Nieto</t>
  </si>
  <si>
    <t>JINV640518HQTMTN07</t>
  </si>
  <si>
    <t>Daniel Silogonia Ramirez Bazan</t>
  </si>
  <si>
    <t>ESTEBAN SALVADOR VILLAREAL AGUAYO</t>
  </si>
  <si>
    <t>VIAE630623HNLLGS03</t>
  </si>
  <si>
    <t>REYNALDO JUAN PEREZ RUIZ</t>
  </si>
  <si>
    <t>PERR600323HOCRZY00</t>
  </si>
  <si>
    <t>SERGIO MARTINEZ GARCIA</t>
  </si>
  <si>
    <t>01906408230</t>
  </si>
  <si>
    <t>MAGS641113HMCRRR09</t>
  </si>
  <si>
    <t>RAQUEL ROMERO SALAZAR</t>
  </si>
  <si>
    <t>01785985936</t>
  </si>
  <si>
    <t>ROSR590130MDFMLQ07</t>
  </si>
  <si>
    <t>Hector Cigarroa gaeta</t>
  </si>
  <si>
    <t>CIGH640430HCLGTC05</t>
  </si>
  <si>
    <t>FRANCISCO MELENDEZ LOPEZ</t>
  </si>
  <si>
    <t>MELF560426HOCLPR03</t>
  </si>
  <si>
    <t>veronica</t>
  </si>
  <si>
    <t>CADV750612MDGHVR09</t>
  </si>
  <si>
    <t xml:space="preserve">	BENJAMIN JAIME</t>
  </si>
  <si>
    <t>JURB640401HVZRMN06</t>
  </si>
  <si>
    <t>MARCOS ANTONIO GONZALEZ NAJERA</t>
  </si>
  <si>
    <t>GONM570321HSRNJR04</t>
  </si>
  <si>
    <t xml:space="preserve">MARIA TERESA FERNANDEZ ORTIZ </t>
  </si>
  <si>
    <t>FEOT610619MJCRRR01</t>
  </si>
  <si>
    <t>RAUL PALACIOS FLORES</t>
  </si>
  <si>
    <t>PAFR580721HDFLLL03</t>
  </si>
  <si>
    <t xml:space="preserve">	JOSE MARTIN	PROA VAZQUEZ</t>
  </si>
  <si>
    <t>POVM621204HGTRZR09</t>
  </si>
  <si>
    <t>CAYETANO CABRIALES CORDOVA</t>
  </si>
  <si>
    <t>CACC580807HTSBRY05</t>
  </si>
  <si>
    <t>81 86013651</t>
  </si>
  <si>
    <t>GUILLERMO SANCHEZ MENDEZ</t>
  </si>
  <si>
    <t>SAMG760928HQTNNL04</t>
  </si>
  <si>
    <t>PERLA HERNANDEZ TENORIO</t>
  </si>
  <si>
    <t xml:space="preserve">	JOSE ANTONIO DE LA TORRE	REYES</t>
  </si>
  <si>
    <t>TORA590319HCLRYN01</t>
  </si>
  <si>
    <t xml:space="preserve">EUGENIA DEL CARMEN ORTIZ GRANADAS </t>
  </si>
  <si>
    <t>33743903495</t>
  </si>
  <si>
    <t>OIGE640615MCLRRG05</t>
  </si>
  <si>
    <t xml:space="preserve">JORGE SANTIAGO HERNANDEZ </t>
  </si>
  <si>
    <t>SAHJ640211HVZNRR07</t>
  </si>
  <si>
    <t>JOSE ANTONIO SANCHEZ TELLEZ</t>
  </si>
  <si>
    <t>01796398095</t>
  </si>
  <si>
    <t>SATA630320HDFNLN07</t>
  </si>
  <si>
    <t>02238932194</t>
  </si>
  <si>
    <t>MARISOL SALAS TOLANO</t>
  </si>
  <si>
    <t>SATM780906MSRLLR03</t>
  </si>
  <si>
    <t>REMEDIOS LIRA ESCOBEDO</t>
  </si>
  <si>
    <t>LIER610901MHGRSM04</t>
  </si>
  <si>
    <t>LANDY DEL SOCORRO MOGUEL ORDOÑEZ</t>
  </si>
  <si>
    <t>MOOL460718MYNGRN01</t>
  </si>
  <si>
    <t>JAIME RENE VALADEZ ORTEGA</t>
  </si>
  <si>
    <t>VAOJ640422HDFLRM01</t>
  </si>
  <si>
    <t>MARIA GUADALUPE ALMAGUER FLORES</t>
  </si>
  <si>
    <t xml:space="preserve">3272471064
</t>
  </si>
  <si>
    <t>AAFG510621MCLLLD08</t>
  </si>
  <si>
    <t>MARCO ANTONIO MARTINEZ VELASCO</t>
  </si>
  <si>
    <t>06816515602</t>
  </si>
  <si>
    <t>MAVM650301HDFRLR06</t>
  </si>
  <si>
    <t>FRANCISCO ARAGON</t>
  </si>
  <si>
    <t>SERGIO RAMIREZ VILLEGAS</t>
  </si>
  <si>
    <t>16766005876</t>
  </si>
  <si>
    <t>RAVS601128HTSMLR02</t>
  </si>
  <si>
    <t>CAMILO MARQUEZ VALLEJO</t>
  </si>
  <si>
    <t>MAVC690718HGTRLM04</t>
  </si>
  <si>
    <t>ARMANDO CORTES</t>
  </si>
  <si>
    <t>COGA600913HVZRRR01</t>
  </si>
  <si>
    <t>DIMEX</t>
  </si>
  <si>
    <t>JESUS MENDOZA PELAYO</t>
  </si>
  <si>
    <t>04845505611</t>
  </si>
  <si>
    <t>MEPJ550808HJCNLS03</t>
  </si>
  <si>
    <t>Arturo Carlos Acuña</t>
  </si>
  <si>
    <t>NOE CHAPARRO HERNANDEZ</t>
  </si>
  <si>
    <t>CAHN640611HVZHRX01</t>
  </si>
  <si>
    <t xml:space="preserve">HERMENEGILDO ESPINO RODRIGUEZ </t>
  </si>
  <si>
    <t>EIRH630413HPLSDR00</t>
  </si>
  <si>
    <t>GERARDO ESPINOSA IBARRA</t>
  </si>
  <si>
    <t xml:space="preserve">42816115986
</t>
  </si>
  <si>
    <t>EIIG610322HMCSBR01</t>
  </si>
  <si>
    <t xml:space="preserve">	EVERARDO RAMIREZ SEPULVEDA</t>
  </si>
  <si>
    <t>RASE600718HDGMPV06</t>
  </si>
  <si>
    <t>ZEFERINO MENESES OJEDA</t>
  </si>
  <si>
    <t>MEOZ620211HTLNJF15</t>
  </si>
  <si>
    <t>SANDRA MARTINEZ MERAZ</t>
  </si>
  <si>
    <t>MAMS580203MDGRRN00</t>
  </si>
  <si>
    <t>RAMON HECTOR CALDERA AYALA</t>
  </si>
  <si>
    <t xml:space="preserve">2380580708
</t>
  </si>
  <si>
    <t>CAAR580414HSLLYM04</t>
  </si>
  <si>
    <t>MARIA SALUD VILLANUEVA CONTRERAS</t>
  </si>
  <si>
    <t xml:space="preserve">14755800340
</t>
  </si>
  <si>
    <t>VICS590608MGTLNL08</t>
  </si>
  <si>
    <t>JULIA PEREZ GARCIA</t>
  </si>
  <si>
    <t>844 327 4846</t>
  </si>
  <si>
    <t>RAFAEL BANDA GARZA</t>
  </si>
  <si>
    <t>BAGR651018HNLNRF08</t>
  </si>
  <si>
    <t>JOSE LUIS QUIRINO HINOJOSA MAYORGA</t>
  </si>
  <si>
    <t xml:space="preserve">13896510123
</t>
  </si>
  <si>
    <t>HIML650604HHGNYS07</t>
  </si>
  <si>
    <t>GONZALO GARCIA Y JAEN</t>
  </si>
  <si>
    <t>GAJG590105HVZRNN08</t>
  </si>
  <si>
    <t>ABUNDIO CARLOS GIRON FERNANDEZ</t>
  </si>
  <si>
    <t xml:space="preserve">11715233547
</t>
  </si>
  <si>
    <t>GIFA520711HDFRRB02</t>
  </si>
  <si>
    <t>JOSE ALEJANDRO BOCANEGRA</t>
  </si>
  <si>
    <t>BOMA620504HPLCNL05</t>
  </si>
  <si>
    <t xml:space="preserve">GABRIEL PRECIADO HERNANDEZ </t>
  </si>
  <si>
    <t>PEHG800925HGTRRB03</t>
  </si>
  <si>
    <t>VICTOR GABRIEL CAMPECHANO</t>
  </si>
  <si>
    <t>GACV630728HJCBMC08</t>
  </si>
  <si>
    <t xml:space="preserve">AURELIO SEGOVIA GUERRERO </t>
  </si>
  <si>
    <t>SEGA590925HCLGRR01</t>
  </si>
  <si>
    <t>JUVENAL BELTRAN CASTILLO</t>
  </si>
  <si>
    <t>BECJ750422HDGLSV02</t>
  </si>
  <si>
    <t>SANTIAGO GARZA SALINAS</t>
  </si>
  <si>
    <t>GASS611222HNLRLN08</t>
  </si>
  <si>
    <t>81 1177 7810</t>
  </si>
  <si>
    <t xml:space="preserve">AURORA OROZCO VILLALPANDO	</t>
  </si>
  <si>
    <t>OOVA700503MJCRLR04</t>
  </si>
  <si>
    <t xml:space="preserve">MARIBEL CASTILLO MORALES </t>
  </si>
  <si>
    <t>CAMM730701MPLSRR04</t>
  </si>
  <si>
    <t>JESUS PIÑON FLORES</t>
  </si>
  <si>
    <t>PIFJ650417HDFXLS07</t>
  </si>
  <si>
    <t xml:space="preserve"> JOSE HUGO OTERO LEDEZMA</t>
  </si>
  <si>
    <t xml:space="preserve">07886601454
</t>
  </si>
  <si>
    <t>OELH710211HMCTDG07</t>
  </si>
  <si>
    <t>ARNULFO CEDILLO MONTES</t>
  </si>
  <si>
    <t>10826372384</t>
  </si>
  <si>
    <t>CEMA631002HDFDNR03</t>
  </si>
  <si>
    <t>ROBERTO LUNA HERNANDEZ</t>
  </si>
  <si>
    <t>LUHR560120HDFNRB07</t>
  </si>
  <si>
    <t>MARIANO RAMIREZ SANCHEZ</t>
  </si>
  <si>
    <t>01745563062</t>
  </si>
  <si>
    <t>RASM550329HDFMNR00</t>
  </si>
  <si>
    <t>SERGIO GARCIA LEAL</t>
  </si>
  <si>
    <t>GALS570522HNLRLR06</t>
  </si>
  <si>
    <t>Francisco Aguirre Álvarez</t>
  </si>
  <si>
    <t>AUAF601208HSPGLR05</t>
  </si>
  <si>
    <t>MARTHA CORDERO MANDUJANO</t>
  </si>
  <si>
    <t>COMM531007MCSRNR03</t>
  </si>
  <si>
    <t>JOSE GARCIA GUTIERREZ</t>
  </si>
  <si>
    <t>GAGJ590616HCLRTS01</t>
  </si>
  <si>
    <t>ENRIQUE</t>
  </si>
  <si>
    <t>01826217299</t>
  </si>
  <si>
    <t>MARTIN ALONSO GONZALEZ LOPEZ</t>
  </si>
  <si>
    <t>43897015939</t>
  </si>
  <si>
    <t xml:space="preserve">RAUL CRUZ </t>
  </si>
  <si>
    <t xml:space="preserve">14796122266 </t>
  </si>
  <si>
    <t>MARIA YOLANDA MOLINA QUEZADA</t>
  </si>
  <si>
    <t>MOQY621017MDFLZL08</t>
  </si>
  <si>
    <t>ALFREDO OLMOS CONDE</t>
  </si>
  <si>
    <t>OOCA740111HVZLNL07</t>
  </si>
  <si>
    <t>Fausto Garcia Yañez</t>
  </si>
  <si>
    <t>GAYF580920HSPRXS06</t>
  </si>
  <si>
    <t>RANULFO MARTINEZ VILLALOBOS</t>
  </si>
  <si>
    <t>54776130418</t>
  </si>
  <si>
    <t>MAVR630327HJCRLN09</t>
  </si>
  <si>
    <t>JOSE FEDERICO RAMIREZ LOPEZ</t>
  </si>
  <si>
    <t>RALF710514HGTMPD02</t>
  </si>
  <si>
    <t xml:space="preserve">JUAN ORTIZ CERVANTES </t>
  </si>
  <si>
    <t>OICJ591124HOCRRN07</t>
  </si>
  <si>
    <t>RAFAEL RODRIGUEZ LOZANO</t>
  </si>
  <si>
    <t>ROLR500723HJCDZF06</t>
  </si>
  <si>
    <t>EDUARDO FARFAN LOPEZ</t>
  </si>
  <si>
    <t>FALE771127HDFRPD09</t>
  </si>
  <si>
    <t>Guadalupe roldan nava</t>
  </si>
  <si>
    <t>FERNANDO SOTO</t>
  </si>
  <si>
    <t>72806313523</t>
  </si>
  <si>
    <t xml:space="preserve">MARCO ANTONIO ESPINOZA INZUNZA </t>
  </si>
  <si>
    <t xml:space="preserve">23755900018
</t>
  </si>
  <si>
    <t>EIIM590110HSLSNR00</t>
  </si>
  <si>
    <t>JUAN RAMON HERNANDEZ URIAS</t>
  </si>
  <si>
    <t>HEUJ551107HSLRRN08</t>
  </si>
  <si>
    <t>75816107793</t>
  </si>
  <si>
    <t>55 1780 0554</t>
  </si>
  <si>
    <t>SANDRA ANTONIA VILLAVICENCIO ARCE</t>
  </si>
  <si>
    <t>VIAS691125MBSLRN19</t>
  </si>
  <si>
    <t>Benito Mateo Francisco</t>
  </si>
  <si>
    <t>MAFB660213HVZTRN01</t>
  </si>
  <si>
    <t>LEONARDO ALEJANDRO MENDEZ GURROLA</t>
  </si>
  <si>
    <t>MEGL780819HNLNRN05</t>
  </si>
  <si>
    <t>ENRIQUE LONEL MARTINEZ VILLAGRAN</t>
  </si>
  <si>
    <t xml:space="preserve"> 7183651099</t>
  </si>
  <si>
    <t>MAVE650303HCSRLN06</t>
  </si>
  <si>
    <t>FERNANDO SANTOS PLIEGO</t>
  </si>
  <si>
    <t>SAPF771025HDFNLR01</t>
  </si>
  <si>
    <t>CIRILO JIMENEZ ADAME</t>
  </si>
  <si>
    <t>JIAC531126HMNMDR02</t>
  </si>
  <si>
    <t>ARTURO FLORES GUTIERREZ</t>
  </si>
  <si>
    <t>FOGA841012HJCLTR05</t>
  </si>
  <si>
    <t>JOSE EDUARDO GLORIA GARCIA</t>
  </si>
  <si>
    <t>GOGE590424HCLLRD02</t>
  </si>
  <si>
    <t>Isidro Hernandez Serna</t>
  </si>
  <si>
    <t>HESI650515HVZRRS08</t>
  </si>
  <si>
    <t>EDUARDO BELTRAN GARCIA</t>
  </si>
  <si>
    <t>BEGE801013HNTLRD04</t>
  </si>
  <si>
    <t>MARIA ALICIA HERNANDEZ VERGARA</t>
  </si>
  <si>
    <t>89806303270</t>
  </si>
  <si>
    <t>HEBA630115MDFRRL03</t>
  </si>
  <si>
    <t>BENJAMIN RAMIREZ RIVERO</t>
  </si>
  <si>
    <t>RARB810113HCCMVN01</t>
  </si>
  <si>
    <t>HILARIA YOLANDA HERNANDEZ MUÑOZ</t>
  </si>
  <si>
    <t xml:space="preserve"> 62805914140</t>
  </si>
  <si>
    <t>HEMH590112MTLRXL02</t>
  </si>
  <si>
    <t>JOSE FRANCISCO POLINA VAZQUEZ</t>
  </si>
  <si>
    <t>43896022621</t>
  </si>
  <si>
    <t>POVF601005HNLLZR03</t>
  </si>
  <si>
    <t>CARLOS SALVADOR KUNHAGEL SIERRA</t>
  </si>
  <si>
    <t>KUSC630319HTSHRR01</t>
  </si>
  <si>
    <t>JUSTO HOMERO HERNANDEZ BAUTISTA</t>
  </si>
  <si>
    <t>HEBJ610812HVZRTS09</t>
  </si>
  <si>
    <t>SARA ALICIA OCHOA VAZQUEZ</t>
  </si>
  <si>
    <t>OOVS630913MTSCZR01</t>
  </si>
  <si>
    <t>81 1504 1640</t>
  </si>
  <si>
    <t>MANUEL DE JESUS ZAMARRIPA RIVERA</t>
  </si>
  <si>
    <t>ZARM580823HNLMVN05</t>
  </si>
  <si>
    <t>FLORENCIO FLORES QUIROZ</t>
  </si>
  <si>
    <t>FOQF621027HPLLRL09</t>
  </si>
  <si>
    <t>FRANCISCO JAVIER VALENZUELA MARTINEZ</t>
  </si>
  <si>
    <t>VAMF601203HDFLRR04</t>
  </si>
  <si>
    <t>CARLOS ESPINOSA REYES</t>
  </si>
  <si>
    <t>01745644193</t>
  </si>
  <si>
    <t>BLANCA FILOMENA JIMENEZ ALVARADO</t>
  </si>
  <si>
    <t>JIAB650404MJCMLL00</t>
  </si>
  <si>
    <t>ROGELIO IZQUIERDA LARA</t>
  </si>
  <si>
    <t>01765884976</t>
  </si>
  <si>
    <t>IULR580226HDFZRG06</t>
  </si>
  <si>
    <t>ROSALINDA LOPEZ MOSQUEDA</t>
  </si>
  <si>
    <t>LOMR541013MNLPSS08</t>
  </si>
  <si>
    <t>Gregoria Garcia Cruz</t>
  </si>
  <si>
    <t>GACG651117MMSRRR05</t>
  </si>
  <si>
    <t>BLANCA LUCIO LOPEZ</t>
  </si>
  <si>
    <t xml:space="preserve">49604323490
</t>
  </si>
  <si>
    <t>LULB680726MTSCPL08</t>
  </si>
  <si>
    <t>BRAULIA SAGRARIO GARCIA ORTIZ</t>
  </si>
  <si>
    <t>GAOB760107MVZRRR05</t>
  </si>
  <si>
    <t>844 668 1844</t>
  </si>
  <si>
    <t>OLGA CHAPARRO LOPEZ</t>
  </si>
  <si>
    <t>CALO510129MCHHPL04</t>
  </si>
  <si>
    <t>DOMINGO PEREZ RESENDIZ</t>
  </si>
  <si>
    <t>PERD641025HDFRSM09</t>
  </si>
  <si>
    <t xml:space="preserve">JOEL HERNANDEZ PUERTA </t>
  </si>
  <si>
    <t>HEPJ660427HDFRRL04</t>
  </si>
  <si>
    <t xml:space="preserve">ROSA GUTIERREZ OLARTE </t>
  </si>
  <si>
    <t>GUOR531217MVZTLS02</t>
  </si>
  <si>
    <t>EMILIO MARTIN HERNANDEZ TAPIA</t>
  </si>
  <si>
    <t xml:space="preserve">71796114479
</t>
  </si>
  <si>
    <t>HETE640106HGTRPM07</t>
  </si>
  <si>
    <t xml:space="preserve">ERNESTO DE LA TORRE AGUILAR </t>
  </si>
  <si>
    <t>TOAE531107HZSRGR00</t>
  </si>
  <si>
    <t>43897342945</t>
  </si>
  <si>
    <t>CANDELARIA GUADALUPE CRUZ CHAY</t>
  </si>
  <si>
    <t xml:space="preserve">8182660073
</t>
  </si>
  <si>
    <t>CUCC690131MCCRHN05</t>
  </si>
  <si>
    <t>SAMUEL ZAPATA REYES</t>
  </si>
  <si>
    <t>ZARS630714HNLPYM04</t>
  </si>
  <si>
    <t>CLAUDIO GRANIEL HERRERA</t>
  </si>
  <si>
    <t>GAHC530611HYNRRL02</t>
  </si>
  <si>
    <t>JOSE LUIS DOMINGUEZ MEDINA</t>
  </si>
  <si>
    <t>DOML640319HDFMDS08</t>
  </si>
  <si>
    <t>CLAUDIO LUCAS HERNANDEZ</t>
  </si>
  <si>
    <t>49846420104</t>
  </si>
  <si>
    <t>JOSE ISABEL ELIAS CORDOBA</t>
  </si>
  <si>
    <t>EICI650708HNLLRS05</t>
  </si>
  <si>
    <t>MARIA LUNA ROSAS</t>
  </si>
  <si>
    <t>04674603982</t>
  </si>
  <si>
    <t>LURM480404MJCNSR01</t>
  </si>
  <si>
    <t>HECTOR MENDEZ NOVAK</t>
  </si>
  <si>
    <t>MENH500908HDFNVC06</t>
  </si>
  <si>
    <t xml:space="preserve">SAMUEL SANCHEZ PADILLA </t>
  </si>
  <si>
    <t>SAPS580128HMNNDM09</t>
  </si>
  <si>
    <t>VICTOR MANUEL CERVANTES GARCIA</t>
  </si>
  <si>
    <t>CEGV610506HDFRRC09</t>
  </si>
  <si>
    <t xml:space="preserve">LUIS ALFONSO ALVAREZ </t>
  </si>
  <si>
    <t>AAXL650411HGTLXS03</t>
  </si>
  <si>
    <t>ADELA LIZBETH JIMENEZ HERNANDEZ</t>
  </si>
  <si>
    <t>JIHA931014MJCMRD05</t>
  </si>
  <si>
    <t>BENJAMIN BUSTAMANTE</t>
  </si>
  <si>
    <t>ARNOLDO AMBRIZ CHAVEZ</t>
  </si>
  <si>
    <t>AICA660917HCLMHR00</t>
  </si>
  <si>
    <t>JOSE MORENO CHAPAS</t>
  </si>
  <si>
    <t>MOCJ620523HQTRHS00</t>
  </si>
  <si>
    <t xml:space="preserve">MARICRUZ DE JESUS SALAZAR </t>
  </si>
  <si>
    <t xml:space="preserve">62906885595
</t>
  </si>
  <si>
    <t>JESM720419MPLSLR00</t>
  </si>
  <si>
    <t>CARLOS BORBON GUTIERREZ</t>
  </si>
  <si>
    <t>BOGC640215HSRRTR07</t>
  </si>
  <si>
    <t>ROBERTO PADILLA</t>
  </si>
  <si>
    <t>45896102006</t>
  </si>
  <si>
    <t>PAXR610221HDFDXB09</t>
  </si>
  <si>
    <t xml:space="preserve">EDER MARTINEZ JIMENEZ </t>
  </si>
  <si>
    <t>19786316448</t>
  </si>
  <si>
    <t>MAJE630731HOCRMD01</t>
  </si>
  <si>
    <t>RUBEN VELAZQUEZ RODRIGUEZ</t>
  </si>
  <si>
    <t>VERR480428HDFLDB05</t>
  </si>
  <si>
    <t xml:space="preserve">MIGUEL PEREZ HERNANDEZ </t>
  </si>
  <si>
    <t xml:space="preserve">67816430614
</t>
  </si>
  <si>
    <t>PEHM641102HVZRRG09</t>
  </si>
  <si>
    <t>JOSE ANTONIO GARCIA HERNANDEZ</t>
  </si>
  <si>
    <t>06776108687</t>
  </si>
  <si>
    <t>GAHA610915HGRRRN02</t>
  </si>
  <si>
    <t xml:space="preserve">JOSE ARMANDO AGUIRRE RUIZ </t>
  </si>
  <si>
    <t>AURA601219HCLGZR02</t>
  </si>
  <si>
    <t>GILBERTO GARDUÑO GUTIEREZ</t>
  </si>
  <si>
    <t>81 2717 5108</t>
  </si>
  <si>
    <t>VICTOR LOPEZ PEREZ</t>
  </si>
  <si>
    <t>LOPV620728HJCPRC03</t>
  </si>
  <si>
    <t>MA. SILVIA SOLANO RIOS</t>
  </si>
  <si>
    <t>54775912295</t>
  </si>
  <si>
    <t>SORS611231MJCLSL13</t>
  </si>
  <si>
    <t>PEDRO GONZALEZ SEOANE</t>
  </si>
  <si>
    <t>GOSP530128HVZNND09</t>
  </si>
  <si>
    <t>CECILIA ETIENNE HERNANDEZ</t>
  </si>
  <si>
    <t>EIHC671025HSPTRC05</t>
  </si>
  <si>
    <t>MARIA ELENA MARIN ALVARADO</t>
  </si>
  <si>
    <t>MAAE570414MDGRLL03</t>
  </si>
  <si>
    <t>MARIA GABRIELA GONZALEZ MARIN</t>
  </si>
  <si>
    <t>GOMG570307MYNNRB09</t>
  </si>
  <si>
    <t xml:space="preserve">PABLO REYES SUAREZ </t>
  </si>
  <si>
    <t>RESP600115HMCYRB02</t>
  </si>
  <si>
    <t>ANGELICA LETICIA PEÑA MACIAS</t>
  </si>
  <si>
    <t>PEMA640802MDFXCN06</t>
  </si>
  <si>
    <t>56 3302 2771</t>
  </si>
  <si>
    <t xml:space="preserve">JESUS ALFREDO VALLES ROCHA </t>
  </si>
  <si>
    <t>VARJ570626HDGLCS07</t>
  </si>
  <si>
    <t>JUAN CARLOS GALVAN ZUÑIGA</t>
  </si>
  <si>
    <t>GAZJ620913HCLLXN09</t>
  </si>
  <si>
    <t>JUAN JOSE CARBAJAL UGARTE</t>
  </si>
  <si>
    <t>CAUJ630624HMNRGN07</t>
  </si>
  <si>
    <t>443 416 4584</t>
  </si>
  <si>
    <t>JORGE ARGUELLO  ACOSTA</t>
  </si>
  <si>
    <t>AUAJ620419HZSRCR09</t>
  </si>
  <si>
    <t>SOFM580425HSLLLN07</t>
  </si>
  <si>
    <t>ALEJANDRO ILUSTRE LOAIZA</t>
  </si>
  <si>
    <t>01745685733</t>
  </si>
  <si>
    <t>IULA560303HSLLZL08</t>
  </si>
  <si>
    <t>JUAN JOSE TORRES ALCARAZ</t>
  </si>
  <si>
    <t xml:space="preserve">TOAJ590903HNLRLN01 </t>
  </si>
  <si>
    <t>MARTIN CARLOS SAMANIEGO OVIEDO</t>
  </si>
  <si>
    <t>SAOM601111HCLMVR04</t>
  </si>
  <si>
    <t>JAVIER ALEXIS ENRIQUEZ LOPEZ</t>
  </si>
  <si>
    <t>EILJ921116HCSNPV03</t>
  </si>
  <si>
    <t>JAIME CRUZ MARTINEZ</t>
  </si>
  <si>
    <t>CUMJ730519HPLRRM05</t>
  </si>
  <si>
    <t>ALBERTO MANUEL GUTIERREZ GONZALEZ</t>
  </si>
  <si>
    <t>GUGA600217HNLTNL02</t>
  </si>
  <si>
    <t xml:space="preserve"> 81 1244 4861</t>
  </si>
  <si>
    <t xml:space="preserve">Jesus Herbe Sosa Herrera </t>
  </si>
  <si>
    <t>SOHJ651224HYNSRS04</t>
  </si>
  <si>
    <t>Leticia Ordaz Aguayo</t>
  </si>
  <si>
    <t>RAXA770213HOCMXN06</t>
  </si>
  <si>
    <t>RAFAEL MIRANDA CERON</t>
  </si>
  <si>
    <t>MICR600909HPLRRF01</t>
  </si>
  <si>
    <t>LUCY BESO</t>
  </si>
  <si>
    <t>43816330492</t>
  </si>
  <si>
    <t>CONSTANTINO SEGURA CARDOSO</t>
  </si>
  <si>
    <t>SECC570613HVZGRN07</t>
  </si>
  <si>
    <t>MARIO ESCOBEDO CORTEZ</t>
  </si>
  <si>
    <t>31806324708</t>
  </si>
  <si>
    <t>871 505 22 76</t>
  </si>
  <si>
    <t xml:space="preserve">Jesús Rincon </t>
  </si>
  <si>
    <t>RIXR590406HDFNXC07</t>
  </si>
  <si>
    <t>MARISELA CORONA GUARDADO</t>
  </si>
  <si>
    <t>14926606014</t>
  </si>
  <si>
    <t>COGM660201MQTRRR09</t>
  </si>
  <si>
    <t>Matilde dolores vieyra hernandez</t>
  </si>
  <si>
    <t>ALFONSO BRAVO TAPIA</t>
  </si>
  <si>
    <t>BATA610820HDFRPL03</t>
  </si>
  <si>
    <t>IGNACIO MARIANO VAZQUEZ ROMO</t>
  </si>
  <si>
    <t>VARI630731HDFZMG04</t>
  </si>
  <si>
    <t>SUSANO ARANA VALDIVIA</t>
  </si>
  <si>
    <t xml:space="preserve">54786052982 </t>
  </si>
  <si>
    <t>AAVS620809HJCRLS02</t>
  </si>
  <si>
    <t>HUGO RODRIGUEZ REYES</t>
  </si>
  <si>
    <t>RORH650319HDFDYG05</t>
  </si>
  <si>
    <t>INBURSA</t>
  </si>
  <si>
    <t>Marii</t>
  </si>
  <si>
    <t>CAPC600123MJCBRN09</t>
  </si>
  <si>
    <t>DIONISIO FLORES MONTAÑO</t>
  </si>
  <si>
    <t>04886547282</t>
  </si>
  <si>
    <t>FOMD650525HJCLNN02</t>
  </si>
  <si>
    <t>VICTOR MARISCAL MUÑIZ</t>
  </si>
  <si>
    <t xml:space="preserve">32755413187 </t>
  </si>
  <si>
    <t>MAMV540805HCLRXC09</t>
  </si>
  <si>
    <t>VICTOR MANUEL PATIÑO CHAIRES</t>
  </si>
  <si>
    <t>PACV630227HNLTHC05</t>
  </si>
  <si>
    <t>81 8684 2241</t>
  </si>
  <si>
    <t>Martha Leticia Magaña Hinojosa</t>
  </si>
  <si>
    <t xml:space="preserve">	MAHM550615MJCGNR09</t>
  </si>
  <si>
    <t xml:space="preserve">ROBERTO PADILLA </t>
  </si>
  <si>
    <t>JOEL ORTIZ GARCIA</t>
  </si>
  <si>
    <t>16826421782</t>
  </si>
  <si>
    <t>OIGJ640713HMCRRL06</t>
  </si>
  <si>
    <t>722 120 0919</t>
  </si>
  <si>
    <t>LUIS ANTNIO FILOTEO SANDOVAL</t>
  </si>
  <si>
    <t>12765100677</t>
  </si>
  <si>
    <t>FISL510512HGTLNS07</t>
  </si>
  <si>
    <t xml:space="preserve">FRANCISCO ROSAS RODRIGUEZ </t>
  </si>
  <si>
    <t>14806203742</t>
  </si>
  <si>
    <t>RORF620630HGTSDR03</t>
  </si>
  <si>
    <t>HIPOLITO AGUILERA HERNANDEZ</t>
  </si>
  <si>
    <t>AUHH670326HNLGRP01</t>
  </si>
  <si>
    <t>81 2505 3048</t>
  </si>
  <si>
    <t>ALMA ROSA HERNANDEZ CORONADO</t>
  </si>
  <si>
    <t>32765812816</t>
  </si>
  <si>
    <t>HECA580414MCLRRL09</t>
  </si>
  <si>
    <t>JUAN JORGE BRAVO REYES</t>
  </si>
  <si>
    <t>BARJ620120HDFRYN02</t>
  </si>
  <si>
    <t>56 5314 2266</t>
  </si>
  <si>
    <t>JULIAN VERDINES BECERRA</t>
  </si>
  <si>
    <t>VEBJ600412HTSRCL08</t>
  </si>
  <si>
    <t xml:space="preserve">JOSE ANTONIO ARIAS RODRIGUEZ </t>
  </si>
  <si>
    <t>AIRA480520HTCRDN02</t>
  </si>
  <si>
    <t>844 383 0171</t>
  </si>
  <si>
    <t>ALONSO TALAVERA ALVAREZ</t>
  </si>
  <si>
    <t>TAAA640901HMNLLL14</t>
  </si>
  <si>
    <t>RUBEN ARENAS ROJAS</t>
  </si>
  <si>
    <t>AERR620414HASRJB05</t>
  </si>
  <si>
    <t>MARTIN DE LA CRUZ GUTIERREZ</t>
  </si>
  <si>
    <t>JOSE LUIS ORTIZ PATIÑO</t>
  </si>
  <si>
    <t>OIPL660113HGRRTS00</t>
  </si>
  <si>
    <t>55 4832 4263</t>
  </si>
  <si>
    <t>ALDO ROMERO ESTRELLA</t>
  </si>
  <si>
    <t>ROEA730629HPLMSL00</t>
  </si>
  <si>
    <t>OSCAR SANCHEZ PULIDO</t>
  </si>
  <si>
    <t>21765510132</t>
  </si>
  <si>
    <t>SAPO560802HBCNLS02</t>
  </si>
  <si>
    <t>NORA PATRICIA MENDEZ PEREZ</t>
  </si>
  <si>
    <t>47907224858</t>
  </si>
  <si>
    <t>JUAN MARTIN HERNANDEZ CORONADO</t>
  </si>
  <si>
    <t>HECJ641008HCLRRN02</t>
  </si>
  <si>
    <t>ANA LUISA MORRUA DIAZ</t>
  </si>
  <si>
    <t>43876904830</t>
  </si>
  <si>
    <t>SAMF690817HSPCRR08</t>
  </si>
  <si>
    <t xml:space="preserve">CESAR VILLEGAS ROMERO </t>
  </si>
  <si>
    <t>VIRC750524HZSLMS04</t>
  </si>
  <si>
    <t>julio cesar lagunes rosado</t>
  </si>
  <si>
    <t>LARJ730929HVZGSL07</t>
  </si>
  <si>
    <t>jose pedro</t>
  </si>
  <si>
    <t>TARP610101HCLPSD04</t>
  </si>
  <si>
    <t>Victoria Elisa cruz Perez</t>
  </si>
  <si>
    <t>03886902307</t>
  </si>
  <si>
    <t xml:space="preserve">ISRAEL LOPEZ PALACIO </t>
  </si>
  <si>
    <t>LOPI620324HOCPLS08</t>
  </si>
  <si>
    <t xml:space="preserve">ROBERTO LIMON GONZALEZ </t>
  </si>
  <si>
    <t>32826627831</t>
  </si>
  <si>
    <t xml:space="preserve"> LUIS FERNANDO CUA COCOM</t>
  </si>
  <si>
    <t>CUCL621008HYNXCS02</t>
  </si>
  <si>
    <t xml:space="preserve">OFELIA SOLEDAD HERNANDEZ FERNANDEZ </t>
  </si>
  <si>
    <t>HEFO660402MOCRRF07</t>
  </si>
  <si>
    <t>04897150837</t>
  </si>
  <si>
    <t>33 1911 8413</t>
  </si>
  <si>
    <t>PATRICIA SANCHEZ LOPEZ</t>
  </si>
  <si>
    <t>10735509506</t>
  </si>
  <si>
    <t>SALP560426MDFNPT00</t>
  </si>
  <si>
    <t>Martin solorio</t>
  </si>
  <si>
    <t xml:space="preserve">MARIBEL RODRIGUEZ EGUIA </t>
  </si>
  <si>
    <t>43877165019</t>
  </si>
  <si>
    <t>ROEM701220MNLDGR09</t>
  </si>
  <si>
    <t>VERONICA AMARO ARENAS</t>
  </si>
  <si>
    <t>67917301292</t>
  </si>
  <si>
    <t>AAAV830422MVZMRR05</t>
  </si>
  <si>
    <t>salvador lopez lopez</t>
  </si>
  <si>
    <t>LOLS610716HJCPPL00</t>
  </si>
  <si>
    <t xml:space="preserve">CRUZ LOPEZ GARCIA </t>
  </si>
  <si>
    <t>LOGC650502HDGPRR00</t>
  </si>
  <si>
    <t xml:space="preserve"> JORGE LUIS </t>
  </si>
  <si>
    <t>CALJ640110HSLSVR04</t>
  </si>
  <si>
    <t>JOEL ESPINOZA YAUHTENTZI</t>
  </si>
  <si>
    <t>EIYJ591109HDFSHL03</t>
  </si>
  <si>
    <t xml:space="preserve">maria luisa </t>
  </si>
  <si>
    <t>ROVL710104MBCDLS05</t>
  </si>
  <si>
    <t xml:space="preserve">maria eugenia garcia andrade </t>
  </si>
  <si>
    <t>24866639255</t>
  </si>
  <si>
    <t>JOSE AGUSTIN MARTINEZ CHAVEZ</t>
  </si>
  <si>
    <t>MACA590717HCHRHG07</t>
  </si>
  <si>
    <t>GUILLERMO SANCHEZ JIMENEZ</t>
  </si>
  <si>
    <t>06856504201</t>
  </si>
  <si>
    <t>SAJG650602HDFNML08</t>
  </si>
  <si>
    <t>GALDINO GALINDO OLARTE</t>
  </si>
  <si>
    <t xml:space="preserve">0680632919
</t>
  </si>
  <si>
    <t>GAOG631128HVZLLL06</t>
  </si>
  <si>
    <t>RAMON PEREZ RAMIREZ</t>
  </si>
  <si>
    <t>JOEL LOMELI SANCHEZ</t>
  </si>
  <si>
    <t>LOSJ620501HGTMNL01</t>
  </si>
  <si>
    <t>JUAN JOSE CUELLAR TORRES</t>
  </si>
  <si>
    <t>CUTJ510127HCLLRN03</t>
  </si>
  <si>
    <t>PATRICIA GARCIA MEDINA</t>
  </si>
  <si>
    <t>GAMP560501MDFRDT09</t>
  </si>
  <si>
    <t>GLORIA CARRILLO</t>
  </si>
  <si>
    <t>CAXG630215MJCRXL00</t>
  </si>
  <si>
    <t>09957757223</t>
  </si>
  <si>
    <t>JUSTINO LOPEZ HERNANDEZ</t>
  </si>
  <si>
    <t>55 9189 0370</t>
  </si>
  <si>
    <t>JOSE LUIS GOMEZ GONZALEZ</t>
  </si>
  <si>
    <t>GOGL570621HVZMNS05</t>
  </si>
  <si>
    <t>Santiago Puente frías</t>
  </si>
  <si>
    <t>Maria del Carmen Flores Moreno</t>
  </si>
  <si>
    <t>FOMC561026MSPLRR03</t>
  </si>
  <si>
    <t>ELEUTERIA JUAREZ ZENDEJAS</t>
  </si>
  <si>
    <t>JUZE510220MGTRNL07</t>
  </si>
  <si>
    <t>IGNACIO OLGUIN GUTIERREZ</t>
  </si>
  <si>
    <t>24766200471</t>
  </si>
  <si>
    <t>OUGI620124HSRLTG00</t>
  </si>
  <si>
    <t>JOSE CARLOS ENRIQUE ROJAS REYES</t>
  </si>
  <si>
    <t>RORC631211HPLJYR04</t>
  </si>
  <si>
    <t>JAVIER REPER ALDANA</t>
  </si>
  <si>
    <t>REAJ591022HHGPLV05</t>
  </si>
  <si>
    <t>MARGARITO FELICIANO GONZALEZ</t>
  </si>
  <si>
    <t>FEGM600413HGRLNR04</t>
  </si>
  <si>
    <t>MARIA INES SOSA VAZQUEZ</t>
  </si>
  <si>
    <t>SOVI770121MHGSZN03</t>
  </si>
  <si>
    <t>EDUARDO FIGUEROA DOMINGUEZ</t>
  </si>
  <si>
    <t>FIDE820816HNLGMD06</t>
  </si>
  <si>
    <t xml:space="preserve">PATRICIA GONZALEZ JUAREZ </t>
  </si>
  <si>
    <t>GOJP630318MPLNRT04</t>
  </si>
  <si>
    <t xml:space="preserve">damian </t>
  </si>
  <si>
    <t xml:space="preserve">MAGDALENA </t>
  </si>
  <si>
    <t>VALM740304MVZZRG03</t>
  </si>
  <si>
    <t>J. JESUS CERNA HERNANDEZ</t>
  </si>
  <si>
    <t>CEHJ621121HCMRRS06</t>
  </si>
  <si>
    <t>HUMBERTO CARPIO HORTA</t>
  </si>
  <si>
    <t>01907245995</t>
  </si>
  <si>
    <t>CAHH720214HDFRRM00</t>
  </si>
  <si>
    <t>JOSE ALFREDO EGUINO URBINA</t>
  </si>
  <si>
    <t>EUUA561101HSLGRL05</t>
  </si>
  <si>
    <t>JOSE RICARDO URROZ THOMPSON</t>
  </si>
  <si>
    <t>UOTR520924HSLRHC07</t>
  </si>
  <si>
    <t>GRACIELA VELAZQUEZ PEREZ</t>
  </si>
  <si>
    <t>90876905382</t>
  </si>
  <si>
    <t>VEPG690621MDFLRR06</t>
  </si>
  <si>
    <t>ROBERTO ULISES TOPETE GONZALEZ</t>
  </si>
  <si>
    <t>04917402531</t>
  </si>
  <si>
    <t>TOGR740425HJCPNB04</t>
  </si>
  <si>
    <t>33 1418 8748</t>
  </si>
  <si>
    <t>ANDRE TREVIÑO C/C</t>
  </si>
  <si>
    <t>LETICIA MARTINEZ ACEVEDO</t>
  </si>
  <si>
    <t>MAAL610130MDFRCT06</t>
  </si>
  <si>
    <t xml:space="preserve">JUAN FRANCISCO SOTO GOMEZ </t>
  </si>
  <si>
    <t>SOGJ611009HGTTMN07</t>
  </si>
  <si>
    <t xml:space="preserve">MARIA LOURDES </t>
  </si>
  <si>
    <t>GABL611120MGRRHR03</t>
  </si>
  <si>
    <t xml:space="preserve">JOSE ISABEL </t>
  </si>
  <si>
    <t>FABRICIO TORIBIO FIGUEROA VEGA</t>
  </si>
  <si>
    <t>FIVF630328HSRGGB05</t>
  </si>
  <si>
    <t>SANDRA ORALIA LERMA MARIN</t>
  </si>
  <si>
    <t>LEMS710408MNLRRN06</t>
  </si>
  <si>
    <t>CARLOS ALEJANDRO BRETON VAZQUEZ</t>
  </si>
  <si>
    <t>BEVC620709HDFRZR09</t>
  </si>
  <si>
    <t>JOSE OLEGARIO NAVA LOYOLA</t>
  </si>
  <si>
    <t>NANO571001HSPVYL03</t>
  </si>
  <si>
    <t>868 182 3011</t>
  </si>
  <si>
    <t>MARCO ANTONIO LEON LOPEZ</t>
  </si>
  <si>
    <t>06765510463</t>
  </si>
  <si>
    <t xml:space="preserve"> 899 480 0755</t>
  </si>
  <si>
    <t>ARTURO GUERRA BENITEZ</t>
  </si>
  <si>
    <t>GUBA600131HDFRNR02</t>
  </si>
  <si>
    <t>MAURICIO SENTECAL GUERRERO</t>
  </si>
  <si>
    <t>SEGM610316HDFNRR02</t>
  </si>
  <si>
    <t>MARIA GUADALUPE ESPINOLA GLORIA</t>
  </si>
  <si>
    <t>EIGG670105MDFSLD00</t>
  </si>
  <si>
    <t>55 8791 8442</t>
  </si>
  <si>
    <t>LOURDES CORONA AGUIRRE</t>
  </si>
  <si>
    <t>COAL710912MTLRGR06</t>
  </si>
  <si>
    <t>TOMAS AVALOS CASTOR</t>
  </si>
  <si>
    <t>AACT650307HCLVSM05</t>
  </si>
  <si>
    <t>871 896 6695</t>
  </si>
  <si>
    <t>MIGUEL AGUSTIN NIETO ISUNZA</t>
  </si>
  <si>
    <t>NIIM570705HCLTSG09</t>
  </si>
  <si>
    <t>877 191 1904</t>
  </si>
  <si>
    <t>EZEQUIEL ARTURO MENESES CARRO</t>
  </si>
  <si>
    <t>MECE581011HDFNRZ07</t>
  </si>
  <si>
    <t xml:space="preserve">EVERARDO ONGAY SUMOHANO </t>
  </si>
  <si>
    <t xml:space="preserve">GABRIEL GUADALUPE VELUETA SOSA </t>
  </si>
  <si>
    <t>VESG600226HCCLSB06</t>
  </si>
  <si>
    <t>REYNALDO</t>
  </si>
  <si>
    <t>AIDA SOLEDAD TERAN BALLESTEROS</t>
  </si>
  <si>
    <t xml:space="preserve"> 24775604853</t>
  </si>
  <si>
    <t>TEBA560220MSRRLD06</t>
  </si>
  <si>
    <t>EMMA GONZALEZ HERNANDEZ</t>
  </si>
  <si>
    <t>GOHE580604MCLNRM00</t>
  </si>
  <si>
    <t>ADOLFO GARCIA LARA</t>
  </si>
  <si>
    <t>GALA560915HGTRRD05</t>
  </si>
  <si>
    <t xml:space="preserve">EDUARDO RENE POLANCO BAAS </t>
  </si>
  <si>
    <t>POBE521030HYNLSD04</t>
  </si>
  <si>
    <t>Javier Oriol</t>
  </si>
  <si>
    <t>EILJ611209HSRSPV07</t>
  </si>
  <si>
    <t xml:space="preserve">JUAN FRANCISCO CHAVEZ AYALA </t>
  </si>
  <si>
    <t>12856502336</t>
  </si>
  <si>
    <t>IGNACIO ZAVALA LOPEZ</t>
  </si>
  <si>
    <t>ZALI500801HGTVPG09</t>
  </si>
  <si>
    <t>MEPJ691129HSLDRS01</t>
  </si>
  <si>
    <t>maria magdalena</t>
  </si>
  <si>
    <t>LOFM650804MCLPLG06</t>
  </si>
  <si>
    <t>Celestino Martinez</t>
  </si>
  <si>
    <t>01776024919</t>
  </si>
  <si>
    <t>MANUEL HUERTA GONZALEZ</t>
  </si>
  <si>
    <t>HUGM530913HPLRNN01</t>
  </si>
  <si>
    <t>55 7729 3133</t>
  </si>
  <si>
    <t>FILOMENO MEDINA LOPEZ</t>
  </si>
  <si>
    <t>MELF580705HDFDPL00</t>
  </si>
  <si>
    <t>MAYTE NAVARRO C/C</t>
  </si>
  <si>
    <t>VICTOR MANUELSANCHEZ YAÑEZ</t>
  </si>
  <si>
    <t>SAYV600603HDFNXC07</t>
  </si>
  <si>
    <t>RAYMUNDO ELOY ZARATE HERNANDEZ</t>
  </si>
  <si>
    <t>ZAHR650704HOCRRY08</t>
  </si>
  <si>
    <t>JOSE MORALES OSORIO</t>
  </si>
  <si>
    <t>MOOJ710710hplrss09</t>
  </si>
  <si>
    <t xml:space="preserve">JOSE GUADALUPE HERNANDEZ TORRES </t>
  </si>
  <si>
    <t>HETG650603HTSRRD03</t>
  </si>
  <si>
    <t xml:space="preserve">Alvaro villalobos avelino </t>
  </si>
  <si>
    <t>31685117090</t>
  </si>
  <si>
    <t>juan jose jaramillo moreno</t>
  </si>
  <si>
    <t>JAMJ540618HCLRRN04</t>
  </si>
  <si>
    <t>HECTOR ZUÑIGA SOLORIO</t>
  </si>
  <si>
    <t>01765040090</t>
  </si>
  <si>
    <t>ZUSH501019HMNXLC05</t>
  </si>
  <si>
    <t>CARLOS MARTIN MEZA MORA</t>
  </si>
  <si>
    <t>MEMC650407HNTZRR05</t>
  </si>
  <si>
    <t>PATRICIA OSEGUERA RAMIREZ</t>
  </si>
  <si>
    <t>OERP610515MMNSMT06</t>
  </si>
  <si>
    <t>IRASEMA CHELIUS FERREIRO</t>
  </si>
  <si>
    <t>CEFI601126MSLHRR09</t>
  </si>
  <si>
    <t xml:space="preserve">LUCIANO RODRIGUEZ RAMOS </t>
  </si>
  <si>
    <t>RORL490107HMCDMC00</t>
  </si>
  <si>
    <t xml:space="preserve">arturo miraflores camacho </t>
  </si>
  <si>
    <t>17805920141</t>
  </si>
  <si>
    <t xml:space="preserve">SANDRA OLIVIA IBARRA COBOS </t>
  </si>
  <si>
    <t>IACS700218MCHBBN07</t>
  </si>
  <si>
    <t>ELEUTERIO JUAREZ ZENDEJAS</t>
  </si>
  <si>
    <t xml:space="preserve">43866827793
</t>
  </si>
  <si>
    <t>JOSE LUIS RODRIGUEZ MORENO</t>
  </si>
  <si>
    <t>ROML560512HCLDRS03</t>
  </si>
  <si>
    <t>Amada Roxana Bernal Segundo</t>
  </si>
  <si>
    <t>43805812120</t>
  </si>
  <si>
    <t xml:space="preserve">REBECA LLANAS OLMOS </t>
  </si>
  <si>
    <t>LAOR620217MCLLLB09</t>
  </si>
  <si>
    <t>ANGEL DIAZ ROSADO</t>
  </si>
  <si>
    <t>DIRA751031HOCZSN00</t>
  </si>
  <si>
    <t>Maria de Jesus Solís Hernandez</t>
  </si>
  <si>
    <t>SOHJ021017MDGLRSA8</t>
  </si>
  <si>
    <t xml:space="preserve"> MAURICIO MARIO BUSTAMANTE MONTOYA</t>
  </si>
  <si>
    <t>01755914171</t>
  </si>
  <si>
    <t>BUMM590922HMCSNR06</t>
  </si>
  <si>
    <t>JOSE NARCIZO HERNANDEZ MORENO</t>
  </si>
  <si>
    <t xml:space="preserve">15836501161 </t>
  </si>
  <si>
    <t>HEMN650414HMSRRR00</t>
  </si>
  <si>
    <t>MARIA DEL CARMEN GUTU SANTIAGO</t>
  </si>
  <si>
    <t>11806216492</t>
  </si>
  <si>
    <t>GUSC620109MDFTNR06</t>
  </si>
  <si>
    <t>SERGIO DURAN LOPEZ</t>
  </si>
  <si>
    <t>DULS460923HGTRPR02</t>
  </si>
  <si>
    <t>Jose Ricardo Barron Mendez</t>
  </si>
  <si>
    <t>01887041653</t>
  </si>
  <si>
    <t>Leticia Gutierrez Partida</t>
  </si>
  <si>
    <t>GUPL670315MJCTRT08</t>
  </si>
  <si>
    <t xml:space="preserve">FIDENCIO CORTES HERNANDEZ </t>
  </si>
  <si>
    <t>COHF690708HVZRRD05</t>
  </si>
  <si>
    <t>Gilberto Vazquez Vega</t>
  </si>
  <si>
    <t>VAVG700722HDFZGL05</t>
  </si>
  <si>
    <t>AURORA TORRES AGUILAR</t>
  </si>
  <si>
    <t>TOAA690813MDFRGR04</t>
  </si>
  <si>
    <t>GUADALUPE SARA YAZMIN GARCIA JAIMES</t>
  </si>
  <si>
    <t>GAJG630406MDFRMD03</t>
  </si>
  <si>
    <t>ELENA DEYANIRA FRANCO ALVARADO</t>
  </si>
  <si>
    <t>32937675828</t>
  </si>
  <si>
    <t>FAAE770312MCLRLL07</t>
  </si>
  <si>
    <t>EFRAIN OLVERA RAMIREZ</t>
  </si>
  <si>
    <t>OERE610713HQTLMF18</t>
  </si>
  <si>
    <t>MARTIN CUELLAR RODRIGUEZ</t>
  </si>
  <si>
    <t>CURM641027HPLLDR03</t>
  </si>
  <si>
    <t>DANIELA IRACHETA C/C</t>
  </si>
  <si>
    <t xml:space="preserve">PATRICIA EVA LEONILA MORA RIVERA </t>
  </si>
  <si>
    <t>MORP500313MDFRVT06</t>
  </si>
  <si>
    <t>JUAN PABLO RANGEL FISCAL</t>
  </si>
  <si>
    <t>RAFJ941230HMNNSN01</t>
  </si>
  <si>
    <t>CARLOS ORTIZ HERNANDEZ</t>
  </si>
  <si>
    <t>OIHC630909HGTRRR05</t>
  </si>
  <si>
    <t>JOSE MAURICIO CRUZ MARTINEZ</t>
  </si>
  <si>
    <t>CUMM510922HVZRRR03</t>
  </si>
  <si>
    <t>ROBERTO GAZCA ROBLES</t>
  </si>
  <si>
    <t>GARR600118HJCZBB09</t>
  </si>
  <si>
    <t>Jesus antonio Islas de la Cruz</t>
  </si>
  <si>
    <t>16846513196</t>
  </si>
  <si>
    <t>SILVIA ESPINOSA HERRERA</t>
  </si>
  <si>
    <t>01907022477</t>
  </si>
  <si>
    <t>EIHS680401MMCSRL02</t>
  </si>
  <si>
    <t>JOSE JACOBO BARBOSA</t>
  </si>
  <si>
    <t>JABJ580917HZSCRS00</t>
  </si>
  <si>
    <t>EDUWIGIS PEREZ SALAS</t>
  </si>
  <si>
    <t>PESE550918MDFRLD04</t>
  </si>
  <si>
    <t>Carmen Gonzalez Perez</t>
  </si>
  <si>
    <t>GOPC551230MTLNRR09</t>
  </si>
  <si>
    <t>Sandra Elizabeth calderilla Martinez</t>
  </si>
  <si>
    <t>12968122338</t>
  </si>
  <si>
    <t>PATRICIA RAMIREZ GUTIERREZ</t>
  </si>
  <si>
    <t>RAGP730317MDFMTT00</t>
  </si>
  <si>
    <t>Daniel reyes romero</t>
  </si>
  <si>
    <t>RERD630412HOCYMN05</t>
  </si>
  <si>
    <t>ROBERTO EUAN CANUL</t>
  </si>
  <si>
    <t>84745706071</t>
  </si>
  <si>
    <t>CELESTINO GUADALIPE ALVARADO TAMEZ</t>
  </si>
  <si>
    <t>AATC840418HNLLML01</t>
  </si>
  <si>
    <t>Marco</t>
  </si>
  <si>
    <t>FAUSTINO VELAZQUEZ CARRILLO</t>
  </si>
  <si>
    <t>VECF570214HMCLRS04</t>
  </si>
  <si>
    <t>María Eugenia García Muñoz</t>
  </si>
  <si>
    <t>89846527888</t>
  </si>
  <si>
    <t xml:space="preserve">AMADEO PEREYDA PEREZ </t>
  </si>
  <si>
    <t>PEPA590913HVZRRM01</t>
  </si>
  <si>
    <t xml:space="preserve">ALEJANDRO COTERO RUIZ </t>
  </si>
  <si>
    <t>CORA581231HVZTZL01</t>
  </si>
  <si>
    <t>gonzalo martinez</t>
  </si>
  <si>
    <t>MAMG620315HNLRDN18</t>
  </si>
  <si>
    <t>TEODORO GOMEZ ROJAS</t>
  </si>
  <si>
    <t>GORT651228HDFMJD02</t>
  </si>
  <si>
    <t>VICTOR HUGO VALDEZ HERNANDEZ</t>
  </si>
  <si>
    <t>CARLOS MANUEL SEGURA LUGO</t>
  </si>
  <si>
    <t>GAUDENCIO VIRGEN RUBIO</t>
  </si>
  <si>
    <t>VIRG590103HNTRBD05</t>
  </si>
  <si>
    <t xml:space="preserve">TEODULO MONTES </t>
  </si>
  <si>
    <t>01775971425</t>
  </si>
  <si>
    <t>CIRILIO NEGRETE MARTINEZ</t>
  </si>
  <si>
    <t>NEMC660209HPLGRR01</t>
  </si>
  <si>
    <t>ALBERTO RAMIREZ RENTERIA</t>
  </si>
  <si>
    <t xml:space="preserve">43795714765 </t>
  </si>
  <si>
    <t>VICENTA JIMENEZ ARA</t>
  </si>
  <si>
    <t>78694110731</t>
  </si>
  <si>
    <t>JIAV411022MTCMRC07</t>
  </si>
  <si>
    <t>JOSE ISIDRODOMINGUEZ ROSAS</t>
  </si>
  <si>
    <t>DORI950810HDFMSS04</t>
  </si>
  <si>
    <t>Mariano Cupul Ek</t>
  </si>
  <si>
    <t>CUEM640430HYNPKR00</t>
  </si>
  <si>
    <t>ARMANDO URIBE ZAMORA</t>
  </si>
  <si>
    <t>UIZA611214HDFRMR04</t>
  </si>
  <si>
    <t>ROSA IRENE OLIVO GARCIA</t>
  </si>
  <si>
    <t>OIGR590409MCLLRS06</t>
  </si>
  <si>
    <t>FILOMENO VALDEZ</t>
  </si>
  <si>
    <t>23895408229</t>
  </si>
  <si>
    <t>Rafael Froylan castellanos Arrazola</t>
  </si>
  <si>
    <t>CAAR571003HOCSRF09</t>
  </si>
  <si>
    <t>GUILLERMO FERMIN</t>
  </si>
  <si>
    <t xml:space="preserve">MARTIN GOMEZ GONZALEZ </t>
  </si>
  <si>
    <t>GOGM541224HZSMNR01</t>
  </si>
  <si>
    <t>JUAN PABLO GALLARDO ROCHA</t>
  </si>
  <si>
    <t>GARJ650629HDGLCN08</t>
  </si>
  <si>
    <t xml:space="preserve">marisol rodriguez escamilla </t>
  </si>
  <si>
    <t>JUAN SANTOS BERNAL</t>
  </si>
  <si>
    <t>SABJ640113HGRNRN01</t>
  </si>
  <si>
    <t>Silvestre bustos linares</t>
  </si>
  <si>
    <t>BULS531013HCLSNL00</t>
  </si>
  <si>
    <t>JOSE MAXIMILIANO SANDOVAL CASTAÑEDA</t>
  </si>
  <si>
    <t>SACM610316HNTNSX02</t>
  </si>
  <si>
    <t>BRIGIDA RAMIREZ CASTILLO</t>
  </si>
  <si>
    <t>RACB631008MPLMSR08</t>
  </si>
  <si>
    <t>ALBERTO BECERRIL ZAVALETA</t>
  </si>
  <si>
    <t>BEZA630215HDFCVL00</t>
  </si>
  <si>
    <t>JORGE BENITO ARZILA GUERRERO</t>
  </si>
  <si>
    <t>CALG591106MCLMCD01</t>
  </si>
  <si>
    <t>SIMEON GALINDO PLUMA</t>
  </si>
  <si>
    <t>19775404429</t>
  </si>
  <si>
    <t>GAPS540218HTLLLM08</t>
  </si>
  <si>
    <t>LUIS TOMAS PEREZ VELAZQUEZ</t>
  </si>
  <si>
    <t>01796133641</t>
  </si>
  <si>
    <t>PEVL611110HDFRLS09</t>
  </si>
  <si>
    <t>56 7126 7768</t>
  </si>
  <si>
    <t>75826212419</t>
  </si>
  <si>
    <t>FODR620126HDFLVC06</t>
  </si>
  <si>
    <t>55 4410 7574</t>
  </si>
  <si>
    <t xml:space="preserve">j. guadalupe vazquez martinez </t>
  </si>
  <si>
    <t>VAMG651116HHGZRD12</t>
  </si>
  <si>
    <t>OTILIO  MENDOZA LIRA</t>
  </si>
  <si>
    <t>MELO621017HCLNRT07</t>
  </si>
  <si>
    <t>FERNANDO REYES MONTERO</t>
  </si>
  <si>
    <t>REMF670126HDFYNR03</t>
  </si>
  <si>
    <t>DANIEL CAMACHO GALVAN</t>
  </si>
  <si>
    <t>CAGD640722HMCMLN07</t>
  </si>
  <si>
    <t>JUAN ZALDIVAR M</t>
  </si>
  <si>
    <t>014776008097</t>
  </si>
  <si>
    <t>ZAMJ600721HQTLRN04</t>
  </si>
  <si>
    <t>NOELIA MELENDEZ LIZCANO</t>
  </si>
  <si>
    <t>49806346125</t>
  </si>
  <si>
    <t>MELN630615MTSLZH01</t>
  </si>
  <si>
    <t>KARLA FABIOLA IBARRA TORRES</t>
  </si>
  <si>
    <t>32988227040</t>
  </si>
  <si>
    <t>IATK820531MCLBRR07</t>
  </si>
  <si>
    <t xml:space="preserve">Daniel </t>
  </si>
  <si>
    <t>CAGM730913HDFSLR05</t>
  </si>
  <si>
    <t>LORENZO ZARATE TEPOS</t>
  </si>
  <si>
    <t>67806141791</t>
  </si>
  <si>
    <t>ZATL610507HPLRPR00</t>
  </si>
  <si>
    <t>CECILIO BALLESTEROS MOHA</t>
  </si>
  <si>
    <t>BAMC691001HCCLHC07</t>
  </si>
  <si>
    <t>ADY CECILIA PECH BEH</t>
  </si>
  <si>
    <t>84876311188</t>
  </si>
  <si>
    <t xml:space="preserve"> PEBA631122MYNCHD08</t>
  </si>
  <si>
    <t>ESTEBAN DANIEL RANGEL TORRES</t>
  </si>
  <si>
    <t>RATE660725HDFNRS01</t>
  </si>
  <si>
    <t>FRANCISCO VALENZUELA BARNETH</t>
  </si>
  <si>
    <t>VABF600507HSRLRR03</t>
  </si>
  <si>
    <t>ROGELIO MATA ACOSTA</t>
  </si>
  <si>
    <t>MAAR580128HNLTCG08</t>
  </si>
  <si>
    <t xml:space="preserve"> 81 2570 0768</t>
  </si>
  <si>
    <t>Hugo</t>
  </si>
  <si>
    <t xml:space="preserve">PABLO PEREZ ESTRADA </t>
  </si>
  <si>
    <t>PEEP560915HQTRSB04</t>
  </si>
  <si>
    <t>ROSA</t>
  </si>
  <si>
    <t>33867024768</t>
  </si>
  <si>
    <t>CARO700929HCHRZS00</t>
  </si>
  <si>
    <t>Lucina Esperanza Huerta Avila</t>
  </si>
  <si>
    <t>CAOL540313HPLRCS08</t>
  </si>
  <si>
    <t>ERNESTO VALDES LEON</t>
  </si>
  <si>
    <t>11906508988</t>
  </si>
  <si>
    <t>VALE651020HMCLNR04</t>
  </si>
  <si>
    <t>FRANCISCO JAVIER GAMA LOPEZ</t>
  </si>
  <si>
    <t>GALF601110HDFMPR09</t>
  </si>
  <si>
    <t>CARLOS ROJAS OLANO</t>
  </si>
  <si>
    <t>ROOC550313HVZJLR07</t>
  </si>
  <si>
    <t>ANTONIO MORALES LEGGS</t>
  </si>
  <si>
    <t>MOLA761018HNLRGN07</t>
  </si>
  <si>
    <t xml:space="preserve">GRACIELA TELLEZ HERNANDEZ </t>
  </si>
  <si>
    <t>TEHG590330MNELRR08</t>
  </si>
  <si>
    <t>JESUS NORIEGA MUÑOZ</t>
  </si>
  <si>
    <t>NOMJ640709HSRRXS00</t>
  </si>
  <si>
    <t>CONCEPCION LOPEZ GEL</t>
  </si>
  <si>
    <t>LOGC611208MCLPLN09</t>
  </si>
  <si>
    <t>844 674 2502</t>
  </si>
  <si>
    <t>MANUEL CORTEZ NAVARRO</t>
  </si>
  <si>
    <t>54786117629</t>
  </si>
  <si>
    <t>LEON HERNANDEZ CARAMELO</t>
  </si>
  <si>
    <t>LEHC631114HVZNRR03</t>
  </si>
  <si>
    <t>ARTURO REYES SALGADO</t>
  </si>
  <si>
    <t xml:space="preserve">88816317643
</t>
  </si>
  <si>
    <t>RESA630502HDFYLR08</t>
  </si>
  <si>
    <t>JULIO SERRANO PEREZ</t>
  </si>
  <si>
    <t>SEPJ640109HDFRRL09</t>
  </si>
  <si>
    <t>HEME810410MCMRRR07</t>
  </si>
  <si>
    <t>CARLOS ROCHA CAMARENA</t>
  </si>
  <si>
    <t>ROCC540506HJCCMR05</t>
  </si>
  <si>
    <t>Gustavo Solano Vázquez</t>
  </si>
  <si>
    <t>15694613827</t>
  </si>
  <si>
    <t>MARIA DE JESUS SANTOS LOPEZ</t>
  </si>
  <si>
    <t>SALJ600920MOCNPS05</t>
  </si>
  <si>
    <t>nalf600929htsprr05</t>
  </si>
  <si>
    <t>82806102305</t>
  </si>
  <si>
    <t>MARTIN CANDANOSA LERMA</t>
  </si>
  <si>
    <t>CALM630219HNLNRR08</t>
  </si>
  <si>
    <t>MARIO ALBERTO CASILLAS MUÑOZ</t>
  </si>
  <si>
    <t>CAMM620912HNLSXR07</t>
  </si>
  <si>
    <t xml:space="preserve">MARIA ROSALBA FLORES GRANADOS </t>
  </si>
  <si>
    <t xml:space="preserve">30916304600
</t>
  </si>
  <si>
    <t>FOGR790920MGTLRS03</t>
  </si>
  <si>
    <t>GUILLERMINA CRUZ LOPEZ LOPEZ</t>
  </si>
  <si>
    <t xml:space="preserve">11765319295 </t>
  </si>
  <si>
    <t>VAGL530509HTSLTS06</t>
  </si>
  <si>
    <t>Maritza Ramirez Ramos</t>
  </si>
  <si>
    <t>RARM760727MTCMMR02</t>
  </si>
  <si>
    <t xml:space="preserve">ELIAS MONTOYA SUAREZ </t>
  </si>
  <si>
    <t>MOSE730410HDFNRL07</t>
  </si>
  <si>
    <t>DODANY EDALI CABRERA MONTES</t>
  </si>
  <si>
    <t>CAMD611002MCSBND18</t>
  </si>
  <si>
    <t>OSCAR DIAZ AGUILAR</t>
  </si>
  <si>
    <t>0184621185</t>
  </si>
  <si>
    <t>DIAO620807HVZZGS07</t>
  </si>
  <si>
    <t>56 1626 7330</t>
  </si>
  <si>
    <t>ALFONSO ANGEL ZENTENO</t>
  </si>
  <si>
    <t>04755302389</t>
  </si>
  <si>
    <t>AECA520801HJCNNL06</t>
  </si>
  <si>
    <t>33 1635 0067</t>
  </si>
  <si>
    <t xml:space="preserve">ADRIAN LOZOYA GAMEZ </t>
  </si>
  <si>
    <t>LOGA590824HSLZMD08</t>
  </si>
  <si>
    <t>ANGELA MARIA RAMIREZ SANTIAGO</t>
  </si>
  <si>
    <t>RASA671001MDFMNN08</t>
  </si>
  <si>
    <t>ARACELI RODRIGURZ BARRAGAN</t>
  </si>
  <si>
    <t>VICTOR JAVIER SOTO AGUIRRE</t>
  </si>
  <si>
    <t xml:space="preserve">23886405630
</t>
  </si>
  <si>
    <t>SOAV580927HBCTGC02</t>
  </si>
  <si>
    <t>gabriel Román palma</t>
  </si>
  <si>
    <t xml:space="preserve">11765839474 </t>
  </si>
  <si>
    <t xml:space="preserve">LAURA INES CABRERA DE LEON </t>
  </si>
  <si>
    <t>CALL540110MZSBNR07</t>
  </si>
  <si>
    <t>JOSE SANTOS HERNANDEZ GOMEZ</t>
  </si>
  <si>
    <t>HEGS631201HDGRMN09</t>
  </si>
  <si>
    <t>SANTIAGO MARTINEZ RIVAS</t>
  </si>
  <si>
    <t>MARS600726HSRRVN02</t>
  </si>
  <si>
    <t>JOSE ERUBIEL PABLOS ARISPURO</t>
  </si>
  <si>
    <t>PAAE590825HSRBRR04</t>
  </si>
  <si>
    <t>GUADALUPE CRUZ SUR</t>
  </si>
  <si>
    <t xml:space="preserve">GUADALUPE PERALTA PADILLA </t>
  </si>
  <si>
    <t>PEPG760402MDFRDD02</t>
  </si>
  <si>
    <t>JOSE OMAR ROBLES MARTINEZ</t>
  </si>
  <si>
    <t xml:space="preserve">31927541073
</t>
  </si>
  <si>
    <t>ROMO771220HDGBRM05</t>
  </si>
  <si>
    <t>JOSE LUIS GONZALEZ ARIZAGA</t>
  </si>
  <si>
    <t>GOAL540513HSLNRS09</t>
  </si>
  <si>
    <t>GUADALUPE ALVAREZ RODRIGUEZ</t>
  </si>
  <si>
    <t>AARG570122MSPLDD01</t>
  </si>
  <si>
    <t>444 728 3386</t>
  </si>
  <si>
    <t>JOSE ALEJANDRO MENDEZ MIRANDA</t>
  </si>
  <si>
    <t>MEMA571115HDFNRL08</t>
  </si>
  <si>
    <t>ALBA SARMIENTO</t>
  </si>
  <si>
    <t>NICOLAS SOTO RIVERA</t>
  </si>
  <si>
    <t>SORN581206HPLTVC00</t>
  </si>
  <si>
    <t xml:space="preserve"> José Guadalupe cabeza Muño</t>
  </si>
  <si>
    <t xml:space="preserve">78916685023
</t>
  </si>
  <si>
    <t xml:space="preserve">LIOVA SEBASTIAN LOPEZ </t>
  </si>
  <si>
    <t>SELL550928MHGBPV07</t>
  </si>
  <si>
    <t>VERONICA Esperanza López macliz</t>
  </si>
  <si>
    <t>ADOLFO ALONSO</t>
  </si>
  <si>
    <t>02685104065</t>
  </si>
  <si>
    <t>veronica alvarado</t>
  </si>
  <si>
    <t>AAAV701013MNLLLR07</t>
  </si>
  <si>
    <t>GURS641101MTSVDN03</t>
  </si>
  <si>
    <t xml:space="preserve">JOSÉ LUIS AZBELL ARELLANO </t>
  </si>
  <si>
    <t>01916901992</t>
  </si>
  <si>
    <t>AEAL690829HDFZRS01</t>
  </si>
  <si>
    <t>‪5540586773‬</t>
  </si>
  <si>
    <t>jose</t>
  </si>
  <si>
    <t>CONSUELO HERNANDEZ VAZQUEZ</t>
  </si>
  <si>
    <t>HEVC610903MSPRZN03</t>
  </si>
  <si>
    <t>81 1566 5824</t>
  </si>
  <si>
    <t>JUAN JERONIMO RAMOS SOSA</t>
  </si>
  <si>
    <t>RASJ620726HDFMSN04</t>
  </si>
  <si>
    <t>GUADALUPE CRUZ PANTALEON</t>
  </si>
  <si>
    <t>CUPG680920MDFRND06</t>
  </si>
  <si>
    <t>CLEMENTE RAMOS RODRIGUEZ</t>
  </si>
  <si>
    <t>RARC521123HTCMDL09</t>
  </si>
  <si>
    <t xml:space="preserve">RAQUEL MAR RAMIREZ </t>
  </si>
  <si>
    <t>MARR731210MTSRMQ06</t>
  </si>
  <si>
    <t xml:space="preserve">FRANCISCO CONSTANTINO REYNA SALAZAR </t>
  </si>
  <si>
    <t>RESF760613HNLYLR04</t>
  </si>
  <si>
    <t>DORA ELIA SALAS RODRIGUEZ</t>
  </si>
  <si>
    <t>SARD681114MCLLDR01</t>
  </si>
  <si>
    <t>JOSE ANTONIO ORTIZ MUÑOZ</t>
  </si>
  <si>
    <t>OIMA620321HTSRXN05</t>
  </si>
  <si>
    <t>81 8472 2420</t>
  </si>
  <si>
    <t>JUAN CARLOS GONZALEZ HERNANDEZ</t>
  </si>
  <si>
    <t>06826413566</t>
  </si>
  <si>
    <t>ARTURO MATEO VELAZQUEZ</t>
  </si>
  <si>
    <t>MAVA651224HVZTLR17</t>
  </si>
  <si>
    <t>Ramon Rodea Rodriguez</t>
  </si>
  <si>
    <t>RORR611106HDFDDM09</t>
  </si>
  <si>
    <t xml:space="preserve">JAVIER HERNANDEZ RODRIGUEZ </t>
  </si>
  <si>
    <t>07877106307</t>
  </si>
  <si>
    <t>HERJ710821HDFRDV00</t>
  </si>
  <si>
    <t>ERNESTO MEDINA NAJERA</t>
  </si>
  <si>
    <t>MENE621204HDFDJR06</t>
  </si>
  <si>
    <t xml:space="preserve">SANTIAGO RODRIGUEZ RODRIGUEZ </t>
  </si>
  <si>
    <t>32796247750</t>
  </si>
  <si>
    <t>RORS520822HCLDDN04</t>
  </si>
  <si>
    <t xml:space="preserve">JOSE ADRIAN PARRA MENDOZA </t>
  </si>
  <si>
    <t>24846808566</t>
  </si>
  <si>
    <t>PAMA680305HSRRND06</t>
  </si>
  <si>
    <t>EUSEBIO GARZA GARZA</t>
  </si>
  <si>
    <t>GAGE640328HNLRRS03</t>
  </si>
  <si>
    <t xml:space="preserve">NOE GARCIA ANGULO </t>
  </si>
  <si>
    <t>GAAN731205HDFRNX00</t>
  </si>
  <si>
    <t>MARIA JOSEFINA MURILLO MATA</t>
  </si>
  <si>
    <t>MUMJ600329MCLRTS09</t>
  </si>
  <si>
    <t>RAUL FABIAN SANCHEZ BEATRIZ</t>
  </si>
  <si>
    <t>04816433611</t>
  </si>
  <si>
    <t>SABR640911HJCNTL09</t>
  </si>
  <si>
    <t>JESUS GUEVARA LUJAN</t>
  </si>
  <si>
    <t>43775911167</t>
  </si>
  <si>
    <t>GULJ590131HDGVJS01</t>
  </si>
  <si>
    <t>81 1273 7319</t>
  </si>
  <si>
    <t>RAFAEL RODRIGUEZ VALDES</t>
  </si>
  <si>
    <t>ROVR581028HCLDLF01</t>
  </si>
  <si>
    <t>NOEMI GRACIELA CASTRO BRISEÑO</t>
  </si>
  <si>
    <t>CABN651126MCLSRM08</t>
  </si>
  <si>
    <t>MARIA ANTONIETA ENDIA HERNANDEZ</t>
  </si>
  <si>
    <t>EIHA530117MJCNRN00</t>
  </si>
  <si>
    <t>LUIS GONZALEZ LOPEZ</t>
  </si>
  <si>
    <t>GOLL451222HMNNPS09</t>
  </si>
  <si>
    <t xml:space="preserve">MIGUEL ANGEL PAVON MELENDEZ </t>
  </si>
  <si>
    <t>PAMM551220HOCVLG06</t>
  </si>
  <si>
    <t>SOCORRO VELASCO CERNA</t>
  </si>
  <si>
    <t>54796344528</t>
  </si>
  <si>
    <t>VECS630304MJCLRC03</t>
  </si>
  <si>
    <t>JULIAN MONJARAS RAMIREZ</t>
  </si>
  <si>
    <t>MORJ560621HDFNML00</t>
  </si>
  <si>
    <t xml:space="preserve">ANDRES GUERRERO VELAZQUEZ </t>
  </si>
  <si>
    <t xml:space="preserve">LUIS ENRIQUE COROY </t>
  </si>
  <si>
    <t>8981631684441</t>
  </si>
  <si>
    <t>ROCL631115HMCDRS07</t>
  </si>
  <si>
    <t>PEDRO SANTOS ANGELINA</t>
  </si>
  <si>
    <t>SAAP570109HSPNND04</t>
  </si>
  <si>
    <t>JOSE LUIS CORTES PRECIADO</t>
  </si>
  <si>
    <t>04856226230</t>
  </si>
  <si>
    <t>COPL620901HJCRRS00</t>
  </si>
  <si>
    <t>ALBERTO JORGE CRUZ GARCIA</t>
  </si>
  <si>
    <t>CUGA790818HDFRRL04</t>
  </si>
  <si>
    <t>HECTOR MANUEL JARAMILLO DAVILA</t>
  </si>
  <si>
    <t>NICOLAS HUERTA BATRES</t>
  </si>
  <si>
    <t>HUBN700127HDGRTC05</t>
  </si>
  <si>
    <t>FELIPE DE JESUS PANTOJA MARTINEZ</t>
  </si>
  <si>
    <t>54795728127</t>
  </si>
  <si>
    <t>PAMF570823HDFNRL02</t>
  </si>
  <si>
    <t>322 150 1820</t>
  </si>
  <si>
    <t>MARIA DEL CARMEN MORALES TELLEZ</t>
  </si>
  <si>
    <t>MOTC600826MDFRLR08</t>
  </si>
  <si>
    <t xml:space="preserve">RICARDO ARRIAGA LOPEZ </t>
  </si>
  <si>
    <t>AILR540317HMNRPC02</t>
  </si>
  <si>
    <t>GILBERTO GOMEZ FLORES</t>
  </si>
  <si>
    <t>GOFG511123HCSMLL03</t>
  </si>
  <si>
    <t>JOSE SANTOS MORALES GARCIA</t>
  </si>
  <si>
    <t>Diego Domínguez alarcon</t>
  </si>
  <si>
    <t>DOAD591026HNLMLG08</t>
  </si>
  <si>
    <t>Abraham Montes Platas</t>
  </si>
  <si>
    <t>MOPA651016HVZNLB00</t>
  </si>
  <si>
    <t>J. Isabel Garcia Puente</t>
  </si>
  <si>
    <t>GAPI640130HZSRNS08</t>
  </si>
  <si>
    <t>ALFONSO</t>
  </si>
  <si>
    <t>NICOLAS MARES GOMEZ</t>
  </si>
  <si>
    <t>MAGN630820HTSRMC08</t>
  </si>
  <si>
    <t xml:space="preserve">Ricardo Garcia Davalos </t>
  </si>
  <si>
    <t>12755914111</t>
  </si>
  <si>
    <t>GADR591103HTSRVC03</t>
  </si>
  <si>
    <t>CARLOS GAYTAN MORALES</t>
  </si>
  <si>
    <t>GAMC63102H9CLYRR09</t>
  </si>
  <si>
    <t>MERCEDES ALFONSO HERNANDEZ</t>
  </si>
  <si>
    <t>AOHM560412MVZLRR06</t>
  </si>
  <si>
    <t xml:space="preserve">ADRIANA FRANCISCO </t>
  </si>
  <si>
    <t>FAFA841119MVZRLD03</t>
  </si>
  <si>
    <t>JORGE GUADALUPE CASILLAS CALCAGNO</t>
  </si>
  <si>
    <t>CACJ580303HSRSLR03</t>
  </si>
  <si>
    <t xml:space="preserve">MARIA ESTHER VARGAS JUAREZ </t>
  </si>
  <si>
    <t>VAJE631007MDFRRS06</t>
  </si>
  <si>
    <t>CECILIA LETICIA DIAZ RIVAS</t>
  </si>
  <si>
    <t>BALBINA FELIX SOTELO SOTELO</t>
  </si>
  <si>
    <t>SOSB620217MMCTTL04</t>
  </si>
  <si>
    <t xml:space="preserve">PEDRO MARTINEZ VALDES </t>
  </si>
  <si>
    <t>MAVP630518HMCRLD07</t>
  </si>
  <si>
    <t>JOSE HERRERA</t>
  </si>
  <si>
    <t>RAUL PACHECO SAENZ</t>
  </si>
  <si>
    <t>PASR531213HCHCNL01</t>
  </si>
  <si>
    <t xml:space="preserve">aaron hernandez lozano </t>
  </si>
  <si>
    <t>32816214335</t>
  </si>
  <si>
    <t>FABIOLA SOLORZANO CONCEPCION</t>
  </si>
  <si>
    <t>SOCF780227MDFLNB02</t>
  </si>
  <si>
    <t>GUSTAVO CABRERA MORALES</t>
  </si>
  <si>
    <t>CAMG630630HVZBRS03</t>
  </si>
  <si>
    <t>ANDRES GALICIA OLIVARES</t>
  </si>
  <si>
    <t>10806130414</t>
  </si>
  <si>
    <t>GAOA610512HDFLLN07</t>
  </si>
  <si>
    <t>nath</t>
  </si>
  <si>
    <t>RIRC580512HBCVBN07</t>
  </si>
  <si>
    <t>JOSE CHIGO BUSTAMANTE</t>
  </si>
  <si>
    <t>CIBJ560224HVZHSS07</t>
  </si>
  <si>
    <t xml:space="preserve">MA. CECILIA GALLARDO CORTEZ </t>
  </si>
  <si>
    <t>GACC640816MTSLRC17</t>
  </si>
  <si>
    <t>MARIA ESTELA CLARA DAVALOS MARTINEZ</t>
  </si>
  <si>
    <t>DAME580812MMCVRS03</t>
  </si>
  <si>
    <t>ISAURA PAGAZA SANCHEZ</t>
  </si>
  <si>
    <t>01695394682</t>
  </si>
  <si>
    <t>VICTORIA PEREZ ACOSTA</t>
  </si>
  <si>
    <t>PEAV651117MHGRCC04</t>
  </si>
  <si>
    <t>JUAN LUIS CANTO GOMEZ</t>
  </si>
  <si>
    <t>CAGJ760103HNLNMN04</t>
  </si>
  <si>
    <t>LITZY MARTINEZ</t>
  </si>
  <si>
    <t>bernardo fernandez</t>
  </si>
  <si>
    <t>19836803387</t>
  </si>
  <si>
    <t>JUAN FIDENCIO MORENO JIMENEZ</t>
  </si>
  <si>
    <t>MOJJ631231HNLRMN04</t>
  </si>
  <si>
    <t xml:space="preserve">eligio juarez perez </t>
  </si>
  <si>
    <t>JUPE631201HMCRRL10</t>
  </si>
  <si>
    <t>IRMA NELLY FLORES PEREZ</t>
  </si>
  <si>
    <t>FOPI610125MNLLRR02</t>
  </si>
  <si>
    <t>81 3596 5991</t>
  </si>
  <si>
    <t>VICTOR HUGO IBARRA MOLINA</t>
  </si>
  <si>
    <t>IAMV780913HCLBLC05</t>
  </si>
  <si>
    <t>844 202 7834</t>
  </si>
  <si>
    <t>43876791666</t>
  </si>
  <si>
    <t>81 2903 7617</t>
  </si>
  <si>
    <t>luiz enrique coroy</t>
  </si>
  <si>
    <t>898163168441</t>
  </si>
  <si>
    <t>ROCL63111HMCDRS07</t>
  </si>
  <si>
    <t>MARTIN GERMAN TEJEDA DIAZ</t>
  </si>
  <si>
    <t>TEDM650703HBCJZR03</t>
  </si>
  <si>
    <t>ROSENDO URBANO CORTES CORONA</t>
  </si>
  <si>
    <t>COCR500525HPLRRS04</t>
  </si>
  <si>
    <t>JOSE VICTOR ELEAZAR</t>
  </si>
  <si>
    <t>CECV670925HNLRSC00</t>
  </si>
  <si>
    <t xml:space="preserve">JOSE LUIS GARCIA OROZCO </t>
  </si>
  <si>
    <t>GAOL581003HJCRRS04</t>
  </si>
  <si>
    <t>LUIS ALBERTO SALAS DIAZ</t>
  </si>
  <si>
    <t>SADL590407HNLLZS02</t>
  </si>
  <si>
    <t>EFRAIN MIRANDA GARCIA</t>
  </si>
  <si>
    <t>MIGE650615HJCRRF04</t>
  </si>
  <si>
    <t xml:space="preserve">FERNANDO ISMAEL MORENO GONZALEZ </t>
  </si>
  <si>
    <t>06765218604</t>
  </si>
  <si>
    <t>MOGF520527HDFRNR01</t>
  </si>
  <si>
    <t>HECTOR</t>
  </si>
  <si>
    <t>MARTIN NICOLAS NORIEGA NAVOR</t>
  </si>
  <si>
    <t>0400690560</t>
  </si>
  <si>
    <t>NONM691127HJCRVR03</t>
  </si>
  <si>
    <t>33 1825 9593</t>
  </si>
  <si>
    <t>MAYTE NAVARRO</t>
  </si>
  <si>
    <t>ROSALBA SANCHEZ GARCIA</t>
  </si>
  <si>
    <t>32796155649</t>
  </si>
  <si>
    <t>SAGR681027MCLNRS09</t>
  </si>
  <si>
    <t>AMBROSIO CRUZ PEREZ</t>
  </si>
  <si>
    <t>CUPA611016HHGRRM09</t>
  </si>
  <si>
    <t>LUIS GUTIERREZ AVIÑA</t>
  </si>
  <si>
    <t>GUAL640320HGTTVS08</t>
  </si>
  <si>
    <t>MELANIE</t>
  </si>
  <si>
    <t>GAMC631021HCLYRR09</t>
  </si>
  <si>
    <t>EMILIO MARTINEZ PEREZ</t>
  </si>
  <si>
    <t>MAPE700301HNLRRM07</t>
  </si>
  <si>
    <t>DAVID LUCENA FLORES</t>
  </si>
  <si>
    <t>67816063522</t>
  </si>
  <si>
    <t>LUFD581229HGRCLV05</t>
  </si>
  <si>
    <t>BEATRIZ DE LA CRUZ</t>
  </si>
  <si>
    <t>ISRAEL GUILLEN BALDERRAMA</t>
  </si>
  <si>
    <t>GUBI660308HSRLLS09</t>
  </si>
  <si>
    <t>ITZEL CARRANZA</t>
  </si>
  <si>
    <t>JOSE GUADALUPE RIVAS GONZALEZ</t>
  </si>
  <si>
    <t>RIGG620320HCLVND04</t>
  </si>
  <si>
    <t>LUIS ENRIQUE RODRIGUEZ COROY</t>
  </si>
  <si>
    <t>ROCL63115HMCDRS07</t>
  </si>
  <si>
    <t>DANIELA IRACHETA</t>
  </si>
  <si>
    <t xml:space="preserve">ANDRES MORALES </t>
  </si>
  <si>
    <t>MOLA601228HVZRYN08</t>
  </si>
  <si>
    <t>ANA</t>
  </si>
  <si>
    <t>JUAN LUIS CANTU GOMEZ</t>
  </si>
  <si>
    <t>RAUL GUEVARA CEDILLO</t>
  </si>
  <si>
    <t>GUCR780729HMCVDL06</t>
  </si>
  <si>
    <t xml:space="preserve">ANTONIO HERNANDEZ HERRERA </t>
  </si>
  <si>
    <t>06816312521</t>
  </si>
  <si>
    <t xml:space="preserve">HEHA631024HDFRRN05 </t>
  </si>
  <si>
    <t>YARUMI PEREZ SUR</t>
  </si>
  <si>
    <t>Fernando Alejandro Ramos Aranda</t>
  </si>
  <si>
    <t>RAAF700331HMNMRR07</t>
  </si>
  <si>
    <t>JESUS ROCHA AMEZCUA</t>
  </si>
  <si>
    <t>ROAJ640704HJCCMS01</t>
  </si>
  <si>
    <t xml:space="preserve">JOSE LUIS VALENCIA HERMIDA </t>
  </si>
  <si>
    <t xml:space="preserve">VAHL510113HVZLRS06 </t>
  </si>
  <si>
    <t xml:space="preserve">José Luis Aciano Domínguez </t>
  </si>
  <si>
    <t>AIDL800724HCLCMS05</t>
  </si>
  <si>
    <t>PAOLA</t>
  </si>
  <si>
    <t>ASHLIN CELESTE SUR</t>
  </si>
  <si>
    <t xml:space="preserve">JOSE ADOLFO RUIZ MARTINEZ </t>
  </si>
  <si>
    <t>RUMA600928HPLZRD07</t>
  </si>
  <si>
    <t>LILIA MALDONADO VELAZQUEZ</t>
  </si>
  <si>
    <t>MAVL590115MVZLLL06</t>
  </si>
  <si>
    <t xml:space="preserve">MANUELA GONZALEZ GUERECA </t>
  </si>
  <si>
    <t xml:space="preserve">33937039122
</t>
  </si>
  <si>
    <t>GOGM701028MCHNRN01</t>
  </si>
  <si>
    <t>SIMONA FRANCISCA RANGEL GONZALEZ</t>
  </si>
  <si>
    <t>RAGS690129MNLNNM06</t>
  </si>
  <si>
    <t>DANIELLY</t>
  </si>
  <si>
    <t>MANUELA CELAYA MORENO</t>
  </si>
  <si>
    <t>01734744541</t>
  </si>
  <si>
    <t>CEMM500408MSRLRN05</t>
  </si>
  <si>
    <t>UBALDO FLORES TOMAS</t>
  </si>
  <si>
    <t>FOTU620516HOCLMB02</t>
  </si>
  <si>
    <t>GUADALUPE BECERRA</t>
  </si>
  <si>
    <t>MARTIN DIAZ GOMEZ</t>
  </si>
  <si>
    <t>DIGM600223HMCZMR07</t>
  </si>
  <si>
    <t>ARNULFO SANTILLAN ORTIZ</t>
  </si>
  <si>
    <t>SAOA610415HJCNRR00</t>
  </si>
  <si>
    <t>MARTHA INES RESENDEZ ALVAREZ</t>
  </si>
  <si>
    <t>REAM680124MTSSLR00</t>
  </si>
  <si>
    <t>ARNOLDO LOPEZ BARBOSA</t>
  </si>
  <si>
    <t>LOBA590301HCMPRR04</t>
  </si>
  <si>
    <t>ELBA RUELAS SANTOS</t>
  </si>
  <si>
    <t>RUSE600603MJCLNL07</t>
  </si>
  <si>
    <t>33 1324 6410</t>
  </si>
  <si>
    <t>HORTENCIA CASTILLO ZAPATA</t>
  </si>
  <si>
    <t>CAZH540211MGRSPR01</t>
  </si>
  <si>
    <t>ALBERTO CARO GARCIA</t>
  </si>
  <si>
    <t>CXGA510807HNTRRL04</t>
  </si>
  <si>
    <t>SALVADOR FLORES ALVARADO</t>
  </si>
  <si>
    <t>O4755744051</t>
  </si>
  <si>
    <t>FOAS570525HJCLLL06</t>
  </si>
  <si>
    <t>HANIA</t>
  </si>
  <si>
    <t xml:space="preserve">juan martin </t>
  </si>
  <si>
    <t>DEHJ640130HJCLRN07</t>
  </si>
  <si>
    <t>PROFUTURO</t>
  </si>
  <si>
    <t>FRANCISCO LOPEZ SALAZAR</t>
  </si>
  <si>
    <t>MIGUEL ANGEL MACIAS HERNANDEZ</t>
  </si>
  <si>
    <t>MAHM790914HNLCRG09</t>
  </si>
  <si>
    <t xml:space="preserve">CONSUELO CASTILLO SOTO </t>
  </si>
  <si>
    <t>21876444445</t>
  </si>
  <si>
    <t>CASC640416MBCSTN07</t>
  </si>
  <si>
    <t>MARTIN LASTR ALVAREZ</t>
  </si>
  <si>
    <t>LAAM630509HSRSLR03</t>
  </si>
  <si>
    <t>FERNANDA</t>
  </si>
  <si>
    <t xml:space="preserve"> LAURA SOLORZANO BALBUENA</t>
  </si>
  <si>
    <t>04826349120</t>
  </si>
  <si>
    <t>SOBL630903MJCLLR09</t>
  </si>
  <si>
    <t>33 2814 1207</t>
  </si>
  <si>
    <t xml:space="preserve"> JORGE RAFAEL ARAUJO CARMONA</t>
  </si>
  <si>
    <t>AACJ640326HTSRRR04</t>
  </si>
  <si>
    <t>JOSE VITALIANO MARTINEZ MARTINEZ</t>
  </si>
  <si>
    <t xml:space="preserve">65796201187
</t>
  </si>
  <si>
    <t>MAMV620216HVZRRT08</t>
  </si>
  <si>
    <t>MULTIVA</t>
  </si>
  <si>
    <t xml:space="preserve">GUADALUPE ISABEL ALBARRAN GUZMAN </t>
  </si>
  <si>
    <t>AAGG520708MDFLD04</t>
  </si>
  <si>
    <t>RITO FRANCISCO BERNAL VALDIVIEZO</t>
  </si>
  <si>
    <t>BEVR600522HCHRLT09</t>
  </si>
  <si>
    <t xml:space="preserve">JOSE JUAN ORTEGA ORTEGA </t>
  </si>
  <si>
    <t>OEOJ600514HNLRRN08</t>
  </si>
  <si>
    <t>JOSE CABRIALES PATIÑO</t>
  </si>
  <si>
    <t>CAPJ510319HTSBTS04</t>
  </si>
  <si>
    <t>831 102 8879</t>
  </si>
  <si>
    <t>AMELIA PARTIDA VAZQUEZ</t>
  </si>
  <si>
    <t>PAVA700311MCMRZM08</t>
  </si>
  <si>
    <t>MARISOL</t>
  </si>
  <si>
    <t>ALEJANDRO ARIAS LOPEZ</t>
  </si>
  <si>
    <t>AILA760730HCLRPL02</t>
  </si>
  <si>
    <t>844 139 7146</t>
  </si>
  <si>
    <t>OSCAR SANDOVAL PEÑA</t>
  </si>
  <si>
    <t>SAPO610415HCHNXS01</t>
  </si>
  <si>
    <t>EDNA</t>
  </si>
  <si>
    <t>JOSE DE JESUS MIRELES RUBIO</t>
  </si>
  <si>
    <t>MIRJ650802HNLRBS06</t>
  </si>
  <si>
    <t>MARIA CRISTINA ESPINOZA LOPEZ</t>
  </si>
  <si>
    <t>EILC620907MCLSPR05</t>
  </si>
  <si>
    <t>55 1380 3464</t>
  </si>
  <si>
    <t xml:space="preserve">REBECA LOPEZ </t>
  </si>
  <si>
    <t>LOMR621003MDGPRB08</t>
  </si>
  <si>
    <t>FRANCISCO GUILLERMO VARGAS HERNANDEZ</t>
  </si>
  <si>
    <t>01745854685</t>
  </si>
  <si>
    <t>VAHF580208HDFRRR06</t>
  </si>
  <si>
    <t>777 260 6251</t>
  </si>
  <si>
    <t>ADRIAN EUGENIO VARGAS VARGAS</t>
  </si>
  <si>
    <t>VAVA660708HMCRRD08</t>
  </si>
  <si>
    <t xml:space="preserve">AULISES CRUZ PEÑA </t>
  </si>
  <si>
    <t>CUPA590711HCSRXL05</t>
  </si>
  <si>
    <t>JESUS MANUEL BARREIRO RODRIGUEZ</t>
  </si>
  <si>
    <t xml:space="preserve">0176571699 </t>
  </si>
  <si>
    <t>BARJ570628HDFRDS04</t>
  </si>
  <si>
    <t xml:space="preserve">carlos baez </t>
  </si>
  <si>
    <t>BALC591024HCHZPR01</t>
  </si>
  <si>
    <t>Victor Manuel Negrete Hernandez</t>
  </si>
  <si>
    <t>NEHV641122HDFGRC04</t>
  </si>
  <si>
    <t xml:space="preserve">FRANCISCO ZAMORA ROSAS </t>
  </si>
  <si>
    <t>ZARF610129HVZMSR04</t>
  </si>
  <si>
    <t>RUTH MARTINEZ SUR</t>
  </si>
  <si>
    <t>JORGE ALBERTO GUTIERREZ FIGUEROA</t>
  </si>
  <si>
    <t>GUFJ510422HSRTGR00</t>
  </si>
  <si>
    <t xml:space="preserve">RAYMUNDO EDUARDO CISNEROS GONZALEZ  </t>
  </si>
  <si>
    <t>CIGR560315HDFSNY07</t>
  </si>
  <si>
    <t>MARIA TERESA CORONA LOPEZ</t>
  </si>
  <si>
    <t>COLT571015MDFRDR00</t>
  </si>
  <si>
    <t>JOSE BASILLO GUALITO AMADOR</t>
  </si>
  <si>
    <t>GUAB610420HDFLMS02</t>
  </si>
  <si>
    <t>ANA MARIA GUADALUPE DEL SOCORRO TREJO PEÑA</t>
  </si>
  <si>
    <t>TEPA660727MYNRXN00</t>
  </si>
  <si>
    <t>MA. DE LA LUZ ISASSI CAMACHO</t>
  </si>
  <si>
    <t>IACL580120MQTSMZ08</t>
  </si>
  <si>
    <t>JUAN CARLOS SOTO LARA</t>
  </si>
  <si>
    <t>SOLJ660421HVZTRN00</t>
  </si>
  <si>
    <t>JESUS MANZANO Y ROMO</t>
  </si>
  <si>
    <t>MARJ480709HPLNMS09</t>
  </si>
  <si>
    <t>FORTALEZA</t>
  </si>
  <si>
    <t xml:space="preserve">JOSE OSCAR PEREZ HERNANDEZ </t>
  </si>
  <si>
    <t>PEHO650409HTCRRS06</t>
  </si>
  <si>
    <t xml:space="preserve">JUAN PEREZ ZARAGOZA </t>
  </si>
  <si>
    <t xml:space="preserve"> 6570513051</t>
  </si>
  <si>
    <t>PEZJ510312HPLRRN04</t>
  </si>
  <si>
    <t xml:space="preserve">MANUEL RIGOBERTO RODRIGUEZ ORTEGA </t>
  </si>
  <si>
    <t>ROOM530119HPLDRN00</t>
  </si>
  <si>
    <t>HERIBERTO ALFONSO VALLEJO REYES</t>
  </si>
  <si>
    <t>63826700096</t>
  </si>
  <si>
    <t>VARH570316HDFLYR07</t>
  </si>
  <si>
    <t>GABRIELA</t>
  </si>
  <si>
    <t>VERC691208HMCNDN03</t>
  </si>
  <si>
    <t xml:space="preserve">MIGUEL ANGEL SALAZAR BECERRA </t>
  </si>
  <si>
    <t>SABM561014HCMLCG11</t>
  </si>
  <si>
    <t>MARIA ANGELICA GONZALEZ MEDINA</t>
  </si>
  <si>
    <t>GOMA671014MSLNDN01</t>
  </si>
  <si>
    <t>EXITUS</t>
  </si>
  <si>
    <t>MARICRUZ CALVILLO HERRERA</t>
  </si>
  <si>
    <t>CAHM560503MCHLRR09</t>
  </si>
  <si>
    <t xml:space="preserve">abad chavez </t>
  </si>
  <si>
    <t>CARA660820HOCHMB07</t>
  </si>
  <si>
    <t>GOCA660118HDFNRL03</t>
  </si>
  <si>
    <t>EIMC690611MDFSNN01</t>
  </si>
  <si>
    <t>SARA ROSALES FERNANDEZ</t>
  </si>
  <si>
    <t>ROFS540807MDGSRR09</t>
  </si>
  <si>
    <t>FRANCISCA MARES BALDERAS</t>
  </si>
  <si>
    <t>MABF620106MNLRLR15</t>
  </si>
  <si>
    <t xml:space="preserve"> JUAN CARLOS MARTINEZ PEREZ</t>
  </si>
  <si>
    <t>MAPJ590126HDFRRN03</t>
  </si>
  <si>
    <t xml:space="preserve">MARTIN MIRANDA OAXACA </t>
  </si>
  <si>
    <t>MIOM610130HCHRXR08</t>
  </si>
  <si>
    <t xml:space="preserve">IRMA YOLANDA LARA LEDEZMA </t>
  </si>
  <si>
    <t>LALI620113MCHRDR00</t>
  </si>
  <si>
    <t>EVODIO ALEJANDRO MARTINEZ TORRES</t>
  </si>
  <si>
    <t>MATE660506HDFRRV08</t>
  </si>
  <si>
    <t>YOLANDA NANDUCA TOLEDO</t>
  </si>
  <si>
    <t>NATY600526MCSNLL02</t>
  </si>
  <si>
    <t>GLORIA</t>
  </si>
  <si>
    <t>AACF620216HSLLHR05</t>
  </si>
  <si>
    <t>DOLORES ORTEGA MALANCO</t>
  </si>
  <si>
    <t>OEMD610221MDFRLL03</t>
  </si>
  <si>
    <t>FRANCISCO MALACARA CASTAÑEDA</t>
  </si>
  <si>
    <t>MACF590115HCLLSR03</t>
  </si>
  <si>
    <t>MARITZA CRUZ RAUDALL</t>
  </si>
  <si>
    <t>Adalberto Guevara Montes</t>
  </si>
  <si>
    <t>35866820356</t>
  </si>
  <si>
    <t>FRANCISCO JAVIER AYALA CARRILLO</t>
  </si>
  <si>
    <t xml:space="preserve">33816437082
</t>
  </si>
  <si>
    <t>ROBERTO CASTILLO GONZALEZ</t>
  </si>
  <si>
    <t xml:space="preserve">15796400032
</t>
  </si>
  <si>
    <t>JOSE LUIS DURAN URTIZ</t>
  </si>
  <si>
    <t>DUUL630731HMNRRS02</t>
  </si>
  <si>
    <t>753 124 5234</t>
  </si>
  <si>
    <t>ATTENDO</t>
  </si>
  <si>
    <t xml:space="preserve">RODOLFO RAMOS PACHECO </t>
  </si>
  <si>
    <t>658064353807</t>
  </si>
  <si>
    <t>RAPR640520HVZMCD06</t>
  </si>
  <si>
    <t>ITZELH</t>
  </si>
  <si>
    <t xml:space="preserve">Jose Rosario Cuevas Silva </t>
  </si>
  <si>
    <t>54806058019</t>
  </si>
  <si>
    <t>CUSR601216HJCVLS09</t>
  </si>
  <si>
    <t>SERGIO AYUP SILVETI</t>
  </si>
  <si>
    <t>AUSS591216HCLYLR00</t>
  </si>
  <si>
    <t>ANGELICA MEJIA MATEOS</t>
  </si>
  <si>
    <t>MEMA490516MDFJTN01</t>
  </si>
  <si>
    <t xml:space="preserve"> 55 8142 8718</t>
  </si>
  <si>
    <t>Benito Anguiano Gutierrez</t>
  </si>
  <si>
    <t xml:space="preserve">39917366021
</t>
  </si>
  <si>
    <t>BERTHA SANCHEZ SEGURA</t>
  </si>
  <si>
    <t>SASB441115MSPNGR05</t>
  </si>
  <si>
    <t>RUBEN SUSTAITA CASTRO</t>
  </si>
  <si>
    <t>SUCR710814HCLSSB04</t>
  </si>
  <si>
    <t>MARIO ZAMUDIO ZAMUDIO</t>
  </si>
  <si>
    <t>ZAZM570830HMNMMR07</t>
  </si>
  <si>
    <t>J CRUZ MEDELES CONTRERAS</t>
  </si>
  <si>
    <t>MECC640503HCLDNR09</t>
  </si>
  <si>
    <t>JOSE MAGALLON GUDIÑO</t>
  </si>
  <si>
    <t>54765527723</t>
  </si>
  <si>
    <t>MAGL550612HJCGDS04</t>
  </si>
  <si>
    <t>JOSE TRINIDAD CARRANCO GONZALEZ</t>
  </si>
  <si>
    <t>CAGT640706HGTRNR07</t>
  </si>
  <si>
    <t>ORALIA GARCIA SILVA</t>
  </si>
  <si>
    <t>GASO620427MMNRLR00</t>
  </si>
  <si>
    <t>55 1350 2867</t>
  </si>
  <si>
    <t>JAVIER JESUS CAHUICH CERON</t>
  </si>
  <si>
    <t>82966102855</t>
  </si>
  <si>
    <t>CACJ610701HYNHRV02</t>
  </si>
  <si>
    <t>998 228 9948</t>
  </si>
  <si>
    <t>SERGIO SAID GOMEZ</t>
  </si>
  <si>
    <t xml:space="preserve"> 75866107685</t>
  </si>
  <si>
    <t>SAGS610429HDFDMR01</t>
  </si>
  <si>
    <t xml:space="preserve">ELEUTERIA HERNANDEZ HERNANDEZ </t>
  </si>
  <si>
    <t>HEHE730220MVZRRL04</t>
  </si>
  <si>
    <t>RUBEN MARTIN GOMEZ</t>
  </si>
  <si>
    <t>GOXR590428HCHMXB09</t>
  </si>
  <si>
    <t xml:space="preserve">MELESIO SANCHEZ CARRERA </t>
  </si>
  <si>
    <t>06715307697</t>
  </si>
  <si>
    <t>SACM560212HVZNRL02</t>
  </si>
  <si>
    <t xml:space="preserve">RANULFO TREVIÑO HERNANDEZ </t>
  </si>
  <si>
    <t>TEHR580318HNLRRN07</t>
  </si>
  <si>
    <t>01775914508</t>
  </si>
  <si>
    <t>LUIS DAVID ZAVALA MEDINA</t>
  </si>
  <si>
    <t>ZAML670312HDFVDS03</t>
  </si>
  <si>
    <t>FERNANDO DIAZ CASTILLO</t>
  </si>
  <si>
    <t>06796194105</t>
  </si>
  <si>
    <t>DICF610309HDFZSR05</t>
  </si>
  <si>
    <t>CRUZ RUFINO JUAREZ BALCAZAR</t>
  </si>
  <si>
    <t>JUMC600503HTCRLR03</t>
  </si>
  <si>
    <t>RUMUALDO RAMIREZ MUÑIZ</t>
  </si>
  <si>
    <t>RAMR560207HCLMXM03</t>
  </si>
  <si>
    <t>VALENTIN MACIAS SANCHEZ</t>
  </si>
  <si>
    <t>MASV591103HSPCNL03</t>
  </si>
  <si>
    <t>CABJ710901HSRHLS01</t>
  </si>
  <si>
    <t>644 486 4627</t>
  </si>
  <si>
    <t>JUAN MANUEL GONZALEZ GARCIA</t>
  </si>
  <si>
    <t>GOGJ651215HTSNRN02</t>
  </si>
  <si>
    <t>DALIA GUADALUPE ESCALANTE RUELAS</t>
  </si>
  <si>
    <t>EARD870411MSLSLL02</t>
  </si>
  <si>
    <t>VERONICA GONZALEZ LAURIAN</t>
  </si>
  <si>
    <t>14877016148</t>
  </si>
  <si>
    <t>GOLV730518MQTNRR01</t>
  </si>
  <si>
    <t>JUAN GABRIEL VERDUZCO MORALES</t>
  </si>
  <si>
    <t>VEMJ631124HSLRRN01</t>
  </si>
  <si>
    <t xml:space="preserve">AARON CUETO CARRERA </t>
  </si>
  <si>
    <t>CUCA630731HVZTRR04</t>
  </si>
  <si>
    <t>ORELY ROLON VARGAS</t>
  </si>
  <si>
    <t>ROVO730321MVZLRR08</t>
  </si>
  <si>
    <t>Manuel Federico Sandoval</t>
  </si>
  <si>
    <t xml:space="preserve">RIGOBERTO GUZMAN SERRANO </t>
  </si>
  <si>
    <t>GUSR561114HJCZRG03</t>
  </si>
  <si>
    <t>EDUARDO TORRES CANALES</t>
  </si>
  <si>
    <t>TOCE571013HDGRND09</t>
  </si>
  <si>
    <t xml:space="preserve"> MARTHA YOLANDA LIZARRAGA LIZARRAGA</t>
  </si>
  <si>
    <t>LILM641221MSLZZR08</t>
  </si>
  <si>
    <t>ANGEL TEOFILO GOMEZ</t>
  </si>
  <si>
    <t>GOXA510206HVZMXN03</t>
  </si>
  <si>
    <t>MIRIAM</t>
  </si>
  <si>
    <t>PATRICIA DOLORES BARBOZAN LARES</t>
  </si>
  <si>
    <t>43735566648</t>
  </si>
  <si>
    <t>BALP580329MNLRRT03</t>
  </si>
  <si>
    <t xml:space="preserve"> JESUS GARCIA ROMERO</t>
  </si>
  <si>
    <t>GARJ680307HZSRMS08</t>
  </si>
  <si>
    <t>PORFIRIO CERVANTES HERNANDEZ</t>
  </si>
  <si>
    <t>CEHP600922HNLRRR04</t>
  </si>
  <si>
    <t>JOSE LUIS GONZALEZ PORRAS</t>
  </si>
  <si>
    <t>GOPL511109HDFNRS16</t>
  </si>
  <si>
    <t>JORGE RAFAEL ARAUJO CARMONA</t>
  </si>
  <si>
    <t>43886852128</t>
  </si>
  <si>
    <t>IRVING DARIO TORRES CARRILLO</t>
  </si>
  <si>
    <t>TOCI060919HJCRRRA8</t>
  </si>
  <si>
    <t>ANA ISABEL CUELLAR MIRANDA</t>
  </si>
  <si>
    <t>06786017779</t>
  </si>
  <si>
    <t>CUMA601211MDFLRN05</t>
  </si>
  <si>
    <t>NETZAHUALCOYOTL ALVAREZ CARMONA</t>
  </si>
  <si>
    <t>81 2824 7289</t>
  </si>
  <si>
    <t>CARLOS FILIBERTO ARMENTA GAMEZ</t>
  </si>
  <si>
    <t>23816333316</t>
  </si>
  <si>
    <t>AEGC630822HSLRMR00</t>
  </si>
  <si>
    <t>668 499 4557</t>
  </si>
  <si>
    <t>RICARDO FLORES DAVILA</t>
  </si>
  <si>
    <t>OSCAR ALEJANDRO CHAVEZ JASSO</t>
  </si>
  <si>
    <t>66159626150</t>
  </si>
  <si>
    <t xml:space="preserve">	CAJO960422HGTHSS03</t>
  </si>
  <si>
    <t>ALFONZO BAEZ BALCAZAR</t>
  </si>
  <si>
    <t>01624376552</t>
  </si>
  <si>
    <t>BABA431117HMCZLL06</t>
  </si>
  <si>
    <t>CARLOS GUTIERREZ HERNANDEZ</t>
  </si>
  <si>
    <t>GUHC590314HJCTRR00</t>
  </si>
  <si>
    <t>MARTHA YOLANDA LIZARRAGA LIZARRAGA</t>
  </si>
  <si>
    <t>MARIO MOYA JIMENEZ</t>
  </si>
  <si>
    <t>45917146065</t>
  </si>
  <si>
    <t>MOJM710722HDFYMR05</t>
  </si>
  <si>
    <t xml:space="preserve"> 55 7150 5568</t>
  </si>
  <si>
    <t>SAMUEL DE JESUS ROCHA LOPEZ</t>
  </si>
  <si>
    <t>ROLS650512HNLCPM05</t>
  </si>
  <si>
    <t>81 1785 5567</t>
  </si>
  <si>
    <t>ADOLFO LUNA IZUNZA</t>
  </si>
  <si>
    <t xml:space="preserve">CRISTOBVAL SALAS PARRA </t>
  </si>
  <si>
    <t>SAPC410710HNTLRR08</t>
  </si>
  <si>
    <t>ALBERTO DOMINGO ORTIZ GUEVARA</t>
  </si>
  <si>
    <t>OIGA620927HCLRVL09</t>
  </si>
  <si>
    <t>844 673 5646</t>
  </si>
  <si>
    <t>LORENZO DOMINGO PATIÑO VILLAMIL</t>
  </si>
  <si>
    <t>PAVL580320HCCTLR08</t>
  </si>
  <si>
    <t>42826441026</t>
  </si>
  <si>
    <t>55 1076 6575</t>
  </si>
  <si>
    <t xml:space="preserve">MARIA ALICIA BUENTELLO VILLARREAL </t>
  </si>
  <si>
    <t>BUVA610805MNLNLL08</t>
  </si>
  <si>
    <t>81 8087 4668</t>
  </si>
  <si>
    <t>ROSAURA MONTELONGO DE LOS SANTOS</t>
  </si>
  <si>
    <t>04725631586</t>
  </si>
  <si>
    <t>MOSR550910MJCNNS06</t>
  </si>
  <si>
    <t>33 3820 0696</t>
  </si>
  <si>
    <t>REGINO CASTRO VERA</t>
  </si>
  <si>
    <t>CAVR640907HVZSRG03</t>
  </si>
  <si>
    <t>ELVIRA ORTIZ RODRIGUEZ</t>
  </si>
  <si>
    <t>OIRE630210MGTRDL08</t>
  </si>
  <si>
    <t>ESTEBAN SALVADOR VILLARREAL AGUAYO</t>
  </si>
  <si>
    <t xml:space="preserve"> 81 2929 9535</t>
  </si>
  <si>
    <t>JOSE LUIS VALADEZ CAMPOS</t>
  </si>
  <si>
    <t>01725094161</t>
  </si>
  <si>
    <t>VACL501009HZSLMS02</t>
  </si>
  <si>
    <t>772 144 1424</t>
  </si>
  <si>
    <t>FIDENCIO MURILLO RIVAS</t>
  </si>
  <si>
    <t>MURF720918HDGRVD09</t>
  </si>
  <si>
    <t>EVODIO CARDENAS ALVARADO</t>
  </si>
  <si>
    <t>CAAE620506HNLRLV02</t>
  </si>
  <si>
    <t>81 1964 5710</t>
  </si>
  <si>
    <t>GABRIEL TEZCATLIPOCA NORIEGA CANO</t>
  </si>
  <si>
    <t>NOCG650205HDFRNB01</t>
  </si>
  <si>
    <t>56 2606 3887</t>
  </si>
  <si>
    <t>21906428715</t>
  </si>
  <si>
    <t>ROMM630123MMCSDR052</t>
  </si>
  <si>
    <t>ALEX MEDINA GONZALEZ</t>
  </si>
  <si>
    <t>04755848860</t>
  </si>
  <si>
    <t>MEGA581005HJCDNL08</t>
  </si>
  <si>
    <t>JORGE HERNANDEZ PEREZ</t>
  </si>
  <si>
    <t>HEPJ760525HNLRRR00</t>
  </si>
  <si>
    <t>MA. SOCORRO GARCIA DE LA ROSA</t>
  </si>
  <si>
    <t>GARS570627MGTRSC09</t>
  </si>
  <si>
    <t>JUAN JOSE GUTIERREZ MARTINEZ</t>
  </si>
  <si>
    <t>GUMJ650403HSPTRN02</t>
  </si>
  <si>
    <t>JUAN ANTONIO BUSTOS ARREOLA</t>
  </si>
  <si>
    <t>BUAJ610705HDGSRN02</t>
  </si>
  <si>
    <t>844 679 6252</t>
  </si>
  <si>
    <t>LUIS RAMIREZ GUZMAN</t>
  </si>
  <si>
    <t>01644846865</t>
  </si>
  <si>
    <t>RAGL480523HDFMZS05</t>
  </si>
  <si>
    <t>CRESCENCIO GUTIERREZ HERNANDEZ</t>
  </si>
  <si>
    <t>GUHC630505HZSTRR02</t>
  </si>
  <si>
    <t>TOMAS DELGADO MORENO</t>
  </si>
  <si>
    <t>DEMT710124HMNLRM07</t>
  </si>
  <si>
    <t>JUAN CARLOS MONTES RAMIREZ</t>
  </si>
  <si>
    <t>01775913138</t>
  </si>
  <si>
    <t>MORJ591106HDFNMN03</t>
  </si>
  <si>
    <t>GERMAN OROS ALARCON</t>
  </si>
  <si>
    <t>06816336298</t>
  </si>
  <si>
    <t>OOAG630709HDFRLR09</t>
  </si>
  <si>
    <t>JOSE DE JESUS ALGARIN DURAN</t>
  </si>
  <si>
    <t>AADJ610117HVZLRS06</t>
  </si>
  <si>
    <t>JUVENAL VEGA CORREA</t>
  </si>
  <si>
    <t>VECJ660211HDFGRV01</t>
  </si>
  <si>
    <t>AGUSTIN PEREZ GARCIA</t>
  </si>
  <si>
    <t>PEGA620606HCLRRG02</t>
  </si>
  <si>
    <t>12945002496</t>
  </si>
  <si>
    <t>01856524788</t>
  </si>
  <si>
    <t>720 626 1528</t>
  </si>
  <si>
    <t>JOSE PABLO CASTELLANOS BARAJAS</t>
  </si>
  <si>
    <t>CABP590811HJCSRB03</t>
  </si>
  <si>
    <t>VIDAL RAMOS RAMIREZ</t>
  </si>
  <si>
    <t>RARV670710HGTMMD01</t>
  </si>
  <si>
    <t>614 839 2486</t>
  </si>
  <si>
    <t>ROBERTO GONZALEZ LARIOS</t>
  </si>
  <si>
    <t>GOLR490818HJCNRB07</t>
  </si>
  <si>
    <t>JOSE LUIS DURAN ORTIZ</t>
  </si>
  <si>
    <t xml:space="preserve"> 753 124 5234</t>
  </si>
  <si>
    <t>FRANCISCO LOERA BELTRAN</t>
  </si>
  <si>
    <t>LOBF640405MNLRLR00</t>
  </si>
  <si>
    <t>81 8111 8938</t>
  </si>
  <si>
    <t>IGNACIO SANCHEZ ZACARIAS</t>
  </si>
  <si>
    <t>SAZI630201HMCNCG05</t>
  </si>
  <si>
    <t>2193631528-8</t>
  </si>
  <si>
    <t>VETJ630719HJCGPNO6</t>
  </si>
  <si>
    <t>392 127 7337</t>
  </si>
  <si>
    <t>JUAN MANUEL RODRIGUEZ PIZANO</t>
  </si>
  <si>
    <t>ROPJ750814HJCDZN04</t>
  </si>
  <si>
    <t>ALEJANDRO RUIZ LOPEZ</t>
  </si>
  <si>
    <t>1084642707 7</t>
  </si>
  <si>
    <t>RULA640701HDFZPL07</t>
  </si>
  <si>
    <t>56 1393 3231</t>
  </si>
  <si>
    <t>SERGIO SANCHEZ JUAREZ</t>
  </si>
  <si>
    <t>SAJS641021HDFNRR04</t>
  </si>
  <si>
    <t>55 4103 4700</t>
  </si>
  <si>
    <t>ALFREDO MATADAMAS DOMINGUES</t>
  </si>
  <si>
    <t>MADA651208HOCTML07</t>
  </si>
  <si>
    <t>33 2391 8062</t>
  </si>
  <si>
    <t>JORGE ABEL VILLALOBOS DAVALOS</t>
  </si>
  <si>
    <t>VIDJ630109HCMLVR01</t>
  </si>
  <si>
    <t>33 1173 8778</t>
  </si>
  <si>
    <t>FERNANDO RODRIGUEZ HERNANDEZ</t>
  </si>
  <si>
    <t>ROHF631007HGTDRR07</t>
  </si>
  <si>
    <t>MARIA DE JESUS HUERTA CEDANO</t>
  </si>
  <si>
    <t>SABINO ADAME GOMEZ</t>
  </si>
  <si>
    <t>AAGS551204HGRDMB02</t>
  </si>
  <si>
    <t>55 3222 1579</t>
  </si>
  <si>
    <t>TRINIDAD ALVARO CONDE ALVAREZ</t>
  </si>
  <si>
    <t>COAT560527HPLNLR06</t>
  </si>
  <si>
    <t>ANA ROSA VELOZ AMADOR</t>
  </si>
  <si>
    <t>VEAA670313MJCLMN08</t>
  </si>
  <si>
    <t>NESTOR MARIO VEGA RAMOS</t>
  </si>
  <si>
    <t xml:space="preserve">10765504641
</t>
  </si>
  <si>
    <t>VERN550409HDFGMS01</t>
  </si>
  <si>
    <t>PABLO QUEZADA DIAZ</t>
  </si>
  <si>
    <t xml:space="preserve">04907427316
</t>
  </si>
  <si>
    <t>QUDP750629HJCZZB01</t>
  </si>
  <si>
    <t>FERNANDO RENDON PADILLA</t>
  </si>
  <si>
    <t>REPF640530HTSNDR05</t>
  </si>
  <si>
    <t xml:space="preserve">PROFUTURO </t>
  </si>
  <si>
    <t>RAUL FELIX APOLINAR</t>
  </si>
  <si>
    <t>FEAR561202HMCLPL08</t>
  </si>
  <si>
    <t>PEDRO MEZO AMAZAR</t>
  </si>
  <si>
    <t>MEAP650629HVZZZD01</t>
  </si>
  <si>
    <t>DARWIN MARTIN RODRIGUEZ FLORES</t>
  </si>
  <si>
    <t>ROFD631111HYNDLR09</t>
  </si>
  <si>
    <t>MARTHA ALICIA ORSUA SANTOS</t>
  </si>
  <si>
    <t>OUSM670516MCLRNR03</t>
  </si>
  <si>
    <t>JOSE MORALES MORALES</t>
  </si>
  <si>
    <t>03584201580</t>
  </si>
  <si>
    <t>MOMJ420807HNLRRS07</t>
  </si>
  <si>
    <t>INBURSA, EXITUS</t>
  </si>
  <si>
    <t xml:space="preserve">JUAN MARTIN OLMOS MUÑOZ </t>
  </si>
  <si>
    <t>OOMJ660130HCLLXN09</t>
  </si>
  <si>
    <t>JULIO MARCIAL DZUL COLLI</t>
  </si>
  <si>
    <t xml:space="preserve"> 84816111276</t>
  </si>
  <si>
    <t>DUCJ610522HYNZLL06</t>
  </si>
  <si>
    <t>ALEJANDRO VALDEZ SANCHEZ</t>
  </si>
  <si>
    <t>AASA640209HVZLNL01</t>
  </si>
  <si>
    <t>IRASEMA</t>
  </si>
  <si>
    <t xml:space="preserve">JUAN GERARDO FRIZZI PEREZ </t>
  </si>
  <si>
    <t>FIPJ660418HDFRRN07</t>
  </si>
  <si>
    <t>JUAN CHAVEZ PEQUEÑO</t>
  </si>
  <si>
    <t>CAPJ470624HTSHQN02</t>
  </si>
  <si>
    <t>LIDIA GARZA</t>
  </si>
  <si>
    <t xml:space="preserve">GLORIA ESTELA TREJO ORTIZ </t>
  </si>
  <si>
    <t xml:space="preserve">TEOG610401MDGRRL04 </t>
  </si>
  <si>
    <t>PATRICIA CARDIEL AVILA</t>
  </si>
  <si>
    <t>33906012688</t>
  </si>
  <si>
    <t>CAAP651106MCHRVT08</t>
  </si>
  <si>
    <t>MAXIMILIANO HERNANDEZ PEREZ</t>
  </si>
  <si>
    <t>HEPM660126HDFRRX02</t>
  </si>
  <si>
    <t xml:space="preserve">FRANCISCO HERRERA JUAREZ </t>
  </si>
  <si>
    <t>72917207143</t>
  </si>
  <si>
    <t>HEJF720908HGRRRR00</t>
  </si>
  <si>
    <t>BENJAMIN SANCHEZ ODRIOZOLA</t>
  </si>
  <si>
    <t>SAOB650219HDFNDN08</t>
  </si>
  <si>
    <t>KARINA</t>
  </si>
  <si>
    <t xml:space="preserve">NCOLAS PACHECO LOPEZ </t>
  </si>
  <si>
    <t>PALN651206HOCCPC01</t>
  </si>
  <si>
    <t>MARIA DE JESUS TORRES GARCIA</t>
  </si>
  <si>
    <t>04674715331</t>
  </si>
  <si>
    <t>TOGJ521010MJCRRS06</t>
  </si>
  <si>
    <t>MARIA FILOMENA ASELA GARCIA MONTALVO</t>
  </si>
  <si>
    <t>GAMF570622MTLRNL11</t>
  </si>
  <si>
    <t>JOSE LUIS JAIME IRIGOYEN RIVERA</t>
  </si>
  <si>
    <t>IIRL530125HDFRVS00</t>
  </si>
  <si>
    <t xml:space="preserve">MIGUEL ANGEL NAVARRO SANCHEZ </t>
  </si>
  <si>
    <t>NASM651001HZSVNG00</t>
  </si>
  <si>
    <t>J. GUADALUPE MEDINA ESPARZA</t>
  </si>
  <si>
    <t>MEEG520415HASDSD07</t>
  </si>
  <si>
    <t>MARCO ANTONIO HERNANDEZ RAMIREZ</t>
  </si>
  <si>
    <t>42806124360</t>
  </si>
  <si>
    <t>HERM610408HDFRMR06</t>
  </si>
  <si>
    <t xml:space="preserve">ARMANDO OROPEZA MORALES </t>
  </si>
  <si>
    <t>OOMA650927HDFRRR09</t>
  </si>
  <si>
    <t>HUGO MARTINEZ LOPEZ</t>
  </si>
  <si>
    <t>MALH640112HDFRPG09</t>
  </si>
  <si>
    <t xml:space="preserve">ISMAEL MORENO AGUILAR </t>
  </si>
  <si>
    <t>MOAI610401HJCRGS07</t>
  </si>
  <si>
    <t>GFI APOYO</t>
  </si>
  <si>
    <t xml:space="preserve">Clara Sánchez blanco </t>
  </si>
  <si>
    <t xml:space="preserve">49815813156 </t>
  </si>
  <si>
    <t>SARA581002HVZNML04</t>
  </si>
  <si>
    <t xml:space="preserve">Naybe Orozco Montoya </t>
  </si>
  <si>
    <t>OOMN650510HCLRNY01</t>
  </si>
  <si>
    <t>RAUL LEOPOLDO RAMIREZ MORENO</t>
  </si>
  <si>
    <t xml:space="preserve">11786021219
</t>
  </si>
  <si>
    <t>RAMR600615HDFMRL07</t>
  </si>
  <si>
    <t>ENRIQUE FLORES AGUILAR</t>
  </si>
  <si>
    <t xml:space="preserve">43725236269
</t>
  </si>
  <si>
    <t>FOAE520715HTSLGN09</t>
  </si>
  <si>
    <t>JOSE RUIZ SILVA</t>
  </si>
  <si>
    <t>04745711715</t>
  </si>
  <si>
    <t>RUSJ580421HJCZLS01</t>
  </si>
  <si>
    <t>BLANCA LETICIA TORRES HERNANDEZ</t>
  </si>
  <si>
    <t>0-3816461044</t>
  </si>
  <si>
    <t>TOHB640912MNLRRL07</t>
  </si>
  <si>
    <t>JULIO GARCIA VIERA</t>
  </si>
  <si>
    <t>GAVJ660619HCLRRL05</t>
  </si>
  <si>
    <t>877 131 3136</t>
  </si>
  <si>
    <t>RAYMUNDO VALDES</t>
  </si>
  <si>
    <t>06795905360</t>
  </si>
  <si>
    <t>JUAN TREJO GALVAN</t>
  </si>
  <si>
    <t>32846678228</t>
  </si>
  <si>
    <t>ANTONIO AGUILAR ZEPEDA</t>
  </si>
  <si>
    <t>01674449622</t>
  </si>
  <si>
    <t>AUZA450830HDFGPN08</t>
  </si>
  <si>
    <t>55 4135 7549</t>
  </si>
  <si>
    <t>MIGUEL BAENA LOERA</t>
  </si>
  <si>
    <t>BALM601108HCLNRG06</t>
  </si>
  <si>
    <t xml:space="preserve">FERNANDO SOTO MENDOZA </t>
  </si>
  <si>
    <t>83806230237</t>
  </si>
  <si>
    <t xml:space="preserve">ZENAIDA IMPERIAL DURAN </t>
  </si>
  <si>
    <t>23855104669</t>
  </si>
  <si>
    <t>IEDZ500127MCHMRN03</t>
  </si>
  <si>
    <t xml:space="preserve">ARMANDO ELESVAN CHEVEZ GOMEZ </t>
  </si>
  <si>
    <t>CXGA641027HHGHMR01</t>
  </si>
  <si>
    <t>MIRIAM GABRIELA SANCHEZ NAVARRO</t>
  </si>
  <si>
    <t>VAOF721116HSLLRD07</t>
  </si>
  <si>
    <t>FELIPE DE JESUS RAMOS GASTELUM</t>
  </si>
  <si>
    <t>RAGF570206HSRMSL02</t>
  </si>
  <si>
    <t>JUAN CUEVAS POLANCO</t>
  </si>
  <si>
    <t>CUPJ580624HSLVLN02</t>
  </si>
  <si>
    <t>ADRIANA DEL ROSARIO MARTINEZ MELENDEZ</t>
  </si>
  <si>
    <t xml:space="preserve"> 41957716446</t>
  </si>
  <si>
    <t>MAMA770530MSPRLD00</t>
  </si>
  <si>
    <t>DANIEL MARTINEZ GARZA</t>
  </si>
  <si>
    <t>MAGD621226HNLRRN01</t>
  </si>
  <si>
    <t>JOSE ACENSION RODRIGUEZ GONZALEZ</t>
  </si>
  <si>
    <t>ROGA64640825HSRDNC06</t>
  </si>
  <si>
    <t>EFRAIN CAUICH BASTO</t>
  </si>
  <si>
    <t xml:space="preserve">CABE590117HYNCSF07 </t>
  </si>
  <si>
    <t>JOSE LUIS RAMOS RAMIREZ</t>
  </si>
  <si>
    <t>01745512788</t>
  </si>
  <si>
    <t>RARL550105HVZMMS01</t>
  </si>
  <si>
    <t>FABIOLA YUDID GONZALEZ RUIZ</t>
  </si>
  <si>
    <t>GORF831221MMNNZB00</t>
  </si>
  <si>
    <t>FRANCISCO MORALES LIMON</t>
  </si>
  <si>
    <t>MOLF481228HSPRMR05</t>
  </si>
  <si>
    <t>ENRIQUE EFREN VEGA RAMIREZ</t>
  </si>
  <si>
    <t>78835500972</t>
  </si>
  <si>
    <t>VERE550618HPLGMN04</t>
  </si>
  <si>
    <t>MARIA DEL SOL ALVARADO PAULIN</t>
  </si>
  <si>
    <t>AAPS800308MDFLLL03</t>
  </si>
  <si>
    <t>JESUS ALBERTO JARA RODARTE</t>
  </si>
  <si>
    <t>23967845902</t>
  </si>
  <si>
    <t>JARJ780903HSLRDS03</t>
  </si>
  <si>
    <t>Arturo saul Vergara Vázquez</t>
  </si>
  <si>
    <t>VEVA640927HPLRZR04</t>
  </si>
  <si>
    <t>JOSE ALFREDO GUTIERREZ SANTOS</t>
  </si>
  <si>
    <t>GUSA750112HCLTNL08</t>
  </si>
  <si>
    <t>TRINIDAD FAVELA NAVAR</t>
  </si>
  <si>
    <t>FANT641004MDGVVR03</t>
  </si>
  <si>
    <t xml:space="preserve">Gumersindo Estevez Cruz </t>
  </si>
  <si>
    <t>6567501004</t>
  </si>
  <si>
    <t>EECG491014HVZSRM08</t>
  </si>
  <si>
    <t>DANIEL GARMA MORENO</t>
  </si>
  <si>
    <t>GAMD620719HVZRRN00</t>
  </si>
  <si>
    <t xml:space="preserve">Alicia Reyes Castellanos </t>
  </si>
  <si>
    <t xml:space="preserve">15805102454 </t>
  </si>
  <si>
    <t xml:space="preserve">RECA720616MPLYSL04 </t>
  </si>
  <si>
    <t>RAQUEL REYES FERNANDEZ</t>
  </si>
  <si>
    <t>REFR480802HCSYRQ00</t>
  </si>
  <si>
    <t>Rogelio Estrada Garcia</t>
  </si>
  <si>
    <t>3624700450</t>
  </si>
  <si>
    <t xml:space="preserve">EAGR470901HNLSRG17 </t>
  </si>
  <si>
    <t>ALFONSO GARCIA GONZALEZ</t>
  </si>
  <si>
    <t>GAGA570123HTSRNL02</t>
  </si>
  <si>
    <t>ALFREDO SIERRA LOPEZ</t>
  </si>
  <si>
    <t xml:space="preserve">SILA530404HGTRPL02 </t>
  </si>
  <si>
    <t>JOSE MORENO PATRICIO</t>
  </si>
  <si>
    <t>MOPJ600801HHGRTS09</t>
  </si>
  <si>
    <t>GERARDO FLORES TAPIA</t>
  </si>
  <si>
    <t>FOTG701005HDFLPR00</t>
  </si>
  <si>
    <t xml:space="preserve">BERTHA SUSANA THOMAS TORRES </t>
  </si>
  <si>
    <t>21644612513</t>
  </si>
  <si>
    <t>TOTB461016MBCHRR04</t>
  </si>
  <si>
    <t xml:space="preserve">GABRIELA ROSA CASTILLO SANCHEZ </t>
  </si>
  <si>
    <t xml:space="preserve">10836720507
</t>
  </si>
  <si>
    <t>CASG700929MDFSNB05</t>
  </si>
  <si>
    <t>LUCIANO NUÑEZ ZAVALETA</t>
  </si>
  <si>
    <t xml:space="preserve">62917333049
</t>
  </si>
  <si>
    <t>NUZL630408HVZXVC09</t>
  </si>
  <si>
    <t>JOSE ALFREDO DE LARA PUEBLA</t>
  </si>
  <si>
    <t>LAPA650108HDGRBL04</t>
  </si>
  <si>
    <t xml:space="preserve"> JESUS PRISCILIANO MARTINEZ RIVERA</t>
  </si>
  <si>
    <t>MARJ580104HNLRVS02</t>
  </si>
  <si>
    <t>BEATRIZ CARBALLO COTA</t>
  </si>
  <si>
    <t xml:space="preserve">CACB620412MBSRTT08 </t>
  </si>
  <si>
    <t>FELIPE DE JESUS RODRIGUEZ</t>
  </si>
  <si>
    <t>J. JAIME CHAVEZ LOPEZ</t>
  </si>
  <si>
    <t>CALJ600919HJCHPM03</t>
  </si>
  <si>
    <t>FILIBERTO HERRERA VIDAL</t>
  </si>
  <si>
    <t>HEVF600606HPLRDL06</t>
  </si>
  <si>
    <t>PATRICIA VEGA GUTIERREZ</t>
  </si>
  <si>
    <t>VEGP631111MDFGTT08</t>
  </si>
  <si>
    <t>Gilberto Gonzalez pacheco</t>
  </si>
  <si>
    <t>JOSE LUIS SANCHEZ RAMIREZ</t>
  </si>
  <si>
    <t>SARL640428HDGNMS00</t>
  </si>
  <si>
    <t>DARIO FERNANDO LOPEZ TREJO</t>
  </si>
  <si>
    <t>LOTD541219HDFPRR10</t>
  </si>
  <si>
    <t>MA. DEL ROCIO ALVAREZ VELEZ</t>
  </si>
  <si>
    <t xml:space="preserve">12816005966
</t>
  </si>
  <si>
    <t>AAVR710529MGTLLC08</t>
  </si>
  <si>
    <t>Fracisco Castro Garcia</t>
  </si>
  <si>
    <t xml:space="preserve">CAGF510723HDFSRR08 </t>
  </si>
  <si>
    <t>JAIME RAMIREZ CANALES</t>
  </si>
  <si>
    <t>01775666643</t>
  </si>
  <si>
    <t>RACJ560426HDFMNM08</t>
  </si>
  <si>
    <t>LUZ DEL CARMEN VALADEZ GONZALEZ</t>
  </si>
  <si>
    <t>VAGL721021MDFLNZ06</t>
  </si>
  <si>
    <t>55 8564 8614</t>
  </si>
  <si>
    <t>NOE FLORES GALVAN</t>
  </si>
  <si>
    <t>FOGN641210HNLLLX00</t>
  </si>
  <si>
    <t>MA. DEL PILAR HERNANDEZ RAMIREZ</t>
  </si>
  <si>
    <t>41926400041</t>
  </si>
  <si>
    <t>HERP721012MSPRML08</t>
  </si>
  <si>
    <t>SONIA</t>
  </si>
  <si>
    <t>24796029460</t>
  </si>
  <si>
    <t>BARACAF</t>
  </si>
  <si>
    <t>FRANCISCO JAVIER SAENZ</t>
  </si>
  <si>
    <t>SAXF590531HCHNXR01</t>
  </si>
  <si>
    <t>ESTEBAN PECH MEX</t>
  </si>
  <si>
    <t>PEME631226HYNCXS09</t>
  </si>
  <si>
    <t>AARON NORATO GARCIA</t>
  </si>
  <si>
    <t>67887301868</t>
  </si>
  <si>
    <t>NOGA730701HVZRRR00</t>
  </si>
  <si>
    <t>JESUS PEREZ ARTEAGA</t>
  </si>
  <si>
    <t>PEAJ781016HVZRRS06</t>
  </si>
  <si>
    <t>ENRIQUE MARTINEZ RAMIREZ</t>
  </si>
  <si>
    <t>03816313021</t>
  </si>
  <si>
    <t>MARE630830HNLRMN05</t>
  </si>
  <si>
    <t>JESUS URQUIETA CONTRERAS</t>
  </si>
  <si>
    <t>04826307649</t>
  </si>
  <si>
    <t>UUCJ630527HJCRNS07</t>
  </si>
  <si>
    <t>NOEMI GUILLEN CHAVEZ</t>
  </si>
  <si>
    <t>GUCN571117MNTLHM05</t>
  </si>
  <si>
    <t>CAROLINA</t>
  </si>
  <si>
    <t>MARIBEL AGUILAR LOREDO</t>
  </si>
  <si>
    <t>AULM630715MSPGRR01</t>
  </si>
  <si>
    <t>David Aquino Guerrero</t>
  </si>
  <si>
    <t>AUGD770324HTSQRV01</t>
  </si>
  <si>
    <t>BARTOLO GALLARDO GARCIA</t>
  </si>
  <si>
    <t>GAGB630327HGRLRR05</t>
  </si>
  <si>
    <t>GUILLERMO JIMENEZ SOBERANES</t>
  </si>
  <si>
    <t>JISG570317HDFMBL07</t>
  </si>
  <si>
    <t>ANGELICA MARIA ACUÑA MARTINEZ</t>
  </si>
  <si>
    <t>AUMA641124MCCCRN03</t>
  </si>
  <si>
    <t>J. JESUS SANTANA SAUCEDO</t>
  </si>
  <si>
    <t>SASJ590906HGTNCS01</t>
  </si>
  <si>
    <t>ARMANDO DE LEON MARTINEZ</t>
  </si>
  <si>
    <t>LEMA640827HTSNRR04</t>
  </si>
  <si>
    <t>LIBERTAD</t>
  </si>
  <si>
    <t>Francisco Gonzalez Gutierrez</t>
  </si>
  <si>
    <t xml:space="preserve">52786107061
</t>
  </si>
  <si>
    <t>GOGF610805HCMNTR13</t>
  </si>
  <si>
    <t>CARLOS BARBOZA MORALES</t>
  </si>
  <si>
    <t>BAMC631103HDGRRR08</t>
  </si>
  <si>
    <t>MAGALI</t>
  </si>
  <si>
    <t>FRANCISCO VALENCIA VEGA</t>
  </si>
  <si>
    <t>VAVF480229HDFLGR04</t>
  </si>
  <si>
    <t>Ricardo Sierra Garcia</t>
  </si>
  <si>
    <t>33836661000</t>
  </si>
  <si>
    <t>SIGR660306HCHRRC07</t>
  </si>
  <si>
    <t>JOSE LUIS RODRIGUEZ TADEO</t>
  </si>
  <si>
    <t>ROTL650319HNTDDS02</t>
  </si>
  <si>
    <t>JUAN ANDRES LOPEZ GOMEZ</t>
  </si>
  <si>
    <t>LOGJ050815HCSPMNA7</t>
  </si>
  <si>
    <t>VALENTIN CRUZ SANTIAGO</t>
  </si>
  <si>
    <t>CUSV620214HVZRNL04</t>
  </si>
  <si>
    <t>Aaron Roldán Franco</t>
  </si>
  <si>
    <t>ROFA770701HCLLRR17</t>
  </si>
  <si>
    <t>GABRIELA GONZALES SANTILLAN</t>
  </si>
  <si>
    <t>GOSG700205MDFNNB01</t>
  </si>
  <si>
    <t>MARTIN RODRIGUEZ MEDINA</t>
  </si>
  <si>
    <t>ROMM660202HCLDDR00</t>
  </si>
  <si>
    <t>Francisco Moran Marquez</t>
  </si>
  <si>
    <t>MOMF630308HDFRRR01</t>
  </si>
  <si>
    <t>CESAR ALEJANDRO MANRIQUEZ CERVANTES</t>
  </si>
  <si>
    <t>MACC770514HCLNRS02</t>
  </si>
  <si>
    <t>ESTELA DE JESUS MALDONADO</t>
  </si>
  <si>
    <t>JEME451115MQTSLS08</t>
  </si>
  <si>
    <t>MAYTE</t>
  </si>
  <si>
    <t>MANUEL RIVERA</t>
  </si>
  <si>
    <t>01765156169</t>
  </si>
  <si>
    <t>RIXM510527HDFVXN03</t>
  </si>
  <si>
    <t>RENE MUÑOZ SILVA</t>
  </si>
  <si>
    <t>MUSR520826HJCXLN01</t>
  </si>
  <si>
    <t>Ma. Alejandra de fatima delgadillo ricalde</t>
  </si>
  <si>
    <t xml:space="preserve">96875802629
</t>
  </si>
  <si>
    <t>DERA581014MDFLCL05</t>
  </si>
  <si>
    <t>J JESUS HERNANDEZ MENDOZA</t>
  </si>
  <si>
    <t>HEMJ420417HJCRNS00</t>
  </si>
  <si>
    <t>33 6059 4489</t>
  </si>
  <si>
    <t>RAFAELA ADELA TAPIA OSNAYA</t>
  </si>
  <si>
    <t>TAOR521024MDFPSF08</t>
  </si>
  <si>
    <t>MARTIN HERNANDEZ GODINEZ</t>
  </si>
  <si>
    <t>HEGM620130HDFRDR06</t>
  </si>
  <si>
    <t xml:space="preserve">MARIA DEL CARMEN CASTILLO CORDOVA </t>
  </si>
  <si>
    <t>12917118791</t>
  </si>
  <si>
    <t>CACC791120MGTSRR05</t>
  </si>
  <si>
    <t>DOLORES DEL CARMEN SALDIVAR SANTINI</t>
  </si>
  <si>
    <t>SASD530929MCHLNL08</t>
  </si>
  <si>
    <t>PRE15NA</t>
  </si>
  <si>
    <t>Ma de la luz martinez vazquez</t>
  </si>
  <si>
    <t>49895700083</t>
  </si>
  <si>
    <t>MAVL570107MTSRZZ00</t>
  </si>
  <si>
    <t>Jose Carrion Ramos</t>
  </si>
  <si>
    <t xml:space="preserve">33725006846
</t>
  </si>
  <si>
    <t>CARJ501217HDGRMS06</t>
  </si>
  <si>
    <t>SANDRA PACHECO ACOSTA</t>
  </si>
  <si>
    <t xml:space="preserve">24735304271
</t>
  </si>
  <si>
    <t>PAAS531015MSRCCN07</t>
  </si>
  <si>
    <t>CONSUBANCO, OPCIPRES</t>
  </si>
  <si>
    <t>FEDERICO GONZALEZ GONZALEZ</t>
  </si>
  <si>
    <t>GOGF610302HVZNND06</t>
  </si>
  <si>
    <t>JOSE JAVIER RIOS DEL TORO</t>
  </si>
  <si>
    <t>RITJ630927HSRSRV00</t>
  </si>
  <si>
    <t xml:space="preserve">SERGIO ORTIZ GUZMÁN </t>
  </si>
  <si>
    <t>OIGS621018HDFRZR00</t>
  </si>
  <si>
    <t xml:space="preserve">MARGARITA RONZON RUIZ </t>
  </si>
  <si>
    <t>RORM720221MVZNZR09</t>
  </si>
  <si>
    <t>MANUEL JESUS MATU SULU</t>
  </si>
  <si>
    <t>MASM630905HYNTLN01</t>
  </si>
  <si>
    <t>SERGIO CASTILLO LOPEZ</t>
  </si>
  <si>
    <t>CALS650123HMSSPR09</t>
  </si>
  <si>
    <t>YANCARLOS SAENZ RAMIREZ</t>
  </si>
  <si>
    <t>SARY890813HCHNMN07</t>
  </si>
  <si>
    <t>LUIS ALBERTO RAMIREZ LOPEZ</t>
  </si>
  <si>
    <t>RALL870805HTCMPS00</t>
  </si>
  <si>
    <t>OLANDO REYES TORRES</t>
  </si>
  <si>
    <t>RETO590815HVZYRL07</t>
  </si>
  <si>
    <t>XOCHITL LIZETTE ORTIZ VAZQUEZ</t>
  </si>
  <si>
    <t>OIVX730224MJCRZC06</t>
  </si>
  <si>
    <t>Peña Vázquez Eduardo</t>
  </si>
  <si>
    <t xml:space="preserve">JAIME RAMOS MONTEJO </t>
  </si>
  <si>
    <t>RAMJ620219HTCMNM00</t>
  </si>
  <si>
    <t>MARIA ANTONIA REYES MONTALVO</t>
  </si>
  <si>
    <t xml:space="preserve">6585680682
</t>
  </si>
  <si>
    <t>REMA690203MVZYNN04</t>
  </si>
  <si>
    <t xml:space="preserve">ROSA MARIA PINEDA GONZALEZ </t>
  </si>
  <si>
    <t>06715257322</t>
  </si>
  <si>
    <t>PIGR480827MDFNNS08</t>
  </si>
  <si>
    <t>NORBERTO OLVERA RUBIO</t>
  </si>
  <si>
    <t>01806407738</t>
  </si>
  <si>
    <t>OERN640502HGTLBR09</t>
  </si>
  <si>
    <t>JOSE LUIS BARROSO MARTINEZ</t>
  </si>
  <si>
    <t>01715128755</t>
  </si>
  <si>
    <t>BAML511005HDFRRS09</t>
  </si>
  <si>
    <t>33 4248 7603</t>
  </si>
  <si>
    <t>OSCAR FIDEL VILLANUEVA HERNANDEZ</t>
  </si>
  <si>
    <t>VIHO740203HTSLRS08</t>
  </si>
  <si>
    <t xml:space="preserve">HECTOR IBARGUEN CARMONA </t>
  </si>
  <si>
    <t>IACH540928HZSBRC01</t>
  </si>
  <si>
    <t>René Herrera nava</t>
  </si>
  <si>
    <t xml:space="preserve">1385691364
</t>
  </si>
  <si>
    <t>HENR721106HMSRVN06</t>
  </si>
  <si>
    <t>JOSE EMILIO REYES RODRIGUEZ</t>
  </si>
  <si>
    <t>0-178512264</t>
  </si>
  <si>
    <t>RERE570805HDFYDM06</t>
  </si>
  <si>
    <t>JUANA MARTINEZ GONZALEZ</t>
  </si>
  <si>
    <t>0-3695264600</t>
  </si>
  <si>
    <t>MAGJ520827MNLRNN02</t>
  </si>
  <si>
    <t>CARLOS GARCIA LUNA</t>
  </si>
  <si>
    <t>0-2975260023</t>
  </si>
  <si>
    <t>GALC521104HPLRNR01</t>
  </si>
  <si>
    <t>ERNESTO GUADALUPE SERNA GARCIA</t>
  </si>
  <si>
    <t>SEGE601107HZSRRR06</t>
  </si>
  <si>
    <t xml:space="preserve">RANULFO GUZMAN TERESO </t>
  </si>
  <si>
    <t xml:space="preserve">GUTR640527HMCZRN08 </t>
  </si>
  <si>
    <t>GILBERTO AGUILAR FLORES</t>
  </si>
  <si>
    <t>2378610244 4</t>
  </si>
  <si>
    <t>LILIA MIRANDA SALINAS</t>
  </si>
  <si>
    <t>MISL640719MDFRLL01</t>
  </si>
  <si>
    <t>ADRIANA POBLANO TAMEZ</t>
  </si>
  <si>
    <t>POTA600207MNLBMD03</t>
  </si>
  <si>
    <t>ALFREDO MEDINA SILVA</t>
  </si>
  <si>
    <t>MESA610102HVZDLL08</t>
  </si>
  <si>
    <t>JESUS PALACIO ESTEVEZ</t>
  </si>
  <si>
    <t>PAEJ640529HDFLSS06</t>
  </si>
  <si>
    <t>FELIPE BAEZ VELAZQUEZ</t>
  </si>
  <si>
    <t>BAVF590205HPLZLL00</t>
  </si>
  <si>
    <t>MIGUEL ECLICERIO SOTO ALVAREZ</t>
  </si>
  <si>
    <t>SOAM600404HMNTLG09</t>
  </si>
  <si>
    <t>BELISARIO SANCRISTOBAL LOPEZ</t>
  </si>
  <si>
    <t>SALB491216HCSNPL00</t>
  </si>
  <si>
    <t>JORGE LUIS ARAUJO GOMEZ</t>
  </si>
  <si>
    <t>AAGJ750913HSPRMR03</t>
  </si>
  <si>
    <t>481 113 2890</t>
  </si>
  <si>
    <t xml:space="preserve"> JOSE VENTURA DE LA PAZ MACEDO</t>
  </si>
  <si>
    <t>PAMV620714HMNZCN02</t>
  </si>
  <si>
    <t>CRUZ JANETH ZAZUETA DORADO</t>
  </si>
  <si>
    <t>23917426001</t>
  </si>
  <si>
    <t>ZADC820215MCLZRR08</t>
  </si>
  <si>
    <t>SANTIAGO ESQUIVEL MORENO</t>
  </si>
  <si>
    <t>EUMS620725HMCSRN04</t>
  </si>
  <si>
    <t>JOSE FERNANDO MURILLO VALDEZ</t>
  </si>
  <si>
    <t>MUVF650427HSLRLR01</t>
  </si>
  <si>
    <t xml:space="preserve">ROBERTO GONZALEZ LARIOS </t>
  </si>
  <si>
    <t>ARTURO MEZA</t>
  </si>
  <si>
    <t xml:space="preserve">12856506352
</t>
  </si>
  <si>
    <t>MEXA650101HGTZXR05</t>
  </si>
  <si>
    <t>MICAELA ESTELA GARCIA MORALES</t>
  </si>
  <si>
    <t>GAMM600929MDFRRC01</t>
  </si>
  <si>
    <t>FELICIANA SALAZAR SANCHEZ</t>
  </si>
  <si>
    <t>SASF640225MSPLNL01</t>
  </si>
  <si>
    <t>JOSE GUADALUPE AVILA OLVERA</t>
  </si>
  <si>
    <t>AIOG611212HMSVLD08</t>
  </si>
  <si>
    <t>LUCIA FIDELIA RUELAS SOLIS</t>
  </si>
  <si>
    <t>RUSL791213MSLLLC04</t>
  </si>
  <si>
    <t>ERNESTINA ZAMORA VEGA</t>
  </si>
  <si>
    <t>ZAVE660606MSLMGR05</t>
  </si>
  <si>
    <t>09907208483</t>
  </si>
  <si>
    <t>JOSE DE JESUS PEREZ GUTIERREZ</t>
  </si>
  <si>
    <t>PEGJ640723HGTRTS08</t>
  </si>
  <si>
    <t>LORENZO TORRES DELGADO</t>
  </si>
  <si>
    <t>TODL591110HGTRLR06</t>
  </si>
  <si>
    <t>MACARIA BALDERAS LOPEZ</t>
  </si>
  <si>
    <t>BALM650118MTSLPC09</t>
  </si>
  <si>
    <t>DXN EXPRESS</t>
  </si>
  <si>
    <t>Ramona Martinez Carrillo</t>
  </si>
  <si>
    <t>32866909057</t>
  </si>
  <si>
    <t>MACR710420MTSRRM09</t>
  </si>
  <si>
    <t>Enrique Ruiz Abarca</t>
  </si>
  <si>
    <t xml:space="preserve">78796110779
</t>
  </si>
  <si>
    <t>RUAE630715HCSZBN07</t>
  </si>
  <si>
    <t>ADRIAN LOPEZ PEREZ</t>
  </si>
  <si>
    <t>LOPA630707HDFPRD00</t>
  </si>
  <si>
    <t>FAUSTINO SAUCEDO MEDINA</t>
  </si>
  <si>
    <t>SAMF570101HZSCDS17</t>
  </si>
  <si>
    <t>MARIA MINERVA ROJAS ZUÑIGA</t>
  </si>
  <si>
    <t>41927417141</t>
  </si>
  <si>
    <t>FLORENTINO MARTINEZ CID</t>
  </si>
  <si>
    <t>MACF611027HZSRDL08</t>
  </si>
  <si>
    <t xml:space="preserve">JESUS GUERRERO MORALES </t>
  </si>
  <si>
    <t>GUMJ520301HGRRRS05</t>
  </si>
  <si>
    <t xml:space="preserve">ISAI VALDEZ MADRID </t>
  </si>
  <si>
    <t>VAMI500915HCSLDS00</t>
  </si>
  <si>
    <t>ALFREDO ARROYO ESTRELLA</t>
  </si>
  <si>
    <t>AOEA740621HGTRSL09</t>
  </si>
  <si>
    <t>GUILLERMO RAMOS LIMON</t>
  </si>
  <si>
    <t>RALG520625HVZMML06</t>
  </si>
  <si>
    <t>JOSE LUIS LOPEZ CANALES</t>
  </si>
  <si>
    <t>0185651973</t>
  </si>
  <si>
    <t>LOCL650412HPLPNS06</t>
  </si>
  <si>
    <t>MARIA ESTHER DIAZ YAÑEZ</t>
  </si>
  <si>
    <t>DIYE591109MVZZXS00</t>
  </si>
  <si>
    <t>ROMUALDO CHACON PERALES</t>
  </si>
  <si>
    <t>CAPR600207HNLHRM03</t>
  </si>
  <si>
    <t xml:space="preserve">ABELARDO VALDIVIA SANDOVAL </t>
  </si>
  <si>
    <t>VASA630107HNLLNB00</t>
  </si>
  <si>
    <t>VICENTE BELTRAN SERRANO</t>
  </si>
  <si>
    <t>BESV631202HDFLRC05</t>
  </si>
  <si>
    <t>VICTOR MARTIN VELEZ HERNANDEZ</t>
  </si>
  <si>
    <t>VEHV641229HDFLRC03</t>
  </si>
  <si>
    <t>MARIA ESTHER GARCIA ZAMUDIO</t>
  </si>
  <si>
    <t>GAZE480228MVZRMS01</t>
  </si>
  <si>
    <t>JESUS CALDERON RODRIGUEZ</t>
  </si>
  <si>
    <t>CARJ550903HNLLDS03</t>
  </si>
  <si>
    <t>EDUARDO ACEVEDO PORTILLA</t>
  </si>
  <si>
    <t>AEPE620318HVZCRD04</t>
  </si>
  <si>
    <t>81 3418 4962</t>
  </si>
  <si>
    <t>CARLOS SANCHEZ FERRO</t>
  </si>
  <si>
    <t xml:space="preserve">49866869446
</t>
  </si>
  <si>
    <t>SAFC680313HTSNRR09</t>
  </si>
  <si>
    <t xml:space="preserve">DELFINA CORDOVA QUINTANA </t>
  </si>
  <si>
    <t>01744211119</t>
  </si>
  <si>
    <t>COQD521119MGRRNL01</t>
  </si>
  <si>
    <t>SERGIO ROJAS CASTAÑEDA</t>
  </si>
  <si>
    <t>ROCS610915HGRJSR02</t>
  </si>
  <si>
    <t xml:space="preserve">LORENA ZUÑIGA JERONIMO </t>
  </si>
  <si>
    <t>ZUJL680401MTSXRR17</t>
  </si>
  <si>
    <t>ROGELIO ZUÑIGA MARTINEZ</t>
  </si>
  <si>
    <t>ZUMR611211HHGXRG02</t>
  </si>
  <si>
    <t>JOSE JUAN MIRANDA HERNANDEZ</t>
  </si>
  <si>
    <t>MIHJ610227HNLRRN05</t>
  </si>
  <si>
    <t>VICENTE ROMAN PALOMO</t>
  </si>
  <si>
    <t xml:space="preserve">43795726058
</t>
  </si>
  <si>
    <t>ROPV570719HNLMLC03</t>
  </si>
  <si>
    <t>MA. ANGELICA TREVIÑO LEGASPI</t>
  </si>
  <si>
    <t xml:space="preserve">43745110411
</t>
  </si>
  <si>
    <t>TELA680615MNLRGN01</t>
  </si>
  <si>
    <t>JOSE JESUS DAMIAN</t>
  </si>
  <si>
    <t>DAXJ540506HGTMXS05</t>
  </si>
  <si>
    <t>LETICIA GABRIELA CHAVEZ GUTIERREZ</t>
  </si>
  <si>
    <t>CAGL700909MDFHTT03</t>
  </si>
  <si>
    <t> Eleuterio Saldaña Rochel</t>
  </si>
  <si>
    <t>SARE780220HCLLCL04</t>
  </si>
  <si>
    <t>EDUARDO CANALES BUSTAMANTE</t>
  </si>
  <si>
    <t>43786169219</t>
  </si>
  <si>
    <t>CABE610206HNLNSD02</t>
  </si>
  <si>
    <t>GUILLERMO LOPEZ DEL RIVERO</t>
  </si>
  <si>
    <t xml:space="preserve">04796200832
</t>
  </si>
  <si>
    <t>LORG620828HVZPVL02</t>
  </si>
  <si>
    <t>FLAVIO VILLARREAL CEPEDA</t>
  </si>
  <si>
    <t>VICF531117HNLLPL01</t>
  </si>
  <si>
    <t>ROSENDO CRUZ ANGELINA</t>
  </si>
  <si>
    <t>CUAR630301HVZRNS07</t>
  </si>
  <si>
    <t>CONUSUBANCO</t>
  </si>
  <si>
    <t>Pablo Manuel Pérez Aguilar</t>
  </si>
  <si>
    <t xml:space="preserve">6755834311
</t>
  </si>
  <si>
    <t>PEAP580605HDFRGB05</t>
  </si>
  <si>
    <t>MARCO ANTONIO FLORES NIEBLAS</t>
  </si>
  <si>
    <t xml:space="preserve">54786102423
</t>
  </si>
  <si>
    <t>FONM610716HJCLBR05</t>
  </si>
  <si>
    <t>CONSTANTINO JOAQUIN SEVERIANO</t>
  </si>
  <si>
    <t>JOSC591231HOCQVN04</t>
  </si>
  <si>
    <t>DULCE</t>
  </si>
  <si>
    <t>JESUS ROLANDO RAMIREZ PINEDO</t>
  </si>
  <si>
    <t>RAPJ581121HZSMNS08</t>
  </si>
  <si>
    <t>Alberto Villalobos García</t>
  </si>
  <si>
    <t>VIGA610209HZSLRL00</t>
  </si>
  <si>
    <t>ERNESTINA DEL CARMEN PIÑA ORTEGA</t>
  </si>
  <si>
    <t>PIOE661128MYNXRR04</t>
  </si>
  <si>
    <t>JOSE CRUZ ALEJANDRO SANCHEZ DELGADO</t>
  </si>
  <si>
    <t>SADC640503HTLNLR07</t>
  </si>
  <si>
    <t>SALVADORA CRUZ VALDEZ</t>
  </si>
  <si>
    <t>CUVS631109MJCRLL05</t>
  </si>
  <si>
    <t>RODOLFO MENDOZA KANAGUSICO</t>
  </si>
  <si>
    <t>MEKR670926HCLNND06</t>
  </si>
  <si>
    <t>Alejandra Teran Mendoza</t>
  </si>
  <si>
    <t>TEMA691008MDFRNL03</t>
  </si>
  <si>
    <t>RAUL VELAZQUEZ SEGURA</t>
  </si>
  <si>
    <t>04856542180</t>
  </si>
  <si>
    <t>VESR650319HJCLGL06</t>
  </si>
  <si>
    <t>MARIA DE LOURDES LOPEZ CARRASCO</t>
  </si>
  <si>
    <t xml:space="preserve">05523501954
</t>
  </si>
  <si>
    <t xml:space="preserve"> LOCL461220MPLPRR02</t>
  </si>
  <si>
    <t>ANGEL PABLO GARFIO OGAZ</t>
  </si>
  <si>
    <t>GAOA660601HCHRGN00</t>
  </si>
  <si>
    <t>INES MENDEZ NUÑEZ</t>
  </si>
  <si>
    <t>72926404905</t>
  </si>
  <si>
    <t>MENI640221HGRNXN05</t>
  </si>
  <si>
    <t xml:space="preserve">MARIA ISABEL FONSECA ALVAREZ </t>
  </si>
  <si>
    <t>FOAI650516MJCNLS00</t>
  </si>
  <si>
    <t>CARLOS GUERRA GUERRA</t>
  </si>
  <si>
    <t>01675097677</t>
  </si>
  <si>
    <t>GUGC500307HDFRRR00</t>
  </si>
  <si>
    <t>JOSE ALFONSO BURGOS ROJAS</t>
  </si>
  <si>
    <t>62816406649</t>
  </si>
  <si>
    <t>BURA640415HPLRJL09</t>
  </si>
  <si>
    <t xml:space="preserve">ROBERTO LUCARIO ALVAREZ </t>
  </si>
  <si>
    <t>LUAR630512HHGCLB01</t>
  </si>
  <si>
    <t>GERADO ORTIZ TORRES</t>
  </si>
  <si>
    <t>OITG601113HZSRRR02</t>
  </si>
  <si>
    <t>ALONSO SOLARES MEDINA</t>
  </si>
  <si>
    <t>16785911088</t>
  </si>
  <si>
    <t>SOMA590416HDFLDL09</t>
  </si>
  <si>
    <t>JOSE ALEJANDRO ALVAREZ CASTAÑEDA</t>
  </si>
  <si>
    <t>AACA660120HDFLSL04</t>
  </si>
  <si>
    <t>Juana Ma Mendoza Faz</t>
  </si>
  <si>
    <t>4380630940</t>
  </si>
  <si>
    <t>MEFJ630727MSPNZN05</t>
  </si>
  <si>
    <t>CARMEN HERNANDEZ BLANCARTE</t>
  </si>
  <si>
    <t>HEBC650716MSRRLR05</t>
  </si>
  <si>
    <t>NICOLASA SAUCEDO ESPINOSA</t>
  </si>
  <si>
    <t>SAEN580707MZSCSC01</t>
  </si>
  <si>
    <t>ARACELI CRUZ LOPEZ</t>
  </si>
  <si>
    <t>CULA650909MCLRPR08</t>
  </si>
  <si>
    <t>POLICARPO TEJEDA VARGAS</t>
  </si>
  <si>
    <t xml:space="preserve"> 23724800794</t>
  </si>
  <si>
    <t>TEVP480619HSLJRL08</t>
  </si>
  <si>
    <t>Petronilo Calva Valdelamar</t>
  </si>
  <si>
    <t>1384590349</t>
  </si>
  <si>
    <t>CAVP590531HHGLLT01</t>
  </si>
  <si>
    <t>MARCOS BAXIN FONSECA</t>
  </si>
  <si>
    <t>BAFM600114HVZXNR09</t>
  </si>
  <si>
    <t>JOSE AGUSTIN PADRON CASTILLO</t>
  </si>
  <si>
    <t>PACA650829HSPDSG08</t>
  </si>
  <si>
    <t>JUAN CARLOS LOPEZ ORTEGA</t>
  </si>
  <si>
    <t>LOOJ561103HNLPM00</t>
  </si>
  <si>
    <t>TOMAS RUBEN BUENDIA XIU</t>
  </si>
  <si>
    <t>BUXT600922HYNNXM04</t>
  </si>
  <si>
    <t>JUAN CARLOS HERNANDEZ  LUCIO</t>
  </si>
  <si>
    <t>HELJ570804HTSRCN11</t>
  </si>
  <si>
    <t>MARTINA BUSTAMANTE TOVAR</t>
  </si>
  <si>
    <t>BUTM630925MGTSVR03</t>
  </si>
  <si>
    <t>CUAUHTEMOC VILLEGAS LICONA</t>
  </si>
  <si>
    <t>VILC630803HVZLCH04</t>
  </si>
  <si>
    <t>Rosalia Candia Rubio</t>
  </si>
  <si>
    <t>CARR620722MDFNBS08</t>
  </si>
  <si>
    <t>RAMON FLORES ESTEBAN</t>
  </si>
  <si>
    <t>FOER690930HJCLSM03</t>
  </si>
  <si>
    <t>MIGUEL ALVARADO HERNANDEZ</t>
  </si>
  <si>
    <t>AAHM560929HGTLRG07</t>
  </si>
  <si>
    <t xml:space="preserve">ROSALINDA VILLEGAS GARZA </t>
  </si>
  <si>
    <t>VIGR591029MNLLRS05</t>
  </si>
  <si>
    <t xml:space="preserve">JACINTO JIMENEZ DOMINGUEZ </t>
  </si>
  <si>
    <t>JIDJ640911HCHMMC09</t>
  </si>
  <si>
    <t>JOSE CRUZ GUTIERREZ BARRAGAN</t>
  </si>
  <si>
    <t>GUBC650503HJCTRR01</t>
  </si>
  <si>
    <t>LUIS GAUDENCIO JUAREZ NAVARRETE</t>
  </si>
  <si>
    <t>JUNL520317HTLRVS17</t>
  </si>
  <si>
    <t>FERMIN GARCIA UGALDE</t>
  </si>
  <si>
    <t>06806123185</t>
  </si>
  <si>
    <t>GAUF610923HMCRGR08</t>
  </si>
  <si>
    <t>JOSE ALFREDO LARES GRANO</t>
  </si>
  <si>
    <t>LAGA601213HJCRRL05</t>
  </si>
  <si>
    <t>JOSE LUIS ROCHA RAMIREZ</t>
  </si>
  <si>
    <t>RORL441009HVZCMS06</t>
  </si>
  <si>
    <t>ROBERTO MARIN GARCIA</t>
  </si>
  <si>
    <t>01886310422</t>
  </si>
  <si>
    <t>MAGR631227HVZRRB07</t>
  </si>
  <si>
    <t xml:space="preserve">ARMANDO PAREDEZ CRUZ </t>
  </si>
  <si>
    <t xml:space="preserve">PACA590313HDFRRR00 </t>
  </si>
  <si>
    <t>MARIA LUISA RODRIGUEZ PEREZ</t>
  </si>
  <si>
    <t>ROPL610810MGRDRS05</t>
  </si>
  <si>
    <t>Macario Velasquez Villegas</t>
  </si>
  <si>
    <t>78806014722</t>
  </si>
  <si>
    <t>MARTHA EVELIA SAINZ FLORES</t>
  </si>
  <si>
    <t>SAFM640711MSRNLR06</t>
  </si>
  <si>
    <t>Adolfo Jacobo Sanchez</t>
  </si>
  <si>
    <t>JASA650829HSPCND00</t>
  </si>
  <si>
    <t>ALEJANDRO MARTINEZ HERRERA</t>
  </si>
  <si>
    <t>MAHA700422HVZRRL01</t>
  </si>
  <si>
    <t>REYNALDO ALTAMIRA</t>
  </si>
  <si>
    <t>BERNARDO OLVERA UBALDO</t>
  </si>
  <si>
    <t>11735226810</t>
  </si>
  <si>
    <t>OEUB521224HDFLBR05</t>
  </si>
  <si>
    <t>DELIO FERNANDO AKE TAMAYO</t>
  </si>
  <si>
    <t>84806314609</t>
  </si>
  <si>
    <t>AETD630125HYNKML08</t>
  </si>
  <si>
    <t>RAMON HERNANDEZ ANGELES</t>
  </si>
  <si>
    <t>HEAR690831HDFRNM03</t>
  </si>
  <si>
    <t>MA. DOLORES RAMIREZ LOERA</t>
  </si>
  <si>
    <t>43806086765</t>
  </si>
  <si>
    <t>RALD591010MNLMRL08</t>
  </si>
  <si>
    <t>FANI AURORA ROMERO ROSAS</t>
  </si>
  <si>
    <t>RORF680813MGRMSN04</t>
  </si>
  <si>
    <t>JESUS PEREZ</t>
  </si>
  <si>
    <t>43796147411</t>
  </si>
  <si>
    <t>SONIA PEREZ ARAUJO</t>
  </si>
  <si>
    <t>92906511115</t>
  </si>
  <si>
    <t>LOAS630915MHGPRN03</t>
  </si>
  <si>
    <t>JOSE LUIS CORTES RAMIREZ</t>
  </si>
  <si>
    <t>16816419531</t>
  </si>
  <si>
    <t>CORL640611HDFRMS03</t>
  </si>
  <si>
    <t>SANTA INES MEDINA RAMIREZ</t>
  </si>
  <si>
    <t>MERS790121MSLDMN01</t>
  </si>
  <si>
    <t>CESAR GUMARO OSUNA ATONDO</t>
  </si>
  <si>
    <t>OUAC520415HSLSTS01</t>
  </si>
  <si>
    <t>HUGO DAVID DE ALBA IBARRA</t>
  </si>
  <si>
    <t>AAIH640210HJCLBG01</t>
  </si>
  <si>
    <t>RUBEN GAUDENCIO SUAREZ SUAREZ</t>
  </si>
  <si>
    <t>03816506616</t>
  </si>
  <si>
    <t>SUSR650122HNLRRB01</t>
  </si>
  <si>
    <t>PABLO LUNA MARTINEZ</t>
  </si>
  <si>
    <t>06765872988</t>
  </si>
  <si>
    <t>LUMP581030HDFNRB00</t>
  </si>
  <si>
    <t>CLAUDIO SALVADOR HERNANDEZ</t>
  </si>
  <si>
    <t>6791692516</t>
  </si>
  <si>
    <t>SAHC691203HVZLRL08</t>
  </si>
  <si>
    <t>VENTURA PEREZ ROBLES</t>
  </si>
  <si>
    <t>01816432999</t>
  </si>
  <si>
    <t>PERV640714HGTRBN06</t>
  </si>
  <si>
    <t>DANIEL FILIBERTO MARES VALDEZ</t>
  </si>
  <si>
    <t>43786149062</t>
  </si>
  <si>
    <t>MAVD610807HNLRLN03</t>
  </si>
  <si>
    <t>ROBERTO NAVARRETE SARABIA</t>
  </si>
  <si>
    <t>NASR720719HSLVRB00</t>
  </si>
  <si>
    <t>ROSENDO CRUZ GOMEZ</t>
  </si>
  <si>
    <t>CUGR620511HCSRMS08</t>
  </si>
  <si>
    <t xml:space="preserve">J. JESUS VILLARRUEL HERNANDEZ </t>
  </si>
  <si>
    <t>VIHJ710816HJCLRS03</t>
  </si>
  <si>
    <t>FERNANDO HERNANDEZ HERMOSILLO</t>
  </si>
  <si>
    <t>HEHF580530HVZRRR08</t>
  </si>
  <si>
    <t>MANUEL DE JESUS BARRON VALENCIA</t>
  </si>
  <si>
    <t>BAVM600701HSRRLN00</t>
  </si>
  <si>
    <t>JUANA LETICIA ESTRADA AGUIRRE</t>
  </si>
  <si>
    <t>EAAJ600210MNLSGN06</t>
  </si>
  <si>
    <t>JAVIER OSORIO DOMINGUEZ</t>
  </si>
  <si>
    <t>OODJ631120HOCSMV04</t>
  </si>
  <si>
    <t xml:space="preserve">ROBERTO GREGORIO CAZARES JUAREZ </t>
  </si>
  <si>
    <t>JUAN PASTOR MONROY VELASQUEZ</t>
  </si>
  <si>
    <t>06755600300</t>
  </si>
  <si>
    <t xml:space="preserve"> MOVJ560521HDFNLN05</t>
  </si>
  <si>
    <t>FERNANDO MARTINEZ ANGUIANO</t>
  </si>
  <si>
    <t>MAAF740207HJCRNR07</t>
  </si>
  <si>
    <t>FRANCISCO JAVIER ESCALERA HERNANDEZ</t>
  </si>
  <si>
    <t>EAHF641008HGTSRR02</t>
  </si>
  <si>
    <t>REYNA DEL CARMEN PINTO VERA</t>
  </si>
  <si>
    <t>PIVR580105MCSNRY08</t>
  </si>
  <si>
    <t>ARMANDO NAVA JIMENEZ</t>
  </si>
  <si>
    <t>NAJA600627HCMVMR13</t>
  </si>
  <si>
    <t>JOSE JAVIER JUAREZ RIVERA</t>
  </si>
  <si>
    <t>JURJ611128HPLRVV08</t>
  </si>
  <si>
    <t>JAVIER MIGUEL GONZALEZ</t>
  </si>
  <si>
    <t>MIGJ661120HPLGNV00</t>
  </si>
  <si>
    <t>LEANDRO VELEZ LOPEZ</t>
  </si>
  <si>
    <t>32725211059</t>
  </si>
  <si>
    <t>VELL520409HCLLPN00</t>
  </si>
  <si>
    <t>JOSE LUIS VALADEZ CEBALLOS</t>
  </si>
  <si>
    <t>VACL540707HZSLBS07</t>
  </si>
  <si>
    <t>LUCIANO CHIO VELASQUEZ</t>
  </si>
  <si>
    <t>11755713192</t>
  </si>
  <si>
    <t>JOSE JUAN AGUILAR RIVERA</t>
  </si>
  <si>
    <t>AURJ620307HCLGVN01</t>
  </si>
  <si>
    <t>JORGE LEONARDO ANGULO ROBLES</t>
  </si>
  <si>
    <t>07866604023</t>
  </si>
  <si>
    <t>AURJ660814HDFNBR04</t>
  </si>
  <si>
    <t>RUBEN HERNANDEZ MORALES</t>
  </si>
  <si>
    <t>HEMR560216HSRRRB08</t>
  </si>
  <si>
    <t>ROSAURO ALVARADO VAZQUEZ</t>
  </si>
  <si>
    <t>AAVR471018HDGLZS16</t>
  </si>
  <si>
    <t>MARIA MONICA LETICIA PURECO ESQUIVEL</t>
  </si>
  <si>
    <t>PUEM611008MDFRSN08</t>
  </si>
  <si>
    <t>SERGIO GONZALEZ BARRA</t>
  </si>
  <si>
    <t>GOBS570214HVZNRR00</t>
  </si>
  <si>
    <t>PEDRO HUGO REYES BARRADAS</t>
  </si>
  <si>
    <t>REBP431121HVZYRD03</t>
  </si>
  <si>
    <t>GUADALUPE BACA ALVIDREZ</t>
  </si>
  <si>
    <t>33684900211</t>
  </si>
  <si>
    <t>BAAG491212MCHCLD02</t>
  </si>
  <si>
    <t>ISIDRO FLORES RAMIREZ</t>
  </si>
  <si>
    <t>FORI630315HDFLMS09</t>
  </si>
  <si>
    <t>ANA LUISA ACOSTA ESCOBAR</t>
  </si>
  <si>
    <t>39927485894</t>
  </si>
  <si>
    <t>AOEA750426MDFCSN08</t>
  </si>
  <si>
    <t>MERCEDES FERREIRA GUIDO</t>
  </si>
  <si>
    <t>FEGM590917MDFRDR04</t>
  </si>
  <si>
    <t>SANDRA JULIETA GUERRERO RUIZ</t>
  </si>
  <si>
    <t>GURS750730MGTRZN01</t>
  </si>
  <si>
    <t>BERTHA MARTINEZ MONTALVO</t>
  </si>
  <si>
    <t>MAMB580429MCLRNR06</t>
  </si>
  <si>
    <t>65856103299</t>
  </si>
  <si>
    <t>MARIBEL ARROYO HERNANDEZ</t>
  </si>
  <si>
    <t>11614324959</t>
  </si>
  <si>
    <t>AOHM730907MPLRRR04</t>
  </si>
  <si>
    <t>GEORGINA CASTELA ORDUÑA</t>
  </si>
  <si>
    <t>CAOG740711MDFSRR00</t>
  </si>
  <si>
    <t xml:space="preserve">JUAN MANUEL PEDRERO ACOSTA </t>
  </si>
  <si>
    <t>83795916515</t>
  </si>
  <si>
    <t>PEAJ590501HTCDCN08</t>
  </si>
  <si>
    <t>Jesús Cifuentes reyes</t>
  </si>
  <si>
    <t>45907100601</t>
  </si>
  <si>
    <t>Manuel Esteban Cosme Ortuño</t>
  </si>
  <si>
    <t>62796317196</t>
  </si>
  <si>
    <t>Jose Ibarra Valdez</t>
  </si>
  <si>
    <t>IAVJ741102HSRBLS05</t>
  </si>
  <si>
    <t>Ignacion Perez Rosales</t>
  </si>
  <si>
    <t>PERI590201HVZRSG08</t>
  </si>
  <si>
    <t>CRECENCIANO HIPOLITO HERNANDEZ RODRIGUEZ</t>
  </si>
  <si>
    <t>HERC500914HPLRDR03</t>
  </si>
  <si>
    <t>Carmela Leos Gutierrez</t>
  </si>
  <si>
    <t>LEGC810705MNLSTR09</t>
  </si>
  <si>
    <t>Elia Marquez Moctezuma</t>
  </si>
  <si>
    <t>65654819310</t>
  </si>
  <si>
    <t>MXME480311MVZRCL05</t>
  </si>
  <si>
    <t>Fabiola Tapia Ramirez</t>
  </si>
  <si>
    <t>TARF800529MJCPMB07</t>
  </si>
  <si>
    <t>HUGO OLIVARES JIMENEZ</t>
  </si>
  <si>
    <t>OIJH630304HDFLMG05</t>
  </si>
  <si>
    <t>MARCO ANTONIO URBINA DE LA CRUZ</t>
  </si>
  <si>
    <t>UICM700425HVZRRR05</t>
  </si>
  <si>
    <t>Armando Cruz Calderon</t>
  </si>
  <si>
    <t xml:space="preserve">FRANCISCO MARTIN GUTIERREZ SOSA	</t>
  </si>
  <si>
    <t>GUSF630918HDFTSR05</t>
  </si>
  <si>
    <t xml:space="preserve">RESTRINGIDA </t>
  </si>
  <si>
    <t>IGNACIO RIOS CARDENAS</t>
  </si>
  <si>
    <t>RICI600912HMNSRG04</t>
  </si>
  <si>
    <t>LUCIA BAROLA QUEZADA</t>
  </si>
  <si>
    <t>BAQL711116MMCRZC05</t>
  </si>
  <si>
    <t>Alfredo Dominguez Reyna</t>
  </si>
  <si>
    <t>DORA630117HPLMYL09</t>
  </si>
  <si>
    <t>Rene Broca Lopez</t>
  </si>
  <si>
    <t>BOLR660314HTCRPN09</t>
  </si>
  <si>
    <t>REYES GARCIA ESCUDERO</t>
  </si>
  <si>
    <t>GAER630106HPLRSY05</t>
  </si>
  <si>
    <t>JOSE DE JESUS CALIXTO JACOBO</t>
  </si>
  <si>
    <t>CAJJ590319HMCLCS02</t>
  </si>
  <si>
    <t>JUAN FELIPE TORRES MEZA</t>
  </si>
  <si>
    <t>TOMJ540205HSPRZN01</t>
  </si>
  <si>
    <t>RAUL VALLADARES CRUZ</t>
  </si>
  <si>
    <t>VACR580914HTSLRL03</t>
  </si>
  <si>
    <t>JOEL GARCÍA MONTIEL</t>
  </si>
  <si>
    <t>GAMJ610911HVZRNL09</t>
  </si>
  <si>
    <t>FILOGONIO RODRIGUEZ ALVARADO</t>
  </si>
  <si>
    <t>ROAF440120HGTDLL07</t>
  </si>
  <si>
    <t>Ruth herendida Najera Rocha</t>
  </si>
  <si>
    <t>47947307345</t>
  </si>
  <si>
    <t>NARR750715MNLJC07</t>
  </si>
  <si>
    <t>JOSE PEREZ NAVARRO</t>
  </si>
  <si>
    <t>PENJ620309HMNRVS04</t>
  </si>
  <si>
    <t>Miguel Angel Sánchez Juárez</t>
  </si>
  <si>
    <t>SAJM660124HDFNRG03</t>
  </si>
  <si>
    <t>ROBERTO MACIAS BELECHE</t>
  </si>
  <si>
    <t>MABR631201HJCCLB04</t>
  </si>
  <si>
    <t>33 1958 6690</t>
  </si>
  <si>
    <t>JUAN ARMANDO LOPEZ CORONADO</t>
  </si>
  <si>
    <t>LOCJ640914HNLPRN05</t>
  </si>
  <si>
    <t>836 115 0800</t>
  </si>
  <si>
    <t>FERNANDO LLANES HURTADO</t>
  </si>
  <si>
    <t>LAHF620702HNLLRR06</t>
  </si>
  <si>
    <t>81 2595 2467</t>
  </si>
  <si>
    <t>RODRIGO JAVIER MATA HERNANDEZ</t>
  </si>
  <si>
    <t>MAHR660206HNLTRD00</t>
  </si>
  <si>
    <t>JOSE SOLIS RODRIGUEZ</t>
  </si>
  <si>
    <t>03695325823</t>
  </si>
  <si>
    <t>SORJ530221HTSLDS06</t>
  </si>
  <si>
    <t>GILBERTO ENCISO ALVARADO</t>
  </si>
  <si>
    <t>04705300582</t>
  </si>
  <si>
    <t>EIAG530325HJCNLL02</t>
  </si>
  <si>
    <t>33 3127 4113</t>
  </si>
  <si>
    <t>JORGE CARRILLO MEDINA</t>
  </si>
  <si>
    <t>04906911138</t>
  </si>
  <si>
    <t>CAMJ690816HJCRDR07</t>
  </si>
  <si>
    <t>33 1739 6017</t>
  </si>
  <si>
    <t>MA. ANTONIA CRUZ PRESA</t>
  </si>
  <si>
    <t>09957922249</t>
  </si>
  <si>
    <t>CUPA790613MTSRRN02</t>
  </si>
  <si>
    <t>AMADO MONTES MADRIGAL</t>
  </si>
  <si>
    <t>55735524568</t>
  </si>
  <si>
    <t>MOMA490913HNTNDM08</t>
  </si>
  <si>
    <t>Maria Veronica Alcantara Paz</t>
  </si>
  <si>
    <t>01735597427</t>
  </si>
  <si>
    <t>AAPV590202MDFLZR07</t>
  </si>
  <si>
    <t>ANALAURA HERNANDEZ CAMPOS</t>
  </si>
  <si>
    <t>72796018389</t>
  </si>
  <si>
    <t>HECA641127MGRRMN09</t>
  </si>
  <si>
    <t>Juan Manuel García Sánchez</t>
  </si>
  <si>
    <t>GASJ611224HMNRNN07</t>
  </si>
  <si>
    <t>JUAN CAMPOS GOMEZ</t>
  </si>
  <si>
    <t>32796203548</t>
  </si>
  <si>
    <t>CAGJ621225HCLMMN01</t>
  </si>
  <si>
    <t>MIGUEL ANGEL PESTAÑA QUINTO</t>
  </si>
  <si>
    <t>PEQM630414HVZSNG08</t>
  </si>
  <si>
    <t>MARIA DEL TRANSITO ZUÑIGA PAREDES</t>
  </si>
  <si>
    <t>ZUPT580912MDGXRR09</t>
  </si>
  <si>
    <t>BERTHA ROJAS DEVALOS</t>
  </si>
  <si>
    <t>06825000398</t>
  </si>
  <si>
    <t>RODB501125MGTJVR05</t>
  </si>
  <si>
    <t xml:space="preserve">FERNANDO JESUS CALDERON PECH </t>
  </si>
  <si>
    <t>CAPF620518HYNLCR00</t>
  </si>
  <si>
    <t>RAUL BERNAL DIAZ</t>
  </si>
  <si>
    <t>BEDR630801HNTRZL02</t>
  </si>
  <si>
    <t>JULIA ROSALES CANDELARIO</t>
  </si>
  <si>
    <t>ROCJ580626MVZSNL04</t>
  </si>
  <si>
    <t>ARTEMIO CRUZ XOLO</t>
  </si>
  <si>
    <t>CUXA521019HVZRLR00</t>
  </si>
  <si>
    <t>RAYMUNDO MOSIVAIS ALVAREZ</t>
  </si>
  <si>
    <t>MOAR580910HNLNLY09</t>
  </si>
  <si>
    <t>Ramon Geronimo Flores</t>
  </si>
  <si>
    <t>GEFR590917HJCRLM04</t>
  </si>
  <si>
    <t>maria jesus castro murillo</t>
  </si>
  <si>
    <t>22826507265</t>
  </si>
  <si>
    <t xml:space="preserve">LUIS MIGUEL HIDALGO MANZO </t>
  </si>
  <si>
    <t>06805800759</t>
  </si>
  <si>
    <t>HIML580513HDFDNS04</t>
  </si>
  <si>
    <t>11775941880</t>
  </si>
  <si>
    <t>LOPE590517HDFPLD06</t>
  </si>
  <si>
    <t>SERGIO SOTERO GUERRERO SANCHEZ</t>
  </si>
  <si>
    <t>GUSS660321HTSRNR06</t>
  </si>
  <si>
    <t>ALEJANDRO PULE SUAREZ</t>
  </si>
  <si>
    <t>PUSA700805HBCLRL05</t>
  </si>
  <si>
    <t>JORGE ALBERTO ARENAS ESPINOZA</t>
  </si>
  <si>
    <t>AEEJ650505HDFRSR07</t>
  </si>
  <si>
    <t>ANGEL LUCIANO ESPINOSA CABALLERO</t>
  </si>
  <si>
    <t>11796212634</t>
  </si>
  <si>
    <t>EICA630905HDFSBN08</t>
  </si>
  <si>
    <t>CESAR DE JESUS SERRANO GARDUÑO</t>
  </si>
  <si>
    <t>SEGC620623HQTRRS07</t>
  </si>
  <si>
    <t>GERARDO TREVIÑO TOVAR</t>
  </si>
  <si>
    <t>TETG670421HNLRVR09</t>
  </si>
  <si>
    <t>81 2179 3890</t>
  </si>
  <si>
    <t>JOSE ANTONIO CASTILLO LOPEZ</t>
  </si>
  <si>
    <t>CALA600221HDFSPN08</t>
  </si>
  <si>
    <t>55 8446 1277</t>
  </si>
  <si>
    <t>JUAN MANUEL ORTIZ</t>
  </si>
  <si>
    <t>OIXJ620912HTSRXN03</t>
  </si>
  <si>
    <t>Felipe de Jesús Chávez Ochoa</t>
  </si>
  <si>
    <t>53856010615</t>
  </si>
  <si>
    <t>CAOF601017MJCHCL03</t>
  </si>
  <si>
    <t>ELIAZAR MURILLO PEREZ</t>
  </si>
  <si>
    <t>MUPE641202HSPRRL03</t>
  </si>
  <si>
    <t>DOMEX</t>
  </si>
  <si>
    <t>JOSE DE JESUS ANGELES ARAIZA</t>
  </si>
  <si>
    <t>AEAJ571211HDFNRS02</t>
  </si>
  <si>
    <t>BIBIANO ROQUE REYES</t>
  </si>
  <si>
    <t>RORB511202HVZQYB09</t>
  </si>
  <si>
    <t>GERARDO DAVID MIER TRUJILLO</t>
  </si>
  <si>
    <t xml:space="preserve">32815909000
</t>
  </si>
  <si>
    <t>MITG591229HDGRRR07</t>
  </si>
  <si>
    <t>JESUS EDEN  SANCHEZ TORRES</t>
  </si>
  <si>
    <t>SATJ660102HVZNRS02</t>
  </si>
  <si>
    <t xml:space="preserve">ANTONIO REYES VELAZQUEZ </t>
  </si>
  <si>
    <t>REVA630325HSRYLN00</t>
  </si>
  <si>
    <t>JESUS PELATOS MARQUEZ</t>
  </si>
  <si>
    <t>PEMJ580724HBCLRS01</t>
  </si>
  <si>
    <t>FRANCISCO CERON</t>
  </si>
  <si>
    <t>CEXF611004HDFRXR05</t>
  </si>
  <si>
    <t>EVELIA PERALTA ORTEGA</t>
  </si>
  <si>
    <t>PEOE600705MDFRRV03</t>
  </si>
  <si>
    <t>JUAN SANCHEZ PEREZ</t>
  </si>
  <si>
    <t xml:space="preserve">65826222138
</t>
  </si>
  <si>
    <t>JOSE ANGEL NIÑO MORIN</t>
  </si>
  <si>
    <t>NIMA640412HSPXRN04</t>
  </si>
  <si>
    <t>LEONILA ROMERO CASTRO</t>
  </si>
  <si>
    <t>ROCL571009MBSMSN08</t>
  </si>
  <si>
    <t>OLEGARIO ARCE VILLEGAS</t>
  </si>
  <si>
    <t>AEVO710702HBSRLL05</t>
  </si>
  <si>
    <t>MAURICIO DOMINGUEZ ORTIZ</t>
  </si>
  <si>
    <t>DOOM510922HVZMRR09</t>
  </si>
  <si>
    <t>RAUL ANTONIO GONZALEZ DURAN</t>
  </si>
  <si>
    <t>GODR651108HVZNRL09</t>
  </si>
  <si>
    <t>MARIA JULIETA ESPARZA ROMAN</t>
  </si>
  <si>
    <t>EARJ770730MMCSML19</t>
  </si>
  <si>
    <t>REYNALDO FELIPE GONZALEZ FLORES</t>
  </si>
  <si>
    <t>GOFR640314HNLNLY05</t>
  </si>
  <si>
    <t xml:space="preserve">EDUARDO LOPEZ PEREZ </t>
  </si>
  <si>
    <t>LOPE640115HCSPRD04</t>
  </si>
  <si>
    <t>SARA SANCHEZ GARCIA</t>
  </si>
  <si>
    <t>SAGS640929MNLNRR07</t>
  </si>
  <si>
    <t>81 2122 4649</t>
  </si>
  <si>
    <t>CRISTOBAL LUNA LARA</t>
  </si>
  <si>
    <t>LULC510709HDFNRR00</t>
  </si>
  <si>
    <t>MARTIN CRUZ</t>
  </si>
  <si>
    <t>CUXM650918HSLRXR08</t>
  </si>
  <si>
    <t xml:space="preserve">LUIS MANUEL JIMENEZ SALGADO </t>
  </si>
  <si>
    <t>JISL730621HGRMLS04</t>
  </si>
  <si>
    <t>JUAN JOSE PATLAX PERALTA</t>
  </si>
  <si>
    <t>PAPJ581027HVZTRNO5</t>
  </si>
  <si>
    <t>ROSA ELVA</t>
  </si>
  <si>
    <t xml:space="preserve">ELOY LEYVA DELGADO </t>
  </si>
  <si>
    <t>01896201462</t>
  </si>
  <si>
    <t xml:space="preserve"> LEDE621011HDFYLL06</t>
  </si>
  <si>
    <t>LAURA GARCIA ALVAREZ</t>
  </si>
  <si>
    <t>23795204785</t>
  </si>
  <si>
    <t>GAAL600624MDGRLR00</t>
  </si>
  <si>
    <t>MARIO VICUÑA AVILES</t>
  </si>
  <si>
    <t>VIAM500101HDFCVR09</t>
  </si>
  <si>
    <t>José Guadalupe Martinez Aguilar</t>
  </si>
  <si>
    <t>ERNESTO HERRERA GONZALEZ</t>
  </si>
  <si>
    <t>HEGE610815HNLRNR01</t>
  </si>
  <si>
    <t>RAMON RUIZ DE LA CRUZ</t>
  </si>
  <si>
    <t>RUCR560831HDFZRM07</t>
  </si>
  <si>
    <t>ANTONIO SANCHEZ ALCANTARA</t>
  </si>
  <si>
    <t>MIGUEL ANGEL HERNANDEZ LIRA</t>
  </si>
  <si>
    <t>HELM660105HJCRRG01</t>
  </si>
  <si>
    <t>LINO GUERRERO TORRES</t>
  </si>
  <si>
    <t>GUTL630826HCLRRN08</t>
  </si>
  <si>
    <t>Pedro Manuel Zazueta Ramos</t>
  </si>
  <si>
    <t>ZARP630311HSLZMD07</t>
  </si>
  <si>
    <t xml:space="preserve">MARTHA YADIRA MEDINA VAZQUEZ </t>
  </si>
  <si>
    <t>MEVM721116MCMDZR08</t>
  </si>
  <si>
    <t>FRANCISCO DE ASIS LOPEZ BAREA</t>
  </si>
  <si>
    <t>85724723912</t>
  </si>
  <si>
    <t>LOBF471004HYNPRR06</t>
  </si>
  <si>
    <t>DARIO RODRIGUEZ LOPEZ</t>
  </si>
  <si>
    <t>ROLD491219HGTDPR01</t>
  </si>
  <si>
    <t>464 102 6592</t>
  </si>
  <si>
    <t xml:space="preserve">BENIGNO JAIME BUENRROSTRO </t>
  </si>
  <si>
    <t>04816404299</t>
  </si>
  <si>
    <t>JABB641216HJCMNN01</t>
  </si>
  <si>
    <t>GRACIELA SORIANO ROMERO</t>
  </si>
  <si>
    <t>SORG640625MOCRMR03</t>
  </si>
  <si>
    <t xml:space="preserve">Fidel López Martínez </t>
  </si>
  <si>
    <t>LOMF500323HDGPRD06</t>
  </si>
  <si>
    <t>06705024187</t>
  </si>
  <si>
    <t>VERL500111HSRLMP05</t>
  </si>
  <si>
    <t xml:space="preserve">RODRIGO CAMPA GARCIA </t>
  </si>
  <si>
    <t>CAGR560411HSRMRD09</t>
  </si>
  <si>
    <t>MARIO CERVERA MARTINEZ</t>
  </si>
  <si>
    <t>CEMM520923HGTRRR08</t>
  </si>
  <si>
    <t>MARCO ANTONIO NOVELI BUENFIL</t>
  </si>
  <si>
    <t>GUADALUPE</t>
  </si>
  <si>
    <t>DEMETRIO CRUZ RAMIREZ</t>
  </si>
  <si>
    <t>67058217943</t>
  </si>
  <si>
    <t>CURD821222HVZRMM04</t>
  </si>
  <si>
    <t>SANTIAGO DELGADO VALTIERRA</t>
  </si>
  <si>
    <t>51705013863</t>
  </si>
  <si>
    <t>DEVS500724HASLLN00</t>
  </si>
  <si>
    <t>José Luis Armando de la Garza Sánchez</t>
  </si>
  <si>
    <t>GASL640426HCLRNS04</t>
  </si>
  <si>
    <t xml:space="preserve">José Rodríguez Tellez </t>
  </si>
  <si>
    <t>ROTJ640319HPLDLS06</t>
  </si>
  <si>
    <t>Rodrigo Lopez Diaz</t>
  </si>
  <si>
    <t>LODR610817HOCPZD05</t>
  </si>
  <si>
    <t>FORTALEZA, BANCREA</t>
  </si>
  <si>
    <t xml:space="preserve">ALFONSO MORALES </t>
  </si>
  <si>
    <t>Dino Estrada Solorio</t>
  </si>
  <si>
    <t>53867014655</t>
  </si>
  <si>
    <t>EASD720807HMNSLN08</t>
  </si>
  <si>
    <t>RAQUEL GASPAR SANTANA</t>
  </si>
  <si>
    <t xml:space="preserve">94886712507 </t>
  </si>
  <si>
    <t>GASR660516MMNSNQ01</t>
  </si>
  <si>
    <t>MANUEL LOYA OJEDA</t>
  </si>
  <si>
    <t>LOOM620621HCHYJN00</t>
  </si>
  <si>
    <t>juan gonzalez hernandez</t>
  </si>
  <si>
    <t>GOHJ660314HTLNRN01</t>
  </si>
  <si>
    <t xml:space="preserve">ALICIA ISABEL FUENTES ORTEGA </t>
  </si>
  <si>
    <t>96937002994</t>
  </si>
  <si>
    <t>FUOA770508MDFNRL00</t>
  </si>
  <si>
    <t>FELIPE HURTADO GARCIA</t>
  </si>
  <si>
    <t>04816209128</t>
  </si>
  <si>
    <t>HUGF620415HJCRRL01</t>
  </si>
  <si>
    <t>Boris Mauricio Reynolds Chávez</t>
  </si>
  <si>
    <t>65926618573</t>
  </si>
  <si>
    <t>MARIA DEL CARMEN CASTREJON RAMIREZ</t>
  </si>
  <si>
    <t>CARC671230MSLSMR05</t>
  </si>
  <si>
    <t>TOMAS EDUARDO SOSA RIOS</t>
  </si>
  <si>
    <t>SORT581208HNLSSM05</t>
  </si>
  <si>
    <t>LEOPOLDO RAUL GOMEZ GARCIA</t>
  </si>
  <si>
    <t>01755771902</t>
  </si>
  <si>
    <t>GOGL571212HDFMRP06</t>
  </si>
  <si>
    <t>ANTONIO HUERTA ESPINOZA</t>
  </si>
  <si>
    <t>HUEA520613HVZRSN03</t>
  </si>
  <si>
    <t>JUAN ANSELMO HERNANDEZ SILVA</t>
  </si>
  <si>
    <t>06796264353</t>
  </si>
  <si>
    <t>HESJ630421HDFRLN01</t>
  </si>
  <si>
    <t>EMILIO ZARCO FUENTES</t>
  </si>
  <si>
    <t>0179615732</t>
  </si>
  <si>
    <t>ZAFE620813HMNRNM01</t>
  </si>
  <si>
    <t>Manuel Vazquez Gonzalez</t>
  </si>
  <si>
    <t>VAGM591207HTCZNN05</t>
  </si>
  <si>
    <t>J.CARMEN VALERO ALVARADO</t>
  </si>
  <si>
    <t>VAAC650110HSPLLR14</t>
  </si>
  <si>
    <t>FIFOFO</t>
  </si>
  <si>
    <t>JAVIER RIVERA TORRES</t>
  </si>
  <si>
    <t>RITJ640214HNLVRV00</t>
  </si>
  <si>
    <t>81 2911 6742</t>
  </si>
  <si>
    <t>OSCAR CONTRERAS RIVERA</t>
  </si>
  <si>
    <t>CORO660308HSPNVS04</t>
  </si>
  <si>
    <t>ISAIAS SANCHEZ PONCE</t>
  </si>
  <si>
    <t xml:space="preserve">43826314494
</t>
  </si>
  <si>
    <t>SAPI630706HNLNNS01</t>
  </si>
  <si>
    <t>JOSE LUIS TARACO REYES</t>
  </si>
  <si>
    <t>TARL600621HNLRYS08</t>
  </si>
  <si>
    <t>FELIPE MARTIN GONZALEZ RAMIREZ</t>
  </si>
  <si>
    <t>GORF630518HDFNML01</t>
  </si>
  <si>
    <t>TERESA CRUZ ORTIZ</t>
  </si>
  <si>
    <t>CUOT630930MOCRRR06</t>
  </si>
  <si>
    <t>FIMUBAC</t>
  </si>
  <si>
    <t>PABLO MACIAS TORRES</t>
  </si>
  <si>
    <t>MATP730104HJCCRB04</t>
  </si>
  <si>
    <t>JOSE ROMAN CARDENAS PRECIADO</t>
  </si>
  <si>
    <t>04876536527</t>
  </si>
  <si>
    <t>CAPR650715HJCRRM08</t>
  </si>
  <si>
    <t>oscar enrique zazueta gonzalez</t>
  </si>
  <si>
    <t>23826407209</t>
  </si>
  <si>
    <t>ZAGO640310HSLZNS08</t>
  </si>
  <si>
    <t>ANA MARIA JIMENEZ SIFUENTES</t>
  </si>
  <si>
    <t>JISA621230MDFMFN08</t>
  </si>
  <si>
    <t>MARIA TERESA JASSO ESTEVEZ</t>
  </si>
  <si>
    <t>JAET531112MDFSSR02</t>
  </si>
  <si>
    <t>GILBERTO CASTRO ANGULO</t>
  </si>
  <si>
    <t>CAAG650904HSLSNL05</t>
  </si>
  <si>
    <t xml:space="preserve">CRUZ PEÑUELAS MERCADO </t>
  </si>
  <si>
    <t>PEMC600506HSLXRR08</t>
  </si>
  <si>
    <t xml:space="preserve">ADOLFO GARZA ABARCA </t>
  </si>
  <si>
    <t>GAAA660113HCSRBD05</t>
  </si>
  <si>
    <t>JOSE MANUEL VAZQUEZ HERNADEZ</t>
  </si>
  <si>
    <t xml:space="preserve">62826017501
</t>
  </si>
  <si>
    <t>VAHM600315HPLZRN13</t>
  </si>
  <si>
    <t>GERARDO SALVADOR HERRERA MURILLO</t>
  </si>
  <si>
    <t>HEMG660505HNLRRR03</t>
  </si>
  <si>
    <t>ERIC FRANCISCO MONTERO AVILA</t>
  </si>
  <si>
    <t>MOAE640705HDFNVR07</t>
  </si>
  <si>
    <t>MARISELA LOZANO ABELINO</t>
  </si>
  <si>
    <t>LOAM730907MVZZBR04</t>
  </si>
  <si>
    <t>JOEL ZAMORA LEON</t>
  </si>
  <si>
    <t>50816000454</t>
  </si>
  <si>
    <t>ZALJ600713HDFMNL01</t>
  </si>
  <si>
    <t>56 3000 6120</t>
  </si>
  <si>
    <t>JOSE DE JESUS TALAVERA RAMOS</t>
  </si>
  <si>
    <t>TARJ610730HJCLMS02</t>
  </si>
  <si>
    <t>JUAN TINAJERO PEREZ</t>
  </si>
  <si>
    <t>TIPJ500624HMNNRN07</t>
  </si>
  <si>
    <t>JAVIER CASTILLO</t>
  </si>
  <si>
    <t>MARIO ALBERTO CAZARES DEL TORO</t>
  </si>
  <si>
    <t>CATM650301HNLZRR04</t>
  </si>
  <si>
    <t>PATRICIA YOLANDA NIÑO HERNANDEZ</t>
  </si>
  <si>
    <t>NIHP680220MCLXRT00</t>
  </si>
  <si>
    <t>81 3090 4269</t>
  </si>
  <si>
    <t>ROSA ELIA ZARATE VELAZQUEZ</t>
  </si>
  <si>
    <t>ZAVR660117MJCRLS02</t>
  </si>
  <si>
    <t>JUAN ALBERTO BERISTAIN ROJAS</t>
  </si>
  <si>
    <t>BERJ651025HPLRJN06</t>
  </si>
  <si>
    <t>CAB EK AGUSTIN</t>
  </si>
  <si>
    <t>CAEA880910HYNBKG03</t>
  </si>
  <si>
    <t>RAQUEL MARIN GONZALEZ</t>
  </si>
  <si>
    <t>VICTOR MANZANITA REYES</t>
  </si>
  <si>
    <t>MARV550406HDFNYC05</t>
  </si>
  <si>
    <t xml:space="preserve">JUAN ANTONIO SUSTAITA PUENTE </t>
  </si>
  <si>
    <t>SUPJ730424HSPSNN02</t>
  </si>
  <si>
    <t>SOCORRO CASTRO HUERTA</t>
  </si>
  <si>
    <t>CAHS591012MPLSRC03</t>
  </si>
  <si>
    <t>MARISOL PATRICIA SERRANO RODRIGUEZ</t>
  </si>
  <si>
    <t>SERM650426MBCRDR12</t>
  </si>
  <si>
    <t>RIGOBERTO MUÑOZ PERALTA</t>
  </si>
  <si>
    <t>2188700469 1</t>
  </si>
  <si>
    <t>MUPR701018HBCXRG04</t>
  </si>
  <si>
    <t>JESUS MARTINEZ MARMOLEJO</t>
  </si>
  <si>
    <t>MAMJ640531HGTRRS00</t>
  </si>
  <si>
    <t>JULIO CESAR CASTELLANOS ALVAREZ</t>
  </si>
  <si>
    <t>CAAJ651209HTSSLL03</t>
  </si>
  <si>
    <t>JOSE IGNACIO GUTIERREZ LEAL</t>
  </si>
  <si>
    <t>GULI600924HPLTLG04</t>
  </si>
  <si>
    <t xml:space="preserve">ANTONIO VAZQUEZ OBANDO </t>
  </si>
  <si>
    <t>VAOA580123HPLZBN05</t>
  </si>
  <si>
    <t>ANDRE</t>
  </si>
  <si>
    <t>LEONARDO VILCHIS MAR</t>
  </si>
  <si>
    <t>JUAN MANUEL MONTAÑEZ GONZALEZ</t>
  </si>
  <si>
    <t>MOGJ571105HASNNN03</t>
  </si>
  <si>
    <t>ANTONIO RAYMUNDO LUMBRERAS GARAY</t>
  </si>
  <si>
    <t>LUGA610119HTSMRN09</t>
  </si>
  <si>
    <t>FEDERICO MUÑOZ MOLINA</t>
  </si>
  <si>
    <t>MUMF590809HMCXLD09</t>
  </si>
  <si>
    <t>FLORA GAYOSSO MENENDEZ</t>
  </si>
  <si>
    <t>43806019832</t>
  </si>
  <si>
    <t>GAMF600105MVZYNL09</t>
  </si>
  <si>
    <t>81 2506 2852</t>
  </si>
  <si>
    <t>Raymundo Bravo Huerta</t>
  </si>
  <si>
    <t>BAHR651025HPLRRY03</t>
  </si>
  <si>
    <t xml:space="preserve">CATALINA NERI GUEVARA </t>
  </si>
  <si>
    <t>47937602812</t>
  </si>
  <si>
    <t>NEGC760119MNLRVT03</t>
  </si>
  <si>
    <t>JUAN MARTIN IBARRA BANDA</t>
  </si>
  <si>
    <t>IABJ630414HCHBNN04</t>
  </si>
  <si>
    <t>MARIA DEL CARMEN ARAGON DELGADO</t>
  </si>
  <si>
    <t>AADC610709MCHRLR07</t>
  </si>
  <si>
    <t>Rogelio Rodríguez Rojas</t>
  </si>
  <si>
    <t>MARIA LUISA MORALES HERNANDEZ</t>
  </si>
  <si>
    <t>MOHL650308MDFRRS02</t>
  </si>
  <si>
    <t>LINO LARA IZAGUIRRE</t>
  </si>
  <si>
    <t>LAIL520923HSPRZN09</t>
  </si>
  <si>
    <t>Martin Llamas Vega</t>
  </si>
  <si>
    <t>LAVM640516HSPLGR07</t>
  </si>
  <si>
    <t>MA. GUADALUPE GARCIA BRIONES</t>
  </si>
  <si>
    <t>GABG621102MZSRRD02</t>
  </si>
  <si>
    <t>842 112 4196</t>
  </si>
  <si>
    <t>J. CRUZ MEDELES CONTRERAS</t>
  </si>
  <si>
    <t>844 218 0083</t>
  </si>
  <si>
    <t>JAVIER HERNANDEZ LOPEZ</t>
  </si>
  <si>
    <t>HELJ621012HJCRPV04</t>
  </si>
  <si>
    <t>Sergio sauceda Rodriguez</t>
  </si>
  <si>
    <t>SARS660201HNLCDR03</t>
  </si>
  <si>
    <t>JAVIER TREJO GARCIA</t>
  </si>
  <si>
    <t>TEGJ460122HSPRRV05</t>
  </si>
  <si>
    <t xml:space="preserve">EUMENO SALINAS LINARES </t>
  </si>
  <si>
    <t>SALE501110HDFLNM09</t>
  </si>
  <si>
    <t>MANUEL ANTONIO REYES LOPEZ</t>
  </si>
  <si>
    <t>RELM650615HNTYPN07</t>
  </si>
  <si>
    <t>CELSO CHAVEZ CRUZ</t>
  </si>
  <si>
    <t>19796106763</t>
  </si>
  <si>
    <t>CACC610406HMCHRL05</t>
  </si>
  <si>
    <t>SANTOS EDUARDO RAMIREZ BALLESTEROS</t>
  </si>
  <si>
    <t xml:space="preserve">24846716074 </t>
  </si>
  <si>
    <t>RABS670323HSRMLN00</t>
  </si>
  <si>
    <t>BANCREA, PUBLISEG</t>
  </si>
  <si>
    <t>Virginia Martínez Valadéz</t>
  </si>
  <si>
    <t>MAVV810423MDFRLR01</t>
  </si>
  <si>
    <t>Ma. Guillermina Hernandez Robles</t>
  </si>
  <si>
    <t>21866600550</t>
  </si>
  <si>
    <t>HERG670619MCMRBL07</t>
  </si>
  <si>
    <t>SAUL GARCIA ROCHA</t>
  </si>
  <si>
    <t>GARS561107HZSRCL02</t>
  </si>
  <si>
    <t>MIGUEL ANGEL GARCIA TREVIÑO</t>
  </si>
  <si>
    <t>GATM610818HCLRRG09</t>
  </si>
  <si>
    <t>JOSE DE JESUS CASTILLO OCHOA</t>
  </si>
  <si>
    <t>52765701298</t>
  </si>
  <si>
    <t>CAOJ570623HCMSCS03</t>
  </si>
  <si>
    <t>ALEJANDRO</t>
  </si>
  <si>
    <t>81866805526</t>
  </si>
  <si>
    <t>ALFREDO ESPINOSA MARTINEZ</t>
  </si>
  <si>
    <t>EIMA591027HDFSRL01</t>
  </si>
  <si>
    <t>MIGUEL BRUNO ESPARZA QUIÑONES</t>
  </si>
  <si>
    <t>EAQM640929HDGSXG08</t>
  </si>
  <si>
    <t xml:space="preserve">JESUS ROSAS CONCHAS </t>
  </si>
  <si>
    <t>ROCJ650828HJCSNS00</t>
  </si>
  <si>
    <t>JOSE NAPOLEON LOPEZ MONTUFAR</t>
  </si>
  <si>
    <t>LOMN630207HDFPNP05</t>
  </si>
  <si>
    <t>MARCOS EMILIO AGUAYO MONTAÑO</t>
  </si>
  <si>
    <t>AUMM651206HDFGNR01</t>
  </si>
  <si>
    <t>MARGARITO CARRERA MEDORIO</t>
  </si>
  <si>
    <t xml:space="preserve">67715404025
</t>
  </si>
  <si>
    <t>CAMM540222HVZRDR08</t>
  </si>
  <si>
    <t>PEDRO ANTONIO VIDAL LANESTOSA</t>
  </si>
  <si>
    <t>83694911540</t>
  </si>
  <si>
    <t>VILP500124HTCDND01</t>
  </si>
  <si>
    <t xml:space="preserve">BANCREA </t>
  </si>
  <si>
    <t xml:space="preserve">ANDRES SANCHEZ QUIROZ </t>
  </si>
  <si>
    <t>SAQA641130HNLNRN08</t>
  </si>
  <si>
    <t xml:space="preserve">MARIA LUISA PALACIOS MORA </t>
  </si>
  <si>
    <t>0193771419</t>
  </si>
  <si>
    <t>PAML850312MMCLRS01</t>
  </si>
  <si>
    <t>FELIPA GARCIA RODRIGUEZ</t>
  </si>
  <si>
    <t>02694601630</t>
  </si>
  <si>
    <t>GARF490526MTLRDL00</t>
  </si>
  <si>
    <t>VALENTIN NOYOLA SOSA</t>
  </si>
  <si>
    <t>NOSV660214HGRYSL07</t>
  </si>
  <si>
    <t>DIEGO JUAN CARLOS HERNANDEZ ROMO</t>
  </si>
  <si>
    <t>HERD581113HJCRMG02</t>
  </si>
  <si>
    <t>Eleazar Razo Rodríguez</t>
  </si>
  <si>
    <t>01826207498</t>
  </si>
  <si>
    <t>EDUARDO LOPEZ FONSECA</t>
  </si>
  <si>
    <t>LOFE700320HGTPND07</t>
  </si>
  <si>
    <t>FORTALEZA, MULTIVA</t>
  </si>
  <si>
    <t>HECTOR MARQUEZ RODRIGUEZ</t>
  </si>
  <si>
    <t>MARH590426HDFRDC01</t>
  </si>
  <si>
    <t>HILDA ACOSTA JIEMENEZ</t>
  </si>
  <si>
    <t>AOJH551203MMSCML13</t>
  </si>
  <si>
    <t xml:space="preserve">MERCEDES DE JESUS BARRERA MENDEZ </t>
  </si>
  <si>
    <t>BAMM600924MYNRNR06</t>
  </si>
  <si>
    <t>HERCULANO TREJO RIVERA</t>
  </si>
  <si>
    <t>TERH610809HNLRVR08</t>
  </si>
  <si>
    <t>SEBASTIAN ACOSTA BLAS</t>
  </si>
  <si>
    <t>AOBS530121HDFCLB01</t>
  </si>
  <si>
    <t>FRANCISCO ELENO CORRALES CARRILLO</t>
  </si>
  <si>
    <t>COCF630810HSLRRR00</t>
  </si>
  <si>
    <t xml:space="preserve">PEDRO CERVANTES GARCIA </t>
  </si>
  <si>
    <t>JUAN SANCHEZ</t>
  </si>
  <si>
    <t>SAXJ560405HSLNXN07</t>
  </si>
  <si>
    <t>SALVADOR BARBOZA SORIANO</t>
  </si>
  <si>
    <t>BASS750902HMNRRL00</t>
  </si>
  <si>
    <t>452 100 1857</t>
  </si>
  <si>
    <t>GABRIEL PEREZ IBARRA</t>
  </si>
  <si>
    <t>PEIG630324HJCRBB06</t>
  </si>
  <si>
    <t>JORGE MARTINEZ LOPEZ</t>
  </si>
  <si>
    <t>MALJ520423HSPRPR03</t>
  </si>
  <si>
    <t>JAVIER GARCIA SUSUNAGA</t>
  </si>
  <si>
    <t>GASJ590227HOCRSV06</t>
  </si>
  <si>
    <t>AMALIA ARAGON FLORES</t>
  </si>
  <si>
    <t>63816222713</t>
  </si>
  <si>
    <t>AAFA620617MDGRLM08</t>
  </si>
  <si>
    <t>81 1788 1437</t>
  </si>
  <si>
    <t xml:space="preserve">JOSE LUIS PEREZ PEREZ </t>
  </si>
  <si>
    <t>PEPL600214HDFRRS05</t>
  </si>
  <si>
    <t>Guillermo Muñoz Ávila</t>
  </si>
  <si>
    <t>MUAG660620HNLXVLO5</t>
  </si>
  <si>
    <t>JOSE LUIS LEDESMA JUAREZ</t>
  </si>
  <si>
    <t>LEJL640820HDFDRS00</t>
  </si>
  <si>
    <t>JOSE NESTOR VIMBELA SANDOVAL</t>
  </si>
  <si>
    <t>VISN620226HJCMNS03</t>
  </si>
  <si>
    <t xml:space="preserve">JERONIMO RAMOS VARGAS </t>
  </si>
  <si>
    <t>RAVJ590720HGTMRR01</t>
  </si>
  <si>
    <t>ANTONIO SUAREZ MUJICA</t>
  </si>
  <si>
    <t>SUMA590425HMCRJN06</t>
  </si>
  <si>
    <t>JOSE MANUEL CENICEROS ORTEGA</t>
  </si>
  <si>
    <t>CEOM621007HCLNRN09</t>
  </si>
  <si>
    <t>JORGE LAREDO LEYVA</t>
  </si>
  <si>
    <t>LALJ630623HGRRYR05</t>
  </si>
  <si>
    <t>JESUS URBINA SANDOVAL</t>
  </si>
  <si>
    <t>32664816918</t>
  </si>
  <si>
    <t>UISJ480604HCLRNS00</t>
  </si>
  <si>
    <t>RAUL VELAZQUEZ SEGURO</t>
  </si>
  <si>
    <t>JOSE JAVIER GARCIA JIMENEZ</t>
  </si>
  <si>
    <t>GAJJ720524HCLRMV08</t>
  </si>
  <si>
    <t>ROSALINDA GUAJARDO ROBLEDO</t>
  </si>
  <si>
    <t>03816407948</t>
  </si>
  <si>
    <t>GURR640830MNLJBS04</t>
  </si>
  <si>
    <t>RICARDO PEREZ TREJO</t>
  </si>
  <si>
    <t>PETR591112HGTRRC00</t>
  </si>
  <si>
    <t>MIGUEL ANGEL GARCEZ BECERRIL</t>
  </si>
  <si>
    <t>11826220417</t>
  </si>
  <si>
    <t>GABM640410HDFRCG03</t>
  </si>
  <si>
    <t>SERGIO SANTIAGO GARCIA</t>
  </si>
  <si>
    <t>SAGS620429HTCNRR03</t>
  </si>
  <si>
    <t>BEATRIZ GUTIERREZ LOPEZ</t>
  </si>
  <si>
    <t>1193753114</t>
  </si>
  <si>
    <t>GULB750228MDFTPT06</t>
  </si>
  <si>
    <t xml:space="preserve">BERTHA ACUÑA GALLAGA </t>
  </si>
  <si>
    <t>AUGB590513MDFCLR08</t>
  </si>
  <si>
    <t>PETRA JACOBO RAMIREZ</t>
  </si>
  <si>
    <t>15856605199</t>
  </si>
  <si>
    <t>JARP670629MMSCMT06</t>
  </si>
  <si>
    <t>ELENA HERNANDEZ MALDONADO</t>
  </si>
  <si>
    <t>16816304667</t>
  </si>
  <si>
    <t>HEME730721MDFRLL07</t>
  </si>
  <si>
    <t>PABLO BUSTILLOS LINO</t>
  </si>
  <si>
    <t>33877272683</t>
  </si>
  <si>
    <t>BULP710422HCHSNB04</t>
  </si>
  <si>
    <t>SALVADOR HERRERA LARES</t>
  </si>
  <si>
    <t>HELS661224HDGRRL05</t>
  </si>
  <si>
    <t xml:space="preserve">JAVIER GARCIA HERNANDEZ </t>
  </si>
  <si>
    <t>GAHJ630622HVZRRV04</t>
  </si>
  <si>
    <t>ALONSO AVILA MARTINEZ</t>
  </si>
  <si>
    <t>67735611922</t>
  </si>
  <si>
    <t>RAFAEL GONZALEZ CORNELIO</t>
  </si>
  <si>
    <t>GOCR621026HJCNRF06</t>
  </si>
  <si>
    <t>Efrain Montiel Santiago</t>
  </si>
  <si>
    <t>LIDIA</t>
  </si>
  <si>
    <t>1587672860</t>
  </si>
  <si>
    <t>JAEL RUIZ</t>
  </si>
  <si>
    <t>HECTOR RAMIREZ HERRERA</t>
  </si>
  <si>
    <t>RAHH641021HNLMRC01</t>
  </si>
  <si>
    <t>ANDRES ANGEL RIVERA MOSQUEDA</t>
  </si>
  <si>
    <t>RIMA601002HGTVSN01</t>
  </si>
  <si>
    <t>JOSUE CHAVERO ROMERO</t>
  </si>
  <si>
    <t>CARJ800104HDFHMS05</t>
  </si>
  <si>
    <t>PATRICIA GENOVEVA MEJIA ESPINDOLA</t>
  </si>
  <si>
    <t>MEEP640103MDFJST00</t>
  </si>
  <si>
    <t>01968004158</t>
  </si>
  <si>
    <t>CARJ800104HMCHMS00</t>
  </si>
  <si>
    <t>MARIA GUADALUPE ARMENDA SOTO</t>
  </si>
  <si>
    <t xml:space="preserve">MANUELA TACHO MIRANDA </t>
  </si>
  <si>
    <t>TAMM641101MSRCRN02</t>
  </si>
  <si>
    <t>CONSUPA</t>
  </si>
  <si>
    <t>MANUEL CUTBERTO CASTRO ROCHIN</t>
  </si>
  <si>
    <t xml:space="preserve">22796301293
</t>
  </si>
  <si>
    <t>CARM630528HBSSCN07</t>
  </si>
  <si>
    <t xml:space="preserve">PABLO RAMIREZ GONZALEZ </t>
  </si>
  <si>
    <t>RAGP780616HNLMNB00</t>
  </si>
  <si>
    <t>OSCAR LOZANO CASTILLO</t>
  </si>
  <si>
    <t>LXCO631207HTLZSS02</t>
  </si>
  <si>
    <t>MARTHA ROSALES LEMUS</t>
  </si>
  <si>
    <t>ROLM610223MMNSMR04</t>
  </si>
  <si>
    <t>MARIA CRISTINA MUÑOZ HERNANDEZ</t>
  </si>
  <si>
    <t>MUHC600531MDFXRR04</t>
  </si>
  <si>
    <t>LUZ BANDA</t>
  </si>
  <si>
    <t xml:space="preserve">JOSE EMILIANO MARTINEZ ORTEGA </t>
  </si>
  <si>
    <t>MAOE590720HVZRRM06</t>
  </si>
  <si>
    <t xml:space="preserve">ALFONSO LOPEZ PALOMAR </t>
  </si>
  <si>
    <t>LOPA720824HMNPLL08</t>
  </si>
  <si>
    <t>CLAUDIA LAGUNES</t>
  </si>
  <si>
    <t>SOFIA NICOLAS JIMENEZ</t>
  </si>
  <si>
    <t>NIJS800525MOCCMF03</t>
  </si>
  <si>
    <t>JORGE RODRIGO SIGALA</t>
  </si>
  <si>
    <t>SIXJ550313HJCGXR07</t>
  </si>
  <si>
    <t>JESUS MANUEL PAEZ FUENTES</t>
  </si>
  <si>
    <t>PAFJ511225HNLZNS03</t>
  </si>
  <si>
    <t>81 3106 0862</t>
  </si>
  <si>
    <t>RUBEN ORTIZ HERNANDEZ</t>
  </si>
  <si>
    <t>OIHR590517HDFRRB05</t>
  </si>
  <si>
    <t>55 3670 5483</t>
  </si>
  <si>
    <t>JUAN CHACON PULIDO</t>
  </si>
  <si>
    <t xml:space="preserve">24886060235
</t>
  </si>
  <si>
    <t>CAPJ600623HVZHLN02</t>
  </si>
  <si>
    <t xml:space="preserve">MANUEL CORTEZ TOMÉ </t>
  </si>
  <si>
    <t>COTM630818HDFRMN02</t>
  </si>
  <si>
    <t>FRANCISCO JAVIER HUERTA ALFARO</t>
  </si>
  <si>
    <t>HUAF630904HDFRLR09</t>
  </si>
  <si>
    <t>EMMANUEL MONTOYA DEL HOYO</t>
  </si>
  <si>
    <t xml:space="preserve">51755904318
</t>
  </si>
  <si>
    <t>JOSE LUIS AVILES QUINTERO</t>
  </si>
  <si>
    <t>AIQL660314HSLVNS02</t>
  </si>
  <si>
    <t>MIGUEL ANGEL GARAVITA MUÑOZ</t>
  </si>
  <si>
    <t>GAMM681101HVZRXG00</t>
  </si>
  <si>
    <t xml:space="preserve">BEINTO CAMPOS MEDINA </t>
  </si>
  <si>
    <t>CAMB500321HZSMDN02</t>
  </si>
  <si>
    <t>ALVARO CRUZ HERNANDEZ</t>
  </si>
  <si>
    <t>CUHA621204HCSRRL06</t>
  </si>
  <si>
    <t>LUIS GUILLERMO MEDELLIN CORRALES</t>
  </si>
  <si>
    <t>MECL640625HDFDRS01</t>
  </si>
  <si>
    <t>SAMUEL DE ANDA MACIEL</t>
  </si>
  <si>
    <t>AAMS491123HJCNCM00</t>
  </si>
  <si>
    <t>VICENTE RUFINO GONZALEZ</t>
  </si>
  <si>
    <t xml:space="preserve">CELSO GUTIÉRREZ PÉREZ </t>
  </si>
  <si>
    <t>GUAC650406HDFTRL06</t>
  </si>
  <si>
    <t>CANDELARIO</t>
  </si>
  <si>
    <t xml:space="preserve"> YSIDRO RODRIGUEZ GARCIA</t>
  </si>
  <si>
    <t>ROGY580824HSPDRS03</t>
  </si>
  <si>
    <t>SERGIO GALLARDO MEDINA</t>
  </si>
  <si>
    <t>GAMS640605HASLDR07</t>
  </si>
  <si>
    <t>JUAN JOSE SANCHEZ RAMIREZ</t>
  </si>
  <si>
    <t>SARJ740208HOCNMN06</t>
  </si>
  <si>
    <t>Héctor Olvera Vazquez</t>
  </si>
  <si>
    <t>OEVH610404HMNLZC05</t>
  </si>
  <si>
    <t>Narciso Castillo Mendoza</t>
  </si>
  <si>
    <t xml:space="preserve">12058210605 </t>
  </si>
  <si>
    <t>CAMN821029HGTSNR07</t>
  </si>
  <si>
    <t>JOSE LUIS ESPINOZA VIDAL</t>
  </si>
  <si>
    <t>EIVL660415HVZSDS04</t>
  </si>
  <si>
    <t xml:space="preserve"> JOEL PEREZ SOTO</t>
  </si>
  <si>
    <t>ANDRES NUÑEZ MACIAS</t>
  </si>
  <si>
    <t xml:space="preserve">31826511854
</t>
  </si>
  <si>
    <t>KATE MALPICA</t>
  </si>
  <si>
    <t>HORTENCIA CLARA MEJIA</t>
  </si>
  <si>
    <t>CAMH640111MMSLJR02</t>
  </si>
  <si>
    <t>ELSA NIDIYARI ARROYO MAGAÑA</t>
  </si>
  <si>
    <t>AOME580321MSLRGL05</t>
  </si>
  <si>
    <t>JOSE ALBERTO MORENO HERNANDEZ</t>
  </si>
  <si>
    <t>MOHA811220HTCRRL05</t>
  </si>
  <si>
    <t>MIGUEL ANGEL GONZALEZ ZUÑIGA</t>
  </si>
  <si>
    <t>GOZM640929HNLNXG03</t>
  </si>
  <si>
    <t>EDUARDO LUCIANO HERNANDEZ ORTEGA</t>
  </si>
  <si>
    <t>HEOE600107HDFRRD00</t>
  </si>
  <si>
    <t>55 4734 1271</t>
  </si>
  <si>
    <t>JUAN MARTIN CAMPA MORENO</t>
  </si>
  <si>
    <t>CAMJ620927HNLMRN01</t>
  </si>
  <si>
    <t>MONICA ARCELIA VEGA GUTIERREZ</t>
  </si>
  <si>
    <t>VEGM721230MSRGTN06</t>
  </si>
  <si>
    <t>VICTOR MANUEL LUNA MATA</t>
  </si>
  <si>
    <t>LUMV600525HCHNTC06</t>
  </si>
  <si>
    <t>GLAUDENCIO TONTON PACHECO</t>
  </si>
  <si>
    <t>POPG660122HGRNCD02</t>
  </si>
  <si>
    <t>Martin Contreras Dominguez</t>
  </si>
  <si>
    <t>CODM601111HCHNMR06</t>
  </si>
  <si>
    <t>IGNACIO PEÑA RAMOS</t>
  </si>
  <si>
    <t>PERI490201HGRXMG00</t>
  </si>
  <si>
    <t>MANUEL ARTURO GILES AGUILAR</t>
  </si>
  <si>
    <t>GIAM600224HDFLGN09</t>
  </si>
  <si>
    <t>RICARDO CORONA IBARRA</t>
  </si>
  <si>
    <t>COIR750725HSLRBC01</t>
  </si>
  <si>
    <t>JESUS ALFONSO AGUILAR TORRES</t>
  </si>
  <si>
    <t>AUTJ620130HJCGRS07</t>
  </si>
  <si>
    <t>JOSUE HERNANDEZ CORNELIO</t>
  </si>
  <si>
    <t>HECJ640716HTCRRS05</t>
  </si>
  <si>
    <t>JOSE LUIS ANGULO VILLA</t>
  </si>
  <si>
    <t>AUVL590122HSLNLS09</t>
  </si>
  <si>
    <t>RAFAEL RODRIGUEZ GALAN</t>
  </si>
  <si>
    <t>01644860239</t>
  </si>
  <si>
    <t>ROGR481124HDFDLF05</t>
  </si>
  <si>
    <t>JESUS MURGA HERNANDEZ</t>
  </si>
  <si>
    <t xml:space="preserve">MUHJ500116HVZRRS00 </t>
  </si>
  <si>
    <t>FILOMENO GAYTAN GARCIA</t>
  </si>
  <si>
    <t>GAGF600705HCLYRL09</t>
  </si>
  <si>
    <t>Araceli lopez lujan</t>
  </si>
  <si>
    <t>21836550588</t>
  </si>
  <si>
    <t>JOSE DE JESUS MUÑOZ GUTIERREZ</t>
  </si>
  <si>
    <t xml:space="preserve">MUGJ650210HGRXTS02	</t>
  </si>
  <si>
    <t>DAVID RAMOS LOPEZ</t>
  </si>
  <si>
    <t>RALD630914HGTMPV09</t>
  </si>
  <si>
    <t>David perez palacios</t>
  </si>
  <si>
    <t>PEPD561228HBCRLV04</t>
  </si>
  <si>
    <t xml:space="preserve">JOSE ANGEL LOPEZ ALCARAZ </t>
  </si>
  <si>
    <t>LOAA551215HCHPLN08</t>
  </si>
  <si>
    <t>JOSE JESUS MORENO RAMIREZ</t>
  </si>
  <si>
    <t>MORJ550420HGTRMS04</t>
  </si>
  <si>
    <t>MANUEL MURILLO LOPEZ</t>
  </si>
  <si>
    <t>MULM600128HZSRPN09</t>
  </si>
  <si>
    <t>VALENTIN NEQUIZ MARTINEZ</t>
  </si>
  <si>
    <t>NEMV630725HDFQRL04</t>
  </si>
  <si>
    <t>TOMAS ARTEAGA ALMANZA</t>
  </si>
  <si>
    <t>AEAT631221HTSRLM06</t>
  </si>
  <si>
    <t xml:space="preserve">ANTONIO GARCIA GONZALEZ </t>
  </si>
  <si>
    <t>GAGA640410HTSRNN05</t>
  </si>
  <si>
    <t>JUAN JOSE ARGUELLES GONZALEZ</t>
  </si>
  <si>
    <t>AUGJ610111HVZRNN08</t>
  </si>
  <si>
    <t>RAUL ARMANDO RODRIGUEZ GARCIA</t>
  </si>
  <si>
    <t xml:space="preserve">01755927132
</t>
  </si>
  <si>
    <t>ROGR580316HDFDRL07</t>
  </si>
  <si>
    <t>PEDRO REYES CASTILLO</t>
  </si>
  <si>
    <t>RECP660429HVZYSD03</t>
  </si>
  <si>
    <t>ARMANDO ELIAS LOPEZ</t>
  </si>
  <si>
    <t>01745489820</t>
  </si>
  <si>
    <t>EILA560709HDFLPR00</t>
  </si>
  <si>
    <t>ARTURO 	TALAVERA GARCIA</t>
  </si>
  <si>
    <t>TAGA571213HDFLRR04</t>
  </si>
  <si>
    <t>SILVIA BELTRAN CUEN</t>
  </si>
  <si>
    <t>BECS491011MSLLNL08</t>
  </si>
  <si>
    <t>REYNALDO AGUAYO DURAN</t>
  </si>
  <si>
    <t>AUDR610213HNTGRY05</t>
  </si>
  <si>
    <t>JOSE PEDRO CONTRERAS ROSAS</t>
  </si>
  <si>
    <t>CORP650330HPLNSD05Q</t>
  </si>
  <si>
    <t xml:space="preserve">NORBERTO ROSAS GONZALEZ </t>
  </si>
  <si>
    <t>ROGN540606HMCSNR05</t>
  </si>
  <si>
    <t>ARNULFO TIRADO BARRAZA</t>
  </si>
  <si>
    <t>23796238006</t>
  </si>
  <si>
    <t>TIBA620513HSLRRR05</t>
  </si>
  <si>
    <t>MAYOR AGUILAR</t>
  </si>
  <si>
    <t xml:space="preserve"> GILBERTO GABRIEL RODRIGUEZ ZAMORA</t>
  </si>
  <si>
    <t>ROZG630101HCHDML04</t>
  </si>
  <si>
    <t>SCOTIABANK</t>
  </si>
  <si>
    <t>OSCAR VARGAS DIAZ</t>
  </si>
  <si>
    <t>VADO650418HDFRZS08</t>
  </si>
  <si>
    <t>LEOPOLDO BRAVO MACIAS</t>
  </si>
  <si>
    <t>BAML490610HDFRCP03</t>
  </si>
  <si>
    <t>ISIDRA FLORES CASTILLO</t>
  </si>
  <si>
    <t>FOCI640515MNLLDS00</t>
  </si>
  <si>
    <t>ISIDRO VELASCO IBARRA</t>
  </si>
  <si>
    <t>VEII541209HDFLBS08</t>
  </si>
  <si>
    <t>MANUEL TERAN GARAY</t>
  </si>
  <si>
    <t>TEGM610925HMCRRN02</t>
  </si>
  <si>
    <t>CESAR ANTONIO GUIDO</t>
  </si>
  <si>
    <t>GUXC610828HBSDXS09</t>
  </si>
  <si>
    <t>CIRILA SANCHEZ RIVERA</t>
  </si>
  <si>
    <t>SARC760621MCSNVR08</t>
  </si>
  <si>
    <t>WILFRIDO MORALES HERNANDEZ</t>
  </si>
  <si>
    <t>MOHW590408HTCRRL14</t>
  </si>
  <si>
    <t>MARCELA LOPEZ VALDIVIA</t>
  </si>
  <si>
    <t>LOVM641225MDFPLR05</t>
  </si>
  <si>
    <t>LORENA ADRIANA MUÑOZ GARCIA</t>
  </si>
  <si>
    <t>MUGL750201MASXRR06</t>
  </si>
  <si>
    <t>PEDRO ALONSO CADENAS</t>
  </si>
  <si>
    <t>AOCP570725HGTLDD06</t>
  </si>
  <si>
    <t xml:space="preserve">Juan de dios Betanzos mariscal </t>
  </si>
  <si>
    <t>BEMJ590308HDFTRN07</t>
  </si>
  <si>
    <t>FORTINO RAMIREZ ESCOBAR</t>
  </si>
  <si>
    <t>RAEF530811HCSMSR07</t>
  </si>
  <si>
    <t>ALMA NELI RAMIREZ VAZQUEZ</t>
  </si>
  <si>
    <t>55937524704</t>
  </si>
  <si>
    <t>RAVA740425MGTMZL00</t>
  </si>
  <si>
    <t>SEBASTIAN JULIAN LAZCANO SILES</t>
  </si>
  <si>
    <t>LASS610128HDFZLB09</t>
  </si>
  <si>
    <t>HERMILO MARTIN GALAN CUAHUA</t>
  </si>
  <si>
    <t>GACH650113HVZLHR05</t>
  </si>
  <si>
    <t xml:space="preserve">ENRIQUE ENRIQUEZ GARCIA </t>
  </si>
  <si>
    <t>EIGE830713HTSNRN05</t>
  </si>
  <si>
    <t>RAQUEL PORTILLO VILLEGAS</t>
  </si>
  <si>
    <t>336446113270</t>
  </si>
  <si>
    <t>POVR460501MCHRLQ00</t>
  </si>
  <si>
    <t>JUAN CARLOS MENDOZA IBARRA</t>
  </si>
  <si>
    <t>MEIJ611219HDFNBN06</t>
  </si>
  <si>
    <t>JESUS SALVADOR LEON AVILES</t>
  </si>
  <si>
    <t>LEAJ610510HBSNVS00</t>
  </si>
  <si>
    <t>ABIEL ALMANZA VALLE</t>
  </si>
  <si>
    <t>32846683079</t>
  </si>
  <si>
    <t>AAVA661107HCLLLB02</t>
  </si>
  <si>
    <t>DANIELA</t>
  </si>
  <si>
    <t>RUBEN CEDEÑO SOLANO</t>
  </si>
  <si>
    <t>01695080026</t>
  </si>
  <si>
    <t>CESR500511HDFDLB09</t>
  </si>
  <si>
    <t>Higinio Ramírez cruz</t>
  </si>
  <si>
    <t>DANIEL ZAMORA PEREZ</t>
  </si>
  <si>
    <t>ZAPD750216HDFMRN04</t>
  </si>
  <si>
    <t>HECTOR ALCARAZ GALVEZ</t>
  </si>
  <si>
    <t>AAGH560106HJCLLC00</t>
  </si>
  <si>
    <t>FIDEL MORALES ALONZO</t>
  </si>
  <si>
    <t xml:space="preserve">678164540228
</t>
  </si>
  <si>
    <t>MOAF640822HVZRLD03</t>
  </si>
  <si>
    <t>GUILLERMINA MADRID BUSTAMANTE</t>
  </si>
  <si>
    <t>MABG611229MSRDSL05</t>
  </si>
  <si>
    <t>RUBEN ABRAHAM POSSELT TOVAR</t>
  </si>
  <si>
    <t>POTR531125HSPSVB09</t>
  </si>
  <si>
    <t>MARISELA DE JESUS PINACHO</t>
  </si>
  <si>
    <t xml:space="preserve">78745603023
</t>
  </si>
  <si>
    <t>PIXM551101MOCNXR07</t>
  </si>
  <si>
    <t>NICOLAS AMARO ROJAS</t>
  </si>
  <si>
    <t xml:space="preserve">67806437033
</t>
  </si>
  <si>
    <t>RODOLFO GUILLEN ABARCA</t>
  </si>
  <si>
    <t>GUAR570209HCSLBD09</t>
  </si>
  <si>
    <t>JOSE PEDRO NUÑEZ MARTINEZ</t>
  </si>
  <si>
    <t>NUMP560209HGTXRD07</t>
  </si>
  <si>
    <t>MAXIMILIANO AÑORVE TORRES</t>
  </si>
  <si>
    <t xml:space="preserve">72775914103
</t>
  </si>
  <si>
    <t>AOTM610327HGRXRX02</t>
  </si>
  <si>
    <t>SANTOS JOSE ALFREDO SILVESTRE RODRIGUEZ</t>
  </si>
  <si>
    <t xml:space="preserve">65735415856
</t>
  </si>
  <si>
    <t>SIRS541101HVZLDN03</t>
  </si>
  <si>
    <t>JOSE CONCEPCION GARCIA AVILEZ</t>
  </si>
  <si>
    <t>GAAC631208HMCRVN04</t>
  </si>
  <si>
    <t>VICTOR HUGO BALLESTEROS MARTINEZ</t>
  </si>
  <si>
    <t>BAMV640331HSRLRC02</t>
  </si>
  <si>
    <t>MARTHA FABIOLA REYES PICON</t>
  </si>
  <si>
    <t>REPM750804MDGYCR05</t>
  </si>
  <si>
    <t>RAMON MADRID ESQUIVEL</t>
  </si>
  <si>
    <t xml:space="preserve">33755917771
</t>
  </si>
  <si>
    <t>MAER590710HCHDSM07</t>
  </si>
  <si>
    <t>GERARDO RIOS CONDES DE LA TORRE</t>
  </si>
  <si>
    <t>RICG650813HSRSNR06</t>
  </si>
  <si>
    <t xml:space="preserve">MAXIMINO MORENO LARA </t>
  </si>
  <si>
    <t>MOLM540608HCHRRX07</t>
  </si>
  <si>
    <t>ALFONSO CASTILLO SYMONDS</t>
  </si>
  <si>
    <t xml:space="preserve">24845903079
</t>
  </si>
  <si>
    <t>CASA590103HSRSYL00</t>
  </si>
  <si>
    <t>SERGIO GUZMAN HERNANDEZ</t>
  </si>
  <si>
    <t xml:space="preserve">37946401751
</t>
  </si>
  <si>
    <t>GUHS641220HDFZRR05</t>
  </si>
  <si>
    <t>GLORIA ROJAS PIÑA</t>
  </si>
  <si>
    <t xml:space="preserve">12816361179
</t>
  </si>
  <si>
    <t>ROPG640904MGTJXL02</t>
  </si>
  <si>
    <t>JAIME ARTURO NUÑEZ ARREDONDO</t>
  </si>
  <si>
    <t xml:space="preserve">24765918982
</t>
  </si>
  <si>
    <t>NUAJ601221HSRXRM02</t>
  </si>
  <si>
    <t xml:space="preserve">HUMBERTO OSORIO TREJO </t>
  </si>
  <si>
    <t>01705408068</t>
  </si>
  <si>
    <t>OOTH540520HDFSRM03</t>
  </si>
  <si>
    <t>HILARIO ROJAS RAMIREZ</t>
  </si>
  <si>
    <t>01775984626</t>
  </si>
  <si>
    <t>Félix González Rodríguez</t>
  </si>
  <si>
    <t>GORF560216HVZNDL04</t>
  </si>
  <si>
    <t>GABRIEL NAVARRO FERNANDEZ</t>
  </si>
  <si>
    <t>NAFG680803HJCVRB07</t>
  </si>
  <si>
    <t>JUAN CABRERA CORPUS</t>
  </si>
  <si>
    <t>MARIA GUADALUPE CERVANTES MAYO</t>
  </si>
  <si>
    <t>CEMG561212MDFRYD08</t>
  </si>
  <si>
    <t>FAUSTO PELAYO BETANCOURT</t>
  </si>
  <si>
    <t>06716372279</t>
  </si>
  <si>
    <t>ROGELIO JOAQUIN OLIVARES</t>
  </si>
  <si>
    <t>OIAR520827HMNLVG08</t>
  </si>
  <si>
    <t>CAROLINA OCHOA ESTRADA</t>
  </si>
  <si>
    <t xml:space="preserve">OOEC651005MCHCSR03	</t>
  </si>
  <si>
    <t>Francisco Alemán Gómez</t>
  </si>
  <si>
    <t xml:space="preserve">AEGF641203HVZLMR01 </t>
  </si>
  <si>
    <t>IGNACIO PRIETO ZERTUCHE</t>
  </si>
  <si>
    <t>PIZI550203HVZRRG00</t>
  </si>
  <si>
    <t>ENRIQUE RODRIGUEZ LIMON</t>
  </si>
  <si>
    <t xml:space="preserve">32816376464 </t>
  </si>
  <si>
    <t>ROLE640219HCLDMN08</t>
  </si>
  <si>
    <t>GFI</t>
  </si>
  <si>
    <t>81047703020</t>
  </si>
  <si>
    <t>MANUEL SOLORZANO SOLORZANO</t>
  </si>
  <si>
    <t>SOSM640910HMNLLN08</t>
  </si>
  <si>
    <t xml:space="preserve">TERESA DE JESUS CARDENAS EVERARDO </t>
  </si>
  <si>
    <t>CAET640425MTCRVR05</t>
  </si>
  <si>
    <t>SENAIDO VAQUEZ FUENTES</t>
  </si>
  <si>
    <t>VAFS621011HGRZNN19</t>
  </si>
  <si>
    <t>777 109 8065</t>
  </si>
  <si>
    <t>BANCREA,GFI APOYO</t>
  </si>
  <si>
    <t>JOGE LUIS GODINEZ MACIAS</t>
  </si>
  <si>
    <t>56887152454</t>
  </si>
  <si>
    <t>GOMJ710224HJCDCR03</t>
  </si>
  <si>
    <t>33 1887 4273</t>
  </si>
  <si>
    <t>ERASTO MORALES GOMEZ</t>
  </si>
  <si>
    <t>MOGE570726HOCRMR14</t>
  </si>
  <si>
    <t>55 3287 6743</t>
  </si>
  <si>
    <t>ISMAEL RAMIREZ SIGUENZA</t>
  </si>
  <si>
    <t>RASI630518HDFMGS12</t>
  </si>
  <si>
    <t>55 6680 2991</t>
  </si>
  <si>
    <t>ALVARO VALDES ARZATE</t>
  </si>
  <si>
    <t>06785834224</t>
  </si>
  <si>
    <t>55 3972 5346</t>
  </si>
  <si>
    <t>JORGE ENRIQUE TELLEZ CAPITANACHI</t>
  </si>
  <si>
    <t>TECJ790718HVZLPR02</t>
  </si>
  <si>
    <t>JESUS CELEDONIO FLORES</t>
  </si>
  <si>
    <t xml:space="preserve">01836411197
</t>
  </si>
  <si>
    <t>CEFJ640118HMCLLS04</t>
  </si>
  <si>
    <t>MARTHA DIAZ TORRES</t>
  </si>
  <si>
    <t>DITM590221MDFZRR09</t>
  </si>
  <si>
    <t>55 6679 0531</t>
  </si>
  <si>
    <t>ANA HONORIO CORTEZ</t>
  </si>
  <si>
    <t xml:space="preserve">658555072505
</t>
  </si>
  <si>
    <t>HOCA581121MVZNRN09</t>
  </si>
  <si>
    <t>ANGELA HERNANDEZ LOPEZ</t>
  </si>
  <si>
    <t>HELA630507MDFRPN09</t>
  </si>
  <si>
    <t xml:space="preserve">MARIA DEL CARMEN SAUCEDO GONZALEZ </t>
  </si>
  <si>
    <t xml:space="preserve">54906348252
</t>
  </si>
  <si>
    <t>SAGC630414MJCCNR02</t>
  </si>
  <si>
    <t>ENRIQUE VALDEZ VASQUEZ</t>
  </si>
  <si>
    <t xml:space="preserve">24765810148
</t>
  </si>
  <si>
    <t xml:space="preserve">AGUSTIN ESPINOSA LEON </t>
  </si>
  <si>
    <t>EILA600502HPLSNG00</t>
  </si>
  <si>
    <t>SILVIA JIMENEZ  PEREZ</t>
  </si>
  <si>
    <t>JIPS531104MTCMRL00</t>
  </si>
  <si>
    <t>TIMOTEO GONZALEZ CUELLAR</t>
  </si>
  <si>
    <t xml:space="preserve">41938524332
</t>
  </si>
  <si>
    <t xml:space="preserve">MODESTO GUIERREZ CASTELn </t>
  </si>
  <si>
    <t>GUCM570224HPLTSD05</t>
  </si>
  <si>
    <t>RUBEN ROBLEDO GAVIA</t>
  </si>
  <si>
    <t xml:space="preserve">12816523083
</t>
  </si>
  <si>
    <t>ROGR650901HGTBVB04</t>
  </si>
  <si>
    <t xml:space="preserve">RUBEN JUAN CHAVEZ VALDEZ </t>
  </si>
  <si>
    <t>CAVR630122HDFHLB01</t>
  </si>
  <si>
    <t>ALFREDO KURI BARRERA</t>
  </si>
  <si>
    <t>KUBA590511HDFRRL04</t>
  </si>
  <si>
    <t xml:space="preserve"> JOSE JESUS VILLAVICENCIO CASTRO</t>
  </si>
  <si>
    <t>VICJ731001HBSLSS08</t>
  </si>
  <si>
    <t>SILVIA ZAVALA ALONSO</t>
  </si>
  <si>
    <t xml:space="preserve">33877082876
</t>
  </si>
  <si>
    <t>ZAAS700402MCHVLL08</t>
  </si>
  <si>
    <t xml:space="preserve"> GUADALUPE JAVIER CERVANTES MENDEZ </t>
  </si>
  <si>
    <t>DELIA GUADENCIA REYES LOPEZ</t>
  </si>
  <si>
    <t xml:space="preserve">49805708887
</t>
  </si>
  <si>
    <t>RELD570122MCLYPL09</t>
  </si>
  <si>
    <t>SEBASTIAN RUIZ ENCINIA</t>
  </si>
  <si>
    <t>RUES630215HTSZNB05</t>
  </si>
  <si>
    <t>YINN ANTHONIK ALVARADO TORRES</t>
  </si>
  <si>
    <t>AATY790312HDFLRN06</t>
  </si>
  <si>
    <t xml:space="preserve">BLANCA LILIA SANTANA SAUCEDO </t>
  </si>
  <si>
    <t>SASB750511MMNNCL08</t>
  </si>
  <si>
    <t>JOSE JESUS RENTERIA ROBLES</t>
  </si>
  <si>
    <t xml:space="preserve">24846224004
</t>
  </si>
  <si>
    <t>RERJ621223HSRNBS01</t>
  </si>
  <si>
    <t xml:space="preserve">RICARDO RODRIGUEZ ROSAS </t>
  </si>
  <si>
    <t>RORR560403HTSDSC07</t>
  </si>
  <si>
    <t>MA. DE LOURDES NUÑEZ NUÑEZ</t>
  </si>
  <si>
    <t>NUNL490809MCHXXR02</t>
  </si>
  <si>
    <t xml:space="preserve"> JOSE ANTONIO DELGADO REYES</t>
  </si>
  <si>
    <t xml:space="preserve">42806225571 </t>
  </si>
  <si>
    <t>DERA620409HDFLYN04</t>
  </si>
  <si>
    <t>FERNANDO NUÑEZ ANAYA</t>
  </si>
  <si>
    <t>NUAF600924HASXNR09</t>
  </si>
  <si>
    <t>JORGE ENRIQUE JIMENEZ HERNANDEZ</t>
  </si>
  <si>
    <t>JIHJ790423HTCMRR05</t>
  </si>
  <si>
    <t>JUANA NICOLAS SEGUNDO</t>
  </si>
  <si>
    <t xml:space="preserve">16916815083  </t>
  </si>
  <si>
    <t>NISJ740629MMCCGN09</t>
  </si>
  <si>
    <t xml:space="preserve">RAMIRO ALMARAZ DAVILA </t>
  </si>
  <si>
    <t>51855400696</t>
  </si>
  <si>
    <t>OSCAR ALBERTO TORRES ARENAL</t>
  </si>
  <si>
    <t xml:space="preserve">01765476997
</t>
  </si>
  <si>
    <t>TOAO541126HMNRRS04</t>
  </si>
  <si>
    <t>SANTA TERESA DE JESUS GONZALEZ DIAZ</t>
  </si>
  <si>
    <t>65685020326</t>
  </si>
  <si>
    <t>GODS571015MTSNZN08</t>
  </si>
  <si>
    <t>Maria Luisa Morales Valadez</t>
  </si>
  <si>
    <t>MOVL570819MNLRLS08</t>
  </si>
  <si>
    <t>MARIA ESTHER SAUCEDO CISNEROS</t>
  </si>
  <si>
    <t>SACE800415MCLCSS06</t>
  </si>
  <si>
    <t xml:space="preserve">MANUEL JESUS CORTAZAR HERNANDEZ </t>
  </si>
  <si>
    <t>COHM640425HTCRRN03</t>
  </si>
  <si>
    <t>OLAT JESUS  ZAYOLA BADILLO</t>
  </si>
  <si>
    <t>ZABO491014HDFYDL03</t>
  </si>
  <si>
    <t>HERIBERTO ARIAS SAENZ</t>
  </si>
  <si>
    <t>AISH611214HCHRNR00</t>
  </si>
  <si>
    <t>JUAN CARLOS BARCENAS ARRAZOLA</t>
  </si>
  <si>
    <t>BAAJ581104HDFRRN06</t>
  </si>
  <si>
    <t>MARTIN SOSTENES ARREDONDO GOMEZ</t>
  </si>
  <si>
    <t>AEGM620610HNLRMR05</t>
  </si>
  <si>
    <t>81 3429 3021</t>
  </si>
  <si>
    <t>JORGE SANCHEZ GOMEZ</t>
  </si>
  <si>
    <t>SAGJ610331HVZNMR05</t>
  </si>
  <si>
    <t>OLGA LYDIA	GONZALEZ HERVERT</t>
  </si>
  <si>
    <t>GOHO620806MVZNRL02</t>
  </si>
  <si>
    <t>HINV</t>
  </si>
  <si>
    <t>VERONICA FLORES ACUÑA</t>
  </si>
  <si>
    <t>FOAV730529MTSLCR05</t>
  </si>
  <si>
    <t>MARIA VIRGINIA CUAUTLE GOMEZ</t>
  </si>
  <si>
    <t>CUGV610910MPLTMR09</t>
  </si>
  <si>
    <t>DNX EXPRESS</t>
  </si>
  <si>
    <t>JOSE AGAPITO MORALES RODRIGUEZ</t>
  </si>
  <si>
    <t>438963105309</t>
  </si>
  <si>
    <t>MORA630104HNLRDG08</t>
  </si>
  <si>
    <t>56 6357 3515</t>
  </si>
  <si>
    <t>ANDRES GONZALEZ ESCUDERO</t>
  </si>
  <si>
    <t xml:space="preserve">33856468344
</t>
  </si>
  <si>
    <t>GOEA641130HCHNSN02</t>
  </si>
  <si>
    <t xml:space="preserve">MARIA DE LOURDES AVILA TORRES </t>
  </si>
  <si>
    <t xml:space="preserve">04966003172
</t>
  </si>
  <si>
    <t>AITL700910MJCVRR05</t>
  </si>
  <si>
    <t>GRACIELA AMEZCUA BARREDA</t>
  </si>
  <si>
    <t>AEBG560124MCMMRR03</t>
  </si>
  <si>
    <t>DIONICIO GARCIA VALERIO</t>
  </si>
  <si>
    <t xml:space="preserve">4380603489 </t>
  </si>
  <si>
    <t>ABEL NADIN IZA VILLA</t>
  </si>
  <si>
    <t xml:space="preserve">65805940866
</t>
  </si>
  <si>
    <t>IAVA591002HVZZLB04</t>
  </si>
  <si>
    <t>ROBERTO GUIZAR GUERRERO</t>
  </si>
  <si>
    <t>GUGR620507HBCZRG06</t>
  </si>
  <si>
    <t>GILBERTO DE JESUS RIVAS SANCHEZ</t>
  </si>
  <si>
    <t xml:space="preserve">84826404372
</t>
  </si>
  <si>
    <t>RISG650306HYNVNL06</t>
  </si>
  <si>
    <t>MARCO ANTONIO HERNANDEZ FLORES</t>
  </si>
  <si>
    <t>HEFM650524HDFRLR01</t>
  </si>
  <si>
    <t>11675020298</t>
  </si>
  <si>
    <t>33 1280 9037</t>
  </si>
  <si>
    <t>JORGE HERNANDEZ SALDAÑA</t>
  </si>
  <si>
    <t>HESJ550303HDFRLR07</t>
  </si>
  <si>
    <t>CARLOS AURELIO BADILLO ROSALES</t>
  </si>
  <si>
    <t>67806212568</t>
  </si>
  <si>
    <t>YESSENIA</t>
  </si>
  <si>
    <t xml:space="preserve">ISAAC MORENO QUEZADA	</t>
  </si>
  <si>
    <t>MOQI630129HCLRZS05</t>
  </si>
  <si>
    <t>dIMEX</t>
  </si>
  <si>
    <t>MARGARITA DEL CARMEN MENDEZ GUERRERO</t>
  </si>
  <si>
    <t>MEGM611220MHGNRR07</t>
  </si>
  <si>
    <t>ROBERTO LUCIO LEON BALLESTEROS</t>
  </si>
  <si>
    <t>LEBR610607HDFNLB03</t>
  </si>
  <si>
    <t>ALEJANDRO RUBEN HUERTA 	BALDERAS</t>
  </si>
  <si>
    <t>HUBA600826HDFRLL01</t>
  </si>
  <si>
    <t>DIRECTODO</t>
  </si>
  <si>
    <t>MIGUEL GOMEZ CRUZ</t>
  </si>
  <si>
    <t xml:space="preserve">32846503129
</t>
  </si>
  <si>
    <t>JOSE NOE PALMA RODRIGUEZ</t>
  </si>
  <si>
    <t>PARN621203HDFLDX02</t>
  </si>
  <si>
    <t>FERNANDO PAULIN RODRIGUEZ</t>
  </si>
  <si>
    <t>43806379377</t>
  </si>
  <si>
    <t>PARF631018HNLLDR08</t>
  </si>
  <si>
    <t xml:space="preserve">JORGE TORIBIO LOOPEZ HINOJOSA </t>
  </si>
  <si>
    <t>LOHJ610628HNLPNR06</t>
  </si>
  <si>
    <t>JOSE GERARDO TAMEZ MARTINEZ</t>
  </si>
  <si>
    <t>TAMG611211HDGMRR09</t>
  </si>
  <si>
    <t>ARMULFO OLIVARES RODRIGUEZ</t>
  </si>
  <si>
    <t>67775806275</t>
  </si>
  <si>
    <t>EVA JUAREZ LOPEZ</t>
  </si>
  <si>
    <t>JULE621202MGTRPV05</t>
  </si>
  <si>
    <t>MARTHA ROSA SANTOS GONZALEZ</t>
  </si>
  <si>
    <t>SAGM600331MSPNNR00</t>
  </si>
  <si>
    <t>ROMAN CERVANTES REYES</t>
  </si>
  <si>
    <t>CERR620809HGTRYM05</t>
  </si>
  <si>
    <t>PATRICIA ESQUIVEL LOPEZ</t>
  </si>
  <si>
    <t>EULP660107MDFSPT03</t>
  </si>
  <si>
    <t>LUIS ALFONSO BAEZ LUGO</t>
  </si>
  <si>
    <t>BALL620612HSLZGS01</t>
  </si>
  <si>
    <t xml:space="preserve">ANDRES DURAN NIEVES </t>
  </si>
  <si>
    <t>DUNA530126HMNRVN02</t>
  </si>
  <si>
    <t>Carlos santos soberanis palomera</t>
  </si>
  <si>
    <t>segovia alcaraz juana</t>
  </si>
  <si>
    <t xml:space="preserve">Lubia Muñoz Soliz </t>
  </si>
  <si>
    <t>MUSL551015MCSXLB05</t>
  </si>
  <si>
    <t>JOSE LUIS ROMAN LARA</t>
  </si>
  <si>
    <t>49816325713</t>
  </si>
  <si>
    <t>ROLL630405HTSMRS09</t>
  </si>
  <si>
    <t>MIGUEL ANGEL GONZALEZ ROMERO</t>
  </si>
  <si>
    <t>GORM660802HDFNMG03</t>
  </si>
  <si>
    <t xml:space="preserve"> JAVIER MORAN GARCIA</t>
  </si>
  <si>
    <t xml:space="preserve">39977107398 </t>
  </si>
  <si>
    <t>MOGJ711013HDFRRV03</t>
  </si>
  <si>
    <t>CARLOS ANGEL COVARRUBIAS FELIX</t>
  </si>
  <si>
    <t>COFC611214HSLVLR09</t>
  </si>
  <si>
    <t>JESUS MARTIN ARELLANO BELMONTE</t>
  </si>
  <si>
    <t>AEBJ580928HNLRLS02</t>
  </si>
  <si>
    <t>CARLOS GONZALEZ ANGUIANO</t>
  </si>
  <si>
    <t>GOAC490910HCMNNR02</t>
  </si>
  <si>
    <t>FERNANDO MOROYOQUI GALVEZ</t>
  </si>
  <si>
    <t>MOGF631028HSRRLR06</t>
  </si>
  <si>
    <t>JORGE ARTURO MUÑOZ FAVA</t>
  </si>
  <si>
    <t>MUFJ610302HCHXVR00</t>
  </si>
  <si>
    <t xml:space="preserve">MARIO CESAR LOPEZ CONSTANTINO  </t>
  </si>
  <si>
    <t>71806205242</t>
  </si>
  <si>
    <t>COLM610121HCSNPR09</t>
  </si>
  <si>
    <t xml:space="preserve">JOSE GUADALUPE ESPINOSA SORIA </t>
  </si>
  <si>
    <t>09907348743</t>
  </si>
  <si>
    <t>EISG731023HSPSRD01</t>
  </si>
  <si>
    <t>M.BERENICE ORTEGA SÁNCHEZ</t>
  </si>
  <si>
    <t>557660O3143</t>
  </si>
  <si>
    <t xml:space="preserve">OESB590208MJCRNR05 </t>
  </si>
  <si>
    <t xml:space="preserve"> FRANCISCO SALINAS DIAZ</t>
  </si>
  <si>
    <t>GABINO REYES BENITEZ</t>
  </si>
  <si>
    <t>REBG620219HHGYNB08</t>
  </si>
  <si>
    <t>LUIS PEREZ JIMENEZ</t>
  </si>
  <si>
    <t>41805908815</t>
  </si>
  <si>
    <t>PEJL590825HSPRMS05</t>
  </si>
  <si>
    <t>LUCIA ROJAS CAMACHO</t>
  </si>
  <si>
    <t>ROCL801026MTCJMC09</t>
  </si>
  <si>
    <t>GILBERTO MUÑOZ MANCINAS</t>
  </si>
  <si>
    <t>MUMG680204HSLXNL09</t>
  </si>
  <si>
    <t>BRUNO TRUJILLO BARRIOS</t>
  </si>
  <si>
    <t>TUBB541024HGRRRR00</t>
  </si>
  <si>
    <t xml:space="preserve">CONSUELO CARRILLO OLIVARES </t>
  </si>
  <si>
    <t>31664613481</t>
  </si>
  <si>
    <t>CAOC530801MDGRLN01</t>
  </si>
  <si>
    <t xml:space="preserve">ROSARIO JUAREZ FRANCO </t>
  </si>
  <si>
    <t>33846369214</t>
  </si>
  <si>
    <t>JUFR631108HCHRRS02</t>
  </si>
  <si>
    <t>MA. ISABEL TURRUBIATES PRADO</t>
  </si>
  <si>
    <t>41735303368</t>
  </si>
  <si>
    <t>TUPI540708MSPRRS02</t>
  </si>
  <si>
    <t>MARIA DE LA LUZ VENEROZO NIETO</t>
  </si>
  <si>
    <t>VENL630807MVZNTZ00</t>
  </si>
  <si>
    <t>01//2028</t>
  </si>
  <si>
    <t>EFRAIN HERNANDEZ PEREZ</t>
  </si>
  <si>
    <t>HEPE520205HVZRRF04</t>
  </si>
  <si>
    <t>RODRIGO MONDRAGON</t>
  </si>
  <si>
    <t>54806187511</t>
  </si>
  <si>
    <t>FILIBERTO HERNNDEZ LOPEZ</t>
  </si>
  <si>
    <t xml:space="preserve">81886401959 </t>
  </si>
  <si>
    <t>HELF6640311HCCRPL08</t>
  </si>
  <si>
    <t>EFREN MORENO PEREZ</t>
  </si>
  <si>
    <t>MOPE620625HSLRRF00</t>
  </si>
  <si>
    <t>SILVIA LARA FUENTES</t>
  </si>
  <si>
    <t>LAFS640930MSLRNL02</t>
  </si>
  <si>
    <t>HERMINIO VARGAS HERRERA</t>
  </si>
  <si>
    <t>VAHH590101HCHRRR10</t>
  </si>
  <si>
    <t>AGNELA EDITH ARGUELLO ASTORGA</t>
  </si>
  <si>
    <t>AUAA600728MCLRSG00</t>
  </si>
  <si>
    <t>FELIPE AGUILAR GARCIA</t>
  </si>
  <si>
    <t>32715413863</t>
  </si>
  <si>
    <t>AUGF550715HCLGRL04</t>
  </si>
  <si>
    <t>DANIEL AGUINAGA VENGAS</t>
  </si>
  <si>
    <t>34876303875</t>
  </si>
  <si>
    <t>AUVD630710HZSGNN03</t>
  </si>
  <si>
    <t>JUAN FELIX ORTEGA RODRIGUEZ</t>
  </si>
  <si>
    <t>01886205309</t>
  </si>
  <si>
    <t>OERJ620624HDFRDN09</t>
  </si>
  <si>
    <t>FELIX CORTEZ MEDRANO</t>
  </si>
  <si>
    <t>16826600492</t>
  </si>
  <si>
    <t>COMF660301HMCRDL01</t>
  </si>
  <si>
    <t>ROSA MARIA BRISEÑO</t>
  </si>
  <si>
    <t>54745315215</t>
  </si>
  <si>
    <t>BIXR570505MJCRXS07</t>
  </si>
  <si>
    <t xml:space="preserve">HORACIO SANTOS DURÁN </t>
  </si>
  <si>
    <t>SADH511011HCSNRR06</t>
  </si>
  <si>
    <t>VICTOR HUGO MIRAMONTES VALENZULA</t>
  </si>
  <si>
    <t>MIVV570317HSRRLC02</t>
  </si>
  <si>
    <t>JORGE HERNANEZ PEREZ</t>
  </si>
  <si>
    <t>03907401461</t>
  </si>
  <si>
    <t>CESAR ARTURO DE LEON LOPEZ</t>
  </si>
  <si>
    <t>LELC521215HCSNPS03</t>
  </si>
  <si>
    <t>LAURA ELENA CHAVEZ VILLALBA</t>
  </si>
  <si>
    <t>3388656170</t>
  </si>
  <si>
    <t>CAVL650604MCHHLR01</t>
  </si>
  <si>
    <t xml:space="preserve">6391240600	</t>
  </si>
  <si>
    <t>ANDRES BRAVO DELGADO</t>
  </si>
  <si>
    <t>BADA541109HJCRLN04</t>
  </si>
  <si>
    <t>PEDRO MORA LIZAOLA</t>
  </si>
  <si>
    <t>04876326002</t>
  </si>
  <si>
    <t>MOLP631222HJCRZD04</t>
  </si>
  <si>
    <t>FRANCISCO JAVIER PAZ GONZALEZ</t>
  </si>
  <si>
    <t>49816459462</t>
  </si>
  <si>
    <t>PAGF641029HTSZNR06</t>
  </si>
  <si>
    <t>JUAN ANTONIO JACOBI MOROYOQUI</t>
  </si>
  <si>
    <t>24806051538</t>
  </si>
  <si>
    <t>JOMJ600718HSRCRN05</t>
  </si>
  <si>
    <t>HECTOR GUADALUPE NORIEGA GODINES</t>
  </si>
  <si>
    <t>65926518013</t>
  </si>
  <si>
    <t>NOGH651212HVZRDC05</t>
  </si>
  <si>
    <t xml:space="preserve">MIGUEL ANGEL RAMIREZ MOJARDIN </t>
  </si>
  <si>
    <t>23906600327</t>
  </si>
  <si>
    <t>RAMM650802HSLMJG18</t>
  </si>
  <si>
    <t xml:space="preserve">ISMAEL CLEMENTE DE JESUS </t>
  </si>
  <si>
    <t>CEJI580404HVZLSS04</t>
  </si>
  <si>
    <t>BERNABE ARELLANO RAYON</t>
  </si>
  <si>
    <t>AERB730611HVZRYR07</t>
  </si>
  <si>
    <t>43796237840</t>
  </si>
  <si>
    <t>PORFIRIO CONRADO PECH</t>
  </si>
  <si>
    <t>COPP580915HYNNCR09</t>
  </si>
  <si>
    <t>HONORIO ALCANTARA PINEDA</t>
  </si>
  <si>
    <t>AAPH601028HCMLNN03</t>
  </si>
  <si>
    <t>ADOLFO DELGADO ACHOTLA</t>
  </si>
  <si>
    <t>DEAA640914HMSLCD01</t>
  </si>
  <si>
    <t>MARIA PATROCINIO CORONA PEREZ</t>
  </si>
  <si>
    <t>JOSE MARIA GRANIEL Y ZALDIVAR</t>
  </si>
  <si>
    <t>GAZM550206HYNRLR08</t>
  </si>
  <si>
    <t>ELIAS GONZALEZ CUBILLOS</t>
  </si>
  <si>
    <t>MARIA TERESA DE JESUS REYES PEREZ</t>
  </si>
  <si>
    <t>32644822739</t>
  </si>
  <si>
    <t>REPT530607MCLYRR07</t>
  </si>
  <si>
    <t xml:space="preserve">FERNANDO DE JESUS DENIS VALIENTE </t>
  </si>
  <si>
    <t>DEVF561121HDFNLR01</t>
  </si>
  <si>
    <t>ISRAEL RAMIREZ NEVAREZ</t>
  </si>
  <si>
    <t>RANI760728HSLMVS03</t>
  </si>
  <si>
    <t>JOSE MARIO CORTINA AMARO</t>
  </si>
  <si>
    <t>33806232725</t>
  </si>
  <si>
    <t>COAM620908HDGRMR03</t>
  </si>
  <si>
    <t>EMILIO CAAMAL POOT</t>
  </si>
  <si>
    <t>CAPE691206HYNMTM04</t>
  </si>
  <si>
    <t xml:space="preserve">ANDRES BAUTISTA </t>
  </si>
  <si>
    <t>BAXA591020HVZTXN08</t>
  </si>
  <si>
    <t xml:space="preserve">MARCIAL AQUINO HERNANDEZ </t>
  </si>
  <si>
    <t>AUHM610703HOCQRR06</t>
  </si>
  <si>
    <t>JESUS BARTOLOME CORONEL BARRERA</t>
  </si>
  <si>
    <t>COBJ500824HDFRRS08</t>
  </si>
  <si>
    <t>MISAEL PACHUCA GARCIA</t>
  </si>
  <si>
    <t>32876125181</t>
  </si>
  <si>
    <t>PAGM610108HCLCRS01</t>
  </si>
  <si>
    <t>LUIS HERNANDEZ BERNAL</t>
  </si>
  <si>
    <t>HEBL641102HGRRRS03</t>
  </si>
  <si>
    <t xml:space="preserve">SANTIAGO GONZALEZ HERNANDEZ  </t>
  </si>
  <si>
    <t xml:space="preserve">GOHS640725HDFNRN09 </t>
  </si>
  <si>
    <t>GUILLERMO ALVAREZ ROMERO</t>
  </si>
  <si>
    <t>AARG660726HMNLML05</t>
  </si>
  <si>
    <t>56 1015 3501</t>
  </si>
  <si>
    <t>FELIX GUDIÑO RESENDIZ</t>
  </si>
  <si>
    <t>GURF560724HQTDSL02</t>
  </si>
  <si>
    <t>ALBERTO MORENO JUNQUERA</t>
  </si>
  <si>
    <t>MOJA550313HDFRNL08</t>
  </si>
  <si>
    <t>FLORENCIO CHAROLA MENDEZ</t>
  </si>
  <si>
    <t xml:space="preserve">88806222755 </t>
  </si>
  <si>
    <t>CAMF630104HMCHNL05</t>
  </si>
  <si>
    <t>MARIA GUADALUPE RIOS CEDILLO</t>
  </si>
  <si>
    <t>RICG851230MMCSDD09</t>
  </si>
  <si>
    <t>Hugo Romero Lopez</t>
  </si>
  <si>
    <t>ROLH610607HVZMPG06</t>
  </si>
  <si>
    <t>AURORA MENDOZA SABORI</t>
  </si>
  <si>
    <t>AURORA DEL CARMEN OCHOA MEJIA</t>
  </si>
  <si>
    <t>OOMA621117MCLCJR01</t>
  </si>
  <si>
    <t>ARMANDO AGUSTIN RICO LOPEZ</t>
  </si>
  <si>
    <t>RILA570828HSPCPR00</t>
  </si>
  <si>
    <t>JOSE LUIS CORREA BRITO</t>
  </si>
  <si>
    <t>COBL591228HDFRRS09</t>
  </si>
  <si>
    <t>MARIA ESPERANZA LOPEZ ALVAREZ</t>
  </si>
  <si>
    <t>23744902083</t>
  </si>
  <si>
    <t>LOAE690801MCHPLS06</t>
  </si>
  <si>
    <t>FRANCISCO JAVIER SANCHEZ SANDOVAL</t>
  </si>
  <si>
    <t>SASF710620HDFNNR04</t>
  </si>
  <si>
    <t>LUIS MARIO CABRAL LARES</t>
  </si>
  <si>
    <t xml:space="preserve">43745719344 </t>
  </si>
  <si>
    <t>CALL571124HNLBRS06</t>
  </si>
  <si>
    <t>81 1674 4806</t>
  </si>
  <si>
    <t>JULIO ROSALES CASAS</t>
  </si>
  <si>
    <t>ROCJ650412HZSSSL07</t>
  </si>
  <si>
    <t>ERNESTO TRINIDAD DAVILA</t>
  </si>
  <si>
    <t>TIDE630828HDFRVR04</t>
  </si>
  <si>
    <t xml:space="preserve">LIDIA </t>
  </si>
  <si>
    <t xml:space="preserve">JOSE EMILIO GOMEZ URIBE </t>
  </si>
  <si>
    <t xml:space="preserve">GUADALUPE COBARRUVIAS VELAZQUEZ </t>
  </si>
  <si>
    <t>COVG481205MCSBLD14</t>
  </si>
  <si>
    <t>MARIA ROSARIO ZAZUETA MEDINA</t>
  </si>
  <si>
    <t>ZAMR430201MSLZDS00</t>
  </si>
  <si>
    <t>GERARDO QUIROZ MARTINEZ</t>
  </si>
  <si>
    <t>844 289 1494</t>
  </si>
  <si>
    <t>FIDEL CASTREJON CRUZ</t>
  </si>
  <si>
    <t>CACF620410HDFSRD00</t>
  </si>
  <si>
    <t>MAGDALENO GUTIERREZ  RIVERA</t>
  </si>
  <si>
    <t>PEDRO GERARDO DOMINGUEZ RODRIGUEZ</t>
  </si>
  <si>
    <t>DORP591118HPLMDD06</t>
  </si>
  <si>
    <t>JOSE FILIBERTO SALINAS GONZALEZ</t>
  </si>
  <si>
    <t>04486427378</t>
  </si>
  <si>
    <t>SAGF641007HJCLNL05</t>
  </si>
  <si>
    <t>MARIO CANO</t>
  </si>
  <si>
    <t>CAXM600726HVZNXR04</t>
  </si>
  <si>
    <t>ISMAEL AMARO HERNANDEZ</t>
  </si>
  <si>
    <t xml:space="preserve">31816405281
</t>
  </si>
  <si>
    <t>GABRIEL GODINES LOPEZ</t>
  </si>
  <si>
    <t>GOLG600403HGRDPB08</t>
  </si>
  <si>
    <t>DANIEL CRUS SALAS</t>
  </si>
  <si>
    <t>CUSD660425HCSRLN00</t>
  </si>
  <si>
    <t>HILDA VALENTIN TORRES</t>
  </si>
  <si>
    <t>VATH551222MVZLRL06</t>
  </si>
  <si>
    <t>DIVINA RODRIGUEZ CAMACHO</t>
  </si>
  <si>
    <t xml:space="preserve">15846510251
</t>
  </si>
  <si>
    <t>ROCD651224MMSDMV02</t>
  </si>
  <si>
    <t>JOSE ANTONIO LOPEZ ESTRADA</t>
  </si>
  <si>
    <t>LOEA770627HJCPSN09</t>
  </si>
  <si>
    <t xml:space="preserve">JOSE RUBEN LEON MORALES </t>
  </si>
  <si>
    <t>LEMR570915HBCNRB02</t>
  </si>
  <si>
    <t>Juan ignacio gutierrez rubio</t>
  </si>
  <si>
    <t>GURJ620731HJCTBN02</t>
  </si>
  <si>
    <t>DAVID GOTLIB POMERANTZ</t>
  </si>
  <si>
    <t>11695276052</t>
  </si>
  <si>
    <t>GOPD520130HDFTMV08</t>
  </si>
  <si>
    <t>MARTHA SAMANO ALVARADO</t>
  </si>
  <si>
    <t xml:space="preserve">1481591171 </t>
  </si>
  <si>
    <t>SAAM591103MQTMLR08</t>
  </si>
  <si>
    <t>YOLANDA DELGADO CORDERO</t>
  </si>
  <si>
    <t>DECY720425MZSLRL06</t>
  </si>
  <si>
    <t>NORMA ANGELICA GLORIA BARRERA</t>
  </si>
  <si>
    <t>GOBN640414MCLLRR03</t>
  </si>
  <si>
    <t>LUZ MARIA RAMIREZ SANCHEZ</t>
  </si>
  <si>
    <t>RASL530531MVZMNZ08</t>
  </si>
  <si>
    <t>344 100 4601</t>
  </si>
  <si>
    <t>JOSE FRANCISCO CRUZ MORENO</t>
  </si>
  <si>
    <t>CUMF610225HYNRRR01</t>
  </si>
  <si>
    <t>GUMARO ALEJANDRO ARMENTA ARMENTA</t>
  </si>
  <si>
    <t>AEAG590517HSRRRM02</t>
  </si>
  <si>
    <t>VALENTIN JAVIER SUMANO HERNANDEZ</t>
  </si>
  <si>
    <t>01715585822</t>
  </si>
  <si>
    <t>SUHV550214HOCMRL08</t>
  </si>
  <si>
    <t>33 3048 2843</t>
  </si>
  <si>
    <t xml:space="preserve">SAMUEL SAUCEDO HERRERA </t>
  </si>
  <si>
    <t>SAHS580113HSLCRM06</t>
  </si>
  <si>
    <t>AGUSTIN MARTINEZ MARTINEZ</t>
  </si>
  <si>
    <t>MAMA540708HMNRRG03</t>
  </si>
  <si>
    <t xml:space="preserve">LEONEL ALMANZA CISNEROS </t>
  </si>
  <si>
    <t>VICTOR FRANCISCO VILLAESCUSA CAZARES</t>
  </si>
  <si>
    <t>VICV631124HSRLZC02</t>
  </si>
  <si>
    <t>PABLO URBANO MONTIEL HERNNADEZ</t>
  </si>
  <si>
    <t xml:space="preserve">06766014085
</t>
  </si>
  <si>
    <t>MOHP600525HDFNRB06</t>
  </si>
  <si>
    <t>Maria de Jesús cruz cordero</t>
  </si>
  <si>
    <t>CUCJ640327MSLRRS04</t>
  </si>
  <si>
    <t xml:space="preserve"> JESUS MANUEL BOHORQUEZ LUGO</t>
  </si>
  <si>
    <t>BOLJ610414HSLJGS08</t>
  </si>
  <si>
    <t>HUMBERTO CANCHE HERRERA</t>
  </si>
  <si>
    <t>CAHH530325HDFNRM00</t>
  </si>
  <si>
    <t xml:space="preserve">DAVID MARES MARTÍNEZ </t>
  </si>
  <si>
    <t>MAMD631123HBCRRV01</t>
  </si>
  <si>
    <t xml:space="preserve">Lopez Ma Del Carmen </t>
  </si>
  <si>
    <t>JAIME TRENADO PIÑA</t>
  </si>
  <si>
    <t>TEPJ540211HGTRXM08</t>
  </si>
  <si>
    <t>MARGARITA PALACIOS GOMEZ</t>
  </si>
  <si>
    <t>PAGM461222MDFLMR06</t>
  </si>
  <si>
    <t>ZITA HORTENCIA TRUJILLO CEDILLO</t>
  </si>
  <si>
    <t>TUCZ550327MPLRDT04</t>
  </si>
  <si>
    <t xml:space="preserve">RENAN ALEJANDRO OSORIO NAVA </t>
  </si>
  <si>
    <t>01776019299</t>
  </si>
  <si>
    <t>OONR601128HDFSVN09</t>
  </si>
  <si>
    <t>TIRSO FEDERICO MEDINA URIARTE</t>
  </si>
  <si>
    <t>MEUT641228HSLDRR02</t>
  </si>
  <si>
    <t>JOSE LUIS DZUL ITZA</t>
  </si>
  <si>
    <t xml:space="preserve">82776200048
</t>
  </si>
  <si>
    <t>DUIL610718HYNZTS04</t>
  </si>
  <si>
    <t>DAVID HERNANDEZ FIGUEROA</t>
  </si>
  <si>
    <t>HEFD660307HCLRGV07</t>
  </si>
  <si>
    <t>FABIOLA ROSARIO PEREZ BECERRA</t>
  </si>
  <si>
    <t xml:space="preserve">74927610381
</t>
  </si>
  <si>
    <t>PEBF771110MJCRCB09</t>
  </si>
  <si>
    <t>DENNIS ARMANDO CALDERON ZELAYA</t>
  </si>
  <si>
    <t>CAZD590205HNELLN00</t>
  </si>
  <si>
    <t>ALFREDO ORTIZ MAGALLANES</t>
  </si>
  <si>
    <t>OIMA570208HCHRGL08</t>
  </si>
  <si>
    <t>ROSARIO BRIGIDA SALDIVAR SOLIS</t>
  </si>
  <si>
    <t>33846848308</t>
  </si>
  <si>
    <t>SASR681008MCHLLS04</t>
  </si>
  <si>
    <t>ROLANDO RODRIGUEZ ESTRADA</t>
  </si>
  <si>
    <t>ROER650705HTSDSL02</t>
  </si>
  <si>
    <t xml:space="preserve">RAMON MARTINEZ FRANCO </t>
  </si>
  <si>
    <t>MAFR650411HMCRRM02</t>
  </si>
  <si>
    <t>JUAN DE DIOS MENDEZ JIMENEZ</t>
  </si>
  <si>
    <t>MEJJ640308HDFNMN07</t>
  </si>
  <si>
    <t>MIGUEL ANGEL RAUL PECH AVILEZ</t>
  </si>
  <si>
    <t>PEAM650925HQRCVG02</t>
  </si>
  <si>
    <t>JORGE HUGO MEZA IÑIGUEZ</t>
  </si>
  <si>
    <t>MEIJ610423HSPZXR00</t>
  </si>
  <si>
    <t xml:space="preserve">CARLOS ALBERTO INTERIAN BE </t>
  </si>
  <si>
    <t xml:space="preserve">82806301543
</t>
  </si>
  <si>
    <t>IEBC641114HYNNXR03</t>
  </si>
  <si>
    <t>FRANCISCO HERNANDEZ</t>
  </si>
  <si>
    <t>HEXF580220HDFRXR04</t>
  </si>
  <si>
    <t xml:space="preserve">ARTURO VELA QUINTANAR </t>
  </si>
  <si>
    <t>VEQA630522HDFLNR00</t>
  </si>
  <si>
    <t>BEATRIZ AMALIA TOVAR RAMIREZ</t>
  </si>
  <si>
    <t>TORB650818MNLVMT02</t>
  </si>
  <si>
    <t xml:space="preserve">VICTOR MANUEL LOAEZA HERNANDEZ </t>
  </si>
  <si>
    <t>LOHV580309HGRZRC03</t>
  </si>
  <si>
    <t>SILVIA PAZ MARQUEZ</t>
  </si>
  <si>
    <t>PAMS650405MCMZRL00</t>
  </si>
  <si>
    <t>LAURO BUSTAMANTE RUBIO</t>
  </si>
  <si>
    <t>BURL521030HMNSBR03</t>
  </si>
  <si>
    <t>ROMAN ACOSTA CHAN</t>
  </si>
  <si>
    <t>AOCR591129HYNCHM09</t>
  </si>
  <si>
    <t>BANCREA, CONSUPAGO</t>
  </si>
  <si>
    <t>LEONARDO CIME CIME</t>
  </si>
  <si>
    <t>CICL640411HYNMMN06</t>
  </si>
  <si>
    <t>JUAN MADRID ESCOBEDO</t>
  </si>
  <si>
    <t>MAEJ641130HDGDSN03</t>
  </si>
  <si>
    <t>ISABEL HERNANDEZ HERNANDEZ</t>
  </si>
  <si>
    <t>HEHI570708HNLRRS02</t>
  </si>
  <si>
    <t>ESTHER ARGELIA FIGUEROA ACOSTA</t>
  </si>
  <si>
    <t>FIAE741126MYNGCS03</t>
  </si>
  <si>
    <t xml:space="preserve">FELIPE CASTRO VARAS </t>
  </si>
  <si>
    <t>CAVF610205HMCSRL01</t>
  </si>
  <si>
    <t>JUAN ISABEL GUERRERO ARMENTA</t>
  </si>
  <si>
    <t>GUAJ590708HSPRRN08</t>
  </si>
  <si>
    <t xml:space="preserve">JOSE ZAVALA MENDOZA </t>
  </si>
  <si>
    <t>ZAMJ440810HMNVNS02</t>
  </si>
  <si>
    <t xml:space="preserve">EXITUS, BANCREA </t>
  </si>
  <si>
    <t xml:space="preserve">FRANCISCO JAVIER CERVANTES BARQUERA </t>
  </si>
  <si>
    <t>0678607923</t>
  </si>
  <si>
    <t>CEBF601130HDFRRR05</t>
  </si>
  <si>
    <t>DXN</t>
  </si>
  <si>
    <t>OSCAR VALDEZ ESPINOSA</t>
  </si>
  <si>
    <t>52816209184</t>
  </si>
  <si>
    <t>VAEO621117HCMLSS09</t>
  </si>
  <si>
    <t>RAFAEL JIMENEZ DOMINGUEZ</t>
  </si>
  <si>
    <t>JIDR600520HTCMMF04</t>
  </si>
  <si>
    <t>ERASMO RODRIGUEZ VAQUERA</t>
  </si>
  <si>
    <t>ROVE610817HTSDQR04</t>
  </si>
  <si>
    <t xml:space="preserve">JOSE EDUARDO BORQUEZ PUEBLA </t>
  </si>
  <si>
    <t>BOPE580327HSRRBD01</t>
  </si>
  <si>
    <t xml:space="preserve">RAUL TORRES RODRIGUEZ </t>
  </si>
  <si>
    <t>TORR511028HCLRDL09</t>
  </si>
  <si>
    <t>ANTONIO CASAMENI CRUZ</t>
  </si>
  <si>
    <t>CXCA600130HTSSRN03</t>
  </si>
  <si>
    <t>YOLANDA AVILA RODRIGUEZ</t>
  </si>
  <si>
    <t>AIRY710228MDGVDL08</t>
  </si>
  <si>
    <t>RUBEN CANALES BAÑUELOS</t>
  </si>
  <si>
    <t>CABR590630HCHNXB09</t>
  </si>
  <si>
    <t>ROLANDO GARCIA MARTINEZ</t>
  </si>
  <si>
    <t>GAMR520425HYNRRL01</t>
  </si>
  <si>
    <t>ARACELI LEIVA HERNANDEZ</t>
  </si>
  <si>
    <t>LEHA620615MJCVRR04</t>
  </si>
  <si>
    <t>TRINIDAD AMAYA JIMENEZ</t>
  </si>
  <si>
    <t>AAJT610521HSRMMR06</t>
  </si>
  <si>
    <t>LUIS MANUEL CASTRO FRANCO</t>
  </si>
  <si>
    <t>CAFL710216HCLSRS02</t>
  </si>
  <si>
    <t>LORENZO MERAZ MESTA</t>
  </si>
  <si>
    <t>MEML620905HDGRSR02</t>
  </si>
  <si>
    <t>EUSTACIO MILLAN AGUILAR</t>
  </si>
  <si>
    <t>MIAE530329HMSLGS05</t>
  </si>
  <si>
    <t>LORENZO MARTINEZ</t>
  </si>
  <si>
    <t>41856005545</t>
  </si>
  <si>
    <t xml:space="preserve"> MAXL600811HSPRXR09</t>
  </si>
  <si>
    <t xml:space="preserve">LUIS HUMBERTO LUJAN TORRES </t>
  </si>
  <si>
    <t>LUTL561113HZSJRS06</t>
  </si>
  <si>
    <t>J. JESUS FLORES MORENO</t>
  </si>
  <si>
    <t>FOMJ581002HMNLRS02</t>
  </si>
  <si>
    <t xml:space="preserve">JOSE JULIO VELÁZQUEZ SÁNCHEZ </t>
  </si>
  <si>
    <t>VESJ630730HMSLNL03</t>
  </si>
  <si>
    <t>MARIA GRISELDA MARISCAL</t>
  </si>
  <si>
    <t>02197589761</t>
  </si>
  <si>
    <t>MAGG750201MJCRZR05</t>
  </si>
  <si>
    <t>MARCELINO	ORTIZ CORTES</t>
  </si>
  <si>
    <t>OICM640528HVZRRR07</t>
  </si>
  <si>
    <t>FRANCO PANTALEON AMBROSIO</t>
  </si>
  <si>
    <t>PAAF701217HVZNMR09</t>
  </si>
  <si>
    <t>IVONNE MATILDE CARRILLO HERNANDEZ</t>
  </si>
  <si>
    <t>JOSE EDUARDO ESCOBEDO TENA</t>
  </si>
  <si>
    <t>EOTE981204HJCSND06</t>
  </si>
  <si>
    <t>RAUL ALBERTO IBARRA BUENO</t>
  </si>
  <si>
    <t xml:space="preserve">IABR640709HNTBNL09  </t>
  </si>
  <si>
    <t>Humberto hinojosa lopez</t>
  </si>
  <si>
    <t>56735200414</t>
  </si>
  <si>
    <t>SILVIA DE LA CRUZ CAMACHO</t>
  </si>
  <si>
    <t>CUCS740725MJCRML06</t>
  </si>
  <si>
    <t>33 2848 9614</t>
  </si>
  <si>
    <t>JANETT ZAMBRANO BARROSO</t>
  </si>
  <si>
    <t>ZABJ770128MGTMRN00</t>
  </si>
  <si>
    <t xml:space="preserve">JESUS RIOS MIRANDA </t>
  </si>
  <si>
    <t>RIMJ641207HMCSRS04</t>
  </si>
  <si>
    <t>SIMON MANZANO GARCIA</t>
  </si>
  <si>
    <t>MARÍA GUADALUPE BARAJAS GARZA</t>
  </si>
  <si>
    <t>65805608679</t>
  </si>
  <si>
    <t>COSME BUENAVENTURA GUADARRAMA</t>
  </si>
  <si>
    <t>BUGC620219HMCNDS00</t>
  </si>
  <si>
    <t>ROLANDO ZAMBRANO GALVAN</t>
  </si>
  <si>
    <t>ZAGR670719HCLMLL00</t>
  </si>
  <si>
    <t>JOSE ROBERTO MAZARIEGOS</t>
  </si>
  <si>
    <t>MAMR831011HCSZRB01</t>
  </si>
  <si>
    <t>OSCAR PRIETO  ARROYO</t>
  </si>
  <si>
    <t>REMEDIOS CERAS RENDON</t>
  </si>
  <si>
    <t xml:space="preserve">01806216535
</t>
  </si>
  <si>
    <t>CERR651109MMCRNM05</t>
  </si>
  <si>
    <t xml:space="preserve">MARIA DE LOS ANGELES SOSA GONZALEZ </t>
  </si>
  <si>
    <t xml:space="preserve">61866203369
</t>
  </si>
  <si>
    <t>SOGA620802MTLSNN11</t>
  </si>
  <si>
    <t xml:space="preserve">ROSA MARIA HINOJOSA DOMINGUEZ </t>
  </si>
  <si>
    <t>HIDR520901MDFNMS09</t>
  </si>
  <si>
    <t>RAUL CARMONA MARTINEZ</t>
  </si>
  <si>
    <t>CAMR651207HDFRRL04</t>
  </si>
  <si>
    <t>56 3657 4764</t>
  </si>
  <si>
    <t>SERGIO HURTADO RAMIREZ</t>
  </si>
  <si>
    <t>HURS580921HMNRMR02</t>
  </si>
  <si>
    <t>Manuel de Jesús franco flores</t>
  </si>
  <si>
    <t>JOSE RAUL MOLINA CAMPOS</t>
  </si>
  <si>
    <t>MOCR720915HVZLML07</t>
  </si>
  <si>
    <t>JUAN MANUEL MARTINEZ CHARLES</t>
  </si>
  <si>
    <t>32947228352</t>
  </si>
  <si>
    <t>MACJ720407HCLRHN03</t>
  </si>
  <si>
    <t>HUMBERTO LIMAS HERNANDEZ</t>
  </si>
  <si>
    <t>16806006660</t>
  </si>
  <si>
    <t>ESTEBAN LOPEZ FERNANDEZ</t>
  </si>
  <si>
    <t>LOFE520925HVZPRS02</t>
  </si>
  <si>
    <t>CARMEN CORRO CRUZ</t>
  </si>
  <si>
    <t>COCC690123MVZRRR0</t>
  </si>
  <si>
    <t xml:space="preserve">MARIO PARRA CAMACHO </t>
  </si>
  <si>
    <t>24786027565</t>
  </si>
  <si>
    <t>PACM600224HSRRMR09</t>
  </si>
  <si>
    <t>JOSE JORGE SILVA ESTRADA</t>
  </si>
  <si>
    <t>SIEJ620804HMCLSR02</t>
  </si>
  <si>
    <t xml:space="preserve">DNX EXPRESS </t>
  </si>
  <si>
    <t xml:space="preserve">MAURICIO HERNANDEZ RAMIREZ </t>
  </si>
  <si>
    <t>65937326281</t>
  </si>
  <si>
    <t>HERM740926HVZRMR07</t>
  </si>
  <si>
    <t>ARACELY VAZQUEZ VAZQUEZ</t>
  </si>
  <si>
    <t>VAVA710817MNLZZR09</t>
  </si>
  <si>
    <t>MARTIN RAMIREZ CANCHOLA</t>
  </si>
  <si>
    <t>41775706611</t>
  </si>
  <si>
    <t>RACM571210HSPMNR08</t>
  </si>
  <si>
    <t>FRANCISCA MIRTHALA CORREA AGUILAR</t>
  </si>
  <si>
    <t>COAF570806MNLRGR00</t>
  </si>
  <si>
    <t>HECTOR RAMOS SANCHEZ</t>
  </si>
  <si>
    <t>RASH610706HDFMNC04</t>
  </si>
  <si>
    <t>JOSE MARTINEZ ESPINOZA</t>
  </si>
  <si>
    <t>78786103040</t>
  </si>
  <si>
    <t>MAEJ611118HOCRSS07</t>
  </si>
  <si>
    <t>LEA MARBELLA CAMACHO RAYGOZA</t>
  </si>
  <si>
    <t>23735300198</t>
  </si>
  <si>
    <t>CARL521104MSLMYX09</t>
  </si>
  <si>
    <t>BEATRIZ</t>
  </si>
  <si>
    <t xml:space="preserve">SERGIO BALLESTEROS RIVAS </t>
  </si>
  <si>
    <t>BARS620726HCHLVR09</t>
  </si>
  <si>
    <t>MIGUEL ANGEL CASTILLO CALOCA</t>
  </si>
  <si>
    <t>CACM610628HDFSLG03</t>
  </si>
  <si>
    <t>RAYMUNDO SANCHEZ ORTIZ</t>
  </si>
  <si>
    <t>32816285202</t>
  </si>
  <si>
    <t>SAOR631214HCLNRY15</t>
  </si>
  <si>
    <t>ANA MARIA BARBOSA ALVAREZ</t>
  </si>
  <si>
    <t>BAAA600614MJCRLN02</t>
  </si>
  <si>
    <t>JOSE CRUZ GOMEZ GONZALEZ</t>
  </si>
  <si>
    <t>GOGC630503HCLMNR04</t>
  </si>
  <si>
    <t>FIDEL MARTINEZ PACHECO</t>
  </si>
  <si>
    <t>MAPF651217HDFRCD03</t>
  </si>
  <si>
    <t>LAURO MANUEL ROJAS ALMAZAN</t>
  </si>
  <si>
    <t>JUAN PEDRO CAZARES PEREZ ALVA</t>
  </si>
  <si>
    <t>11795737409</t>
  </si>
  <si>
    <t>OEYM570201MDFVMR01</t>
  </si>
  <si>
    <t xml:space="preserve">MANUEL ADAME LOPEZ </t>
  </si>
  <si>
    <t>06836104049</t>
  </si>
  <si>
    <t>CARMEN OLIVIA VAZQUEZ HERNANDEZ</t>
  </si>
  <si>
    <t>VAHC610412MCMZRR05</t>
  </si>
  <si>
    <t>DARIO GUARNEROS SANCHEZ</t>
  </si>
  <si>
    <t>GUSD571219HPLRNR00</t>
  </si>
  <si>
    <t xml:space="preserve">Arturo Matos Rodriguez </t>
  </si>
  <si>
    <t>MARA511116HCCTDR08</t>
  </si>
  <si>
    <t>DIONISIO TRINIDAD CHAVEZ PERDOMO</t>
  </si>
  <si>
    <t>06755530349</t>
  </si>
  <si>
    <t>CAPD551116HMCHRN03</t>
  </si>
  <si>
    <t>JOSE JESUS LARRAGA SALAVADOR</t>
  </si>
  <si>
    <t>LASJ610412HSPRLS08</t>
  </si>
  <si>
    <t>32796257494</t>
  </si>
  <si>
    <t>PETRA LETICIA VALVEZ REYES</t>
  </si>
  <si>
    <t xml:space="preserve">ALEJANDRO PLATA MARTÍNEZ </t>
  </si>
  <si>
    <t>PAMA651207HDFLRL07</t>
  </si>
  <si>
    <t>JUAN ANTONIO MARQUEZ GARCIA</t>
  </si>
  <si>
    <t>MAGJ670413HCLRRN00</t>
  </si>
  <si>
    <t>GUSTAVO LARA BUSTOS</t>
  </si>
  <si>
    <t>LABG580609HGTRSS04</t>
  </si>
  <si>
    <t>HERMITANIO REJON MASUN</t>
  </si>
  <si>
    <t>82977804556</t>
  </si>
  <si>
    <t>REMH780819HQRJSR02</t>
  </si>
  <si>
    <t>MARTHA SOLEDAD VARGAS LÓPEZ</t>
  </si>
  <si>
    <t>BERNARDO 	RODRIGUEZ 	GONZALEZ</t>
  </si>
  <si>
    <t>ROGB660819HSLDNR03</t>
  </si>
  <si>
    <t xml:space="preserve">Luis Arturo Romo Hernandez </t>
  </si>
  <si>
    <t>32998061256</t>
  </si>
  <si>
    <t>ROHL800702HCLMRS02</t>
  </si>
  <si>
    <t>JUAN RODRIGUES YEOMANS</t>
  </si>
  <si>
    <t>ROYJ641116HSRDMN04</t>
  </si>
  <si>
    <t xml:space="preserve">MARTIN SERGIO AGANZA SALAZAR </t>
  </si>
  <si>
    <t>AASM630902HSRGLR01</t>
  </si>
  <si>
    <t>JESUS DIAZ GONZALEZ</t>
  </si>
  <si>
    <t>DIGJ690309HCLZNS09</t>
  </si>
  <si>
    <t>ESEQUIEL MARQUEZ RAMIREZ</t>
  </si>
  <si>
    <t>MARE690307HCHRMS02</t>
  </si>
  <si>
    <t>CARLOS ALBERTO GARCIA ALONSO</t>
  </si>
  <si>
    <t>21855808479</t>
  </si>
  <si>
    <t>GAAC540925HTLRLR06</t>
  </si>
  <si>
    <t>MARIA DE LOS ANGELES MENDOZA JIMENEZ</t>
  </si>
  <si>
    <t>MEJA601115MMNNMN00</t>
  </si>
  <si>
    <t>JAVIER MARTINEZ ROMERO</t>
  </si>
  <si>
    <t>MARJ640525HPLRMV07</t>
  </si>
  <si>
    <t>EUSEBIO URDIANO SEGURA</t>
  </si>
  <si>
    <t>UISE780623HJCRGS05</t>
  </si>
  <si>
    <t>CLAUDIA ALEJANDRA RAMIREZ SOSA</t>
  </si>
  <si>
    <t>RASC720707MVZMSL03</t>
  </si>
  <si>
    <t>LEOBARDO LUGO SALAS</t>
  </si>
  <si>
    <t>LUSL650118HZSGLB05</t>
  </si>
  <si>
    <t>844 340 0488</t>
  </si>
  <si>
    <t>HORTENCIA VARGAS GONZALEZ</t>
  </si>
  <si>
    <t xml:space="preserve">11826307891
</t>
  </si>
  <si>
    <t>VAGH630917MMCRNR00</t>
  </si>
  <si>
    <t>FERNANDO MORENO CRUZ</t>
  </si>
  <si>
    <t>MOCF610501HDFRRR08</t>
  </si>
  <si>
    <t>55 1694 7864</t>
  </si>
  <si>
    <t>LORENZO RODRIGUEZ ROJAS</t>
  </si>
  <si>
    <t xml:space="preserve">55806308551
</t>
  </si>
  <si>
    <t>RORL630810HJCDJR01</t>
  </si>
  <si>
    <t xml:space="preserve">RAMÓN CHÁVEZ TORRES </t>
  </si>
  <si>
    <t xml:space="preserve">JUAN JOSE ALVAREZ VALENCIA </t>
  </si>
  <si>
    <t>AAVJ581104HDFLLN05</t>
  </si>
  <si>
    <t>JUAN MARTIN MAURICIO RAMIREZ</t>
  </si>
  <si>
    <t>MARJ600917HCLRMN02</t>
  </si>
  <si>
    <t xml:space="preserve">Andrés sosa León </t>
  </si>
  <si>
    <t>JORGE ESTEBAN SANTILLAN RUIZ</t>
  </si>
  <si>
    <t xml:space="preserve">24897345443
</t>
  </si>
  <si>
    <t>SARJ740227HSRNZR00</t>
  </si>
  <si>
    <t>RAFAEL AGUILAR NUÑEZ</t>
  </si>
  <si>
    <t>AUNR651024HCSGXF03</t>
  </si>
  <si>
    <t>MARIA TERESA RAMIREZ CUERVO</t>
  </si>
  <si>
    <t>RACT610916MVZMRR02</t>
  </si>
  <si>
    <t>JESUS HINDELISA PLASCENCIA ACOSTA</t>
  </si>
  <si>
    <t>PAAJ610105MNTLCS07</t>
  </si>
  <si>
    <t>ENRIQUE MARISCAL ALPIREZ</t>
  </si>
  <si>
    <t>MAAE630523HVZRLN00</t>
  </si>
  <si>
    <t>ALBERTO HERNANDEZ JULIAN</t>
  </si>
  <si>
    <t xml:space="preserve">39887005526
</t>
  </si>
  <si>
    <t>HEJA700719HDFRLL02</t>
  </si>
  <si>
    <t>JESUS ORTIZ GRANADOS</t>
  </si>
  <si>
    <t>OIGJ511225HCLRRS06</t>
  </si>
  <si>
    <t>REYNALDO ESPINOZA OJEDA</t>
  </si>
  <si>
    <t>CARLOS CESAR MEDINA HERNANDEZ</t>
  </si>
  <si>
    <t>MEHC650909HCLDRR08</t>
  </si>
  <si>
    <t>ROGELIO CESAR GARCIA RODRIGUEZ</t>
  </si>
  <si>
    <t>01776086546</t>
  </si>
  <si>
    <t>GARR601230HDFRDG09</t>
  </si>
  <si>
    <t>597 123 1948</t>
  </si>
  <si>
    <t>LUIS MANUEL ZOZAYA ANGUAS</t>
  </si>
  <si>
    <t>ZOAL640228HYNZNS04</t>
  </si>
  <si>
    <t>LIBORIO MIJANGOS ONOFRE</t>
  </si>
  <si>
    <t>MIOL630802HOCJNB01</t>
  </si>
  <si>
    <t>MARIA TRINIDAD ESPINOZA GONZALEZ</t>
  </si>
  <si>
    <t>EIGT651114MPLSNR03</t>
  </si>
  <si>
    <t>MARIA JULIETA GRANILLO MORENO</t>
  </si>
  <si>
    <t>GAMJ740122MDGRRL08</t>
  </si>
  <si>
    <t xml:space="preserve">MULTIVA </t>
  </si>
  <si>
    <t>67806426150</t>
  </si>
  <si>
    <t>VICTOR DELGADO DIAZ</t>
  </si>
  <si>
    <t>DEDV550708HSLLZC14</t>
  </si>
  <si>
    <t>ALMA EMMA MARTINEZ REYES</t>
  </si>
  <si>
    <t>MARA590702MDFRYL04</t>
  </si>
  <si>
    <t>CARMEN ADAME ARENAS</t>
  </si>
  <si>
    <t>AAAC630530MCHDRR09</t>
  </si>
  <si>
    <t xml:space="preserve">MANUEL DE JESUS ORTIZ CRUZ </t>
  </si>
  <si>
    <t>OICM561224HVZRRN07</t>
  </si>
  <si>
    <t>MAURICIO CASTILLO GUTIERREZ</t>
  </si>
  <si>
    <t>CAGM650922HPLSTR09</t>
  </si>
  <si>
    <t>ALFREDO OCHOA RAMIREZ</t>
  </si>
  <si>
    <t>OORA741006HJCCML09</t>
  </si>
  <si>
    <t>MARTIN VAZQUEZ PEREZ</t>
  </si>
  <si>
    <t xml:space="preserve">52806213121
</t>
  </si>
  <si>
    <t>VAPM620517HBCZRR09</t>
  </si>
  <si>
    <t>JOSE LUIS GONZALEZ ALCANTARA</t>
  </si>
  <si>
    <t xml:space="preserve">96897035471
</t>
  </si>
  <si>
    <t>GOAL700706HMCNLS05</t>
  </si>
  <si>
    <t>ARTURO MUÑOZ MONTES DE OCA</t>
  </si>
  <si>
    <t>10796180304</t>
  </si>
  <si>
    <t>MUMA611015HDFXNR08</t>
  </si>
  <si>
    <t>ARMANDO BAZALDUA TORRES</t>
  </si>
  <si>
    <t>43796209070</t>
  </si>
  <si>
    <t>MARIA ELENA LAZARIN GARCIA</t>
  </si>
  <si>
    <t>LAGE640325MCLZRL01</t>
  </si>
  <si>
    <t>BONIFACIO GARCIA YAÑEZ</t>
  </si>
  <si>
    <t>GAYB560514HMCRXN01</t>
  </si>
  <si>
    <t>BENJAMIN GONZALEZ BAUTISTA</t>
  </si>
  <si>
    <t>GOBB610412HMSNTN09</t>
  </si>
  <si>
    <t>juana segovia alcaraz</t>
  </si>
  <si>
    <t>SEAJ520518MNTGLN02</t>
  </si>
  <si>
    <t>Jorge Ozorio Ruiz</t>
  </si>
  <si>
    <t>OORJ700910HMCSZR00</t>
  </si>
  <si>
    <t xml:space="preserve">RENE ALEJANDRO RICO OLIVARES </t>
  </si>
  <si>
    <t>92936511630</t>
  </si>
  <si>
    <t>RIOR650904HMCCLN01</t>
  </si>
  <si>
    <t>EDUARDO PADILLA GUTIERREZ</t>
  </si>
  <si>
    <t>PAGE640610HDFDTD03</t>
  </si>
  <si>
    <t>JOSE LUNA MEDRANO</t>
  </si>
  <si>
    <t>LUMJ600130HNLNDS06</t>
  </si>
  <si>
    <t>GERARDO GARZA HUELGUERA</t>
  </si>
  <si>
    <t>GAHG620919HCLRLR06</t>
  </si>
  <si>
    <t>PEDRO MORALES CARRIZALES</t>
  </si>
  <si>
    <t>MOCP670410HNLRRD04</t>
  </si>
  <si>
    <t>04826434351</t>
  </si>
  <si>
    <t>PATRICIA ESCOBAR ROLDAN</t>
  </si>
  <si>
    <t>EORP650220MCHSLT03</t>
  </si>
  <si>
    <t>JOSE FRANCISCO RAZO ANGELES</t>
  </si>
  <si>
    <t xml:space="preserve">92907234865
</t>
  </si>
  <si>
    <t>RAAF721004HDFZNR06</t>
  </si>
  <si>
    <t>GLORIA MELO PEREZ</t>
  </si>
  <si>
    <t>MEPG730905MVZLRL03</t>
  </si>
  <si>
    <t>RAYMUNDO RICARDO VALLE RAMIREZ</t>
  </si>
  <si>
    <t>VARR530315HDFLMY04</t>
  </si>
  <si>
    <t>JOSE LUIS ASTORGA DUEÑAS</t>
  </si>
  <si>
    <t>AODL490328HNTSXS09</t>
  </si>
  <si>
    <t>OSCAR DE LEON RINCON</t>
  </si>
  <si>
    <t xml:space="preserve">32745629587
</t>
  </si>
  <si>
    <t>FRANCISCO JAVIER TAVERA ANGEL</t>
  </si>
  <si>
    <t xml:space="preserve">12826526712
</t>
  </si>
  <si>
    <t>TAAF650506HGTVNR03</t>
  </si>
  <si>
    <t>MIGUEL AMERICO ROBLEDO</t>
  </si>
  <si>
    <t>ROBM640914HDFBRG02</t>
  </si>
  <si>
    <t>MANUEL PRADO TORRES</t>
  </si>
  <si>
    <t>PATM610601HCLRRN03</t>
  </si>
  <si>
    <t>LOENARDO GONZALEZ ROMERO</t>
  </si>
  <si>
    <t xml:space="preserve">64806337776
</t>
  </si>
  <si>
    <t>GORL631106HDFNMN05</t>
  </si>
  <si>
    <t>ROBERTO ELOY LUGO GONZALEZ</t>
  </si>
  <si>
    <t xml:space="preserve">16925001857
</t>
  </si>
  <si>
    <t>LUGR501202HMCGNB00</t>
  </si>
  <si>
    <t>GUSTAVO ACOSTA RAMOS</t>
  </si>
  <si>
    <t>AORG700531HCLCMS04</t>
  </si>
  <si>
    <t>EVANGELINA DE LOS ANGELES MORALES</t>
  </si>
  <si>
    <t xml:space="preserve">52806200433
</t>
  </si>
  <si>
    <t>AEME651020MCMNRV04</t>
  </si>
  <si>
    <t>BEATRIZ GOMEZ RUIZ</t>
  </si>
  <si>
    <t>GORB610606MJCMZT02</t>
  </si>
  <si>
    <t>MARIA FELIX DURAN RUIZ</t>
  </si>
  <si>
    <t>DURF590614MVZRZL04</t>
  </si>
  <si>
    <t xml:space="preserve">ARTURO PIEDRAS RIOS </t>
  </si>
  <si>
    <t>PIRA650504HDFDSR06</t>
  </si>
  <si>
    <t>FRANCISCO MORA LOZANO</t>
  </si>
  <si>
    <t>04725446340</t>
  </si>
  <si>
    <t>MOLF541202HJCRZR05</t>
  </si>
  <si>
    <t>395 108 4612</t>
  </si>
  <si>
    <t>AURELIO DUQUE GUZMAN</t>
  </si>
  <si>
    <t>01796088696</t>
  </si>
  <si>
    <t>DUGA610925HDFQZR02</t>
  </si>
  <si>
    <t>55 1973 5842</t>
  </si>
  <si>
    <t>IRMA LILIAN RAMIREZ MONROY</t>
  </si>
  <si>
    <t>RAMI521210MDFMNR01</t>
  </si>
  <si>
    <t>SAMUEL ARMENGOL MARTINEZ</t>
  </si>
  <si>
    <t>AEMS640415HOCRRM09</t>
  </si>
  <si>
    <t>JESUS ARELLANO MEZA</t>
  </si>
  <si>
    <t>AEMJ661026HCHRZS04</t>
  </si>
  <si>
    <t>JOSE ALVARADO CASTRO</t>
  </si>
  <si>
    <t>AACJ570517HMNLSS08</t>
  </si>
  <si>
    <t>JESUS GONZALEZ GALICIA</t>
  </si>
  <si>
    <t>GOGJ601218HNLNLS07</t>
  </si>
  <si>
    <t>Guadalupe González larrea</t>
  </si>
  <si>
    <t xml:space="preserve">33816499330
</t>
  </si>
  <si>
    <t>ENRIQUE CARRILLO ZAMORA</t>
  </si>
  <si>
    <t>CAZE570716HNTRMN02</t>
  </si>
  <si>
    <t xml:space="preserve">FRANCISCO GUEVARA VICENTE </t>
  </si>
  <si>
    <t>LUIS MANUEL NOYOLA ADAME</t>
  </si>
  <si>
    <t>04887157206</t>
  </si>
  <si>
    <t>NOAL701122HJCYDS02</t>
  </si>
  <si>
    <t xml:space="preserve">JORGE ALFREDO ALVARADO NORIEGA </t>
  </si>
  <si>
    <t>AANJ740726HZSLRR03</t>
  </si>
  <si>
    <t>JOSE LUIS FLORES RODRIGUEZ</t>
  </si>
  <si>
    <t>FORL581025HCHLDS05</t>
  </si>
  <si>
    <t>Jacqueline Guach Suárez</t>
  </si>
  <si>
    <t>JORGE KERBER MARTINEZ</t>
  </si>
  <si>
    <t>KEMJ610515HVZRRR06</t>
  </si>
  <si>
    <t>J. LUIS OPUEBLITO NUÑEZ BAUTISTA</t>
  </si>
  <si>
    <t xml:space="preserve">1480632365
</t>
  </si>
  <si>
    <t>NUBL630411HQTXTS00</t>
  </si>
  <si>
    <t>AMADA SANCHEZ MORALES</t>
  </si>
  <si>
    <t xml:space="preserve">23836307084
</t>
  </si>
  <si>
    <t>SAMA630215MSLNRM08</t>
  </si>
  <si>
    <t>TERESA DE JESUS JIMENEZ LUCIO</t>
  </si>
  <si>
    <t>MARTIN RUBEN HERNANDEZ MIRANDA</t>
  </si>
  <si>
    <t>HEMM621006HDFRRR05</t>
  </si>
  <si>
    <t>GUILLERMINA PEREZ COBA</t>
  </si>
  <si>
    <t>PECG570625MPLRBL09</t>
  </si>
  <si>
    <t>MARIA VICTORIA FLORES HUECIAS</t>
  </si>
  <si>
    <t>FOHV610211MNTLCC09</t>
  </si>
  <si>
    <t>LUDWIG RENE MOROATO HERRERA</t>
  </si>
  <si>
    <t>MARIA DE LOURDES LAGOS ESPINOSA</t>
  </si>
  <si>
    <t>LAEL710127MPLGSR04</t>
  </si>
  <si>
    <t>SILVIA BALLESTEROS SAAVEDRA</t>
  </si>
  <si>
    <t xml:space="preserve">14916205009
</t>
  </si>
  <si>
    <t>BASS620625MGTLVL08</t>
  </si>
  <si>
    <t xml:space="preserve">RUBEN GUTIERREZ BUSTAMANTE </t>
  </si>
  <si>
    <t>01785891126</t>
  </si>
  <si>
    <t>GUBR580221HDFTSB08</t>
  </si>
  <si>
    <t>GFI APOYO, CONSUBANCO</t>
  </si>
  <si>
    <t>MARIA DEL ROSARIO LORENZA GRANADOS BOTELLO</t>
  </si>
  <si>
    <t xml:space="preserve">2392671743
</t>
  </si>
  <si>
    <t>LOURDES ISABEL IBARRA NORIEGA</t>
  </si>
  <si>
    <t>IANL630824MSLBRR00</t>
  </si>
  <si>
    <t>ROSALBA LUEVANO ZUÑIGA</t>
  </si>
  <si>
    <t>LUZR790316MCLVXS08</t>
  </si>
  <si>
    <t>JOSE CARLOS MUÑOZ ROSAS</t>
  </si>
  <si>
    <t>MURC651124HNTXSR04</t>
  </si>
  <si>
    <t>MA MANUELA AGUERO QUEZADA</t>
  </si>
  <si>
    <t>AUQM590531MCHGZN05</t>
  </si>
  <si>
    <t xml:space="preserve"> JULIO NORMAN LOPEZ VASQUEZ</t>
  </si>
  <si>
    <t>LOVJ650216HSRPSL09</t>
  </si>
  <si>
    <t>MIGUEL ANGEL VILLANUEVA TENORIO</t>
  </si>
  <si>
    <t>45897266438</t>
  </si>
  <si>
    <t>VITM730317HDFLNG03</t>
  </si>
  <si>
    <t>fISOFO</t>
  </si>
  <si>
    <t>DORA ELIA TORRES REYES</t>
  </si>
  <si>
    <t>32786213028</t>
  </si>
  <si>
    <t>TORD630311MCLRYR07</t>
  </si>
  <si>
    <t>VICTOR BRAVO BRAVO</t>
  </si>
  <si>
    <t>JOSE LUIS FRANCO MUÑOZ</t>
  </si>
  <si>
    <t>FAML620518HJCRXS02</t>
  </si>
  <si>
    <t>ERNESTO HERNANDEZ MARTINEZ</t>
  </si>
  <si>
    <t>HEME660716HDFRRR08</t>
  </si>
  <si>
    <t>MIGUEL ANGEL GAXIOLA AVILA</t>
  </si>
  <si>
    <t>GAAM660726HDFXVG06</t>
  </si>
  <si>
    <t>IDELFONOS GALLEGOS GUEMEZ</t>
  </si>
  <si>
    <t>83836505244</t>
  </si>
  <si>
    <t>GILBERTO GOMEZ GONZALEZ</t>
  </si>
  <si>
    <t>GOGG350130HMCMNL06</t>
  </si>
  <si>
    <t>LUZ MARIA VAZQUEZ CRISOSTOMO</t>
  </si>
  <si>
    <t xml:space="preserve">51816423555
</t>
  </si>
  <si>
    <t>VACL640513MDFZRZ02</t>
  </si>
  <si>
    <t xml:space="preserve">FELIPE EDUARDO CABELLO GONZALEZ </t>
  </si>
  <si>
    <t>CAGF660610HDFBNL08</t>
  </si>
  <si>
    <t>J JESUS ROCHA AMEZCUA</t>
  </si>
  <si>
    <t>MANUEL VALDIVIA VALLEJO</t>
  </si>
  <si>
    <t>JULIO CESAR CASTILLO MORALES</t>
  </si>
  <si>
    <t>CAMJ750105HYNSRL09</t>
  </si>
  <si>
    <t>FERNANDO MARTINEZ COVARRUBIAS</t>
  </si>
  <si>
    <t>MACF640302HDFRVR01</t>
  </si>
  <si>
    <t>NICOLAS MARTIN AVILA ENRIQUEZ</t>
  </si>
  <si>
    <t>AIEN630925HDFVNC03</t>
  </si>
  <si>
    <t>TEOFILO ZAVALA ABREGO</t>
  </si>
  <si>
    <t>ZAAT650913HGTVBF00</t>
  </si>
  <si>
    <t>KATE</t>
  </si>
  <si>
    <t>JUAN LUIS PEREZ LIMON</t>
  </si>
  <si>
    <t>01725336661</t>
  </si>
  <si>
    <t>PELJ530107HTSRMN03</t>
  </si>
  <si>
    <t>RAFAEL ALARCON DIAZ</t>
  </si>
  <si>
    <t xml:space="preserve">65795311250
</t>
  </si>
  <si>
    <t xml:space="preserve">FRANCISCO RODAS RUIZ </t>
  </si>
  <si>
    <t>RORF570615HSRDZR06</t>
  </si>
  <si>
    <t>CARMEN MORENO SERRANO</t>
  </si>
  <si>
    <t>MOSC521215MDFRRR07</t>
  </si>
  <si>
    <t>MARTIN VERDUGO CHAPARRO</t>
  </si>
  <si>
    <t>VECM650403HCHRHR00</t>
  </si>
  <si>
    <t>VICTOR CUEVAS CARRILLO</t>
  </si>
  <si>
    <t>CUCV650505HSLVRC03</t>
  </si>
  <si>
    <t>MIGUEL ANGEL ORTEGA CARDENAS</t>
  </si>
  <si>
    <t>OECM560611HDFRRG00</t>
  </si>
  <si>
    <t>MIGUEL SANCHEZ TREJO</t>
  </si>
  <si>
    <t>MARGARITO ESCOBEDO CUENTAS</t>
  </si>
  <si>
    <t>EOCM620406HNTSNR05</t>
  </si>
  <si>
    <t>EDITA CIPRIANO BASULTO</t>
  </si>
  <si>
    <t>CIBE600916MVZPSD04</t>
  </si>
  <si>
    <t>MIGUEL ANGEL GARCIA ORTEGA</t>
  </si>
  <si>
    <t xml:space="preserve">65876715148
</t>
  </si>
  <si>
    <t>GAOM670510HVZRRG06</t>
  </si>
  <si>
    <t>JOSE DEL CARMEN LOPEZ RUIZ</t>
  </si>
  <si>
    <t>LORC621029HTCPZR00</t>
  </si>
  <si>
    <t xml:space="preserve">MARCO ANTONIO MUÑOZ UGARTE </t>
  </si>
  <si>
    <t>MUUM560703HDFXGR04</t>
  </si>
  <si>
    <t>CARLOS GUADALUPE LOPEZ CHAVEZ</t>
  </si>
  <si>
    <t>03675038982</t>
  </si>
  <si>
    <t>LOCC501212HNLPHR08</t>
  </si>
  <si>
    <t>LUIS ALBERTO TEJEDA ZAPATA</t>
  </si>
  <si>
    <t>TEZL751123HVZJPS06</t>
  </si>
  <si>
    <t>ARNOLD RAMOS NAJAR</t>
  </si>
  <si>
    <t>RANA640329HCLMJR02</t>
  </si>
  <si>
    <t>J. NATIVIDAD ALVAREZ ALVAREZ</t>
  </si>
  <si>
    <t>AAAN650109HZSLLT03</t>
  </si>
  <si>
    <t>0623526389</t>
  </si>
  <si>
    <t xml:space="preserve">JOSE MANCILLA ROSENDO </t>
  </si>
  <si>
    <t xml:space="preserve">72785202176
</t>
  </si>
  <si>
    <t>MARJ520715HGRNSS09</t>
  </si>
  <si>
    <t>SERGIO FRAZCO SANDOVAL</t>
  </si>
  <si>
    <t xml:space="preserve">53886300259
</t>
  </si>
  <si>
    <t>FASS631119HMNRNR00</t>
  </si>
  <si>
    <t>JUAN PABLO PERALES GOMEZ</t>
  </si>
  <si>
    <t>PEGJ651116HNLRMN07</t>
  </si>
  <si>
    <t>MARTIN RENE RUIZ VIZCARRA</t>
  </si>
  <si>
    <t>33967825960</t>
  </si>
  <si>
    <t>RUVM751111HCHZZR02</t>
  </si>
  <si>
    <t>AIMER GOMEZ MEZA</t>
  </si>
  <si>
    <t xml:space="preserve">80906572773
</t>
  </si>
  <si>
    <t>GOMA650726HCSMZM01</t>
  </si>
  <si>
    <t>SILVIA HERNÁNDEZ ÁLVAREZ</t>
  </si>
  <si>
    <t>01492807720</t>
  </si>
  <si>
    <t>HEAS571125MMNRLL07</t>
  </si>
  <si>
    <t>VICTOR MANUEL ZAMORA BARRIOS</t>
  </si>
  <si>
    <t>ZABV621225HVZMRC03</t>
  </si>
  <si>
    <t>JOSE EDUARDO HERRERA FLORES</t>
  </si>
  <si>
    <t>HEFE621020HPLRLD07</t>
  </si>
  <si>
    <t>MIRIAM GARCÍA CRUZ</t>
  </si>
  <si>
    <t>OPCIPRES, CONSUBANCO</t>
  </si>
  <si>
    <t xml:space="preserve">ROSALBA MARTÍNEZ LEIJA </t>
  </si>
  <si>
    <t>ANA MARIA CHAVEZ LOPEZ</t>
  </si>
  <si>
    <t>CALA600110MSLHPN00</t>
  </si>
  <si>
    <t>JOSE LAMBERTO LUNA COVARRUBIAS</t>
  </si>
  <si>
    <t>LUCL610726HBCNVM06</t>
  </si>
  <si>
    <t xml:space="preserve">DANIEL DIAZ GARCIA </t>
  </si>
  <si>
    <t>DIGD581114HDFZRN08</t>
  </si>
  <si>
    <t>NICOLAZA ESTEFANA ORTIZ RAMIREZ</t>
  </si>
  <si>
    <t>OIRN540102MOCRMC03</t>
  </si>
  <si>
    <t>JOSE JAVIER BRIONES HERNANDEZ</t>
  </si>
  <si>
    <t>BIHJ600810HPLRRV05</t>
  </si>
  <si>
    <t>DOLORES COTA NEYOY</t>
  </si>
  <si>
    <t>COND690211HSRTYL04</t>
  </si>
  <si>
    <t>MERCEDES MUNGUIA CERDA</t>
  </si>
  <si>
    <t>24664616927</t>
  </si>
  <si>
    <t>MUCM491209MSRNRR09</t>
  </si>
  <si>
    <t>JOSE LUIS GALINDO VAZQUEZ</t>
  </si>
  <si>
    <t>GAVL601218HVZLZS03</t>
  </si>
  <si>
    <t>MARIA DEL CARMEN YOLANDA PARRA LOPEZ</t>
  </si>
  <si>
    <t>PALC611206MSRRPR06</t>
  </si>
  <si>
    <t>JESÚS ANGEL HERNANDEZ MARTINEZ</t>
  </si>
  <si>
    <t>03654927593</t>
  </si>
  <si>
    <t>MA ELENA JACUINDE JACUINDE</t>
  </si>
  <si>
    <t xml:space="preserve">53806022785
</t>
  </si>
  <si>
    <t>JAJE640108MMNCCL06</t>
  </si>
  <si>
    <t>JOSE GUTIERREZ OBREGON</t>
  </si>
  <si>
    <t>GUOJ600917HCLTBS07</t>
  </si>
  <si>
    <t>SUSANA MARIBEL GALLEGOS MARTINEZ</t>
  </si>
  <si>
    <t>GAMS650811MTSLRS05</t>
  </si>
  <si>
    <t>SALVADOR MARTINEZ HERNANDEZ</t>
  </si>
  <si>
    <t>MAHS710102HSPRRL07</t>
  </si>
  <si>
    <t>ERNESTO FRANCISCO ANTONIO</t>
  </si>
  <si>
    <t>FAAE570108HOCRNR07</t>
  </si>
  <si>
    <t>MAGDALENA CHAVEZ SANCHEZ</t>
  </si>
  <si>
    <t>CASM500513MNLHNG00</t>
  </si>
  <si>
    <t>LUIS</t>
  </si>
  <si>
    <t>ANTONIO CARRILLO PACHECO</t>
  </si>
  <si>
    <t>LEONEL HERNANDEZ MEDINA</t>
  </si>
  <si>
    <t>HEML650302HMCRDN06</t>
  </si>
  <si>
    <t>TOMAS CAPI PRIETO</t>
  </si>
  <si>
    <t>CAPT590307HVZPRM01</t>
  </si>
  <si>
    <t>PEDRO ESTEBAN HERNANDEZ CORONADO</t>
  </si>
  <si>
    <t>HECP590906HNLRRD00</t>
  </si>
  <si>
    <t>Enrique Martín Pérez López</t>
  </si>
  <si>
    <t>SAN JUANITA LOPEZ LARA</t>
  </si>
  <si>
    <t>49845606067</t>
  </si>
  <si>
    <t>SERGIO ORTIZ ROSALES</t>
  </si>
  <si>
    <t>65705312653</t>
  </si>
  <si>
    <t>OIRS531014HVZRSR08</t>
  </si>
  <si>
    <t>41856604578</t>
  </si>
  <si>
    <t xml:space="preserve">LUIS IGNACIO GOMEZ ESTRADA </t>
  </si>
  <si>
    <t>32816301298</t>
  </si>
  <si>
    <t>GOEL631129HCLMSS02</t>
  </si>
  <si>
    <t xml:space="preserve">KARINA </t>
  </si>
  <si>
    <t>MA. DE LOS ANGELES BARRERA SANCHEZ</t>
  </si>
  <si>
    <t>14825704886</t>
  </si>
  <si>
    <t>BASA590809MQTRNN06</t>
  </si>
  <si>
    <t>J. JESUS ALEJANDRE MARTINEZ</t>
  </si>
  <si>
    <t>AEMJ630304HJCLRS08</t>
  </si>
  <si>
    <t>MA. DE LOURDES OLAVIDE PEREZ</t>
  </si>
  <si>
    <t>OAPL581217MSPLRR28</t>
  </si>
  <si>
    <t>OMAR FLORES JASSO</t>
  </si>
  <si>
    <t>FOJO590501HTSLSM08</t>
  </si>
  <si>
    <t>JOSE ANGEL JUAREZ SALAS</t>
  </si>
  <si>
    <t>06785607489</t>
  </si>
  <si>
    <t>JUSA561001HDFRLN08</t>
  </si>
  <si>
    <t>PAQUER BULMARO AVALOS GALLEGOS</t>
  </si>
  <si>
    <t>AAGP660504HCSVLQ02</t>
  </si>
  <si>
    <t>MAURA AYALA REVOLLO</t>
  </si>
  <si>
    <t>16796215313</t>
  </si>
  <si>
    <t>HERMENEGILDO LEDESMA VILLAGOMEZ</t>
  </si>
  <si>
    <t>LEVH630617HMNDLR12</t>
  </si>
  <si>
    <t>PABLO SEQUERA VILLANUEVA</t>
  </si>
  <si>
    <t>SEVP580629HVZQLB09</t>
  </si>
  <si>
    <t>JOSE GONZALEZ SALAZAR</t>
  </si>
  <si>
    <t>43745418210</t>
  </si>
  <si>
    <t>GOSJ540320HSPNLS02</t>
  </si>
  <si>
    <t>MARGARITA CARDENAS DEL ANGEL</t>
  </si>
  <si>
    <t>CAAM621030MVZRNR00</t>
  </si>
  <si>
    <t>GENARO JIMENEZ RODRIGUEZ</t>
  </si>
  <si>
    <t>JIRG601202HNTMDN00</t>
  </si>
  <si>
    <t>ARMANDO ARZATE RODRIGUEZ</t>
  </si>
  <si>
    <t xml:space="preserve">19816401764
</t>
  </si>
  <si>
    <t>AARA660118HDFRDR04</t>
  </si>
  <si>
    <t>FERNANDO PINEDA MIRANDA</t>
  </si>
  <si>
    <t>PIMF621201HDFNRR08</t>
  </si>
  <si>
    <t>MARIA MAGDALENA VEJAR DAVALOS</t>
  </si>
  <si>
    <t>VEDM620722MSLJVG07</t>
  </si>
  <si>
    <t xml:space="preserve">JOSE JACINTO URUCHURTU VALENZUELA </t>
  </si>
  <si>
    <t>UUVJ500911HSRRLC03</t>
  </si>
  <si>
    <t>HECTOR GERARDO CARMONA REYES</t>
  </si>
  <si>
    <t>CARH640529HNLRYC00</t>
  </si>
  <si>
    <t>ROBERTO DE LA CRUZ RIVERA</t>
  </si>
  <si>
    <t xml:space="preserve">32876524185
</t>
  </si>
  <si>
    <t>CURR650223HCHRVB08</t>
  </si>
  <si>
    <t>JUAN CARLOS FLORES FLORES</t>
  </si>
  <si>
    <t>FOFJ710123HVZLLN07</t>
  </si>
  <si>
    <t>JAEL</t>
  </si>
  <si>
    <t>JOSE GUADALUPE GUTIERREZ LOPEZ</t>
  </si>
  <si>
    <t>GULG660409HGTTPD01</t>
  </si>
  <si>
    <t>LUZ</t>
  </si>
  <si>
    <t>ADAN PEREZ BANDA</t>
  </si>
  <si>
    <t>PEBA580420HCLRND03</t>
  </si>
  <si>
    <t>JOSE FRANCISCO NORBERTO BONILLA GONZALEZ</t>
  </si>
  <si>
    <t>BOGF700220HPLNNR01</t>
  </si>
  <si>
    <t>FFORTALEZA</t>
  </si>
  <si>
    <t>ESTELA SALINAS DELGADO</t>
  </si>
  <si>
    <t>SADE761016MSPLLS07</t>
  </si>
  <si>
    <t>DANIEL VARGAS ALCHINO</t>
  </si>
  <si>
    <t>VAAD620721HOCRLN07</t>
  </si>
  <si>
    <t xml:space="preserve">FELIPE DE JESUS GOMEZ SILVA </t>
  </si>
  <si>
    <t>GOSF440913HJCMLL06</t>
  </si>
  <si>
    <t>FAUSTO HERNAN SOTO ROSAS</t>
  </si>
  <si>
    <t>SORF640217HSLTSS01</t>
  </si>
  <si>
    <t xml:space="preserve">MANUEL ENRIQUE BARBACHANO GRANADOS </t>
  </si>
  <si>
    <t>BAGM631228HYNRRN07</t>
  </si>
  <si>
    <t>MAURO DELGADO CASTILLO</t>
  </si>
  <si>
    <t>DECM460115HVZLSR05</t>
  </si>
  <si>
    <t>GILBERTO SALAZAR RODRIGUEZ</t>
  </si>
  <si>
    <t xml:space="preserve">67795206028
</t>
  </si>
  <si>
    <t>SARG520521HVZLDL04</t>
  </si>
  <si>
    <t xml:space="preserve">MIGUEL ARTURO LIEVANO NORMAN </t>
  </si>
  <si>
    <t xml:space="preserve">33785610362
</t>
  </si>
  <si>
    <t>LINM560831HDFVRG06</t>
  </si>
  <si>
    <t xml:space="preserve">LUIS ENRIQUE GONZALEZ GARCÍA </t>
  </si>
  <si>
    <t>GOGL610714HSRNRS05</t>
  </si>
  <si>
    <t>FIMUBAC, INBURSA</t>
  </si>
  <si>
    <t>MANUEL GARCIA DEMETRIO</t>
  </si>
  <si>
    <t>GADM590528HHGRMN10</t>
  </si>
  <si>
    <t>JOSE ABEL LUQUIN VELAZQUEZ</t>
  </si>
  <si>
    <t>LUVA630717HNTQLB01</t>
  </si>
  <si>
    <t>ARTURO ISABEL SOTO ANDRADE</t>
  </si>
  <si>
    <t>SOAA630106HSRTNR02</t>
  </si>
  <si>
    <t xml:space="preserve"> HECTOR ALEJANDRO AGUILAR</t>
  </si>
  <si>
    <t>PEER651118HCLRSF09</t>
  </si>
  <si>
    <t>LSF</t>
  </si>
  <si>
    <t>ABELA MORENO LAGUNES</t>
  </si>
  <si>
    <t>MOLA580730MOCRGB02</t>
  </si>
  <si>
    <t>GILBERTO FELIX MORALES</t>
  </si>
  <si>
    <t>03190075824</t>
  </si>
  <si>
    <t>MARIA DE LA LUZ VICTORIA SANTACRUZ</t>
  </si>
  <si>
    <t>VISL650119MDFCNZ01</t>
  </si>
  <si>
    <t>ARTURO</t>
  </si>
  <si>
    <t>0-7805804296</t>
  </si>
  <si>
    <t>HILARIO SANTOS</t>
  </si>
  <si>
    <t>0-6776017565</t>
  </si>
  <si>
    <t>FERNANDO ALEMAN SUSANO</t>
  </si>
  <si>
    <t>AESF770704HMCLSR04</t>
  </si>
  <si>
    <t>ISMAEL REYES URRUTIA</t>
  </si>
  <si>
    <t>REUI640223HVZYRS07</t>
  </si>
  <si>
    <t>SERGIO MATA TAJIMAROA</t>
  </si>
  <si>
    <t>MATS570226HMNTJR04</t>
  </si>
  <si>
    <t>ROQUE LOPEZ COTA</t>
  </si>
  <si>
    <t>LOCR501117HSLPTQ03</t>
  </si>
  <si>
    <t>PEDRO ESPINOZA MERCADO</t>
  </si>
  <si>
    <t>EIMP611218HBSSRD04</t>
  </si>
  <si>
    <t>ALEJANDRO CARDENAS GONZALEZ</t>
  </si>
  <si>
    <t>CXGA650416HCLRNL02</t>
  </si>
  <si>
    <t>MARTIN MENDOZA JAUREGUI</t>
  </si>
  <si>
    <t>MEJM641015HBCNRR03</t>
  </si>
  <si>
    <t>ABIGAIL FUENTES LOPEZ</t>
  </si>
  <si>
    <t>FULA730705MDFNPB09</t>
  </si>
  <si>
    <t>23786213506</t>
  </si>
  <si>
    <t>JOSE JUVENTINO GONZALEZ ARENAS</t>
  </si>
  <si>
    <t>GOAJ551228HPLNRV04</t>
  </si>
  <si>
    <t>ISAAC RODRIGUEZ VILCHIS</t>
  </si>
  <si>
    <t>ROVI630325HMCDLS00</t>
  </si>
  <si>
    <t>MARTHA DE JESUS MORENO HERNANDEZ</t>
  </si>
  <si>
    <t xml:space="preserve">7687560051
</t>
  </si>
  <si>
    <t>MOHM760525MDFRRR08</t>
  </si>
  <si>
    <t>MARTINA RAMIREZ REYES</t>
  </si>
  <si>
    <t xml:space="preserve">43946106200
</t>
  </si>
  <si>
    <t>RARM630707MCLMYR05</t>
  </si>
  <si>
    <t>J.JESUS ZACARIAS PALACIOS</t>
  </si>
  <si>
    <t xml:space="preserve">43756018016
</t>
  </si>
  <si>
    <t>ZAPJ600801HZSCLS07</t>
  </si>
  <si>
    <t>SAMUEL ASCENCION LOPEZ CRUZ</t>
  </si>
  <si>
    <t>LOCS530815HVZPRM04</t>
  </si>
  <si>
    <t>MARIO PAZ JIMENEZ</t>
  </si>
  <si>
    <t xml:space="preserve">49947584386
</t>
  </si>
  <si>
    <t>PAJM741125HTSZMR08</t>
  </si>
  <si>
    <t xml:space="preserve">FIDENCIO SANDOVAL AVENA </t>
  </si>
  <si>
    <t xml:space="preserve">82796100970
</t>
  </si>
  <si>
    <t>SAAF610101HNTNVD07</t>
  </si>
  <si>
    <t>ADAN FRANCO SERVIN</t>
  </si>
  <si>
    <t>FASA491223HDFRRD04</t>
  </si>
  <si>
    <t>MA. ISABEL ABRAHAM GOMEZ</t>
  </si>
  <si>
    <t>AAGI550802MOCBMS18</t>
  </si>
  <si>
    <t>LOSF610131HNTPLR06</t>
  </si>
  <si>
    <t>ARNULFO JULIO MERINO HERNANDEZ</t>
  </si>
  <si>
    <t>MEHA650412HPLRRR03</t>
  </si>
  <si>
    <t xml:space="preserve">FIDEL CRUZ CONTRERAS </t>
  </si>
  <si>
    <t xml:space="preserve">32745531403
</t>
  </si>
  <si>
    <t>CUCF550628HCLRND00</t>
  </si>
  <si>
    <t>BLAS FELIPE ROSEY PADILLA</t>
  </si>
  <si>
    <t xml:space="preserve">01816335549
</t>
  </si>
  <si>
    <t>ROPB630203HDFSDL01</t>
  </si>
  <si>
    <t>DIONICIO GUTIERREZ SEPULVEDA</t>
  </si>
  <si>
    <t xml:space="preserve">03806231902
</t>
  </si>
  <si>
    <t>GUSD620907HNLTPN08</t>
  </si>
  <si>
    <t>VICTORIANO CANO USCANGA</t>
  </si>
  <si>
    <t xml:space="preserve">67865550247
</t>
  </si>
  <si>
    <t>CAUV550708HVZNSC01</t>
  </si>
  <si>
    <t>SONIA SILVA OJEDA</t>
  </si>
  <si>
    <t xml:space="preserve">72866321473
</t>
  </si>
  <si>
    <t>SIOS670110MGRLJN05</t>
  </si>
  <si>
    <t>MARIA ELENA CRUZ ALVA</t>
  </si>
  <si>
    <t>CUAE590119MMCRLL09</t>
  </si>
  <si>
    <t>JORGE ANTONIO ROBLEDO QUEVEDO</t>
  </si>
  <si>
    <t>ROQJ630423HNLBVR00</t>
  </si>
  <si>
    <t>JAVIER OLAN FRIAS</t>
  </si>
  <si>
    <t>OAFJ560508HTCLRV09</t>
  </si>
  <si>
    <t>JESUS JOSE VELAZQUEZ TERRAZAS</t>
  </si>
  <si>
    <t>VETJ590923HCHLRS02</t>
  </si>
  <si>
    <t>LIBERTAD DEL SOCORRO DE LA CRUZ RAMON</t>
  </si>
  <si>
    <t>CURL540419MTCRMB16</t>
  </si>
  <si>
    <t>BERNABE VALASCO ABRAJAN</t>
  </si>
  <si>
    <t>VEAB640611HVZLBR01</t>
  </si>
  <si>
    <t xml:space="preserve">MA. GUADALUPE ZARRARAS RAYA </t>
  </si>
  <si>
    <t>ZARG550206MJCRYD03</t>
  </si>
  <si>
    <t>DIEGO LEZAMA SALAZAR</t>
  </si>
  <si>
    <t>LESD590113HPLZLGG04</t>
  </si>
  <si>
    <t>RODOLFO PEÑA GUTIERREZ</t>
  </si>
  <si>
    <t>06674975781</t>
  </si>
  <si>
    <t>PEGR490813HDFXTD04</t>
  </si>
  <si>
    <t>JOSE NATIVIDAD LOPEZ LUNA</t>
  </si>
  <si>
    <t>LOLN571008HNLPNT06</t>
  </si>
  <si>
    <t>FRANCELIA CANDELARIA NAVARRO PATIÑO</t>
  </si>
  <si>
    <t>NAPF740201MCCVTR08</t>
  </si>
  <si>
    <t>FIDENCIO ARENZANA SOLEDAD</t>
  </si>
  <si>
    <t>AESF541116HPLRLD07</t>
  </si>
  <si>
    <t xml:space="preserve">JOSÉ MODESTO ARJONA CANUL </t>
  </si>
  <si>
    <t>84907214666</t>
  </si>
  <si>
    <t>JOSUE NEPHTALI BAÑUELOS RIVAS</t>
  </si>
  <si>
    <t>BARJ740330HDFXVS04</t>
  </si>
  <si>
    <t>LUIS CRESCENCIO NARCIO GARCIA</t>
  </si>
  <si>
    <t>NAGL610225HOCRRS09</t>
  </si>
  <si>
    <t>MIGUEL CRUZ RAMIREZ</t>
  </si>
  <si>
    <t>CURM620325HCLRMG09</t>
  </si>
  <si>
    <t xml:space="preserve">MANUEL ALCARAZ NÚÑEZ </t>
  </si>
  <si>
    <t>GILBERTO FRANCISCO CEPEDA MARTINEZ</t>
  </si>
  <si>
    <t>CEMG490204HNLPRL05</t>
  </si>
  <si>
    <t>JOSE ELBER MORA CATZIN</t>
  </si>
  <si>
    <t>84816210441</t>
  </si>
  <si>
    <t>MOCE630803HYNRTL07</t>
  </si>
  <si>
    <t>IGNACIO SANCHEZ GOMEZ</t>
  </si>
  <si>
    <t>SAGI581115HPLNMG05</t>
  </si>
  <si>
    <t xml:space="preserve">JUVENCIO FERMÍN ARJONA COLLI </t>
  </si>
  <si>
    <t>MARDONIO LUGO RODRIGUEZ</t>
  </si>
  <si>
    <t>LURM590124HMCGDR05</t>
  </si>
  <si>
    <t xml:space="preserve">JORGE LÓPEZ CASTILLO </t>
  </si>
  <si>
    <t>SERGIO LEAL TORRE</t>
  </si>
  <si>
    <t>LETS560802HDFLRR07</t>
  </si>
  <si>
    <t>JOSE DE JESUS AVALOS LOPEZ</t>
  </si>
  <si>
    <t>AALJ670703HJCVPS08</t>
  </si>
  <si>
    <t>AMADA SALOME PEREZ MEDINA</t>
  </si>
  <si>
    <t>PEMA741022MYNRDM05</t>
  </si>
  <si>
    <t xml:space="preserve"> </t>
  </si>
  <si>
    <t>Recuento de ESTATUS</t>
  </si>
  <si>
    <t>Total general</t>
  </si>
  <si>
    <t>ASESOR</t>
  </si>
  <si>
    <t>TOTAL</t>
  </si>
  <si>
    <t xml:space="preserve">N PANTALLAS </t>
  </si>
  <si>
    <t>Columna1</t>
  </si>
  <si>
    <t xml:space="preserve">YESENIA </t>
  </si>
  <si>
    <t>MOZM640320HDFYRR06</t>
  </si>
  <si>
    <t>32866405098</t>
  </si>
  <si>
    <t>DEYANIRA</t>
  </si>
  <si>
    <t>31796206113</t>
  </si>
  <si>
    <t>3380640347-4</t>
  </si>
  <si>
    <t>72937253150</t>
  </si>
  <si>
    <t>3380624572</t>
  </si>
  <si>
    <t>49784901016</t>
  </si>
  <si>
    <t>5380623599-9</t>
  </si>
  <si>
    <t>24806243515</t>
  </si>
  <si>
    <t>82876111590</t>
  </si>
  <si>
    <t>7187640051-7</t>
  </si>
  <si>
    <t>10806273792</t>
  </si>
  <si>
    <t>88805300253</t>
  </si>
  <si>
    <t>32836570880</t>
  </si>
  <si>
    <t>1287630124-8</t>
  </si>
  <si>
    <t>14796320704</t>
  </si>
  <si>
    <t>06786036241</t>
  </si>
  <si>
    <t>34816103914</t>
  </si>
  <si>
    <t>49906546160</t>
  </si>
  <si>
    <t>LEAD650526MVZLRN09</t>
  </si>
  <si>
    <t>67806335203</t>
  </si>
  <si>
    <t>14765709317</t>
  </si>
  <si>
    <t>33815731535</t>
  </si>
  <si>
    <t>42906101359</t>
  </si>
  <si>
    <t>01685281030</t>
  </si>
  <si>
    <t>LUIS DAVILA</t>
  </si>
  <si>
    <t>32896525816</t>
  </si>
  <si>
    <t>SOAM650728HCLLRR08</t>
  </si>
  <si>
    <t>90897166659</t>
  </si>
  <si>
    <t>Oilc710225hdfnps07</t>
  </si>
  <si>
    <t>3397780162-1</t>
  </si>
  <si>
    <t>4392550158-7</t>
  </si>
  <si>
    <t>01806230858</t>
  </si>
  <si>
    <t>32796317850</t>
  </si>
  <si>
    <t>3488641084-3</t>
  </si>
  <si>
    <t>03604403190</t>
  </si>
  <si>
    <t>0-3694725668</t>
  </si>
  <si>
    <t>KARINA MATA</t>
  </si>
  <si>
    <t>53008418229</t>
  </si>
  <si>
    <t>03806321901</t>
  </si>
  <si>
    <t>52815900056</t>
  </si>
  <si>
    <t>83866303742</t>
  </si>
  <si>
    <t>64816325365</t>
  </si>
  <si>
    <t>11765968240</t>
  </si>
  <si>
    <t>81816201776</t>
  </si>
  <si>
    <t>23806416162</t>
  </si>
  <si>
    <t>04886005604</t>
  </si>
  <si>
    <t>10765880892</t>
  </si>
  <si>
    <t>43816450332</t>
  </si>
  <si>
    <t>21866317791</t>
  </si>
  <si>
    <t>11755715171</t>
  </si>
  <si>
    <t>67795400869</t>
  </si>
  <si>
    <t>HEMJ550912HCSRRR07</t>
  </si>
  <si>
    <t>30947303365</t>
  </si>
  <si>
    <t>43906108188</t>
  </si>
  <si>
    <t>62816350912</t>
  </si>
  <si>
    <t>65806407758</t>
  </si>
  <si>
    <t>34755904462</t>
  </si>
  <si>
    <t>06785200871</t>
  </si>
  <si>
    <t>13957824405</t>
  </si>
  <si>
    <t>4280601926-3</t>
  </si>
  <si>
    <t>03624700450</t>
  </si>
  <si>
    <t>EAGR470901HNLSRG17</t>
  </si>
  <si>
    <t>11674736936</t>
  </si>
  <si>
    <t>1979602832-2</t>
  </si>
  <si>
    <t>6779623608-0</t>
  </si>
  <si>
    <t>4981632721-4</t>
  </si>
  <si>
    <t xml:space="preserve">PAOLA </t>
  </si>
  <si>
    <t>53906510408</t>
  </si>
  <si>
    <t>MOGM650815HMNRLR05</t>
  </si>
  <si>
    <t>52765501755</t>
  </si>
  <si>
    <t>67796236080</t>
  </si>
  <si>
    <t>43806213104</t>
  </si>
  <si>
    <t>01786051613</t>
  </si>
  <si>
    <t>43836123216</t>
  </si>
  <si>
    <t>MIPG671212HPLGRD00</t>
  </si>
  <si>
    <t>32887195462</t>
  </si>
  <si>
    <t xml:space="preserve">ROGR730312MCLDRS07     </t>
  </si>
  <si>
    <t>HEJG600526HNLRRR00</t>
  </si>
  <si>
    <t>37897231702</t>
  </si>
  <si>
    <t>16826315158</t>
  </si>
  <si>
    <t>01714332291</t>
  </si>
  <si>
    <t>23865205209</t>
  </si>
  <si>
    <t>49816459934</t>
  </si>
  <si>
    <t>19846103299</t>
  </si>
  <si>
    <t>33856641312</t>
  </si>
  <si>
    <t>07896612368</t>
  </si>
  <si>
    <t>54877083318</t>
  </si>
  <si>
    <t>43856634373</t>
  </si>
  <si>
    <t>43826105975</t>
  </si>
  <si>
    <t>62876703067</t>
  </si>
  <si>
    <t>16856508847</t>
  </si>
  <si>
    <t>43927326207</t>
  </si>
  <si>
    <t>HUMA620717HVZRRL04</t>
  </si>
  <si>
    <t>43958000119</t>
  </si>
  <si>
    <t>ESTATUS INCLUIDOS</t>
  </si>
  <si>
    <t>Registros:</t>
  </si>
  <si>
    <t>P.V.</t>
  </si>
  <si>
    <t>PAGO POR SOLICITUD — CONTEO DE ESTATUS POR ASESORA</t>
  </si>
  <si>
    <t>Los filtros (periodo, tarifa y asesoras) se definen en la hoja SELECCIÓN. Esta hoja solo muestra resultados.</t>
  </si>
  <si>
    <t>ASESORA</t>
  </si>
  <si>
    <t>TOTAL PAGABLE</t>
  </si>
  <si>
    <t>PAGO ($)</t>
  </si>
  <si>
    <t>TOTAL SOLICITUDES</t>
  </si>
  <si>
    <t>TOTALES</t>
  </si>
  <si>
    <t>DETALLE DE SOLICITUDES DEL PERIODO</t>
  </si>
  <si>
    <t>¿PAGABLE?</t>
  </si>
  <si>
    <t>PANEL DE CONTROL — PAGO A ASESORAS</t>
  </si>
  <si>
    <t>Define el periodo y marca con X a las asesoras. Los resultados se ven en la hoja PAGO ASESORAS.</t>
  </si>
  <si>
    <t>Fecha inicio</t>
  </si>
  <si>
    <t>Asesoras marcadas</t>
  </si>
  <si>
    <t>Días del periodo</t>
  </si>
  <si>
    <t>Solicitudes pagables</t>
  </si>
  <si>
    <t>Fecha fin</t>
  </si>
  <si>
    <t>Total a pagar</t>
  </si>
  <si>
    <t>Tarifa por solicitud ($)</t>
  </si>
  <si>
    <t>PANEL DE SELECCIÓN — marca con X a las asesoras que se pagan (vacío = todas)</t>
  </si>
  <si>
    <t>ASESORA CON ACTIVIDAD EN EL PERIODO</t>
  </si>
  <si>
    <t>PAGAR (X)</t>
  </si>
  <si>
    <t>SOLICITUDES PAGABLES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</si>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</sst>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_([$$-409]* #,##0.0_);_([$$-409]* \(#,##0.0\);_([$$-409]* &quot;-&quot;?_);_(@_)"/>
    <numFmt numFmtId="165" formatCode="&quot;$&quot;#,##0.00"/>
    <numFmt numFmtId="166" formatCode="dd/mm/yyyy\ hh:mm"/>
    <numFmt numFmtId="167" formatCode="dd/mm/yyyy"/>
    <numFmt numFmtId="168" formatCode="&quot;$&quot;#,##0.00;\(&quot;$&quot;#,##0.00\);\-"/>
    <numFmt numFmtId="169" formatCode="_-&quot;$&quot;* #,##0.00_-;\-&quot;$&quot;* #,##0.00_-;_-&quot;$&quot;* &quot;-&quot;??_-;_-@_-"/>
    <numFmt numFmtId="170" formatCode="#,##0;\(#,##0\);\-"/>
  </numFmts>
  <fonts count="3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9C0006"/>
      <name val="Calibri"/>
    </font>
    <font>
      <sz val="10"/>
      <name val="Arial"/>
    </font>
    <font>
      <sz val="11"/>
      <color rgb="FFC00000"/>
      <name val="Calibri"/>
    </font>
    <font>
      <sz val="10"/>
      <color rgb="FF9C0006"/>
      <name val="Arial"/>
    </font>
    <font>
      <sz val="11"/>
      <color rgb="FF9C0006"/>
      <name val="Calibri"/>
      <charset val="1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0"/>
      <name val="Arial"/>
    </font>
    <font>
      <b/>
      <sz val="11"/>
      <color rgb="FF9C0006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6"/>
      <color rgb="FF1F3864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00B050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00B050"/>
        <bgColor rgb="FFDDEBF7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DDEBF7"/>
      </patternFill>
    </fill>
    <fill>
      <patternFill patternType="solid">
        <fgColor rgb="FF7030A0"/>
        <bgColor rgb="FFDDEBF7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DDEBF7"/>
      </patternFill>
    </fill>
    <fill>
      <patternFill patternType="solid">
        <fgColor rgb="FF7030A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451F5"/>
        <bgColor rgb="FFDDEBF7"/>
      </patternFill>
    </fill>
    <fill>
      <patternFill patternType="solid">
        <fgColor rgb="FFE451F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AB5F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26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2" borderId="1" xfId="0" applyFont="1" applyFill="1" applyBorder="1"/>
    <xf numFmtId="8" fontId="1" fillId="2" borderId="1" xfId="0" applyNumberFormat="1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8" fontId="5" fillId="4" borderId="1" xfId="0" applyNumberFormat="1" applyFont="1" applyFill="1" applyBorder="1"/>
    <xf numFmtId="8" fontId="3" fillId="6" borderId="1" xfId="0" applyNumberFormat="1" applyFont="1" applyFill="1" applyBorder="1"/>
    <xf numFmtId="0" fontId="3" fillId="0" borderId="1" xfId="0" applyFont="1" applyBorder="1"/>
    <xf numFmtId="8" fontId="5" fillId="0" borderId="1" xfId="0" applyNumberFormat="1" applyFont="1" applyBorder="1"/>
    <xf numFmtId="8" fontId="3" fillId="0" borderId="1" xfId="0" applyNumberFormat="1" applyFont="1" applyBorder="1"/>
    <xf numFmtId="8" fontId="3" fillId="4" borderId="1" xfId="0" applyNumberFormat="1" applyFont="1" applyFill="1" applyBorder="1"/>
    <xf numFmtId="8" fontId="3" fillId="7" borderId="1" xfId="0" applyNumberFormat="1" applyFont="1" applyFill="1" applyBorder="1"/>
    <xf numFmtId="0" fontId="4" fillId="8" borderId="1" xfId="0" applyFont="1" applyFill="1" applyBorder="1"/>
    <xf numFmtId="8" fontId="3" fillId="9" borderId="1" xfId="0" applyNumberFormat="1" applyFont="1" applyFill="1" applyBorder="1"/>
    <xf numFmtId="0" fontId="3" fillId="0" borderId="1" xfId="0" applyFont="1" applyBorder="1" applyAlignment="1">
      <alignment wrapText="1"/>
    </xf>
    <xf numFmtId="0" fontId="6" fillId="5" borderId="1" xfId="0" applyFont="1" applyFill="1" applyBorder="1"/>
    <xf numFmtId="0" fontId="4" fillId="10" borderId="1" xfId="0" applyFont="1" applyFill="1" applyBorder="1"/>
    <xf numFmtId="0" fontId="6" fillId="8" borderId="1" xfId="0" applyFont="1" applyFill="1" applyBorder="1"/>
    <xf numFmtId="0" fontId="4" fillId="12" borderId="1" xfId="0" applyFont="1" applyFill="1" applyBorder="1"/>
    <xf numFmtId="8" fontId="3" fillId="13" borderId="1" xfId="0" applyNumberFormat="1" applyFont="1" applyFill="1" applyBorder="1"/>
    <xf numFmtId="22" fontId="3" fillId="4" borderId="1" xfId="0" applyNumberFormat="1" applyFont="1" applyFill="1" applyBorder="1"/>
    <xf numFmtId="22" fontId="3" fillId="0" borderId="1" xfId="0" applyNumberFormat="1" applyFont="1" applyBorder="1"/>
    <xf numFmtId="0" fontId="3" fillId="4" borderId="0" xfId="0" applyFont="1" applyFill="1"/>
    <xf numFmtId="0" fontId="3" fillId="0" borderId="0" xfId="0" applyFont="1"/>
    <xf numFmtId="14" fontId="3" fillId="4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7" fillId="10" borderId="1" xfId="0" applyNumberFormat="1" applyFont="1" applyFill="1" applyBorder="1" applyAlignment="1">
      <alignment horizontal="center"/>
    </xf>
    <xf numFmtId="1" fontId="7" fillId="12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4" fillId="10" borderId="1" xfId="0" applyNumberFormat="1" applyFont="1" applyFill="1" applyBorder="1" applyAlignment="1">
      <alignment horizontal="center"/>
    </xf>
    <xf numFmtId="1" fontId="3" fillId="4" borderId="1" xfId="0" quotePrefix="1" applyNumberFormat="1" applyFont="1" applyFill="1" applyBorder="1" applyAlignment="1">
      <alignment horizontal="center"/>
    </xf>
    <xf numFmtId="1" fontId="4" fillId="12" borderId="1" xfId="0" applyNumberFormat="1" applyFont="1" applyFill="1" applyBorder="1" applyAlignment="1">
      <alignment horizontal="center"/>
    </xf>
    <xf numFmtId="1" fontId="0" fillId="0" borderId="0" xfId="0" quotePrefix="1" applyNumberFormat="1" applyAlignment="1">
      <alignment horizontal="center"/>
    </xf>
    <xf numFmtId="164" fontId="5" fillId="0" borderId="1" xfId="0" applyNumberFormat="1" applyFont="1" applyBorder="1"/>
    <xf numFmtId="8" fontId="3" fillId="0" borderId="0" xfId="0" applyNumberFormat="1" applyFont="1"/>
    <xf numFmtId="0" fontId="4" fillId="0" borderId="0" xfId="0" applyFont="1"/>
    <xf numFmtId="165" fontId="1" fillId="2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8" fontId="13" fillId="0" borderId="0" xfId="0" applyNumberFormat="1" applyFont="1"/>
    <xf numFmtId="0" fontId="1" fillId="20" borderId="2" xfId="0" applyFont="1" applyFill="1" applyBorder="1"/>
    <xf numFmtId="0" fontId="3" fillId="21" borderId="2" xfId="0" applyFont="1" applyFill="1" applyBorder="1"/>
    <xf numFmtId="0" fontId="2" fillId="22" borderId="2" xfId="0" applyFont="1" applyFill="1" applyBorder="1"/>
    <xf numFmtId="0" fontId="15" fillId="21" borderId="3" xfId="0" applyFont="1" applyFill="1" applyBorder="1"/>
    <xf numFmtId="0" fontId="3" fillId="23" borderId="2" xfId="0" applyFont="1" applyFill="1" applyBorder="1"/>
    <xf numFmtId="0" fontId="3" fillId="24" borderId="2" xfId="0" applyFont="1" applyFill="1" applyBorder="1"/>
    <xf numFmtId="0" fontId="15" fillId="24" borderId="2" xfId="0" applyFont="1" applyFill="1" applyBorder="1"/>
    <xf numFmtId="0" fontId="3" fillId="25" borderId="2" xfId="0" applyFont="1" applyFill="1" applyBorder="1"/>
    <xf numFmtId="0" fontId="3" fillId="26" borderId="2" xfId="0" applyFont="1" applyFill="1" applyBorder="1"/>
    <xf numFmtId="0" fontId="0" fillId="0" borderId="0" xfId="0" applyAlignment="1">
      <alignment horizontal="center" vertical="center"/>
    </xf>
    <xf numFmtId="0" fontId="1" fillId="20" borderId="2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14" fontId="3" fillId="0" borderId="0" xfId="0" applyNumberFormat="1" applyFont="1"/>
    <xf numFmtId="165" fontId="13" fillId="0" borderId="0" xfId="0" applyNumberFormat="1" applyFont="1" applyAlignment="1">
      <alignment horizontal="center" vertic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right" vertical="center"/>
    </xf>
    <xf numFmtId="14" fontId="3" fillId="4" borderId="1" xfId="0" applyNumberFormat="1" applyFont="1" applyFill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14" fontId="5" fillId="4" borderId="1" xfId="0" applyNumberFormat="1" applyFont="1" applyFill="1" applyBorder="1" applyAlignment="1">
      <alignment horizontal="right" vertical="center"/>
    </xf>
    <xf numFmtId="14" fontId="5" fillId="0" borderId="1" xfId="0" applyNumberFormat="1" applyFont="1" applyBorder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8" fontId="3" fillId="4" borderId="1" xfId="0" applyNumberFormat="1" applyFont="1" applyFill="1" applyBorder="1" applyAlignment="1">
      <alignment horizontal="right"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right" vertical="center"/>
    </xf>
    <xf numFmtId="0" fontId="16" fillId="0" borderId="0" xfId="0" applyFont="1"/>
    <xf numFmtId="0" fontId="16" fillId="27" borderId="0" xfId="0" applyFont="1" applyFill="1"/>
    <xf numFmtId="0" fontId="19" fillId="0" borderId="0" xfId="0" applyFont="1"/>
    <xf numFmtId="1" fontId="0" fillId="0" borderId="0" xfId="0" applyNumberFormat="1"/>
    <xf numFmtId="0" fontId="20" fillId="29" borderId="0" xfId="0" applyFont="1" applyFill="1"/>
    <xf numFmtId="14" fontId="20" fillId="29" borderId="0" xfId="0" applyNumberFormat="1" applyFont="1" applyFill="1"/>
    <xf numFmtId="1" fontId="20" fillId="29" borderId="0" xfId="0" applyNumberFormat="1" applyFont="1" applyFill="1"/>
    <xf numFmtId="8" fontId="20" fillId="29" borderId="0" xfId="0" applyNumberFormat="1" applyFon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5" fontId="21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165" fontId="1" fillId="2" borderId="1" xfId="0" applyNumberFormat="1" applyFont="1" applyFill="1" applyBorder="1"/>
    <xf numFmtId="165" fontId="5" fillId="4" borderId="1" xfId="0" applyNumberFormat="1" applyFont="1" applyFill="1" applyBorder="1"/>
    <xf numFmtId="165" fontId="5" fillId="0" borderId="1" xfId="0" applyNumberFormat="1" applyFont="1" applyBorder="1"/>
    <xf numFmtId="165" fontId="3" fillId="4" borderId="1" xfId="0" applyNumberFormat="1" applyFont="1" applyFill="1" applyBorder="1"/>
    <xf numFmtId="165" fontId="3" fillId="0" borderId="1" xfId="0" applyNumberFormat="1" applyFont="1" applyBorder="1"/>
    <xf numFmtId="165" fontId="3" fillId="0" borderId="0" xfId="0" applyNumberFormat="1" applyFont="1"/>
    <xf numFmtId="165" fontId="0" fillId="0" borderId="0" xfId="0" applyNumberFormat="1"/>
    <xf numFmtId="165" fontId="13" fillId="0" borderId="0" xfId="0" applyNumberFormat="1" applyFont="1"/>
    <xf numFmtId="49" fontId="0" fillId="30" borderId="4" xfId="0" applyNumberFormat="1" applyFill="1" applyBorder="1"/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49" fontId="9" fillId="0" borderId="0" xfId="0" applyNumberFormat="1" applyFo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9" fontId="21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0" fillId="0" borderId="5" xfId="0" applyNumberFormat="1" applyBorder="1"/>
    <xf numFmtId="1" fontId="16" fillId="0" borderId="0" xfId="0" applyNumberFormat="1" applyFont="1" applyAlignment="1">
      <alignment horizontal="center" vertical="center"/>
    </xf>
    <xf numFmtId="0" fontId="4" fillId="5" borderId="0" xfId="0" applyFont="1" applyFill="1"/>
    <xf numFmtId="0" fontId="4" fillId="8" borderId="0" xfId="0" applyFont="1" applyFill="1"/>
    <xf numFmtId="0" fontId="0" fillId="28" borderId="0" xfId="0" applyFill="1" applyAlignment="1">
      <alignment horizontal="center" vertical="center"/>
    </xf>
    <xf numFmtId="49" fontId="0" fillId="0" borderId="0" xfId="0" quotePrefix="1" applyNumberFormat="1"/>
    <xf numFmtId="49" fontId="0" fillId="0" borderId="0" xfId="0" applyNumberFormat="1" applyAlignment="1">
      <alignment horizontal="center" vertical="center"/>
    </xf>
    <xf numFmtId="0" fontId="23" fillId="0" borderId="0" xfId="0" applyFont="1"/>
    <xf numFmtId="0" fontId="24" fillId="0" borderId="0" xfId="0" applyFont="1"/>
    <xf numFmtId="167" fontId="19" fillId="27" borderId="0" xfId="0" applyNumberFormat="1" applyFont="1" applyFill="1" applyAlignment="1">
      <alignment horizontal="center"/>
    </xf>
    <xf numFmtId="1" fontId="19" fillId="27" borderId="0" xfId="0" applyNumberFormat="1" applyFont="1" applyFill="1" applyAlignment="1">
      <alignment horizontal="center"/>
    </xf>
    <xf numFmtId="167" fontId="16" fillId="0" borderId="0" xfId="0" applyNumberFormat="1" applyFont="1" applyAlignment="1">
      <alignment horizontal="center"/>
    </xf>
    <xf numFmtId="0" fontId="20" fillId="31" borderId="0" xfId="0" applyFont="1" applyFill="1" applyAlignment="1">
      <alignment horizontal="center"/>
    </xf>
    <xf numFmtId="0" fontId="25" fillId="0" borderId="0" xfId="0" applyFont="1"/>
    <xf numFmtId="165" fontId="19" fillId="27" borderId="0" xfId="0" applyNumberFormat="1" applyFont="1" applyFill="1" applyAlignment="1">
      <alignment horizontal="center"/>
    </xf>
    <xf numFmtId="0" fontId="26" fillId="0" borderId="0" xfId="0" applyFont="1"/>
    <xf numFmtId="0" fontId="20" fillId="34" borderId="0" xfId="0" applyFont="1" applyFill="1" applyAlignment="1">
      <alignment horizontal="center"/>
    </xf>
    <xf numFmtId="0" fontId="20" fillId="31" borderId="6" xfId="0" applyFont="1" applyFill="1" applyBorder="1" applyAlignment="1">
      <alignment horizontal="center" wrapText="1"/>
    </xf>
    <xf numFmtId="0" fontId="20" fillId="34" borderId="6" xfId="0" applyFont="1" applyFill="1" applyBorder="1" applyAlignment="1">
      <alignment horizontal="center" wrapText="1"/>
    </xf>
    <xf numFmtId="0" fontId="20" fillId="35" borderId="6" xfId="0" applyFont="1" applyFill="1" applyBorder="1" applyAlignment="1">
      <alignment horizontal="center" wrapText="1"/>
    </xf>
    <xf numFmtId="0" fontId="16" fillId="33" borderId="6" xfId="0" applyFont="1" applyFill="1" applyBorder="1"/>
    <xf numFmtId="170" fontId="16" fillId="33" borderId="6" xfId="0" applyNumberFormat="1" applyFont="1" applyFill="1" applyBorder="1" applyAlignment="1">
      <alignment horizontal="center"/>
    </xf>
    <xf numFmtId="168" fontId="16" fillId="33" borderId="6" xfId="0" applyNumberFormat="1" applyFont="1" applyFill="1" applyBorder="1" applyAlignment="1">
      <alignment horizontal="center"/>
    </xf>
    <xf numFmtId="0" fontId="0" fillId="0" borderId="6" xfId="0" applyBorder="1"/>
    <xf numFmtId="170" fontId="0" fillId="0" borderId="6" xfId="0" applyNumberFormat="1" applyBorder="1" applyAlignment="1">
      <alignment horizontal="center"/>
    </xf>
    <xf numFmtId="170" fontId="16" fillId="32" borderId="6" xfId="0" applyNumberFormat="1" applyFont="1" applyFill="1" applyBorder="1" applyAlignment="1">
      <alignment horizontal="center"/>
    </xf>
    <xf numFmtId="168" fontId="16" fillId="32" borderId="6" xfId="0" applyNumberFormat="1" applyFont="1" applyFill="1" applyBorder="1"/>
    <xf numFmtId="0" fontId="26" fillId="0" borderId="0" xfId="0" applyFont="1" applyAlignment="1">
      <alignment horizontal="center"/>
    </xf>
    <xf numFmtId="0" fontId="27" fillId="33" borderId="6" xfId="0" applyFont="1" applyFill="1" applyBorder="1" applyAlignment="1">
      <alignment horizontal="center"/>
    </xf>
    <xf numFmtId="0" fontId="28" fillId="0" borderId="0" xfId="0" applyFont="1"/>
    <xf numFmtId="3" fontId="28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center"/>
    </xf>
    <xf numFmtId="168" fontId="0" fillId="0" borderId="6" xfId="0" applyNumberFormat="1" applyBorder="1"/>
    <xf numFmtId="49" fontId="13" fillId="0" borderId="4" xfId="0" applyNumberFormat="1" applyFont="1" applyBorder="1"/>
    <xf numFmtId="0" fontId="0" fillId="36" borderId="0" xfId="0" applyFill="1" applyAlignment="1">
      <alignment horizontal="center" vertical="center"/>
    </xf>
    <xf numFmtId="49" fontId="0" fillId="37" borderId="4" xfId="0" applyNumberFormat="1" applyFill="1" applyBorder="1"/>
    <xf numFmtId="49" fontId="0" fillId="0" borderId="4" xfId="0" applyNumberFormat="1" applyBorder="1"/>
    <xf numFmtId="49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4" fillId="0" borderId="1" xfId="0" applyFont="1" applyBorder="1"/>
    <xf numFmtId="0" fontId="6" fillId="0" borderId="1" xfId="0" applyFont="1" applyBorder="1"/>
    <xf numFmtId="0" fontId="0" fillId="38" borderId="0" xfId="0" applyFill="1"/>
    <xf numFmtId="165" fontId="1" fillId="2" borderId="0" xfId="0" applyNumberFormat="1" applyFont="1" applyFill="1"/>
    <xf numFmtId="165" fontId="3" fillId="4" borderId="0" xfId="0" applyNumberFormat="1" applyFont="1" applyFill="1"/>
    <xf numFmtId="165" fontId="0" fillId="0" borderId="0" xfId="0" applyNumberForma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4" fontId="0" fillId="38" borderId="0" xfId="0" applyNumberForma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wrapText="1"/>
    </xf>
    <xf numFmtId="0" fontId="4" fillId="10" borderId="1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8" fillId="1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49" fontId="14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49" fontId="16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 wrapText="1"/>
    </xf>
    <xf numFmtId="49" fontId="29" fillId="0" borderId="0" xfId="0" applyNumberFormat="1" applyFont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6" fillId="0" borderId="0" xfId="0" applyNumberFormat="1" applyFont="1" applyAlignment="1">
      <alignment horizontal="left" vertical="center" wrapText="1"/>
    </xf>
    <xf numFmtId="49" fontId="16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0" fillId="39" borderId="0" xfId="0" applyNumberFormat="1" applyFill="1"/>
    <xf numFmtId="49" fontId="3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horizontal="center" wrapText="1"/>
    </xf>
    <xf numFmtId="49" fontId="0" fillId="0" borderId="0" xfId="0" quotePrefix="1" applyNumberFormat="1" applyAlignment="1">
      <alignment wrapText="1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wrapText="1"/>
    </xf>
    <xf numFmtId="14" fontId="3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wrapText="1"/>
    </xf>
    <xf numFmtId="0" fontId="0" fillId="0" borderId="5" xfId="0" applyBorder="1"/>
    <xf numFmtId="8" fontId="13" fillId="0" borderId="5" xfId="0" applyNumberFormat="1" applyFont="1" applyBorder="1"/>
    <xf numFmtId="17" fontId="0" fillId="0" borderId="5" xfId="0" applyNumberFormat="1" applyBorder="1"/>
    <xf numFmtId="165" fontId="0" fillId="0" borderId="7" xfId="0" applyNumberFormat="1" applyBorder="1"/>
    <xf numFmtId="164" fontId="5" fillId="0" borderId="8" xfId="0" applyNumberFormat="1" applyFont="1" applyBorder="1"/>
    <xf numFmtId="8" fontId="3" fillId="0" borderId="8" xfId="0" applyNumberFormat="1" applyFont="1" applyBorder="1"/>
    <xf numFmtId="0" fontId="9" fillId="0" borderId="0" xfId="0" applyFont="1"/>
    <xf numFmtId="49" fontId="0" fillId="27" borderId="0" xfId="0" applyNumberFormat="1" applyFill="1"/>
    <xf numFmtId="1" fontId="16" fillId="0" borderId="0" xfId="0" applyNumberFormat="1" applyFont="1" applyAlignment="1">
      <alignment horizontal="center"/>
    </xf>
    <xf numFmtId="17" fontId="0" fillId="0" borderId="0" xfId="0" applyNumberFormat="1"/>
    <xf numFmtId="0" fontId="18" fillId="0" borderId="0" xfId="0" applyFont="1"/>
    <xf numFmtId="0" fontId="0" fillId="27" borderId="0" xfId="0" applyFill="1" applyAlignment="1">
      <alignment horizontal="center" vertical="center"/>
    </xf>
    <xf numFmtId="165" fontId="5" fillId="0" borderId="0" xfId="0" applyNumberFormat="1" applyFont="1"/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14" fontId="0" fillId="0" borderId="0" xfId="0" applyNumberFormat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/>
    </xf>
    <xf numFmtId="0" fontId="30" fillId="0" borderId="0" xfId="0" applyFont="1" applyAlignment="1">
      <alignment horizontal="center" vertical="center"/>
    </xf>
    <xf numFmtId="1" fontId="30" fillId="0" borderId="0" xfId="0" applyNumberFormat="1" applyFont="1" applyAlignment="1">
      <alignment horizontal="center"/>
    </xf>
    <xf numFmtId="0" fontId="14" fillId="27" borderId="0" xfId="0" applyFon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27" borderId="0" xfId="0" applyNumberFormat="1" applyFill="1" applyAlignment="1">
      <alignment horizontal="left" vertical="center" wrapText="1"/>
    </xf>
    <xf numFmtId="49" fontId="9" fillId="27" borderId="0" xfId="0" applyNumberFormat="1" applyFont="1" applyFill="1" applyAlignment="1">
      <alignment horizontal="left"/>
    </xf>
    <xf numFmtId="165" fontId="3" fillId="0" borderId="0" xfId="0" applyNumberFormat="1" applyFont="1" applyAlignment="1">
      <alignment horizontal="center" vertical="top"/>
    </xf>
    <xf numFmtId="49" fontId="0" fillId="0" borderId="0" xfId="0" quotePrefix="1" applyNumberFormat="1" applyAlignment="1">
      <alignment horizontal="left" vertical="center"/>
    </xf>
    <xf numFmtId="49" fontId="0" fillId="0" borderId="0" xfId="0" quotePrefix="1" applyNumberForma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left" wrapText="1"/>
    </xf>
    <xf numFmtId="164" fontId="5" fillId="0" borderId="0" xfId="0" applyNumberFormat="1" applyFont="1"/>
    <xf numFmtId="0" fontId="14" fillId="28" borderId="0" xfId="0" applyFont="1" applyFill="1" applyAlignment="1">
      <alignment horizontal="center" vertical="center"/>
    </xf>
    <xf numFmtId="1" fontId="14" fillId="28" borderId="0" xfId="0" applyNumberFormat="1" applyFont="1" applyFill="1" applyAlignment="1">
      <alignment horizontal="center"/>
    </xf>
    <xf numFmtId="49" fontId="0" fillId="27" borderId="0" xfId="0" applyNumberFormat="1" applyFill="1" applyAlignment="1">
      <alignment horizontal="left"/>
    </xf>
    <xf numFmtId="1" fontId="14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 vertical="center"/>
    </xf>
    <xf numFmtId="0" fontId="0" fillId="0" borderId="0" xfId="0" applyNumberFormat="1"/>
    <xf numFmtId="0" fontId="1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18">
    <dxf>
      <alignment horizontal="center"/>
    </dxf>
    <dxf>
      <numFmt numFmtId="2" formatCode="0.00"/>
      <alignment horizontal="center"/>
    </dxf>
    <dxf>
      <numFmt numFmtId="19" formatCode="m/d/yyyy"/>
      <alignment horizontal="center"/>
    </dxf>
    <dxf>
      <alignment horizontal="center"/>
    </dxf>
    <dxf>
      <alignment horizontal="center"/>
    </dxf>
    <dxf>
      <numFmt numFmtId="30" formatCode="@"/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C0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numFmt numFmtId="2" formatCode="0.00"/>
    </dxf>
    <dxf>
      <numFmt numFmtId="19" formatCode="m/d/yyyy"/>
      <alignment horizontal="center"/>
    </dxf>
    <dxf>
      <numFmt numFmtId="30" formatCode="@"/>
    </dxf>
    <dxf>
      <numFmt numFmtId="165" formatCode="&quot;$&quot;#,##0.00"/>
    </dxf>
    <dxf>
      <numFmt numFmtId="30" formatCode="@"/>
    </dxf>
    <dxf>
      <numFmt numFmtId="19" formatCode="m/d/yyyy"/>
      <alignment horizontal="right" vertical="center"/>
    </dxf>
    <dxf>
      <numFmt numFmtId="30" formatCode="@"/>
    </dxf>
    <dxf>
      <numFmt numFmtId="30" formatCode="@"/>
    </dxf>
    <dxf>
      <numFmt numFmtId="165" formatCode="&quot;$&quot;#,##0.00"/>
    </dxf>
    <dxf>
      <numFmt numFmtId="165" formatCode="&quot;$&quot;#,##0.00"/>
      <alignment horizontal="center" vertical="center"/>
    </dxf>
    <dxf>
      <numFmt numFmtId="30" formatCode="@"/>
      <alignment horizontal="left"/>
    </dxf>
    <dxf>
      <numFmt numFmtId="1" formatCode="0"/>
      <alignment horizontal="center"/>
    </dxf>
    <dxf>
      <numFmt numFmtId="0" formatCode="General"/>
      <alignment horizontal="center" vertical="center"/>
    </dxf>
    <dxf>
      <numFmt numFmtId="30" formatCode="@"/>
      <alignment horizontal="left"/>
    </dxf>
    <dxf>
      <numFmt numFmtId="30" formatCode="@"/>
      <alignment horizontal="left" vertical="center"/>
    </dxf>
    <dxf>
      <numFmt numFmtId="30" formatCode="@"/>
    </dxf>
    <dxf>
      <numFmt numFmtId="30" formatCode="@"/>
    </dxf>
    <dxf>
      <numFmt numFmtId="19" formatCode="m/d/yyyy"/>
      <alignment horizontal="center"/>
    </dxf>
    <dxf>
      <numFmt numFmtId="19" formatCode="m/d/yyyy"/>
      <alignment horizontal="center"/>
    </dxf>
    <dxf>
      <numFmt numFmtId="30" formatCode="@"/>
    </dxf>
    <dxf>
      <numFmt numFmtId="30" formatCode="@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FF5CF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C00000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FF5CF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DFF7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FF5CFA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5CFA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5C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0.544496180555" createdVersion="8" refreshedVersion="8" minRefreshableVersion="3" recordCount="5105" xr:uid="{20783F87-CD0E-4A92-B644-40257B82CBC7}">
  <cacheSource type="worksheet">
    <worksheetSource ref="F1:S1048576" sheet="Sheet1"/>
  </cacheSource>
  <cacheFields count="14">
    <cacheField name="FECHA" numFmtId="14">
      <sharedItems containsNonDate="0" containsDate="1" containsString="0" containsBlank="1" minDate="2026-07-01T00:00:00" maxDate="2026-09-26T00:00:00" count="87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m/>
      </sharedItems>
    </cacheField>
    <cacheField name="FECHA KOMMO" numFmtId="14">
      <sharedItems containsDate="1" containsBlank="1" containsMixedTypes="1" minDate="2025-07-12T00:00:00" maxDate="2026-12-08T00:00:00"/>
    </cacheField>
    <cacheField name="Asesor" numFmtId="0">
      <sharedItems containsBlank="1" count="68">
        <s v="GLORIA ORTIZ C/C"/>
        <s v="KARLA GARCIA"/>
        <s v="VALERY RODRIGUEZ SUR"/>
        <s v="IRAN CASTILLO SUR"/>
        <s v="MIRIAM MONTELONGO SUR"/>
        <s v="DULCE ARTEAGA SUR"/>
        <s v="ROSA CASTRO SUR"/>
        <s v="ESMERALDA ESQUIVEL SUR"/>
        <s v="DULCE FRANCO"/>
        <s v="MARIA NIÑO"/>
        <s v="MARA HERNANDEZ SUR"/>
        <s v="LITZY MARTINEZ C/C"/>
        <s v="FERNANDA ROMERO SUR"/>
        <s v="LILIANA MARTINEZ SUR"/>
        <s v="XIMENA RIVERA SUR"/>
        <s v="JORGE MEDINA EXT C/C"/>
        <s v="ALBERTO POZOS EXT"/>
        <s v="HANIA GARCIA"/>
        <s v="ALAN ALTAMIRANO EXT"/>
        <s v="DEYANIRA CORDOVA C/C"/>
        <s v="ANA VILLEGAS C/C"/>
        <s v="MERARI PEREZ"/>
        <s v="YAMILETH LÓPEZ HDEZ SUR"/>
        <s v="MARIA MARTINEZ SUR"/>
        <s v="LUIS DAVILA C/C"/>
        <s v="MAFER Z"/>
        <s v="JENNIFER AVENDAÑO SUR"/>
        <s v="YULIANA RODRIGUEZ C/C"/>
        <s v="GIOVANNI MELGAR"/>
        <s v="GUADALUPE BECERRA C/C"/>
        <s v="LUISA LARA SUR"/>
        <s v="YAMILETH CARDONA EXT 2"/>
        <s v="MAGALI MARTINEZ EXT 2"/>
        <s v="AMIR NAVARRO EXT 2"/>
        <s v="YAJAHIRA GONZALEZ EXT 2"/>
        <s v="MARISOL HERNANDEZ C/C"/>
        <s v="MELANIE CIBRIAN C/C"/>
        <s v="CAROLINA RAMIREZ C/C"/>
        <s v="FERNANDA CASTILLO C/C"/>
        <s v="HANIA GARCIA C/C"/>
        <s v="PAOLA RODRIGUEZ C/C"/>
        <s v="DULCE FRANCO C/C"/>
        <s v="MAGALI HERNANDEZ C/C"/>
        <s v="YESSENIA ESPINO"/>
        <s v="KARINA MATA C/C"/>
        <s v="CARRANZA SARDINA C/C"/>
        <s v="BEATRIZ DE LA CRUZ C/C"/>
        <s v="LESLIE SANTIAGO C/C"/>
        <s v="ANDRE TREVIÑO C/C"/>
        <s v="MAYTE NAVARRO C/C"/>
        <s v="DANIELA IRACHETA C/C"/>
        <s v="GUADALUPE CRUZ SUR"/>
        <s v="LITZY MARTINEZ"/>
        <s v="MAYTE NAVARRO"/>
        <s v="BEATRIZ DE LA CRUZ"/>
        <s v="DANIELA IRACHETA"/>
        <s v="YARUMI PEREZ SUR"/>
        <s v="ASHLIN CELESTE SUR"/>
        <s v="GUADALUPE BECERRA"/>
        <s v="RUTH MARTINEZ SUR"/>
        <s v="MARITZA CRUZ RAUDALL"/>
        <s v="LIDIA GARZA"/>
        <s v="JAEL RUIZ"/>
        <s v="LUZ BANDA"/>
        <s v="CLAUDIA LAGUNES"/>
        <s v="KATE MALPICA"/>
        <m/>
        <s v="XIMENA CRUZ SUR" u="1"/>
      </sharedItems>
    </cacheField>
    <cacheField name="NOMBRE CLIENTE" numFmtId="0">
      <sharedItems containsBlank="1"/>
    </cacheField>
    <cacheField name="NSS" numFmtId="0">
      <sharedItems containsBlank="1" containsMixedTypes="1" containsNumber="1" containsInteger="1" minValue="328163" maxValue="532204448228"/>
    </cacheField>
    <cacheField name="CURP" numFmtId="0">
      <sharedItems containsBlank="1"/>
    </cacheField>
    <cacheField name="LEAD" numFmtId="0">
      <sharedItems containsString="0" containsBlank="1" containsNumber="1" containsInteger="1" minValue="1" maxValue="29204910"/>
    </cacheField>
    <cacheField name="TELEFONO" numFmtId="0">
      <sharedItems containsBlank="1" containsMixedTypes="1" containsNumber="1" containsInteger="1" minValue="0" maxValue="521452523411319"/>
    </cacheField>
    <cacheField name="ESTATUS" numFmtId="0">
      <sharedItems containsBlank="1" count="13">
        <s v="NUEVO MAYOR"/>
        <s v="SIN CAPACIDAD"/>
        <s v="COMPRA BIMESTRES"/>
        <s v="NUEVO MENOR"/>
        <s v="LEY 97"/>
        <s v="NO DATO"/>
        <s v="COMPRA MAYOR"/>
        <s v="COMPRA MENOR"/>
        <s v="SIN NOMINA"/>
        <s v="RESTRINGIDA"/>
        <s v="NEGOCIO DUPLICADO"/>
        <m/>
        <s v="P.V." u="1"/>
      </sharedItems>
    </cacheField>
    <cacheField name=" INFORMEDEPAGO " numFmtId="0">
      <sharedItems containsString="0" containsBlank="1" containsNumber="1" minValue="74.3" maxValue="96277.41"/>
    </cacheField>
    <cacheField name="DESCUENTOS" numFmtId="0">
      <sharedItems containsBlank="1" containsMixedTypes="1" containsNumber="1" minValue="0" maxValue="27130.52"/>
    </cacheField>
    <cacheField name="$0.30 " numFmtId="0">
      <sharedItems containsString="0" containsBlank="1" containsNumber="1" minValue="0" maxValue="28883.223000000002"/>
    </cacheField>
    <cacheField name="CAPACIDAD" numFmtId="0">
      <sharedItems containsString="0" containsBlank="1" containsNumber="1" minValue="-6529.3249999999998" maxValue="19773.030000000002"/>
    </cacheField>
    <cacheField name="VENCIMIENTO" numFmtId="0">
      <sharedItems containsDate="1" containsBlank="1" containsMixedTypes="1" minDate="2018-05-01T00:00:00" maxDate="2028-09-02T00:00:00"/>
    </cacheField>
  </cacheFields>
  <extLst>
    <ext xmlns:x14="http://schemas.microsoft.com/office/spreadsheetml/2009/9/main" uri="{725AE2AE-9491-48be-B2B4-4EB974FC3084}">
      <x14:pivotCacheDefinition pivotCacheId="4847143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5">
  <r>
    <x v="0"/>
    <s v="28/06/2026"/>
    <x v="0"/>
    <s v="SILVESTRE VAZQUEZ PEREZ"/>
    <n v="71856308862"/>
    <m/>
    <n v="22076120"/>
    <n v="5219616687207"/>
    <x v="0"/>
    <n v="7920.51"/>
    <m/>
    <n v="2376.15"/>
    <n v="2376.15"/>
    <m/>
  </r>
  <r>
    <x v="0"/>
    <d v="2026-09-05T00:00:00"/>
    <x v="1"/>
    <s v="Santana Vazquez Martinez"/>
    <m/>
    <s v="VAMS760419HTSZRN05"/>
    <n v="20456384"/>
    <n v="5218120225569"/>
    <x v="1"/>
    <n v="3404.17"/>
    <m/>
    <n v="1021.25"/>
    <n v="0"/>
    <m/>
  </r>
  <r>
    <x v="0"/>
    <d v="2026-01-07T00:00:00"/>
    <x v="2"/>
    <s v="MARTIN ESQUIVEL BASULTO"/>
    <n v="54805954010"/>
    <s v="EUBM590828HJCSSR02"/>
    <n v="22155628"/>
    <n v="5213221301995"/>
    <x v="2"/>
    <n v="14368.93"/>
    <n v="4307.82"/>
    <n v="4310.68"/>
    <n v="2.86"/>
    <d v="2027-01-06T00:00:00"/>
  </r>
  <r>
    <x v="0"/>
    <s v="29/07/2026"/>
    <x v="3"/>
    <s v="GUILLERMO GONZALEZ GUDIÑO"/>
    <n v="49866521245"/>
    <s v="GOGG650509HTSNDL06"/>
    <n v="22099170"/>
    <n v="22099170"/>
    <x v="0"/>
    <n v="26776.92"/>
    <m/>
    <n v="8033.08"/>
    <n v="8033.08"/>
    <m/>
  </r>
  <r>
    <x v="0"/>
    <d v="2026-01-07T00:00:00"/>
    <x v="4"/>
    <s v="MAXIMINO SALUSTIANO ORTEGA VASQUEZ"/>
    <n v="78856505439"/>
    <s v="OEVM650608HOCRSX02"/>
    <n v="22161070"/>
    <n v="5219541288949"/>
    <x v="0"/>
    <n v="9760.32"/>
    <m/>
    <n v="2928.1"/>
    <n v="2928.1"/>
    <m/>
  </r>
  <r>
    <x v="0"/>
    <s v="30/06/2026"/>
    <x v="0"/>
    <s v="JOSE PALACIOS ALVAREZ"/>
    <n v="31795905855"/>
    <m/>
    <n v="22125836"/>
    <n v="5216182035940"/>
    <x v="3"/>
    <n v="4568.18"/>
    <m/>
    <n v="1370.45"/>
    <n v="395.2"/>
    <m/>
  </r>
  <r>
    <x v="0"/>
    <d v="2026-01-07T00:00:00"/>
    <x v="5"/>
    <s v="ALBERTO RODRIGUEZ SALAS"/>
    <n v="43755642246"/>
    <s v="ROSA560606HNLDLL04"/>
    <n v="22161170"/>
    <n v="5218120653677"/>
    <x v="2"/>
    <n v="7095.3"/>
    <n v="2128.59"/>
    <n v="2128.59"/>
    <n v="0"/>
    <d v="2028-01-03T00:00:00"/>
  </r>
  <r>
    <x v="0"/>
    <d v="2026-01-07T00:00:00"/>
    <x v="6"/>
    <s v="MARCOS CUEVAS PUGA"/>
    <n v="4866321724"/>
    <s v="CUPM630425HJCVGR00"/>
    <n v="22152008"/>
    <n v="22152008"/>
    <x v="1"/>
    <n v="4199.87"/>
    <n v="848"/>
    <n v="1259.96"/>
    <n v="-821.11"/>
    <m/>
  </r>
  <r>
    <x v="0"/>
    <d v="2026-01-07T00:00:00"/>
    <x v="7"/>
    <s v="Lorena Cedillo Saldivar "/>
    <n v="32796100967"/>
    <s v="CESL611222MCLDLR09"/>
    <n v="22164328"/>
    <n v="22164328"/>
    <x v="2"/>
    <n v="6262.86"/>
    <n v="1876.17"/>
    <n v="1878.86"/>
    <n v="2.69"/>
    <d v="2028-01-07T00:00:00"/>
  </r>
  <r>
    <x v="0"/>
    <d v="2026-01-07T00:00:00"/>
    <x v="5"/>
    <s v="HUMBERTO MORAN ROCHIN"/>
    <m/>
    <s v="MORH570325HSLRCM08"/>
    <n v="22166130"/>
    <n v="5216674133739"/>
    <x v="1"/>
    <n v="4199.87"/>
    <m/>
    <n v="1259.96"/>
    <n v="26.89"/>
    <m/>
  </r>
  <r>
    <x v="0"/>
    <d v="2026-01-07T00:00:00"/>
    <x v="6"/>
    <s v="JORGE RIVAS MURILLO"/>
    <n v="63806022404"/>
    <s v="RIMJ600326HDFVRR09"/>
    <n v="22160456"/>
    <n v="5219981553770"/>
    <x v="2"/>
    <n v="34491.440000000002"/>
    <n v="10346"/>
    <n v="10347.43"/>
    <n v="1.43"/>
    <d v="2028-01-06T00:00:00"/>
  </r>
  <r>
    <x v="0"/>
    <s v="30/06/2026"/>
    <x v="8"/>
    <s v="JUANA ARACELI HERNANDEZ HERNANDEZ"/>
    <m/>
    <s v="HEHJ650819MDGRRN07"/>
    <n v="22120944"/>
    <n v="8114757799"/>
    <x v="2"/>
    <n v="9760.32"/>
    <n v="2900"/>
    <n v="2928.1"/>
    <n v="28.1"/>
    <d v="2028-01-02T00:00:00"/>
  </r>
  <r>
    <x v="0"/>
    <s v="28/06/2026"/>
    <x v="9"/>
    <s v="IGNACIO MEDINA FERRETIZ"/>
    <m/>
    <s v="MEFI550312HSPDRG00"/>
    <n v="22072350"/>
    <n v="19452607843"/>
    <x v="0"/>
    <n v="5630.32"/>
    <m/>
    <n v="1689.1"/>
    <n v="1457.34"/>
    <m/>
  </r>
  <r>
    <x v="0"/>
    <d v="2026-01-07T00:00:00"/>
    <x v="10"/>
    <s v="Martha Isabel Santos Barrios"/>
    <n v="31805908899"/>
    <s v="SABM621029MDGNRR05"/>
    <n v="22166586"/>
    <n v="5216188396640"/>
    <x v="1"/>
    <n v="4172.79"/>
    <n v="340.49"/>
    <n v="1251.8399999999999"/>
    <n v="-340.49"/>
    <m/>
  </r>
  <r>
    <x v="0"/>
    <s v="28/06/2026"/>
    <x v="11"/>
    <s v="NORMA TERRONES"/>
    <n v="12988266677"/>
    <s v="LOPJ821011HGTPXN04"/>
    <n v="22071972"/>
    <n v="4111160847"/>
    <x v="4"/>
    <m/>
    <m/>
    <n v="0"/>
    <n v="0"/>
    <m/>
  </r>
  <r>
    <x v="0"/>
    <d v="2026-01-07T00:00:00"/>
    <x v="12"/>
    <s v="RICARDO REYES ZAMORA"/>
    <m/>
    <s v="REZR630521HVZYMC00"/>
    <n v="22166364"/>
    <n v="5214461381127"/>
    <x v="2"/>
    <n v="12125.36"/>
    <n v="3637.57"/>
    <n v="3637.61"/>
    <n v="0.04"/>
    <d v="2027-01-12T00:00:00"/>
  </r>
  <r>
    <x v="0"/>
    <d v="2026-01-07T00:00:00"/>
    <x v="13"/>
    <s v="MARIA GUADALUPE TIZNADO DELGADILLO"/>
    <m/>
    <s v="TIDG840223MBCZLD05"/>
    <n v="22165772"/>
    <n v="5216861876635"/>
    <x v="4"/>
    <m/>
    <m/>
    <n v="0"/>
    <n v="0"/>
    <m/>
  </r>
  <r>
    <x v="0"/>
    <d v="2026-01-07T00:00:00"/>
    <x v="14"/>
    <s v="JESUS IMELDO OROZCO PEREZ"/>
    <n v="11905802002"/>
    <s v="OOPJ580513HDFRRS02"/>
    <n v="22165722"/>
    <n v="5215554990813"/>
    <x v="2"/>
    <n v="9081.52"/>
    <n v="2520"/>
    <n v="2724.46"/>
    <n v="204.46"/>
    <d v="2028-01-07T00:00:00"/>
  </r>
  <r>
    <x v="0"/>
    <d v="2026-01-07T00:00:00"/>
    <x v="4"/>
    <s v="CARLOS HERNANDEZ MALDONADO"/>
    <m/>
    <s v="HEMC581103HTSRLR02"/>
    <n v="22159260"/>
    <n v="22159260"/>
    <x v="2"/>
    <n v="6262.86"/>
    <n v="1811.23"/>
    <n v="1878.86"/>
    <n v="67.63"/>
    <d v="2027-01-10T00:00:00"/>
  </r>
  <r>
    <x v="0"/>
    <s v="30/06/2026"/>
    <x v="15"/>
    <s v="MANUEL IZMAEL CAB UUH"/>
    <n v="84816307601"/>
    <s v="CAUM630617HYNBHN05"/>
    <n v="22106562"/>
    <n v="5219871019830"/>
    <x v="0"/>
    <n v="7920.51"/>
    <n v="848"/>
    <n v="2376.15"/>
    <n v="1528.15"/>
    <m/>
  </r>
  <r>
    <x v="0"/>
    <d v="2026-01-07T00:00:00"/>
    <x v="16"/>
    <m/>
    <n v="219473515530"/>
    <m/>
    <n v="1"/>
    <m/>
    <x v="2"/>
    <n v="8895.06"/>
    <n v="2583.69"/>
    <n v="2668.52"/>
    <n v="84.83"/>
    <d v="2026-01-11T00:00:00"/>
  </r>
  <r>
    <x v="0"/>
    <d v="2026-01-07T00:00:00"/>
    <x v="13"/>
    <s v="JEUS AMARO FLORES"/>
    <n v="43816503825"/>
    <s v="AAFJ650316HNLMLS05"/>
    <n v="22167414"/>
    <n v="5218186939401"/>
    <x v="0"/>
    <n v="9760.32"/>
    <m/>
    <n v="2928.1"/>
    <n v="2928.1"/>
    <m/>
  </r>
  <r>
    <x v="0"/>
    <s v="30/06/2026"/>
    <x v="17"/>
    <s v="Ana Maria Barrera Lopez"/>
    <n v="10836512557"/>
    <s v="BALA650726MMCRPN01"/>
    <n v="22120886"/>
    <n v="5543518301"/>
    <x v="2"/>
    <n v="5055.87"/>
    <n v="1200.07"/>
    <n v="1516.76"/>
    <n v="-317.18"/>
    <d v="2026-12-01T00:00:00"/>
  </r>
  <r>
    <x v="0"/>
    <d v="2026-01-07T00:00:00"/>
    <x v="6"/>
    <s v="ROSIO BEATRIZ CHAN EK "/>
    <n v="84997407659"/>
    <s v="CAER740528MYNHKS10"/>
    <n v="22153394"/>
    <n v="22153394"/>
    <x v="5"/>
    <m/>
    <m/>
    <n v="0"/>
    <n v="0"/>
    <m/>
  </r>
  <r>
    <x v="0"/>
    <d v="2026-01-07T00:00:00"/>
    <x v="3"/>
    <s v="ANTONIO TORIJA MEJIA"/>
    <n v="63855700991"/>
    <s v="TOMA570127HDFRJN06"/>
    <n v="22159482"/>
    <n v="5215616196142"/>
    <x v="2"/>
    <n v="9760.32"/>
    <n v="2914.84"/>
    <n v="2928.1"/>
    <n v="13.26"/>
    <d v="2028-01-04T00:00:00"/>
  </r>
  <r>
    <x v="0"/>
    <s v="28/06/2026"/>
    <x v="9"/>
    <s v="RAMON LINO PARRA SABORI"/>
    <m/>
    <s v="PASR600902HSRRBM00"/>
    <n v="22073804"/>
    <n v="5216624589761"/>
    <x v="2"/>
    <n v="5617.63"/>
    <n v="1392.55"/>
    <n v="1685.29"/>
    <n v="52.1"/>
    <d v="2027-01-03T00:00:00"/>
  </r>
  <r>
    <x v="0"/>
    <d v="2026-01-07T00:00:00"/>
    <x v="18"/>
    <s v="ALFREDO ZAVALA TUDON"/>
    <m/>
    <s v="ZATA620612HTSVDL03"/>
    <n v="1"/>
    <n v="8683945967"/>
    <x v="6"/>
    <n v="7920.51"/>
    <n v="2182.2199999999998"/>
    <n v="2376.15"/>
    <n v="193.93"/>
    <d v="2026-01-05T00:00:00"/>
  </r>
  <r>
    <x v="0"/>
    <s v="30/06/2026"/>
    <x v="19"/>
    <s v="MARIO "/>
    <m/>
    <s v="MEHM641116HCLNRR04"/>
    <n v="22125834"/>
    <n v="8445409780"/>
    <x v="0"/>
    <n v="9081.52"/>
    <m/>
    <n v="2724.46"/>
    <n v="2724.46"/>
    <m/>
  </r>
  <r>
    <x v="0"/>
    <s v="30/06/2026"/>
    <x v="20"/>
    <s v="LILIA"/>
    <n v="32907377710"/>
    <s v="PESL741120MCLRFL03"/>
    <n v="22128748"/>
    <n v="5218262641856"/>
    <x v="2"/>
    <n v="7118.1"/>
    <n v="2134.4699999999998"/>
    <n v="2135.4299999999998"/>
    <n v="0.96"/>
    <d v="2026-09-01T00:00:00"/>
  </r>
  <r>
    <x v="0"/>
    <s v="30/06/2026"/>
    <x v="20"/>
    <s v="Fernando madera "/>
    <n v="1735247338"/>
    <m/>
    <n v="22125778"/>
    <n v="5214931259332"/>
    <x v="0"/>
    <n v="23893.01"/>
    <m/>
    <n v="7167.9"/>
    <n v="7167.9"/>
    <m/>
  </r>
  <r>
    <x v="0"/>
    <s v="30/06/2026"/>
    <x v="20"/>
    <s v="JORGE PEREZ"/>
    <m/>
    <s v="PEOJ600728HDFRLR01"/>
    <n v="22129186"/>
    <n v="5215619415489"/>
    <x v="1"/>
    <n v="4199.87"/>
    <n v="848"/>
    <n v="1259.96"/>
    <n v="-821.11"/>
    <m/>
  </r>
  <r>
    <x v="0"/>
    <s v="30/06/2026"/>
    <x v="20"/>
    <s v="José Juan Félix "/>
    <n v="23846009217"/>
    <m/>
    <n v="22128306"/>
    <n v="5216871965719"/>
    <x v="3"/>
    <n v="26507.99"/>
    <n v="6796.9"/>
    <n v="7952.4"/>
    <n v="1155.5"/>
    <d v="2027-01-11T00:00:00"/>
  </r>
  <r>
    <x v="0"/>
    <s v="28/06/2026"/>
    <x v="21"/>
    <s v="NEREO REYES LOPEZ"/>
    <n v="82805601448"/>
    <s v="RELN560907HVZYPR08"/>
    <n v="22075284"/>
    <n v="22075284"/>
    <x v="2"/>
    <n v="4813.6899999999996"/>
    <n v="617.9"/>
    <n v="1444.11"/>
    <n v="22.81"/>
    <d v="2027-01-11T00:00:00"/>
  </r>
  <r>
    <x v="0"/>
    <d v="2026-01-07T00:00:00"/>
    <x v="3"/>
    <s v="JOSE CRUZ LOPEZ CRUZ"/>
    <n v="32684816609"/>
    <s v="LOCC480503HCLPRR01"/>
    <n v="22161372"/>
    <n v="5218446085551"/>
    <x v="2"/>
    <n v="10020.030000000001"/>
    <n v="3005.41"/>
    <n v="3006.01"/>
    <n v="0.6"/>
    <d v="2027-01-11T00:00:00"/>
  </r>
  <r>
    <x v="0"/>
    <d v="2026-01-07T00:00:00"/>
    <x v="3"/>
    <s v="JOSE ANGEL LOPEZ CASAS"/>
    <m/>
    <s v="LXCA621017HNLPSN09"/>
    <n v="22162412"/>
    <n v="5214881170727"/>
    <x v="6"/>
    <n v="9081.52"/>
    <n v="2518.66"/>
    <n v="2724.46"/>
    <n v="205.8"/>
    <d v="2026-01-07T00:00:00"/>
  </r>
  <r>
    <x v="0"/>
    <d v="2026-01-07T00:00:00"/>
    <x v="22"/>
    <s v="ANICETO RODOLFO BELTRAN CORIA"/>
    <n v="42806382356"/>
    <s v="BECA630417HMSLRN02"/>
    <n v="22172958"/>
    <n v="5217351614271"/>
    <x v="2"/>
    <n v="10750.17"/>
    <n v="3224.13"/>
    <n v="3225.05"/>
    <n v="0.92"/>
    <d v="2027-01-02T00:00:00"/>
  </r>
  <r>
    <x v="0"/>
    <s v="30/06/2026"/>
    <x v="19"/>
    <m/>
    <n v="33806434180"/>
    <m/>
    <n v="22126200"/>
    <n v="6391558331"/>
    <x v="6"/>
    <n v="18771.990000000002"/>
    <n v="5333.7"/>
    <n v="5631.6"/>
    <n v="297.89999999999998"/>
    <d v="2026-01-07T00:00:00"/>
  </r>
  <r>
    <x v="0"/>
    <s v="30/06/2026"/>
    <x v="23"/>
    <s v="BEATRIZ HERNANDEZ RODRIGUEZ"/>
    <n v="60836000467"/>
    <s v="HERB600202MDFRDT00"/>
    <n v="22151900"/>
    <n v="5215578381289"/>
    <x v="7"/>
    <n v="5617.63"/>
    <n v="1392.9"/>
    <n v="1685.29"/>
    <n v="51.75"/>
    <d v="2026-01-05T00:00:00"/>
  </r>
  <r>
    <x v="0"/>
    <s v="30/06/2026"/>
    <x v="21"/>
    <s v="CARLOS MARTINEZ CRUZ"/>
    <n v="14806007622"/>
    <s v="MACC601124HQTRRR08"/>
    <n v="22120712"/>
    <n v="5214142191750"/>
    <x v="2"/>
    <n v="7116.73"/>
    <n v="2057.73"/>
    <n v="2135.02"/>
    <n v="77.290000000000006"/>
    <d v="2027-01-07T00:00:00"/>
  </r>
  <r>
    <x v="0"/>
    <d v="2026-12-06T00:00:00"/>
    <x v="23"/>
    <s v="JULIO BASULTO USCANGA"/>
    <m/>
    <s v="BAUJ630925HVZSSL04"/>
    <n v="21661676"/>
    <n v="5212971061427"/>
    <x v="6"/>
    <n v="9081.52"/>
    <n v="2500"/>
    <n v="2724.46"/>
    <n v="224.46"/>
    <d v="2026-01-07T00:00:00"/>
  </r>
  <r>
    <x v="0"/>
    <d v="2026-01-07T00:00:00"/>
    <x v="24"/>
    <s v="SALVADOR AGUADO"/>
    <n v="80996423875"/>
    <s v="AULS641225HGTGPL02"/>
    <n v="22063076"/>
    <n v="22063076"/>
    <x v="5"/>
    <m/>
    <m/>
    <n v="0"/>
    <n v="0"/>
    <m/>
  </r>
  <r>
    <x v="0"/>
    <s v="30/06/2026"/>
    <x v="9"/>
    <s v="LUCIA RAMIREZ MACIAS"/>
    <m/>
    <s v="RAML650917MCHMCC02"/>
    <n v="22125436"/>
    <n v="5216566593045"/>
    <x v="2"/>
    <n v="9760.32"/>
    <n v="2823.89"/>
    <n v="2928.1"/>
    <n v="104.21"/>
    <d v="2027-01-12T00:00:00"/>
  </r>
  <r>
    <x v="0"/>
    <d v="2026-01-07T00:00:00"/>
    <x v="4"/>
    <s v="JOSE DE JESUS MENDOZA GODINEZ"/>
    <n v="54795203865"/>
    <s v="MEGJ521109HJCNDS00"/>
    <n v="22153278"/>
    <n v="22153278"/>
    <x v="6"/>
    <n v="9120.5"/>
    <n v="2241"/>
    <n v="2736.15"/>
    <n v="495.15"/>
    <d v="2024-01-10T00:00:00"/>
  </r>
  <r>
    <x v="0"/>
    <d v="2026-01-07T00:00:00"/>
    <x v="24"/>
    <m/>
    <n v="54836503653"/>
    <s v="FOAD650805HJCLVV08"/>
    <n v="22150440"/>
    <n v="13344602961"/>
    <x v="3"/>
    <n v="9760.32"/>
    <n v="2237.06"/>
    <n v="2928.1"/>
    <n v="691.04"/>
    <d v="2028-01-07T00:00:00"/>
  </r>
  <r>
    <x v="0"/>
    <d v="2026-01-07T00:00:00"/>
    <x v="24"/>
    <s v="GUILLERMO"/>
    <n v="41906711639"/>
    <s v="POMG671205HSPNRL06"/>
    <n v="22149548"/>
    <n v="5218451039209"/>
    <x v="5"/>
    <m/>
    <m/>
    <n v="0"/>
    <n v="0"/>
    <m/>
  </r>
  <r>
    <x v="0"/>
    <d v="2026-01-07T00:00:00"/>
    <x v="25"/>
    <s v="MARTIN VALIÑO CALZADA"/>
    <n v="64816357624"/>
    <s v="VACM630728HDFLLR00"/>
    <n v="22175670"/>
    <s v="521 5572809567"/>
    <x v="2"/>
    <n v="7920.51"/>
    <n v="2287.42"/>
    <n v="2376.15"/>
    <n v="88.73"/>
    <d v="2027-01-04T00:00:00"/>
  </r>
  <r>
    <x v="0"/>
    <s v="24/06/2026"/>
    <x v="10"/>
    <s v="Marco Antonio Pacheco Castro"/>
    <m/>
    <s v="PACM630406HMCCSR07"/>
    <n v="21965960"/>
    <n v="5215615423449"/>
    <x v="0"/>
    <n v="9760.32"/>
    <n v="879"/>
    <n v="2928.1"/>
    <n v="2049.1"/>
    <m/>
  </r>
  <r>
    <x v="0"/>
    <d v="2026-01-07T00:00:00"/>
    <x v="23"/>
    <s v="TRINIDAD RANGEL PADRON"/>
    <m/>
    <s v="RAPT610528MSPNDR00"/>
    <n v="22172964"/>
    <n v="5214444576729"/>
    <x v="2"/>
    <n v="6262.86"/>
    <n v="1811.99"/>
    <n v="1878.86"/>
    <n v="66.87"/>
    <d v="2027-01-04T00:00:00"/>
  </r>
  <r>
    <x v="0"/>
    <d v="2026-01-07T00:00:00"/>
    <x v="6"/>
    <s v="JOSE MARTIN GONZALEZ ORTIZ "/>
    <n v="84906105592"/>
    <s v="GOOM610505HJCNRR08"/>
    <n v="22156292"/>
    <n v="9931067421"/>
    <x v="2"/>
    <n v="6262.86"/>
    <n v="1811.99"/>
    <n v="1878.86"/>
    <n v="66.87"/>
    <d v="2027-01-04T00:00:00"/>
  </r>
  <r>
    <x v="0"/>
    <d v="2026-01-07T00:00:00"/>
    <x v="14"/>
    <s v="JOSE CAMPOS PAREDES "/>
    <n v="55776102554"/>
    <s v="CAPJ611220HTCMRS05"/>
    <n v="22173486"/>
    <n v="6645479435"/>
    <x v="2"/>
    <n v="10171.24"/>
    <n v="3051.37"/>
    <n v="3051.37"/>
    <n v="0"/>
    <d v="2027-01-03T00:00:00"/>
  </r>
  <r>
    <x v="0"/>
    <d v="2026-01-07T00:00:00"/>
    <x v="5"/>
    <s v="RAFAELA HERNANDEZ GARCIA"/>
    <m/>
    <s v="HEGR620805MNLRRF07"/>
    <n v="22160340"/>
    <n v="5219601353463"/>
    <x v="6"/>
    <n v="7116.73"/>
    <n v="1972.32"/>
    <n v="2135.02"/>
    <n v="162.69999999999999"/>
    <d v="2026-01-02T00:00:00"/>
  </r>
  <r>
    <x v="0"/>
    <d v="2026-01-07T00:00:00"/>
    <x v="26"/>
    <s v="MARIA JULIETA PUENTE DEGOLLADO"/>
    <n v="43715531471"/>
    <s v="PUDJ680730MNLNGL02"/>
    <n v="22173260"/>
    <n v="5218117824579"/>
    <x v="3"/>
    <n v="5242.94"/>
    <m/>
    <n v="1572.88"/>
    <n v="1069.96"/>
    <m/>
  </r>
  <r>
    <x v="0"/>
    <d v="2026-01-07T00:00:00"/>
    <x v="22"/>
    <s v="RUBEN RAMIREZ SALAZAR"/>
    <m/>
    <s v="RASR650713HCLMLB06"/>
    <n v="22176030"/>
    <n v="5218662124223"/>
    <x v="2"/>
    <n v="9760.32"/>
    <n v="2819.54"/>
    <n v="2928.1"/>
    <n v="108.56"/>
    <d v="2027-01-11T00:00:00"/>
  </r>
  <r>
    <x v="0"/>
    <s v="29/06/2026"/>
    <x v="26"/>
    <s v="JUANA LETICIA FLORES GALVAN"/>
    <n v="24927613372"/>
    <s v="FOGJ760807MSRLLN02"/>
    <n v="22093922"/>
    <n v="5216623542600"/>
    <x v="1"/>
    <n v="3551.65"/>
    <m/>
    <n v="1065.5"/>
    <n v="0"/>
    <m/>
  </r>
  <r>
    <x v="0"/>
    <d v="2026-01-07T00:00:00"/>
    <x v="22"/>
    <s v="VICTOR RAMIREZ RUIZ"/>
    <m/>
    <s v="RARV610217HTSMZC06"/>
    <n v="22194508"/>
    <n v="5218331472160"/>
    <x v="2"/>
    <n v="14589.74"/>
    <n v="4376.68"/>
    <n v="4376.92"/>
    <n v="0.24"/>
    <d v="2027-01-02T00:00:00"/>
  </r>
  <r>
    <x v="0"/>
    <d v="2026-04-06T00:00:00"/>
    <x v="27"/>
    <s v="celso javier "/>
    <n v="24955504261"/>
    <m/>
    <n v="21377256"/>
    <n v="5216442332810"/>
    <x v="1"/>
    <n v="4063.93"/>
    <n v="848"/>
    <n v="1219.18"/>
    <n v="-848"/>
    <m/>
  </r>
  <r>
    <x v="0"/>
    <d v="2026-01-07T00:00:00"/>
    <x v="12"/>
    <s v="RAYMUNDO VALEN DOMINGUEZ"/>
    <m/>
    <s v="VADR590511HVZLMY01"/>
    <n v="22183116"/>
    <n v="5212299195157"/>
    <x v="2"/>
    <n v="4813.6899999999996"/>
    <n v="592.94000000000005"/>
    <n v="1444.11"/>
    <n v="47.77"/>
    <d v="2026-08-01T00:00:00"/>
  </r>
  <r>
    <x v="0"/>
    <d v="2026-01-07T00:00:00"/>
    <x v="10"/>
    <s v="María Josefina Salinas  Resendiz"/>
    <n v="2663400899"/>
    <s v="SARJ460213MDFLSS07"/>
    <n v="22177230"/>
    <n v="5216612218325"/>
    <x v="2"/>
    <n v="6254.33"/>
    <n v="2529.9699999999998"/>
    <n v="1876.3"/>
    <n v="-653.66999999999996"/>
    <d v="2028-01-01T00:00:00"/>
  </r>
  <r>
    <x v="0"/>
    <d v="2026-01-07T00:00:00"/>
    <x v="4"/>
    <s v="CARLOS HERNANDEZ MALDONADO"/>
    <m/>
    <s v="HEMC581103HTSRLR02"/>
    <n v="22183018"/>
    <n v="5218261152492"/>
    <x v="2"/>
    <n v="6262.86"/>
    <n v="1811.23"/>
    <n v="1878.86"/>
    <n v="67.63"/>
    <d v="2027-01-10T00:00:00"/>
  </r>
  <r>
    <x v="0"/>
    <d v="2026-01-07T00:00:00"/>
    <x v="26"/>
    <s v="TITO GODINEZ VILLANUEVA "/>
    <n v="72866605727"/>
    <s v="GOVT660206HGRDLT02"/>
    <n v="22205998"/>
    <n v="5217621149160"/>
    <x v="2"/>
    <n v="10636.54"/>
    <n v="3190.96"/>
    <n v="3190.96"/>
    <n v="0"/>
    <d v="2028-01-05T00:00:00"/>
  </r>
  <r>
    <x v="0"/>
    <d v="2026-01-07T00:00:00"/>
    <x v="3"/>
    <s v="LUZ MIGDELIA ALVARADO RODRIGUEZ"/>
    <n v="24816016646"/>
    <s v="AARL640513MSRLDZ07"/>
    <n v="22177160"/>
    <n v="5216311114980"/>
    <x v="2"/>
    <n v="29982.91"/>
    <n v="8991.64"/>
    <n v="8994.8700000000008"/>
    <n v="3.23"/>
    <d v="2027-01-01T00:00:00"/>
  </r>
  <r>
    <x v="0"/>
    <d v="2026-01-07T00:00:00"/>
    <x v="4"/>
    <s v="MARIA GUADALUPE CRUZ DIAZ"/>
    <m/>
    <s v="CUDG631113MSLRZD08"/>
    <n v="22206188"/>
    <n v="5216863525035"/>
    <x v="0"/>
    <n v="9081.52"/>
    <n v="879"/>
    <n v="2724.46"/>
    <n v="1845.46"/>
    <m/>
  </r>
  <r>
    <x v="0"/>
    <d v="2026-01-07T00:00:00"/>
    <x v="7"/>
    <s v="Antonio Olguin Rodriguez "/>
    <n v="3279622476"/>
    <s v="OURA621211HCLLDN00"/>
    <n v="22206374"/>
    <n v="5218661509862"/>
    <x v="6"/>
    <n v="8539.89"/>
    <n v="2306.3200000000002"/>
    <n v="2561.9699999999998"/>
    <n v="255.65"/>
    <d v="2026-01-01T00:00:00"/>
  </r>
  <r>
    <x v="0"/>
    <d v="2026-01-07T00:00:00"/>
    <x v="24"/>
    <s v="LUIS G."/>
    <n v="4286514364"/>
    <s v="GACL651205HDFRSS07"/>
    <n v="22206782"/>
    <n v="5214425460012"/>
    <x v="5"/>
    <m/>
    <m/>
    <n v="0"/>
    <n v="0"/>
    <m/>
  </r>
  <r>
    <x v="0"/>
    <d v="2026-01-07T00:00:00"/>
    <x v="24"/>
    <s v="JOSE PALLARES"/>
    <n v="33836813387"/>
    <s v="PASD681124HCHLLL02"/>
    <n v="22208332"/>
    <n v="5216143006071"/>
    <x v="2"/>
    <n v="8793.09"/>
    <n v="2533.13"/>
    <n v="2637.93"/>
    <n v="104.8"/>
    <d v="2027-01-10T00:00:00"/>
  </r>
  <r>
    <x v="0"/>
    <d v="2026-01-07T00:00:00"/>
    <x v="24"/>
    <m/>
    <n v="6776019389"/>
    <s v="VIPM600605HDFLNR09"/>
    <n v="22206558"/>
    <n v="5215567787910"/>
    <x v="2"/>
    <n v="5617.63"/>
    <n v="1444.57"/>
    <n v="1685.29"/>
    <n v="0.08"/>
    <d v="2027-01-04T00:00:00"/>
  </r>
  <r>
    <x v="0"/>
    <d v="2026-01-07T00:00:00"/>
    <x v="24"/>
    <s v="ERNESTO SANCHEZ"/>
    <n v="92907234089"/>
    <s v="SACE720312HDFNSR09"/>
    <n v="22208060"/>
    <n v="5219871124513"/>
    <x v="2"/>
    <n v="10010.5"/>
    <n v="2999.57"/>
    <n v="3003.15"/>
    <n v="3.58"/>
    <d v="2028-01-02T00:00:00"/>
  </r>
  <r>
    <x v="0"/>
    <d v="2026-01-07T00:00:00"/>
    <x v="24"/>
    <s v="DOLORES MORENO"/>
    <n v="14906601373"/>
    <s v="MOGD720722MQTRNL09"/>
    <n v="22206934"/>
    <n v="22206934"/>
    <x v="2"/>
    <n v="7128.48"/>
    <n v="1840.4"/>
    <n v="2138.54"/>
    <n v="298.14"/>
    <d v="2027-01-03T00:00:00"/>
  </r>
  <r>
    <x v="0"/>
    <d v="2026-01-07T00:00:00"/>
    <x v="24"/>
    <s v="MARIO AROYO ISLAS"/>
    <n v="1685231548"/>
    <s v="AOIM520206HDFRSR08"/>
    <n v="22208586"/>
    <n v="22208586"/>
    <x v="4"/>
    <m/>
    <m/>
    <n v="0"/>
    <n v="0"/>
    <m/>
  </r>
  <r>
    <x v="0"/>
    <d v="2026-01-07T00:00:00"/>
    <x v="24"/>
    <m/>
    <n v="14897115888"/>
    <s v="OIRR740307HQTRBM05"/>
    <n v="22207624"/>
    <n v="5214428833737"/>
    <x v="5"/>
    <m/>
    <m/>
    <n v="0"/>
    <n v="0"/>
    <m/>
  </r>
  <r>
    <x v="1"/>
    <d v="2026-01-07T00:00:00"/>
    <x v="27"/>
    <s v="JUVENTINO RICO RODRIGUEZ "/>
    <n v="4907318432"/>
    <m/>
    <n v="22212222"/>
    <n v="5213314506744"/>
    <x v="1"/>
    <n v="1923.44"/>
    <m/>
    <n v="577.03"/>
    <n v="0"/>
    <m/>
  </r>
  <r>
    <x v="1"/>
    <d v="2026-02-07T00:00:00"/>
    <x v="0"/>
    <s v="MARTIN CAMACHO GONZALEZ"/>
    <n v="14886004648"/>
    <s v="CAGM601206HDFMNR03"/>
    <n v="22214886"/>
    <n v="5217753573661"/>
    <x v="1"/>
    <n v="1222.46"/>
    <m/>
    <n v="366.74"/>
    <n v="0"/>
    <m/>
  </r>
  <r>
    <x v="1"/>
    <s v="30/06/2026"/>
    <x v="14"/>
    <s v="JESUS ANTONIO FLORES HERNANDEZ"/>
    <n v="33896165033"/>
    <s v="FOHJ610326HCHLRS08"/>
    <n v="22151518"/>
    <n v="5216252072748"/>
    <x v="2"/>
    <n v="6262.86"/>
    <n v="1736.11"/>
    <n v="1878.86"/>
    <n v="142.75"/>
    <d v="2026-08-01T00:00:00"/>
  </r>
  <r>
    <x v="1"/>
    <d v="2026-01-07T00:00:00"/>
    <x v="3"/>
    <s v="LUZ MIGDELIA ALVARADO RODRIGUEZ"/>
    <n v="24806404687"/>
    <s v="AARL640513MSRLDZ07"/>
    <n v="22177160"/>
    <n v="5216311114980"/>
    <x v="2"/>
    <n v="9760.32"/>
    <n v="2823.89"/>
    <n v="2928.1"/>
    <n v="104.21"/>
    <d v="2027-01-08T00:00:00"/>
  </r>
  <r>
    <x v="1"/>
    <d v="2026-02-07T00:00:00"/>
    <x v="16"/>
    <s v="ISIDRO GOMEZ CAMACHO"/>
    <n v="32644814850"/>
    <s v="GOCI480515HCLMMS04"/>
    <n v="1"/>
    <n v="8113934656"/>
    <x v="2"/>
    <n v="10861.16"/>
    <n v="3258.02"/>
    <n v="3258.35"/>
    <n v="0.33"/>
    <d v="2027-01-02T00:00:00"/>
  </r>
  <r>
    <x v="1"/>
    <d v="2026-01-07T00:00:00"/>
    <x v="23"/>
    <s v="Maria Alicia Cantu Martinez"/>
    <n v="43765953609"/>
    <s v="CAMA590926MNLNRL09"/>
    <n v="22166806"/>
    <n v="5218132452839"/>
    <x v="2"/>
    <n v="23473.62"/>
    <n v="6790.93"/>
    <n v="7042.09"/>
    <n v="251.16"/>
    <d v="2027-01-11T00:00:00"/>
  </r>
  <r>
    <x v="1"/>
    <d v="2026-01-07T00:00:00"/>
    <x v="26"/>
    <s v="LUIS MANUEL CORTES SANCHEZ"/>
    <n v="54755612741"/>
    <s v="COSL560315HJCRNS04"/>
    <n v="22175236"/>
    <n v="5213411176544"/>
    <x v="0"/>
    <n v="10636.54"/>
    <m/>
    <n v="3190.96"/>
    <n v="3190.96"/>
    <m/>
  </r>
  <r>
    <x v="1"/>
    <s v="30/06/2026"/>
    <x v="2"/>
    <s v="ROBERTO MIGUEL SILVA ORNELAS"/>
    <n v="54785710226"/>
    <s v="SIOR570606HJCLRB00"/>
    <n v="22153308"/>
    <n v="3314343616"/>
    <x v="2"/>
    <n v="23323.47"/>
    <n v="6996.38"/>
    <n v="6997.04"/>
    <n v="0.66"/>
    <d v="2027-01-01T00:00:00"/>
  </r>
  <r>
    <x v="1"/>
    <s v="17/06/2026"/>
    <x v="13"/>
    <s v="IGNACIA ARZOLA MORENO"/>
    <n v="33876640062"/>
    <s v="AOMI720731MCHRRG01"/>
    <n v="21771632"/>
    <n v="5216391889944"/>
    <x v="4"/>
    <m/>
    <m/>
    <n v="0"/>
    <n v="0"/>
    <m/>
  </r>
  <r>
    <x v="1"/>
    <d v="2026-02-07T00:00:00"/>
    <x v="25"/>
    <s v="JUANA ROSARIO ZÚÑIGA VALLE"/>
    <n v="49876015642"/>
    <s v="ZUVJ600726MTSXLN00"/>
    <n v="22227740"/>
    <n v="528334484233"/>
    <x v="7"/>
    <n v="24606.78"/>
    <n v="7379.13"/>
    <n v="7382.03"/>
    <n v="2.9"/>
    <d v="2026-01-04T00:00:00"/>
  </r>
  <r>
    <x v="1"/>
    <d v="2026-02-07T00:00:00"/>
    <x v="9"/>
    <s v="REFUGIO HERRERA GUZMAN"/>
    <n v="33775811194"/>
    <s v="HEGR580731HCHRZF09"/>
    <n v="22226414"/>
    <n v="5216561631733"/>
    <x v="1"/>
    <n v="4342.43"/>
    <m/>
    <n v="1302.73"/>
    <n v="169.45"/>
    <m/>
  </r>
  <r>
    <x v="1"/>
    <s v="30/06/2026"/>
    <x v="18"/>
    <s v="FRANCISCA CORRALES TORRES"/>
    <n v="32694411284"/>
    <s v="NO PROPORCIONO"/>
    <n v="1"/>
    <n v="8662342281"/>
    <x v="1"/>
    <n v="3520.89"/>
    <m/>
    <n v="1056.27"/>
    <n v="0"/>
    <m/>
  </r>
  <r>
    <x v="1"/>
    <d v="2026-02-07T00:00:00"/>
    <x v="0"/>
    <s v="JUANA JUAREZ ZUÑIGA"/>
    <n v="63897235899"/>
    <s v="JUZJ740316MGTRXN00"/>
    <n v="22212556"/>
    <n v="5214691428026"/>
    <x v="2"/>
    <n v="7128.48"/>
    <n v="2062.44"/>
    <n v="2138.54"/>
    <n v="76.099999999999994"/>
    <d v="2027-01-11T00:00:00"/>
  </r>
  <r>
    <x v="1"/>
    <d v="2026-02-07T00:00:00"/>
    <x v="9"/>
    <s v="ANA ZAIRA FLORES FLORES"/>
    <n v="67058906602"/>
    <s v="FOFA950914MVZLLN05"/>
    <n v="22240476"/>
    <n v="5219982582424"/>
    <x v="4"/>
    <m/>
    <m/>
    <n v="0"/>
    <n v="0"/>
    <m/>
  </r>
  <r>
    <x v="1"/>
    <d v="2026-02-07T00:00:00"/>
    <x v="27"/>
    <s v="DANIEL CORREA ARCE "/>
    <n v="6785803617"/>
    <m/>
    <n v="22241220"/>
    <n v="5214421328128"/>
    <x v="0"/>
    <n v="22109.54"/>
    <m/>
    <n v="6632.86"/>
    <n v="6632.86"/>
    <m/>
  </r>
  <r>
    <x v="1"/>
    <d v="2026-01-07T00:00:00"/>
    <x v="2"/>
    <s v="PEDRO ROJAS ALVAREZ"/>
    <m/>
    <s v="ROAP620109HDFJLD04"/>
    <n v="22176092"/>
    <n v="5215629626816"/>
    <x v="0"/>
    <n v="9081.52"/>
    <m/>
    <n v="2724.46"/>
    <n v="2724.46"/>
    <m/>
  </r>
  <r>
    <x v="1"/>
    <d v="2026-02-07T00:00:00"/>
    <x v="27"/>
    <s v="GUILLERMO ALBERTO CAZARES VACA "/>
    <n v="33806157666"/>
    <m/>
    <n v="22241428"/>
    <n v="5216144645207"/>
    <x v="1"/>
    <n v="3667.44"/>
    <m/>
    <n v="1100.23"/>
    <n v="0"/>
    <m/>
  </r>
  <r>
    <x v="1"/>
    <d v="2026-02-07T00:00:00"/>
    <x v="18"/>
    <s v="FRANCISCO PADRON RAMIREZ"/>
    <m/>
    <s v="PARF600401HTSDMR05"/>
    <n v="1"/>
    <n v="8332087799"/>
    <x v="2"/>
    <n v="7245.75"/>
    <n v="2090.3000000000002"/>
    <n v="2173.73"/>
    <n v="83.42"/>
    <d v="2027-01-04T00:00:00"/>
  </r>
  <r>
    <x v="1"/>
    <d v="2026-01-07T00:00:00"/>
    <x v="25"/>
    <s v="JUAN FRANCISCO QUINTERO RODRIGUEZ"/>
    <n v="83836007357"/>
    <s v="QURJ620829HTCNDN01"/>
    <n v="22209836"/>
    <n v="5219931555921"/>
    <x v="2"/>
    <n v="9081.52"/>
    <n v="2627.5"/>
    <n v="2724.46"/>
    <n v="96.96"/>
    <d v="2027-01-08T00:00:00"/>
  </r>
  <r>
    <x v="1"/>
    <d v="2026-02-07T00:00:00"/>
    <x v="16"/>
    <s v="GUADALUPE GARCIA DEL ANGEL "/>
    <n v="65977972382"/>
    <m/>
    <n v="1"/>
    <n v="9371021535"/>
    <x v="4"/>
    <m/>
    <m/>
    <n v="0"/>
    <n v="0"/>
    <m/>
  </r>
  <r>
    <x v="1"/>
    <d v="2026-01-07T00:00:00"/>
    <x v="2"/>
    <s v="JOSE GUADALUPE RIOS CASTILLO"/>
    <m/>
    <s v="RICG721118HVZSSD03"/>
    <n v="22183020"/>
    <n v="5216564836477"/>
    <x v="8"/>
    <n v="1784.4"/>
    <m/>
    <n v="535.32000000000005"/>
    <n v="0"/>
    <m/>
  </r>
  <r>
    <x v="1"/>
    <d v="2026-10-06T00:00:00"/>
    <x v="19"/>
    <s v="BLANCA "/>
    <m/>
    <s v="MOCB660326MCMNML05"/>
    <n v="21581006"/>
    <n v="17208778718"/>
    <x v="0"/>
    <n v="10636.54"/>
    <m/>
    <n v="3190.96"/>
    <n v="3190.96"/>
    <m/>
  </r>
  <r>
    <x v="1"/>
    <s v="30/06/2026"/>
    <x v="26"/>
    <s v="RAMIREZ ROBLES ANTIONIO JUAN"/>
    <m/>
    <s v="RARA530519HOCMBN07"/>
    <n v="22150762"/>
    <n v="5218125815980"/>
    <x v="1"/>
    <n v="4035.69"/>
    <m/>
    <n v="1210.71"/>
    <n v="0"/>
    <m/>
  </r>
  <r>
    <x v="1"/>
    <d v="2026-03-07T00:00:00"/>
    <x v="19"/>
    <s v="Alfredo Zavala "/>
    <m/>
    <s v="ZATA620612HTSVDL03"/>
    <n v="22242964"/>
    <n v="5218683945967"/>
    <x v="6"/>
    <n v="7920.51"/>
    <n v="2182.2199999999998"/>
    <n v="2376.15"/>
    <n v="193.93"/>
    <d v="2026-01-05T00:00:00"/>
  </r>
  <r>
    <x v="1"/>
    <d v="2026-02-07T00:00:00"/>
    <x v="17"/>
    <s v="Francisco Guadarrama Valdes"/>
    <m/>
    <s v="GUVF610405HDFDLR02"/>
    <n v="22222084"/>
    <n v="2969617653"/>
    <x v="0"/>
    <n v="11444.12"/>
    <n v="848"/>
    <n v="3433.24"/>
    <n v="2585.2399999999998"/>
    <m/>
  </r>
  <r>
    <x v="1"/>
    <d v="2026-02-07T00:00:00"/>
    <x v="25"/>
    <s v="RUBEN VAZQUEZ BERRA"/>
    <n v="67786210152"/>
    <s v="VABR620312HVZZRB06"/>
    <n v="22228336"/>
    <n v="5215564970296"/>
    <x v="2"/>
    <n v="7116.73"/>
    <n v="2120.39"/>
    <n v="2135.02"/>
    <n v="14.63"/>
    <d v="2028-01-05T00:00:00"/>
  </r>
  <r>
    <x v="1"/>
    <d v="2026-02-07T00:00:00"/>
    <x v="19"/>
    <s v="Hector "/>
    <m/>
    <s v="CORH760520HPLYMC02"/>
    <n v="22243126"/>
    <n v="5214614210356"/>
    <x v="3"/>
    <n v="4851.55"/>
    <m/>
    <n v="1455.47"/>
    <n v="678.57"/>
    <m/>
  </r>
  <r>
    <x v="1"/>
    <d v="2026-02-07T00:00:00"/>
    <x v="17"/>
    <s v="Javier Espinoza Neira"/>
    <m/>
    <s v="EINJ650713HCLSRV07"/>
    <n v="22242138"/>
    <n v="8446653191"/>
    <x v="3"/>
    <n v="12245.79"/>
    <n v="3223.55"/>
    <n v="3673.74"/>
    <n v="450.19"/>
    <m/>
  </r>
  <r>
    <x v="1"/>
    <d v="2026-01-07T00:00:00"/>
    <x v="5"/>
    <s v="MARIBEL ROMERO ESQUIVEL"/>
    <m/>
    <s v="ROEM730424MSRMSR03"/>
    <n v="22156034"/>
    <n v="5216621022521"/>
    <x v="2"/>
    <n v="8181.55"/>
    <n v="2454.4499999999998"/>
    <n v="2454.4699999999998"/>
    <n v="0.02"/>
    <d v="2026-12-01T00:00:00"/>
  </r>
  <r>
    <x v="1"/>
    <d v="2026-02-07T00:00:00"/>
    <x v="27"/>
    <s v="martin gonzalez capitan "/>
    <m/>
    <s v="GOCM591015HOCNPR05"/>
    <n v="22242258"/>
    <n v="5212871460110"/>
    <x v="0"/>
    <n v="6099.07"/>
    <m/>
    <n v="1829.72"/>
    <n v="1829.72"/>
    <m/>
  </r>
  <r>
    <x v="1"/>
    <d v="2026-02-07T00:00:00"/>
    <x v="22"/>
    <s v="JUDITH GOMEZ GRANADOS"/>
    <m/>
    <s v="GOGJ620820MDFMRD00"/>
    <n v="22244218"/>
    <n v="5214461135394"/>
    <x v="2"/>
    <n v="24832.66"/>
    <n v="7441.45"/>
    <n v="7449.8"/>
    <n v="8.35"/>
    <d v="2027-01-11T00:00:00"/>
  </r>
  <r>
    <x v="1"/>
    <d v="2026-01-07T00:00:00"/>
    <x v="17"/>
    <s v="Jose Estanislao Gutierrez Aguayo"/>
    <m/>
    <s v="GUAE790512HJCTGS05"/>
    <n v="22211908"/>
    <n v="3326791665"/>
    <x v="8"/>
    <n v="804.89"/>
    <m/>
    <n v="241.47"/>
    <n v="0"/>
    <m/>
  </r>
  <r>
    <x v="1"/>
    <s v="30/06/2026"/>
    <x v="20"/>
    <s v="RAMIRO ZEPEDA"/>
    <m/>
    <s v="ZEVR580926HSRPLM08"/>
    <n v="22127678"/>
    <n v="5215545923782"/>
    <x v="2"/>
    <n v="7920.51"/>
    <n v="2288.9"/>
    <n v="2376.15"/>
    <n v="87.25"/>
    <d v="2027-01-07T00:00:00"/>
  </r>
  <r>
    <x v="1"/>
    <s v="30/06/2026"/>
    <x v="22"/>
    <s v="ELIZABETH HERNANDEZ CONTRERAS"/>
    <m/>
    <s v="HECE670409MJCRNL08"/>
    <n v="22152330"/>
    <n v="5213321336623"/>
    <x v="5"/>
    <m/>
    <m/>
    <n v="0"/>
    <n v="0"/>
    <m/>
  </r>
  <r>
    <x v="1"/>
    <d v="2026-02-07T00:00:00"/>
    <x v="16"/>
    <s v="JUAN CARLOS "/>
    <n v="60897104687"/>
    <m/>
    <n v="1"/>
    <n v="8715683390"/>
    <x v="9"/>
    <n v="8527.41"/>
    <n v="1540.38"/>
    <n v="2558.2199999999998"/>
    <n v="1017.84"/>
    <d v="2026-01-07T00:00:00"/>
  </r>
  <r>
    <x v="1"/>
    <d v="2026-02-07T00:00:00"/>
    <x v="0"/>
    <s v="OSCAR RAMIREZ COTA"/>
    <n v="24816458791"/>
    <m/>
    <n v="22221284"/>
    <n v="5212441408459"/>
    <x v="5"/>
    <m/>
    <m/>
    <n v="0"/>
    <n v="0"/>
    <m/>
  </r>
  <r>
    <x v="1"/>
    <d v="2026-02-07T00:00:00"/>
    <x v="2"/>
    <s v="ANTONIO SEBASTIAN SANCHEZ MARTINEZ"/>
    <m/>
    <s v="SAMA640613HVZNRN13"/>
    <n v="22245678"/>
    <n v="5212281344138"/>
    <x v="2"/>
    <n v="9081.52"/>
    <n v="2521.33"/>
    <n v="2724.46"/>
    <n v="203.13"/>
    <d v="2026-09-01T00:00:00"/>
  </r>
  <r>
    <x v="1"/>
    <d v="2026-02-07T00:00:00"/>
    <x v="27"/>
    <s v="Ma del rocío Medina García "/>
    <n v="34907009079"/>
    <s v="MEGR710701MZSDRC16"/>
    <n v="22245330"/>
    <n v="5214941067627"/>
    <x v="5"/>
    <m/>
    <m/>
    <n v="0"/>
    <n v="0"/>
    <m/>
  </r>
  <r>
    <x v="1"/>
    <d v="2026-12-02T00:00:00"/>
    <x v="28"/>
    <s v="LORENZANA JIMENEZ ALVIZAR"/>
    <n v="6782660400"/>
    <s v="JIAL680114MVZMLR08"/>
    <n v="17403068"/>
    <n v="5212712469555"/>
    <x v="2"/>
    <n v="5198.96"/>
    <n v="1332.3"/>
    <n v="1559.69"/>
    <n v="-306.32"/>
    <d v="2027-01-02T00:00:00"/>
  </r>
  <r>
    <x v="1"/>
    <d v="2026-02-07T00:00:00"/>
    <x v="27"/>
    <s v="Noemí Sánchez cardelas"/>
    <n v="75846204099"/>
    <m/>
    <n v="22242702"/>
    <n v="5215583917208"/>
    <x v="2"/>
    <n v="9760.32"/>
    <n v="2823.8"/>
    <n v="2928.1"/>
    <n v="104.3"/>
    <d v="2027-01-04T00:00:00"/>
  </r>
  <r>
    <x v="1"/>
    <s v="30/07/2026"/>
    <x v="0"/>
    <s v="JESUS GUADALUPE MONCIVAIS CHAIRES"/>
    <n v="32796032657"/>
    <m/>
    <n v="22145274"/>
    <n v="5218444874736"/>
    <x v="2"/>
    <n v="11583.38"/>
    <n v="3351"/>
    <n v="3475.01"/>
    <n v="124.01"/>
    <d v="2027-01-11T00:00:00"/>
  </r>
  <r>
    <x v="1"/>
    <s v="29/06/2026"/>
    <x v="5"/>
    <s v="ANA MARÍA SOTO FLORES"/>
    <n v="23796238451"/>
    <m/>
    <n v="22100388"/>
    <n v="6672003852"/>
    <x v="2"/>
    <n v="7920.51"/>
    <n v="2291.5"/>
    <n v="2376.15"/>
    <n v="84.65"/>
    <d v="2028-01-02T00:00:00"/>
  </r>
  <r>
    <x v="1"/>
    <d v="2026-02-07T00:00:00"/>
    <x v="22"/>
    <s v="ISMAEL PEREZ MORA"/>
    <m/>
    <s v="PEMI631217HTSRRS03"/>
    <n v="22245584"/>
    <n v="5218125912554"/>
    <x v="0"/>
    <n v="9504.7000000000007"/>
    <m/>
    <n v="2851.41"/>
    <n v="2851.41"/>
    <m/>
  </r>
  <r>
    <x v="1"/>
    <d v="2026-02-07T00:00:00"/>
    <x v="2"/>
    <s v="JAVIER MARTINEZ TOBIAS"/>
    <m/>
    <s v="MATJ621201HCLRBV00"/>
    <n v="22246136"/>
    <n v="5218424238686"/>
    <x v="2"/>
    <n v="7116.73"/>
    <n v="2059.04"/>
    <n v="2135.02"/>
    <n v="75.98"/>
    <d v="2027-01-08T00:00:00"/>
  </r>
  <r>
    <x v="1"/>
    <d v="2026-02-07T00:00:00"/>
    <x v="24"/>
    <s v="LUZ VAZQUEZ"/>
    <n v="51937807009"/>
    <s v="VABL780914MASZRZ14"/>
    <n v="22149172"/>
    <n v="22149172"/>
    <x v="5"/>
    <m/>
    <m/>
    <n v="0"/>
    <n v="0"/>
    <m/>
  </r>
  <r>
    <x v="1"/>
    <d v="2026-02-07T00:00:00"/>
    <x v="14"/>
    <s v="J. Guadalupe Venegas Garcia"/>
    <n v="21836550737"/>
    <m/>
    <n v="22244098"/>
    <n v="5216864309017"/>
    <x v="2"/>
    <n v="22045.13"/>
    <n v="6378.18"/>
    <n v="6613.54"/>
    <n v="235.36"/>
    <d v="2027-01-12T00:00:00"/>
  </r>
  <r>
    <x v="1"/>
    <d v="2026-01-07T00:00:00"/>
    <x v="17"/>
    <s v="Maria de los Angeles Marentes Sanchez"/>
    <m/>
    <s v="MASA651112MCHRNN07"/>
    <n v="22211126"/>
    <n v="6145116395"/>
    <x v="2"/>
    <n v="9760.32"/>
    <n v="2823.89"/>
    <n v="2928.1"/>
    <n v="104.21"/>
    <d v="2028-01-01T00:00:00"/>
  </r>
  <r>
    <x v="1"/>
    <d v="2026-02-07T00:00:00"/>
    <x v="10"/>
    <s v="JUAN VARGAS MAYORGA"/>
    <n v="54886423372"/>
    <s v="VAMJ640821HNTRYN16"/>
    <n v="22245440"/>
    <n v="5213228889443"/>
    <x v="0"/>
    <n v="10636.54"/>
    <m/>
    <n v="3190.96"/>
    <n v="3190.96"/>
    <m/>
  </r>
  <r>
    <x v="1"/>
    <d v="2026-02-07T00:00:00"/>
    <x v="25"/>
    <s v="OLGA ALICIA DIAZ MARTINEZ"/>
    <n v="20907334732"/>
    <s v="DIMO820413MVZZRL03"/>
    <n v="22243370"/>
    <n v="5215669402957"/>
    <x v="2"/>
    <n v="5636.59"/>
    <n v="1629.28"/>
    <n v="1690.98"/>
    <n v="-165.67"/>
    <d v="2027-01-02T00:00:00"/>
  </r>
  <r>
    <x v="1"/>
    <d v="2026-02-07T00:00:00"/>
    <x v="10"/>
    <s v="VICENTE GARCIA LOPEZ"/>
    <n v="67816408883"/>
    <s v="GALV640310HVZRPC01"/>
    <n v="22247620"/>
    <n v="18082699065"/>
    <x v="2"/>
    <n v="9760.32"/>
    <n v="2823.89"/>
    <n v="2928.1"/>
    <n v="104.21"/>
    <d v="2027-01-08T00:00:00"/>
  </r>
  <r>
    <x v="1"/>
    <d v="2026-02-07T00:00:00"/>
    <x v="2"/>
    <s v="MA. DE JESUS RUIZ SILVA"/>
    <n v="12886328819"/>
    <s v="RUSJ630228MGTZLS12"/>
    <n v="22248022"/>
    <n v="5214771313670"/>
    <x v="2"/>
    <n v="7920.51"/>
    <n v="2259.33"/>
    <n v="2376.15"/>
    <n v="116.82"/>
    <d v="2027-01-12T00:00:00"/>
  </r>
  <r>
    <x v="1"/>
    <d v="2026-01-07T00:00:00"/>
    <x v="13"/>
    <s v="CARLOS NAJERA BALMARES"/>
    <n v="3694725668"/>
    <s v="NABC471104HSPJLR06"/>
    <n v="22175556"/>
    <n v="5218140711669"/>
    <x v="1"/>
    <n v="3895.43"/>
    <n v="848"/>
    <n v="1168.6300000000001"/>
    <n v="-848"/>
    <m/>
  </r>
  <r>
    <x v="1"/>
    <s v="25/06/2026"/>
    <x v="21"/>
    <s v="FRANCISCO ASENCIO SOTO"/>
    <m/>
    <s v="AESF690306HTCSTR08"/>
    <n v="22019062"/>
    <n v="22019062"/>
    <x v="5"/>
    <m/>
    <m/>
    <n v="0"/>
    <n v="0"/>
    <m/>
  </r>
  <r>
    <x v="1"/>
    <d v="2026-02-07T00:00:00"/>
    <x v="22"/>
    <s v="MARIA GLORIA GASCA SALGADO"/>
    <m/>
    <s v="GASG550409MDFSLL09"/>
    <n v="22248540"/>
    <n v="5215543218137"/>
    <x v="2"/>
    <n v="50156.84"/>
    <n v="15047.03"/>
    <n v="15047.05"/>
    <n v="0.02"/>
    <d v="2027-01-01T00:00:00"/>
  </r>
  <r>
    <x v="1"/>
    <d v="2026-02-07T00:00:00"/>
    <x v="17"/>
    <s v="Juventino Martinez Silva"/>
    <m/>
    <s v="MASJ530125HDFRLV03"/>
    <n v="22245776"/>
    <n v="5510173067"/>
    <x v="3"/>
    <n v="15842.31"/>
    <n v="4342.05"/>
    <n v="4752.6899999999996"/>
    <n v="410.64"/>
    <d v="2026-01-10T00:00:00"/>
  </r>
  <r>
    <x v="1"/>
    <d v="2026-02-07T00:00:00"/>
    <x v="7"/>
    <s v="Geronimo Amarillas Jusaino"/>
    <m/>
    <s v="LAHN710908MOCRRT08"/>
    <n v="22248612"/>
    <n v="5216421573756"/>
    <x v="5"/>
    <m/>
    <m/>
    <n v="0"/>
    <n v="0"/>
    <m/>
  </r>
  <r>
    <x v="1"/>
    <d v="2026-02-07T00:00:00"/>
    <x v="25"/>
    <s v="FERNANDO VIDAL PEREZ"/>
    <n v="4745418519"/>
    <s v="VIPF541009HSLDRR06"/>
    <n v="22246480"/>
    <n v="5216461085196"/>
    <x v="2"/>
    <n v="5384.17"/>
    <n v="1210.3699999999999"/>
    <n v="1615.25"/>
    <n v="0.82"/>
    <d v="2027-01-04T00:00:00"/>
  </r>
  <r>
    <x v="1"/>
    <d v="2026-02-07T00:00:00"/>
    <x v="16"/>
    <m/>
    <n v="49846540257"/>
    <m/>
    <n v="1"/>
    <s v="No proporciono "/>
    <x v="2"/>
    <n v="9760.32"/>
    <n v="2822.92"/>
    <n v="2928.1"/>
    <n v="105.18"/>
    <d v="2027-01-09T00:00:00"/>
  </r>
  <r>
    <x v="1"/>
    <s v="29/06/2026"/>
    <x v="12"/>
    <s v="GLORIA RUIZ SOTO"/>
    <m/>
    <s v="RUSG650417MDFZTL09"/>
    <n v="22099872"/>
    <n v="5215534890206"/>
    <x v="7"/>
    <n v="5617.63"/>
    <n v="1392.57"/>
    <n v="1685.29"/>
    <n v="52.08"/>
    <d v="2025-01-11T00:00:00"/>
  </r>
  <r>
    <x v="1"/>
    <d v="2026-02-07T00:00:00"/>
    <x v="27"/>
    <s v="Emilio Torres Villarreal"/>
    <n v="31846511306"/>
    <m/>
    <n v="22241888"/>
    <n v="5218717883371"/>
    <x v="2"/>
    <n v="9760.32"/>
    <n v="2821.95"/>
    <n v="2928.1"/>
    <n v="106.15"/>
    <d v="2027-01-06T00:00:00"/>
  </r>
  <r>
    <x v="1"/>
    <d v="2026-02-07T00:00:00"/>
    <x v="6"/>
    <s v="SONIA ZARATE PAZ "/>
    <n v="31907036086"/>
    <s v="ZAPS721109MMCRZN08"/>
    <n v="22249500"/>
    <n v="5216181582484"/>
    <x v="0"/>
    <n v="8784.2900000000009"/>
    <m/>
    <n v="2635.29"/>
    <n v="2635.29"/>
    <m/>
  </r>
  <r>
    <x v="1"/>
    <s v="27/04/2026"/>
    <x v="28"/>
    <s v="SALVADOR REYES NORIEGA"/>
    <n v="89816408168"/>
    <s v="RENS640203HMCYRL08"/>
    <n v="20075086"/>
    <n v="5215549311479"/>
    <x v="2"/>
    <n v="10171.24"/>
    <n v="3049.57"/>
    <n v="3051.37"/>
    <n v="1.8"/>
    <d v="2027-01-10T00:00:00"/>
  </r>
  <r>
    <x v="1"/>
    <s v="28/06/2026"/>
    <x v="22"/>
    <s v="FABIAN MANZUR PAVON"/>
    <m/>
    <s v="MAPF540120HVZNVB08"/>
    <n v="22081096"/>
    <n v="22081096"/>
    <x v="1"/>
    <n v="4199.87"/>
    <m/>
    <n v="1259.96"/>
    <n v="26.89"/>
    <m/>
  </r>
  <r>
    <x v="1"/>
    <d v="2026-02-07T00:00:00"/>
    <x v="26"/>
    <s v="JUAN JOSE MORGAN DOMINGUEZ"/>
    <n v="65866516134"/>
    <s v="MODJ650811HVZRMN07"/>
    <n v="22250160"/>
    <n v="5212291081166"/>
    <x v="2"/>
    <n v="9760.32"/>
    <n v="2927.84"/>
    <n v="2928.1"/>
    <n v="0.26"/>
    <d v="2028-01-04T00:00:00"/>
  </r>
  <r>
    <x v="1"/>
    <d v="2026-01-07T00:00:00"/>
    <x v="19"/>
    <s v="JOSE"/>
    <n v="11916307579"/>
    <s v="RAHJ630626HVZMRS01"/>
    <n v="22211148"/>
    <n v="5218127527829"/>
    <x v="2"/>
    <n v="7920.51"/>
    <n v="2376"/>
    <n v="2376.15"/>
    <n v="0.15"/>
    <d v="2028-01-03T00:00:00"/>
  </r>
  <r>
    <x v="1"/>
    <d v="2026-02-07T00:00:00"/>
    <x v="16"/>
    <m/>
    <n v="31816321702"/>
    <m/>
    <n v="1"/>
    <s v="NO PROMOCIONO"/>
    <x v="3"/>
    <n v="7920.51"/>
    <n v="1228.47"/>
    <n v="2376.15"/>
    <n v="1147.68"/>
    <d v="2027-01-07T00:00:00"/>
  </r>
  <r>
    <x v="1"/>
    <d v="2026-02-07T00:00:00"/>
    <x v="24"/>
    <s v="ENRIQUE RAMIREZ"/>
    <n v="1725287898"/>
    <s v="RADE520715HDFMLN00"/>
    <n v="22207964"/>
    <n v="5215569151192"/>
    <x v="3"/>
    <n v="4813.6899999999996"/>
    <m/>
    <n v="1444.11"/>
    <n v="640.71"/>
    <m/>
  </r>
  <r>
    <x v="1"/>
    <d v="2026-02-07T00:00:00"/>
    <x v="19"/>
    <s v="rosa maria"/>
    <n v="43775958044"/>
    <m/>
    <n v="22212628"/>
    <n v="8116002549"/>
    <x v="3"/>
    <n v="4813.6899999999996"/>
    <m/>
    <n v="1444.11"/>
    <n v="640.71"/>
    <m/>
  </r>
  <r>
    <x v="2"/>
    <s v="30/06/2026"/>
    <x v="27"/>
    <s v="LUCIO JUAN  RUBIO ANACORETA"/>
    <m/>
    <s v="RUAL430127HMCBNC00"/>
    <n v="22145074"/>
    <n v="5215618817424"/>
    <x v="0"/>
    <n v="6153.16"/>
    <m/>
    <n v="1845.95"/>
    <n v="1845.95"/>
    <m/>
  </r>
  <r>
    <x v="2"/>
    <d v="2026-02-07T00:00:00"/>
    <x v="23"/>
    <s v="GONZALO EGUIA MORENO"/>
    <n v="49725501230"/>
    <s v="EUMG560110HTSGRN09"/>
    <n v="22251092"/>
    <n v="8677273896"/>
    <x v="1"/>
    <n v="3882.85"/>
    <n v="848"/>
    <n v="1164.8599999999999"/>
    <n v="-848"/>
    <m/>
  </r>
  <r>
    <x v="2"/>
    <d v="2026-02-07T00:00:00"/>
    <x v="2"/>
    <s v="PABLO ADRIAN GARCIA MARTINEZ"/>
    <n v="63917485136"/>
    <s v="GAMP740917HGTRRB05"/>
    <n v="22252034"/>
    <n v="5214792252229"/>
    <x v="1"/>
    <n v="1887"/>
    <m/>
    <n v="566.1"/>
    <n v="0"/>
    <m/>
  </r>
  <r>
    <x v="2"/>
    <d v="2026-02-07T00:00:00"/>
    <x v="19"/>
    <s v="MIGUEL ANGEL ESPARZA "/>
    <m/>
    <s v="EACM640929HDGSSG08"/>
    <n v="22240760"/>
    <n v="5216562760325"/>
    <x v="2"/>
    <n v="9081.52"/>
    <n v="2625.64"/>
    <n v="2724.46"/>
    <n v="98.82"/>
    <d v="2027-01-02T00:00:00"/>
  </r>
  <r>
    <x v="2"/>
    <d v="2026-02-07T00:00:00"/>
    <x v="17"/>
    <s v="Humberto Gonzalez"/>
    <m/>
    <s v="GOXH620224HCHNXM01"/>
    <n v="22247306"/>
    <n v="6144861163"/>
    <x v="2"/>
    <n v="26845.119999999999"/>
    <n v="7839.83"/>
    <n v="8053.54"/>
    <n v="213.71"/>
    <d v="2028-01-06T00:00:00"/>
  </r>
  <r>
    <x v="2"/>
    <d v="2026-02-07T00:00:00"/>
    <x v="27"/>
    <s v="Abelina tinas nicanor"/>
    <m/>
    <s v="TINA480828MGRNCB04"/>
    <n v="22247348"/>
    <n v="5212204891623"/>
    <x v="3"/>
    <n v="6257.23"/>
    <n v="848"/>
    <n v="1877.17"/>
    <n v="1029.17"/>
    <m/>
  </r>
  <r>
    <x v="2"/>
    <d v="2026-02-07T00:00:00"/>
    <x v="19"/>
    <s v="RAYMUNDO"/>
    <m/>
    <s v="MOVR630501HPLGZY07"/>
    <n v="22228666"/>
    <n v="5212311216916"/>
    <x v="6"/>
    <n v="6404.45"/>
    <n v="1778"/>
    <n v="1921.34"/>
    <n v="143.34"/>
    <d v="2026-01-07T00:00:00"/>
  </r>
  <r>
    <x v="2"/>
    <d v="2026-02-07T00:00:00"/>
    <x v="13"/>
    <s v="LIDIA GUADALUPE VILLANUEVA CAMPOS"/>
    <n v="49876201242"/>
    <s v="VICL700518MTSLMD04"/>
    <n v="22249824"/>
    <n v="5218341226737"/>
    <x v="6"/>
    <n v="7128.48"/>
    <n v="2045.18"/>
    <n v="2138.54"/>
    <n v="93.36"/>
    <d v="2026-01-07T00:00:00"/>
  </r>
  <r>
    <x v="2"/>
    <d v="2026-02-07T00:00:00"/>
    <x v="2"/>
    <s v="ANA MARIA SANTACRUZ TOVAR"/>
    <n v="43775732020"/>
    <s v="SATA570109MNLNVN00"/>
    <n v="22251650"/>
    <n v="5218184027086"/>
    <x v="5"/>
    <m/>
    <m/>
    <n v="0"/>
    <n v="0"/>
    <m/>
  </r>
  <r>
    <x v="2"/>
    <d v="2026-02-07T00:00:00"/>
    <x v="10"/>
    <s v="GUSTAVO ADOLFO VILLASEÑOR BORBOLLA"/>
    <n v="24775809635"/>
    <s v="VIBG581021HSLLRS08"/>
    <n v="22251940"/>
    <n v="5216145373538"/>
    <x v="6"/>
    <n v="9504.7000000000007"/>
    <n v="2482.13"/>
    <n v="2851.41"/>
    <n v="369.28"/>
    <d v="2026-01-06T00:00:00"/>
  </r>
  <r>
    <x v="2"/>
    <d v="2026-02-07T00:00:00"/>
    <x v="6"/>
    <s v="MA. TRINIDAD LOZANO QUIROZ "/>
    <n v="12987617722"/>
    <s v="LOQT760613MGTZRR02"/>
    <n v="22253780"/>
    <n v="5214775564858"/>
    <x v="1"/>
    <n v="3756.18"/>
    <m/>
    <n v="1126.8499999999999"/>
    <n v="0"/>
    <m/>
  </r>
  <r>
    <x v="2"/>
    <s v="22/06/2026"/>
    <x v="25"/>
    <s v="SANDRA GAUNA HERNANDEZ"/>
    <n v="43826586166"/>
    <s v="GAHS650810MNLNRN09"/>
    <n v="21908108"/>
    <n v="8135766668"/>
    <x v="0"/>
    <n v="9760.32"/>
    <n v="879"/>
    <n v="2928.1"/>
    <n v="2049.1"/>
    <m/>
  </r>
  <r>
    <x v="2"/>
    <d v="2026-02-07T00:00:00"/>
    <x v="3"/>
    <s v="SERGIO MARCELINO MENDEZ OSORNO"/>
    <n v="64836014189"/>
    <s v="MEOS600602HVZNSR02"/>
    <n v="22249638"/>
    <n v="5215534140934"/>
    <x v="2"/>
    <n v="11920.53"/>
    <n v="3438.43"/>
    <n v="3576.16"/>
    <n v="137.72999999999999"/>
    <d v="2027-01-03T00:00:00"/>
  </r>
  <r>
    <x v="2"/>
    <s v="27/06/2026"/>
    <x v="0"/>
    <s v="ARCADIO PEÑA ROJAS"/>
    <n v="16936408646"/>
    <m/>
    <n v="22056388"/>
    <n v="5217194020022"/>
    <x v="2"/>
    <n v="9081.52"/>
    <n v="2724"/>
    <n v="2724.46"/>
    <n v="0.46"/>
    <d v="2026-10-01T00:00:00"/>
  </r>
  <r>
    <x v="2"/>
    <s v="28/06/2026"/>
    <x v="25"/>
    <s v="RAFAEL MARIN BRAVO"/>
    <n v="12846219975"/>
    <s v="MABR621009HVZRRF02"/>
    <n v="22076072"/>
    <n v="5214779183713"/>
    <x v="2"/>
    <n v="7920.51"/>
    <n v="2376.11"/>
    <n v="2376.15"/>
    <n v="0.04"/>
    <d v="2027-01-10T00:00:00"/>
  </r>
  <r>
    <x v="2"/>
    <d v="2026-03-07T00:00:00"/>
    <x v="6"/>
    <s v="PEDRO MEZA GONZALEZ "/>
    <n v="12816406495"/>
    <s v="MEGP641227HGTZND08"/>
    <n v="22260460"/>
    <n v="5214281274299"/>
    <x v="2"/>
    <n v="10171.24"/>
    <n v="2851.84"/>
    <n v="3051.37"/>
    <n v="199.53"/>
    <d v="2027-01-06T00:00:00"/>
  </r>
  <r>
    <x v="2"/>
    <d v="2026-02-07T00:00:00"/>
    <x v="10"/>
    <s v="MARIO ALBERTO LOYA ORTIZ"/>
    <n v="33836576224"/>
    <s v="LOOM650119HCHYRR03"/>
    <n v="22255644"/>
    <n v="5216143939501"/>
    <x v="2"/>
    <n v="9760.32"/>
    <n v="2823.78"/>
    <n v="2928.1"/>
    <n v="104.32"/>
    <d v="2027-01-08T00:00:00"/>
  </r>
  <r>
    <x v="2"/>
    <d v="2026-03-07T00:00:00"/>
    <x v="22"/>
    <s v="PATRICIA CHAVARRIA SOLIS"/>
    <n v="32846711904"/>
    <s v="CASP691229MCLHLT09"/>
    <n v="22263666"/>
    <n v="5218714981858"/>
    <x v="2"/>
    <n v="8173.37"/>
    <n v="2255.9299999999998"/>
    <n v="2452.0100000000002"/>
    <n v="196.08"/>
    <d v="2027-01-01T00:00:00"/>
  </r>
  <r>
    <x v="2"/>
    <d v="2026-03-07T00:00:00"/>
    <x v="23"/>
    <s v="ALEJANDRO MODESTO RAMOS GONZALEZ"/>
    <n v="63866101387"/>
    <s v="RAGA610718HDFMNL02"/>
    <n v="22267652"/>
    <n v="5215584279775"/>
    <x v="2"/>
    <n v="6262.86"/>
    <n v="1811.99"/>
    <n v="1878.86"/>
    <n v="66.87"/>
    <d v="2027-01-01T00:00:00"/>
  </r>
  <r>
    <x v="2"/>
    <d v="2026-03-07T00:00:00"/>
    <x v="26"/>
    <s v="MARTIN AGUILAR ALEMAN"/>
    <n v="32816384310"/>
    <s v="AUAM631225HCLGLR07"/>
    <n v="22267094"/>
    <n v="5218182104800"/>
    <x v="9"/>
    <n v="7920.51"/>
    <n v="2183.66"/>
    <n v="2376.15"/>
    <n v="192.49"/>
    <d v="2026-01-05T00:00:00"/>
  </r>
  <r>
    <x v="2"/>
    <d v="2026-02-07T00:00:00"/>
    <x v="23"/>
    <s v="ARTURO ARMENTA URIBE"/>
    <n v="53856566310"/>
    <s v="AEUA650213HDFRRR05"/>
    <n v="22256036"/>
    <n v="5218130521398"/>
    <x v="5"/>
    <m/>
    <m/>
    <n v="0"/>
    <n v="0"/>
    <m/>
  </r>
  <r>
    <x v="2"/>
    <d v="2026-03-07T00:00:00"/>
    <x v="7"/>
    <s v="Mario Mendoza Cerna"/>
    <n v="72836412246"/>
    <s v="MECM651225HMNNRR07"/>
    <n v="22267712"/>
    <n v="5217531197144"/>
    <x v="2"/>
    <n v="9760.32"/>
    <n v="2928.1"/>
    <n v="2928.1"/>
    <n v="0"/>
    <d v="2028-01-05T00:00:00"/>
  </r>
  <r>
    <x v="2"/>
    <d v="2026-03-07T00:00:00"/>
    <x v="4"/>
    <s v="VICENTE JUAREZ REYES"/>
    <n v="13735603915"/>
    <s v="JURV560719HHGRYC00"/>
    <n v="22267692"/>
    <n v="22267692"/>
    <x v="2"/>
    <n v="4938.41"/>
    <n v="706.91"/>
    <n v="1481.52"/>
    <n v="58.52"/>
    <d v="2026-11-01T00:00:00"/>
  </r>
  <r>
    <x v="2"/>
    <d v="2026-03-07T00:00:00"/>
    <x v="4"/>
    <s v="MARIA VICTORIA VILLEGAS PALACIOS"/>
    <n v="65917250750"/>
    <s v="VIPV751013MYNLLC06"/>
    <n v="22252962"/>
    <n v="5219992611937"/>
    <x v="2"/>
    <n v="4770.87"/>
    <n v="979.06"/>
    <n v="1431.26"/>
    <n v="-381.17"/>
    <d v="2027-01-05T00:00:00"/>
  </r>
  <r>
    <x v="2"/>
    <d v="2026-03-07T00:00:00"/>
    <x v="22"/>
    <s v="EDUARDO FLORES HERNANDEZ"/>
    <n v="92887056593"/>
    <s v="FOHE701217HDFLRD05"/>
    <n v="22268572"/>
    <n v="5216243151388"/>
    <x v="9"/>
    <n v="5950.2"/>
    <n v="1644.73"/>
    <n v="1785.06"/>
    <n v="132.49"/>
    <d v="2026-01-06T00:00:00"/>
  </r>
  <r>
    <x v="2"/>
    <d v="2026-03-07T00:00:00"/>
    <x v="16"/>
    <s v="GUILLERMO PÉREZ MARTÍNEZ "/>
    <n v="11886409967"/>
    <s v="PEMG640903HDFRRL16"/>
    <n v="1"/>
    <n v="5520414265"/>
    <x v="0"/>
    <n v="9081.52"/>
    <m/>
    <n v="2724.46"/>
    <n v="2724.46"/>
    <m/>
  </r>
  <r>
    <x v="2"/>
    <d v="2026-03-07T00:00:00"/>
    <x v="22"/>
    <s v="JUAN ESTUDILLO RIOS"/>
    <m/>
    <s v="EURJ591224HPLSSN07"/>
    <n v="22269098"/>
    <n v="5212224735440"/>
    <x v="3"/>
    <n v="35696.699999999997"/>
    <n v="9905.56"/>
    <n v="10709.01"/>
    <n v="803.45"/>
    <d v="2026-01-09T00:00:00"/>
  </r>
  <r>
    <x v="2"/>
    <d v="2026-03-07T00:00:00"/>
    <x v="26"/>
    <s v="MAXIMINO MEXQUITIC ALVARADO"/>
    <n v="43806282356"/>
    <s v="MEAM620606HSPXLX05"/>
    <n v="22269354"/>
    <n v="5218126115196"/>
    <x v="2"/>
    <n v="12811.78"/>
    <n v="3843.37"/>
    <n v="3843.53"/>
    <n v="0.16"/>
    <d v="2027-01-05T00:00:00"/>
  </r>
  <r>
    <x v="2"/>
    <s v="25/06/2026"/>
    <x v="25"/>
    <s v="JORGE LOPEZ SALINAS"/>
    <m/>
    <s v="LOSJ600727HCLPLR00"/>
    <n v="22009942"/>
    <n v="5218717354065"/>
    <x v="9"/>
    <n v="5617.63"/>
    <n v="1237.42"/>
    <n v="1685.29"/>
    <n v="207.23"/>
    <d v="2025-01-04T00:00:00"/>
  </r>
  <r>
    <x v="2"/>
    <d v="2026-02-07T00:00:00"/>
    <x v="6"/>
    <s v="ANTONIO GALICIA CALVARIO"/>
    <n v="62836523290"/>
    <s v="GACA650219HPLLLN06"/>
    <n v="22246374"/>
    <n v="5212212836013"/>
    <x v="2"/>
    <n v="9760.32"/>
    <n v="2820.29"/>
    <n v="2928.1"/>
    <n v="107.81"/>
    <d v="2027-01-12T00:00:00"/>
  </r>
  <r>
    <x v="2"/>
    <s v="29/06/2026"/>
    <x v="15"/>
    <s v="JOSE DE LA LUZ CANCHE PECH"/>
    <n v="81885300434"/>
    <s v="CAPL530913HCCNCZ05"/>
    <n v="22103182"/>
    <n v="5219811602103"/>
    <x v="2"/>
    <n v="23554"/>
    <n v="7066.04"/>
    <n v="7066.2"/>
    <n v="0.16"/>
    <d v="2027-01-04T00:00:00"/>
  </r>
  <r>
    <x v="2"/>
    <d v="2026-03-07T00:00:00"/>
    <x v="3"/>
    <s v="ANDRES NAPOLES SANCHEZ"/>
    <n v="1715126494"/>
    <s v="NASA511130HDFPNN08"/>
    <n v="22268852"/>
    <n v="5215564376774"/>
    <x v="1"/>
    <n v="4393.28"/>
    <n v="192.42"/>
    <n v="1317.98"/>
    <n v="27.88"/>
    <m/>
  </r>
  <r>
    <x v="2"/>
    <d v="2026-03-07T00:00:00"/>
    <x v="4"/>
    <s v="VICTOR MANUEL MUNGUIA CARRILLO"/>
    <n v="1705165841"/>
    <s v="MUCV511208HDFNRC06"/>
    <n v="22252020"/>
    <n v="5217711286131"/>
    <x v="1"/>
    <n v="3855.42"/>
    <m/>
    <n v="1156.6300000000001"/>
    <n v="0"/>
    <m/>
  </r>
  <r>
    <x v="2"/>
    <d v="2026-02-07T00:00:00"/>
    <x v="7"/>
    <s v="Agustina Guerrero Flores "/>
    <n v="43816176101"/>
    <s v="GUFA650301MCLRLG06"/>
    <n v="22256062"/>
    <n v="5216568497572"/>
    <x v="2"/>
    <n v="7544.08"/>
    <n v="2182.6799999999998"/>
    <n v="2263.2199999999998"/>
    <n v="80.540000000000006"/>
    <d v="2026-09-01T00:00:00"/>
  </r>
  <r>
    <x v="2"/>
    <s v="30/06/2026"/>
    <x v="8"/>
    <s v="MIGUEL HERNANDEZ ESQUIVEL"/>
    <m/>
    <s v="HEEM610529HDFRSG08"/>
    <n v="22115370"/>
    <n v="5215611112256"/>
    <x v="2"/>
    <n v="9081.52"/>
    <n v="2518.2800000000002"/>
    <n v="2724.46"/>
    <n v="206.18"/>
    <d v="2027-01-01T00:00:00"/>
  </r>
  <r>
    <x v="2"/>
    <s v="26/06/2026"/>
    <x v="0"/>
    <s v="JOSE ANTONIO RADIA MELGAREJO"/>
    <n v="53735411448"/>
    <m/>
    <n v="22040208"/>
    <s v="521 4432229119"/>
    <x v="1"/>
    <n v="4244.09"/>
    <m/>
    <n v="1273.23"/>
    <n v="71.11"/>
    <m/>
  </r>
  <r>
    <x v="2"/>
    <s v="29/06/2026"/>
    <x v="8"/>
    <s v="EFRAIN TERAN GARCIA"/>
    <m/>
    <s v="TEGE590604HTSRRF00"/>
    <n v="22109534"/>
    <n v="5218341495264"/>
    <x v="9"/>
    <n v="4813.6899999999996"/>
    <n v="592.91"/>
    <n v="1444.11"/>
    <n v="47.8"/>
    <d v="2026-01-06T00:00:00"/>
  </r>
  <r>
    <x v="2"/>
    <d v="2026-03-07T00:00:00"/>
    <x v="13"/>
    <s v="MERCEDES CONCEPCION TABORA RIVERA"/>
    <n v="42815505732"/>
    <s v="TARM520718MNEBVR09"/>
    <n v="22269054"/>
    <n v="5219858521961"/>
    <x v="0"/>
    <n v="9256.42"/>
    <n v="848"/>
    <n v="2776.93"/>
    <n v="1928.93"/>
    <m/>
  </r>
  <r>
    <x v="2"/>
    <d v="2026-03-07T00:00:00"/>
    <x v="13"/>
    <s v="SUSANA CANALES PARTIDA"/>
    <n v="21674720756"/>
    <s v="CAPS500819MJCNRS09"/>
    <n v="22270016"/>
    <n v="22270016"/>
    <x v="1"/>
    <n v="3623.38"/>
    <n v="848"/>
    <n v="1087.01"/>
    <n v="-848"/>
    <m/>
  </r>
  <r>
    <x v="2"/>
    <d v="2026-02-07T00:00:00"/>
    <x v="22"/>
    <s v="VIDAL MARTIN YESCAS"/>
    <n v="24856332978"/>
    <m/>
    <n v="22255792"/>
    <n v="22255792"/>
    <x v="0"/>
    <n v="30959.32"/>
    <m/>
    <n v="9287.7999999999993"/>
    <n v="9287.7999999999993"/>
    <m/>
  </r>
  <r>
    <x v="2"/>
    <d v="2026-02-07T00:00:00"/>
    <x v="3"/>
    <m/>
    <n v="32937728627"/>
    <m/>
    <n v="22253894"/>
    <n v="5218662545803"/>
    <x v="2"/>
    <n v="5015.17"/>
    <n v="812.15"/>
    <n v="1504.55"/>
    <n v="30.04"/>
    <d v="2027-01-12T00:00:00"/>
  </r>
  <r>
    <x v="2"/>
    <d v="2026-02-07T00:00:00"/>
    <x v="6"/>
    <s v="MARTIN PASCUAL VALDEZ MEDINA "/>
    <n v="84836415285"/>
    <s v="VAMM640707HYNLDR06"/>
    <n v="22245760"/>
    <n v="22245760"/>
    <x v="2"/>
    <n v="9081.52"/>
    <n v="2627.23"/>
    <n v="2724.46"/>
    <n v="97.23"/>
    <d v="2026-09-01T00:00:00"/>
  </r>
  <r>
    <x v="2"/>
    <s v="30/06/2026"/>
    <x v="0"/>
    <s v="GRACIELA TOLEDO IVARRA "/>
    <n v="71775607238"/>
    <s v="TOIG600714MCSLVR09"/>
    <n v="22145190"/>
    <n v="5219615622855"/>
    <x v="1"/>
    <n v="3602.45"/>
    <m/>
    <n v="1080.74"/>
    <n v="0"/>
    <m/>
  </r>
  <r>
    <x v="2"/>
    <d v="2026-03-07T00:00:00"/>
    <x v="22"/>
    <s v="JOSE ESCAMILLA HERNANDEZ"/>
    <m/>
    <s v="EAHJ650105HCLSRS06"/>
    <n v="22271542"/>
    <n v="5218714168335"/>
    <x v="0"/>
    <n v="10171.24"/>
    <m/>
    <n v="3051.37"/>
    <n v="3051.37"/>
    <m/>
  </r>
  <r>
    <x v="2"/>
    <d v="2026-01-07T00:00:00"/>
    <x v="27"/>
    <s v="ALMA DELIA VAZQUEZ PEREZ"/>
    <n v="11735519941"/>
    <s v="VAPA620921MDFZRL08"/>
    <n v="22210396"/>
    <n v="5215647509326"/>
    <x v="2"/>
    <n v="5636.59"/>
    <n v="1630"/>
    <n v="1690.98"/>
    <n v="-166.39"/>
    <d v="2026-11-01T00:00:00"/>
  </r>
  <r>
    <x v="2"/>
    <d v="2026-03-07T00:00:00"/>
    <x v="14"/>
    <s v="JESUS RICARDO GONZALEZ RODRIGUEZ"/>
    <n v="88856807842"/>
    <s v="GORJ681008HDFNDS01"/>
    <n v="22271716"/>
    <n v="5215539565315"/>
    <x v="1"/>
    <n v="4041.64"/>
    <m/>
    <n v="1212.49"/>
    <n v="0"/>
    <m/>
  </r>
  <r>
    <x v="2"/>
    <d v="2026-01-07T00:00:00"/>
    <x v="17"/>
    <s v="Jose Martin Rogelio Gonzalez Ruiz"/>
    <n v="65855845536"/>
    <s v="GORM581111HVZNZR04"/>
    <n v="22212280"/>
    <n v="2289881934"/>
    <x v="2"/>
    <n v="35301.14"/>
    <n v="10588.43"/>
    <n v="10590.34"/>
    <n v="1.91"/>
    <d v="2027-01-02T00:00:00"/>
  </r>
  <r>
    <x v="2"/>
    <s v="30/06/2026"/>
    <x v="0"/>
    <s v="RAUL ESPINOZO VILLASANA"/>
    <n v="10866111973"/>
    <m/>
    <n v="22131510"/>
    <n v="5215524424496"/>
    <x v="0"/>
    <n v="24586.97"/>
    <m/>
    <n v="7376.09"/>
    <n v="7376.09"/>
    <m/>
  </r>
  <r>
    <x v="2"/>
    <d v="2026-03-07T00:00:00"/>
    <x v="22"/>
    <s v="PEDRO RODRIGUEZ GARCIA"/>
    <n v="4755404227"/>
    <s v="ROGP541020HJCDRD04"/>
    <n v="22271790"/>
    <n v="22271790"/>
    <x v="2"/>
    <n v="7649.4"/>
    <n v="2211.0500000000002"/>
    <n v="2294.8200000000002"/>
    <n v="83.77"/>
    <d v="2027-01-09T00:00:00"/>
  </r>
  <r>
    <x v="2"/>
    <s v="28/06/2026"/>
    <x v="11"/>
    <s v="Alberto de la Garza Martínez"/>
    <m/>
    <s v="GAMA710308HMCRRL07"/>
    <n v="22071382"/>
    <n v="7221210674"/>
    <x v="2"/>
    <n v="10113.08"/>
    <n v="2924"/>
    <n v="3033.92"/>
    <n v="109.92"/>
    <d v="2027-01-03T00:00:00"/>
  </r>
  <r>
    <x v="2"/>
    <d v="2026-03-07T00:00:00"/>
    <x v="13"/>
    <s v="ADRIAN MORENO CAMPOS"/>
    <n v="12755703275"/>
    <s v="MOCA570908HDFRMD01"/>
    <n v="22273572"/>
    <n v="5214621894855"/>
    <x v="9"/>
    <n v="5617.63"/>
    <n v="1379.63"/>
    <n v="1685.29"/>
    <n v="65.02"/>
    <d v="2023-01-12T00:00:00"/>
  </r>
  <r>
    <x v="2"/>
    <d v="2026-03-07T00:00:00"/>
    <x v="24"/>
    <s v="MAXIMINO BANUELOS"/>
    <n v="28951004899"/>
    <s v=" BATM511004HBSXMX04"/>
    <n v="22206936"/>
    <n v="5216131182980"/>
    <x v="1"/>
    <n v="3855.42"/>
    <n v="848"/>
    <n v="1156.6300000000001"/>
    <n v="-848"/>
    <m/>
  </r>
  <r>
    <x v="2"/>
    <d v="2026-03-07T00:00:00"/>
    <x v="7"/>
    <s v="Fatima del Rosario Heredia Sanchez"/>
    <m/>
    <s v="HESF610514MCCRNT05"/>
    <n v="22273146"/>
    <n v="5219841060471"/>
    <x v="3"/>
    <n v="48339.4"/>
    <n v="13985.72"/>
    <n v="14501.82"/>
    <n v="516.1"/>
    <d v="2027-01-04T00:00:00"/>
  </r>
  <r>
    <x v="2"/>
    <d v="2026-02-07T00:00:00"/>
    <x v="2"/>
    <s v="MIGUEL MILLAN CARDENAS"/>
    <m/>
    <s v="MICM690929HSLLRG05"/>
    <n v="22255466"/>
    <n v="5216673590963"/>
    <x v="1"/>
    <n v="2031.2"/>
    <m/>
    <n v="609.36"/>
    <n v="0"/>
    <m/>
  </r>
  <r>
    <x v="2"/>
    <d v="2026-02-07T00:00:00"/>
    <x v="2"/>
    <s v="MARIA ISABEL MIRANDA RODRIGUEZ"/>
    <m/>
    <s v="MIRI620830MDFRDS06"/>
    <n v="22254200"/>
    <n v="5213328487173"/>
    <x v="2"/>
    <n v="7116.73"/>
    <n v="1970.12"/>
    <n v="2135.02"/>
    <n v="164.9"/>
    <d v="2026-09-01T00:00:00"/>
  </r>
  <r>
    <x v="2"/>
    <d v="2026-03-07T00:00:00"/>
    <x v="25"/>
    <s v="JOSE LUIS TORRES LUNA"/>
    <n v="43806064283"/>
    <s v="TOLL600917HNLRNS06"/>
    <n v="22275404"/>
    <n v="5218122205052"/>
    <x v="3"/>
    <n v="5617.63"/>
    <n v="879"/>
    <n v="1685.29"/>
    <n v="565.65"/>
    <m/>
  </r>
  <r>
    <x v="2"/>
    <d v="2026-03-07T00:00:00"/>
    <x v="17"/>
    <s v="Cesar Lopez Rojo"/>
    <m/>
    <s v="LORC601129HSLPJS03"/>
    <n v="22275604"/>
    <n v="4531468232"/>
    <x v="0"/>
    <n v="5670.94"/>
    <m/>
    <n v="1701.28"/>
    <n v="1497.96"/>
    <m/>
  </r>
  <r>
    <x v="2"/>
    <d v="2026-03-07T00:00:00"/>
    <x v="26"/>
    <s v="JAIME OVALLES PALACIOS"/>
    <n v="71856003711"/>
    <s v="OAPJ600925HCSVLM07"/>
    <n v="22273350"/>
    <n v="5219661131043"/>
    <x v="0"/>
    <n v="11029.03"/>
    <m/>
    <n v="3308.71"/>
    <n v="3308.71"/>
    <m/>
  </r>
  <r>
    <x v="2"/>
    <d v="2026-03-07T00:00:00"/>
    <x v="8"/>
    <s v="MINERVA SANDOVAL CERVANTES"/>
    <m/>
    <s v="SACM730912MSLNRN01"/>
    <n v="22275392"/>
    <n v="5216878783538"/>
    <x v="5"/>
    <m/>
    <m/>
    <n v="0"/>
    <n v="0"/>
    <m/>
  </r>
  <r>
    <x v="2"/>
    <d v="2026-03-07T00:00:00"/>
    <x v="11"/>
    <s v="Fernando rosales gardea"/>
    <m/>
    <s v="ROGF650530HCHSRR03"/>
    <n v="22276390"/>
    <n v="5216566449585"/>
    <x v="4"/>
    <m/>
    <m/>
    <n v="0"/>
    <n v="0"/>
    <m/>
  </r>
  <r>
    <x v="2"/>
    <d v="2026-03-07T00:00:00"/>
    <x v="4"/>
    <s v="MARIA ALEJANDRA PALACIOS MACHADO"/>
    <n v="62816005599"/>
    <s v="PAMA600418MPLLCL00"/>
    <n v="22262686"/>
    <n v="22262686"/>
    <x v="2"/>
    <n v="5617.63"/>
    <n v="1379.11"/>
    <n v="1685.29"/>
    <n v="65.540000000000006"/>
    <d v="2027-01-10T00:00:00"/>
  </r>
  <r>
    <x v="2"/>
    <d v="2026-03-07T00:00:00"/>
    <x v="2"/>
    <s v="GUADALUPE LLERGO LEON"/>
    <m/>
    <s v="LELG651017MTCLND00"/>
    <n v="22265016"/>
    <n v="5219932085207"/>
    <x v="8"/>
    <m/>
    <m/>
    <n v="0"/>
    <n v="0"/>
    <m/>
  </r>
  <r>
    <x v="2"/>
    <d v="2026-03-07T00:00:00"/>
    <x v="0"/>
    <s v="ROSA GUADALUPE ROMERO RAMIREZ"/>
    <n v="23836119117"/>
    <m/>
    <n v="22276590"/>
    <n v="5219903041236"/>
    <x v="6"/>
    <n v="5055.87"/>
    <n v="1202.26"/>
    <n v="1516.76"/>
    <n v="-319.37"/>
    <d v="2026-01-07T00:00:00"/>
  </r>
  <r>
    <x v="2"/>
    <s v="25/06/2026"/>
    <x v="20"/>
    <s v="Jesus Manuel Perez Peraza"/>
    <n v="54805720395"/>
    <m/>
    <n v="22014576"/>
    <n v="5216691294225"/>
    <x v="3"/>
    <n v="33036.519999999997"/>
    <n v="9392.11"/>
    <n v="9910.9599999999991"/>
    <n v="518.85"/>
    <d v="2027-01-06T00:00:00"/>
  </r>
  <r>
    <x v="2"/>
    <d v="2026-03-07T00:00:00"/>
    <x v="27"/>
    <s v="ABELARDO CORTES ROSAS "/>
    <m/>
    <s v="CORA640205HDFRSB02"/>
    <n v="22276362"/>
    <n v="5215647471721"/>
    <x v="0"/>
    <n v="36067.29"/>
    <m/>
    <n v="10820.19"/>
    <n v="10820.19"/>
    <m/>
  </r>
  <r>
    <x v="2"/>
    <s v="30/06/2026"/>
    <x v="0"/>
    <s v="IDELISA HERRERA MERAZ"/>
    <n v="24634211247"/>
    <s v="HEMI530720MDGRRD04"/>
    <n v="22144462"/>
    <n v="5216183649575"/>
    <x v="1"/>
    <n v="3632.17"/>
    <m/>
    <n v="1089.6500000000001"/>
    <n v="0"/>
    <m/>
  </r>
  <r>
    <x v="2"/>
    <d v="2026-02-07T00:00:00"/>
    <x v="6"/>
    <s v="BERTHA ALICIA CASAS HERNANDEZ "/>
    <n v="49785605196"/>
    <s v="CAHB560727MTSSRR08"/>
    <n v="22254894"/>
    <n v="22254894"/>
    <x v="5"/>
    <m/>
    <m/>
    <n v="0"/>
    <n v="0"/>
    <m/>
  </r>
  <r>
    <x v="2"/>
    <d v="2026-03-07T00:00:00"/>
    <x v="17"/>
    <s v="Jose Garcia Rangel"/>
    <m/>
    <s v="GARJ630421HGTRNS06"/>
    <n v="22275378"/>
    <n v="3314245619"/>
    <x v="0"/>
    <n v="9760.32"/>
    <m/>
    <n v="2928.1"/>
    <n v="2928.1"/>
    <m/>
  </r>
  <r>
    <x v="2"/>
    <d v="2026-03-07T00:00:00"/>
    <x v="2"/>
    <s v="BENIGNO ARMANDO AVALOS QUINTERO"/>
    <m/>
    <s v="AAQB540405HTSVNN01"/>
    <n v="22266388"/>
    <n v="5218331211701"/>
    <x v="9"/>
    <n v="4813.6899999999996"/>
    <n v="748.85"/>
    <n v="1444.11"/>
    <n v="-108.14"/>
    <d v="2024-01-03T00:00:00"/>
  </r>
  <r>
    <x v="2"/>
    <s v="28/06/2026"/>
    <x v="0"/>
    <s v="JAVIER REYES RAMIREZ"/>
    <n v="10816427842"/>
    <m/>
    <n v="22069066"/>
    <n v="5215573846520"/>
    <x v="0"/>
    <n v="9760.32"/>
    <m/>
    <n v="2928.1"/>
    <n v="2928.1"/>
    <m/>
  </r>
  <r>
    <x v="2"/>
    <d v="2026-02-07T00:00:00"/>
    <x v="13"/>
    <s v="AURORA PATRICIA MALDONADO MORA"/>
    <s v="0-1946603329"/>
    <s v="MAMA661015MDFLRR05"/>
    <n v="22253604"/>
    <n v="5215522981240"/>
    <x v="5"/>
    <m/>
    <m/>
    <n v="0"/>
    <n v="0"/>
    <m/>
  </r>
  <r>
    <x v="2"/>
    <d v="2026-03-07T00:00:00"/>
    <x v="24"/>
    <s v="JOSE ANTONIO RADIA MELGAREJO"/>
    <n v="53735411448"/>
    <s v="RAMA540324HMNDLN07"/>
    <n v="21952492"/>
    <n v="5214432229119"/>
    <x v="1"/>
    <n v="4244.09"/>
    <m/>
    <n v="1273.23"/>
    <n v="71.11"/>
    <m/>
  </r>
  <r>
    <x v="2"/>
    <d v="2026-03-07T00:00:00"/>
    <x v="24"/>
    <s v="JOSE LUIS"/>
    <n v="24795823798"/>
    <s v="HEAL581227HSRRGS02"/>
    <n v="22279060"/>
    <n v="5216311525973"/>
    <x v="2"/>
    <n v="13342.91"/>
    <n v="3859.5"/>
    <n v="4002.87"/>
    <n v="143.37"/>
    <d v="2027-01-05T00:00:00"/>
  </r>
  <r>
    <x v="3"/>
    <d v="2026-04-07T00:00:00"/>
    <x v="16"/>
    <s v="Lidia minerva de leon uribe "/>
    <n v="32887089277"/>
    <m/>
    <n v="1"/>
    <s v="844 592 5608"/>
    <x v="4"/>
    <m/>
    <m/>
    <n v="0"/>
    <n v="0"/>
    <m/>
  </r>
  <r>
    <x v="3"/>
    <s v="22/06/2026"/>
    <x v="20"/>
    <s v="Freddy "/>
    <n v="33816490107"/>
    <m/>
    <n v="21915124"/>
    <n v="5216144699426"/>
    <x v="4"/>
    <m/>
    <m/>
    <n v="0"/>
    <n v="0"/>
    <m/>
  </r>
  <r>
    <x v="3"/>
    <d v="2026-04-07T00:00:00"/>
    <x v="16"/>
    <s v="Juan Fernando Alvarez Rivas"/>
    <n v="60917486338"/>
    <m/>
    <n v="1"/>
    <s v="s / n "/>
    <x v="2"/>
    <n v="12514.56"/>
    <n v="3603.78"/>
    <n v="3754.37"/>
    <n v="150.59"/>
    <d v="2027-01-07T00:00:00"/>
  </r>
  <r>
    <x v="3"/>
    <d v="2026-03-07T00:00:00"/>
    <x v="11"/>
    <s v="Alejandro Ramirez Landeros"/>
    <n v="11654807095"/>
    <s v="RALA480826HDFMNL06"/>
    <n v="22282382"/>
    <n v="5218999440772"/>
    <x v="1"/>
    <n v="4441.97"/>
    <m/>
    <n v="1332.59"/>
    <n v="268.99"/>
    <m/>
  </r>
  <r>
    <x v="3"/>
    <d v="2026-03-07T00:00:00"/>
    <x v="27"/>
    <s v="OFELIA JIMENEZ SANCHEZ  "/>
    <n v="1705502100"/>
    <s v="JISO600816MDFMNF03"/>
    <n v="22277676"/>
    <n v="5215582497983"/>
    <x v="2"/>
    <n v="21642.639999999999"/>
    <n v="6261.72"/>
    <n v="6492.79"/>
    <n v="231.07"/>
    <d v="2027-01-07T00:00:00"/>
  </r>
  <r>
    <x v="3"/>
    <d v="2026-04-07T00:00:00"/>
    <x v="29"/>
    <s v="Leonardo Barrera castillo"/>
    <n v="21836563979"/>
    <m/>
    <n v="22286252"/>
    <n v="5216624288205"/>
    <x v="2"/>
    <n v="9760.32"/>
    <n v="2823"/>
    <n v="2928.1"/>
    <n v="105.1"/>
    <d v="2027-01-08T00:00:00"/>
  </r>
  <r>
    <x v="3"/>
    <d v="2026-04-07T00:00:00"/>
    <x v="8"/>
    <s v="JOAQUIN SANTIAGO HERNANDEZ"/>
    <m/>
    <s v="SAHJ640320HVZNRQ08"/>
    <n v="22287828"/>
    <n v="5218445947253"/>
    <x v="6"/>
    <n v="9081.52"/>
    <n v="2521.35"/>
    <n v="2724.46"/>
    <n v="203.11"/>
    <d v="2026-01-07T00:00:00"/>
  </r>
  <r>
    <x v="3"/>
    <d v="2026-04-07T00:00:00"/>
    <x v="11"/>
    <s v="Ana maria Gasca Robledo "/>
    <n v="92977716205"/>
    <s v="GARA760507MDFSBN05"/>
    <n v="22287002"/>
    <n v="5215637092459"/>
    <x v="2"/>
    <n v="5055.88"/>
    <n v="1253.93"/>
    <n v="1516.76"/>
    <n v="-371.03"/>
    <d v="2028-01-01T00:00:00"/>
  </r>
  <r>
    <x v="3"/>
    <d v="2026-04-07T00:00:00"/>
    <x v="11"/>
    <s v="Ismael Amaro Hernández"/>
    <m/>
    <s v="AAHI640708HDGMRS01"/>
    <n v="22287826"/>
    <n v="5216181874372"/>
    <x v="2"/>
    <n v="9631.32"/>
    <n v="2866.31"/>
    <n v="2889.4"/>
    <n v="23.09"/>
    <d v="2027-01-09T00:00:00"/>
  </r>
  <r>
    <x v="3"/>
    <d v="2026-04-07T00:00:00"/>
    <x v="6"/>
    <s v="ENRIQUE RAMON RUIZ HERNANDEZ"/>
    <n v="54786028677"/>
    <s v="RUHE600618HJCZRN03"/>
    <n v="22288470"/>
    <n v="5213323918062"/>
    <x v="2"/>
    <n v="9081.52"/>
    <n v="2521.35"/>
    <n v="2724.46"/>
    <n v="203.11"/>
    <d v="2026-10-01T00:00:00"/>
  </r>
  <r>
    <x v="3"/>
    <d v="2026-02-07T00:00:00"/>
    <x v="7"/>
    <s v="Ana María Carmona Cervantes"/>
    <n v="53946418154"/>
    <m/>
    <n v="22253236"/>
    <n v="5213535393827"/>
    <x v="2"/>
    <n v="9081.52"/>
    <n v="2620.65"/>
    <n v="2724.46"/>
    <n v="103.81"/>
    <d v="2027-01-03T00:00:00"/>
  </r>
  <r>
    <x v="3"/>
    <d v="2026-03-07T00:00:00"/>
    <x v="2"/>
    <s v="RAFAEL LOPEZ MARTINEZ"/>
    <m/>
    <s v="LOMR570421HGTPRF06"/>
    <n v="22269146"/>
    <n v="5214771305081"/>
    <x v="2"/>
    <n v="17200.419999999998"/>
    <n v="4975.7700000000004"/>
    <n v="5160.13"/>
    <n v="184.36"/>
    <d v="2026-08-01T00:00:00"/>
  </r>
  <r>
    <x v="3"/>
    <d v="2026-04-07T00:00:00"/>
    <x v="22"/>
    <s v="LEYDI PATRICIA PACHECO TREJO"/>
    <m/>
    <s v="PATL570112MYNCRY01"/>
    <n v="22289996"/>
    <n v="5219999940366"/>
    <x v="1"/>
    <n v="4199.87"/>
    <m/>
    <n v="1259.96"/>
    <n v="26.89"/>
    <m/>
  </r>
  <r>
    <x v="3"/>
    <s v="28/06/2026"/>
    <x v="8"/>
    <s v="ARTURO CHAVEZ ALVARADO"/>
    <m/>
    <s v="CAAA610910HNLHLR02"/>
    <n v="22068448"/>
    <n v="5218132440996"/>
    <x v="0"/>
    <n v="9504.7000000000007"/>
    <m/>
    <n v="2851.41"/>
    <n v="2851.41"/>
    <m/>
  </r>
  <r>
    <x v="3"/>
    <d v="2026-04-07T00:00:00"/>
    <x v="24"/>
    <s v="JULIO CESAR JIMENEZ GOVEA"/>
    <n v="83775502525"/>
    <s v="JIGJ550901HTCMLV09"/>
    <n v="22279618"/>
    <n v="5219343447799"/>
    <x v="9"/>
    <n v="6589.24"/>
    <n v="1976.77"/>
    <n v="1976.77"/>
    <n v="0"/>
    <d v="2024-01-11T00:00:00"/>
  </r>
  <r>
    <x v="3"/>
    <d v="2026-04-07T00:00:00"/>
    <x v="3"/>
    <s v="MANUEL MATA RAMIREZ"/>
    <n v="12775820652"/>
    <s v="MARM581223HGTTMN06"/>
    <n v="22290440"/>
    <n v="5218994213821"/>
    <x v="2"/>
    <n v="7116.73"/>
    <n v="2059"/>
    <n v="2135.02"/>
    <n v="76.02"/>
    <d v="2027-01-04T00:00:00"/>
  </r>
  <r>
    <x v="3"/>
    <d v="2026-04-07T00:00:00"/>
    <x v="2"/>
    <s v="ANA BERTHA MARTINEZ VAZQUEZ"/>
    <n v="32705224106"/>
    <s v="MAVA540818MCLRZN01"/>
    <n v="22286788"/>
    <n v="5218661167988"/>
    <x v="2"/>
    <n v="8658.06"/>
    <n v="2597.42"/>
    <n v="2597.42"/>
    <n v="0"/>
    <d v="2027-01-07T00:00:00"/>
  </r>
  <r>
    <x v="3"/>
    <d v="2026-04-07T00:00:00"/>
    <x v="7"/>
    <s v="Nora Lozano Medina"/>
    <n v="88846523285"/>
    <s v="LOMN660612MDFZDR01"/>
    <n v="22289304"/>
    <n v="22289304"/>
    <x v="1"/>
    <n v="3623.36"/>
    <n v="879"/>
    <n v="1087.01"/>
    <n v="-879"/>
    <m/>
  </r>
  <r>
    <x v="3"/>
    <d v="2026-04-07T00:00:00"/>
    <x v="23"/>
    <s v="JUAN ADOLFO MARTINEZ GUAJARDO"/>
    <n v="43776051047"/>
    <s v="MAGJ600110HNLRJN00"/>
    <n v="22283830"/>
    <n v="5218140749333"/>
    <x v="2"/>
    <n v="9081.52"/>
    <n v="2619.13"/>
    <n v="2724.46"/>
    <n v="105.33"/>
    <d v="2028-01-01T00:00:00"/>
  </r>
  <r>
    <x v="3"/>
    <d v="2026-03-07T00:00:00"/>
    <x v="26"/>
    <s v="ROGELIO COLIN MORA"/>
    <n v="1836533909"/>
    <s v="COMR650604HMNLRG03"/>
    <n v="22281082"/>
    <n v="22281082"/>
    <x v="2"/>
    <n v="18803.560000000001"/>
    <n v="5639.94"/>
    <n v="5641.07"/>
    <n v="1.1299999999999999"/>
    <d v="2028-01-04T00:00:00"/>
  </r>
  <r>
    <x v="3"/>
    <d v="2026-03-07T00:00:00"/>
    <x v="14"/>
    <s v="Raúl Rodriguez de la cruz"/>
    <n v="33785814741"/>
    <m/>
    <n v="22282778"/>
    <n v="5216273010550"/>
    <x v="2"/>
    <n v="9081.52"/>
    <n v="2627.5"/>
    <n v="2724.46"/>
    <n v="96.96"/>
    <d v="2027-01-09T00:00:00"/>
  </r>
  <r>
    <x v="3"/>
    <d v="2026-04-07T00:00:00"/>
    <x v="2"/>
    <s v="MA. DOLORES MORENO GONZALEZ"/>
    <n v="14906601373"/>
    <s v="MOGD720722MQTRNL09"/>
    <n v="22288426"/>
    <n v="5214426059158"/>
    <x v="2"/>
    <n v="7128.48"/>
    <n v="1840.4"/>
    <n v="2138.54"/>
    <n v="298.14"/>
    <d v="2027-01-03T00:00:00"/>
  </r>
  <r>
    <x v="3"/>
    <d v="2026-03-07T00:00:00"/>
    <x v="7"/>
    <s v="Maria Felipa de Jesus Rodea Lopez"/>
    <n v="6806119712"/>
    <s v="ROLF610205MDFDPL07"/>
    <n v="22281380"/>
    <n v="5215633398787"/>
    <x v="2"/>
    <n v="6262.86"/>
    <n v="1811.99"/>
    <n v="1878.86"/>
    <n v="66.87"/>
    <d v="2027-01-01T00:00:00"/>
  </r>
  <r>
    <x v="3"/>
    <d v="2026-04-07T00:00:00"/>
    <x v="2"/>
    <s v="SAN JUANA PERALES SOLANO"/>
    <n v="33735009863"/>
    <s v="PESS501028MCHRLN14"/>
    <n v="22292674"/>
    <n v="22292674"/>
    <x v="1"/>
    <n v="3866.25"/>
    <m/>
    <n v="1159.8800000000001"/>
    <n v="0"/>
    <m/>
  </r>
  <r>
    <x v="3"/>
    <d v="2026-04-07T00:00:00"/>
    <x v="22"/>
    <s v="FRANCISCO RAMIREZ ZEPEDA"/>
    <m/>
    <s v="RAZF520810HNTMPR06"/>
    <n v="22292200"/>
    <n v="22292200"/>
    <x v="2"/>
    <n v="8257.83"/>
    <n v="2383.87"/>
    <n v="2477.35"/>
    <n v="93.48"/>
    <d v="2027-01-09T00:00:00"/>
  </r>
  <r>
    <x v="3"/>
    <d v="2026-04-07T00:00:00"/>
    <x v="7"/>
    <s v="Ricardo Velasco Padilla "/>
    <n v="1775964818"/>
    <s v="VEPR590410HJCLDC05"/>
    <n v="22291636"/>
    <n v="5213321190055"/>
    <x v="2"/>
    <n v="4813.6899999999996"/>
    <n v="640.70000000000005"/>
    <n v="1444.11"/>
    <n v="0.01"/>
    <d v="2028-01-04T00:00:00"/>
  </r>
  <r>
    <x v="3"/>
    <d v="2026-04-07T00:00:00"/>
    <x v="16"/>
    <m/>
    <n v="32978040403"/>
    <m/>
    <n v="1"/>
    <s v="878 109 6308"/>
    <x v="2"/>
    <n v="7117.6"/>
    <n v="2059.9699999999998"/>
    <n v="2135.2800000000002"/>
    <n v="75.31"/>
    <d v="2027-01-12T00:00:00"/>
  </r>
  <r>
    <x v="3"/>
    <d v="2026-04-07T00:00:00"/>
    <x v="8"/>
    <s v="MARIO HUMBERTO SANGUINO LOPEZ"/>
    <n v="84917123998"/>
    <s v="SALM670108HYNNPR02"/>
    <n v="22294004"/>
    <n v="5219845815109"/>
    <x v="2"/>
    <n v="7363.38"/>
    <n v="2039.8"/>
    <n v="2209.0100000000002"/>
    <n v="169.21"/>
    <d v="2026-08-01T00:00:00"/>
  </r>
  <r>
    <x v="3"/>
    <d v="2026-03-07T00:00:00"/>
    <x v="19"/>
    <m/>
    <m/>
    <s v="CADJ650719HYNBZN07"/>
    <n v="22277652"/>
    <n v="5219992281450"/>
    <x v="2"/>
    <n v="9760.32"/>
    <n v="2928.1"/>
    <n v="2928.1"/>
    <n v="0"/>
    <d v="2028-01-03T00:00:00"/>
  </r>
  <r>
    <x v="3"/>
    <d v="2026-04-07T00:00:00"/>
    <x v="22"/>
    <s v="ALEJANDRO GUTIERREZ ACOSTA"/>
    <m/>
    <s v="GUAA610924HGRTCL06"/>
    <n v="22288172"/>
    <n v="5217555591253"/>
    <x v="2"/>
    <n v="9081.52"/>
    <n v="2607.2399999999998"/>
    <n v="2724.46"/>
    <n v="117.22"/>
    <d v="2027-01-06T00:00:00"/>
  </r>
  <r>
    <x v="3"/>
    <s v="21/06/2026"/>
    <x v="11"/>
    <s v="JOSE ANGEL MARTINEZ MORALES "/>
    <n v="32846605098"/>
    <s v="MAMA670110HDGRRN02"/>
    <n v="21883668"/>
    <n v="5218771369038"/>
    <x v="6"/>
    <n v="5642.22"/>
    <n v="1354.16"/>
    <n v="1692.67"/>
    <n v="115.08"/>
    <d v="2026-01-06T00:00:00"/>
  </r>
  <r>
    <x v="3"/>
    <d v="2026-04-07T00:00:00"/>
    <x v="13"/>
    <s v="MERCEDES GARCIA BARTOLO"/>
    <m/>
    <s v="GABM610813MTCRRR00"/>
    <n v="22289472"/>
    <n v="5219212531864"/>
    <x v="5"/>
    <m/>
    <m/>
    <n v="0"/>
    <n v="0"/>
    <m/>
  </r>
  <r>
    <x v="3"/>
    <d v="2026-04-07T00:00:00"/>
    <x v="3"/>
    <s v="Ma. Del Carmen Valadez Espinoza"/>
    <n v="24846213510"/>
    <s v="VAEC630617MDGLSR00"/>
    <n v="22294366"/>
    <n v="5216623655339"/>
    <x v="1"/>
    <n v="4332.32"/>
    <n v="848"/>
    <n v="1299.7"/>
    <n v="-688.66"/>
    <m/>
  </r>
  <r>
    <x v="3"/>
    <d v="2026-03-07T00:00:00"/>
    <x v="0"/>
    <s v="JOSE VACILIO AKE"/>
    <n v="41775706348"/>
    <m/>
    <n v="22277358"/>
    <n v="5214613417583"/>
    <x v="2"/>
    <n v="6827.6"/>
    <n v="1972.27"/>
    <n v="2048.2800000000002"/>
    <n v="76.010000000000005"/>
    <d v="2027-01-08T00:00:00"/>
  </r>
  <r>
    <x v="3"/>
    <d v="2026-03-07T00:00:00"/>
    <x v="23"/>
    <s v="Joaquin Moroyoqui Alcantar "/>
    <n v="23835709082"/>
    <s v="MOAJ570211HSRRLQ00"/>
    <n v="22269532"/>
    <n v="22269532"/>
    <x v="1"/>
    <n v="4199.87"/>
    <n v="848"/>
    <n v="1259.96"/>
    <n v="-821.11"/>
    <m/>
  </r>
  <r>
    <x v="3"/>
    <d v="2026-03-07T00:00:00"/>
    <x v="8"/>
    <s v="SAGRARIO ESCRIBANO SORIANO"/>
    <n v="78947830309"/>
    <s v="EISS820618MOCSRG09"/>
    <n v="22282674"/>
    <n v="5212811161642"/>
    <x v="4"/>
    <m/>
    <m/>
    <n v="0"/>
    <n v="0"/>
    <m/>
  </r>
  <r>
    <x v="3"/>
    <d v="2026-04-07T00:00:00"/>
    <x v="7"/>
    <s v="Roberto Mendez Olmos"/>
    <n v="1765675556"/>
    <s v="MEOR560318HDFNLB04"/>
    <n v="22292764"/>
    <n v="5215513185697"/>
    <x v="1"/>
    <n v="4907.8"/>
    <n v="848"/>
    <n v="1472.34"/>
    <n v="-113.18"/>
    <m/>
  </r>
  <r>
    <x v="3"/>
    <d v="2026-04-07T00:00:00"/>
    <x v="22"/>
    <s v="ANTONIA SANTIAGO GASPAR"/>
    <n v="33896101665"/>
    <s v="SAGA610902MOCNSN05"/>
    <n v="22295712"/>
    <n v="5216561611875"/>
    <x v="2"/>
    <n v="13426.56"/>
    <n v="4027.97"/>
    <n v="4027.97"/>
    <n v="0"/>
    <d v="2027-01-04T00:00:00"/>
  </r>
  <r>
    <x v="3"/>
    <d v="2026-04-07T00:00:00"/>
    <x v="13"/>
    <s v="GUADALUPE ESTRADA CARRILLO"/>
    <n v="31917425543"/>
    <s v="EACG741030MCLSRD02"/>
    <n v="22292892"/>
    <n v="5218715120662"/>
    <x v="1"/>
    <n v="3635.76"/>
    <n v="848"/>
    <n v="1090.73"/>
    <n v="-848"/>
    <m/>
  </r>
  <r>
    <x v="3"/>
    <d v="2026-04-07T00:00:00"/>
    <x v="3"/>
    <s v="JOSE ALFREDO DOÑEZ AGUILERA"/>
    <n v="4789684296"/>
    <s v="DOAA680112HNLXGL04"/>
    <n v="22295250"/>
    <n v="5218180121852"/>
    <x v="5"/>
    <m/>
    <m/>
    <n v="0"/>
    <n v="0"/>
    <m/>
  </r>
  <r>
    <x v="3"/>
    <d v="2026-04-07T00:00:00"/>
    <x v="10"/>
    <s v="VICTOR JESUS SALAS SANCHEZ"/>
    <n v="43866446073"/>
    <s v="SASV640719HTSLNC07"/>
    <n v="22295678"/>
    <n v="22295678"/>
    <x v="2"/>
    <n v="9081.52"/>
    <n v="2627.5"/>
    <n v="2724.46"/>
    <n v="96.96"/>
    <d v="2026-08-01T00:00:00"/>
  </r>
  <r>
    <x v="3"/>
    <d v="2026-04-07T00:00:00"/>
    <x v="22"/>
    <s v="PEDRO HERNANDEZ PEREZ"/>
    <m/>
    <s v="HEPP620204HDFRRD04"/>
    <n v="22294720"/>
    <n v="5215571924659"/>
    <x v="2"/>
    <n v="7116.73"/>
    <n v="2058.04"/>
    <n v="2135.02"/>
    <n v="76.98"/>
    <d v="2027-01-07T00:00:00"/>
  </r>
  <r>
    <x v="3"/>
    <d v="2026-04-07T00:00:00"/>
    <x v="10"/>
    <s v="Oscar García polendo"/>
    <n v="33836425828"/>
    <s v="GAPO631204HCHRLS05"/>
    <n v="22294378"/>
    <n v="5216565935140"/>
    <x v="6"/>
    <n v="9081.52"/>
    <n v="2518.73"/>
    <n v="2724.46"/>
    <n v="205.73"/>
    <d v="2026-01-06T00:00:00"/>
  </r>
  <r>
    <x v="3"/>
    <d v="2026-04-07T00:00:00"/>
    <x v="6"/>
    <s v="MANUELA DE LOS SANTOS CRUZ "/>
    <n v="49846730734"/>
    <s v="SACM710126MVZNRN08"/>
    <n v="22293960"/>
    <n v="22293960"/>
    <x v="4"/>
    <m/>
    <m/>
    <n v="0"/>
    <n v="0"/>
    <m/>
  </r>
  <r>
    <x v="3"/>
    <d v="2026-04-07T00:00:00"/>
    <x v="8"/>
    <s v="JORGE RAZO HERNANDEZ"/>
    <m/>
    <s v="RAHJ730312HDFZRR08"/>
    <n v="22296414"/>
    <n v="5214686801769"/>
    <x v="4"/>
    <m/>
    <m/>
    <n v="0"/>
    <n v="0"/>
    <m/>
  </r>
  <r>
    <x v="3"/>
    <d v="2026-04-07T00:00:00"/>
    <x v="22"/>
    <s v="RAMON GUZMAN IBARRA"/>
    <m/>
    <s v="GUIR500402HDFZBM08"/>
    <n v="22296148"/>
    <n v="5215521786746"/>
    <x v="2"/>
    <n v="9924.67"/>
    <n v="2742.09"/>
    <n v="2977.4"/>
    <n v="235.31"/>
    <d v="2026-12-01T00:00:00"/>
  </r>
  <r>
    <x v="3"/>
    <d v="2026-04-07T00:00:00"/>
    <x v="3"/>
    <s v="MARIA GUADALUPE ROJAS PREZA"/>
    <m/>
    <s v="ROPG590125MJCJRD05"/>
    <n v="22294016"/>
    <n v="5213327632046"/>
    <x v="2"/>
    <n v="17766.12"/>
    <n v="5325.87"/>
    <n v="5329.84"/>
    <n v="3.97"/>
    <d v="2028-01-02T00:00:00"/>
  </r>
  <r>
    <x v="3"/>
    <d v="2026-04-07T00:00:00"/>
    <x v="10"/>
    <s v="Norberto Perez Lopez"/>
    <n v="6776103969"/>
    <s v="PELN610724HDFRPR08"/>
    <n v="22297102"/>
    <n v="5215554792046"/>
    <x v="2"/>
    <n v="6262.86"/>
    <n v="1810.97"/>
    <n v="1878.86"/>
    <n v="67.89"/>
    <d v="2027-01-04T00:00:00"/>
  </r>
  <r>
    <x v="3"/>
    <d v="2026-04-07T00:00:00"/>
    <x v="4"/>
    <s v="LILIA ESTRADA ORNELAS"/>
    <m/>
    <s v="EAOL650711MCHSRL06"/>
    <n v="22296622"/>
    <n v="5216563205284"/>
    <x v="2"/>
    <n v="9760.32"/>
    <n v="2822.12"/>
    <n v="2928.1"/>
    <n v="105.98"/>
    <d v="2027-01-08T00:00:00"/>
  </r>
  <r>
    <x v="3"/>
    <d v="2026-04-07T00:00:00"/>
    <x v="6"/>
    <s v="GUADALUPE SANCHEZ CARRILLO"/>
    <n v="56733000352"/>
    <s v="SACG670211MNTNRD07"/>
    <n v="22297682"/>
    <n v="5213231126686"/>
    <x v="0"/>
    <n v="5639.59"/>
    <m/>
    <n v="1691.88"/>
    <n v="1466.61"/>
    <m/>
  </r>
  <r>
    <x v="3"/>
    <d v="2026-04-07T00:00:00"/>
    <x v="13"/>
    <s v="ROSA ORALIA SOTO GARCIA"/>
    <n v="24802701227"/>
    <s v="SOGR630122MSRTS09"/>
    <n v="22295316"/>
    <n v="5216441399226"/>
    <x v="2"/>
    <n v="9154.11"/>
    <n v="2644.94"/>
    <n v="2746.23"/>
    <n v="101.29"/>
    <d v="2027-01-04T00:00:00"/>
  </r>
  <r>
    <x v="4"/>
    <d v="2026-05-07T00:00:00"/>
    <x v="8"/>
    <s v="CARLOS ARTURO YAÑEZ PEREZ"/>
    <m/>
    <s v="YAPC700810HDFXRR05"/>
    <n v="22304412"/>
    <n v="5215580125655"/>
    <x v="0"/>
    <n v="8793.09"/>
    <m/>
    <n v="2637.93"/>
    <n v="2637.93"/>
    <m/>
  </r>
  <r>
    <x v="4"/>
    <s v="28/06/2026"/>
    <x v="25"/>
    <m/>
    <n v="23846312207"/>
    <s v="GUSO630926HSLZBC05"/>
    <n v="22069534"/>
    <n v="6721203030"/>
    <x v="5"/>
    <m/>
    <m/>
    <n v="0"/>
    <n v="0"/>
    <m/>
  </r>
  <r>
    <x v="4"/>
    <d v="2026-01-07T00:00:00"/>
    <x v="25"/>
    <s v="JOSE MARTIN ROGELIO GONZALEZ RUIZ"/>
    <m/>
    <s v="GORM581111HVZNZR04"/>
    <n v="22212028"/>
    <n v="2289881934"/>
    <x v="2"/>
    <n v="35301.14"/>
    <n v="10588.43"/>
    <n v="10590.34"/>
    <n v="1.91"/>
    <d v="2027-01-02T00:00:00"/>
  </r>
  <r>
    <x v="4"/>
    <d v="2026-05-07T00:00:00"/>
    <x v="11"/>
    <s v="MARCO ESCALANTE"/>
    <n v="24855209383"/>
    <m/>
    <n v="22309272"/>
    <n v="5216624687790"/>
    <x v="1"/>
    <n v="3869.36"/>
    <n v="879"/>
    <n v="1160.81"/>
    <n v="-879"/>
    <m/>
  </r>
  <r>
    <x v="4"/>
    <d v="2026-05-07T00:00:00"/>
    <x v="0"/>
    <s v="FRNCISCO JOSE VELEZ ROJANO"/>
    <n v="62866835317"/>
    <m/>
    <n v="22301368"/>
    <n v="5212221322361"/>
    <x v="2"/>
    <n v="25183.21"/>
    <n v="7552.85"/>
    <n v="7554.96"/>
    <n v="2.11"/>
    <d v="2027-01-08T00:00:00"/>
  </r>
  <r>
    <x v="4"/>
    <d v="2026-04-07T00:00:00"/>
    <x v="29"/>
    <s v="FRANCISCO SOSA"/>
    <m/>
    <s v="SOXF511004HMCSXR06"/>
    <n v="22284246"/>
    <n v="5216643226498"/>
    <x v="1"/>
    <n v="3970.35"/>
    <m/>
    <n v="1191.1099999999999"/>
    <n v="0"/>
    <m/>
  </r>
  <r>
    <x v="4"/>
    <d v="2026-05-07T00:00:00"/>
    <x v="27"/>
    <s v="MA. GUADALUPE MALDONADO ROSALES "/>
    <m/>
    <s v="MARG621212MTSLSD20"/>
    <n v="22310578"/>
    <n v="5218125069025"/>
    <x v="2"/>
    <n v="7116.73"/>
    <n v="2057.96"/>
    <n v="2135.02"/>
    <n v="77.06"/>
    <d v="2027-01-03T00:00:00"/>
  </r>
  <r>
    <x v="4"/>
    <d v="2026-04-07T00:00:00"/>
    <x v="29"/>
    <s v="JOSE GUADALUPE RAMIREZ AGUILAR"/>
    <m/>
    <s v="RAAG541127HTLMGD03"/>
    <n v="22297712"/>
    <n v="5217773364310"/>
    <x v="1"/>
    <n v="4441.6099999999997"/>
    <m/>
    <n v="1332.48"/>
    <n v="268.63"/>
    <m/>
  </r>
  <r>
    <x v="4"/>
    <d v="2026-05-07T00:00:00"/>
    <x v="27"/>
    <s v="ARTURO ALVAREZ VARGAS "/>
    <m/>
    <s v="AAVA550409HCHLRR05"/>
    <n v="22311326"/>
    <n v="5216521928551"/>
    <x v="1"/>
    <n v="4199.87"/>
    <m/>
    <n v="1259.96"/>
    <n v="26.89"/>
    <m/>
  </r>
  <r>
    <x v="4"/>
    <d v="2026-05-07T00:00:00"/>
    <x v="17"/>
    <s v="Martha Lorena Nucamendi Fuentes"/>
    <n v="71109406497"/>
    <s v="NUFM960909MCSCNR05"/>
    <n v="22310766"/>
    <n v="9618619528"/>
    <x v="4"/>
    <m/>
    <m/>
    <n v="0"/>
    <n v="0"/>
    <m/>
  </r>
  <r>
    <x v="4"/>
    <d v="2026-05-07T00:00:00"/>
    <x v="20"/>
    <s v="RICARDO MORENO"/>
    <n v="21846114425"/>
    <m/>
    <n v="22304532"/>
    <n v="5216862162711"/>
    <x v="2"/>
    <n v="7920.51"/>
    <n v="2376.15"/>
    <n v="2376.15"/>
    <n v="0"/>
    <d v="2027-01-07T00:00:00"/>
  </r>
  <r>
    <x v="4"/>
    <d v="2026-05-07T00:00:00"/>
    <x v="20"/>
    <s v="MARIA DE LOS ANGELES"/>
    <n v="11634532722"/>
    <m/>
    <n v="22307992"/>
    <n v="5217299396821"/>
    <x v="1"/>
    <n v="3875.93"/>
    <n v="879"/>
    <n v="1162.78"/>
    <n v="-879"/>
    <m/>
  </r>
  <r>
    <x v="4"/>
    <d v="2026-04-07T00:00:00"/>
    <x v="25"/>
    <m/>
    <m/>
    <s v="BAMJ750810HDFTRV09"/>
    <n v="22301310"/>
    <n v="5217712311179"/>
    <x v="1"/>
    <n v="3635.76"/>
    <n v="848"/>
    <n v="1090.73"/>
    <n v="-848"/>
    <m/>
  </r>
  <r>
    <x v="4"/>
    <d v="2026-05-07T00:00:00"/>
    <x v="0"/>
    <s v="JOSE JUAN SARAO MATEO"/>
    <n v="83977817856"/>
    <s v="SAMJ780710HCCRTN01"/>
    <n v="22311476"/>
    <n v="5219993631098"/>
    <x v="0"/>
    <n v="5431.73"/>
    <m/>
    <n v="1629.52"/>
    <n v="1258.75"/>
    <m/>
  </r>
  <r>
    <x v="4"/>
    <d v="2026-05-07T00:00:00"/>
    <x v="20"/>
    <s v="Paco"/>
    <n v="43876791666"/>
    <m/>
    <n v="22309790"/>
    <n v="5218129037617"/>
    <x v="1"/>
    <n v="3789.49"/>
    <n v="848"/>
    <n v="1136.8499999999999"/>
    <n v="-848"/>
    <m/>
  </r>
  <r>
    <x v="4"/>
    <d v="2026-05-07T00:00:00"/>
    <x v="17"/>
    <s v="Catalina Morales Silva"/>
    <m/>
    <s v="MOSC760801MTSRLT08"/>
    <n v="22311714"/>
    <n v="8333942898"/>
    <x v="5"/>
    <m/>
    <m/>
    <n v="0"/>
    <n v="0"/>
    <m/>
  </r>
  <r>
    <x v="4"/>
    <d v="2026-05-07T00:00:00"/>
    <x v="25"/>
    <m/>
    <n v="16967305372"/>
    <s v="GULA760707MMCTBN08"/>
    <n v="22311702"/>
    <n v="5217204020142"/>
    <x v="1"/>
    <n v="3491.37"/>
    <m/>
    <n v="1047.4100000000001"/>
    <n v="0"/>
    <m/>
  </r>
  <r>
    <x v="4"/>
    <d v="2026-05-07T00:00:00"/>
    <x v="11"/>
    <s v="Rigoberto Villanueva mora"/>
    <n v="54816504945"/>
    <s v="VIMR651124HCMLRG01"/>
    <n v="22313010"/>
    <n v="3111416885"/>
    <x v="2"/>
    <n v="11029.03"/>
    <n v="3308"/>
    <n v="3308.71"/>
    <n v="0.71"/>
    <d v="2028-01-03T00:00:00"/>
  </r>
  <r>
    <x v="4"/>
    <d v="2026-05-07T00:00:00"/>
    <x v="27"/>
    <s v="MARIA ELIZABETH MALDONADO LANDA "/>
    <n v="53816316755"/>
    <s v="MALE861013MMNLNL01"/>
    <n v="22313002"/>
    <n v="5214522035247"/>
    <x v="6"/>
    <n v="7128.48"/>
    <n v="1890.26"/>
    <n v="2138.54"/>
    <n v="248.28"/>
    <d v="2025-01-11T00:00:00"/>
  </r>
  <r>
    <x v="4"/>
    <d v="2026-05-07T00:00:00"/>
    <x v="20"/>
    <s v="Felipe Gonzalez"/>
    <n v="13735701644"/>
    <s v="GOIF570526HHGNSL09"/>
    <n v="22311640"/>
    <n v="5217713460540"/>
    <x v="0"/>
    <n v="16644.53"/>
    <m/>
    <n v="4993.3599999999997"/>
    <n v="4993.3599999999997"/>
    <m/>
  </r>
  <r>
    <x v="4"/>
    <d v="2026-05-07T00:00:00"/>
    <x v="8"/>
    <s v="ROSALBA ALVARADO REYES"/>
    <n v="53846902905"/>
    <s v="AARR751002MMNLYS09"/>
    <n v="22302862"/>
    <n v="5214521561023"/>
    <x v="4"/>
    <m/>
    <m/>
    <n v="0"/>
    <n v="0"/>
    <m/>
  </r>
  <r>
    <x v="4"/>
    <d v="2026-05-07T00:00:00"/>
    <x v="25"/>
    <s v="JULIO ALFONSO GARCIA GARCIA"/>
    <n v="25968038031"/>
    <s v="GAGJ800724HBCRRL06"/>
    <n v="22314172"/>
    <n v="5216647173388"/>
    <x v="2"/>
    <n v="7135.6"/>
    <n v="2137.63"/>
    <n v="2140.6799999999998"/>
    <n v="3.05"/>
    <d v="2028-01-04T00:00:00"/>
  </r>
  <r>
    <x v="4"/>
    <d v="2026-05-07T00:00:00"/>
    <x v="18"/>
    <m/>
    <n v="32886830770"/>
    <m/>
    <n v="1"/>
    <n v="8661551979"/>
    <x v="5"/>
    <m/>
    <m/>
    <n v="0"/>
    <n v="0"/>
    <m/>
  </r>
  <r>
    <x v="4"/>
    <d v="2026-05-07T00:00:00"/>
    <x v="18"/>
    <m/>
    <n v="49816530536"/>
    <m/>
    <n v="1"/>
    <n v="8999848904"/>
    <x v="2"/>
    <n v="9760.32"/>
    <n v="2817.36"/>
    <n v="2928.1"/>
    <n v="110.74"/>
    <d v="2027-01-11T00:00:00"/>
  </r>
  <r>
    <x v="4"/>
    <d v="2026-05-07T00:00:00"/>
    <x v="20"/>
    <s v="LEONEL MARTINEZ"/>
    <n v="41057902813"/>
    <s v="maml850819hocrrn07"/>
    <n v="22300624"/>
    <n v="5214442874427"/>
    <x v="4"/>
    <m/>
    <m/>
    <n v="0"/>
    <n v="0"/>
    <m/>
  </r>
  <r>
    <x v="4"/>
    <d v="2026-04-07T00:00:00"/>
    <x v="11"/>
    <s v="Juan Antonio Vázquez Valadéz"/>
    <m/>
    <s v="VAVJ650105HDFZLN02"/>
    <n v="22302784"/>
    <n v="22302784"/>
    <x v="2"/>
    <n v="9760.32"/>
    <n v="2785.36"/>
    <n v="2928.1"/>
    <n v="142.74"/>
    <d v="2027-01-08T00:00:00"/>
  </r>
  <r>
    <x v="4"/>
    <d v="2026-05-07T00:00:00"/>
    <x v="0"/>
    <s v="JESUS ROCHA MORALES"/>
    <n v="3856823162"/>
    <m/>
    <n v="22301226"/>
    <n v="5218129506669"/>
    <x v="5"/>
    <m/>
    <m/>
    <n v="0"/>
    <n v="0"/>
    <m/>
  </r>
  <r>
    <x v="4"/>
    <d v="2026-05-07T00:00:00"/>
    <x v="0"/>
    <s v="ARTURO ALVAREZ"/>
    <n v="55846513392"/>
    <m/>
    <n v="22313772"/>
    <n v="5213112804576"/>
    <x v="2"/>
    <n v="9081.52"/>
    <n v="2724.46"/>
    <n v="2724.46"/>
    <n v="0"/>
    <d v="2028-01-03T00:00:00"/>
  </r>
  <r>
    <x v="5"/>
    <d v="2026-06-07T00:00:00"/>
    <x v="18"/>
    <m/>
    <s v="0-9957924468"/>
    <m/>
    <n v="1"/>
    <n v="8683065891"/>
    <x v="1"/>
    <n v="3755.56"/>
    <m/>
    <n v="1126.67"/>
    <n v="0"/>
    <m/>
  </r>
  <r>
    <x v="5"/>
    <d v="2026-06-07T00:00:00"/>
    <x v="18"/>
    <s v="CONCEPCION RODRIGUEZ"/>
    <n v="51896805960"/>
    <m/>
    <n v="1"/>
    <n v="4491510004"/>
    <x v="5"/>
    <m/>
    <m/>
    <n v="0"/>
    <n v="0"/>
    <m/>
  </r>
  <r>
    <x v="5"/>
    <d v="2026-06-07T00:00:00"/>
    <x v="16"/>
    <s v="TARVIN "/>
    <n v="33846700061"/>
    <m/>
    <n v="1"/>
    <s v="S/ N"/>
    <x v="2"/>
    <n v="4876.6899999999996"/>
    <n v="1121"/>
    <n v="1463.01"/>
    <n v="-417.29"/>
    <d v="2028-01-06T00:00:00"/>
  </r>
  <r>
    <x v="5"/>
    <d v="2026-05-07T00:00:00"/>
    <x v="19"/>
    <m/>
    <m/>
    <s v="PODV470209HBCNZC09"/>
    <n v="22311512"/>
    <n v="5216862035060"/>
    <x v="2"/>
    <n v="5975.57"/>
    <n v="1655.36"/>
    <n v="1792.67"/>
    <n v="137.31"/>
    <d v="2026-10-01T00:00:00"/>
  </r>
  <r>
    <x v="5"/>
    <d v="2026-05-07T00:00:00"/>
    <x v="8"/>
    <s v="MARIA ISABEL ZAPATA CHABLE"/>
    <n v="81876812645"/>
    <s v="ZACI680719MQRPHS06"/>
    <n v="22313770"/>
    <n v="5219841414495"/>
    <x v="1"/>
    <n v="4332.32"/>
    <n v="848"/>
    <n v="1299.7"/>
    <n v="-688.66"/>
    <m/>
  </r>
  <r>
    <x v="5"/>
    <d v="2026-05-07T00:00:00"/>
    <x v="25"/>
    <s v="MARIA MANUELA GONZALEZ CERVANTES"/>
    <n v="4856768470"/>
    <s v="GOCM710124MJCNRN00"/>
    <n v="22311960"/>
    <n v="5213327527947"/>
    <x v="2"/>
    <n v="5814.14"/>
    <n v="1605.54"/>
    <n v="1744.24"/>
    <n v="35.619999999999997"/>
    <d v="2027-01-02T00:00:00"/>
  </r>
  <r>
    <x v="5"/>
    <d v="2026-05-07T00:00:00"/>
    <x v="27"/>
    <s v="LINA JULIA SANTOYO NUÑEZ "/>
    <n v="15695015154"/>
    <s v="SANL550923MMSNXN00"/>
    <n v="22312802"/>
    <n v="5217774456077"/>
    <x v="1"/>
    <n v="3779.88"/>
    <m/>
    <n v="1133.96"/>
    <n v="0"/>
    <m/>
  </r>
  <r>
    <x v="5"/>
    <d v="2026-04-07T00:00:00"/>
    <x v="26"/>
    <s v="SERGIO PONCE JIMENEZ"/>
    <n v="62786203695"/>
    <s v="POJS620322HPLNMR06"/>
    <n v="22295310"/>
    <n v="5212225324170"/>
    <x v="2"/>
    <n v="7116.73"/>
    <n v="2059.0300000000002"/>
    <n v="2135.02"/>
    <n v="75.989999999999995"/>
    <d v="2027-01-12T00:00:00"/>
  </r>
  <r>
    <x v="5"/>
    <d v="2026-04-07T00:00:00"/>
    <x v="8"/>
    <s v="PEDRO JOSE CARVAJAL MOGO"/>
    <m/>
    <s v="CAMP650119HVZRGD02"/>
    <n v="22301914"/>
    <s v="899 945 66 52"/>
    <x v="2"/>
    <n v="10171.23"/>
    <n v="2940"/>
    <n v="3051.37"/>
    <n v="111.37"/>
    <d v="2027-01-03T00:00:00"/>
  </r>
  <r>
    <x v="5"/>
    <d v="2026-04-07T00:00:00"/>
    <x v="26"/>
    <s v="JESUS SALVADOR PALOMO ROCHA"/>
    <n v="9957523484"/>
    <s v="PARJ751225HTSLCS07"/>
    <n v="22289414"/>
    <n v="22289414"/>
    <x v="2"/>
    <n v="11712.9"/>
    <n v="3386.15"/>
    <n v="3513.87"/>
    <n v="127.72"/>
    <d v="2027-01-08T00:00:00"/>
  </r>
  <r>
    <x v="5"/>
    <d v="2026-04-07T00:00:00"/>
    <x v="26"/>
    <s v="SILVESTRE MORA HUERTA"/>
    <n v="54866506048"/>
    <s v="MOHS651125HJCRRL09"/>
    <n v="22294652"/>
    <n v="22294652"/>
    <x v="2"/>
    <n v="7920.51"/>
    <n v="2373.71"/>
    <n v="2376.15"/>
    <n v="2.44"/>
    <d v="2027-01-07T00:00:00"/>
  </r>
  <r>
    <x v="5"/>
    <d v="2026-04-07T00:00:00"/>
    <x v="13"/>
    <s v="JESUS GUZMAN VILLEGAS"/>
    <n v="4755618917"/>
    <s v="GUVJ570703HJCZLS01"/>
    <n v="22297622"/>
    <n v="5213316211017"/>
    <x v="1"/>
    <n v="4386.57"/>
    <m/>
    <n v="1315.97"/>
    <n v="213.59"/>
    <m/>
  </r>
  <r>
    <x v="5"/>
    <d v="2026-06-07T00:00:00"/>
    <x v="18"/>
    <s v="MELBA BERENICE ZAPATA"/>
    <n v="33887217041"/>
    <m/>
    <n v="1"/>
    <n v="8713788256"/>
    <x v="4"/>
    <m/>
    <m/>
    <n v="0"/>
    <n v="0"/>
    <m/>
  </r>
  <r>
    <x v="5"/>
    <d v="2026-04-07T00:00:00"/>
    <x v="26"/>
    <s v="DANIEL BERMUDEZ GARCIA"/>
    <m/>
    <s v="BEGD610524HDGRRN01"/>
    <n v="22292864"/>
    <n v="22292864"/>
    <x v="1"/>
    <n v="4035.69"/>
    <m/>
    <n v="1210.71"/>
    <n v="0"/>
    <m/>
  </r>
  <r>
    <x v="5"/>
    <d v="2026-03-07T00:00:00"/>
    <x v="23"/>
    <s v="CARLOS ARREDONDO TORRES"/>
    <n v="54705011473"/>
    <s v="AETC501104HSPRRR02"/>
    <n v="22280036"/>
    <n v="22280036"/>
    <x v="2"/>
    <n v="27210.69"/>
    <n v="8163.21"/>
    <n v="8163.21"/>
    <n v="0"/>
    <d v="2027-01-03T00:00:00"/>
  </r>
  <r>
    <x v="5"/>
    <s v="13/07/2026"/>
    <x v="22"/>
    <s v="SOCORRO OJEDA CAMACHO"/>
    <m/>
    <s v="OECS590824MSLJMC00"/>
    <n v="22353958"/>
    <n v="5218134800504"/>
    <x v="2"/>
    <n v="7920.51"/>
    <n v="2291.6"/>
    <n v="2376.15"/>
    <n v="84.55"/>
    <d v="2028-01-02T00:00:00"/>
  </r>
  <r>
    <x v="5"/>
    <d v="2026-04-07T00:00:00"/>
    <x v="8"/>
    <s v="ALBERTO ARCE CALDERON"/>
    <m/>
    <s v="AECA590921HBCRLL03"/>
    <n v="22292842"/>
    <s v="624 129 6518"/>
    <x v="0"/>
    <n v="15407.69"/>
    <m/>
    <n v="4622.3100000000004"/>
    <n v="4622.3100000000004"/>
    <m/>
  </r>
  <r>
    <x v="5"/>
    <d v="2026-06-07T00:00:00"/>
    <x v="18"/>
    <s v="JUAN GOMEZ GONZALEZ "/>
    <m/>
    <s v="GORJ560222HPLMSN07"/>
    <n v="1"/>
    <n v="5525679814"/>
    <x v="9"/>
    <n v="6262.86"/>
    <n v="1532.08"/>
    <n v="1878.86"/>
    <n v="346.78"/>
    <d v="2024-01-11T00:00:00"/>
  </r>
  <r>
    <x v="5"/>
    <d v="2026-03-07T00:00:00"/>
    <x v="14"/>
    <s v="BERNARDINO ORLANDO FLORES ANGELES"/>
    <n v="6745819216"/>
    <s v="FOAB590520HMCLNR05"/>
    <n v="22267188"/>
    <n v="22267188"/>
    <x v="7"/>
    <n v="5617.63"/>
    <n v="1181.3"/>
    <n v="1685.29"/>
    <n v="263.35000000000002"/>
    <d v="2024-01-04T00:00:00"/>
  </r>
  <r>
    <x v="5"/>
    <d v="2026-07-07T00:00:00"/>
    <x v="0"/>
    <s v="TERESA GONZALEZ CERRATES"/>
    <n v="55866621315"/>
    <m/>
    <n v="22312396"/>
    <n v="5213111125520"/>
    <x v="2"/>
    <n v="11029.03"/>
    <n v="3308.71"/>
    <n v="3308.71"/>
    <n v="0"/>
    <d v="2028-01-05T00:00:00"/>
  </r>
  <r>
    <x v="5"/>
    <s v="30/05/2026"/>
    <x v="25"/>
    <s v="MARIA ELVIA PETRIZ LOPEZ"/>
    <m/>
    <s v="PELE620305MBCTPL08"/>
    <n v="21198180"/>
    <n v="5216865094692"/>
    <x v="1"/>
    <n v="4084.03"/>
    <m/>
    <n v="1225.21"/>
    <n v="0"/>
    <m/>
  </r>
  <r>
    <x v="5"/>
    <d v="2026-05-07T00:00:00"/>
    <x v="19"/>
    <s v="HIDULIO"/>
    <m/>
    <s v="AUCH640905HPLGRD01"/>
    <n v="22312796"/>
    <n v="5216311771349"/>
    <x v="2"/>
    <n v="9760.32"/>
    <n v="2823.89"/>
    <n v="2928.1"/>
    <n v="104.21"/>
    <d v="2027-01-12T00:00:00"/>
  </r>
  <r>
    <x v="5"/>
    <d v="2026-02-07T00:00:00"/>
    <x v="28"/>
    <s v="OLIVIA ORTEGA ALCALA"/>
    <n v="7846704125"/>
    <s v="OEAO670603MDFRLL05"/>
    <n v="22254490"/>
    <n v="5216647786758"/>
    <x v="2"/>
    <n v="7135.6"/>
    <n v="2064.5"/>
    <n v="2140.6799999999998"/>
    <n v="76.180000000000007"/>
    <d v="2027-01-12T00:00:00"/>
  </r>
  <r>
    <x v="5"/>
    <s v="30/05/2026"/>
    <x v="17"/>
    <s v="FANNY CRISTINA RODRIGUEZ FRANCO"/>
    <n v="53855900113"/>
    <s v="ROFF650104MJCDRN03"/>
    <n v="21189560"/>
    <n v="5213313529165"/>
    <x v="6"/>
    <n v="16627.439999999999"/>
    <n v="4800.5200000000004"/>
    <n v="4988.2299999999996"/>
    <n v="187.71"/>
    <d v="2025-01-05T00:00:00"/>
  </r>
  <r>
    <x v="5"/>
    <d v="2026-04-07T00:00:00"/>
    <x v="15"/>
    <s v="ABRAHAM GOROSTIETA SANCHEZ"/>
    <n v="6846401294"/>
    <s v="GOSA640426HDFRNB07"/>
    <n v="22299422"/>
    <n v="5215618117939"/>
    <x v="2"/>
    <n v="9081.52"/>
    <n v="2453.87"/>
    <n v="2724.46"/>
    <n v="270.58999999999997"/>
    <d v="2026-11-01T00:00:00"/>
  </r>
  <r>
    <x v="5"/>
    <d v="2026-04-07T00:00:00"/>
    <x v="15"/>
    <s v="GUADALUPE SANCHEZ SAAVEDRA "/>
    <n v="30937209218"/>
    <s v="SASG721022MDFNVD01"/>
    <n v="22298564"/>
    <n v="5215638517088"/>
    <x v="2"/>
    <n v="10006.83"/>
    <n v="2895.22"/>
    <n v="3002.05"/>
    <n v="106.83"/>
    <d v="2028-01-07T00:00:00"/>
  </r>
  <r>
    <x v="5"/>
    <d v="2026-06-07T00:00:00"/>
    <x v="16"/>
    <s v="JUAN LUIS "/>
    <n v="65906555282"/>
    <m/>
    <n v="1"/>
    <n v="5631871819"/>
    <x v="0"/>
    <n v="9760.32"/>
    <n v="879"/>
    <n v="2928.1"/>
    <n v="2049.1"/>
    <m/>
  </r>
  <r>
    <x v="5"/>
    <d v="2026-03-07T00:00:00"/>
    <x v="25"/>
    <s v="ISELDA VALENZUELA MARTINEZ"/>
    <n v="23927577413"/>
    <s v="VAMI750213MSLLRS19"/>
    <n v="22277248"/>
    <n v="5216627444478"/>
    <x v="0"/>
    <n v="8562.7999999999993"/>
    <n v="848"/>
    <n v="2568.84"/>
    <n v="1720.84"/>
    <m/>
  </r>
  <r>
    <x v="5"/>
    <d v="2026-02-07T00:00:00"/>
    <x v="7"/>
    <s v="José Luis Ovando Reyes"/>
    <n v="1694924174"/>
    <m/>
    <n v="22255206"/>
    <n v="5215584757019"/>
    <x v="1"/>
    <n v="3882.85"/>
    <n v="848"/>
    <n v="1164.8599999999999"/>
    <n v="-848"/>
    <m/>
  </r>
  <r>
    <x v="5"/>
    <d v="2026-05-07T00:00:00"/>
    <x v="29"/>
    <s v="Jose Saturnino Cua Flores"/>
    <m/>
    <s v="CUFS580717HYNXLT05"/>
    <n v="22310560"/>
    <n v="5219992638266"/>
    <x v="2"/>
    <n v="4764.32"/>
    <n v="547.25"/>
    <n v="1429.3"/>
    <n v="44.09"/>
    <d v="2026-08-01T00:00:00"/>
  </r>
  <r>
    <x v="5"/>
    <s v="21/04/2026"/>
    <x v="28"/>
    <m/>
    <n v="12765818781"/>
    <m/>
    <n v="19888642"/>
    <n v="5214611225139"/>
    <x v="0"/>
    <n v="14954.45"/>
    <m/>
    <n v="4486.34"/>
    <n v="4486.34"/>
    <m/>
  </r>
  <r>
    <x v="5"/>
    <d v="2026-04-07T00:00:00"/>
    <x v="22"/>
    <s v="MARIA JESUS CARRILLO ARBALLO"/>
    <n v="24816228506"/>
    <s v="CAAJ701006MSRRRS09"/>
    <n v="22292592"/>
    <n v="5216623735530"/>
    <x v="1"/>
    <n v="3565.2"/>
    <n v="848"/>
    <n v="1069.56"/>
    <n v="-848"/>
    <m/>
  </r>
  <r>
    <x v="5"/>
    <d v="2026-04-07T00:00:00"/>
    <x v="15"/>
    <s v="MARIA GUADALUPE NEGRETE CANO "/>
    <n v="12816531201"/>
    <s v="NECG690505MGTGND06"/>
    <n v="22298906"/>
    <n v="5214645665407"/>
    <x v="1"/>
    <n v="3558.64"/>
    <n v="848"/>
    <n v="1067.5899999999999"/>
    <n v="-848"/>
    <m/>
  </r>
  <r>
    <x v="5"/>
    <d v="2026-03-07T00:00:00"/>
    <x v="13"/>
    <s v="NORMA ALICIA TAPIA GUZMAN"/>
    <n v="52846809102"/>
    <s v="TAGN691121MCMPZR06"/>
    <n v="22266828"/>
    <n v="5213141606702"/>
    <x v="0"/>
    <n v="8173.37"/>
    <m/>
    <n v="2452.0100000000002"/>
    <n v="2452.0100000000002"/>
    <m/>
  </r>
  <r>
    <x v="5"/>
    <d v="2026-03-07T00:00:00"/>
    <x v="26"/>
    <s v="EZEQUIEL ARIAS PEREZ"/>
    <n v="10806244454"/>
    <s v="AIPE621211HVZRRZ09"/>
    <n v="22268890"/>
    <n v="5215642581888"/>
    <x v="2"/>
    <n v="7116.73"/>
    <n v="2059.0300000000002"/>
    <n v="2135.02"/>
    <n v="75.989999999999995"/>
    <d v="2028-01-02T00:00:00"/>
  </r>
  <r>
    <x v="5"/>
    <d v="2026-04-07T00:00:00"/>
    <x v="23"/>
    <s v="JUANA MARIA CASTILLO GONZALEZ "/>
    <m/>
    <s v="CAGJ591016MTSSNN04"/>
    <n v="22293730"/>
    <n v="5218118477244"/>
    <x v="3"/>
    <n v="4813.6899999999996"/>
    <m/>
    <n v="1444.11"/>
    <n v="640.71"/>
    <m/>
  </r>
  <r>
    <x v="5"/>
    <d v="2026-04-07T00:00:00"/>
    <x v="26"/>
    <s v="DAVID REY RAMIREZ NAVA"/>
    <n v="52967308694"/>
    <s v="RAND730507HCMMVV02"/>
    <n v="22282766"/>
    <n v="5215610313868"/>
    <x v="1"/>
    <n v="3440.19"/>
    <n v="829"/>
    <n v="1032.06"/>
    <n v="-829"/>
    <m/>
  </r>
  <r>
    <x v="5"/>
    <d v="2026-06-07T00:00:00"/>
    <x v="18"/>
    <s v="MA. SOCORRO GUADALUPE SALAZAR ORTIZ"/>
    <n v="32866479093"/>
    <s v="SAOS641209MCLLRC11"/>
    <n v="1"/>
    <n v="8442904750"/>
    <x v="2"/>
    <n v="18132.66"/>
    <n v="5237.53"/>
    <n v="5439.8"/>
    <n v="202.27"/>
    <d v="2027-01-07T00:00:00"/>
  </r>
  <r>
    <x v="5"/>
    <s v="21/06/2026"/>
    <x v="10"/>
    <s v="JESUS SANCHEZ DOMINGUEZ"/>
    <n v="6796264742"/>
    <s v="SADJ621214HDFNMS08"/>
    <n v="21886580"/>
    <n v="5217202521886"/>
    <x v="2"/>
    <n v="7920.51"/>
    <n v="2291.59"/>
    <n v="2376.15"/>
    <n v="84.56"/>
    <d v="2027-01-12T00:00:00"/>
  </r>
  <r>
    <x v="5"/>
    <d v="2026-06-07T00:00:00"/>
    <x v="3"/>
    <s v="WILBERT CAAMAL VILLAMIL"/>
    <n v="82816010399"/>
    <s v="CAVW600806HQRMLL01"/>
    <n v="22381150"/>
    <n v="5219833238732"/>
    <x v="2"/>
    <n v="7920.51"/>
    <n v="2291.59"/>
    <n v="2376.15"/>
    <n v="84.56"/>
    <d v="2027-01-11T00:00:00"/>
  </r>
  <r>
    <x v="5"/>
    <d v="2026-04-07T00:00:00"/>
    <x v="28"/>
    <s v="ESMERALDA PINEDA LOPEZ"/>
    <n v="82765703804"/>
    <s v=" PILE591228MMNNPS03"/>
    <n v="22296620"/>
    <n v="5214361088138"/>
    <x v="9"/>
    <n v="5533.43"/>
    <n v="1594.54"/>
    <n v="1660.03"/>
    <n v="-234.09"/>
    <d v="2026-01-01T00:00:00"/>
  </r>
  <r>
    <x v="5"/>
    <d v="2026-06-07T00:00:00"/>
    <x v="18"/>
    <s v="NO PROPORCIONO "/>
    <n v="23978200246"/>
    <m/>
    <n v="1"/>
    <n v="6311431371"/>
    <x v="3"/>
    <n v="5642.22"/>
    <n v="1145"/>
    <n v="1692.67"/>
    <n v="324.24"/>
    <d v="2027-01-03T00:00:00"/>
  </r>
  <r>
    <x v="5"/>
    <d v="2026-04-07T00:00:00"/>
    <x v="23"/>
    <s v="JOSE MIGUEL LOPEZ BELTRAN"/>
    <n v="23866725742"/>
    <s v="LOBM670929HSLPLG09"/>
    <n v="22297358"/>
    <n v="5216971133877"/>
    <x v="1"/>
    <n v="3485.91"/>
    <m/>
    <n v="1045.77"/>
    <n v="0"/>
    <m/>
  </r>
  <r>
    <x v="5"/>
    <d v="2026-06-07T00:00:00"/>
    <x v="18"/>
    <s v="MARIA ISABEL CORONADO DELGADO"/>
    <n v="43745832410"/>
    <m/>
    <n v="1"/>
    <n v="8134134828"/>
    <x v="2"/>
    <n v="6262.86"/>
    <n v="1809.97"/>
    <n v="1878.86"/>
    <n v="68.89"/>
    <d v="2027-01-09T00:00:00"/>
  </r>
  <r>
    <x v="6"/>
    <d v="2026-05-07T00:00:00"/>
    <x v="17"/>
    <s v="Juan Manuel Acosta Alvarado"/>
    <m/>
    <s v="AOAJ510415HGTCLN07"/>
    <n v="22312708"/>
    <n v="5214423297694"/>
    <x v="1"/>
    <n v="4035.69"/>
    <n v="848"/>
    <n v="1210.71"/>
    <n v="-848"/>
    <m/>
  </r>
  <r>
    <x v="6"/>
    <d v="2026-02-07T00:00:00"/>
    <x v="27"/>
    <s v="ANABEL BARRERA ORTEGA "/>
    <m/>
    <s v="BAOA570106MMNRRN07"/>
    <n v="22227542"/>
    <n v="5217531151603"/>
    <x v="1"/>
    <n v="3961.31"/>
    <m/>
    <n v="1188.3900000000001"/>
    <n v="0"/>
    <m/>
  </r>
  <r>
    <x v="6"/>
    <d v="2026-03-07T00:00:00"/>
    <x v="0"/>
    <s v="OCTAVIO NUÑEZ CASTRO"/>
    <n v="23806337632"/>
    <m/>
    <n v="22277902"/>
    <n v="15206583756"/>
    <x v="0"/>
    <n v="7920.51"/>
    <m/>
    <n v="2376.15"/>
    <n v="2376.15"/>
    <m/>
  </r>
  <r>
    <x v="6"/>
    <d v="2026-04-07T00:00:00"/>
    <x v="28"/>
    <s v="CARMEN GOMEZ"/>
    <n v="32806314269"/>
    <m/>
    <n v="22293866"/>
    <n v="22293866"/>
    <x v="6"/>
    <n v="7358.36"/>
    <n v="2042.9"/>
    <n v="2207.5100000000002"/>
    <n v="164.61"/>
    <d v="2026-01-07T00:00:00"/>
  </r>
  <r>
    <x v="6"/>
    <d v="2026-02-07T00:00:00"/>
    <x v="22"/>
    <s v="ALFREDO SILVA GONZALEZ"/>
    <m/>
    <s v="SIGA620910HNLLNL04"/>
    <n v="22255088"/>
    <n v="5218125924532"/>
    <x v="0"/>
    <n v="7920.51"/>
    <m/>
    <n v="2376.15"/>
    <n v="2376.15"/>
    <m/>
  </r>
  <r>
    <x v="6"/>
    <d v="2026-07-07T00:00:00"/>
    <x v="13"/>
    <s v="ROGELIO SEGURA QUEZADA"/>
    <n v="43796089241"/>
    <s v="SEQR601231HNLGZG06"/>
    <n v="22422002"/>
    <n v="5218281486452"/>
    <x v="7"/>
    <n v="6262.86"/>
    <n v="1738.79"/>
    <n v="1878.86"/>
    <n v="140.07"/>
    <d v="2026-01-01T00:00:00"/>
  </r>
  <r>
    <x v="6"/>
    <d v="2026-04-07T00:00:00"/>
    <x v="22"/>
    <s v="DONATO PEREZ BELLO "/>
    <n v="17846513418"/>
    <s v="PEBD651114HDFRLN05"/>
    <n v="22296236"/>
    <n v="5215540014081"/>
    <x v="0"/>
    <n v="11029.03"/>
    <m/>
    <n v="3308.71"/>
    <n v="3308.71"/>
    <m/>
  </r>
  <r>
    <x v="6"/>
    <d v="2026-07-07T00:00:00"/>
    <x v="3"/>
    <s v="SABINA GAYTAN ALVARADO"/>
    <n v="4937613901"/>
    <s v="GAAS741116MGTYLB00"/>
    <n v="22416326"/>
    <n v="5214691268089"/>
    <x v="2"/>
    <n v="8784.27"/>
    <n v="2541.4899999999998"/>
    <n v="2635.28"/>
    <n v="93.79"/>
    <d v="2027-01-09T00:00:00"/>
  </r>
  <r>
    <x v="6"/>
    <s v="24/06/2026"/>
    <x v="28"/>
    <s v="ROBERTO IBARRA LARES"/>
    <n v="35978121396"/>
    <s v="IALR810614HCHBRB01"/>
    <n v="21976446"/>
    <n v="21976446"/>
    <x v="5"/>
    <m/>
    <m/>
    <n v="0"/>
    <n v="0"/>
    <m/>
  </r>
  <r>
    <x v="6"/>
    <s v="28/06/2026"/>
    <x v="20"/>
    <s v="Leocadio"/>
    <n v="13806102599"/>
    <m/>
    <n v="22081136"/>
    <n v="5217751994952"/>
    <x v="0"/>
    <n v="10636.54"/>
    <m/>
    <n v="3190.96"/>
    <n v="3190.96"/>
    <m/>
  </r>
  <r>
    <x v="6"/>
    <d v="2026-04-07T00:00:00"/>
    <x v="6"/>
    <s v="ROSAURA RAMIREZ ESQUIVEL"/>
    <n v="43796265692"/>
    <s v="RAER620604MNLMSS04"/>
    <n v="22286214"/>
    <n v="5218115823366"/>
    <x v="2"/>
    <n v="9081.52"/>
    <n v="2626.95"/>
    <n v="2724.46"/>
    <n v="97.51"/>
    <d v="2027-01-09T00:00:00"/>
  </r>
  <r>
    <x v="6"/>
    <d v="2026-06-07T00:00:00"/>
    <x v="14"/>
    <s v="MA. DEL SOCORRO GUERRERO RAMIREZ"/>
    <n v="41916203700"/>
    <m/>
    <n v="22368426"/>
    <n v="22368426"/>
    <x v="0"/>
    <n v="7116.73"/>
    <n v="848"/>
    <n v="2135.02"/>
    <n v="1287.02"/>
    <m/>
  </r>
  <r>
    <x v="6"/>
    <d v="2026-07-07T00:00:00"/>
    <x v="6"/>
    <s v="GERARDO RAYMUNDO MALDONADO SAN GERMAN "/>
    <n v="88836006341"/>
    <s v="MASG601003HDFLNR09"/>
    <n v="22424642"/>
    <n v="5125527251343"/>
    <x v="2"/>
    <n v="39783.33"/>
    <n v="11935"/>
    <n v="11935"/>
    <n v="0"/>
    <d v="2026-09-01T00:00:00"/>
  </r>
  <r>
    <x v="6"/>
    <s v="19/06/2026"/>
    <x v="28"/>
    <s v="JUAN PABLO ORDOÑEZ MENDEZ"/>
    <n v="9957336655"/>
    <s v="OOMJ730405HTSRNN01"/>
    <n v="21839214"/>
    <n v="21839214"/>
    <x v="2"/>
    <n v="5060.93"/>
    <n v="856.35"/>
    <n v="1518.28"/>
    <n v="31.6"/>
    <d v="2027-01-08T00:00:00"/>
  </r>
  <r>
    <x v="6"/>
    <s v="17/06/2026"/>
    <x v="3"/>
    <s v="MARIA TERESA RODRIGUEZ MANDUJANO"/>
    <n v="12937792039"/>
    <s v="ROMT791216MGTDNR07"/>
    <n v="21763916"/>
    <n v="5214611305165"/>
    <x v="2"/>
    <n v="8173.37"/>
    <n v="2451.98"/>
    <n v="2452.0100000000002"/>
    <n v="0.03"/>
    <d v="2027-01-12T00:00:00"/>
  </r>
  <r>
    <x v="6"/>
    <d v="2026-07-07T00:00:00"/>
    <x v="6"/>
    <s v="LUIS ALBERTO DAVILA QUINTANILLA "/>
    <n v="43836037978"/>
    <s v="DAQL601130HNLVNS00"/>
    <n v="22286214"/>
    <n v="5218115823366"/>
    <x v="2"/>
    <n v="19307.669999999998"/>
    <n v="5570"/>
    <n v="5792.3"/>
    <n v="222.3"/>
    <d v="2027-01-04T00:00:00"/>
  </r>
  <r>
    <x v="6"/>
    <d v="2026-07-07T00:00:00"/>
    <x v="3"/>
    <s v="JOSE FERNANDO GARCIA PEREZ"/>
    <n v="62786210021"/>
    <s v="GAPF621108HPLRRR06"/>
    <n v="22427004"/>
    <n v="5212211144286"/>
    <x v="0"/>
    <n v="11029.03"/>
    <m/>
    <n v="3308.71"/>
    <n v="3308.71"/>
    <m/>
  </r>
  <r>
    <x v="6"/>
    <d v="2026-07-07T00:00:00"/>
    <x v="3"/>
    <s v="RODOLFO RIVERA BARAJAS"/>
    <m/>
    <s v="RIBR590521HMCVRD00"/>
    <n v="22389364"/>
    <n v="5215548494503"/>
    <x v="2"/>
    <n v="5617.63"/>
    <n v="1393"/>
    <n v="1685.29"/>
    <n v="51.65"/>
    <d v="2027-01-06T00:00:00"/>
  </r>
  <r>
    <x v="6"/>
    <d v="2026-09-06T00:00:00"/>
    <x v="23"/>
    <s v="EVANGELINA HERNANDEZ PEREZ"/>
    <n v="43816451009"/>
    <s v="HEPE680608MCLRRV00"/>
    <n v="21538532"/>
    <n v="21538532"/>
    <x v="2"/>
    <n v="9313.11"/>
    <n v="2572.9699999999998"/>
    <n v="2793.93"/>
    <n v="220.96"/>
    <d v="2027-01-03T00:00:00"/>
  </r>
  <r>
    <x v="6"/>
    <d v="2026-01-07T00:00:00"/>
    <x v="7"/>
    <s v="Natividad Lara Hernandez"/>
    <n v="6715202989"/>
    <s v="LAHN710908MOCRRT08"/>
    <n v="22156070"/>
    <n v="5219531044593"/>
    <x v="2"/>
    <n v="5636.59"/>
    <n v="1690.66"/>
    <n v="1690.98"/>
    <n v="-227.05"/>
    <d v="2028-01-06T00:00:00"/>
  </r>
  <r>
    <x v="6"/>
    <d v="2026-07-07T00:00:00"/>
    <x v="14"/>
    <s v="LEONARDO HERRERA"/>
    <n v="67805202966"/>
    <s v="HEXL521106HVZRXN03"/>
    <n v="22427686"/>
    <n v="5219831027683"/>
    <x v="1"/>
    <n v="3869.36"/>
    <n v="848"/>
    <n v="1160.81"/>
    <n v="-848"/>
    <m/>
  </r>
  <r>
    <x v="6"/>
    <d v="2026-07-07T00:00:00"/>
    <x v="10"/>
    <s v="ALEJANDRO JAIME ROJAS SÁNCHEZ"/>
    <n v="62725404545"/>
    <s v="ROSA540826HPLJNL09"/>
    <n v="22425742"/>
    <n v="5212226526694"/>
    <x v="1"/>
    <n v="4813.6899999999996"/>
    <n v="879"/>
    <n v="1444.11"/>
    <n v="-238.29"/>
    <m/>
  </r>
  <r>
    <x v="6"/>
    <d v="2026-07-07T00:00:00"/>
    <x v="7"/>
    <s v="Feliciano Alfonso López León "/>
    <n v="23735514673"/>
    <s v="LOLF560609HSLPNL01"/>
    <n v="22429302"/>
    <n v="5216692558001"/>
    <x v="0"/>
    <n v="9956.98"/>
    <n v="640"/>
    <n v="2987.09"/>
    <n v="2347.09"/>
    <m/>
  </r>
  <r>
    <x v="6"/>
    <d v="2026-01-07T00:00:00"/>
    <x v="7"/>
    <s v="Felipe Leon Guzman "/>
    <n v="6856600421"/>
    <s v="LEGF660307HPLNZL09"/>
    <n v="22162024"/>
    <n v="5217641300945"/>
    <x v="3"/>
    <n v="13808.57"/>
    <n v="3172.03"/>
    <n v="4142.57"/>
    <n v="970.54"/>
    <d v="2028-01-07T00:00:00"/>
  </r>
  <r>
    <x v="6"/>
    <d v="2026-07-07T00:00:00"/>
    <x v="6"/>
    <s v="CRISTIAN GERARDO RENTERIA GOMEZ "/>
    <n v="37967704844"/>
    <s v="REGC780908HDFNMR05"/>
    <n v="22428270"/>
    <n v="5215512936736"/>
    <x v="2"/>
    <n v="4783.47"/>
    <n v="582.79"/>
    <n v="1435.04"/>
    <n v="27.7"/>
    <d v="2027-01-06T00:00:00"/>
  </r>
  <r>
    <x v="6"/>
    <d v="2026-06-07T00:00:00"/>
    <x v="22"/>
    <s v="MARIA VIRGINIA LOPEZ LAGUNES "/>
    <n v="65876316518"/>
    <s v="SAHI630207HVZLRS08 "/>
    <n v="22395060"/>
    <n v="22395060"/>
    <x v="2"/>
    <n v="6405.06"/>
    <n v="1853.14"/>
    <n v="1921.52"/>
    <n v="68.38"/>
    <d v="2027-01-12T00:00:00"/>
  </r>
  <r>
    <x v="6"/>
    <d v="2026-07-07T00:00:00"/>
    <x v="6"/>
    <s v="MA. ANTONIA PEREz MARTINEZ"/>
    <n v="49915603358"/>
    <s v="PEMA560322MTSRRN02"/>
    <n v="22431674"/>
    <n v="5218991019974"/>
    <x v="2"/>
    <n v="5617.63"/>
    <n v="1441.02"/>
    <n v="1685.29"/>
    <n v="3.63"/>
    <d v="2028-01-05T00:00:00"/>
  </r>
  <r>
    <x v="6"/>
    <d v="2026-07-07T00:00:00"/>
    <x v="3"/>
    <s v="MARIA GUADALUPE MONTALVO RIOS"/>
    <n v="45875403276"/>
    <s v="MORG540810MNLNSD08"/>
    <n v="22408450"/>
    <n v="5218261234595"/>
    <x v="2"/>
    <n v="29228.45"/>
    <n v="8767.85"/>
    <n v="8768.5400000000009"/>
    <n v="0.68"/>
    <d v="2027-01-01T00:00:00"/>
  </r>
  <r>
    <x v="6"/>
    <d v="2026-04-07T00:00:00"/>
    <x v="6"/>
    <s v="HEBERTO BRISEÑO GONZALEZ "/>
    <n v="43765312046"/>
    <s v="BIGH570715HNLRNB04"/>
    <n v="22298052"/>
    <n v="5218117090523"/>
    <x v="2"/>
    <n v="6422.04"/>
    <n v="1782.51"/>
    <n v="1926.61"/>
    <n v="144.1"/>
    <d v="2026-10-01T00:00:00"/>
  </r>
  <r>
    <x v="6"/>
    <d v="2026-07-07T00:00:00"/>
    <x v="13"/>
    <s v="JOSE DE JESUS PEÑA CAMACHO"/>
    <m/>
    <s v="PECJ640126HJCXMS00"/>
    <n v="22426210"/>
    <n v="5213316062657"/>
    <x v="0"/>
    <n v="9760.32"/>
    <m/>
    <n v="2928.1"/>
    <n v="2928.1"/>
    <m/>
  </r>
  <r>
    <x v="6"/>
    <d v="2026-04-07T00:00:00"/>
    <x v="23"/>
    <s v="JAIRO SORCIA CASTRO"/>
    <m/>
    <s v="SOCJ751211HTCRSR02"/>
    <n v="22294772"/>
    <n v="5219212076937"/>
    <x v="1"/>
    <n v="4970.8599999999997"/>
    <n v="848"/>
    <n v="1491.26"/>
    <n v="-50.12"/>
    <m/>
  </r>
  <r>
    <x v="6"/>
    <d v="2026-07-07T00:00:00"/>
    <x v="22"/>
    <s v="FRANCISCO JAVIER CABRERA VAZQUEZ"/>
    <m/>
    <s v="CAVF610515HJCBLR06"/>
    <n v="22433674"/>
    <n v="5213323716413"/>
    <x v="2"/>
    <n v="14554.45"/>
    <n v="4202.6499999999996"/>
    <n v="4366.34"/>
    <n v="163.69"/>
    <d v="2027-01-03T00:00:00"/>
  </r>
  <r>
    <x v="6"/>
    <d v="2026-07-07T00:00:00"/>
    <x v="7"/>
    <s v="María de Jesús Espinosa Maya"/>
    <n v="62744300294"/>
    <s v="EIMJ651212MPLSYS08"/>
    <n v="22434526"/>
    <n v="5212221745507"/>
    <x v="2"/>
    <n v="49260.7"/>
    <n v="14775.34"/>
    <n v="14778.21"/>
    <n v="2.87"/>
    <d v="2027-01-12T00:00:00"/>
  </r>
  <r>
    <x v="6"/>
    <d v="2026-07-07T00:00:00"/>
    <x v="26"/>
    <s v="JOSE LUIS ALFARO JIMENEZ"/>
    <n v="23785807225"/>
    <s v="AAJL581220HSLLMS08"/>
    <n v="22429146"/>
    <n v="5216675031022"/>
    <x v="0"/>
    <n v="9760.32"/>
    <m/>
    <n v="2928.1"/>
    <n v="2928.1"/>
    <m/>
  </r>
  <r>
    <x v="6"/>
    <d v="2026-07-07T00:00:00"/>
    <x v="6"/>
    <s v="JOSE PILAR REYES SOSA "/>
    <n v="82806301261"/>
    <s v="RESP631012HYNYSL08"/>
    <n v="22432082"/>
    <n v="5219871009272"/>
    <x v="2"/>
    <n v="9760.32"/>
    <n v="2928.1"/>
    <n v="2928.1"/>
    <n v="0"/>
    <d v="2028-01-02T00:00:00"/>
  </r>
  <r>
    <x v="6"/>
    <d v="2026-07-07T00:00:00"/>
    <x v="3"/>
    <s v="MARIA DEL CARMEN ESPIRIDION OLVERA"/>
    <n v="10806348420"/>
    <s v="EIOC630303MDFSLR09"/>
    <n v="22423934"/>
    <n v="5215570789323"/>
    <x v="2"/>
    <n v="9081.52"/>
    <n v="2622.65"/>
    <n v="2724.46"/>
    <n v="101.81"/>
    <d v="2027-01-12T00:00:00"/>
  </r>
  <r>
    <x v="6"/>
    <d v="2026-07-07T00:00:00"/>
    <x v="14"/>
    <s v="Jose Luis Méndez Gómez"/>
    <m/>
    <s v="MEGL610621HGTNMS05"/>
    <n v="22433554"/>
    <n v="5214791425480"/>
    <x v="0"/>
    <n v="7116.73"/>
    <m/>
    <n v="2135.02"/>
    <n v="2135.02"/>
    <m/>
  </r>
  <r>
    <x v="6"/>
    <d v="2026-07-07T00:00:00"/>
    <x v="3"/>
    <s v="María martha Reyna Rodríguez"/>
    <n v="4175580960"/>
    <s v="RERM631203MSPYDR00"/>
    <n v="22433888"/>
    <n v="5214444234572"/>
    <x v="1"/>
    <n v="3632.14"/>
    <m/>
    <n v="1089.6400000000001"/>
    <n v="0"/>
    <m/>
  </r>
  <r>
    <x v="6"/>
    <d v="2026-07-07T00:00:00"/>
    <x v="14"/>
    <s v="Laura jazmín Lora Rocha"/>
    <n v="39977982295"/>
    <m/>
    <n v="22434708"/>
    <n v="5215588185931"/>
    <x v="4"/>
    <m/>
    <m/>
    <n v="0"/>
    <n v="0"/>
    <m/>
  </r>
  <r>
    <x v="6"/>
    <d v="2026-07-07T00:00:00"/>
    <x v="6"/>
    <s v="JUANA DEL SOCORRO MARTINEZ POLANCO "/>
    <n v="81695410753"/>
    <s v="MAPJ750811MCCRLN16"/>
    <n v="22403940"/>
    <n v="5219901987977"/>
    <x v="2"/>
    <n v="8784.2999999999993"/>
    <n v="2541.4899999999998"/>
    <n v="2635.29"/>
    <n v="93.8"/>
    <d v="2027-01-10T00:00:00"/>
  </r>
  <r>
    <x v="6"/>
    <d v="2026-07-07T00:00:00"/>
    <x v="3"/>
    <s v="Maria del Carmen Hernández Guevara"/>
    <n v="31856615926"/>
    <s v="HEGC690203MDGRVR05"/>
    <n v="22434594"/>
    <n v="5216562752129"/>
    <x v="1"/>
    <n v="3498.07"/>
    <n v="848"/>
    <n v="1049.42"/>
    <n v="-848"/>
    <m/>
  </r>
  <r>
    <x v="6"/>
    <d v="2026-07-07T00:00:00"/>
    <x v="18"/>
    <s v="NO PROPORCIONO "/>
    <n v="19775946494"/>
    <m/>
    <n v="1"/>
    <n v="8342084822"/>
    <x v="2"/>
    <n v="7361.09"/>
    <n v="2123.15"/>
    <n v="2208.33"/>
    <n v="85.18"/>
    <d v="2027-01-05T00:00:00"/>
  </r>
  <r>
    <x v="6"/>
    <d v="2026-07-07T00:00:00"/>
    <x v="18"/>
    <s v="NO PROPORCIONO "/>
    <n v="16806204034"/>
    <m/>
    <n v="1"/>
    <n v="7291506275"/>
    <x v="2"/>
    <n v="7116.73"/>
    <n v="1867.01"/>
    <n v="2135.02"/>
    <n v="268.01"/>
    <d v="2027-01-11T00:00:00"/>
  </r>
  <r>
    <x v="6"/>
    <d v="2026-07-07T00:00:00"/>
    <x v="10"/>
    <s v="Julia Hernández Garay"/>
    <n v="43795961820"/>
    <s v="HEGJ591019MNLRRL07"/>
    <n v="22435070"/>
    <n v="5218180889339"/>
    <x v="7"/>
    <n v="17195.97"/>
    <n v="4773.8500000000004"/>
    <n v="5158.79"/>
    <n v="384.94"/>
    <d v="2025-01-02T00:00:00"/>
  </r>
  <r>
    <x v="6"/>
    <d v="2026-07-07T00:00:00"/>
    <x v="26"/>
    <s v="JAIME ARNOLDO OZUNA HAROS"/>
    <n v="24735713281"/>
    <s v="OUHJ570502HSRZRM07"/>
    <n v="22433392"/>
    <n v="5216623681313"/>
    <x v="6"/>
    <n v="12818.25"/>
    <n v="3708.63"/>
    <n v="3845.48"/>
    <n v="136.85"/>
    <d v="2024-01-11T00:00:00"/>
  </r>
  <r>
    <x v="6"/>
    <d v="2026-07-07T00:00:00"/>
    <x v="10"/>
    <s v="Virgilio Aguirre Beltrán"/>
    <n v="47937730795"/>
    <s v="AUBV771111HNLGLR05"/>
    <n v="22433122"/>
    <n v="5218123564288"/>
    <x v="6"/>
    <n v="5727.08"/>
    <n v="2243.89"/>
    <n v="1718.12"/>
    <n v="-689.79"/>
    <d v="2026-01-06T00:00:00"/>
  </r>
  <r>
    <x v="6"/>
    <d v="2026-07-07T00:00:00"/>
    <x v="14"/>
    <s v="Andres Arturo Alvarez Ramos"/>
    <n v="54775813410"/>
    <m/>
    <n v="22436600"/>
    <n v="5213322147147"/>
    <x v="2"/>
    <n v="7500.03"/>
    <n v="2169.9299999999998"/>
    <n v="2250.0100000000002"/>
    <n v="80.08"/>
    <d v="2027-01-10T00:00:00"/>
  </r>
  <r>
    <x v="6"/>
    <d v="2026-07-07T00:00:00"/>
    <x v="18"/>
    <s v="NO PROPORCIONO"/>
    <n v="49815813156"/>
    <s v="NO PROPORCIONO "/>
    <n v="1"/>
    <n v="8332340066"/>
    <x v="2"/>
    <n v="23412.799999999999"/>
    <n v="7021.57"/>
    <n v="7023.84"/>
    <n v="2.27"/>
    <d v="2027-01-02T00:00:00"/>
  </r>
  <r>
    <x v="6"/>
    <d v="2025-07-12T00:00:00"/>
    <x v="28"/>
    <s v="CONSUELO GARCIA SEGURA"/>
    <n v="4755201177"/>
    <s v="GASC661022MJCRGN02"/>
    <n v="13976718"/>
    <n v="5213317503306"/>
    <x v="2"/>
    <n v="6876.47"/>
    <n v="2062.1799999999998"/>
    <n v="2062.94"/>
    <n v="0.76"/>
    <d v="2027-01-05T00:00:00"/>
  </r>
  <r>
    <x v="6"/>
    <d v="2026-07-07T00:00:00"/>
    <x v="22"/>
    <s v="GLORIA LETICIA FLORES SANDOVAL"/>
    <m/>
    <s v="FOSG740918MMNLNL02"/>
    <n v="22437246"/>
    <n v="5216861895674"/>
    <x v="2"/>
    <n v="9582.4699999999993"/>
    <n v="2871.76"/>
    <n v="2874.74"/>
    <n v="2.98"/>
    <d v="2028-01-06T00:00:00"/>
  </r>
  <r>
    <x v="6"/>
    <d v="2026-07-07T00:00:00"/>
    <x v="22"/>
    <s v="RAFAEL ARMANDO RODRIGUEZ MORENO"/>
    <m/>
    <s v="ROMR560726HSPDRF03"/>
    <n v="22436834"/>
    <n v="5214441844259"/>
    <x v="2"/>
    <n v="52345.599999999999"/>
    <n v="15691.7"/>
    <n v="15703.68"/>
    <n v="11.98"/>
    <d v="2027-01-03T00:00:00"/>
  </r>
  <r>
    <x v="6"/>
    <d v="2026-07-07T00:00:00"/>
    <x v="7"/>
    <s v="María del Socorro Ochoa Cosio"/>
    <n v="84826207262"/>
    <s v="OOCS620627MCSCSC11"/>
    <n v="22430296"/>
    <n v="5219621417431"/>
    <x v="0"/>
    <n v="9760.32"/>
    <m/>
    <n v="2928.1"/>
    <n v="2928.1"/>
    <m/>
  </r>
  <r>
    <x v="6"/>
    <d v="2026-07-07T00:00:00"/>
    <x v="23"/>
    <s v="JENARO REYES MARIN"/>
    <n v="780631754"/>
    <s v="REMJ630211HDFYRN04"/>
    <n v="22407300"/>
    <n v="5215581624816"/>
    <x v="0"/>
    <n v="8377"/>
    <n v="848"/>
    <n v="2513.1"/>
    <n v="1665.1"/>
    <m/>
  </r>
  <r>
    <x v="6"/>
    <d v="2026-07-07T00:00:00"/>
    <x v="24"/>
    <m/>
    <n v="84816419927"/>
    <s v="COPV640226HQRBTC07"/>
    <n v="22438810"/>
    <n v="5219996385621"/>
    <x v="2"/>
    <n v="10171.24"/>
    <n v="3050.2"/>
    <n v="3051.37"/>
    <n v="1.17"/>
    <d v="2027-01-11T00:00:00"/>
  </r>
  <r>
    <x v="6"/>
    <d v="2026-07-07T00:00:00"/>
    <x v="18"/>
    <s v="GUSTAVO CUMPLIDO SALAZAR"/>
    <n v="24886326396"/>
    <s v="CUSG630321HSRMLS00"/>
    <n v="1"/>
    <n v="6621392553"/>
    <x v="0"/>
    <n v="32009.38"/>
    <m/>
    <n v="9602.81"/>
    <n v="9602.81"/>
    <m/>
  </r>
  <r>
    <x v="6"/>
    <d v="2026-07-07T00:00:00"/>
    <x v="24"/>
    <m/>
    <n v="41835701644"/>
    <s v="PUAF570410HSPNLR07"/>
    <n v="22440466"/>
    <n v="5214445540360"/>
    <x v="2"/>
    <n v="6130.04"/>
    <n v="1839.01"/>
    <n v="1839.01"/>
    <n v="0"/>
    <d v="2026-10-01T00:00:00"/>
  </r>
  <r>
    <x v="6"/>
    <d v="2026-07-07T00:00:00"/>
    <x v="24"/>
    <s v="FERNANDA GOMEZ"/>
    <n v="19796033041"/>
    <s v="MAMB620313MDFRRT08"/>
    <n v="22440270"/>
    <n v="5215544745456"/>
    <x v="7"/>
    <n v="7108.77"/>
    <n v="943.27"/>
    <n v="2132.63"/>
    <n v="1189.3599999999999"/>
    <d v="2026-01-04T00:00:00"/>
  </r>
  <r>
    <x v="7"/>
    <d v="2026-08-07T00:00:00"/>
    <x v="18"/>
    <s v="JESÚS ANGEL HERNANDEZ MARTÍNEZ "/>
    <n v="3654927593"/>
    <s v="HEMJ491001HNLRRS03"/>
    <n v="1"/>
    <n v="8114746025"/>
    <x v="0"/>
    <n v="28095.21"/>
    <n v="1151.54"/>
    <n v="8428.56"/>
    <n v="7277.02"/>
    <m/>
  </r>
  <r>
    <x v="7"/>
    <d v="2026-07-07T00:00:00"/>
    <x v="11"/>
    <s v="MARCO ANTONIO RENDON MARTINEZ "/>
    <m/>
    <s v="REMM940504HBCNRR01"/>
    <n v="22445378"/>
    <n v="5216631115948"/>
    <x v="1"/>
    <n v="1481.69"/>
    <m/>
    <n v="444.51"/>
    <n v="0"/>
    <m/>
  </r>
  <r>
    <x v="7"/>
    <d v="2026-08-07T00:00:00"/>
    <x v="29"/>
    <s v="Dalia Fausto Montero"/>
    <m/>
    <s v="FAMD750420MMNSNL08"/>
    <n v="22451600"/>
    <n v="5214442341551"/>
    <x v="8"/>
    <m/>
    <m/>
    <n v="0"/>
    <n v="0"/>
    <m/>
  </r>
  <r>
    <x v="7"/>
    <s v="31/05/2026"/>
    <x v="1"/>
    <s v="Jesús Guerrero Muñoz"/>
    <m/>
    <s v="GUMJ670602HDFRXS09"/>
    <n v="21227810"/>
    <n v="5215587467826"/>
    <x v="2"/>
    <n v="6039.97"/>
    <n v="1747.51"/>
    <n v="1811.99"/>
    <n v="64.48"/>
    <d v="2027-01-04T00:00:00"/>
  </r>
  <r>
    <x v="7"/>
    <d v="2026-08-07T00:00:00"/>
    <x v="27"/>
    <s v="MARIA TERESA BELTRAN SANTIAGO "/>
    <m/>
    <s v="BEST650702MDFLNR08"/>
    <n v="22452226"/>
    <n v="5215574689783"/>
    <x v="5"/>
    <m/>
    <m/>
    <n v="0"/>
    <n v="0"/>
    <m/>
  </r>
  <r>
    <x v="7"/>
    <d v="2026-08-07T00:00:00"/>
    <x v="27"/>
    <s v="BERTHA LOPEZ CHAVEZ "/>
    <m/>
    <s v="LOCB590408MDGPHR02"/>
    <n v="22456156"/>
    <n v="5216182686828"/>
    <x v="2"/>
    <n v="15891.49"/>
    <n v="4767.03"/>
    <n v="4767.45"/>
    <n v="0.42"/>
    <d v="2026-12-01T00:00:00"/>
  </r>
  <r>
    <x v="7"/>
    <d v="2026-07-07T00:00:00"/>
    <x v="29"/>
    <s v="MARCO ANTONIO NOVELO BUENFIL"/>
    <m/>
    <s v="NOBM661107HQRVNR08"/>
    <n v="22442836"/>
    <n v="5219833328426"/>
    <x v="2"/>
    <n v="5500.02"/>
    <n v="1227.94"/>
    <n v="1650.01"/>
    <n v="99.1"/>
    <d v="2026-08-01T00:00:00"/>
  </r>
  <r>
    <x v="7"/>
    <d v="2026-08-07T00:00:00"/>
    <x v="11"/>
    <s v="MARIO HURTADO CHAVEZ"/>
    <m/>
    <s v="HUCM890328HHGRHR08"/>
    <n v="22458368"/>
    <n v="5217711511183"/>
    <x v="4"/>
    <m/>
    <m/>
    <n v="0"/>
    <n v="0"/>
    <m/>
  </r>
  <r>
    <x v="7"/>
    <d v="2026-08-07T00:00:00"/>
    <x v="11"/>
    <s v="JUAN ALMAGUER HERNANDEZ "/>
    <m/>
    <s v="AAHJ720211HVZLRN06"/>
    <n v="22456788"/>
    <n v="5218335343429"/>
    <x v="2"/>
    <n v="4556.6000000000004"/>
    <n v="365.63"/>
    <n v="1366.98"/>
    <n v="17.989999999999998"/>
    <d v="2028-01-03T00:00:00"/>
  </r>
  <r>
    <x v="7"/>
    <d v="2026-08-07T00:00:00"/>
    <x v="29"/>
    <s v="LAURO ALBERTO FLORES SALDAÑA"/>
    <n v="15816103186"/>
    <s v="FOSL611201HMSLLR09"/>
    <n v="22456412"/>
    <n v="5217773776168"/>
    <x v="9"/>
    <n v="20716.04"/>
    <n v="5750.57"/>
    <n v="6214.81"/>
    <n v="464.24"/>
    <d v="2026-01-05T00:00:00"/>
  </r>
  <r>
    <x v="7"/>
    <d v="2026-07-07T00:00:00"/>
    <x v="11"/>
    <s v="JAVIER GOMEZ ALVAREZ "/>
    <m/>
    <s v="GOAJ640513HDFMLV07"/>
    <n v="22444766"/>
    <n v="5215517045666"/>
    <x v="2"/>
    <n v="9760.32"/>
    <n v="2820"/>
    <n v="2928.1"/>
    <n v="108.1"/>
    <d v="2028-01-01T00:00:00"/>
  </r>
  <r>
    <x v="7"/>
    <d v="2026-07-07T00:00:00"/>
    <x v="26"/>
    <s v="BERTHA ALICIA ARREOLA GARDEA"/>
    <n v="24796213676"/>
    <s v="AEGB610906MSRRRR08"/>
    <n v="22437688"/>
    <n v="5216622401467"/>
    <x v="2"/>
    <n v="8784.2999999999993"/>
    <n v="2629.15"/>
    <n v="2635.29"/>
    <n v="6.14"/>
    <d v="2028-01-02T00:00:00"/>
  </r>
  <r>
    <x v="7"/>
    <s v="30/06/2026"/>
    <x v="13"/>
    <s v="EMILIANO MARTINEZ MEJIA"/>
    <n v="16806017766"/>
    <s v="MXME600808HMCRJM06"/>
    <n v="22148420"/>
    <n v="5217296102216"/>
    <x v="2"/>
    <n v="15743.9"/>
    <n v="4555.05"/>
    <n v="4723.17"/>
    <n v="168.12"/>
    <d v="2027-01-02T00:00:00"/>
  </r>
  <r>
    <x v="7"/>
    <d v="2026-07-07T00:00:00"/>
    <x v="29"/>
    <s v="MA. DE JESUS SANCHEZ BADILLO"/>
    <n v="34724900740"/>
    <s v="SABJ570617MASNDS2"/>
    <n v="22443916"/>
    <n v="5214494021048"/>
    <x v="0"/>
    <n v="9572.89"/>
    <m/>
    <n v="2871.87"/>
    <n v="2871.87"/>
    <m/>
  </r>
  <r>
    <x v="7"/>
    <d v="2026-08-07T00:00:00"/>
    <x v="16"/>
    <m/>
    <n v="32783800686"/>
    <m/>
    <n v="1"/>
    <n v="528443274846"/>
    <x v="7"/>
    <n v="4554.84"/>
    <n v="654.4"/>
    <n v="1366.45"/>
    <n v="-272.54000000000002"/>
    <d v="2025-01-01T00:00:00"/>
  </r>
  <r>
    <x v="7"/>
    <d v="2026-08-07T00:00:00"/>
    <x v="11"/>
    <s v="Enedelia Vázquez Cruz"/>
    <m/>
    <s v="VACE590107MNLZRN07"/>
    <n v="22459420"/>
    <n v="5218131249939"/>
    <x v="2"/>
    <n v="5046.1899999999996"/>
    <n v="842"/>
    <n v="1513.86"/>
    <n v="31.21"/>
    <d v="2027-01-04T00:00:00"/>
  </r>
  <r>
    <x v="7"/>
    <d v="2026-08-07T00:00:00"/>
    <x v="19"/>
    <s v="ANTONIO DIAZ "/>
    <m/>
    <s v="DIHA731103HDFZRN03"/>
    <n v="22455460"/>
    <n v="5215631491841"/>
    <x v="0"/>
    <n v="10569.39"/>
    <m/>
    <n v="3170.82"/>
    <n v="3170.82"/>
    <m/>
  </r>
  <r>
    <x v="7"/>
    <d v="2026-07-07T00:00:00"/>
    <x v="10"/>
    <s v="RAMON GALINDO CARO"/>
    <m/>
    <s v="GACR581027HCHLRM06"/>
    <n v="22438044"/>
    <n v="5216143653700"/>
    <x v="1"/>
    <n v="4342.43"/>
    <n v="848"/>
    <n v="1302.73"/>
    <n v="-678.55"/>
    <m/>
  </r>
  <r>
    <x v="7"/>
    <d v="2026-07-07T00:00:00"/>
    <x v="7"/>
    <s v="Rosa Franco Garcia"/>
    <n v="56897214013"/>
    <s v="FAGR680130MJCRRS05"/>
    <n v="22437112"/>
    <n v="5213321674246"/>
    <x v="1"/>
    <n v="4051.79"/>
    <n v="347.34"/>
    <n v="1215.54"/>
    <n v="-347.34"/>
    <m/>
  </r>
  <r>
    <x v="7"/>
    <d v="2026-08-07T00:00:00"/>
    <x v="19"/>
    <s v="NORMA "/>
    <m/>
    <s v="DEMN750312MASLDR06"/>
    <n v="22461212"/>
    <n v="5214493947785"/>
    <x v="1"/>
    <n v="2614.4299999999998"/>
    <n v="653"/>
    <n v="784.33"/>
    <n v="-653"/>
    <m/>
  </r>
  <r>
    <x v="7"/>
    <d v="2026-08-07T00:00:00"/>
    <x v="27"/>
    <s v="Sonia Yadira Gómez Ortiz"/>
    <n v="3978242794"/>
    <m/>
    <n v="22462380"/>
    <n v="5218123636792"/>
    <x v="5"/>
    <m/>
    <m/>
    <n v="0"/>
    <n v="0"/>
    <m/>
  </r>
  <r>
    <x v="7"/>
    <d v="2026-08-07T00:00:00"/>
    <x v="29"/>
    <s v="Carlos Ramírez Padron "/>
    <m/>
    <s v="RAPC650626HDFMDR08"/>
    <n v="22460000"/>
    <n v="5219601485916"/>
    <x v="0"/>
    <n v="9760.32"/>
    <m/>
    <n v="2928.1"/>
    <n v="2928.1"/>
    <m/>
  </r>
  <r>
    <x v="7"/>
    <d v="2026-08-07T00:00:00"/>
    <x v="0"/>
    <s v="Juan Ricardo Martinez"/>
    <n v="41916808193"/>
    <m/>
    <n v="22460998"/>
    <n v="5214881206575"/>
    <x v="2"/>
    <n v="5642.22"/>
    <n v="1359.71"/>
    <n v="1692.67"/>
    <n v="109.53"/>
    <d v="2026-09-01T00:00:00"/>
  </r>
  <r>
    <x v="7"/>
    <d v="2026-07-07T00:00:00"/>
    <x v="10"/>
    <s v="JORGE LUIS TERRAZAS RICO"/>
    <n v="32806118637"/>
    <s v="TERJ611017HCLRCR09"/>
    <n v="22431386"/>
    <n v="5218661128479"/>
    <x v="0"/>
    <n v="28426.720000000001"/>
    <m/>
    <n v="8528.02"/>
    <n v="8528.02"/>
    <m/>
  </r>
  <r>
    <x v="7"/>
    <d v="2026-02-07T00:00:00"/>
    <x v="3"/>
    <s v="Candelaria Barajas. García "/>
    <n v="53885503994"/>
    <s v="BAGC550202MMNRRN02"/>
    <n v="22254598"/>
    <n v="22254598"/>
    <x v="1"/>
    <n v="3882.85"/>
    <m/>
    <n v="1164.8599999999999"/>
    <n v="0"/>
    <m/>
  </r>
  <r>
    <x v="7"/>
    <d v="2026-07-07T00:00:00"/>
    <x v="13"/>
    <s v="JORGE OSORIO RUIZ"/>
    <m/>
    <s v="OORJ510918HDFSZR08"/>
    <n v="22427464"/>
    <n v="5217351747949"/>
    <x v="3"/>
    <n v="15125.95"/>
    <n v="4199.5"/>
    <n v="4537.79"/>
    <n v="338.29"/>
    <d v="2026-01-10T00:00:00"/>
  </r>
  <r>
    <x v="7"/>
    <d v="2026-07-07T00:00:00"/>
    <x v="23"/>
    <s v="FRANCISCO PADILLA GALVAN"/>
    <m/>
    <s v="PAGF620926HMCDLR03"/>
    <n v="22430898"/>
    <n v="5215582179697"/>
    <x v="9"/>
    <n v="26061.71"/>
    <n v="6896.65"/>
    <n v="7818.51"/>
    <n v="921.86"/>
    <d v="2027-01-07T00:00:00"/>
  </r>
  <r>
    <x v="7"/>
    <d v="2026-01-07T00:00:00"/>
    <x v="23"/>
    <s v="HILDA MARGARITA RUIZ GONZALEZ"/>
    <m/>
    <s v="RUGH690414MNLZNL09"/>
    <n v="22176974"/>
    <n v="5218181808069"/>
    <x v="2"/>
    <n v="6444.37"/>
    <n v="1930.76"/>
    <n v="1933.31"/>
    <n v="2.5499999999999998"/>
    <d v="2028-01-07T00:00:00"/>
  </r>
  <r>
    <x v="7"/>
    <d v="2026-08-07T00:00:00"/>
    <x v="19"/>
    <s v="DIANA DE LA CRUZ "/>
    <n v="83927627824"/>
    <s v="CUCD810126MTCRSN07"/>
    <n v="22461072"/>
    <n v="5219932773198"/>
    <x v="6"/>
    <n v="6121.36"/>
    <n v="2853.42"/>
    <n v="1836.41"/>
    <n v="-1017.01"/>
    <d v="2026-01-07T00:00:00"/>
  </r>
  <r>
    <x v="7"/>
    <d v="2026-08-07T00:00:00"/>
    <x v="27"/>
    <s v="JUANA MARIA GUADALUPE HERNANDEZ VAZQUEZ "/>
    <n v="43947426367"/>
    <s v="HEVJ701110MNLRZN02"/>
    <n v="22469768"/>
    <n v="5218126142866"/>
    <x v="2"/>
    <n v="5055.87"/>
    <n v="1253.93"/>
    <n v="1516.76"/>
    <n v="-371.04"/>
    <d v="2027-01-11T00:00:00"/>
  </r>
  <r>
    <x v="7"/>
    <d v="2026-07-07T00:00:00"/>
    <x v="11"/>
    <s v="MARIO HERNANDEZ OLVERA "/>
    <m/>
    <s v="HEOM590520HDFRLR09"/>
    <n v="22445204"/>
    <n v="5214681371214"/>
    <x v="2"/>
    <n v="11029.03"/>
    <n v="3308.71"/>
    <n v="3308.71"/>
    <n v="0"/>
    <d v="2028-01-05T00:00:00"/>
  </r>
  <r>
    <x v="7"/>
    <d v="2026-08-07T00:00:00"/>
    <x v="0"/>
    <s v="VERONICA ALEJANDRA DIAZ FLORES"/>
    <n v="4673600904"/>
    <m/>
    <n v="22469516"/>
    <n v="5213751224279"/>
    <x v="5"/>
    <m/>
    <m/>
    <n v="0"/>
    <n v="0"/>
    <m/>
  </r>
  <r>
    <x v="7"/>
    <d v="2026-08-07T00:00:00"/>
    <x v="11"/>
    <s v="Teresa Salgado Juárez"/>
    <m/>
    <s v="SAJT660528MDFLRR07"/>
    <n v="22469260"/>
    <n v="5215614199165"/>
    <x v="5"/>
    <m/>
    <m/>
    <n v="0"/>
    <n v="0"/>
    <m/>
  </r>
  <r>
    <x v="7"/>
    <s v="29/06/2026"/>
    <x v="23"/>
    <s v="CLAUDIA EDUWIGES MORENO AHUMADA"/>
    <m/>
    <s v="MOAC770909MSRRHL02"/>
    <n v="22096042"/>
    <n v="5216623483682"/>
    <x v="3"/>
    <n v="4538.28"/>
    <m/>
    <n v="1361.48"/>
    <n v="365.3"/>
    <m/>
  </r>
  <r>
    <x v="7"/>
    <d v="2026-08-07T00:00:00"/>
    <x v="29"/>
    <s v="EDGAR RAUL MEZA MARIN"/>
    <m/>
    <s v="MEME650321HCHZRD00"/>
    <n v="22455008"/>
    <n v="5216141181587"/>
    <x v="2"/>
    <n v="11266.23"/>
    <n v="3258.07"/>
    <n v="3379.87"/>
    <n v="121.8"/>
    <d v="2027-01-08T00:00:00"/>
  </r>
  <r>
    <x v="7"/>
    <d v="2026-08-07T00:00:00"/>
    <x v="27"/>
    <s v="MUNUEL LOPEZ PEREZ "/>
    <n v="6846213210"/>
    <m/>
    <n v="22455676"/>
    <n v="5215529184095"/>
    <x v="2"/>
    <n v="9081.52"/>
    <n v="2625.64"/>
    <n v="2724.46"/>
    <n v="98.82"/>
    <d v="2027-01-02T00:00:00"/>
  </r>
  <r>
    <x v="7"/>
    <d v="2026-04-07T00:00:00"/>
    <x v="13"/>
    <s v="PATRICIA VARELA RIVERO"/>
    <n v="11614411400"/>
    <s v="VARP620810MDFRVT03"/>
    <n v="22283428"/>
    <n v="5215524227440"/>
    <x v="7"/>
    <n v="6193.88"/>
    <n v="1792.04"/>
    <n v="1858.16"/>
    <n v="66.12"/>
    <d v="2025-01-03T00:00:00"/>
  </r>
  <r>
    <x v="7"/>
    <d v="2026-08-07T00:00:00"/>
    <x v="27"/>
    <s v="LAURA "/>
    <n v="32988086123"/>
    <s v="GACB800107HGRRSL04"/>
    <n v="22464158"/>
    <n v="5218781368573"/>
    <x v="4"/>
    <m/>
    <m/>
    <n v="0"/>
    <n v="0"/>
    <m/>
  </r>
  <r>
    <x v="7"/>
    <d v="2026-08-07T00:00:00"/>
    <x v="27"/>
    <s v="HECTOR RIVERA HERNANDEZ "/>
    <n v="7816222405"/>
    <m/>
    <n v="22471338"/>
    <n v="5215574150718"/>
    <x v="2"/>
    <n v="9081.52"/>
    <n v="2611.14"/>
    <n v="2724.46"/>
    <n v="113.32"/>
    <d v="2028-01-01T00:00:00"/>
  </r>
  <r>
    <x v="7"/>
    <s v="19/06/2026"/>
    <x v="1"/>
    <s v="GABRIELA GARCIA GIL"/>
    <n v="15563412814"/>
    <s v="GAGG700830MMSRLB09"/>
    <n v="21849748"/>
    <n v="5217772058173"/>
    <x v="1"/>
    <n v="3599.27"/>
    <n v="848"/>
    <n v="1079.78"/>
    <n v="-848"/>
    <m/>
  </r>
  <r>
    <x v="7"/>
    <d v="2026-08-07T00:00:00"/>
    <x v="24"/>
    <s v="ANA LAURA"/>
    <n v="23896405398"/>
    <s v="VASA641129MICZLN06"/>
    <n v="21952838"/>
    <n v="5216674845599"/>
    <x v="0"/>
    <n v="11029.03"/>
    <m/>
    <n v="3308.71"/>
    <n v="3308.71"/>
    <m/>
  </r>
  <r>
    <x v="7"/>
    <d v="2026-02-07T00:00:00"/>
    <x v="27"/>
    <s v="JOSE GARCIA BACA "/>
    <n v="1917354878"/>
    <s v="GABJ730511HDFRCS08"/>
    <n v="22241722"/>
    <n v="5217227604603"/>
    <x v="5"/>
    <m/>
    <m/>
    <n v="0"/>
    <n v="0"/>
    <m/>
  </r>
  <r>
    <x v="7"/>
    <d v="2026-08-07T00:00:00"/>
    <x v="27"/>
    <s v="GUADALUPE ROMERO BARENQUE "/>
    <n v="11715009426"/>
    <s v="ROBG521212MDFMRD09"/>
    <n v="22470248"/>
    <n v="5216641922261"/>
    <x v="1"/>
    <n v="3623.38"/>
    <n v="848"/>
    <n v="1087.01"/>
    <n v="-848"/>
    <m/>
  </r>
  <r>
    <x v="7"/>
    <s v="22/06/2026"/>
    <x v="28"/>
    <s v="JUAN ARMANDO CASTILLO GUZMAN"/>
    <m/>
    <s v="CAGJ540827HNLSZN09"/>
    <n v="21907488"/>
    <n v="5218186537201"/>
    <x v="0"/>
    <n v="15283.99"/>
    <n v="848"/>
    <n v="4585.2"/>
    <n v="3737.2"/>
    <m/>
  </r>
  <r>
    <x v="7"/>
    <d v="2026-07-07T00:00:00"/>
    <x v="22"/>
    <s v="JESUS HUMBERTOS ROSALES VAQUERA"/>
    <n v="32826521158"/>
    <s v="ROVJ661103HNLSQS09"/>
    <n v="22424456"/>
    <n v="5218442258773"/>
    <x v="1"/>
    <n v="2312.9"/>
    <m/>
    <n v="693.87"/>
    <n v="0"/>
    <m/>
  </r>
  <r>
    <x v="7"/>
    <d v="2026-08-07T00:00:00"/>
    <x v="11"/>
    <s v="Francisco de Jesús Landeros Rentería"/>
    <n v="41018418032"/>
    <m/>
    <n v="22473586"/>
    <n v="5214131203424"/>
    <x v="4"/>
    <m/>
    <m/>
    <n v="0"/>
    <n v="0"/>
    <m/>
  </r>
  <r>
    <x v="7"/>
    <d v="2026-08-07T00:00:00"/>
    <x v="0"/>
    <s v="SEVERINO HERNANDEZ ROSALES"/>
    <n v="11705250857"/>
    <m/>
    <n v="21880216"/>
    <n v="5215582856876"/>
    <x v="0"/>
    <n v="12091.18"/>
    <m/>
    <n v="3627.35"/>
    <n v="3627.35"/>
    <m/>
  </r>
  <r>
    <x v="7"/>
    <d v="2026-02-07T00:00:00"/>
    <x v="7"/>
    <s v="Víctor Hugo Sánchez Osuna"/>
    <n v="23704817669"/>
    <s v="SAOV480226HSLNSC00"/>
    <n v="22251234"/>
    <n v="5216141751962"/>
    <x v="1"/>
    <n v="3961.31"/>
    <m/>
    <n v="1188.3900000000001"/>
    <n v="0"/>
    <m/>
  </r>
  <r>
    <x v="7"/>
    <d v="2026-07-07T00:00:00"/>
    <x v="26"/>
    <s v="MARIA GUADALUPE FRANCO VALENZUELA"/>
    <n v="21846729941"/>
    <s v="FAVG671211MBCRLD02"/>
    <n v="22431826"/>
    <n v="5216861479732"/>
    <x v="2"/>
    <n v="5642.22"/>
    <n v="1460"/>
    <n v="1692.67"/>
    <n v="9.24"/>
    <d v="2027-01-10T00:00:00"/>
  </r>
  <r>
    <x v="7"/>
    <d v="2026-02-07T00:00:00"/>
    <x v="26"/>
    <s v="AURELIO SAUCEDO SAUCEDO"/>
    <n v="43786094979"/>
    <s v="SASA600118HNLCCR02"/>
    <n v="22254392"/>
    <n v="5218136094220"/>
    <x v="0"/>
    <n v="14152.81"/>
    <n v="2981.22"/>
    <n v="4245.84"/>
    <n v="1264.6199999999999"/>
    <d v="2026-01-10T00:00:00"/>
  </r>
  <r>
    <x v="7"/>
    <d v="2026-04-07T00:00:00"/>
    <x v="23"/>
    <s v="MARIA ALMA GARDUÑO RAMIREZ"/>
    <m/>
    <s v="GARA720209MMNRML08"/>
    <n v="22293406"/>
    <n v="5216645707581"/>
    <x v="3"/>
    <n v="5085.96"/>
    <m/>
    <n v="1525.79"/>
    <n v="912.98"/>
    <m/>
  </r>
  <r>
    <x v="7"/>
    <d v="2026-08-07T00:00:00"/>
    <x v="24"/>
    <s v="HECTOR PADILLA"/>
    <n v="51876503932"/>
    <s v="PAMH650923HASDLC05"/>
    <n v="22477566"/>
    <n v="5214494010887"/>
    <x v="2"/>
    <n v="5538.65"/>
    <n v="1365.64"/>
    <n v="1661.6"/>
    <n v="0.03"/>
    <d v="2027-01-04T00:00:00"/>
  </r>
  <r>
    <x v="7"/>
    <d v="2026-08-07T00:00:00"/>
    <x v="24"/>
    <s v="RODOLFO"/>
    <n v="4856733524"/>
    <s v="SAFR671031HCMNLB08"/>
    <n v="22479252"/>
    <n v="5216863315016"/>
    <x v="5"/>
    <m/>
    <m/>
    <n v="0"/>
    <n v="0"/>
    <m/>
  </r>
  <r>
    <x v="7"/>
    <d v="2026-08-07T00:00:00"/>
    <x v="24"/>
    <m/>
    <n v="7895766205"/>
    <s v="AAHC760822MOCMRL08"/>
    <n v="22478972"/>
    <n v="5214141198460"/>
    <x v="1"/>
    <n v="4350.78"/>
    <n v="848"/>
    <n v="1305.23"/>
    <n v="-670.2"/>
    <m/>
  </r>
  <r>
    <x v="7"/>
    <d v="2026-08-07T00:00:00"/>
    <x v="24"/>
    <s v="RAUL TRUJILLO RIVAS"/>
    <n v="12927444252"/>
    <s v="TURR740911HGTRVL08"/>
    <n v="22480544"/>
    <n v="5214791011803"/>
    <x v="0"/>
    <n v="5810.12"/>
    <m/>
    <n v="1743.04"/>
    <n v="1637.14"/>
    <m/>
  </r>
  <r>
    <x v="8"/>
    <d v="2026-08-07T00:00:00"/>
    <x v="11"/>
    <s v="Eduardo Ramos Molina"/>
    <m/>
    <s v="RAME551212HCSMLD00"/>
    <n v="22475746"/>
    <n v="0"/>
    <x v="0"/>
    <n v="6262.86"/>
    <m/>
    <n v="1878.86"/>
    <n v="1878.86"/>
    <m/>
  </r>
  <r>
    <x v="8"/>
    <d v="2026-08-07T00:00:00"/>
    <x v="0"/>
    <s v="MARIA DEL REFUGIO BARRONES CHAVEZ"/>
    <n v="32937570896"/>
    <s v="BECR770704MCLRHF01"/>
    <n v="22475502"/>
    <n v="5218641032323"/>
    <x v="4"/>
    <m/>
    <m/>
    <n v="0"/>
    <n v="0"/>
    <m/>
  </r>
  <r>
    <x v="8"/>
    <d v="2026-09-07T00:00:00"/>
    <x v="7"/>
    <s v="María de la Paz Juarez González"/>
    <n v="10856418628"/>
    <s v="JUGP640123MDFRNZ04"/>
    <n v="22497672"/>
    <n v="5215575615053"/>
    <x v="2"/>
    <n v="9504.7000000000007"/>
    <n v="2749.94"/>
    <n v="2851.41"/>
    <n v="101.47"/>
    <d v="2027-01-08T00:00:00"/>
  </r>
  <r>
    <x v="8"/>
    <s v="19/06/2026"/>
    <x v="19"/>
    <s v="Arturo Roque "/>
    <m/>
    <s v="ROFA720115HPLQLR04"/>
    <n v="21849676"/>
    <n v="5212227488960"/>
    <x v="2"/>
    <n v="29218.63"/>
    <n v="8764.2900000000009"/>
    <n v="8765.59"/>
    <n v="1.3"/>
    <d v="2027-01-02T00:00:00"/>
  </r>
  <r>
    <x v="8"/>
    <d v="2026-08-07T00:00:00"/>
    <x v="15"/>
    <s v="IRENE GARCIA LORENZO"/>
    <n v="67957871659"/>
    <s v="GALI860102MVZRRR05"/>
    <n v="22479452"/>
    <n v="5219982229170"/>
    <x v="1"/>
    <n v="3779.88"/>
    <m/>
    <n v="1133.96"/>
    <n v="0"/>
    <m/>
  </r>
  <r>
    <x v="8"/>
    <d v="2026-09-07T00:00:00"/>
    <x v="26"/>
    <s v="JESUS HERNANDEZ VALLEJO"/>
    <n v="62695219832"/>
    <s v="HEVJ520330HPLRLS05"/>
    <n v="22497658"/>
    <n v="5212225727730"/>
    <x v="2"/>
    <n v="6421.16"/>
    <n v="1780.51"/>
    <n v="1926.35"/>
    <n v="145.84"/>
    <d v="2026-08-01T00:00:00"/>
  </r>
  <r>
    <x v="8"/>
    <d v="2026-06-07T00:00:00"/>
    <x v="7"/>
    <s v="Juan Manuel Franco Lopez"/>
    <n v="10765712633"/>
    <s v="FALJ570131HDFRPN08"/>
    <n v="22379540"/>
    <n v="22379540"/>
    <x v="2"/>
    <n v="14731.39"/>
    <n v="4261.09"/>
    <n v="4419.42"/>
    <n v="158.33000000000001"/>
    <d v="2027-01-04T00:00:00"/>
  </r>
  <r>
    <x v="8"/>
    <d v="2026-08-07T00:00:00"/>
    <x v="22"/>
    <s v="MA. CONCEPCION CONTRERAS PINEDA"/>
    <n v="1643703786"/>
    <s v="COPC581208MMCNNN05"/>
    <n v="22481758"/>
    <n v="5214131653193"/>
    <x v="1"/>
    <n v="3599.33"/>
    <n v="848"/>
    <n v="1079.8"/>
    <n v="-848"/>
    <m/>
  </r>
  <r>
    <x v="8"/>
    <d v="2026-08-07T00:00:00"/>
    <x v="23"/>
    <s v="VICENTE PALOMARES MEZA"/>
    <n v="54786012689"/>
    <s v="PAMV600510HJCLZC05"/>
    <n v="22483218"/>
    <n v="5213173818085"/>
    <x v="2"/>
    <n v="14656.58"/>
    <n v="4387.68"/>
    <n v="4396.97"/>
    <n v="9.2899999999999991"/>
    <d v="2026-12-01T00:00:00"/>
  </r>
  <r>
    <x v="8"/>
    <d v="2026-08-07T00:00:00"/>
    <x v="19"/>
    <s v="Genaro "/>
    <m/>
    <s v="BAGG780702HDFLNN06"/>
    <n v="22456046"/>
    <n v="5214423240822"/>
    <x v="2"/>
    <n v="4861.96"/>
    <n v="634.55999999999995"/>
    <n v="1458.59"/>
    <n v="54.42"/>
    <d v="2026-11-01T00:00:00"/>
  </r>
  <r>
    <x v="8"/>
    <d v="2026-09-07T00:00:00"/>
    <x v="22"/>
    <s v="PEDRO PADILLA FLORES"/>
    <m/>
    <s v="PAFP611023HSPDLD03"/>
    <n v="22497428"/>
    <n v="5214441703953"/>
    <x v="2"/>
    <n v="6263.58"/>
    <n v="1736.8"/>
    <n v="1879.07"/>
    <n v="142.27000000000001"/>
    <d v="2026-08-01T00:00:00"/>
  </r>
  <r>
    <x v="8"/>
    <d v="2026-08-07T00:00:00"/>
    <x v="23"/>
    <s v="VICTORIA ORTEGA CUEVAS"/>
    <n v="1188682037"/>
    <s v="OECV730217MDFRVC07"/>
    <n v="22484046"/>
    <n v="5215524481933"/>
    <x v="2"/>
    <n v="5636.59"/>
    <n v="1628.94"/>
    <n v="1690.98"/>
    <n v="-165.33"/>
    <d v="2027-01-01T00:00:00"/>
  </r>
  <r>
    <x v="8"/>
    <d v="2026-04-07T00:00:00"/>
    <x v="13"/>
    <s v="MARGARITA EDITH PEREZ LUNA"/>
    <n v="7866501377"/>
    <s v="PELM670222MMCRNR05"/>
    <n v="22292548"/>
    <n v="5215663967910"/>
    <x v="0"/>
    <n v="7580.38"/>
    <n v="848"/>
    <n v="2274.11"/>
    <n v="1426.11"/>
    <m/>
  </r>
  <r>
    <x v="8"/>
    <d v="2026-09-07T00:00:00"/>
    <x v="3"/>
    <s v="Blanca Soledad Granados escorza"/>
    <n v="33775920649"/>
    <s v="GAEB620322MCHRSL01"/>
    <n v="22500470"/>
    <n v="5216144610107"/>
    <x v="2"/>
    <n v="8554.24"/>
    <n v="2563.39"/>
    <n v="2566.27"/>
    <n v="2.88"/>
    <d v="2028-01-06T00:00:00"/>
  </r>
  <r>
    <x v="8"/>
    <d v="2026-08-07T00:00:00"/>
    <x v="13"/>
    <s v="FAUSTO VILLA LOPEZ"/>
    <n v="24877101733"/>
    <s v="VILF720530HSRLPS05"/>
    <n v="22482398"/>
    <n v="5216331356287"/>
    <x v="2"/>
    <n v="7135.6"/>
    <n v="2137.5700000000002"/>
    <n v="2140.6799999999998"/>
    <n v="3.11"/>
    <d v="2028-01-02T00:00:00"/>
  </r>
  <r>
    <x v="8"/>
    <d v="2026-09-07T00:00:00"/>
    <x v="23"/>
    <s v="MARGARITO URIBE AMADOR"/>
    <m/>
    <s v="UIAM610120HJCRMR05"/>
    <n v="22495124"/>
    <n v="5213881011171"/>
    <x v="2"/>
    <n v="8539.89"/>
    <n v="2368.3200000000002"/>
    <n v="2561.9699999999998"/>
    <n v="193.65"/>
    <d v="2026-08-01T00:00:00"/>
  </r>
  <r>
    <x v="8"/>
    <d v="2026-09-07T00:00:00"/>
    <x v="13"/>
    <s v="LUCIA RANGEL VELAZQUEZ"/>
    <n v="12896732752"/>
    <s v="RAVL670625MGTNLC00"/>
    <n v="22499920"/>
    <n v="5214612103803"/>
    <x v="4"/>
    <m/>
    <m/>
    <n v="0"/>
    <n v="0"/>
    <m/>
  </r>
  <r>
    <x v="8"/>
    <d v="2026-08-07T00:00:00"/>
    <x v="11"/>
    <s v="Maria Elena Labastida Gonzalez "/>
    <m/>
    <s v="LAGE660711MDFBNL01"/>
    <n v="22461372"/>
    <n v="5215517050714"/>
    <x v="5"/>
    <m/>
    <m/>
    <n v="0"/>
    <n v="0"/>
    <m/>
  </r>
  <r>
    <x v="8"/>
    <d v="2026-09-07T00:00:00"/>
    <x v="13"/>
    <s v="JULIO JOSE ALFREDO MENDOZA ROJAS"/>
    <n v="17225679581"/>
    <s v="MERJ551220HMCNJL08"/>
    <n v="22502448"/>
    <n v="5215581079293"/>
    <x v="0"/>
    <n v="9760.32"/>
    <m/>
    <n v="2928.1"/>
    <n v="2928.1"/>
    <m/>
  </r>
  <r>
    <x v="8"/>
    <d v="2026-09-07T00:00:00"/>
    <x v="7"/>
    <s v="Jose Angel Hernandez Ramirez"/>
    <n v="43785936832"/>
    <s v="HERA591127HNLRMN05"/>
    <n v="22504040"/>
    <n v="5218124014056"/>
    <x v="2"/>
    <n v="30677.4"/>
    <n v="9201.4699999999993"/>
    <n v="9203.2199999999993"/>
    <n v="1.75"/>
    <d v="2027-01-03T00:00:00"/>
  </r>
  <r>
    <x v="8"/>
    <d v="2026-09-07T00:00:00"/>
    <x v="22"/>
    <s v="TELESFORA LOPEZ PEREZ"/>
    <n v="71653711482"/>
    <s v="LOPT780926MCSPRL07"/>
    <n v="22494274"/>
    <n v="5219671465811"/>
    <x v="0"/>
    <n v="7363.38"/>
    <m/>
    <n v="2209.0100000000002"/>
    <n v="2209.0100000000002"/>
    <m/>
  </r>
  <r>
    <x v="8"/>
    <d v="2026-08-07T00:00:00"/>
    <x v="22"/>
    <s v="MARIA ARACELY GONZALEZ ROSALES"/>
    <n v="47906730180"/>
    <s v="GORA680604MNLNSR01"/>
    <n v="22482084"/>
    <n v="5218122591421"/>
    <x v="1"/>
    <n v="4332.32"/>
    <n v="879"/>
    <n v="1299.7"/>
    <n v="-719.66"/>
    <m/>
  </r>
  <r>
    <x v="8"/>
    <d v="2026-09-07T00:00:00"/>
    <x v="7"/>
    <s v="Eliodoro Astorga Sosa"/>
    <n v="62886403203"/>
    <s v="AOSE640703HPLSSL03"/>
    <n v="22505946"/>
    <n v="5212481191470"/>
    <x v="2"/>
    <n v="9081.52"/>
    <n v="2622.65"/>
    <n v="2724.46"/>
    <n v="101.81"/>
    <d v="2027-01-12T00:00:00"/>
  </r>
  <r>
    <x v="8"/>
    <d v="2026-09-07T00:00:00"/>
    <x v="6"/>
    <s v="WILBER ENRIQUE TABARES JUAREZ"/>
    <n v="81897110698"/>
    <s v="TAJW710922HCCBRL01"/>
    <n v="22505280"/>
    <n v="5219811151981"/>
    <x v="0"/>
    <n v="8181.55"/>
    <m/>
    <n v="2454.4699999999998"/>
    <n v="2454.4699999999998"/>
    <m/>
  </r>
  <r>
    <x v="8"/>
    <d v="2026-09-07T00:00:00"/>
    <x v="26"/>
    <s v="PERFECTO RODRIGUEZ SANCHEZ"/>
    <n v="32816625795"/>
    <s v="ROSP660418HCLDNR02"/>
    <n v="22505282"/>
    <n v="5218446685591"/>
    <x v="0"/>
    <n v="10636.54"/>
    <m/>
    <n v="3190.96"/>
    <n v="3190.96"/>
    <m/>
  </r>
  <r>
    <x v="8"/>
    <d v="2026-09-07T00:00:00"/>
    <x v="13"/>
    <s v="RICARDO LOPEZ CASTILLO"/>
    <n v="32816155660"/>
    <s v="LOCR611111HCLPS08"/>
    <n v="22481716"/>
    <n v="5218771188092"/>
    <x v="2"/>
    <n v="6262.86"/>
    <n v="1875.47"/>
    <n v="1878.86"/>
    <n v="3.39"/>
    <d v="2026-12-01T00:00:00"/>
  </r>
  <r>
    <x v="8"/>
    <d v="2026-09-07T00:00:00"/>
    <x v="14"/>
    <s v="CARMEN LEON PEREZ"/>
    <m/>
    <s v="LEPC650717MCSNRR04"/>
    <n v="22500910"/>
    <n v="5219613629898"/>
    <x v="2"/>
    <n v="10636.6"/>
    <n v="3189.2"/>
    <n v="3190.98"/>
    <n v="1.78"/>
    <d v="2028-01-06T00:00:00"/>
  </r>
  <r>
    <x v="8"/>
    <d v="2026-09-07T00:00:00"/>
    <x v="16"/>
    <m/>
    <n v="85724706792"/>
    <m/>
    <n v="1"/>
    <s v="No proporcionó "/>
    <x v="3"/>
    <n v="7913.78"/>
    <n v="2029.1"/>
    <n v="2374.13"/>
    <n v="345.03"/>
    <d v="2027-01-04T00:00:00"/>
  </r>
  <r>
    <x v="8"/>
    <d v="2026-08-07T00:00:00"/>
    <x v="26"/>
    <s v="ANA MARIA HERNANDEZ BECERRA"/>
    <m/>
    <s v="HEBA570726MDFRCN04"/>
    <n v="22482000"/>
    <n v="5215560991866"/>
    <x v="7"/>
    <n v="4813.6899999999996"/>
    <n v="524.64"/>
    <n v="1444.11"/>
    <n v="116.07"/>
    <d v="2024-01-09T00:00:00"/>
  </r>
  <r>
    <x v="8"/>
    <d v="2026-08-07T00:00:00"/>
    <x v="20"/>
    <s v="JOSE RAMON LOPEZ LAINES"/>
    <n v="81887005890"/>
    <m/>
    <n v="22470042"/>
    <n v="5219381411363"/>
    <x v="1"/>
    <n v="5060.93"/>
    <n v="848"/>
    <n v="1518.28"/>
    <n v="39.950000000000003"/>
    <m/>
  </r>
  <r>
    <x v="8"/>
    <d v="2026-08-07T00:00:00"/>
    <x v="18"/>
    <s v="NO PROPORCIONO "/>
    <n v="32936102048"/>
    <m/>
    <n v="1"/>
    <n v="8714794151"/>
    <x v="3"/>
    <n v="6262.86"/>
    <n v="848"/>
    <n v="1878.86"/>
    <n v="1030.8599999999999"/>
    <m/>
  </r>
  <r>
    <x v="8"/>
    <d v="2026-08-07T00:00:00"/>
    <x v="20"/>
    <m/>
    <n v="65846123027"/>
    <m/>
    <n v="22468296"/>
    <n v="5217838389803"/>
    <x v="4"/>
    <m/>
    <m/>
    <n v="0"/>
    <n v="0"/>
    <m/>
  </r>
  <r>
    <x v="8"/>
    <d v="2026-07-07T00:00:00"/>
    <x v="29"/>
    <s v="JOSE JESUS ROCHIN CRUZ"/>
    <m/>
    <s v="ROCJ490112HSLCRS08"/>
    <n v="22443590"/>
    <n v="5216682222929"/>
    <x v="2"/>
    <n v="9102.61"/>
    <n v="2527.21"/>
    <n v="2730.78"/>
    <n v="203.57"/>
    <d v="2026-10-01T00:00:00"/>
  </r>
  <r>
    <x v="8"/>
    <d v="2026-09-07T00:00:00"/>
    <x v="18"/>
    <s v="JOSE FRANCISCO HERNANDEZ GARCIA"/>
    <m/>
    <s v="HEGF660525HTCRRR09"/>
    <n v="1"/>
    <n v="8993448864"/>
    <x v="3"/>
    <n v="7920.51"/>
    <n v="1195.94"/>
    <n v="2376.15"/>
    <n v="1180.21"/>
    <d v="2027-01-10T00:00:00"/>
  </r>
  <r>
    <x v="8"/>
    <d v="2026-09-07T00:00:00"/>
    <x v="3"/>
    <s v="PEDRO SOLIS FREGOZO"/>
    <n v="4856692308"/>
    <s v="SOFP660706HJCLRD03"/>
    <n v="22506434"/>
    <n v="5213321760896"/>
    <x v="5"/>
    <m/>
    <m/>
    <n v="0"/>
    <n v="0"/>
    <m/>
  </r>
  <r>
    <x v="8"/>
    <d v="2026-09-07T00:00:00"/>
    <x v="13"/>
    <s v="FELIPE AMARO SOLORZANO"/>
    <n v="10826111824"/>
    <s v="AASF610710HDFMLL03"/>
    <n v="22506692"/>
    <n v="5213319449078"/>
    <x v="0"/>
    <n v="12775.03"/>
    <m/>
    <n v="3832.51"/>
    <n v="3832.51"/>
    <m/>
  </r>
  <r>
    <x v="8"/>
    <d v="2026-09-07T00:00:00"/>
    <x v="23"/>
    <s v="JULIA GUADALUPE ROMO HERNANDEZ"/>
    <n v="43806165049"/>
    <s v="ROHJ611001MNLMRL08"/>
    <n v="22506330"/>
    <n v="5218123436878"/>
    <x v="2"/>
    <n v="7640.52"/>
    <n v="2119.9499999999998"/>
    <n v="2292.16"/>
    <n v="172.21"/>
    <d v="2026-08-01T00:00:00"/>
  </r>
  <r>
    <x v="8"/>
    <d v="2026-09-07T00:00:00"/>
    <x v="13"/>
    <s v="JOSE ENRIQUE COLIN CARRANZA"/>
    <m/>
    <s v="COCE560716HDFLRN05"/>
    <n v="22509412"/>
    <n v="5214423929999"/>
    <x v="2"/>
    <n v="32198.95"/>
    <n v="9657.36"/>
    <n v="9659.69"/>
    <n v="2.3199999999999998"/>
    <d v="2026-09-01T00:00:00"/>
  </r>
  <r>
    <x v="8"/>
    <d v="2026-09-07T00:00:00"/>
    <x v="26"/>
    <s v="ROBERTO CANELA GONZALEZ"/>
    <n v="43836547026"/>
    <s v="CAGR650608HNLNNB08"/>
    <n v="22508078"/>
    <n v="5218128655062"/>
    <x v="2"/>
    <n v="9760.9500000000007"/>
    <n v="2927.63"/>
    <n v="2928.29"/>
    <n v="0.66"/>
    <d v="2028-01-02T00:00:00"/>
  </r>
  <r>
    <x v="8"/>
    <d v="2026-09-07T00:00:00"/>
    <x v="23"/>
    <s v="FIDEL SALTO DOMINGUEZ"/>
    <n v="78896580228"/>
    <s v="SADF650224HOCLMD03"/>
    <n v="22509970"/>
    <n v="5218331016448"/>
    <x v="2"/>
    <n v="10895.02"/>
    <n v="3152.19"/>
    <n v="3268.51"/>
    <n v="116.32"/>
    <d v="2027-01-11T00:00:00"/>
  </r>
  <r>
    <x v="8"/>
    <d v="2026-09-07T00:00:00"/>
    <x v="26"/>
    <s v="ANTONIO PALAFOX RAMIREZ"/>
    <n v="4745658726"/>
    <s v="PARA560329HJCLMN09"/>
    <n v="22508544"/>
    <n v="5213314419913"/>
    <x v="1"/>
    <n v="4964.5600000000004"/>
    <n v="848"/>
    <n v="1489.37"/>
    <n v="-56.42"/>
    <m/>
  </r>
  <r>
    <x v="8"/>
    <s v="30/06/2026"/>
    <x v="11"/>
    <s v="justino cortes garcia"/>
    <m/>
    <s v="COGJ610514HVZRRS05"/>
    <n v="22145164"/>
    <n v="5212717407813"/>
    <x v="2"/>
    <n v="7116.73"/>
    <n v="2132.19"/>
    <n v="2135.02"/>
    <n v="2.83"/>
    <d v="2028-01-06T00:00:00"/>
  </r>
  <r>
    <x v="8"/>
    <d v="2026-08-07T00:00:00"/>
    <x v="14"/>
    <s v="RAUL ENRIQUE SOTO"/>
    <m/>
    <s v="SOXR570429HSLTXL09"/>
    <n v="22481630"/>
    <n v="5216871254972"/>
    <x v="1"/>
    <n v="4195.87"/>
    <n v="848"/>
    <n v="1258.76"/>
    <n v="-825.11"/>
    <m/>
  </r>
  <r>
    <x v="8"/>
    <d v="2026-09-07T00:00:00"/>
    <x v="26"/>
    <s v="JOSE LUIS TORRES RODRIGUEZ"/>
    <m/>
    <s v="TORL630506HDFRDS04"/>
    <n v="22508888"/>
    <n v="5217772092010"/>
    <x v="2"/>
    <n v="9658.4599999999991"/>
    <n v="2895.52"/>
    <n v="2897.54"/>
    <n v="2.02"/>
    <d v="2027-01-05T00:00:00"/>
  </r>
  <r>
    <x v="8"/>
    <d v="2026-09-07T00:00:00"/>
    <x v="22"/>
    <s v="LETICIA JIMENEZ RIVERA"/>
    <n v="12926222626"/>
    <s v="JIRL760912MGTMVT00"/>
    <n v="22499190"/>
    <n v="5214612731676"/>
    <x v="4"/>
    <m/>
    <m/>
    <n v="0"/>
    <n v="0"/>
    <m/>
  </r>
  <r>
    <x v="8"/>
    <d v="2026-09-07T00:00:00"/>
    <x v="10"/>
    <s v="JORGE LUIS HERNANDEZ REYES"/>
    <n v="32816392958"/>
    <s v="HERJ631113HDGRYR03"/>
    <n v="22507370"/>
    <n v="5218727719493"/>
    <x v="7"/>
    <n v="17234.73"/>
    <n v="5170.03"/>
    <n v="5170.42"/>
    <n v="0.39"/>
    <d v="2026-01-07T00:00:00"/>
  </r>
  <r>
    <x v="8"/>
    <d v="2026-08-07T00:00:00"/>
    <x v="7"/>
    <s v="Luis Bruno Dominguez Terrones "/>
    <n v="10735459074"/>
    <s v="DOTL540609HDFMRS01"/>
    <n v="22483414"/>
    <n v="5215567904070"/>
    <x v="1"/>
    <n v="4451.6400000000003"/>
    <m/>
    <n v="1335.49"/>
    <n v="278.66000000000003"/>
    <m/>
  </r>
  <r>
    <x v="8"/>
    <d v="2026-09-07T00:00:00"/>
    <x v="14"/>
    <s v="JUANA DOLORES MORA MACIEL"/>
    <n v="32685115572"/>
    <m/>
    <n v="22510324"/>
    <n v="5218661850556"/>
    <x v="2"/>
    <n v="5055.88"/>
    <n v="1252.93"/>
    <n v="1516.76"/>
    <n v="-370.03"/>
    <d v="2027-01-03T00:00:00"/>
  </r>
  <r>
    <x v="8"/>
    <d v="2026-09-07T00:00:00"/>
    <x v="16"/>
    <m/>
    <n v="32976903479"/>
    <m/>
    <n v="1"/>
    <n v="528443525994"/>
    <x v="1"/>
    <n v="2963.37"/>
    <m/>
    <n v="889.01"/>
    <n v="0"/>
    <m/>
  </r>
  <r>
    <x v="8"/>
    <d v="2026-09-07T00:00:00"/>
    <x v="24"/>
    <m/>
    <n v="1816469082"/>
    <s v="CORH650402HDGNSG03"/>
    <n v="22480278"/>
    <n v="5217225302102"/>
    <x v="2"/>
    <n v="10379.93"/>
    <n v="3113.23"/>
    <n v="3113.98"/>
    <n v="0.75"/>
    <d v="2027-01-08T00:00:00"/>
  </r>
  <r>
    <x v="8"/>
    <d v="2026-09-07T00:00:00"/>
    <x v="10"/>
    <s v="ALEJANDRO JAVIER PELLICER JIMENEZ"/>
    <m/>
    <s v="PEJA571203HDFLML05"/>
    <n v="22509918"/>
    <n v="5214423449316"/>
    <x v="6"/>
    <n v="6262.86"/>
    <n v="1537.22"/>
    <n v="1878.86"/>
    <n v="341.64"/>
    <d v="2024-01-05T00:00:00"/>
  </r>
  <r>
    <x v="8"/>
    <d v="2026-07-07T00:00:00"/>
    <x v="14"/>
    <s v="URIEL RAMIREZ"/>
    <n v="53825916116"/>
    <m/>
    <n v="22425734"/>
    <n v="5217733506421"/>
    <x v="0"/>
    <n v="11695.97"/>
    <m/>
    <n v="3508.79"/>
    <n v="3508.79"/>
    <m/>
  </r>
  <r>
    <x v="8"/>
    <d v="2026-09-07T00:00:00"/>
    <x v="18"/>
    <s v="NO PROPORCIONA"/>
    <n v="43866548522"/>
    <m/>
    <n v="1"/>
    <n v="8132497277"/>
    <x v="2"/>
    <n v="9760.32"/>
    <n v="2819.17"/>
    <n v="2928.1"/>
    <n v="108.93"/>
    <d v="2027-01-10T00:00:00"/>
  </r>
  <r>
    <x v="8"/>
    <d v="2026-09-07T00:00:00"/>
    <x v="6"/>
    <s v="ALEJANDRO IBARRA GALVAN"/>
    <n v="1289728212"/>
    <s v="IAGA720718HGTBLL07"/>
    <n v="22513584"/>
    <n v="5214731715685"/>
    <x v="1"/>
    <n v="5003.4399999999996"/>
    <n v="848"/>
    <n v="1501.03"/>
    <n v="-17.54"/>
    <m/>
  </r>
  <r>
    <x v="8"/>
    <d v="2026-09-07T00:00:00"/>
    <x v="14"/>
    <s v="MARIA DE LOURDES CALDERA PEREZ"/>
    <n v="32866507265"/>
    <m/>
    <n v="22512452"/>
    <n v="5218712055316"/>
    <x v="0"/>
    <n v="9760.32"/>
    <m/>
    <n v="2928.1"/>
    <n v="2928.1"/>
    <m/>
  </r>
  <r>
    <x v="8"/>
    <d v="2026-09-07T00:00:00"/>
    <x v="13"/>
    <s v="ALBERTO RAMIREZ LUJA"/>
    <n v="6846309695"/>
    <s v="RALA630819HDFMJL02"/>
    <n v="22513464"/>
    <n v="5212222807051"/>
    <x v="2"/>
    <n v="7920.51"/>
    <n v="2289.4899999999998"/>
    <n v="2376.15"/>
    <n v="86.66"/>
    <d v="2027-01-08T00:00:00"/>
  </r>
  <r>
    <x v="8"/>
    <d v="2026-09-07T00:00:00"/>
    <x v="3"/>
    <s v="Jose Garcia Ventura"/>
    <n v="83916003474"/>
    <s v="GAVJ601102HTCRNS03"/>
    <n v="22513116"/>
    <n v="5219371098528"/>
    <x v="2"/>
    <n v="5617.63"/>
    <n v="1336.16"/>
    <n v="1685.29"/>
    <n v="108.49"/>
    <d v="2026-10-01T00:00:00"/>
  </r>
  <r>
    <x v="8"/>
    <d v="2026-09-07T00:00:00"/>
    <x v="13"/>
    <s v="MARTIN ZUVIERIE RODRIGUEZ"/>
    <n v="49846626338"/>
    <s v="ZURM650507HVZVDR08"/>
    <n v="22510384"/>
    <n v="5218682304824"/>
    <x v="2"/>
    <n v="11856.81"/>
    <n v="3547.13"/>
    <n v="3557.04"/>
    <n v="9.91"/>
    <d v="2027-01-12T00:00:00"/>
  </r>
  <r>
    <x v="8"/>
    <d v="2026-09-07T00:00:00"/>
    <x v="10"/>
    <s v="NORMA GARCIA URBINA"/>
    <m/>
    <s v="GAUN660207MMNRRR00"/>
    <n v="22512658"/>
    <n v="5216643666862"/>
    <x v="0"/>
    <n v="10636.54"/>
    <m/>
    <n v="3190.96"/>
    <n v="3190.96"/>
    <m/>
  </r>
  <r>
    <x v="8"/>
    <d v="2026-09-07T00:00:00"/>
    <x v="18"/>
    <s v="SILVESTRE TINAJERO"/>
    <n v="32816552049"/>
    <m/>
    <n v="1"/>
    <n v="32816552049"/>
    <x v="2"/>
    <n v="9760.32"/>
    <n v="2823.87"/>
    <n v="2928.1"/>
    <n v="104.23"/>
    <d v="2027-01-09T00:00:00"/>
  </r>
  <r>
    <x v="8"/>
    <d v="2026-09-07T00:00:00"/>
    <x v="23"/>
    <s v="MARIA DEL PILAR ZURITA PEREZ"/>
    <n v="43775818875"/>
    <s v="ZUPP601012MDFRRL03"/>
    <n v="22510930"/>
    <n v="5215643806456"/>
    <x v="2"/>
    <n v="22702.55"/>
    <n v="6810.75"/>
    <n v="6810.77"/>
    <n v="0.01"/>
    <d v="2026-08-01T00:00:00"/>
  </r>
  <r>
    <x v="8"/>
    <d v="2026-09-07T00:00:00"/>
    <x v="23"/>
    <s v="VICTOR MANUEL MORENO GUERRA"/>
    <n v="7866605731"/>
    <s v="MOGV660225HDFRRC09"/>
    <n v="22511294"/>
    <n v="5215625428961"/>
    <x v="2"/>
    <n v="14306.37"/>
    <n v="4287.62"/>
    <n v="4291.91"/>
    <n v="4.29"/>
    <d v="2028-01-04T00:00:00"/>
  </r>
  <r>
    <x v="8"/>
    <d v="2026-09-07T00:00:00"/>
    <x v="23"/>
    <s v="URBANO MAZA MORA"/>
    <m/>
    <s v="MAMU520525HVZZRR09"/>
    <n v="22491182"/>
    <n v="5212712667638"/>
    <x v="2"/>
    <n v="16066.98"/>
    <n v="4818.41"/>
    <n v="4820.09"/>
    <n v="1.68"/>
    <d v="2026-11-01T00:00:00"/>
  </r>
  <r>
    <x v="8"/>
    <d v="2026-09-07T00:00:00"/>
    <x v="6"/>
    <s v="FAUSTINO RAMIREZ SILVA"/>
    <n v="1725593725"/>
    <s v="RASF560414HDFMLS01"/>
    <n v="22512834"/>
    <n v="5217202165772"/>
    <x v="1"/>
    <n v="5033.0600000000004"/>
    <n v="848"/>
    <n v="1509.92"/>
    <n v="12.08"/>
    <m/>
  </r>
  <r>
    <x v="8"/>
    <d v="2026-09-07T00:00:00"/>
    <x v="14"/>
    <s v="ROSALIA HERNANDEZ VICTORINO"/>
    <n v="31964601111"/>
    <m/>
    <n v="22515056"/>
    <n v="5218713339096"/>
    <x v="4"/>
    <m/>
    <m/>
    <n v="0"/>
    <n v="0"/>
    <m/>
  </r>
  <r>
    <x v="8"/>
    <d v="2026-09-07T00:00:00"/>
    <x v="16"/>
    <s v="GARCIA RAMÍREZ "/>
    <n v="31775001097"/>
    <m/>
    <n v="1"/>
    <s v="N/P"/>
    <x v="9"/>
    <n v="4555.82"/>
    <n v="548.09"/>
    <n v="1366.75"/>
    <n v="-165.25"/>
    <d v="2024-01-03T00:00:00"/>
  </r>
  <r>
    <x v="8"/>
    <d v="2026-09-07T00:00:00"/>
    <x v="24"/>
    <s v="JORGE LUIS"/>
    <n v="62897114039"/>
    <s v="TAHJ710810HPLNRR09"/>
    <n v="22516940"/>
    <n v="5212221343256"/>
    <x v="5"/>
    <m/>
    <m/>
    <n v="0"/>
    <n v="0"/>
    <m/>
  </r>
  <r>
    <x v="8"/>
    <d v="2026-09-07T00:00:00"/>
    <x v="24"/>
    <s v="ALMA LILIA ROSAS"/>
    <n v="65896807826"/>
    <s v="ROLA780621MVZSPL00"/>
    <n v="22516892"/>
    <n v="5212282387028"/>
    <x v="5"/>
    <m/>
    <m/>
    <n v="0"/>
    <n v="0"/>
    <m/>
  </r>
  <r>
    <x v="8"/>
    <d v="2026-09-07T00:00:00"/>
    <x v="24"/>
    <s v="OLIVIA ROSAS AGUILAR"/>
    <n v="41917702056"/>
    <s v="ROAO790118MSPSGL01"/>
    <n v="22517420"/>
    <n v="5214445750649"/>
    <x v="4"/>
    <m/>
    <m/>
    <n v="0"/>
    <n v="0"/>
    <m/>
  </r>
  <r>
    <x v="9"/>
    <d v="2026-08-07T00:00:00"/>
    <x v="27"/>
    <s v="ALEJANDRO RIVERA ACOSTA "/>
    <n v="4755300748"/>
    <m/>
    <n v="22470870"/>
    <n v="5213316942290"/>
    <x v="2"/>
    <n v="5906.3"/>
    <n v="1671"/>
    <n v="1771.89"/>
    <n v="62.32"/>
    <d v="2027-01-11T00:00:00"/>
  </r>
  <r>
    <x v="9"/>
    <d v="2026-10-07T00:00:00"/>
    <x v="16"/>
    <m/>
    <n v="32826473533"/>
    <m/>
    <n v="1"/>
    <s v="+52 844 218 0083"/>
    <x v="2"/>
    <n v="13216.85"/>
    <n v="3964.07"/>
    <n v="3965.06"/>
    <n v="0.98"/>
    <d v="2026-01-11T00:00:00"/>
  </r>
  <r>
    <x v="9"/>
    <d v="2026-09-07T00:00:00"/>
    <x v="7"/>
    <s v="Yesenia Yañez Cardenas "/>
    <n v="14846625490"/>
    <s v="YACY721031MQTXRS04"/>
    <n v="22502018"/>
    <n v="5214481828414"/>
    <x v="1"/>
    <n v="3729.24"/>
    <n v="879"/>
    <n v="1118.77"/>
    <n v="-879"/>
    <m/>
  </r>
  <r>
    <x v="9"/>
    <d v="2026-09-07T00:00:00"/>
    <x v="22"/>
    <s v="DORA ELENA MOLINA ZAPATA"/>
    <n v="3654420326"/>
    <s v="MOZD610901MNLLPR07"/>
    <n v="22515890"/>
    <n v="5218127658812"/>
    <x v="1"/>
    <n v="3547.05"/>
    <n v="848"/>
    <n v="1064.1199999999999"/>
    <n v="-848"/>
    <m/>
  </r>
  <r>
    <x v="9"/>
    <d v="2026-03-07T00:00:00"/>
    <x v="6"/>
    <s v="ROCIO JUANA ZUÑIGA RESENDIZ "/>
    <n v="6816502691"/>
    <s v="ZURR650606MSRXSC09"/>
    <n v="22271994"/>
    <n v="22271994"/>
    <x v="0"/>
    <n v="9760.32"/>
    <m/>
    <n v="2928.1"/>
    <n v="2928.1"/>
    <m/>
  </r>
  <r>
    <x v="9"/>
    <d v="2026-09-07T00:00:00"/>
    <x v="14"/>
    <s v="MARIA VICTORIA MARTINEZ RIOS"/>
    <n v="33926201683"/>
    <s v="MARV621108MZSRSC07"/>
    <n v="22510740"/>
    <n v="5216561063087"/>
    <x v="2"/>
    <n v="9760.32"/>
    <n v="2822.92"/>
    <n v="2928.1"/>
    <n v="105.18"/>
    <d v="2027-01-10T00:00:00"/>
  </r>
  <r>
    <x v="9"/>
    <d v="2026-10-07T00:00:00"/>
    <x v="10"/>
    <s v="Dario Ruiz Lopez"/>
    <n v="33806248317"/>
    <s v="RULD621219HCHZPR03"/>
    <n v="22536240"/>
    <n v="5216142406992"/>
    <x v="2"/>
    <n v="7116.73"/>
    <n v="2058.87"/>
    <n v="2135.02"/>
    <n v="76.150000000000006"/>
    <d v="2027-01-03T00:00:00"/>
  </r>
  <r>
    <x v="9"/>
    <d v="2026-09-07T00:00:00"/>
    <x v="3"/>
    <s v="ELIA IRMA SALAS MATA"/>
    <m/>
    <s v="SAME600120MNLLTL00"/>
    <n v="22511106"/>
    <n v="5218282941491"/>
    <x v="1"/>
    <n v="4342.43"/>
    <m/>
    <n v="1302.73"/>
    <n v="169.45"/>
    <m/>
  </r>
  <r>
    <x v="9"/>
    <d v="2026-09-07T00:00:00"/>
    <x v="10"/>
    <s v="MA GUADALUPE OJEDA VAZQUEZ"/>
    <n v="12845703425"/>
    <s v="OEVG570116MGTJZD08"/>
    <n v="22520292"/>
    <n v="5214112177845"/>
    <x v="2"/>
    <n v="5172.96"/>
    <n v="961.2"/>
    <n v="1551.89"/>
    <n v="38.78"/>
    <d v="2027-01-10T00:00:00"/>
  </r>
  <r>
    <x v="9"/>
    <d v="2026-10-07T00:00:00"/>
    <x v="26"/>
    <s v="JUAN JOSE MONROY GUTIÉRREZ"/>
    <n v="6624502313"/>
    <s v="MOGJ451126HDFNTN09"/>
    <n v="22523700"/>
    <n v="5215629147954"/>
    <x v="7"/>
    <n v="5308.14"/>
    <n v="1049.3699999999999"/>
    <n v="1592.44"/>
    <n v="85.79"/>
    <d v="2026-01-03T00:00:00"/>
  </r>
  <r>
    <x v="9"/>
    <d v="2026-08-07T00:00:00"/>
    <x v="27"/>
    <s v="JAVIER URIBE ROSALDO "/>
    <m/>
    <s v="UIRJ540410HVZRSV09"/>
    <n v="22475718"/>
    <n v="5215546355120"/>
    <x v="2"/>
    <n v="9081.52"/>
    <n v="2724.35"/>
    <n v="2724.46"/>
    <n v="0.11"/>
    <d v="2028-01-03T00:00:00"/>
  </r>
  <r>
    <x v="9"/>
    <d v="2026-10-07T00:00:00"/>
    <x v="3"/>
    <s v="IRENE RAMIREZ MOTA"/>
    <n v="41764700666"/>
    <s v="RAMI611020MHGMTR00"/>
    <n v="22533548"/>
    <n v="5214811135088"/>
    <x v="3"/>
    <n v="6405.06"/>
    <n v="848"/>
    <n v="1921.52"/>
    <n v="1073.52"/>
    <m/>
  </r>
  <r>
    <x v="9"/>
    <d v="2026-10-07T00:00:00"/>
    <x v="24"/>
    <s v="LESTER URBINA"/>
    <n v="83947725350"/>
    <s v="BEUL770402HNSTRS02"/>
    <n v="22516320"/>
    <n v="5215615883858"/>
    <x v="5"/>
    <m/>
    <m/>
    <n v="0"/>
    <n v="0"/>
    <m/>
  </r>
  <r>
    <x v="9"/>
    <d v="2026-10-07T00:00:00"/>
    <x v="3"/>
    <s v="HERRERA CASTRO CARLOS ROMAN"/>
    <n v="64866305853"/>
    <s v="HECC630821HVZRSR08"/>
    <n v="22520068"/>
    <n v="5216311372155"/>
    <x v="2"/>
    <n v="7920.51"/>
    <n v="2291.6"/>
    <n v="2376.15"/>
    <n v="84.55"/>
    <d v="2026-12-01T00:00:00"/>
  </r>
  <r>
    <x v="9"/>
    <d v="2026-09-07T00:00:00"/>
    <x v="14"/>
    <s v="CLAUDIA MEDRANO RAMIREZ"/>
    <n v="39927322311"/>
    <s v="MERC731127MDFDML02"/>
    <n v="22522966"/>
    <n v="5215527466342"/>
    <x v="4"/>
    <m/>
    <m/>
    <n v="0"/>
    <n v="0"/>
    <m/>
  </r>
  <r>
    <x v="9"/>
    <d v="2026-09-07T00:00:00"/>
    <x v="14"/>
    <s v="MAURICIO VELAZQUEZ MARTINEZ"/>
    <n v="54917159086"/>
    <s v="VEMM710816HJCLRR09"/>
    <n v="22522076"/>
    <n v="5213911259955"/>
    <x v="2"/>
    <n v="7135.6"/>
    <n v="2064.5"/>
    <n v="2140.6799999999998"/>
    <n v="76.180000000000007"/>
    <d v="2028-01-07T00:00:00"/>
  </r>
  <r>
    <x v="9"/>
    <d v="2026-10-07T00:00:00"/>
    <x v="16"/>
    <m/>
    <n v="84866900057"/>
    <m/>
    <n v="1"/>
    <m/>
    <x v="0"/>
    <n v="6845.98"/>
    <m/>
    <n v="2053.79"/>
    <n v="2053.79"/>
    <m/>
  </r>
  <r>
    <x v="9"/>
    <d v="2026-09-07T00:00:00"/>
    <x v="7"/>
    <s v="Maria de Jesus Olazaba Rodriguez "/>
    <n v="489641073"/>
    <s v="OARJ641225MZSLDS06"/>
    <n v="22521014"/>
    <n v="5213310181312"/>
    <x v="2"/>
    <n v="9440.27"/>
    <n v="2731.3"/>
    <n v="2832.08"/>
    <n v="100.78"/>
    <d v="2027-01-10T00:00:00"/>
  </r>
  <r>
    <x v="9"/>
    <d v="2026-10-07T00:00:00"/>
    <x v="18"/>
    <m/>
    <n v="43745827576"/>
    <m/>
    <n v="1"/>
    <n v="6685621563"/>
    <x v="3"/>
    <n v="5055.88"/>
    <m/>
    <n v="1516.76"/>
    <n v="882.9"/>
    <m/>
  </r>
  <r>
    <x v="9"/>
    <d v="2026-10-07T00:00:00"/>
    <x v="18"/>
    <m/>
    <n v="65825407169"/>
    <m/>
    <n v="1"/>
    <n v="8334489664"/>
    <x v="2"/>
    <n v="13662.33"/>
    <n v="4078.07"/>
    <n v="4098.7"/>
    <n v="20.63"/>
    <d v="2028-01-06T00:00:00"/>
  </r>
  <r>
    <x v="9"/>
    <d v="2026-10-07T00:00:00"/>
    <x v="22"/>
    <s v="ELEUTERIO ROMERO CARRILLO"/>
    <m/>
    <s v="ROCE560220HNTMRL07"/>
    <n v="22531190"/>
    <n v="5213327997817"/>
    <x v="0"/>
    <n v="13469.54"/>
    <m/>
    <n v="4040.86"/>
    <n v="4040.86"/>
    <m/>
  </r>
  <r>
    <x v="9"/>
    <d v="2026-10-07T00:00:00"/>
    <x v="3"/>
    <s v="ARTURO ORTIZ DIAZ"/>
    <n v="6695139623"/>
    <s v="OIDA511129HDFRZR04"/>
    <n v="22502054"/>
    <n v="5214426539385"/>
    <x v="0"/>
    <n v="12090.09"/>
    <n v="848"/>
    <n v="3627.03"/>
    <n v="2779.03"/>
    <m/>
  </r>
  <r>
    <x v="9"/>
    <d v="2026-10-07T00:00:00"/>
    <x v="7"/>
    <s v="Pedro Soriano Segura"/>
    <n v="15907222440"/>
    <s v="SOSP720711HMSRGD02"/>
    <n v="22540136"/>
    <n v="5217772173532"/>
    <x v="2"/>
    <n v="6888.14"/>
    <n v="2065"/>
    <n v="2066.44"/>
    <n v="1.44"/>
    <d v="2026-08-01T00:00:00"/>
  </r>
  <r>
    <x v="9"/>
    <s v="20/03/2026"/>
    <x v="28"/>
    <s v="JOSE GUADALUPE JAIME JUAREZ"/>
    <n v="4796105445"/>
    <s v="JAJG611211HJCMRD02"/>
    <n v="18830940"/>
    <n v="5213320768146"/>
    <x v="2"/>
    <n v="7116.73"/>
    <n v="2134.98"/>
    <n v="2135.02"/>
    <n v="0.04"/>
    <d v="2028-01-06T00:00:00"/>
  </r>
  <r>
    <x v="9"/>
    <d v="2026-09-07T00:00:00"/>
    <x v="6"/>
    <s v="ESPERANZA KATIA ZUÑIGA HERRERA"/>
    <n v="15958070888"/>
    <s v="ZUHE800715MMSXRS06"/>
    <n v="22522440"/>
    <n v="5217341427665"/>
    <x v="3"/>
    <n v="4678.1099999999997"/>
    <m/>
    <n v="1403.43"/>
    <n v="505.13"/>
    <m/>
  </r>
  <r>
    <x v="9"/>
    <d v="2026-09-07T00:00:00"/>
    <x v="13"/>
    <s v="BALTAZAR ACOSTA CAMACHO"/>
    <n v="43755912722"/>
    <s v="AOCB590106HNLCML02"/>
    <n v="22499154"/>
    <n v="5218123194808"/>
    <x v="6"/>
    <n v="14339.1"/>
    <n v="3970.08"/>
    <n v="4301.7299999999996"/>
    <n v="331.65"/>
    <d v="2026-01-07T00:00:00"/>
  </r>
  <r>
    <x v="9"/>
    <d v="2026-09-07T00:00:00"/>
    <x v="13"/>
    <s v="PABLO GENARO MENESES ROSAS"/>
    <n v="16897020000"/>
    <s v="MERP700810HMCNSB06"/>
    <n v="22518156"/>
    <n v="52170201036499"/>
    <x v="1"/>
    <n v="4177.1000000000004"/>
    <n v="848"/>
    <n v="1253.1300000000001"/>
    <n v="-843.88"/>
    <m/>
  </r>
  <r>
    <x v="9"/>
    <d v="2026-10-07T00:00:00"/>
    <x v="22"/>
    <s v="BEATRIZ UMELIA RODRIGUEZ GUTIERREZ"/>
    <n v="49907502410"/>
    <s v="ROGB771106MNLDTT14"/>
    <n v="22533354"/>
    <n v="5218136039287"/>
    <x v="0"/>
    <n v="5514.8"/>
    <m/>
    <n v="1654.44"/>
    <n v="1341.82"/>
    <m/>
  </r>
  <r>
    <x v="9"/>
    <d v="2026-10-07T00:00:00"/>
    <x v="13"/>
    <s v="ALEJANDRA VALDEZ GARCIA"/>
    <n v="90907369988"/>
    <s v="VXGA870810MMCLRL15"/>
    <n v="22539988"/>
    <n v="5215584797077"/>
    <x v="3"/>
    <n v="4813.68"/>
    <m/>
    <n v="1444.1"/>
    <n v="640.70000000000005"/>
    <m/>
  </r>
  <r>
    <x v="9"/>
    <d v="2026-10-07T00:00:00"/>
    <x v="18"/>
    <m/>
    <s v="0-9947747318"/>
    <m/>
    <n v="1"/>
    <s v="0-9947747318"/>
    <x v="2"/>
    <n v="9760.32"/>
    <n v="2926.94"/>
    <n v="2928.1"/>
    <n v="1.1599999999999999"/>
    <d v="2027-01-11T00:00:00"/>
  </r>
  <r>
    <x v="9"/>
    <d v="2026-10-07T00:00:00"/>
    <x v="3"/>
    <s v="OLGA LIDIA BARRON RIOS "/>
    <n v="24856778253"/>
    <s v="BARO690108MSLRSL01"/>
    <n v="22536038"/>
    <n v="5216644205866"/>
    <x v="1"/>
    <n v="3547.06"/>
    <n v="848"/>
    <n v="1064.1199999999999"/>
    <n v="-848"/>
    <m/>
  </r>
  <r>
    <x v="9"/>
    <d v="2026-09-07T00:00:00"/>
    <x v="26"/>
    <s v="ARTURO ESTRADA SOTO"/>
    <n v="16786202230"/>
    <s v="EASA600720HMCSTR02"/>
    <n v="22507558"/>
    <n v="5217223981126"/>
    <x v="2"/>
    <n v="5617.63"/>
    <n v="1393.24"/>
    <n v="1685.29"/>
    <n v="51.41"/>
    <d v="2028-01-02T00:00:00"/>
  </r>
  <r>
    <x v="9"/>
    <d v="2026-10-07T00:00:00"/>
    <x v="23"/>
    <s v="Hugo Alberto Olvera Paredes"/>
    <n v="32745637242"/>
    <s v="OEPH580430HCLLRG02"/>
    <n v="22536362"/>
    <n v="5218611328650"/>
    <x v="1"/>
    <n v="3961.31"/>
    <n v="879"/>
    <n v="1188.3900000000001"/>
    <n v="-879"/>
    <m/>
  </r>
  <r>
    <x v="9"/>
    <d v="2026-10-07T00:00:00"/>
    <x v="18"/>
    <s v="ALMA ERICA HERNANDEZ "/>
    <n v="12917278157"/>
    <m/>
    <n v="1"/>
    <n v="3315472266"/>
    <x v="6"/>
    <n v="12581.43"/>
    <n v="3492.07"/>
    <n v="3774.43"/>
    <n v="282.36"/>
    <d v="2026-01-07T00:00:00"/>
  </r>
  <r>
    <x v="9"/>
    <d v="2026-10-07T00:00:00"/>
    <x v="3"/>
    <s v="MARTIN ARMANDO LOZANO YAÑEZ"/>
    <m/>
    <s v="LOYM650710HJCZXR00"/>
    <n v="22534820"/>
    <n v="5213311600935"/>
    <x v="0"/>
    <n v="10369.39"/>
    <m/>
    <n v="3110.82"/>
    <n v="3110.82"/>
    <m/>
  </r>
  <r>
    <x v="9"/>
    <d v="2026-10-07T00:00:00"/>
    <x v="18"/>
    <s v="NO PROPORCIONO "/>
    <n v="32836635105"/>
    <m/>
    <n v="1"/>
    <n v="8444945742"/>
    <x v="0"/>
    <n v="9081.52"/>
    <m/>
    <n v="2724.46"/>
    <n v="2724.46"/>
    <m/>
  </r>
  <r>
    <x v="9"/>
    <d v="2026-09-07T00:00:00"/>
    <x v="14"/>
    <s v="MARIA VICTORIA OLIVAS GARCIA"/>
    <n v="6725313305"/>
    <m/>
    <n v="22513386"/>
    <n v="5216441527112"/>
    <x v="1"/>
    <n v="4623.93"/>
    <n v="848"/>
    <n v="1387.18"/>
    <n v="-397.05"/>
    <m/>
  </r>
  <r>
    <x v="9"/>
    <d v="2026-10-07T00:00:00"/>
    <x v="18"/>
    <s v="MARCO FLAVIO PASTOR GIL "/>
    <n v="64806032369"/>
    <m/>
    <n v="1"/>
    <n v="3123096967"/>
    <x v="2"/>
    <n v="6262.86"/>
    <n v="1778.56"/>
    <n v="1878.86"/>
    <n v="100.3"/>
    <d v="2027-01-04T00:00:00"/>
  </r>
  <r>
    <x v="9"/>
    <d v="2026-10-07T00:00:00"/>
    <x v="23"/>
    <m/>
    <n v="32886025751"/>
    <m/>
    <n v="22524300"/>
    <n v="5218661857579"/>
    <x v="7"/>
    <n v="6262.86"/>
    <n v="1738.79"/>
    <n v="1878.86"/>
    <n v="140.07"/>
    <d v="2025-01-10T00:00:00"/>
  </r>
  <r>
    <x v="9"/>
    <d v="2026-01-07T00:00:00"/>
    <x v="26"/>
    <s v="VICTOR MARTINEZ GOMEZ"/>
    <n v="1704572153"/>
    <s v="MAGV451108HHGRMC07"/>
    <n v="22177178"/>
    <n v="5217716840041"/>
    <x v="0"/>
    <n v="18288.509999999998"/>
    <m/>
    <n v="5486.55"/>
    <n v="5486.55"/>
    <m/>
  </r>
  <r>
    <x v="9"/>
    <d v="2026-10-07T00:00:00"/>
    <x v="26"/>
    <s v="DANIEL JUAREZ NOGUEDA"/>
    <n v="72856134563"/>
    <s v="JUND610103HGRRGN04"/>
    <n v="22540714"/>
    <n v="5217442252950"/>
    <x v="2"/>
    <n v="15245.54"/>
    <n v="4410.8999999999996"/>
    <n v="4573.66"/>
    <n v="162.76"/>
    <d v="2027-01-05T00:00:00"/>
  </r>
  <r>
    <x v="9"/>
    <d v="2026-10-07T00:00:00"/>
    <x v="26"/>
    <s v="JOSE MANUEL AGUILERA NAVARRO"/>
    <n v="4826610703"/>
    <s v="AUNM660110HJCGVN04"/>
    <n v="22548292"/>
    <n v="5213344504667"/>
    <x v="2"/>
    <n v="19326.61"/>
    <n v="5795.94"/>
    <n v="5797.98"/>
    <n v="2.04"/>
    <d v="2028-01-06T00:00:00"/>
  </r>
  <r>
    <x v="9"/>
    <d v="2026-10-07T00:00:00"/>
    <x v="23"/>
    <s v="JOSE LUIS DELGADILLO GARCIA"/>
    <n v="43795834647"/>
    <s v="DEGL580919HNLLRS06"/>
    <n v="22540004"/>
    <n v="5218123059185"/>
    <x v="2"/>
    <n v="5921.89"/>
    <n v="1686.29"/>
    <n v="1776.57"/>
    <n v="62.62"/>
    <d v="2028-01-01T00:00:00"/>
  </r>
  <r>
    <x v="9"/>
    <d v="2026-10-07T00:00:00"/>
    <x v="10"/>
    <s v="REFUGIO GURROLA MORENO"/>
    <n v="43704714955"/>
    <s v="GUMR471123HCHRRF07"/>
    <n v="22530928"/>
    <n v="5216143135188"/>
    <x v="1"/>
    <n v="4407.67"/>
    <n v="848"/>
    <n v="1322.3"/>
    <n v="-613.30999999999995"/>
    <m/>
  </r>
  <r>
    <x v="9"/>
    <d v="2026-10-07T00:00:00"/>
    <x v="10"/>
    <s v="ALVARO ROBERTO ARANDA CASTREJON"/>
    <n v="54785731669"/>
    <s v="AACA570611HDFRSL06"/>
    <n v="22532638"/>
    <n v="5213222415798"/>
    <x v="1"/>
    <n v="4342.43"/>
    <n v="848"/>
    <n v="1302.73"/>
    <n v="-678.55"/>
    <m/>
  </r>
  <r>
    <x v="9"/>
    <d v="2026-10-07T00:00:00"/>
    <x v="22"/>
    <s v="JUAN JOSE PEREZ FREGOSO "/>
    <m/>
    <s v="PEFJ760722HBCRRN10"/>
    <n v="22535662"/>
    <n v="5216461244723"/>
    <x v="1"/>
    <n v="2903.32"/>
    <n v="700"/>
    <n v="871"/>
    <n v="-700"/>
    <m/>
  </r>
  <r>
    <x v="9"/>
    <d v="2026-10-07T00:00:00"/>
    <x v="3"/>
    <s v="JUAN PARRA RIVERA"/>
    <n v="54806188725"/>
    <s v="PARJ610830HNTRVN00"/>
    <n v="22546260"/>
    <n v="5213339035370"/>
    <x v="0"/>
    <n v="9760.32"/>
    <n v="879"/>
    <n v="2928.1"/>
    <n v="2049.1"/>
    <m/>
  </r>
  <r>
    <x v="9"/>
    <d v="2026-10-07T00:00:00"/>
    <x v="22"/>
    <s v="MA IMELDA NIEVES DE LA PEÑA"/>
    <n v="53936426641"/>
    <s v="NIPI640513MMNVXM06"/>
    <n v="22549344"/>
    <n v="5217535384361"/>
    <x v="2"/>
    <n v="7128.48"/>
    <n v="2062.42"/>
    <n v="2138.54"/>
    <n v="76.12"/>
    <d v="2027-01-05T00:00:00"/>
  </r>
  <r>
    <x v="9"/>
    <d v="2026-10-07T00:00:00"/>
    <x v="18"/>
    <s v="LORENZO MIRANDA FLORES"/>
    <m/>
    <s v="MIFL640905HMCRLR03"/>
    <n v="1"/>
    <n v="3315472266"/>
    <x v="0"/>
    <n v="9760.32"/>
    <m/>
    <n v="2928.1"/>
    <n v="2928.1"/>
    <m/>
  </r>
  <r>
    <x v="9"/>
    <d v="2026-10-07T00:00:00"/>
    <x v="7"/>
    <s v="Enrique Manuel Martinez Ramirez"/>
    <m/>
    <s v="MARE751210HMNRMN04"/>
    <n v="22523598"/>
    <n v="5214523438470"/>
    <x v="1"/>
    <n v="3388.57"/>
    <m/>
    <n v="1016.57"/>
    <n v="0"/>
    <m/>
  </r>
  <r>
    <x v="9"/>
    <d v="2026-08-07T00:00:00"/>
    <x v="6"/>
    <s v="MARIA TERESA INZUNZA MACHADO"/>
    <n v="23917370936"/>
    <s v="IUMT731014MSLNCR00"/>
    <n v="22482144"/>
    <n v="5216681166440"/>
    <x v="2"/>
    <n v="8181.55"/>
    <n v="2291.67"/>
    <n v="2454.4699999999998"/>
    <n v="162.80000000000001"/>
    <d v="2027-01-05T00:00:00"/>
  </r>
  <r>
    <x v="9"/>
    <d v="2026-09-07T00:00:00"/>
    <x v="22"/>
    <s v="ANACLETO FLORES MONTALVO"/>
    <m/>
    <s v="FOMA720403HTSLNN02"/>
    <n v="22522210"/>
    <n v="5218110564834"/>
    <x v="2"/>
    <n v="7115.6"/>
    <n v="1961"/>
    <n v="2134.6799999999998"/>
    <n v="173.68"/>
    <d v="2026-10-01T00:00:00"/>
  </r>
  <r>
    <x v="9"/>
    <d v="2026-10-07T00:00:00"/>
    <x v="3"/>
    <s v="JOEL REBOLLOSO TIRADO"/>
    <m/>
    <s v="RETJ640214HTSBRL09"/>
    <n v="22545864"/>
    <n v="5218126023008"/>
    <x v="6"/>
    <n v="9081.52"/>
    <n v="2724.43"/>
    <n v="2724.46"/>
    <n v="0.03"/>
    <d v="2026-01-07T00:00:00"/>
  </r>
  <r>
    <x v="9"/>
    <d v="2026-10-07T00:00:00"/>
    <x v="3"/>
    <s v="JORGE ALFONSO BAZAN LARA"/>
    <n v="65735207808"/>
    <s v="BALJ521119HVZZRR09"/>
    <n v="22541848"/>
    <n v="5212297810534"/>
    <x v="2"/>
    <n v="8775.26"/>
    <n v="2632.58"/>
    <n v="2632.58"/>
    <n v="0"/>
    <d v="2027-01-04T00:00:00"/>
  </r>
  <r>
    <x v="9"/>
    <d v="2026-09-07T00:00:00"/>
    <x v="26"/>
    <s v="RODOLFO MENDOZA DUARTE"/>
    <n v="50907384825"/>
    <s v="MEDR730418HCHNRD07"/>
    <n v="22518268"/>
    <n v="5216141880496"/>
    <x v="2"/>
    <n v="8444.34"/>
    <n v="2442.15"/>
    <n v="2533.3000000000002"/>
    <n v="91.15"/>
    <d v="2027-01-08T00:00:00"/>
  </r>
  <r>
    <x v="9"/>
    <d v="2026-09-07T00:00:00"/>
    <x v="22"/>
    <s v="ROSAURA GOMEZ DE LA ROSA"/>
    <m/>
    <s v="GORR660508MBCMSS02"/>
    <n v="22515654"/>
    <n v="5216641224401"/>
    <x v="0"/>
    <n v="10636.54"/>
    <m/>
    <n v="3190.96"/>
    <n v="3190.96"/>
    <m/>
  </r>
  <r>
    <x v="9"/>
    <d v="2026-10-07T00:00:00"/>
    <x v="14"/>
    <s v="ISORA GABRIELA JASSO ALCAZAR "/>
    <n v="43886322734"/>
    <m/>
    <n v="22548338"/>
    <n v="5218116317340"/>
    <x v="2"/>
    <n v="7920.51"/>
    <n v="2275.54"/>
    <n v="2376.15"/>
    <n v="100.61"/>
    <d v="2028-01-02T00:00:00"/>
  </r>
  <r>
    <x v="9"/>
    <d v="2026-10-07T00:00:00"/>
    <x v="16"/>
    <s v="OSORNIO SOTO "/>
    <n v="31866807477"/>
    <m/>
    <n v="1"/>
    <s v="S /N"/>
    <x v="2"/>
    <n v="8784.2900000000009"/>
    <n v="2633.39"/>
    <n v="2635.29"/>
    <n v="1.9"/>
    <d v="2028-01-04T00:00:00"/>
  </r>
  <r>
    <x v="9"/>
    <d v="2026-10-07T00:00:00"/>
    <x v="3"/>
    <s v="VICTOR ELIZALDE RAMOS"/>
    <m/>
    <s v="EIRV560826HVZLMC09"/>
    <n v="22536870"/>
    <n v="5215527597013"/>
    <x v="0"/>
    <n v="7920.51"/>
    <m/>
    <n v="2376.15"/>
    <n v="2376.15"/>
    <m/>
  </r>
  <r>
    <x v="9"/>
    <d v="2026-10-07T00:00:00"/>
    <x v="7"/>
    <s v="Jose Eladio Navarro Juarez "/>
    <n v="92886993069"/>
    <s v="NAJE700218HMCVRL03"/>
    <n v="22549424"/>
    <n v="5215622116494"/>
    <x v="4"/>
    <m/>
    <m/>
    <n v="0"/>
    <n v="0"/>
    <m/>
  </r>
  <r>
    <x v="9"/>
    <d v="2026-10-07T00:00:00"/>
    <x v="22"/>
    <s v="APOLONIA VARGAS BOTELLO"/>
    <n v="42805604222"/>
    <s v="VABA700209MHGRTP08"/>
    <n v="22546102"/>
    <n v="5216221146667"/>
    <x v="2"/>
    <n v="7913.78"/>
    <n v="2289.64"/>
    <n v="2374.13"/>
    <n v="84.49"/>
    <d v="2028-01-02T00:00:00"/>
  </r>
  <r>
    <x v="9"/>
    <d v="2026-10-07T00:00:00"/>
    <x v="13"/>
    <s v="ARMANDO VALENCIA VAZQUEZ"/>
    <m/>
    <s v="VAVA650815HNTLZR00"/>
    <n v="22532912"/>
    <n v="5216311903607"/>
    <x v="2"/>
    <n v="9760.32"/>
    <n v="2636.79"/>
    <n v="2928.1"/>
    <n v="291.31"/>
    <d v="2027-01-12T00:00:00"/>
  </r>
  <r>
    <x v="9"/>
    <d v="2026-10-07T00:00:00"/>
    <x v="23"/>
    <s v="SANTIAGO SEGURA JIMENEZ"/>
    <n v="56977704834"/>
    <s v="SEJS770725HJCGMN02"/>
    <n v="22542084"/>
    <n v="5214428319874"/>
    <x v="2"/>
    <n v="8181.55"/>
    <n v="2367.06"/>
    <n v="2454.4699999999998"/>
    <n v="87.41"/>
    <d v="2028-01-01T00:00:00"/>
  </r>
  <r>
    <x v="9"/>
    <d v="2026-10-07T00:00:00"/>
    <x v="10"/>
    <s v=" Leticia Maria Rodriguez Jimenez "/>
    <n v="4371512966"/>
    <s v="ROJL510410MNLDMT09 "/>
    <n v="22545922"/>
    <n v="5218125959435"/>
    <x v="1"/>
    <n v="3855.42"/>
    <n v="848"/>
    <n v="1156.6300000000001"/>
    <n v="-848"/>
    <m/>
  </r>
  <r>
    <x v="9"/>
    <d v="2026-10-07T00:00:00"/>
    <x v="26"/>
    <s v="OFELIA HERNANDEZ MERCADO"/>
    <n v="54795700324"/>
    <s v="HEMO621020MJCRRF09"/>
    <n v="22553700"/>
    <n v="5213317415840"/>
    <x v="1"/>
    <n v="3623.36"/>
    <n v="848"/>
    <n v="1087.01"/>
    <n v="-848"/>
    <m/>
  </r>
  <r>
    <x v="9"/>
    <d v="2026-10-07T00:00:00"/>
    <x v="3"/>
    <s v="SERGIO ANTONIO RIVERA MANDUJANO"/>
    <n v="12977526040"/>
    <s v="RIMS750908HGTVNR05"/>
    <n v="22548598"/>
    <n v="5214611389892"/>
    <x v="1"/>
    <n v="3866.64"/>
    <n v="879"/>
    <n v="1159.99"/>
    <n v="-879"/>
    <m/>
  </r>
  <r>
    <x v="9"/>
    <d v="2026-09-07T00:00:00"/>
    <x v="13"/>
    <s v="JESUS MARTINEZ ZARAGOZA"/>
    <m/>
    <s v="MAZJ610806HTSRRS05"/>
    <n v="22520912"/>
    <n v="5218334484642"/>
    <x v="0"/>
    <n v="23271.759999999998"/>
    <m/>
    <n v="6981.53"/>
    <n v="6981.53"/>
    <m/>
  </r>
  <r>
    <x v="9"/>
    <d v="2026-10-07T00:00:00"/>
    <x v="13"/>
    <s v="JOSE FRANCISCO BELTRAN"/>
    <m/>
    <s v="BEDF580714HHGLZR00"/>
    <n v="22551836"/>
    <n v="5215520995861"/>
    <x v="2"/>
    <n v="32827.9"/>
    <n v="9848.19"/>
    <n v="9848.3700000000008"/>
    <n v="0.18"/>
    <d v="2028-01-03T00:00:00"/>
  </r>
  <r>
    <x v="9"/>
    <d v="2026-10-07T00:00:00"/>
    <x v="3"/>
    <s v="OSCAR PALACIOS AYALA"/>
    <m/>
    <s v="PAAO520725HDFLYS00"/>
    <n v="22548950"/>
    <n v="5218132788090"/>
    <x v="2"/>
    <n v="13715.74"/>
    <n v="3968.29"/>
    <n v="4114.72"/>
    <n v="146.43"/>
    <d v="2028-01-04T00:00:00"/>
  </r>
  <r>
    <x v="9"/>
    <d v="2026-10-07T00:00:00"/>
    <x v="10"/>
    <s v="ROBERTO CASTRO NAVARRO"/>
    <m/>
    <s v="CANR590611HCLSVB02"/>
    <n v="22549152"/>
    <n v="5218611321518"/>
    <x v="2"/>
    <n v="7037.83"/>
    <n v="2110.34"/>
    <n v="2111.35"/>
    <n v="1.01"/>
    <d v="2026-12-01T00:00:00"/>
  </r>
  <r>
    <x v="9"/>
    <d v="2026-09-07T00:00:00"/>
    <x v="7"/>
    <s v="José Antonio Leal Navarro"/>
    <m/>
    <s v="LENA690304HJCLVN03"/>
    <n v="22522330"/>
    <n v="5213414380080"/>
    <x v="2"/>
    <n v="18300.47"/>
    <n v="5275.82"/>
    <n v="5490.14"/>
    <n v="214.32"/>
    <d v="2027-01-07T00:00:00"/>
  </r>
  <r>
    <x v="9"/>
    <d v="2026-10-07T00:00:00"/>
    <x v="7"/>
    <s v="Rosario Ramirez "/>
    <n v="24745630038"/>
    <s v="RAXR560907MSRMXS02"/>
    <n v="22554686"/>
    <n v="5216442115473"/>
    <x v="2"/>
    <n v="7128.48"/>
    <n v="1978.43"/>
    <n v="2138.54"/>
    <n v="160.11000000000001"/>
    <d v="2026-09-01T00:00:00"/>
  </r>
  <r>
    <x v="9"/>
    <d v="2026-10-07T00:00:00"/>
    <x v="14"/>
    <s v="ALICIA HERNANDEZ ORTIZ"/>
    <n v="14816202734"/>
    <m/>
    <n v="22554786"/>
    <n v="5214421379424"/>
    <x v="2"/>
    <n v="18731.88"/>
    <n v="5617.36"/>
    <n v="5619.56"/>
    <n v="2.2000000000000002"/>
    <d v="2028-01-02T00:00:00"/>
  </r>
  <r>
    <x v="9"/>
    <d v="2026-09-07T00:00:00"/>
    <x v="26"/>
    <s v="EMILIO CORTES VELEZ"/>
    <n v="53947015169"/>
    <s v="COVE700311HGRRLM01"/>
    <n v="22510144"/>
    <n v="5214131018485"/>
    <x v="2"/>
    <n v="8181.55"/>
    <n v="2364.06"/>
    <n v="2454.4699999999998"/>
    <n v="90.41"/>
    <d v="2027-01-02T00:00:00"/>
  </r>
  <r>
    <x v="9"/>
    <d v="2026-10-07T00:00:00"/>
    <x v="24"/>
    <s v="ORLANDO PEREZ ESCALANTE"/>
    <n v="84846102543"/>
    <s v="PEEO610120HYNRSR08"/>
    <n v="22556674"/>
    <n v="5219999472978"/>
    <x v="0"/>
    <n v="52377.34"/>
    <n v="14455.85"/>
    <n v="15713.2"/>
    <n v="1257.3499999999999"/>
    <d v="2027-01-05T00:00:00"/>
  </r>
  <r>
    <x v="9"/>
    <d v="2026-10-07T00:00:00"/>
    <x v="24"/>
    <s v="JUANA LUCIA HERNANDEZ ROCHA"/>
    <n v="49906601072"/>
    <s v="HERJ661213MTSRCN03"/>
    <n v="22557322"/>
    <n v="5218125759849"/>
    <x v="5"/>
    <m/>
    <m/>
    <n v="0"/>
    <n v="0"/>
    <m/>
  </r>
  <r>
    <x v="10"/>
    <d v="2026-11-07T00:00:00"/>
    <x v="24"/>
    <s v="JOSE LUIS"/>
    <n v="24795823798"/>
    <s v="Heal581227hsrrgs02"/>
    <n v="22279060"/>
    <n v="5216311525973"/>
    <x v="10"/>
    <m/>
    <m/>
    <n v="0"/>
    <n v="0"/>
    <m/>
  </r>
  <r>
    <x v="10"/>
    <d v="2026-11-07T00:00:00"/>
    <x v="11"/>
    <s v="MARIA DEL ROSIO ROQUE MARTINEZ "/>
    <n v="4917587380"/>
    <m/>
    <n v="22567478"/>
    <n v="3318839641"/>
    <x v="3"/>
    <n v="5072.45"/>
    <m/>
    <n v="1521.74"/>
    <n v="899.47"/>
    <m/>
  </r>
  <r>
    <x v="10"/>
    <d v="2026-10-07T00:00:00"/>
    <x v="11"/>
    <s v="Lucinda Verenice Rivera Millan"/>
    <m/>
    <s v="RIML841208MSLVLC08"/>
    <n v="22559738"/>
    <n v="6961112602"/>
    <x v="4"/>
    <m/>
    <m/>
    <n v="0"/>
    <n v="0"/>
    <m/>
  </r>
  <r>
    <x v="10"/>
    <d v="2026-10-07T00:00:00"/>
    <x v="11"/>
    <s v="Marco Félix Galán Vázquez"/>
    <n v="17796020968"/>
    <s v="GAVM600922HMCLZR04"/>
    <n v="22561576"/>
    <n v="5624701400"/>
    <x v="2"/>
    <n v="5617.63"/>
    <n v="1444.64"/>
    <n v="1685.29"/>
    <n v="0.01"/>
    <d v="2028-01-04T00:00:00"/>
  </r>
  <r>
    <x v="10"/>
    <d v="2026-11-07T00:00:00"/>
    <x v="29"/>
    <s v="ENID ORALIA RIOS HERNANDEZ"/>
    <n v="65836527401"/>
    <m/>
    <n v="22568954"/>
    <n v="5217821131726"/>
    <x v="2"/>
    <n v="9760.32"/>
    <n v="2800.87"/>
    <n v="2928.1"/>
    <n v="127.23"/>
    <d v="2027-01-11T00:00:00"/>
  </r>
  <r>
    <x v="10"/>
    <d v="2026-09-07T00:00:00"/>
    <x v="7"/>
    <s v="Joel Bañuelos Castillo"/>
    <n v="10815905079"/>
    <s v="BACJ590329HDFXDL02"/>
    <n v="22521826"/>
    <n v="5215578642249"/>
    <x v="2"/>
    <n v="4813.6899999999996"/>
    <n v="610.13"/>
    <n v="1444.11"/>
    <n v="30.58"/>
    <d v="2027-01-12T00:00:00"/>
  </r>
  <r>
    <x v="10"/>
    <d v="2026-10-07T00:00:00"/>
    <x v="23"/>
    <s v="MIRIAM JANETH BOJORQUEZ FIGUEROA"/>
    <n v="2394771813"/>
    <s v="BOFM781108MSLJGR02"/>
    <n v="22552720"/>
    <n v="5216681443537"/>
    <x v="2"/>
    <n v="6411.47"/>
    <n v="1847.29"/>
    <n v="1923.44"/>
    <n v="76.150000000000006"/>
    <d v="2027-01-02T00:00:00"/>
  </r>
  <r>
    <x v="10"/>
    <d v="2026-11-07T00:00:00"/>
    <x v="29"/>
    <s v="Pedro betancourth chia"/>
    <n v="49947215429"/>
    <m/>
    <n v="22561844"/>
    <n v="5218991084353"/>
    <x v="0"/>
    <n v="16328.14"/>
    <m/>
    <n v="4898.4399999999996"/>
    <n v="4898.4399999999996"/>
    <m/>
  </r>
  <r>
    <x v="10"/>
    <d v="2026-10-07T00:00:00"/>
    <x v="27"/>
    <s v="MIGUEL SANDOVAL MARTINEZ "/>
    <m/>
    <s v="SAMM760929HSPNRG00"/>
    <n v="22561228"/>
    <n v="5214857974368"/>
    <x v="5"/>
    <m/>
    <m/>
    <n v="0"/>
    <n v="0"/>
    <m/>
  </r>
  <r>
    <x v="10"/>
    <d v="2026-11-07T00:00:00"/>
    <x v="20"/>
    <s v="ALMA DELIA"/>
    <n v="92967650208"/>
    <s v="EAMA780604MMCSNL00"/>
    <n v="22571270"/>
    <n v="5215582632406"/>
    <x v="1"/>
    <n v="3581.59"/>
    <m/>
    <n v="1074.48"/>
    <n v="0"/>
    <m/>
  </r>
  <r>
    <x v="10"/>
    <d v="2026-10-07T00:00:00"/>
    <x v="27"/>
    <s v="SAMUEL HERNANDEZ RAMOS "/>
    <m/>
    <s v="HERS600611HVZRMM04"/>
    <n v="22559122"/>
    <n v="5218771280996"/>
    <x v="0"/>
    <n v="6963.23"/>
    <m/>
    <n v="2088.9699999999998"/>
    <n v="2088.9699999999998"/>
    <m/>
  </r>
  <r>
    <x v="10"/>
    <d v="2026-11-07T00:00:00"/>
    <x v="3"/>
    <s v="JAIME ALBERTO PACHECO LAUREAN"/>
    <n v="23806219210"/>
    <s v="PALJ620314HSLCRM09"/>
    <n v="22571704"/>
    <n v="22571704"/>
    <x v="2"/>
    <n v="7116.73"/>
    <n v="2049.98"/>
    <n v="2135.02"/>
    <n v="85.04"/>
    <d v="2027-01-06T00:00:00"/>
  </r>
  <r>
    <x v="10"/>
    <d v="2026-11-07T00:00:00"/>
    <x v="11"/>
    <s v="RICARDO RODRIGUEZ SANCHEZ "/>
    <m/>
    <s v="ROSR560321HSPDNC09"/>
    <n v="22569482"/>
    <n v="3333818705"/>
    <x v="1"/>
    <n v="4441.6499999999996"/>
    <m/>
    <n v="1332.5"/>
    <n v="268.67"/>
    <m/>
  </r>
  <r>
    <x v="10"/>
    <d v="2026-11-07T00:00:00"/>
    <x v="14"/>
    <s v="HOMERO CORONEL RODRIGUEZ"/>
    <n v="92896301162"/>
    <s v="CORH630202HDFRDM08"/>
    <n v="22572556"/>
    <n v="5215554081383"/>
    <x v="2"/>
    <n v="37611.58"/>
    <n v="11283.45"/>
    <n v="11283.47"/>
    <n v="0.02"/>
    <d v="2028-01-03T00:00:00"/>
  </r>
  <r>
    <x v="10"/>
    <d v="2026-11-07T00:00:00"/>
    <x v="11"/>
    <s v="Veronica Mejía Valdenegro "/>
    <n v="16947301517"/>
    <s v="MEVV750930MMCJLR07"/>
    <n v="22570334"/>
    <n v="5217206756692"/>
    <x v="6"/>
    <n v="8805.7000000000007"/>
    <n v="2424.91"/>
    <n v="2641.71"/>
    <n v="216.8"/>
    <d v="2026-01-04T00:00:00"/>
  </r>
  <r>
    <x v="10"/>
    <d v="2026-10-07T00:00:00"/>
    <x v="13"/>
    <s v="JOSE GUADALUPE HERNANDEZ AGUILERA"/>
    <n v="67877054253"/>
    <s v="HEAG701213HVZRGD08"/>
    <n v="22555574"/>
    <n v="5216631233818"/>
    <x v="0"/>
    <n v="6405.14"/>
    <m/>
    <n v="1921.54"/>
    <n v="1921.54"/>
    <m/>
  </r>
  <r>
    <x v="10"/>
    <d v="2026-11-07T00:00:00"/>
    <x v="19"/>
    <s v="Ernesto "/>
    <n v="43957167125"/>
    <m/>
    <n v="22563810"/>
    <n v="8126135481"/>
    <x v="2"/>
    <n v="9820.25"/>
    <n v="2841"/>
    <n v="2946.08"/>
    <n v="105.08"/>
    <d v="2027-01-05T00:00:00"/>
  </r>
  <r>
    <x v="10"/>
    <d v="2026-11-07T00:00:00"/>
    <x v="20"/>
    <s v="Luciano Espinoza "/>
    <n v="39936505708"/>
    <m/>
    <n v="22569134"/>
    <n v="5215550595928"/>
    <x v="0"/>
    <n v="9760.32"/>
    <m/>
    <n v="2928.1"/>
    <n v="2928.1"/>
    <m/>
  </r>
  <r>
    <x v="10"/>
    <d v="2026-10-07T00:00:00"/>
    <x v="29"/>
    <s v="Eduardo Serhant Herrera"/>
    <m/>
    <s v="SEHE570919HDFRRD09"/>
    <n v="22559734"/>
    <n v="5215665657704"/>
    <x v="5"/>
    <m/>
    <m/>
    <n v="0"/>
    <n v="0"/>
    <m/>
  </r>
  <r>
    <x v="10"/>
    <d v="2026-10-07T00:00:00"/>
    <x v="13"/>
    <s v="ANDRES RIVERO CASTELAN"/>
    <m/>
    <s v="RICA681110HHGVSN01"/>
    <n v="22554670"/>
    <n v="5215529016728"/>
    <x v="3"/>
    <n v="4662.8500000000004"/>
    <n v="35"/>
    <n v="1398.86"/>
    <n v="454.87"/>
    <m/>
  </r>
  <r>
    <x v="10"/>
    <d v="2026-10-07T00:00:00"/>
    <x v="13"/>
    <s v="IRMA LETICIA SESTITO CONTRERAS"/>
    <n v="24897204194"/>
    <s v="SECI680709MSRSNR04"/>
    <n v="22545976"/>
    <n v="5216453338020"/>
    <x v="2"/>
    <n v="7128.48"/>
    <n v="2124.9299999999998"/>
    <n v="2138.54"/>
    <n v="13.61"/>
    <d v="2028-01-02T00:00:00"/>
  </r>
  <r>
    <x v="10"/>
    <d v="2026-11-07T00:00:00"/>
    <x v="0"/>
    <s v="MANUEL MORENO SALAS"/>
    <m/>
    <s v="MOSM710718HZSRLN00"/>
    <n v="22570354"/>
    <n v="5214651014654"/>
    <x v="5"/>
    <m/>
    <m/>
    <n v="0"/>
    <n v="0"/>
    <m/>
  </r>
  <r>
    <x v="10"/>
    <d v="2026-10-07T00:00:00"/>
    <x v="11"/>
    <s v="Bertha cervera Hernandez "/>
    <m/>
    <s v="CEHB650320MGTRRR03"/>
    <n v="22560930"/>
    <n v="4774142565"/>
    <x v="0"/>
    <n v="9760.32"/>
    <m/>
    <n v="2928.1"/>
    <n v="2928.1"/>
    <m/>
  </r>
  <r>
    <x v="10"/>
    <d v="2026-11-07T00:00:00"/>
    <x v="20"/>
    <s v="ADOLFO GARCIA "/>
    <m/>
    <s v="GAMA630527HCHRND06"/>
    <n v="22574944"/>
    <n v="5216143727042"/>
    <x v="2"/>
    <n v="7920.51"/>
    <n v="2291.6"/>
    <n v="2376.15"/>
    <n v="84.55"/>
    <d v="2027-01-08T00:00:00"/>
  </r>
  <r>
    <x v="10"/>
    <s v="17/06/2026"/>
    <x v="1"/>
    <s v="Eleazar Murillo Muñoz "/>
    <m/>
    <s v="MUME570825HMNRXL04"/>
    <n v="21781568"/>
    <n v="21781568"/>
    <x v="1"/>
    <n v="4199.87"/>
    <n v="253.63"/>
    <n v="1259.96"/>
    <n v="-226.74"/>
    <m/>
  </r>
  <r>
    <x v="10"/>
    <s v="21/06/2026"/>
    <x v="1"/>
    <s v="Ricardo velazquez medina "/>
    <m/>
    <s v="VEMR441009HDFLDC03"/>
    <n v="21883138"/>
    <n v="21883138"/>
    <x v="1"/>
    <n v="3875.93"/>
    <m/>
    <n v="1162.78"/>
    <n v="0"/>
    <m/>
  </r>
  <r>
    <x v="10"/>
    <d v="2026-11-07T00:00:00"/>
    <x v="19"/>
    <s v="Gerardo García "/>
    <n v="17856001254"/>
    <s v="GACG601114HDFRLR02"/>
    <n v="22576204"/>
    <n v="5585839567"/>
    <x v="0"/>
    <n v="11029.03"/>
    <m/>
    <n v="3308.71"/>
    <n v="3308.71"/>
    <m/>
  </r>
  <r>
    <x v="10"/>
    <d v="2026-11-07T00:00:00"/>
    <x v="27"/>
    <s v="JOSE ARMANDO SANTANDER AGUILAR "/>
    <n v="62806102190"/>
    <m/>
    <n v="22577274"/>
    <n v="5216241294168"/>
    <x v="2"/>
    <n v="6262.86"/>
    <n v="1811.99"/>
    <n v="1878.86"/>
    <n v="66.87"/>
    <d v="2026-11-01T00:00:00"/>
  </r>
  <r>
    <x v="10"/>
    <d v="2026-11-07T00:00:00"/>
    <x v="19"/>
    <s v="María Laura "/>
    <n v="51795905994"/>
    <s v="HEVL661019MDFRZR09"/>
    <n v="22561856"/>
    <n v="5567509021"/>
    <x v="2"/>
    <n v="9711.81"/>
    <n v="2911.98"/>
    <n v="2913.54"/>
    <n v="1.56"/>
    <d v="2027-01-03T00:00:00"/>
  </r>
  <r>
    <x v="10"/>
    <d v="2026-11-07T00:00:00"/>
    <x v="0"/>
    <s v="EDMUNDO ISLAS MARTINEZ"/>
    <n v="94917416839"/>
    <s v="IAME740824HMCSRD02"/>
    <n v="22575798"/>
    <n v="5217714121564"/>
    <x v="5"/>
    <m/>
    <m/>
    <n v="0"/>
    <n v="0"/>
    <m/>
  </r>
  <r>
    <x v="10"/>
    <d v="2026-11-07T00:00:00"/>
    <x v="24"/>
    <s v="VERE"/>
    <n v="21927206330"/>
    <s v="GAGV720322MCMRTR05"/>
    <n v="22557238"/>
    <n v="5216463926267"/>
    <x v="2"/>
    <n v="13266.15"/>
    <n v="3838.18"/>
    <n v="3979.85"/>
    <n v="141.66999999999999"/>
    <d v="2027-01-08T00:00:00"/>
  </r>
  <r>
    <x v="10"/>
    <d v="2026-11-07T00:00:00"/>
    <x v="19"/>
    <s v="Eliseo "/>
    <m/>
    <s v="MAAE590614HDFRLL01"/>
    <n v="22577196"/>
    <n v="5540959759"/>
    <x v="2"/>
    <n v="23873.31"/>
    <n v="7161.67"/>
    <n v="7161.99"/>
    <n v="0.32"/>
    <d v="2026-08-01T00:00:00"/>
  </r>
  <r>
    <x v="10"/>
    <d v="2026-11-07T00:00:00"/>
    <x v="0"/>
    <s v="SERGIO LEON VAZQUEZ"/>
    <n v="62806025656"/>
    <s v="LEVS601007HTLNZR03"/>
    <n v="22055438"/>
    <n v="5212461647161"/>
    <x v="2"/>
    <n v="8539.89"/>
    <n v="2422.0500000000002"/>
    <n v="2561.9699999999998"/>
    <n v="139.91999999999999"/>
    <d v="2027-01-10T00:00:00"/>
  </r>
  <r>
    <x v="10"/>
    <d v="2026-11-07T00:00:00"/>
    <x v="27"/>
    <s v="ROMEO ISAIAS LOPEZ NAVARRO "/>
    <m/>
    <s v="LONR451128HMNPVM01"/>
    <n v="22561798"/>
    <n v="5214433477149"/>
    <x v="1"/>
    <n v="3875.93"/>
    <m/>
    <n v="1162.78"/>
    <n v="0"/>
    <m/>
  </r>
  <r>
    <x v="10"/>
    <d v="2026-11-07T00:00:00"/>
    <x v="22"/>
    <s v="JOSE ANTONIO SAUCEDO MORGUTIA"/>
    <n v="4826446462"/>
    <s v="SAMA640918HJCCRN07"/>
    <n v="22572826"/>
    <n v="5213332201851"/>
    <x v="2"/>
    <n v="9081.52"/>
    <n v="2618.84"/>
    <n v="2724.46"/>
    <n v="105.62"/>
    <d v="2027-01-08T00:00:00"/>
  </r>
  <r>
    <x v="10"/>
    <d v="2026-10-07T00:00:00"/>
    <x v="6"/>
    <s v="HECTOR TORRES CARRASCO"/>
    <n v="6785957108"/>
    <s v="TOCH590209HDFRRC03"/>
    <n v="22549470"/>
    <n v="5215519122104"/>
    <x v="2"/>
    <n v="6262.86"/>
    <n v="1800.79"/>
    <n v="1878.86"/>
    <n v="78.069999999999993"/>
    <d v="2027-01-10T00:00:00"/>
  </r>
  <r>
    <x v="10"/>
    <d v="2026-11-07T00:00:00"/>
    <x v="11"/>
    <s v="AURELIO VAZQUEZ MENDEZ "/>
    <m/>
    <s v="VAMA650128HCSZNR00"/>
    <n v="22576508"/>
    <n v="5219813729452"/>
    <x v="2"/>
    <n v="17812.080000000002"/>
    <n v="5342.68"/>
    <n v="5343.62"/>
    <n v="0.94"/>
    <d v="2028-01-05T00:00:00"/>
  </r>
  <r>
    <x v="10"/>
    <d v="2026-11-07T00:00:00"/>
    <x v="11"/>
    <s v="María margarita Ruiz Cabrera "/>
    <m/>
    <s v="RUCM570508MDFZBR04"/>
    <n v="22576244"/>
    <n v="5630059502"/>
    <x v="5"/>
    <m/>
    <m/>
    <n v="0"/>
    <n v="0"/>
    <m/>
  </r>
  <r>
    <x v="10"/>
    <d v="2026-09-07T00:00:00"/>
    <x v="3"/>
    <s v="MARIA GUILLERMINA"/>
    <n v="54825141002"/>
    <s v="MARG600331MJCTDL04"/>
    <n v="22507582"/>
    <n v="5213141986754"/>
    <x v="2"/>
    <n v="7860.47"/>
    <n v="2358"/>
    <n v="2358.14"/>
    <n v="0.14000000000000001"/>
    <d v="2027-01-09T00:00:00"/>
  </r>
  <r>
    <x v="10"/>
    <d v="2026-11-07T00:00:00"/>
    <x v="14"/>
    <s v="FELIPE TELLES TELLES "/>
    <n v="19796023547"/>
    <m/>
    <n v="22574168"/>
    <n v="5216641898909"/>
    <x v="6"/>
    <n v="5776.61"/>
    <n v="1445.81"/>
    <n v="1732.98"/>
    <n v="157.82"/>
    <d v="2026-01-06T00:00:00"/>
  </r>
  <r>
    <x v="10"/>
    <d v="2026-11-07T00:00:00"/>
    <x v="13"/>
    <s v="J. JESUS CUEVAS LARRAGOITIA"/>
    <n v="51825100715"/>
    <s v="CULJ510225HASVRS07"/>
    <n v="22580054"/>
    <n v="5216144675563"/>
    <x v="1"/>
    <n v="3855.42"/>
    <m/>
    <n v="1156.6300000000001"/>
    <n v="0"/>
    <m/>
  </r>
  <r>
    <x v="10"/>
    <d v="2026-10-07T00:00:00"/>
    <x v="23"/>
    <s v="J. CRUZ HERNANDEZ BARRON"/>
    <m/>
    <s v="HEBC600503HTSRRR08"/>
    <n v="22549334"/>
    <n v="5218119532729"/>
    <x v="2"/>
    <n v="6262.86"/>
    <n v="1658.31"/>
    <n v="1878.86"/>
    <n v="220.55"/>
    <d v="2027-01-07T00:00:00"/>
  </r>
  <r>
    <x v="10"/>
    <d v="2026-11-07T00:00:00"/>
    <x v="0"/>
    <s v="JOAQUIN CRUZ NORBERTO"/>
    <m/>
    <s v="CUNJ550412HVZRRQ08"/>
    <n v="22576320"/>
    <n v="5212881390413"/>
    <x v="1"/>
    <n v="3961.31"/>
    <m/>
    <n v="1188.3900000000001"/>
    <n v="0"/>
    <m/>
  </r>
  <r>
    <x v="10"/>
    <d v="2026-11-07T00:00:00"/>
    <x v="23"/>
    <s v="JOSE DE LA LUZ PEDRO GUZMAN MENDOZA"/>
    <m/>
    <s v="GUML530208HDFZNZ08"/>
    <n v="22579686"/>
    <n v="5215562974895"/>
    <x v="5"/>
    <m/>
    <m/>
    <n v="0"/>
    <n v="0"/>
    <m/>
  </r>
  <r>
    <x v="10"/>
    <d v="2026-11-07T00:00:00"/>
    <x v="3"/>
    <s v="ELBA ROCIO FLORES MONTES"/>
    <n v="67866001414"/>
    <s v="FOME600829MVZLNL04"/>
    <n v="22579270"/>
    <n v="5212723467898"/>
    <x v="5"/>
    <m/>
    <m/>
    <n v="0"/>
    <n v="0"/>
    <m/>
  </r>
  <r>
    <x v="10"/>
    <d v="2026-11-07T00:00:00"/>
    <x v="3"/>
    <s v="ALFREDO MORALES LARA "/>
    <n v="64856637679"/>
    <s v="MOLA660112HDFRRL00"/>
    <n v="22580290"/>
    <n v="5214427060893"/>
    <x v="0"/>
    <n v="13218.47"/>
    <m/>
    <n v="3965.54"/>
    <n v="3965.54"/>
    <m/>
  </r>
  <r>
    <x v="10"/>
    <d v="2026-11-07T00:00:00"/>
    <x v="6"/>
    <s v="TOMAS OLMOS RODRIGUEZ"/>
    <n v="11725551722"/>
    <s v="OORT561103HDFLDM09"/>
    <n v="22540186"/>
    <n v="5214611974979"/>
    <x v="3"/>
    <n v="11018.76"/>
    <n v="2984.93"/>
    <n v="3305.63"/>
    <n v="320.7"/>
    <d v="2028-01-01T00:00:00"/>
  </r>
  <r>
    <x v="10"/>
    <d v="2026-11-07T00:00:00"/>
    <x v="23"/>
    <s v="MERCED MANRIQUEZ LOPEZ"/>
    <m/>
    <s v="MALM640413MCHNPR06"/>
    <n v="22581412"/>
    <n v="5216391145289"/>
    <x v="4"/>
    <m/>
    <m/>
    <n v="0"/>
    <n v="0"/>
    <m/>
  </r>
  <r>
    <x v="10"/>
    <s v="25/06/2026"/>
    <x v="6"/>
    <s v="JUANA MENDOZA YAÑEZ"/>
    <n v="13825701439"/>
    <s v="MEYJ571103MHGNXN09"/>
    <n v="22012356"/>
    <n v="22012356"/>
    <x v="1"/>
    <n v="4199.87"/>
    <m/>
    <n v="1259.96"/>
    <n v="26.89"/>
    <m/>
  </r>
  <r>
    <x v="10"/>
    <d v="2026-11-07T00:00:00"/>
    <x v="14"/>
    <s v="JOSE DE JESUS CANO RODRIGUEZ"/>
    <n v="49806422249"/>
    <m/>
    <n v="22580388"/>
    <n v="5218122514208"/>
    <x v="2"/>
    <n v="10443.73"/>
    <n v="3131.9"/>
    <n v="3133.12"/>
    <n v="1.22"/>
    <d v="2026-10-01T00:00:00"/>
  </r>
  <r>
    <x v="10"/>
    <d v="2026-11-07T00:00:00"/>
    <x v="26"/>
    <s v="HECTOR MANUEL ZAMUDIO LOPEZ "/>
    <n v="23856300134"/>
    <s v="ZALH630113HSLMPC05"/>
    <n v="22579892"/>
    <n v="5216673444152"/>
    <x v="0"/>
    <n v="55672.13"/>
    <n v="15360.6"/>
    <n v="16701.64"/>
    <n v="1341.04"/>
    <d v="2027-01-02T00:00:00"/>
  </r>
  <r>
    <x v="10"/>
    <s v="17/06/2026"/>
    <x v="23"/>
    <s v="lEONARDO SANCHEZ ACOSTA"/>
    <n v="33745722273"/>
    <s v="SAAL570115HCHNCN02"/>
    <n v="21759918"/>
    <n v="5216566067408"/>
    <x v="1"/>
    <n v="3961.31"/>
    <n v="848"/>
    <n v="1188.3900000000001"/>
    <n v="-848"/>
    <m/>
  </r>
  <r>
    <x v="11"/>
    <d v="2026-11-07T00:00:00"/>
    <x v="0"/>
    <s v="CARLOS ESPINOSA"/>
    <n v="14685015977"/>
    <m/>
    <n v="22582474"/>
    <n v="5214463255711"/>
    <x v="2"/>
    <n v="41585.980000000003"/>
    <n v="12473.44"/>
    <n v="12475.79"/>
    <n v="2.35"/>
    <d v="2026-08-01T00:00:00"/>
  </r>
  <r>
    <x v="11"/>
    <d v="2026-11-07T00:00:00"/>
    <x v="27"/>
    <s v="HECTOR RIVAS "/>
    <n v="19755633211"/>
    <m/>
    <n v="22586146"/>
    <n v="5214981227367"/>
    <x v="7"/>
    <n v="5226.93"/>
    <n v="1015.61"/>
    <n v="1568.08"/>
    <n v="38.340000000000003"/>
    <d v="2026-01-06T00:00:00"/>
  </r>
  <r>
    <x v="11"/>
    <d v="2026-12-07T00:00:00"/>
    <x v="11"/>
    <s v="Jose luis ramos rivas"/>
    <m/>
    <s v="RARL650110HCLMVS02"/>
    <n v="22590640"/>
    <n v="18787023992"/>
    <x v="3"/>
    <n v="10171.24"/>
    <n v="2094.7800000000002"/>
    <n v="3051.37"/>
    <n v="956.59"/>
    <d v="2027-01-08T00:00:00"/>
  </r>
  <r>
    <x v="11"/>
    <d v="2026-12-07T00:00:00"/>
    <x v="17"/>
    <s v="Bayardo Andrés Castañeda Lopez"/>
    <m/>
    <s v="CALB621212HDFSPY00"/>
    <n v="22590704"/>
    <n v="5549517967"/>
    <x v="0"/>
    <n v="34432.47"/>
    <m/>
    <n v="10329.74"/>
    <n v="10329.74"/>
    <m/>
  </r>
  <r>
    <x v="11"/>
    <d v="2026-11-07T00:00:00"/>
    <x v="27"/>
    <s v="PATRICIA FRIAS ZUÑIGA "/>
    <m/>
    <s v="FIZP470301MDFRXT06"/>
    <n v="22581834"/>
    <n v="5215641378406"/>
    <x v="5"/>
    <m/>
    <m/>
    <n v="0"/>
    <n v="0"/>
    <m/>
  </r>
  <r>
    <x v="11"/>
    <d v="2026-11-07T00:00:00"/>
    <x v="19"/>
    <s v="juan garcia "/>
    <n v="24794900498"/>
    <s v="GALJ491012HCHRPN03"/>
    <n v="22585752"/>
    <n v="5216271074195"/>
    <x v="1"/>
    <n v="3879.3"/>
    <n v="848"/>
    <n v="1163.79"/>
    <n v="-848"/>
    <m/>
  </r>
  <r>
    <x v="11"/>
    <d v="2026-11-07T00:00:00"/>
    <x v="25"/>
    <s v="LUIS GREGORIO MARTINEZ MENDEZ"/>
    <m/>
    <s v="MAML620312HVZRNS01"/>
    <n v="22583264"/>
    <n v="5212292462687"/>
    <x v="2"/>
    <n v="26300.71"/>
    <n v="7888.37"/>
    <n v="7890.21"/>
    <n v="1.84"/>
    <d v="2027-01-12T00:00:00"/>
  </r>
  <r>
    <x v="11"/>
    <d v="2026-11-07T00:00:00"/>
    <x v="27"/>
    <s v="AGAPITO RAMIREZ MAR "/>
    <m/>
    <s v="RAMA630921HVZMRG07"/>
    <n v="22583132"/>
    <n v="5219231055002"/>
    <x v="0"/>
    <n v="7920.51"/>
    <m/>
    <n v="2376.15"/>
    <n v="2376.15"/>
    <m/>
  </r>
  <r>
    <x v="11"/>
    <d v="2026-11-07T00:00:00"/>
    <x v="27"/>
    <s v="JORGE ALBERTO VASQUEZ LAGARDA "/>
    <m/>
    <s v="VALJ610110HSRSGR05"/>
    <n v="22582850"/>
    <n v="5216444545057"/>
    <x v="3"/>
    <n v="6262"/>
    <n v="1500"/>
    <n v="1878.6"/>
    <n v="378.6"/>
    <d v="2027-01-09T00:00:00"/>
  </r>
  <r>
    <x v="11"/>
    <d v="2026-12-07T00:00:00"/>
    <x v="17"/>
    <s v="Mario Alberto Rodriguez Lopez"/>
    <m/>
    <s v="ROLM591001HGTDPR06"/>
    <n v="22592718"/>
    <n v="4776356283"/>
    <x v="0"/>
    <n v="7218"/>
    <m/>
    <n v="2165.4"/>
    <n v="2165.4"/>
    <m/>
  </r>
  <r>
    <x v="11"/>
    <d v="2026-12-07T00:00:00"/>
    <x v="0"/>
    <s v="CUPERTINO SALAS CASTREJON"/>
    <n v="13927346836"/>
    <s v="SACC730401HDFLSP00"/>
    <n v="22593986"/>
    <n v="5215623212630"/>
    <x v="4"/>
    <m/>
    <m/>
    <n v="0"/>
    <n v="0"/>
    <m/>
  </r>
  <r>
    <x v="11"/>
    <d v="2026-12-07T00:00:00"/>
    <x v="20"/>
    <m/>
    <n v="54907220807"/>
    <m/>
    <n v="22591776"/>
    <n v="5213326170267"/>
    <x v="1"/>
    <n v="3498.07"/>
    <n v="848"/>
    <n v="1049.42"/>
    <n v="-848"/>
    <m/>
  </r>
  <r>
    <x v="11"/>
    <d v="2026-12-07T00:00:00"/>
    <x v="0"/>
    <s v="JESUS HERNANDEZ GOMEZ"/>
    <n v="65846102047"/>
    <s v="HEGJ611211HVZRMS04"/>
    <n v="22594470"/>
    <n v="5212295215917"/>
    <x v="0"/>
    <n v="7640.52"/>
    <n v="880.31"/>
    <n v="2292.16"/>
    <n v="1411.85"/>
    <d v="2028-01-03T00:00:00"/>
  </r>
  <r>
    <x v="11"/>
    <d v="2026-11-07T00:00:00"/>
    <x v="17"/>
    <s v="Marco Antonio Ramirez Martinez"/>
    <n v="1806349773"/>
    <m/>
    <n v="22584770"/>
    <n v="5571096207"/>
    <x v="2"/>
    <n v="9081.52"/>
    <n v="2715.33"/>
    <n v="2724.46"/>
    <n v="9.1300000000000008"/>
    <d v="2027-01-08T00:00:00"/>
  </r>
  <r>
    <x v="11"/>
    <d v="2026-12-07T00:00:00"/>
    <x v="29"/>
    <s v="IGNACIO DE JESUS DIAZ GONZALEZ"/>
    <n v="4725229787"/>
    <s v="DIGI520630HJCZNG01"/>
    <n v="22592648"/>
    <n v="5213333977955"/>
    <x v="1"/>
    <n v="4342.43"/>
    <n v="848"/>
    <n v="1302.73"/>
    <n v="-678.55"/>
    <m/>
  </r>
  <r>
    <x v="11"/>
    <d v="2026-11-07T00:00:00"/>
    <x v="17"/>
    <s v="Florencia Rodriguez"/>
    <n v="9897046869"/>
    <s v="ROXF800816MVZDXL08"/>
    <n v="22583662"/>
    <n v="7204429025"/>
    <x v="2"/>
    <n v="5055.87"/>
    <n v="1558.78"/>
    <n v="1516.76"/>
    <n v="-675.89"/>
    <d v="2026-08-01T00:00:00"/>
  </r>
  <r>
    <x v="11"/>
    <d v="2026-11-07T00:00:00"/>
    <x v="17"/>
    <s v="Alberto Tolentino Martinez"/>
    <n v="3816510113"/>
    <s v="TOMA660617HNLLRL09"/>
    <n v="22583432"/>
    <n v="8113683179"/>
    <x v="2"/>
    <n v="10149.4"/>
    <n v="3044.82"/>
    <n v="3044.82"/>
    <n v="0"/>
    <d v="2028-01-02T00:00:00"/>
  </r>
  <r>
    <x v="11"/>
    <d v="2026-11-07T00:00:00"/>
    <x v="29"/>
    <s v="Yolanda Ávila Hermandez"/>
    <n v="16897236168"/>
    <s v="AIHY731217MMCVRL06"/>
    <n v="22571362"/>
    <n v="5217297192425"/>
    <x v="2"/>
    <n v="12462.75"/>
    <n v="3605.08"/>
    <n v="3738.83"/>
    <n v="133.75"/>
    <d v="2027-01-06T00:00:00"/>
  </r>
  <r>
    <x v="11"/>
    <d v="2026-12-07T00:00:00"/>
    <x v="17"/>
    <s v="Ma. Antonia Luna Rosalez"/>
    <n v="49694818227"/>
    <s v="LURA610423MNLNSN06"/>
    <n v="22592174"/>
    <n v="8672231429"/>
    <x v="2"/>
    <n v="7995.5"/>
    <n v="2298.61"/>
    <n v="2398.65"/>
    <n v="100.04"/>
    <d v="2028-01-01T00:00:00"/>
  </r>
  <r>
    <x v="11"/>
    <d v="2026-10-07T00:00:00"/>
    <x v="19"/>
    <s v="REMEDIOS "/>
    <n v="23745108052"/>
    <s v="HEBR770915MSLRRM04"/>
    <n v="22560062"/>
    <n v="5216161159102"/>
    <x v="7"/>
    <n v="6405.06"/>
    <n v="1833.5"/>
    <n v="1921.52"/>
    <n v="88.02"/>
    <d v="2026-01-02T00:00:00"/>
  </r>
  <r>
    <x v="11"/>
    <d v="2026-11-07T00:00:00"/>
    <x v="29"/>
    <s v="Jose Gerardo Ayala Serrato"/>
    <m/>
    <s v="AASG540615HCLYRR06"/>
    <n v="22570758"/>
    <n v="5218715857136"/>
    <x v="9"/>
    <n v="23604.97"/>
    <n v="6829.48"/>
    <n v="7081.49"/>
    <n v="252.01"/>
    <d v="2025-01-08T00:00:00"/>
  </r>
  <r>
    <x v="11"/>
    <d v="2026-12-07T00:00:00"/>
    <x v="8"/>
    <s v="MARGARITO MORA BARILLAS"/>
    <m/>
    <s v="MOBM670413HPLRRR07"/>
    <n v="22593268"/>
    <n v="5214626045343"/>
    <x v="2"/>
    <n v="9817.4699999999993"/>
    <n v="2944.45"/>
    <n v="2945.24"/>
    <n v="0.79"/>
    <d v="2026-08-01T00:00:00"/>
  </r>
  <r>
    <x v="11"/>
    <d v="2026-12-07T00:00:00"/>
    <x v="8"/>
    <s v="FRANCISCO DE JESUS BAZURTO RODRIGUEZ"/>
    <m/>
    <s v="BARF650116HNLZDR06"/>
    <n v="22588174"/>
    <n v="5218126104052"/>
    <x v="2"/>
    <n v="9760.32"/>
    <n v="2822.57"/>
    <n v="2928.1"/>
    <n v="105.53"/>
    <d v="2027-01-05T00:00:00"/>
  </r>
  <r>
    <x v="11"/>
    <d v="2026-11-07T00:00:00"/>
    <x v="8"/>
    <s v="EMMANUEL ARIAS FLORES"/>
    <n v="16038554461"/>
    <s v="AIFE841007HMCRLM03"/>
    <n v="22583288"/>
    <n v="5217224630386"/>
    <x v="4"/>
    <m/>
    <m/>
    <n v="0"/>
    <n v="0"/>
    <m/>
  </r>
  <r>
    <x v="11"/>
    <d v="2026-12-07T00:00:00"/>
    <x v="8"/>
    <s v="GRACIELA BOCARDO GONZALEZ"/>
    <n v="54805840821"/>
    <s v="BOGG580417MJCCNR03"/>
    <n v="22594854"/>
    <n v="5213310964444"/>
    <x v="1"/>
    <n v="3635.53"/>
    <m/>
    <n v="1090.6600000000001"/>
    <n v="0"/>
    <m/>
  </r>
  <r>
    <x v="11"/>
    <d v="2026-12-07T00:00:00"/>
    <x v="25"/>
    <s v="MIGUELINA ABAD SOTO"/>
    <n v="84856905132"/>
    <s v="AASM871213MNEBTG08"/>
    <n v="22594254"/>
    <n v="5219983477889"/>
    <x v="6"/>
    <n v="6811.14"/>
    <n v="1897.41"/>
    <n v="2043.34"/>
    <n v="145.93"/>
    <d v="2024-01-06T00:00:00"/>
  </r>
  <r>
    <x v="11"/>
    <d v="2026-12-07T00:00:00"/>
    <x v="29"/>
    <s v="Victor Manuel Rodríguez sanchez"/>
    <n v="23856513942"/>
    <s v="ROSV650920HSLDNC01"/>
    <n v="22593528"/>
    <n v="5216676991461"/>
    <x v="2"/>
    <n v="9760.32"/>
    <n v="2810.29"/>
    <n v="2928.1"/>
    <n v="117.81"/>
    <d v="2027-01-12T00:00:00"/>
  </r>
  <r>
    <x v="11"/>
    <d v="2026-12-07T00:00:00"/>
    <x v="11"/>
    <s v="Rosa Armida arrechea Gilbert "/>
    <n v="21816520908"/>
    <m/>
    <n v="22597686"/>
    <n v="5216651136858"/>
    <x v="2"/>
    <n v="9760.32"/>
    <n v="2823.89"/>
    <n v="2928.1"/>
    <n v="104.21"/>
    <d v="2027-01-08T00:00:00"/>
  </r>
  <r>
    <x v="11"/>
    <d v="2026-12-07T00:00:00"/>
    <x v="8"/>
    <s v="RICARDO GUADALUPE MORENO MONTEMAYOR"/>
    <n v="3685115010"/>
    <s v="MOMR510406HNLRNC05"/>
    <n v="22595438"/>
    <n v="5218110769796"/>
    <x v="7"/>
    <n v="4943.63"/>
    <n v="710.81"/>
    <n v="1483.09"/>
    <n v="59.84"/>
    <d v="2026-01-03T00:00:00"/>
  </r>
  <r>
    <x v="11"/>
    <d v="2026-12-07T00:00:00"/>
    <x v="20"/>
    <s v="LUZ RODRIGUEZ"/>
    <n v="43846250843"/>
    <m/>
    <n v="22588722"/>
    <n v="5218123625436"/>
    <x v="3"/>
    <n v="7116.73"/>
    <n v="1547.61"/>
    <n v="2135.02"/>
    <n v="587.41"/>
    <d v="2026-01-09T00:00:00"/>
  </r>
  <r>
    <x v="11"/>
    <d v="2026-12-07T00:00:00"/>
    <x v="20"/>
    <s v="MARIA CORTEZ"/>
    <n v="21866541606"/>
    <s v="COZM661128MBCRXR01"/>
    <n v="22595630"/>
    <n v="5216867218146"/>
    <x v="2"/>
    <n v="6405.06"/>
    <n v="1853.12"/>
    <n v="1921.52"/>
    <n v="68.400000000000006"/>
    <d v="2027-01-06T00:00:00"/>
  </r>
  <r>
    <x v="11"/>
    <d v="2026-12-07T00:00:00"/>
    <x v="20"/>
    <s v="AMANDO IGNACIO"/>
    <m/>
    <s v="moja600204hplnrm06"/>
    <n v="22597798"/>
    <n v="5218119145315"/>
    <x v="9"/>
    <n v="5617.63"/>
    <n v="1336.94"/>
    <n v="1685.29"/>
    <n v="107.71"/>
    <d v="2026-01-06T00:00:00"/>
  </r>
  <r>
    <x v="11"/>
    <d v="2026-12-07T00:00:00"/>
    <x v="17"/>
    <s v="Arturo Codero Y Becerra"/>
    <m/>
    <s v="COBA470316HDFRCR00"/>
    <n v="22597754"/>
    <n v="2211664108"/>
    <x v="3"/>
    <n v="4745.3599999999997"/>
    <m/>
    <n v="1423.61"/>
    <n v="572.38"/>
    <m/>
  </r>
  <r>
    <x v="11"/>
    <d v="2026-12-07T00:00:00"/>
    <x v="17"/>
    <s v="Luis Fernando Garcia Quiroz"/>
    <n v="42826341606"/>
    <m/>
    <n v="22597534"/>
    <n v="5619526157"/>
    <x v="1"/>
    <n v="3879.3"/>
    <m/>
    <n v="1163.79"/>
    <n v="0"/>
    <m/>
  </r>
  <r>
    <x v="11"/>
    <d v="2026-11-07T00:00:00"/>
    <x v="25"/>
    <s v="CONSTANTINO RODRIGUEZ ALARCON"/>
    <m/>
    <s v="ROAC580607HVZDLN04"/>
    <n v="22582950"/>
    <n v="5212283586911"/>
    <x v="2"/>
    <n v="5046.1899999999996"/>
    <n v="842.13"/>
    <n v="1513.86"/>
    <n v="31.08"/>
    <d v="2027-01-05T00:00:00"/>
  </r>
  <r>
    <x v="11"/>
    <d v="2026-11-07T00:00:00"/>
    <x v="11"/>
    <s v="Nancy carrizales Anguiano "/>
    <n v="3816413532"/>
    <s v="CAAN640523MNLRNN07"/>
    <n v="22577336"/>
    <n v="5218116815156"/>
    <x v="4"/>
    <m/>
    <m/>
    <n v="0"/>
    <n v="0"/>
    <m/>
  </r>
  <r>
    <x v="11"/>
    <d v="2026-12-07T00:00:00"/>
    <x v="0"/>
    <s v="RENE PEREZ FLORES"/>
    <n v="71816424650"/>
    <s v="PEFR640318HCSRLN06"/>
    <n v="22598350"/>
    <n v="5218771281202"/>
    <x v="2"/>
    <n v="9081.52"/>
    <n v="2722.18"/>
    <n v="2724.46"/>
    <n v="2.2799999999999998"/>
    <d v="2026-10-01T00:00:00"/>
  </r>
  <r>
    <x v="11"/>
    <d v="2026-11-07T00:00:00"/>
    <x v="8"/>
    <s v="ROMEO GARCIA MORENO"/>
    <m/>
    <s v="GAMR581128HSRRRM06"/>
    <n v="22584878"/>
    <n v="5216321057583"/>
    <x v="7"/>
    <n v="5053.22"/>
    <n v="774.8"/>
    <n v="1515.97"/>
    <n v="105.44"/>
    <d v="2025-01-03T00:00:00"/>
  </r>
  <r>
    <x v="11"/>
    <d v="2026-12-07T00:00:00"/>
    <x v="17"/>
    <s v="Fernando Martinez Zamora"/>
    <m/>
    <s v="MAZF640208HNLRMR08"/>
    <n v="22598808"/>
    <n v="8111551313"/>
    <x v="3"/>
    <n v="12974.51"/>
    <n v="3125.62"/>
    <n v="3892.35"/>
    <n v="766.73"/>
    <d v="2027-01-03T00:00:00"/>
  </r>
  <r>
    <x v="11"/>
    <d v="2026-11-07T00:00:00"/>
    <x v="11"/>
    <s v="JUAN MARTIN RODRIGUEZ"/>
    <n v="65886131419"/>
    <m/>
    <n v="22578524"/>
    <n v="5219211411594"/>
    <x v="6"/>
    <n v="7116.33"/>
    <n v="2058.64"/>
    <n v="2134.9"/>
    <n v="76.260000000000005"/>
    <d v="2025-01-05T00:00:00"/>
  </r>
  <r>
    <x v="11"/>
    <d v="2026-12-07T00:00:00"/>
    <x v="29"/>
    <s v="Alvaro Jimenez Garcia"/>
    <m/>
    <s v="JIGA581225HDFMRL01"/>
    <n v="22605368"/>
    <n v="5217224847143"/>
    <x v="9"/>
    <n v="11994.41"/>
    <n v="2940.31"/>
    <n v="3598.32"/>
    <n v="658.01"/>
    <d v="2024-01-06T00:00:00"/>
  </r>
  <r>
    <x v="11"/>
    <d v="2026-12-07T00:00:00"/>
    <x v="0"/>
    <s v="JONATHAN ROLDAN HERNANDEZ"/>
    <m/>
    <s v="ROHJ880904HTLLRN05"/>
    <n v="22593288"/>
    <n v="5217491316541"/>
    <x v="5"/>
    <m/>
    <m/>
    <n v="0"/>
    <n v="0"/>
    <m/>
  </r>
  <r>
    <x v="11"/>
    <d v="2026-12-07T00:00:00"/>
    <x v="19"/>
    <s v="Mari "/>
    <n v="33886713623"/>
    <m/>
    <n v="22584580"/>
    <n v="5216142897075"/>
    <x v="5"/>
    <m/>
    <m/>
    <n v="0"/>
    <n v="0"/>
    <m/>
  </r>
  <r>
    <x v="11"/>
    <d v="2026-12-07T00:00:00"/>
    <x v="19"/>
    <m/>
    <m/>
    <s v="MEPN721012MNLNRR07"/>
    <n v="22599340"/>
    <n v="8116932285"/>
    <x v="1"/>
    <n v="2236.34"/>
    <m/>
    <n v="670.9"/>
    <n v="0"/>
    <m/>
  </r>
  <r>
    <x v="12"/>
    <s v="13/07/2026"/>
    <x v="18"/>
    <s v="JORGE ARTURO MANRIQUE CANTÓ "/>
    <n v="82826606947"/>
    <m/>
    <n v="1"/>
    <n v="9981160303"/>
    <x v="0"/>
    <n v="9760.32"/>
    <m/>
    <n v="2928.1"/>
    <n v="2928.1"/>
    <m/>
  </r>
  <r>
    <x v="12"/>
    <d v="2026-11-07T00:00:00"/>
    <x v="8"/>
    <s v="MANUEL SOLOÑO REYES"/>
    <m/>
    <s v="SORM641013HJCLYN05"/>
    <n v="22584482"/>
    <n v="5213531325939"/>
    <x v="2"/>
    <n v="9081.52"/>
    <n v="2585.84"/>
    <n v="2724.46"/>
    <n v="138.62"/>
    <d v="2027-01-06T00:00:00"/>
  </r>
  <r>
    <x v="12"/>
    <s v="20/06/2026"/>
    <x v="17"/>
    <s v="Raul Rivas Martinez"/>
    <n v="10796127123"/>
    <m/>
    <n v="21863716"/>
    <n v="5532266950"/>
    <x v="2"/>
    <n v="12439.83"/>
    <n v="3729"/>
    <n v="3731.95"/>
    <n v="2.95"/>
    <d v="2027-01-07T00:00:00"/>
  </r>
  <r>
    <x v="12"/>
    <d v="2026-12-07T00:00:00"/>
    <x v="22"/>
    <s v="FEDERICO CASILLAS TORRES"/>
    <n v="4896003037"/>
    <s v="CATF600427HJCSRD01"/>
    <n v="22608392"/>
    <n v="5213411499853"/>
    <x v="0"/>
    <n v="7920.51"/>
    <m/>
    <n v="2376.15"/>
    <n v="2376.15"/>
    <m/>
  </r>
  <r>
    <x v="12"/>
    <s v="13/07/2026"/>
    <x v="18"/>
    <s v="NO PROPORCIONO "/>
    <n v="42846202697"/>
    <s v="NO PROPORCIONO "/>
    <n v="1"/>
    <n v="2212185900"/>
    <x v="6"/>
    <n v="8539.89"/>
    <n v="2364.4299999999998"/>
    <n v="2561.9699999999998"/>
    <n v="197.54"/>
    <d v="2026-01-05T00:00:00"/>
  </r>
  <r>
    <x v="12"/>
    <d v="2026-12-07T00:00:00"/>
    <x v="27"/>
    <s v="JESUS "/>
    <n v="24896326923"/>
    <m/>
    <n v="22596168"/>
    <n v="5216621712092"/>
    <x v="0"/>
    <n v="7920.51"/>
    <m/>
    <n v="2376.15"/>
    <n v="2376.15"/>
    <m/>
  </r>
  <r>
    <x v="12"/>
    <d v="2026-12-07T00:00:00"/>
    <x v="17"/>
    <s v="Raymundo Alaniz Hernandez"/>
    <m/>
    <s v="AAHR630315HJCLRY04"/>
    <n v="22594728"/>
    <n v="7151134015"/>
    <x v="0"/>
    <n v="7920.53"/>
    <m/>
    <n v="2376.16"/>
    <n v="2376.16"/>
    <m/>
  </r>
  <r>
    <x v="12"/>
    <s v="13/07/2026"/>
    <x v="14"/>
    <s v="ENRIQUE NAVA VALENZUELA"/>
    <m/>
    <s v="NAVE630714HDGVLN02"/>
    <n v="22629466"/>
    <n v="5215528638193"/>
    <x v="0"/>
    <n v="20107.38"/>
    <m/>
    <n v="6032.21"/>
    <n v="6032.21"/>
    <m/>
  </r>
  <r>
    <x v="12"/>
    <s v="13/07/2026"/>
    <x v="18"/>
    <s v="NO PROPORCIONO "/>
    <n v="33926964595"/>
    <s v="NO PROPORCIONO "/>
    <n v="1"/>
    <n v="6145048853"/>
    <x v="7"/>
    <n v="4714.47"/>
    <n v="441.25"/>
    <n v="1414.34"/>
    <n v="100.24"/>
    <d v="2024-01-07T00:00:00"/>
  </r>
  <r>
    <x v="12"/>
    <d v="2026-12-07T00:00:00"/>
    <x v="23"/>
    <s v="Gilberto Vasquez Martinez"/>
    <n v="43806304556"/>
    <m/>
    <n v="22607488"/>
    <n v="5218131342300"/>
    <x v="2"/>
    <n v="9081.52"/>
    <n v="2521.3200000000002"/>
    <n v="2724.46"/>
    <n v="203.14"/>
    <d v="2026-08-01T00:00:00"/>
  </r>
  <r>
    <x v="12"/>
    <s v="13/07/2026"/>
    <x v="14"/>
    <s v="Juan Rafael Dávila Lule"/>
    <n v="43786001107"/>
    <s v="DALJ601118HNLVLN00"/>
    <n v="22628692"/>
    <n v="5218123272231"/>
    <x v="2"/>
    <n v="7116.73"/>
    <n v="2059.04"/>
    <n v="2135.02"/>
    <n v="75.98"/>
    <d v="2026-11-01T00:00:00"/>
  </r>
  <r>
    <x v="12"/>
    <d v="2026-10-07T00:00:00"/>
    <x v="29"/>
    <s v="Juan Carlos nava Alvarado"/>
    <m/>
    <s v="NAAJ600215HJCVLN06"/>
    <n v="22560126"/>
    <n v="5213841188497"/>
    <x v="9"/>
    <n v="6262.86"/>
    <n v="1656.78"/>
    <n v="1878.86"/>
    <n v="222.08"/>
    <d v="2025-01-04T00:00:00"/>
  </r>
  <r>
    <x v="12"/>
    <s v="13/07/2026"/>
    <x v="6"/>
    <s v="PATRICIA CRUZ TERRON"/>
    <n v="54786014719"/>
    <s v="CUTP600129MDFRR702"/>
    <n v="22616088"/>
    <n v="5213324946270"/>
    <x v="7"/>
    <n v="29676.15"/>
    <n v="8901.02"/>
    <n v="8902.85"/>
    <n v="1.82"/>
    <d v="2026-01-03T00:00:00"/>
  </r>
  <r>
    <x v="12"/>
    <d v="2026-12-07T00:00:00"/>
    <x v="14"/>
    <s v="TERESITA DE JESUS GUTIERREZ RODRIGUEZ"/>
    <n v="32845675852"/>
    <s v="GURT560527MCLTDR09"/>
    <n v="22612088"/>
    <n v="5218444963854"/>
    <x v="1"/>
    <n v="4379.26"/>
    <m/>
    <n v="1313.78"/>
    <n v="206.28"/>
    <m/>
  </r>
  <r>
    <x v="12"/>
    <d v="2026-12-07T00:00:00"/>
    <x v="23"/>
    <s v="JUAN MANUEL REZA GARCIA"/>
    <n v="3695336200"/>
    <s v="REGJ530614HZSZRN03"/>
    <n v="22612098"/>
    <n v="5215519725522"/>
    <x v="3"/>
    <n v="4813.6899999999996"/>
    <m/>
    <n v="1444.11"/>
    <n v="640.71"/>
    <m/>
  </r>
  <r>
    <x v="12"/>
    <s v="13/07/2026"/>
    <x v="22"/>
    <s v="ELIZABETH RAMIREZ TORRES"/>
    <n v="2604205688"/>
    <s v="RATE751225MPLMRL05"/>
    <n v="22626936"/>
    <n v="5212223849012"/>
    <x v="6"/>
    <n v="10350.049999999999"/>
    <n v="3104.98"/>
    <n v="3105.02"/>
    <n v="0.03"/>
    <d v="2026-01-07T00:00:00"/>
  </r>
  <r>
    <x v="12"/>
    <d v="2026-12-07T00:00:00"/>
    <x v="10"/>
    <s v="DANEL SUAREZ CRUZ"/>
    <n v="62896564051"/>
    <s v="SUCD651211HPLRRN07"/>
    <n v="22608292"/>
    <n v="5212224117276"/>
    <x v="0"/>
    <n v="11029.03"/>
    <m/>
    <n v="3308.71"/>
    <n v="3308.71"/>
    <m/>
  </r>
  <r>
    <x v="12"/>
    <d v="2026-12-07T00:00:00"/>
    <x v="17"/>
    <s v="Javier Orozco Felipe"/>
    <n v="20957421611"/>
    <m/>
    <n v="22606700"/>
    <n v="2471748892"/>
    <x v="4"/>
    <m/>
    <m/>
    <n v="0"/>
    <n v="0"/>
    <m/>
  </r>
  <r>
    <x v="12"/>
    <s v="13/07/2026"/>
    <x v="6"/>
    <s v="GABINO JARAMILLO LOPEZ"/>
    <n v="24875305211"/>
    <s v="JALG530219HSPRPB08"/>
    <n v="22298108"/>
    <n v="5216623504652"/>
    <x v="1"/>
    <n v="3881"/>
    <m/>
    <n v="1164.3"/>
    <n v="0"/>
    <m/>
  </r>
  <r>
    <x v="12"/>
    <s v="13/07/2026"/>
    <x v="8"/>
    <s v="RICARDO ORTIZ CHACON"/>
    <m/>
    <s v="OICR610510HCHRHC04"/>
    <n v="22632864"/>
    <n v="5216145395757"/>
    <x v="2"/>
    <n v="7403.59"/>
    <n v="2221.08"/>
    <n v="2221.08"/>
    <n v="0"/>
    <d v="2028-01-02T00:00:00"/>
  </r>
  <r>
    <x v="12"/>
    <d v="2026-12-07T00:00:00"/>
    <x v="14"/>
    <s v="Pablo Ríos Vasquez"/>
    <m/>
    <s v="RIVP620628HSLSSB01"/>
    <n v="22611442"/>
    <n v="5216691070459"/>
    <x v="2"/>
    <n v="14489.09"/>
    <n v="4343.76"/>
    <n v="4346.7299999999996"/>
    <n v="2.97"/>
    <d v="2027-01-03T00:00:00"/>
  </r>
  <r>
    <x v="12"/>
    <s v="13/07/2026"/>
    <x v="13"/>
    <s v="DAVID SAGASTE VALENZUELA"/>
    <n v="23825704895"/>
    <s v="SAVD571027HSLGLV00"/>
    <n v="22627494"/>
    <n v="5216731182592"/>
    <x v="2"/>
    <n v="9081.52"/>
    <n v="2521.06"/>
    <n v="2724.46"/>
    <n v="203.4"/>
    <d v="2026-09-01T00:00:00"/>
  </r>
  <r>
    <x v="12"/>
    <s v="13/07/2026"/>
    <x v="13"/>
    <s v="JESUS ANTONIO ELENES ARREDONDO"/>
    <n v="24675113062"/>
    <s v="EEAJ510909HSRLRS19"/>
    <n v="22626834"/>
    <n v="5216441145775"/>
    <x v="1"/>
    <n v="3855.42"/>
    <n v="848"/>
    <n v="1156.6300000000001"/>
    <n v="-848"/>
    <m/>
  </r>
  <r>
    <x v="12"/>
    <s v="13/07/2026"/>
    <x v="13"/>
    <s v="VICTOR MANUEL ROCHA TORRES"/>
    <n v="60887303489"/>
    <s v="ROTV730128HCLCRC07"/>
    <n v="22630922"/>
    <n v="5216563283386"/>
    <x v="6"/>
    <n v="7135.6"/>
    <n v="1976.75"/>
    <n v="2140.6799999999998"/>
    <n v="163.93"/>
    <d v="2026-01-04T00:00:00"/>
  </r>
  <r>
    <x v="12"/>
    <d v="2026-12-07T00:00:00"/>
    <x v="23"/>
    <s v="JOSE ZAPATA VALLES"/>
    <n v="24725427918"/>
    <s v="ZAVJ560827HDGPLS02"/>
    <n v="22614272"/>
    <n v="5216626003808"/>
    <x v="1"/>
    <n v="4342.43"/>
    <n v="879"/>
    <n v="1302.73"/>
    <n v="-709.55"/>
    <m/>
  </r>
  <r>
    <x v="12"/>
    <d v="2026-12-07T00:00:00"/>
    <x v="3"/>
    <s v="ALEJANDRO DE JESUS GARCIA MERCADO "/>
    <n v="21887164635"/>
    <s v="GAMA711029HSRRRL04 "/>
    <n v="22608872"/>
    <n v="5216863038381"/>
    <x v="7"/>
    <n v="8041.78"/>
    <n v="2231.98"/>
    <n v="2412.5300000000002"/>
    <n v="180.55"/>
    <d v="2026-01-01T00:00:00"/>
  </r>
  <r>
    <x v="12"/>
    <d v="2026-12-07T00:00:00"/>
    <x v="26"/>
    <s v="MANUELA MARGARITA GONZALEZ RESENDIZ"/>
    <n v="3977394349"/>
    <s v="GORM710610MDGNSN09"/>
    <n v="22609174"/>
    <n v="5216183139447"/>
    <x v="7"/>
    <n v="6576.43"/>
    <n v="1902"/>
    <n v="1972.93"/>
    <n v="70.930000000000007"/>
    <d v="2025-01-07T00:00:00"/>
  </r>
  <r>
    <x v="12"/>
    <d v="2026-12-07T00:00:00"/>
    <x v="3"/>
    <s v="FELIX TRUJILLO HERNANDEZ"/>
    <n v="64806046013"/>
    <s v="TUHF601120HVZRRL08"/>
    <n v="22610436"/>
    <n v="5212717401996"/>
    <x v="2"/>
    <n v="7913.97"/>
    <n v="2284.64"/>
    <n v="2374.19"/>
    <n v="89.55"/>
    <d v="2027-01-07T00:00:00"/>
  </r>
  <r>
    <x v="12"/>
    <d v="2026-10-07T00:00:00"/>
    <x v="13"/>
    <s v="RAUL FRANCO SANTIAGO"/>
    <n v="17826003307"/>
    <s v="FASR601209HMSRNL16"/>
    <n v="22548410"/>
    <n v="5218721138927"/>
    <x v="2"/>
    <n v="6262.86"/>
    <n v="1811.99"/>
    <n v="1878.86"/>
    <n v="66.87"/>
    <d v="2027-01-02T00:00:00"/>
  </r>
  <r>
    <x v="12"/>
    <d v="2026-10-07T00:00:00"/>
    <x v="13"/>
    <s v="DANIEL VIZCAYA BAUTISTA"/>
    <n v="6786050291"/>
    <s v="VIBD601211HMCZTN09"/>
    <n v="22541142"/>
    <n v="5215527604140"/>
    <x v="2"/>
    <n v="5617.63"/>
    <n v="1444.64"/>
    <n v="1685.29"/>
    <n v="0.01"/>
    <d v="2028-01-04T00:00:00"/>
  </r>
  <r>
    <x v="12"/>
    <s v="13/07/2026"/>
    <x v="3"/>
    <s v="MARIA CONCEPCION SANTANA ROSALES"/>
    <n v="52805905982"/>
    <s v="SARC590327MJCNSN06"/>
    <n v="22620492"/>
    <n v="5213131500165"/>
    <x v="2"/>
    <n v="7116.73"/>
    <n v="2059"/>
    <n v="2135.02"/>
    <n v="76.02"/>
    <d v="2027-01-12T00:00:00"/>
  </r>
  <r>
    <x v="12"/>
    <s v="13/07/2026"/>
    <x v="22"/>
    <s v="EVANGELINA SIMENTAL CHAPARRO"/>
    <n v="35866986389"/>
    <s v="SICE730109MCHMHV05"/>
    <n v="22633938"/>
    <n v="5216146041668"/>
    <x v="1"/>
    <n v="3779.88"/>
    <m/>
    <n v="1133.96"/>
    <n v="0"/>
    <m/>
  </r>
  <r>
    <x v="12"/>
    <d v="2026-12-07T00:00:00"/>
    <x v="23"/>
    <s v="ESPERANZA DOMINGUEZ ARGUELLES"/>
    <n v="67846667623"/>
    <s v="DOAE810424MCCMRS05"/>
    <n v="22614634"/>
    <n v="5219211053546"/>
    <x v="0"/>
    <n v="8627.43"/>
    <m/>
    <n v="2588.23"/>
    <n v="2588.23"/>
    <m/>
  </r>
  <r>
    <x v="12"/>
    <d v="2026-12-07T00:00:00"/>
    <x v="23"/>
    <s v="JOSE MANUEL BIURQUES ANDRADE"/>
    <m/>
    <s v="BIAM711125HJCRNN05"/>
    <n v="22608836"/>
    <n v="5213328208433"/>
    <x v="1"/>
    <n v="3635.76"/>
    <n v="879"/>
    <n v="1090.73"/>
    <n v="-879"/>
    <m/>
  </r>
  <r>
    <x v="12"/>
    <s v="13/07/2026"/>
    <x v="3"/>
    <s v="JOSE MATILDE PEREZ KEB "/>
    <n v="81846204790"/>
    <s v="PEKM630307HYNRBT02"/>
    <n v="22627970"/>
    <n v="5219211291362"/>
    <x v="3"/>
    <n v="11433.38"/>
    <n v="3036.23"/>
    <n v="3430.01"/>
    <n v="393.78"/>
    <d v="2027-01-09T00:00:00"/>
  </r>
  <r>
    <x v="12"/>
    <d v="2026-12-07T00:00:00"/>
    <x v="22"/>
    <s v="MARGARITO JIMENEZ"/>
    <m/>
    <s v="JIXM691106HOCMXR07"/>
    <n v="22611830"/>
    <n v="5219845885797"/>
    <x v="5"/>
    <m/>
    <m/>
    <n v="0"/>
    <n v="0"/>
    <m/>
  </r>
  <r>
    <x v="12"/>
    <s v="13/07/2026"/>
    <x v="3"/>
    <s v="MA. DEL ROSARIO SILVIA HERNANDEZ VARGAS"/>
    <n v="14806217924"/>
    <s v="HEVR620817MQTRRS09"/>
    <n v="22632294"/>
    <n v="5214425788378"/>
    <x v="3"/>
    <n v="9504.7000000000007"/>
    <n v="2408.94"/>
    <n v="2851.41"/>
    <n v="442.47"/>
    <d v="2027-01-07T00:00:00"/>
  </r>
  <r>
    <x v="12"/>
    <s v="13/07/2026"/>
    <x v="16"/>
    <s v="JOSE JUAN TORREZ MATA"/>
    <n v="53846323516"/>
    <s v="TOMJ630330HBCRTN08"/>
    <n v="1"/>
    <s v="33 1345 6454"/>
    <x v="2"/>
    <n v="9760.32"/>
    <n v="2758.23"/>
    <n v="2928.1"/>
    <n v="169.87"/>
    <d v="2028-01-01T00:00:00"/>
  </r>
  <r>
    <x v="12"/>
    <s v="13/07/2026"/>
    <x v="3"/>
    <s v="FRANCISCO CAMPOS CORONA "/>
    <n v="53745106178"/>
    <s v="CACF520212HMNMRR07"/>
    <n v="22621812"/>
    <n v="5213221559614"/>
    <x v="2"/>
    <n v="7279.53"/>
    <n v="2081.65"/>
    <n v="2183.86"/>
    <n v="102.21"/>
    <d v="2027-01-06T00:00:00"/>
  </r>
  <r>
    <x v="12"/>
    <s v="13/07/2026"/>
    <x v="6"/>
    <s v="ISMAEL ZAVALA MARTINEZ "/>
    <n v="12896856932"/>
    <s v="ZAMI680906HGTVRS02"/>
    <n v="22625876"/>
    <n v="5213316372260"/>
    <x v="4"/>
    <m/>
    <m/>
    <n v="0"/>
    <n v="0"/>
    <m/>
  </r>
  <r>
    <x v="12"/>
    <s v="13/07/2026"/>
    <x v="6"/>
    <s v="AMALIA CARMEN MUÑOZ BOLAÑOS "/>
    <n v="8584200193"/>
    <s v="MUBA520710MOCXLM05"/>
    <n v="22618206"/>
    <n v="5219514150342"/>
    <x v="1"/>
    <n v="4199.79"/>
    <n v="848"/>
    <n v="1259.94"/>
    <n v="-821.19"/>
    <m/>
  </r>
  <r>
    <x v="12"/>
    <s v="13/07/2026"/>
    <x v="3"/>
    <s v="VICTOR MANUEL ESPINOSA CORONADO"/>
    <n v="96935901445"/>
    <s v="EICV590305HDFSRC13"/>
    <n v="22633196"/>
    <n v="5215618587671"/>
    <x v="1"/>
    <n v="4813.6899999999996"/>
    <n v="879"/>
    <n v="1444.11"/>
    <n v="-238.29"/>
    <m/>
  </r>
  <r>
    <x v="12"/>
    <s v="13/07/2026"/>
    <x v="24"/>
    <s v="LETY"/>
    <n v="80876884919"/>
    <s v="AULL680102MYNRRT04"/>
    <n v="22517754"/>
    <n v="5219992964723"/>
    <x v="5"/>
    <m/>
    <m/>
    <n v="0"/>
    <n v="0"/>
    <m/>
  </r>
  <r>
    <x v="12"/>
    <d v="2026-12-07T00:00:00"/>
    <x v="19"/>
    <s v="Ignacio Abel "/>
    <m/>
    <s v="GAFI570501HSLMLG00"/>
    <n v="22590514"/>
    <n v="6681504270"/>
    <x v="1"/>
    <n v="4342.43"/>
    <n v="848"/>
    <n v="1302.73"/>
    <n v="-678.55"/>
    <m/>
  </r>
  <r>
    <x v="12"/>
    <d v="2026-12-07T00:00:00"/>
    <x v="26"/>
    <s v="JOSEFINA LARA SALAZAR"/>
    <n v="31946100356"/>
    <s v="LASJ610320MDGRLS09"/>
    <n v="22612342"/>
    <n v="5216565296926"/>
    <x v="0"/>
    <n v="10636.54"/>
    <m/>
    <n v="3190.96"/>
    <n v="3190.96"/>
    <m/>
  </r>
  <r>
    <x v="12"/>
    <s v="13/07/2026"/>
    <x v="10"/>
    <s v="Martha Laura Carrillo González"/>
    <n v="43826202749"/>
    <s v="CAGM620425MTSRNR03"/>
    <n v="22625730"/>
    <n v="5218131378006"/>
    <x v="2"/>
    <n v="29192.93"/>
    <n v="8757.6200000000008"/>
    <n v="8757.8799999999992"/>
    <n v="0.26"/>
    <d v="2027-01-04T00:00:00"/>
  </r>
  <r>
    <x v="12"/>
    <d v="2026-11-07T00:00:00"/>
    <x v="25"/>
    <s v="LETICIA RAMIREZ RAMIREZ"/>
    <n v="3967367370"/>
    <s v="RARL780827MQTMMT07"/>
    <n v="22582702"/>
    <n v="5218110816915"/>
    <x v="3"/>
    <n v="4790.71"/>
    <m/>
    <n v="1437.21"/>
    <n v="617.73"/>
    <m/>
  </r>
  <r>
    <x v="12"/>
    <s v="13/07/2026"/>
    <x v="8"/>
    <s v="RAMON LOPEZ VILLANUEVA"/>
    <m/>
    <s v="LOVR611220HJCPLM03"/>
    <n v="22636776"/>
    <n v="5213331721513"/>
    <x v="2"/>
    <n v="7116.73"/>
    <n v="1974.7"/>
    <n v="2135.02"/>
    <n v="160.32"/>
    <d v="2026-10-01T00:00:00"/>
  </r>
  <r>
    <x v="12"/>
    <d v="2026-12-07T00:00:00"/>
    <x v="20"/>
    <s v="PEDRO DE LA FUENTE"/>
    <n v="49735737204"/>
    <m/>
    <n v="22599030"/>
    <n v="5218311183057"/>
    <x v="2"/>
    <n v="7920.51"/>
    <n v="2375"/>
    <n v="2376.15"/>
    <n v="1.1499999999999999"/>
    <d v="2028-01-06T00:00:00"/>
  </r>
  <r>
    <x v="12"/>
    <s v="13/07/2026"/>
    <x v="18"/>
    <s v="NO PROPORCIONO "/>
    <n v="11664945026"/>
    <m/>
    <n v="1"/>
    <n v="5540443030"/>
    <x v="1"/>
    <n v="3904.19"/>
    <m/>
    <n v="1171.26"/>
    <n v="0"/>
    <m/>
  </r>
  <r>
    <x v="12"/>
    <d v="2026-12-07T00:00:00"/>
    <x v="0"/>
    <m/>
    <n v="33816740873"/>
    <s v="UECJ670307MCHRRN03"/>
    <n v="22560634"/>
    <n v="5216143703372"/>
    <x v="9"/>
    <n v="5056.32"/>
    <n v="1239.72"/>
    <n v="1516.9"/>
    <n v="-356.38"/>
    <d v="2027-05-01T00:00:00"/>
  </r>
  <r>
    <x v="12"/>
    <s v="13/07/2026"/>
    <x v="14"/>
    <s v="ANA MARIA VEGA BECERRA"/>
    <n v="33793902868"/>
    <s v="VEBA690814MCHGCN06"/>
    <n v="22636074"/>
    <n v="5216351201201"/>
    <x v="2"/>
    <n v="6924.25"/>
    <n v="2003.36"/>
    <n v="2077.2800000000002"/>
    <n v="73.92"/>
    <d v="2027-01-06T00:00:00"/>
  </r>
  <r>
    <x v="12"/>
    <d v="2026-11-07T00:00:00"/>
    <x v="8"/>
    <s v="HORTENCIA TAVAREZ MARTINEZ"/>
    <m/>
    <s v="TAMH650111MASVRR08"/>
    <n v="22582052"/>
    <n v="5214494332732"/>
    <x v="0"/>
    <n v="10171.24"/>
    <m/>
    <n v="3051.37"/>
    <n v="3051.37"/>
    <m/>
  </r>
  <r>
    <x v="12"/>
    <d v="2026-12-07T00:00:00"/>
    <x v="22"/>
    <s v="RAUL BAZALDUA DE LA ROSA "/>
    <n v="43816406508"/>
    <m/>
    <n v="22613374"/>
    <n v="5218132765449"/>
    <x v="4"/>
    <m/>
    <m/>
    <n v="0"/>
    <n v="0"/>
    <m/>
  </r>
  <r>
    <x v="12"/>
    <d v="2026-12-07T00:00:00"/>
    <x v="13"/>
    <s v="ENRIQUE MARCOS CISNEROS RODRIGUEZ"/>
    <n v="23765406618"/>
    <s v="CIRE540123HMCSDN02"/>
    <n v="22611264"/>
    <n v="5216676958870"/>
    <x v="7"/>
    <n v="4807.78"/>
    <n v="587.46"/>
    <n v="1442.33"/>
    <n v="47.34"/>
    <d v="2026-01-06T00:00:00"/>
  </r>
  <r>
    <x v="12"/>
    <d v="2026-12-07T00:00:00"/>
    <x v="13"/>
    <s v="JORGE LUIS MOLINA ROBLES"/>
    <n v="19805608148"/>
    <s v="MORJ561213HCSLBR00"/>
    <n v="22609052"/>
    <n v="5219999000191"/>
    <x v="2"/>
    <n v="56712.3"/>
    <n v="17013.689999999999"/>
    <n v="17013.689999999999"/>
    <n v="0"/>
    <d v="2026-09-01T00:00:00"/>
  </r>
  <r>
    <x v="12"/>
    <s v="13/07/2026"/>
    <x v="3"/>
    <s v="LUZ GABRIELA LOPEZ CARDENAS "/>
    <n v="12927529763"/>
    <s v="LOCL770212MGTPRZ03 "/>
    <n v="22626730"/>
    <n v="5214772863829"/>
    <x v="2"/>
    <n v="5636.59"/>
    <n v="1617.42"/>
    <n v="1690.98"/>
    <n v="-153.81"/>
    <d v="2027-01-06T00:00:00"/>
  </r>
  <r>
    <x v="12"/>
    <s v="13/07/2026"/>
    <x v="8"/>
    <s v="JOSE LUIZ PAZ JUAREZ"/>
    <m/>
    <s v="PAJL641122HDFZRS00"/>
    <n v="22640018"/>
    <n v="5215533265050"/>
    <x v="2"/>
    <n v="10636.54"/>
    <n v="3189.2"/>
    <n v="3190.96"/>
    <n v="1.76"/>
    <d v="2028-01-06T00:00:00"/>
  </r>
  <r>
    <x v="12"/>
    <s v="13/07/2026"/>
    <x v="22"/>
    <s v="CARLOS NAVA AGUSTIN"/>
    <n v="72765904460"/>
    <s v="NAAC590808HGRVGR05"/>
    <n v="22623106"/>
    <n v="5217443350550"/>
    <x v="2"/>
    <n v="9081.52"/>
    <n v="2519.08"/>
    <n v="2724.46"/>
    <n v="205.38"/>
    <d v="2027-01-02T00:00:00"/>
  </r>
  <r>
    <x v="12"/>
    <d v="2026-12-07T00:00:00"/>
    <x v="27"/>
    <s v="donicio hernandez "/>
    <n v="53887002698"/>
    <m/>
    <n v="22594630"/>
    <n v="5214581295663"/>
    <x v="2"/>
    <n v="6941.78"/>
    <n v="1926.9"/>
    <n v="2082.5300000000002"/>
    <n v="155.63"/>
    <d v="2026-08-01T00:00:00"/>
  </r>
  <r>
    <x v="12"/>
    <d v="2026-11-07T00:00:00"/>
    <x v="27"/>
    <s v="elias mendez "/>
    <m/>
    <s v="MEVE550720HPLNZL06"/>
    <n v="22568646"/>
    <n v="5212281289385"/>
    <x v="0"/>
    <n v="16658.41"/>
    <m/>
    <n v="4997.5200000000004"/>
    <n v="4997.5200000000004"/>
    <m/>
  </r>
  <r>
    <x v="12"/>
    <s v="13/07/2026"/>
    <x v="22"/>
    <s v="MACARIO FLORES TELLEZ"/>
    <n v="16927260022"/>
    <s v="FOTM720102HMCLLC05"/>
    <n v="22618100"/>
    <n v="5215524225515"/>
    <x v="1"/>
    <n v="908.94"/>
    <m/>
    <n v="272.68"/>
    <n v="0"/>
    <m/>
  </r>
  <r>
    <x v="12"/>
    <s v="13/07/2026"/>
    <x v="10"/>
    <s v="ELVIRA DOMINGUEZ SANTIAGO"/>
    <n v="49755731889"/>
    <s v="DOSE550410MVZMNL07"/>
    <n v="22637420"/>
    <n v="5218332348109"/>
    <x v="2"/>
    <n v="5636.59"/>
    <n v="1630.8"/>
    <n v="1690.98"/>
    <n v="-167.19"/>
    <d v="2027-01-02T00:00:00"/>
  </r>
  <r>
    <x v="12"/>
    <s v="13/07/2026"/>
    <x v="17"/>
    <s v="Irma Guadalupe Vazquez Ramirez"/>
    <m/>
    <s v="VARI651219MSLZMR05"/>
    <n v="22634248"/>
    <n v="5214494485496"/>
    <x v="2"/>
    <n v="10636.54"/>
    <n v="3174.48"/>
    <n v="3190.96"/>
    <n v="16.48"/>
    <d v="2028-01-05T00:00:00"/>
  </r>
  <r>
    <x v="12"/>
    <s v="13/07/2026"/>
    <x v="8"/>
    <s v="SAMUEL GONZALEZ RAMOS"/>
    <m/>
    <s v="GORS620827HGTNMM06"/>
    <n v="22636648"/>
    <n v="5214778903119"/>
    <x v="6"/>
    <n v="7116.73"/>
    <n v="1859.05"/>
    <n v="2135.02"/>
    <n v="275.97000000000003"/>
    <d v="2026-01-02T00:00:00"/>
  </r>
  <r>
    <x v="12"/>
    <s v="13/07/2026"/>
    <x v="10"/>
    <s v="Ma, Guadalupe Bernal Betancourt"/>
    <n v="6805710594"/>
    <s v="BEBG591122MMCRTD09"/>
    <n v="22655130"/>
    <n v="5216632109315"/>
    <x v="6"/>
    <n v="7116.73"/>
    <n v="1968.44"/>
    <n v="2135.02"/>
    <n v="166.58"/>
    <d v="2026-01-06T00:00:00"/>
  </r>
  <r>
    <x v="12"/>
    <s v="13/07/2026"/>
    <x v="10"/>
    <m/>
    <n v="32806267855"/>
    <m/>
    <n v="22640684"/>
    <n v="5218441039950"/>
    <x v="0"/>
    <n v="6474.77"/>
    <m/>
    <n v="1942.43"/>
    <n v="1942.43"/>
    <m/>
  </r>
  <r>
    <x v="12"/>
    <d v="2026-10-07T00:00:00"/>
    <x v="0"/>
    <s v="JUANA PATRICIA UREÑA CORRAL"/>
    <n v="33885677813"/>
    <s v="UECJ670307MCHRRN03"/>
    <n v="22560634"/>
    <n v="5216143703372"/>
    <x v="2"/>
    <n v="7135.6"/>
    <n v="2062.5"/>
    <n v="2140.6799999999998"/>
    <n v="78.180000000000007"/>
    <d v="2027-01-05T00:00:00"/>
  </r>
  <r>
    <x v="12"/>
    <s v="13/07/2026"/>
    <x v="8"/>
    <s v="MAXIMILIANO RINCON LOPEZ"/>
    <m/>
    <s v="RILM621231HMNNPX02"/>
    <n v="22640350"/>
    <n v="5217531157241"/>
    <x v="0"/>
    <n v="21658.36"/>
    <n v="5197.3599999999997"/>
    <n v="6497.51"/>
    <n v="1300.1500000000001"/>
    <d v="2026-01-11T00:00:00"/>
  </r>
  <r>
    <x v="12"/>
    <s v="13/07/2026"/>
    <x v="13"/>
    <s v="FRANCISCO HERRERA AVALOS"/>
    <n v="3185500291"/>
    <s v="HEAF500415HDGRVR07"/>
    <n v="22614812"/>
    <n v="5216741098699"/>
    <x v="8"/>
    <n v="74.3"/>
    <m/>
    <n v="22.29"/>
    <n v="0"/>
    <m/>
  </r>
  <r>
    <x v="12"/>
    <s v="13/07/2026"/>
    <x v="3"/>
    <s v="JUAN MARTINEZ ALFONSO "/>
    <n v="67957353732"/>
    <s v="MAAJ731110HVZRLN00"/>
    <n v="22609158"/>
    <n v="5219681153922"/>
    <x v="5"/>
    <m/>
    <m/>
    <n v="0"/>
    <n v="0"/>
    <m/>
  </r>
  <r>
    <x v="12"/>
    <s v="13/07/2026"/>
    <x v="10"/>
    <s v="ENRIQUE REYNOSO DIAZ"/>
    <m/>
    <s v="REDE601229HJCYZN02"/>
    <n v="22638868"/>
    <n v="5218130826424"/>
    <x v="0"/>
    <n v="7920.51"/>
    <m/>
    <n v="2376.15"/>
    <n v="2376.15"/>
    <m/>
  </r>
  <r>
    <x v="12"/>
    <s v="13/07/2026"/>
    <x v="26"/>
    <s v="EFRAIN ALONSO GUZMAN WING"/>
    <n v="43735122301"/>
    <s v="GUWE510426HNLZNF06"/>
    <n v="22616442"/>
    <n v="5218112557015"/>
    <x v="2"/>
    <n v="35943.760000000002"/>
    <n v="10782.68"/>
    <n v="10783.13"/>
    <n v="0.45"/>
    <d v="2027-01-02T00:00:00"/>
  </r>
  <r>
    <x v="12"/>
    <s v="13/07/2026"/>
    <x v="8"/>
    <s v="FRANCISCO CRUZ REYES"/>
    <m/>
    <s v="CURF680925HVZRYR02"/>
    <n v="22635752"/>
    <n v="5216566567091"/>
    <x v="2"/>
    <n v="6045.77"/>
    <n v="1813.55"/>
    <n v="1813.73"/>
    <n v="0.18"/>
    <d v="2026-12-01T00:00:00"/>
  </r>
  <r>
    <x v="12"/>
    <s v="13/07/2026"/>
    <x v="17"/>
    <s v="Juan Manuel Fragoso Martinez"/>
    <m/>
    <s v="FAMJ730517HDFRRN00"/>
    <n v="22663782"/>
    <n v="5521831364"/>
    <x v="1"/>
    <n v="3912.1"/>
    <n v="879"/>
    <n v="1173.6300000000001"/>
    <n v="-879"/>
    <m/>
  </r>
  <r>
    <x v="12"/>
    <s v="13/07/2026"/>
    <x v="30"/>
    <s v="Bruno Perez Molina"/>
    <m/>
    <s v="PEMB731223HJCRLR00"/>
    <n v="22640540"/>
    <n v="5213321654596"/>
    <x v="4"/>
    <m/>
    <m/>
    <n v="0"/>
    <n v="0"/>
    <m/>
  </r>
  <r>
    <x v="12"/>
    <s v="13/07/2026"/>
    <x v="3"/>
    <s v="ROBERTO RAMON PEREZ"/>
    <n v="83826318749"/>
    <s v="RAPR631128HTCMRB09 "/>
    <n v="22611562"/>
    <n v="5219364047157"/>
    <x v="2"/>
    <n v="9760.32"/>
    <n v="2902.97"/>
    <n v="2928.1"/>
    <n v="25.13"/>
    <d v="2028-01-06T00:00:00"/>
  </r>
  <r>
    <x v="12"/>
    <s v="13/07/2026"/>
    <x v="8"/>
    <s v="J. GUADALUPE BECERRA ORTIZ"/>
    <m/>
    <s v="BEOG570822HGTCRD08"/>
    <n v="22640534"/>
    <n v="5214723001845"/>
    <x v="1"/>
    <n v="4199.87"/>
    <m/>
    <n v="1259.96"/>
    <n v="26.89"/>
    <m/>
  </r>
  <r>
    <x v="12"/>
    <s v="13/07/2026"/>
    <x v="30"/>
    <s v="Esmeralda Aguilar Orozco"/>
    <n v="53947525647"/>
    <s v="AUOE750618MMNGRS05"/>
    <n v="22638550"/>
    <n v="5214431339457"/>
    <x v="2"/>
    <n v="5642.22"/>
    <n v="1414.82"/>
    <n v="1692.67"/>
    <n v="54.42"/>
    <d v="2027-01-08T00:00:00"/>
  </r>
  <r>
    <x v="12"/>
    <s v="13/07/2026"/>
    <x v="26"/>
    <s v="MARIA ELENA ZAVALA URIARTE"/>
    <n v="23876539612"/>
    <s v="ZAUE651205MSLVRL08"/>
    <n v="22666108"/>
    <n v="5216681580159"/>
    <x v="2"/>
    <n v="10636.54"/>
    <n v="3187.07"/>
    <n v="3190.96"/>
    <n v="3.89"/>
    <d v="2028-01-05T00:00:00"/>
  </r>
  <r>
    <x v="12"/>
    <s v="13/07/2026"/>
    <x v="6"/>
    <s v="ADOLFO MORALES HIGUERA "/>
    <n v="23705217489"/>
    <s v="MOHA520609HSLRGD06"/>
    <n v="22628336"/>
    <n v="5216691508124"/>
    <x v="3"/>
    <n v="44411.1"/>
    <n v="12849.19"/>
    <n v="13323.33"/>
    <n v="474.14"/>
    <d v="2028-01-01T00:00:00"/>
  </r>
  <r>
    <x v="12"/>
    <s v="13/07/2026"/>
    <x v="10"/>
    <s v="ROBERTO JAVIER GARCIA CARRILLO"/>
    <n v="32745719917"/>
    <s v="GACR591118HCLRRB07"/>
    <n v="22624006"/>
    <n v="5218715054614"/>
    <x v="3"/>
    <n v="4813.6899999999996"/>
    <m/>
    <n v="1444.11"/>
    <n v="640.71"/>
    <m/>
  </r>
  <r>
    <x v="13"/>
    <s v="13/07/2026"/>
    <x v="0"/>
    <s v="JASHA ARACELI KOSBERG GONZALEZ"/>
    <m/>
    <s v="KOGJ540819MDFSNS02"/>
    <n v="22674188"/>
    <n v="5212284915800"/>
    <x v="5"/>
    <m/>
    <m/>
    <n v="0"/>
    <n v="0"/>
    <m/>
  </r>
  <r>
    <x v="13"/>
    <s v="13/07/2026"/>
    <x v="8"/>
    <s v="OCTAVIO TORRES CRUZ"/>
    <m/>
    <s v="TOCO580120HVZRRC09"/>
    <n v="22641068"/>
    <n v="5212871659327"/>
    <x v="1"/>
    <n v="4636.43"/>
    <n v="879"/>
    <n v="1390.93"/>
    <n v="-415.55"/>
    <m/>
  </r>
  <r>
    <x v="13"/>
    <s v="13/07/2026"/>
    <x v="0"/>
    <s v="RIGOBERTO GONZALEZ"/>
    <n v="54806137904"/>
    <m/>
    <n v="22668054"/>
    <n v="5213223303894"/>
    <x v="5"/>
    <m/>
    <m/>
    <n v="0"/>
    <n v="0"/>
    <m/>
  </r>
  <r>
    <x v="13"/>
    <d v="2026-10-07T00:00:00"/>
    <x v="27"/>
    <s v="BENJAMIN MONTOYA "/>
    <n v="7806300492"/>
    <m/>
    <n v="22560130"/>
    <n v="5215518041896"/>
    <x v="7"/>
    <n v="5617.63"/>
    <n v="1393.24"/>
    <n v="1685.29"/>
    <n v="51.41"/>
    <d v="2025-01-09T00:00:00"/>
  </r>
  <r>
    <x v="13"/>
    <s v="14/07/2026"/>
    <x v="16"/>
    <m/>
    <n v="41917702056"/>
    <m/>
    <n v="1"/>
    <s v="N/ P"/>
    <x v="4"/>
    <m/>
    <m/>
    <n v="0"/>
    <n v="0"/>
    <m/>
  </r>
  <r>
    <x v="13"/>
    <s v="14/07/2026"/>
    <x v="0"/>
    <s v="JAVIER MORALES GUTIERREZ"/>
    <n v="54806171580"/>
    <s v="GUMJ610123HJCTRV04"/>
    <n v="22667926"/>
    <n v="5213332013606"/>
    <x v="3"/>
    <n v="33064.39"/>
    <n v="9177.4699999999993"/>
    <n v="9919.32"/>
    <n v="741.85"/>
    <d v="2027-01-01T00:00:00"/>
  </r>
  <r>
    <x v="13"/>
    <d v="2026-11-07T00:00:00"/>
    <x v="23"/>
    <m/>
    <n v="1695404689"/>
    <m/>
    <n v="22573174"/>
    <n v="5215547820097"/>
    <x v="1"/>
    <n v="4166.2299999999996"/>
    <n v="848"/>
    <n v="1249.8699999999999"/>
    <n v="-848"/>
    <m/>
  </r>
  <r>
    <x v="13"/>
    <s v="13/07/2026"/>
    <x v="8"/>
    <s v="BLANCA NOHEMI SANCHEZ ALONSO"/>
    <m/>
    <s v="SAAB510524MVZNLL01"/>
    <n v="22665902"/>
    <n v="5212291171782"/>
    <x v="3"/>
    <n v="5320.51"/>
    <m/>
    <n v="1596.15"/>
    <n v="1147.53"/>
    <m/>
  </r>
  <r>
    <x v="13"/>
    <s v="13/07/2026"/>
    <x v="6"/>
    <s v="JOSE GABRIEL MEJIA PACHECO"/>
    <n v="14775503098"/>
    <s v="MEPG550226HDFJCB06"/>
    <n v="22637630"/>
    <n v="5214427802068"/>
    <x v="2"/>
    <n v="29494.89"/>
    <n v="8848.4599999999991"/>
    <n v="8848.4699999999993"/>
    <n v="0.01"/>
    <d v="2027-01-01T00:00:00"/>
  </r>
  <r>
    <x v="13"/>
    <s v="13/07/2026"/>
    <x v="10"/>
    <s v="GABRIEL TAKAJASI MALDONADO"/>
    <n v="32826467881"/>
    <s v="TAMG640114HCLKLB02"/>
    <n v="22664404"/>
    <n v="5218621105028"/>
    <x v="2"/>
    <n v="14003.98"/>
    <n v="4201.1899999999996"/>
    <n v="4201.1899999999996"/>
    <n v="0"/>
    <d v="2027-01-02T00:00:00"/>
  </r>
  <r>
    <x v="13"/>
    <s v="13/07/2026"/>
    <x v="20"/>
    <s v="Fernando Jose "/>
    <n v="69887008352"/>
    <s v="MELF650909HDFNPR06"/>
    <n v="22673644"/>
    <n v="5215539506347"/>
    <x v="2"/>
    <n v="9760.32"/>
    <n v="2927.04"/>
    <n v="2928.1"/>
    <n v="1.06"/>
    <d v="2028-01-03T00:00:00"/>
  </r>
  <r>
    <x v="13"/>
    <s v="14/07/2026"/>
    <x v="16"/>
    <m/>
    <n v="71826001803"/>
    <m/>
    <n v="1"/>
    <s v="N / P"/>
    <x v="3"/>
    <n v="5617.63"/>
    <n v="848"/>
    <n v="1685.29"/>
    <n v="596.65"/>
    <m/>
  </r>
  <r>
    <x v="13"/>
    <s v="13/07/2026"/>
    <x v="14"/>
    <s v="Irma Ayala González"/>
    <n v="1925900530"/>
    <m/>
    <n v="22667152"/>
    <n v="5215516479379"/>
    <x v="7"/>
    <n v="4813.6899999999996"/>
    <n v="516.65"/>
    <n v="1444.11"/>
    <n v="124.06"/>
    <d v="2024-01-10T00:00:00"/>
  </r>
  <r>
    <x v="13"/>
    <s v="13/07/2026"/>
    <x v="13"/>
    <s v="MARIA GUADALUPE AGUILAR MORALES"/>
    <n v="53927357326"/>
    <s v="AUMG930530MMNGRD02"/>
    <n v="22665328"/>
    <n v="5214521121270"/>
    <x v="0"/>
    <n v="7920.54"/>
    <m/>
    <n v="2376.16"/>
    <n v="2376.16"/>
    <m/>
  </r>
  <r>
    <x v="13"/>
    <s v="13/07/2026"/>
    <x v="20"/>
    <s v="ADRIAN RODRIGUEZ"/>
    <m/>
    <s v="ROHA800309HMCDRD05"/>
    <n v="22673856"/>
    <n v="5217291700830"/>
    <x v="8"/>
    <m/>
    <m/>
    <n v="0"/>
    <n v="0"/>
    <m/>
  </r>
  <r>
    <x v="13"/>
    <s v="13/07/2026"/>
    <x v="14"/>
    <s v="FAUSTA PETRA ROMAN CEVADA"/>
    <m/>
    <s v="ROCF620217MPLMVS18"/>
    <n v="22665252"/>
    <n v="5212214322959"/>
    <x v="2"/>
    <n v="15950.14"/>
    <n v="4775.18"/>
    <n v="4785.04"/>
    <n v="9.86"/>
    <d v="2028-01-07T00:00:00"/>
  </r>
  <r>
    <x v="13"/>
    <s v="13/07/2026"/>
    <x v="23"/>
    <s v="GERMAN ORTIZ BALCAZAR"/>
    <n v="33896449767"/>
    <s v="OIBG641011HCHRLR01"/>
    <n v="22628398"/>
    <n v="5216481247680"/>
    <x v="3"/>
    <n v="22574.84"/>
    <n v="5769.17"/>
    <n v="6772.45"/>
    <n v="1003.28"/>
    <d v="2027-01-02T00:00:00"/>
  </r>
  <r>
    <x v="13"/>
    <s v="13/07/2026"/>
    <x v="17"/>
    <s v="Juan Rene Martinez Huitron"/>
    <m/>
    <s v="MAHJ660122HCHRTN05"/>
    <n v="22639886"/>
    <n v="6561572554"/>
    <x v="8"/>
    <m/>
    <m/>
    <n v="0"/>
    <n v="0"/>
    <m/>
  </r>
  <r>
    <x v="13"/>
    <d v="2026-12-07T00:00:00"/>
    <x v="22"/>
    <s v="SALVADOR ESTRADA CHAVEZ"/>
    <n v="53795621787"/>
    <m/>
    <n v="22610212"/>
    <n v="5214422504274"/>
    <x v="9"/>
    <n v="21769.360000000001"/>
    <n v="6276.74"/>
    <n v="6530.81"/>
    <n v="254.07"/>
    <d v="2026-01-07T00:00:00"/>
  </r>
  <r>
    <x v="13"/>
    <s v="13/07/2026"/>
    <x v="22"/>
    <s v="ARMANDO TORRES CAMPOS"/>
    <n v="63846103248"/>
    <s v="TOCA610830HDFRMR09"/>
    <n v="22632466"/>
    <n v="5218129239828"/>
    <x v="2"/>
    <n v="9760.32"/>
    <n v="2928.1"/>
    <n v="2928.1"/>
    <n v="0"/>
    <d v="2028-01-02T00:00:00"/>
  </r>
  <r>
    <x v="13"/>
    <s v="14/07/2026"/>
    <x v="3"/>
    <s v="FREDY RAMON MEX CHIM  "/>
    <n v="84876204433"/>
    <s v="MECF620831HYNXHR01"/>
    <n v="22666968"/>
    <n v="5219911097339"/>
    <x v="2"/>
    <n v="11029.03"/>
    <n v="3306.28"/>
    <n v="3308.71"/>
    <n v="2.4300000000000002"/>
    <d v="2028-01-04T00:00:00"/>
  </r>
  <r>
    <x v="13"/>
    <s v="14/07/2026"/>
    <x v="29"/>
    <s v="ALEJANDRO BECERRIL ALEJANDRO"/>
    <n v="82876404243"/>
    <s v="RXBA640620HDFDCL07"/>
    <n v="22674222"/>
    <n v="5215539717108"/>
    <x v="2"/>
    <n v="9081.52"/>
    <n v="2625.62"/>
    <n v="2724.46"/>
    <n v="98.84"/>
    <d v="2026-12-01T00:00:00"/>
  </r>
  <r>
    <x v="13"/>
    <s v="13/07/2026"/>
    <x v="29"/>
    <s v="EVANGELINA DE JESUS ABAD CONCHA"/>
    <n v="75816107793"/>
    <s v="AACE620324MDFBNV09"/>
    <n v="22671688"/>
    <n v="5215517800554"/>
    <x v="2"/>
    <n v="9081.52"/>
    <n v="2627.49"/>
    <n v="2724.46"/>
    <n v="96.97"/>
    <d v="2027-01-06T00:00:00"/>
  </r>
  <r>
    <x v="13"/>
    <s v="14/07/2026"/>
    <x v="14"/>
    <s v="RUBEN LEAL NIEBLAS"/>
    <m/>
    <s v="LENR640611HSRLBB06"/>
    <n v="22688956"/>
    <n v="5216646145173"/>
    <x v="2"/>
    <n v="9081.52"/>
    <n v="2627.5"/>
    <n v="2724.46"/>
    <n v="96.96"/>
    <d v="2027-01-06T00:00:00"/>
  </r>
  <r>
    <x v="13"/>
    <s v="14/07/2026"/>
    <x v="3"/>
    <s v="MANUEL BECERRA ZEPEDA"/>
    <n v="54806475213"/>
    <s v="BEZM640410HJCCPN04"/>
    <n v="22689350"/>
    <n v="5213333266115"/>
    <x v="0"/>
    <n v="9760.32"/>
    <m/>
    <n v="2928.1"/>
    <n v="2928.1"/>
    <m/>
  </r>
  <r>
    <x v="13"/>
    <s v="14/07/2026"/>
    <x v="30"/>
    <s v="Bertha Idalia Camarillo Gonzalez"/>
    <n v="43836703074"/>
    <s v="CAGB720930MNLMNR01"/>
    <n v="22690526"/>
    <n v="5218115391672"/>
    <x v="2"/>
    <n v="8784.17"/>
    <n v="2633.16"/>
    <n v="2635.25"/>
    <n v="2.09"/>
    <d v="2028-01-04T00:00:00"/>
  </r>
  <r>
    <x v="13"/>
    <s v="14/07/2026"/>
    <x v="22"/>
    <s v="MARIA DEL ROSARIO MENDEZ SANCHEZ"/>
    <n v="1715235253"/>
    <s v="MESR630411MDFNNS05"/>
    <n v="22690354"/>
    <n v="5215579810265"/>
    <x v="0"/>
    <n v="8173.36"/>
    <m/>
    <n v="2452.0100000000002"/>
    <n v="2452.0100000000002"/>
    <m/>
  </r>
  <r>
    <x v="13"/>
    <s v="14/07/2026"/>
    <x v="6"/>
    <s v="MARTIN MARTINEZ MARTINEZ "/>
    <n v="43796302149"/>
    <s v="MAMM630816HNLRRR08"/>
    <n v="22688094"/>
    <n v="5218124111570"/>
    <x v="6"/>
    <n v="7920.51"/>
    <n v="2101.11"/>
    <n v="2376.15"/>
    <n v="275.04000000000002"/>
    <d v="2025-01-11T00:00:00"/>
  </r>
  <r>
    <x v="13"/>
    <d v="2026-11-07T00:00:00"/>
    <x v="13"/>
    <s v="VERONICA ENRIQUETA SAMPAYO DIAZ"/>
    <n v="43896433091"/>
    <s v="SADV640426MNLMZR05"/>
    <n v="22580480"/>
    <n v="5218115138552"/>
    <x v="3"/>
    <n v="15237.96"/>
    <n v="3559.81"/>
    <n v="4571.3900000000003"/>
    <n v="1011.58"/>
    <d v="2027-01-06T00:00:00"/>
  </r>
  <r>
    <x v="13"/>
    <d v="2026-11-07T00:00:00"/>
    <x v="17"/>
    <s v="Reynaldo Sias Valencia"/>
    <m/>
    <s v="SIVR530225HCHSLY08"/>
    <n v="22585848"/>
    <n v="6351116443"/>
    <x v="0"/>
    <n v="18599.07"/>
    <m/>
    <n v="5579.72"/>
    <n v="5579.72"/>
    <m/>
  </r>
  <r>
    <x v="13"/>
    <s v="13/07/2026"/>
    <x v="23"/>
    <s v="GUADALUPE GALICIA ANTONIO"/>
    <n v="78785909827"/>
    <s v="GAAG590326MOCLND09"/>
    <n v="22664576"/>
    <n v="5219712095328"/>
    <x v="1"/>
    <n v="4554.84"/>
    <n v="848"/>
    <n v="1366.45"/>
    <n v="-466.14"/>
    <m/>
  </r>
  <r>
    <x v="13"/>
    <s v="14/07/2026"/>
    <x v="31"/>
    <s v="OSCAR SANCHEZ IBARRA"/>
    <n v="80917378064"/>
    <s v="SAIO731007HCLNBS01"/>
    <n v="2"/>
    <n v="8442638064"/>
    <x v="7"/>
    <n v="10482.5"/>
    <n v="3139.11"/>
    <n v="3144.75"/>
    <n v="5.64"/>
    <d v="2026-01-07T00:00:00"/>
  </r>
  <r>
    <x v="13"/>
    <s v="14/07/2026"/>
    <x v="32"/>
    <m/>
    <n v="83916805209"/>
    <s v="BAGM680909HTCTMN03"/>
    <n v="2"/>
    <n v="9933945229"/>
    <x v="5"/>
    <m/>
    <m/>
    <n v="0"/>
    <n v="0"/>
    <m/>
  </r>
  <r>
    <x v="13"/>
    <s v="13/07/2026"/>
    <x v="19"/>
    <s v="ADRIAN"/>
    <n v="1856300957"/>
    <m/>
    <n v="22669732"/>
    <n v="5215521190796"/>
    <x v="2"/>
    <n v="18477.990000000002"/>
    <n v="5534.19"/>
    <n v="5543.4"/>
    <n v="9.2100000000000009"/>
    <d v="2026-12-01T00:00:00"/>
  </r>
  <r>
    <x v="13"/>
    <s v="14/07/2026"/>
    <x v="26"/>
    <s v="ROSA ELENA MARTINEZ VILLA "/>
    <m/>
    <s v="MAVR750427MZSRLS09"/>
    <n v="22690608"/>
    <n v="5214931493971"/>
    <x v="1"/>
    <n v="3635.76"/>
    <n v="848"/>
    <n v="1090.73"/>
    <n v="-848"/>
    <m/>
  </r>
  <r>
    <x v="13"/>
    <s v="14/07/2026"/>
    <x v="26"/>
    <s v="ANTONIO RIOS ALVAREZ"/>
    <n v="43846425387"/>
    <s v="RIAA640505HZSSLN04"/>
    <n v="22690608"/>
    <n v="5214931493971"/>
    <x v="0"/>
    <n v="9081.52"/>
    <n v="848"/>
    <n v="2724.46"/>
    <n v="1876.46"/>
    <m/>
  </r>
  <r>
    <x v="13"/>
    <s v="14/07/2026"/>
    <x v="32"/>
    <s v="LUIS ARTURO RUIZ NOTARIO "/>
    <n v="11977310512"/>
    <s v="RUNL730922HDFZTS08"/>
    <n v="2"/>
    <s v=" 449 203 0848"/>
    <x v="4"/>
    <m/>
    <m/>
    <n v="0"/>
    <n v="0"/>
    <m/>
  </r>
  <r>
    <x v="13"/>
    <s v="13/07/2026"/>
    <x v="17"/>
    <s v="José Casillas Moya"/>
    <n v="75927211138"/>
    <m/>
    <n v="22663030"/>
    <n v="3339726347"/>
    <x v="8"/>
    <n v="2080.96"/>
    <m/>
    <n v="624.29"/>
    <n v="0"/>
    <m/>
  </r>
  <r>
    <x v="13"/>
    <s v="13/07/2026"/>
    <x v="17"/>
    <s v="Geraldine Arreola Acosta"/>
    <n v="57978000792"/>
    <s v="AEAG910718MSRRCR05"/>
    <n v="22664916"/>
    <n v="6442538324"/>
    <x v="4"/>
    <m/>
    <m/>
    <n v="0"/>
    <n v="0"/>
    <m/>
  </r>
  <r>
    <x v="13"/>
    <s v="14/07/2026"/>
    <x v="20"/>
    <s v="LUCIANO"/>
    <n v="33816544705"/>
    <m/>
    <n v="22669032"/>
    <n v="5216141075794"/>
    <x v="2"/>
    <n v="10171.24"/>
    <n v="2940.26"/>
    <n v="3051.37"/>
    <n v="111.11"/>
    <d v="2027-01-05T00:00:00"/>
  </r>
  <r>
    <x v="13"/>
    <s v="13/07/2026"/>
    <x v="27"/>
    <s v="MARTIN TORRES MUNGUIA "/>
    <m/>
    <s v="TOMM660309HSRRNR04"/>
    <n v="22669924"/>
    <n v="5216623287799"/>
    <x v="3"/>
    <n v="12103.68"/>
    <n v="3240.99"/>
    <n v="3631.1"/>
    <n v="390.11"/>
    <d v="2027-01-08T00:00:00"/>
  </r>
  <r>
    <x v="13"/>
    <d v="2026-12-07T00:00:00"/>
    <x v="6"/>
    <s v="JOSE ALBERTO MENDEZ PADILLA "/>
    <n v="44856788138"/>
    <s v="MEPA670318HSRNDL03"/>
    <n v="22610852"/>
    <n v="5216627473764"/>
    <x v="5"/>
    <m/>
    <m/>
    <n v="0"/>
    <n v="0"/>
    <m/>
  </r>
  <r>
    <x v="13"/>
    <s v="14/07/2026"/>
    <x v="6"/>
    <s v="IGNACIO CEBALLOS OLIVERA  "/>
    <n v="52796001528"/>
    <s v="CEOI610718HJCBLG02"/>
    <n v="22580608"/>
    <n v="5213121423695"/>
    <x v="2"/>
    <n v="6262.86"/>
    <n v="1719.96"/>
    <n v="1878.86"/>
    <n v="158.9"/>
    <d v="2027-01-09T00:00:00"/>
  </r>
  <r>
    <x v="13"/>
    <s v="13/07/2026"/>
    <x v="27"/>
    <s v="TOMAS TORRES FLORES "/>
    <m/>
    <s v="TOFT591221HGRRLM09"/>
    <n v="22673550"/>
    <n v="5215575567247"/>
    <x v="2"/>
    <n v="5617.63"/>
    <n v="1332.18"/>
    <n v="1685.29"/>
    <n v="112.47"/>
    <d v="2027-01-02T00:00:00"/>
  </r>
  <r>
    <x v="13"/>
    <s v="14/07/2026"/>
    <x v="22"/>
    <s v="NORMA CEDILLO GOMEZ"/>
    <m/>
    <s v="CEGN640611MMSDMR03"/>
    <n v="22687172"/>
    <n v="5217772965573"/>
    <x v="2"/>
    <n v="16285.87"/>
    <n v="4711.8900000000003"/>
    <n v="4885.76"/>
    <n v="173.87"/>
    <d v="2027-01-03T00:00:00"/>
  </r>
  <r>
    <x v="13"/>
    <d v="2026-02-07T00:00:00"/>
    <x v="26"/>
    <s v="JOSE LUIS RODRIGUEZ MENDOZA"/>
    <n v="83785811460"/>
    <s v="ROML580704HCSDNS17"/>
    <n v="22250642"/>
    <n v="5219171010336"/>
    <x v="1"/>
    <n v="4342.43"/>
    <m/>
    <n v="1302.73"/>
    <n v="169.45"/>
    <m/>
  </r>
  <r>
    <x v="13"/>
    <s v="13/07/2026"/>
    <x v="26"/>
    <s v="ELIZABETH GODINEZ LOPEZ"/>
    <n v="64856506189"/>
    <s v="GOLE650728MDFDPL04"/>
    <n v="22614856"/>
    <n v="5215621633954"/>
    <x v="2"/>
    <n v="9760.32"/>
    <n v="2823.87"/>
    <n v="2928.1"/>
    <n v="104.23"/>
    <d v="2027-01-12T00:00:00"/>
  </r>
  <r>
    <x v="13"/>
    <d v="2026-09-07T00:00:00"/>
    <x v="10"/>
    <s v="MARIA TERESA CUEVA CRUZ"/>
    <n v="14937425560"/>
    <s v="CUCT890601MQTVRR00"/>
    <n v="22515090"/>
    <n v="5214423465502"/>
    <x v="9"/>
    <n v="9572.11"/>
    <n v="2657.56"/>
    <n v="2871.63"/>
    <n v="214.07"/>
    <d v="2026-01-07T00:00:00"/>
  </r>
  <r>
    <x v="13"/>
    <s v="14/07/2026"/>
    <x v="30"/>
    <s v="ZAIRA ROSARIO PEÑA DE LA CHICA"/>
    <n v="17866826435"/>
    <s v="PECZ740419MDFXHR08S"/>
    <n v="22664176"/>
    <n v="5215519306122"/>
    <x v="2"/>
    <n v="7867.99"/>
    <n v="2245.5"/>
    <n v="2360.4"/>
    <n v="114.9"/>
    <d v="2028-01-04T00:00:00"/>
  </r>
  <r>
    <x v="13"/>
    <s v="13/07/2026"/>
    <x v="19"/>
    <s v="MARIO "/>
    <m/>
    <s v="ZAVM630118HMNMLR08"/>
    <n v="22668112"/>
    <n v="5213121046588"/>
    <x v="2"/>
    <n v="9567.24"/>
    <n v="2870.17"/>
    <n v="2870.17"/>
    <n v="0"/>
    <d v="2026-12-01T00:00:00"/>
  </r>
  <r>
    <x v="13"/>
    <d v="2026-12-07T00:00:00"/>
    <x v="6"/>
    <s v="MARIA PATRICIA MORAN "/>
    <s v="_x000a_28976100579"/>
    <s v="MOXP590401MDFRXT02"/>
    <n v="22611444"/>
    <n v="5215587919977"/>
    <x v="4"/>
    <m/>
    <m/>
    <n v="0"/>
    <n v="0"/>
    <m/>
  </r>
  <r>
    <x v="13"/>
    <s v="14/07/2026"/>
    <x v="26"/>
    <s v="JESUS MANUEL ONTIVEROS DE LA ROSA"/>
    <n v="33836564477"/>
    <s v="OIRJ650214HCHNSS04"/>
    <n v="22688356"/>
    <n v="5216147878314"/>
    <x v="2"/>
    <n v="28241.17"/>
    <n v="8464.31"/>
    <n v="8472.35"/>
    <n v="8.0399999999999991"/>
    <d v="2028-01-06T00:00:00"/>
  </r>
  <r>
    <x v="13"/>
    <s v="14/07/2026"/>
    <x v="30"/>
    <s v="Antonio Hernández Arechiga"/>
    <n v="43816408686"/>
    <s v="HEAA640708HNLRRN07"/>
    <n v="22698566"/>
    <n v="5218120079204"/>
    <x v="0"/>
    <n v="34688.980000000003"/>
    <n v="9023.91"/>
    <n v="10406.69"/>
    <n v="1382.78"/>
    <d v="2026-01-12T00:00:00"/>
  </r>
  <r>
    <x v="13"/>
    <s v="13/07/2026"/>
    <x v="17"/>
    <s v="Jose Trinidad Fuentes Herrera"/>
    <m/>
    <s v="FUHT770605HMCNRR08"/>
    <n v="22665794"/>
    <n v="7204540873"/>
    <x v="1"/>
    <n v="4346.07"/>
    <n v="848"/>
    <n v="1303.82"/>
    <n v="-674.91"/>
    <m/>
  </r>
  <r>
    <x v="13"/>
    <s v="14/07/2026"/>
    <x v="13"/>
    <s v="LUCIA MARINA SALAZAR OLIVO"/>
    <n v="43856022280"/>
    <s v="SAOL601226MNLLLC03"/>
    <n v="22690880"/>
    <n v="5218123409540"/>
    <x v="7"/>
    <n v="6262.86"/>
    <n v="830.61"/>
    <n v="1878.86"/>
    <n v="1048.25"/>
    <d v="2024-01-08T00:00:00"/>
  </r>
  <r>
    <x v="13"/>
    <s v="14/07/2026"/>
    <x v="13"/>
    <s v="FELIPA MENDEZ FERNANDEZ"/>
    <m/>
    <s v="MEFF630823MCHNRL01"/>
    <n v="22686468"/>
    <n v="5216391026302"/>
    <x v="2"/>
    <n v="7920.51"/>
    <n v="2291.6"/>
    <n v="2376.15"/>
    <n v="84.55"/>
    <d v="2028-01-01T00:00:00"/>
  </r>
  <r>
    <x v="13"/>
    <s v="13/07/2026"/>
    <x v="13"/>
    <s v="ALVARO ULLOA MORALES"/>
    <n v="4806305977"/>
    <s v="UOMA630219HJCLRL08"/>
    <n v="22667208"/>
    <n v="5218112130618"/>
    <x v="0"/>
    <n v="7920.53"/>
    <m/>
    <n v="2376.16"/>
    <n v="2376.16"/>
    <m/>
  </r>
  <r>
    <x v="13"/>
    <s v="14/07/2026"/>
    <x v="22"/>
    <s v="DAVID MORENO PEREZ"/>
    <n v="71805703718"/>
    <s v="MOPD571230HCSRRV19"/>
    <n v="22701272"/>
    <n v="5219626967021"/>
    <x v="2"/>
    <n v="6130.48"/>
    <n v="1838.87"/>
    <n v="1839.14"/>
    <n v="0.27"/>
    <d v="2028-01-06T00:00:00"/>
  </r>
  <r>
    <x v="13"/>
    <s v="14/07/2026"/>
    <x v="14"/>
    <s v="MARTIN RODRIGUEZ TORRES"/>
    <n v="62826018053"/>
    <s v="ROTM601111HTLDRR02"/>
    <n v="22701026"/>
    <n v="5212224714964"/>
    <x v="2"/>
    <n v="9760.32"/>
    <n v="2928.1"/>
    <n v="2928.1"/>
    <n v="0"/>
    <d v="2028-01-06T00:00:00"/>
  </r>
  <r>
    <x v="13"/>
    <s v="14/07/2026"/>
    <x v="30"/>
    <s v="Gustavo Adolfo Amador Gonzalez"/>
    <n v="32836529282"/>
    <s v="AAGG650106HCLMNS05"/>
    <n v="22697576"/>
    <n v="5218662349794"/>
    <x v="3"/>
    <n v="10171.19"/>
    <n v="2743.1"/>
    <n v="3051.36"/>
    <n v="308.26"/>
    <d v="2027-01-07T00:00:00"/>
  </r>
  <r>
    <x v="13"/>
    <s v="14/07/2026"/>
    <x v="26"/>
    <s v="JULIETA ALICIA MERIDA ORTIZ"/>
    <n v="1796330072"/>
    <s v="MEOJ630109MSLRRL06"/>
    <n v="22697714"/>
    <n v="5216692120144"/>
    <x v="2"/>
    <n v="17188.04"/>
    <n v="5155"/>
    <n v="5156.41"/>
    <n v="1.41"/>
    <d v="2026-11-01T00:00:00"/>
  </r>
  <r>
    <x v="13"/>
    <s v="14/07/2026"/>
    <x v="22"/>
    <s v="ANASTACIO ISLAS HERNANDEZ"/>
    <n v="1927126357"/>
    <s v="IAHA710529HHGSRN00"/>
    <n v="22702172"/>
    <n v="5215656667797"/>
    <x v="4"/>
    <m/>
    <m/>
    <n v="0"/>
    <n v="0"/>
    <m/>
  </r>
  <r>
    <x v="13"/>
    <s v="14/07/2026"/>
    <x v="23"/>
    <s v="CLEMENTE GOROSTIETA BENITES"/>
    <n v="37886400987"/>
    <s v="GOBC640916HMCRNL05"/>
    <n v="22690438"/>
    <n v="5215540411813"/>
    <x v="0"/>
    <n v="28949.8"/>
    <m/>
    <n v="8684.94"/>
    <n v="8684.94"/>
    <m/>
  </r>
  <r>
    <x v="13"/>
    <s v="14/07/2026"/>
    <x v="23"/>
    <s v="GENARO DAVILA HILARIO"/>
    <n v="32786204373"/>
    <s v="DAHG620109HCLVLN03"/>
    <n v="22700936"/>
    <n v="5218444602026"/>
    <x v="7"/>
    <n v="8859.2099999999991"/>
    <n v="2560.73"/>
    <n v="2657.76"/>
    <n v="97.03"/>
    <d v="2026-01-06T00:00:00"/>
  </r>
  <r>
    <x v="13"/>
    <s v="14/07/2026"/>
    <x v="26"/>
    <s v="ALEJANDRO CERVANTES RUIZ "/>
    <n v="70886202467"/>
    <s v="CERA620424HDFRZL04"/>
    <n v="22700398"/>
    <n v="5215558789763"/>
    <x v="0"/>
    <n v="7920.53"/>
    <m/>
    <n v="2376.16"/>
    <n v="2376.16"/>
    <m/>
  </r>
  <r>
    <x v="13"/>
    <s v="14/07/2026"/>
    <x v="6"/>
    <s v="MA DEL REFUGIO MENDEZ GUIDO "/>
    <n v="12945910847"/>
    <s v="MEGR711113MGTNDF09"/>
    <n v="22702834"/>
    <n v="5214171778946"/>
    <x v="1"/>
    <n v="3488.31"/>
    <m/>
    <n v="1046.49"/>
    <n v="0"/>
    <m/>
  </r>
  <r>
    <x v="13"/>
    <s v="14/07/2026"/>
    <x v="14"/>
    <s v="MARTIN ALEJANDRO LOPEZ BENITEZ"/>
    <n v="42816307559"/>
    <s v="LOBM630107HDFPNR01"/>
    <n v="22699024"/>
    <n v="5215648680800"/>
    <x v="0"/>
    <n v="7920.51"/>
    <m/>
    <n v="2376.15"/>
    <n v="2376.15"/>
    <m/>
  </r>
  <r>
    <x v="13"/>
    <s v="14/07/2026"/>
    <x v="10"/>
    <s v="TEOFILO OLVERA LOPEZ"/>
    <m/>
    <s v="OELT591013HQTLPF01"/>
    <n v="22697788"/>
    <n v="5214271659626"/>
    <x v="2"/>
    <n v="27739.16"/>
    <n v="8024.42"/>
    <n v="8321.75"/>
    <n v="297.33"/>
    <d v="2027-01-10T00:00:00"/>
  </r>
  <r>
    <x v="13"/>
    <s v="14/07/2026"/>
    <x v="18"/>
    <m/>
    <n v="9017725111"/>
    <m/>
    <n v="1"/>
    <n v="8994207464"/>
    <x v="5"/>
    <m/>
    <m/>
    <n v="0"/>
    <n v="0"/>
    <m/>
  </r>
  <r>
    <x v="13"/>
    <s v="13/07/2026"/>
    <x v="20"/>
    <s v="jose juan"/>
    <n v="65907514528"/>
    <s v="COZJ750810HVZRLN08"/>
    <n v="22667718"/>
    <n v="5216631098121"/>
    <x v="4"/>
    <m/>
    <m/>
    <n v="0"/>
    <n v="0"/>
    <m/>
  </r>
  <r>
    <x v="13"/>
    <d v="2026-11-07T00:00:00"/>
    <x v="8"/>
    <s v="ROSA MA. FLORES GUERRERO"/>
    <n v="41855300145"/>
    <s v="FOGR620830MSPLRS02"/>
    <n v="22583472"/>
    <n v="5214871558806"/>
    <x v="1"/>
    <n v="3488.34"/>
    <m/>
    <n v="1046.5"/>
    <n v="0"/>
    <m/>
  </r>
  <r>
    <x v="13"/>
    <s v="14/07/2026"/>
    <x v="3"/>
    <s v="ARTURO BRIONES RAMIREZ"/>
    <n v="11815910853"/>
    <s v="BIRA590125HDFRMR06"/>
    <n v="22700978"/>
    <n v="5215564191840"/>
    <x v="2"/>
    <n v="9504.7000000000007"/>
    <n v="2749.84"/>
    <n v="2851.41"/>
    <n v="101.57"/>
    <d v="2026-11-01T00:00:00"/>
  </r>
  <r>
    <x v="13"/>
    <s v="14/07/2026"/>
    <x v="6"/>
    <s v="JOSE LUIS MORALES BALLEZA "/>
    <n v="43745758540"/>
    <s v="MOBL571109HNLRLS09"/>
    <n v="22703858"/>
    <n v="5218129126642"/>
    <x v="6"/>
    <n v="13842.87"/>
    <n v="3843.27"/>
    <n v="4152.8599999999997"/>
    <n v="309.58999999999997"/>
    <d v="2026-01-07T00:00:00"/>
  </r>
  <r>
    <x v="13"/>
    <s v="14/07/2026"/>
    <x v="26"/>
    <s v="LAURA ELSA CASTAÑON VAZQUEZ"/>
    <n v="49865711805"/>
    <s v="CAVL690512MTSSZR18"/>
    <n v="22703024"/>
    <n v="5218683038595"/>
    <x v="3"/>
    <n v="5636.59"/>
    <n v="848"/>
    <n v="1690.98"/>
    <n v="615.61"/>
    <m/>
  </r>
  <r>
    <x v="13"/>
    <s v="14/07/2026"/>
    <x v="22"/>
    <s v="RUBEN ANDAZOLA MENDOZA"/>
    <n v="35866832492"/>
    <s v="AAMR680918HCHNNB07"/>
    <n v="22703368"/>
    <n v="5216145030756"/>
    <x v="1"/>
    <n v="3053.76"/>
    <m/>
    <n v="916.13"/>
    <n v="0"/>
    <m/>
  </r>
  <r>
    <x v="13"/>
    <d v="2026-10-07T00:00:00"/>
    <x v="10"/>
    <s v="MIGUEL MARQUEZ MONTOYA"/>
    <m/>
    <s v="MAMM590116HDFRNG03"/>
    <n v="22548842"/>
    <n v="5215527458961"/>
    <x v="2"/>
    <n v="8006.99"/>
    <n v="2316.61"/>
    <n v="2402.1"/>
    <n v="85.49"/>
    <d v="2027-01-06T00:00:00"/>
  </r>
  <r>
    <x v="13"/>
    <s v="14/07/2026"/>
    <x v="18"/>
    <m/>
    <n v="49907140310"/>
    <m/>
    <n v="1"/>
    <n v="8331472605"/>
    <x v="2"/>
    <n v="8853.06"/>
    <n v="2554.98"/>
    <n v="2655.92"/>
    <n v="100.94"/>
    <d v="2027-01-06T00:00:00"/>
  </r>
  <r>
    <x v="14"/>
    <s v="15/07/2026"/>
    <x v="18"/>
    <s v="NO PROPORCIONO "/>
    <n v="90886948331"/>
    <m/>
    <n v="1"/>
    <n v="5542558819"/>
    <x v="3"/>
    <n v="21022.68"/>
    <n v="5803.14"/>
    <n v="6306.8"/>
    <n v="503.66"/>
    <d v="2026-01-09T00:00:00"/>
  </r>
  <r>
    <x v="14"/>
    <s v="14/07/2026"/>
    <x v="20"/>
    <s v="VICTOR "/>
    <n v="15836401511"/>
    <m/>
    <n v="22673180"/>
    <n v="5217772707706"/>
    <x v="2"/>
    <n v="30210.63"/>
    <n v="9059.64"/>
    <n v="9063.19"/>
    <n v="3.55"/>
    <d v="2027-01-02T00:00:00"/>
  </r>
  <r>
    <x v="14"/>
    <s v="15/07/2026"/>
    <x v="31"/>
    <s v="DEMETRIO MARTINEZ MENDEZ"/>
    <n v="49816234568"/>
    <s v="MAMD621222HMCRNM05"/>
    <n v="2"/>
    <n v="8683538434"/>
    <x v="2"/>
    <n v="7116.73"/>
    <n v="2059"/>
    <n v="2135.02"/>
    <n v="76.02"/>
    <d v="2027-01-06T00:00:00"/>
  </r>
  <r>
    <x v="14"/>
    <s v="14/07/2026"/>
    <x v="3"/>
    <s v="MANUEL RODRIGUEZ CEJA"/>
    <n v="54815737629"/>
    <s v="ROCM571124HJCDJN08"/>
    <n v="22690592"/>
    <n v="22690592"/>
    <x v="1"/>
    <n v="4199.87"/>
    <n v="848"/>
    <n v="1259.96"/>
    <n v="-821.11"/>
    <m/>
  </r>
  <r>
    <x v="14"/>
    <s v="15/07/2026"/>
    <x v="6"/>
    <s v="ALICIA GONZALEZ TEPANTITLA"/>
    <n v="45917443496"/>
    <s v="GOTA741007MDFNPL03"/>
    <n v="22720942"/>
    <n v="5215549664027"/>
    <x v="1"/>
    <n v="3029.19"/>
    <n v="879"/>
    <n v="908.76"/>
    <n v="-879"/>
    <m/>
  </r>
  <r>
    <x v="14"/>
    <s v="15/07/2026"/>
    <x v="32"/>
    <s v="JUAN MANUEL MORALES MEZA"/>
    <n v="78906412115"/>
    <s v="MOMJ640607HOCRZN01"/>
    <n v="2"/>
    <n v="2818706606"/>
    <x v="0"/>
    <n v="15828.98"/>
    <m/>
    <n v="4748.6899999999996"/>
    <n v="4748.6899999999996"/>
    <m/>
  </r>
  <r>
    <x v="14"/>
    <s v="14/07/2026"/>
    <x v="13"/>
    <s v="JOSEFINA JAIMES SANCHEZ"/>
    <n v="43786124990"/>
    <s v="JASJ590319MDFMNS02"/>
    <n v="22703592"/>
    <n v="5218119943535"/>
    <x v="7"/>
    <n v="19014.38"/>
    <n v="5704.31"/>
    <n v="5704.31"/>
    <n v="0"/>
    <d v="2025-01-05T00:00:00"/>
  </r>
  <r>
    <x v="14"/>
    <s v="14/07/2026"/>
    <x v="22"/>
    <s v="JOSE LUIS PATIÑO ROMAN"/>
    <m/>
    <s v="PARL640812HMSTMS08"/>
    <n v="22687172"/>
    <n v="5217772965573"/>
    <x v="2"/>
    <n v="6998.65"/>
    <n v="2024.47"/>
    <n v="2099.6"/>
    <n v="75.12"/>
    <d v="2026-08-01T00:00:00"/>
  </r>
  <r>
    <x v="14"/>
    <s v="14/07/2026"/>
    <x v="26"/>
    <s v="GERARDO ROMAN LOPEZ"/>
    <n v="51806305549"/>
    <s v="ROLG630409HASMPR09"/>
    <n v="22711012"/>
    <n v="5214496084154"/>
    <x v="2"/>
    <n v="7920.51"/>
    <n v="2290.48"/>
    <n v="2376.15"/>
    <n v="85.67"/>
    <d v="2027-01-12T00:00:00"/>
  </r>
  <r>
    <x v="14"/>
    <s v="15/07/2026"/>
    <x v="10"/>
    <s v="Juana Camacho Yagle"/>
    <n v="51644212089"/>
    <s v="CATJ610324MASMGN00"/>
    <n v="22720008"/>
    <n v="5214497578985"/>
    <x v="1"/>
    <n v="4114.88"/>
    <n v="848"/>
    <n v="1234.46"/>
    <n v="-848"/>
    <m/>
  </r>
  <r>
    <x v="14"/>
    <d v="2026-12-07T00:00:00"/>
    <x v="14"/>
    <s v="FERMIN MENDOZA VERDUGO"/>
    <m/>
    <s v="MEVF590607HSRNRR05"/>
    <n v="22610256"/>
    <n v="5216442090455"/>
    <x v="0"/>
    <n v="9081.52"/>
    <n v="848"/>
    <n v="2724.46"/>
    <n v="1876.46"/>
    <m/>
  </r>
  <r>
    <x v="14"/>
    <d v="2026-12-07T00:00:00"/>
    <x v="11"/>
    <s v=" Filiberto. Reyes"/>
    <n v="67806310107"/>
    <m/>
    <n v="22605036"/>
    <n v="2724941826"/>
    <x v="6"/>
    <n v="7920.51"/>
    <n v="2371.37"/>
    <n v="2376.15"/>
    <n v="4.78"/>
    <d v="2026-01-06T00:00:00"/>
  </r>
  <r>
    <x v="14"/>
    <s v="15/07/2026"/>
    <x v="14"/>
    <s v="TITO GARCIA RAMIREZ"/>
    <m/>
    <s v="GART500210HDGRMT01"/>
    <n v="22724188"/>
    <n v="5218714737086"/>
    <x v="9"/>
    <n v="4555.82"/>
    <n v="548.09"/>
    <n v="1366.75"/>
    <n v="-165.25"/>
    <d v="2024-01-03T00:00:00"/>
  </r>
  <r>
    <x v="14"/>
    <s v="15/07/2026"/>
    <x v="26"/>
    <s v="JOSE ALBERTO CASTILLO PERALES"/>
    <n v="19795421213"/>
    <s v="CAPA541030HGTSRL06"/>
    <n v="22723678"/>
    <n v="5215626455771"/>
    <x v="1"/>
    <n v="3879.3"/>
    <n v="879"/>
    <n v="1163.79"/>
    <n v="-879"/>
    <m/>
  </r>
  <r>
    <x v="14"/>
    <s v="15/07/2026"/>
    <x v="3"/>
    <s v="SERGIO ALEJANDRO MARTINEZ GONZALEZ"/>
    <n v="49836603917"/>
    <s v="MAGS650921HVZRNR04"/>
    <n v="22719320"/>
    <n v="5218993463044"/>
    <x v="2"/>
    <n v="9760.32"/>
    <n v="2928.1"/>
    <n v="2928.1"/>
    <n v="0"/>
    <d v="2028-01-02T00:00:00"/>
  </r>
  <r>
    <x v="14"/>
    <s v="15/07/2026"/>
    <x v="13"/>
    <s v="LEONOR MORENO ESCUTIA"/>
    <n v="90927119975"/>
    <s v="MOEL750821MMCRSN03"/>
    <n v="22723750"/>
    <n v="5215640006655"/>
    <x v="9"/>
    <n v="7128.48"/>
    <n v="2138.19"/>
    <n v="2138.54"/>
    <n v="0.35"/>
    <d v="2026-01-04T00:00:00"/>
  </r>
  <r>
    <x v="14"/>
    <s v="15/07/2026"/>
    <x v="14"/>
    <s v="REINA ELIHUT SANCHEZ SANCHEZ"/>
    <n v="11836208493"/>
    <m/>
    <n v="22717564"/>
    <n v="5215615370491"/>
    <x v="2"/>
    <n v="7262.98"/>
    <n v="2130.4"/>
    <n v="2178.89"/>
    <n v="48.49"/>
    <d v="2027-01-07T00:00:00"/>
  </r>
  <r>
    <x v="14"/>
    <s v="15/07/2026"/>
    <x v="31"/>
    <s v="JOSE HUMBERTO CARBALLO GONZALEZ"/>
    <n v="1795293163"/>
    <s v="CAGH521006HDFRNM06"/>
    <n v="2"/>
    <n v="5620289120"/>
    <x v="1"/>
    <n v="3961.31"/>
    <m/>
    <n v="1188.3900000000001"/>
    <n v="0"/>
    <m/>
  </r>
  <r>
    <x v="14"/>
    <s v="15/07/2026"/>
    <x v="22"/>
    <s v="MARTIN GERARDO RODALLEGAS MARTINEZ"/>
    <m/>
    <s v="ROMM630909HCLDRR09"/>
    <n v="22723852"/>
    <n v="5218117567527"/>
    <x v="0"/>
    <n v="13656.88"/>
    <m/>
    <n v="4097.0600000000004"/>
    <n v="4097.0600000000004"/>
    <m/>
  </r>
  <r>
    <x v="14"/>
    <s v="14/07/2026"/>
    <x v="23"/>
    <s v="MARIA GUADALUPE CLEMENTINA ORTA LAINEZ"/>
    <m/>
    <s v="OALG550303MPLRND04"/>
    <n v="22698490"/>
    <n v="5212219144846"/>
    <x v="2"/>
    <n v="22746.15"/>
    <n v="6823.85"/>
    <n v="6823.85"/>
    <n v="-0.01"/>
    <d v="2026-11-01T00:00:00"/>
  </r>
  <r>
    <x v="14"/>
    <s v="15/07/2026"/>
    <x v="7"/>
    <s v="Julio Trejo Angeles "/>
    <n v="20896301809"/>
    <s v="TEAJ630207HDFRNL07"/>
    <n v="22726602"/>
    <n v="5219331524092"/>
    <x v="2"/>
    <n v="16039.45"/>
    <n v="4795.59"/>
    <n v="4811.84"/>
    <n v="16.239999999999998"/>
    <d v="2028-01-02T00:00:00"/>
  </r>
  <r>
    <x v="14"/>
    <s v="15/07/2026"/>
    <x v="3"/>
    <s v="JULIO HERNANDEZ CRUZ"/>
    <m/>
    <s v="HECJ640412HDFRRL09"/>
    <n v="22719794"/>
    <n v="5215532610366"/>
    <x v="0"/>
    <n v="10303.14"/>
    <n v="879"/>
    <n v="3090.94"/>
    <n v="2211.94"/>
    <m/>
  </r>
  <r>
    <x v="14"/>
    <s v="15/07/2026"/>
    <x v="6"/>
    <s v="GABRIEL ALFONSO GONZALEZ SANTOS "/>
    <n v="84815705920"/>
    <s v="GOSG570620HYNNNB07"/>
    <n v="22727644"/>
    <n v="5219991340575"/>
    <x v="0"/>
    <n v="8234.26"/>
    <m/>
    <n v="2470.2800000000002"/>
    <n v="2470.2800000000002"/>
    <m/>
  </r>
  <r>
    <x v="14"/>
    <s v="14/07/2026"/>
    <x v="22"/>
    <s v="GERARDO CORDOVA VALADEZ"/>
    <m/>
    <s v="COVG620309HDGRLR02"/>
    <n v="22691764"/>
    <n v="5218713762739"/>
    <x v="2"/>
    <n v="38341.410000000003"/>
    <n v="11501.01"/>
    <n v="11502.42"/>
    <n v="1.41"/>
    <d v="2027-01-09T00:00:00"/>
  </r>
  <r>
    <x v="14"/>
    <s v="15/07/2026"/>
    <x v="18"/>
    <s v="NO PROPORCIONO "/>
    <n v="83856422429"/>
    <m/>
    <n v="1"/>
    <n v="2492433571"/>
    <x v="3"/>
    <n v="9081.4599999999991"/>
    <n v="2418"/>
    <n v="2724.44"/>
    <n v="306.44"/>
    <d v="2026-01-11T00:00:00"/>
  </r>
  <r>
    <x v="14"/>
    <s v="15/07/2026"/>
    <x v="18"/>
    <s v="MA DE JESUS GONZÁLEZ VALDERRAMA"/>
    <n v="54897148174"/>
    <s v="GOVJ75012MJCNLS06"/>
    <n v="1"/>
    <n v="3861182907"/>
    <x v="2"/>
    <n v="6691.69"/>
    <n v="2005.42"/>
    <n v="2007.51"/>
    <n v="2.09"/>
    <d v="2027-01-01T00:00:00"/>
  </r>
  <r>
    <x v="14"/>
    <s v="15/07/2026"/>
    <x v="13"/>
    <s v="ARMANDO ABARCA CORTEZ"/>
    <n v="21876319290"/>
    <s v="AACA630406HGRBRR18"/>
    <n v="22718214"/>
    <n v="5216866027493"/>
    <x v="0"/>
    <n v="16911.82"/>
    <n v="2476.06"/>
    <n v="5073.55"/>
    <n v="2597.4899999999998"/>
    <d v="2028-01-02T00:00:00"/>
  </r>
  <r>
    <x v="14"/>
    <s v="15/07/2026"/>
    <x v="23"/>
    <s v="GERARDO ARMENTA CITAL"/>
    <n v="23846424382"/>
    <s v="AECG641121HSLRTR03"/>
    <n v="22727846"/>
    <n v="5216684728119"/>
    <x v="1"/>
    <n v="3577.17"/>
    <n v="848"/>
    <n v="1073.1500000000001"/>
    <n v="-848"/>
    <m/>
  </r>
  <r>
    <x v="14"/>
    <s v="13/07/2026"/>
    <x v="0"/>
    <s v="CLAUDIA LOPEZ ABATCA"/>
    <n v="11786079464"/>
    <s v="LOAC601103MDFPBL09"/>
    <n v="22669712"/>
    <n v="5213317681670"/>
    <x v="0"/>
    <n v="9504.7000000000007"/>
    <m/>
    <n v="2851.41"/>
    <n v="2851.41"/>
    <m/>
  </r>
  <r>
    <x v="14"/>
    <s v="13/07/2026"/>
    <x v="29"/>
    <s v="MARCELINO ROJAS ROSALES"/>
    <m/>
    <s v="RORM680602HMCJSR04"/>
    <n v="22668142"/>
    <n v="5215612647603"/>
    <x v="2"/>
    <n v="14655.39"/>
    <n v="4393.96"/>
    <n v="4396.62"/>
    <n v="2.66"/>
    <d v="2028-01-02T00:00:00"/>
  </r>
  <r>
    <x v="14"/>
    <s v="14/07/2026"/>
    <x v="23"/>
    <s v="MARTIN ARELLANO ESPARZA"/>
    <n v="51826304233"/>
    <s v="AEEM630410HASRSR01"/>
    <n v="22703762"/>
    <n v="5214492543187"/>
    <x v="2"/>
    <n v="6103.5"/>
    <n v="1765.89"/>
    <n v="1831.05"/>
    <n v="65.16"/>
    <d v="2026-10-01T00:00:00"/>
  </r>
  <r>
    <x v="14"/>
    <s v="15/07/2026"/>
    <x v="16"/>
    <m/>
    <n v="13916730198"/>
    <m/>
    <n v="1"/>
    <s v="N /P"/>
    <x v="2"/>
    <n v="9582.4699999999993"/>
    <n v="2861.43"/>
    <n v="2874.74"/>
    <n v="13.31"/>
    <d v="2028-01-05T00:00:00"/>
  </r>
  <r>
    <x v="14"/>
    <s v="25/06/2026"/>
    <x v="8"/>
    <s v="ALEJANDRINA RAMIREZ RODRIGUEZ"/>
    <m/>
    <s v="RARA710610MJCMDL05"/>
    <n v="22017672"/>
    <n v="5213319118413"/>
    <x v="0"/>
    <n v="8327.1299999999992"/>
    <n v="1191.53"/>
    <n v="2498.14"/>
    <n v="1306.6099999999999"/>
    <d v="2028-01-07T00:00:00"/>
  </r>
  <r>
    <x v="14"/>
    <s v="15/07/2026"/>
    <x v="20"/>
    <s v="JUANA CECILIA"/>
    <n v="50927652938"/>
    <m/>
    <n v="22730134"/>
    <n v="5216391152302"/>
    <x v="2"/>
    <n v="5636.59"/>
    <n v="1630.8"/>
    <n v="1690.98"/>
    <n v="-167.19"/>
    <d v="2027-01-02T00:00:00"/>
  </r>
  <r>
    <x v="14"/>
    <s v="15/07/2026"/>
    <x v="8"/>
    <s v="JUAN MANUEL HERNANDEZ SANCHEZ"/>
    <m/>
    <s v="HESJ560605HASRNN07"/>
    <n v="22730264"/>
    <n v="5214494874150"/>
    <x v="3"/>
    <n v="4751.88"/>
    <m/>
    <n v="1425.56"/>
    <n v="578.9"/>
    <m/>
  </r>
  <r>
    <x v="14"/>
    <s v="15/07/2026"/>
    <x v="20"/>
    <s v="CARLOS MARTINEZ"/>
    <n v="11786017928"/>
    <m/>
    <n v="22730726"/>
    <n v="5215580367074"/>
    <x v="2"/>
    <n v="5617.63"/>
    <n v="1444.64"/>
    <n v="1685.29"/>
    <n v="0.01"/>
    <d v="2028-01-06T00:00:00"/>
  </r>
  <r>
    <x v="14"/>
    <s v="15/07/2026"/>
    <x v="31"/>
    <s v="RAUL VARGAS RUELAS"/>
    <n v="64866611624"/>
    <s v="VARR660217HDFRLL05"/>
    <n v="2"/>
    <n v="6675759078"/>
    <x v="0"/>
    <n v="60058.12"/>
    <m/>
    <n v="18017.439999999999"/>
    <n v="18017.439999999999"/>
    <m/>
  </r>
  <r>
    <x v="14"/>
    <s v="15/07/2026"/>
    <x v="0"/>
    <s v="MARIA DEL ROCIO VILLEDA GARCIA"/>
    <n v="64815920083"/>
    <s v="VIGR590610MMCLRC04"/>
    <n v="22730156"/>
    <n v="5215516841427"/>
    <x v="5"/>
    <m/>
    <m/>
    <n v="0"/>
    <n v="0"/>
    <m/>
  </r>
  <r>
    <x v="14"/>
    <s v="15/07/2026"/>
    <x v="20"/>
    <s v="CARLOS ROSALES"/>
    <n v="17826434189"/>
    <m/>
    <n v="22729732"/>
    <n v="5215528437437"/>
    <x v="2"/>
    <n v="9081.42"/>
    <n v="2722.5"/>
    <n v="2724.43"/>
    <n v="1.93"/>
    <d v="2027-01-05T00:00:00"/>
  </r>
  <r>
    <x v="14"/>
    <d v="2026-08-07T00:00:00"/>
    <x v="29"/>
    <s v="BONIFACIO HERNANDEZ CRUZ"/>
    <m/>
    <s v="HECB630514HVZRRN08"/>
    <n v="22460302"/>
    <n v="5214441868737"/>
    <x v="2"/>
    <n v="7920.51"/>
    <n v="2291.6"/>
    <n v="2376.15"/>
    <n v="84.55"/>
    <d v="2027-01-10T00:00:00"/>
  </r>
  <r>
    <x v="14"/>
    <s v="15/07/2026"/>
    <x v="31"/>
    <s v="MIGUEL ANGEL MIRANDA RAMIREZ"/>
    <n v="3179640209"/>
    <s v="MIRM640915HDGRMG01"/>
    <n v="2"/>
    <n v="6751229670"/>
    <x v="2"/>
    <n v="11029.03"/>
    <n v="3300"/>
    <n v="3308.71"/>
    <n v="8.7100000000000009"/>
    <d v="2028-01-03T00:00:00"/>
  </r>
  <r>
    <x v="14"/>
    <s v="15/07/2026"/>
    <x v="0"/>
    <s v="MA DOLORES RIOS"/>
    <n v="12755804361"/>
    <s v="RIXD740426MGTSXL01"/>
    <n v="22729798"/>
    <n v="5214612626376"/>
    <x v="2"/>
    <n v="5503.22"/>
    <n v="1650"/>
    <n v="1650.97"/>
    <n v="-319.76"/>
    <d v="2028-01-04T00:00:00"/>
  </r>
  <r>
    <x v="14"/>
    <s v="15/07/2026"/>
    <x v="8"/>
    <s v="MARIA ELENA GUTIERREZ GONZALEZ"/>
    <n v="33895121151"/>
    <s v="GUGE511107MCHTNL11"/>
    <n v="22731682"/>
    <n v="5216611023222"/>
    <x v="1"/>
    <n v="3505.89"/>
    <n v="848"/>
    <n v="1051.77"/>
    <n v="-848"/>
    <m/>
  </r>
  <r>
    <x v="14"/>
    <d v="2026-11-07T00:00:00"/>
    <x v="29"/>
    <s v="Erasmo Valverde Cabrera"/>
    <m/>
    <s v="VACE721125HMCLBR05"/>
    <n v="22577422"/>
    <n v="5214427207515"/>
    <x v="1"/>
    <n v="3747.62"/>
    <n v="848"/>
    <n v="1124.29"/>
    <n v="-848"/>
    <m/>
  </r>
  <r>
    <x v="14"/>
    <s v="15/07/2026"/>
    <x v="31"/>
    <s v="CARLOS VALADEZ MONTAÑEZ"/>
    <n v="5189317270"/>
    <s v="VAMC730317HASLNR08"/>
    <n v="2"/>
    <n v="4495545244"/>
    <x v="0"/>
    <n v="25321.439999999999"/>
    <n v="2367.75"/>
    <n v="7596.43"/>
    <n v="5228.68"/>
    <d v="2026-01-09T00:00:00"/>
  </r>
  <r>
    <x v="14"/>
    <s v="15/07/2026"/>
    <x v="30"/>
    <s v="Inocencio Alba García"/>
    <n v="54896323497"/>
    <s v="AAGI630622HJCLRN18"/>
    <n v="22729252"/>
    <n v="5213221043163"/>
    <x v="2"/>
    <n v="7647.21"/>
    <n v="2102"/>
    <n v="2294.16"/>
    <n v="192.16"/>
    <d v="2028-01-04T00:00:00"/>
  </r>
  <r>
    <x v="14"/>
    <d v="2026-10-07T00:00:00"/>
    <x v="6"/>
    <s v="MARIA DEL CARMEN REBOLLEDO ESTEVEZ "/>
    <n v="78785904497"/>
    <s v="REEC620606MVZBSR03"/>
    <n v="22553632"/>
    <n v="5219211781019"/>
    <x v="2"/>
    <n v="31030.91"/>
    <n v="9292.2800000000007"/>
    <n v="9309.27"/>
    <n v="16.989999999999998"/>
    <d v="2027-01-10T00:00:00"/>
  </r>
  <r>
    <x v="14"/>
    <s v="15/07/2026"/>
    <x v="10"/>
    <s v="Federico Miguel Delgado Vargas"/>
    <n v="9917224199"/>
    <s v="DEVF720502HTSLRD16"/>
    <n v="22725274"/>
    <n v="5218134121766"/>
    <x v="8"/>
    <m/>
    <m/>
    <n v="0"/>
    <n v="0"/>
    <m/>
  </r>
  <r>
    <x v="14"/>
    <s v="14/07/2026"/>
    <x v="14"/>
    <s v="ARTURO AGUIRRE HERNANDEZ"/>
    <m/>
    <s v="AUHA621215HVZGRR00"/>
    <n v="22704702"/>
    <n v="5213314683641"/>
    <x v="2"/>
    <n v="52906.73"/>
    <n v="15869.42"/>
    <n v="15872.02"/>
    <n v="2.6"/>
    <d v="2026-10-01T00:00:00"/>
  </r>
  <r>
    <x v="14"/>
    <s v="13/07/2026"/>
    <x v="3"/>
    <s v="JOSE LUIS NOLASCO PEDRAZA"/>
    <s v=" "/>
    <s v=" NOPL521029HDFLDS00"/>
    <n v="22633676"/>
    <n v="5215517462807"/>
    <x v="1"/>
    <n v="4403.5200000000004"/>
    <n v="196.5"/>
    <n v="1321.06"/>
    <n v="34.04"/>
    <m/>
  </r>
  <r>
    <x v="14"/>
    <s v="15/07/2026"/>
    <x v="19"/>
    <s v="MARIA TERESA "/>
    <m/>
    <s v="CAHT601101MSLRRR05"/>
    <n v="22730182"/>
    <n v="6672263095"/>
    <x v="3"/>
    <n v="30157.19"/>
    <n v="8724.43"/>
    <n v="9047.16"/>
    <n v="322.73"/>
    <d v="2027-01-10T00:00:00"/>
  </r>
  <r>
    <x v="14"/>
    <s v="15/07/2026"/>
    <x v="17"/>
    <s v="Roberto Guerrero Estrada"/>
    <m/>
    <s v="GUER520513HDFRSB07"/>
    <n v="22732214"/>
    <n v="3322136549"/>
    <x v="1"/>
    <n v="4961.32"/>
    <n v="879"/>
    <n v="1488.4"/>
    <n v="-90.66"/>
    <m/>
  </r>
  <r>
    <x v="14"/>
    <s v="14/07/2026"/>
    <x v="14"/>
    <s v="ANGELICA LOPEZ"/>
    <n v="1573742143"/>
    <m/>
    <n v="22709232"/>
    <n v="5215573855099"/>
    <x v="0"/>
    <n v="7118.42"/>
    <m/>
    <n v="2135.5300000000002"/>
    <n v="2135.5300000000002"/>
    <m/>
  </r>
  <r>
    <x v="14"/>
    <s v="14/07/2026"/>
    <x v="26"/>
    <s v="MARCOS ADOLFO GONZALEZ PEREZ"/>
    <n v="21796218127"/>
    <s v="GOPM620407HBCNRR08"/>
    <n v="22703892"/>
    <n v="5216657990605"/>
    <x v="2"/>
    <n v="7116.73"/>
    <n v="2051.1799999999998"/>
    <n v="2135.02"/>
    <n v="83.84"/>
    <d v="2027-01-12T00:00:00"/>
  </r>
  <r>
    <x v="14"/>
    <s v="15/07/2026"/>
    <x v="8"/>
    <s v="JOSE CARMELO ARMANDO FLORES ALANIS"/>
    <m/>
    <s v="FOAC471118HMNLLR02"/>
    <n v="22732972"/>
    <n v="5214438388080"/>
    <x v="0"/>
    <n v="38664.1"/>
    <m/>
    <n v="11599.23"/>
    <n v="11599.23"/>
    <m/>
  </r>
  <r>
    <x v="14"/>
    <s v="14/07/2026"/>
    <x v="26"/>
    <s v="ROSA CASTILLEJOS MORALES"/>
    <n v="65715406412"/>
    <s v="CAMR670904MVZSRS02"/>
    <n v="22704696"/>
    <n v="5219211204212"/>
    <x v="2"/>
    <n v="5188.04"/>
    <n v="1380.52"/>
    <n v="1556.41"/>
    <n v="-365.46"/>
    <d v="2027-01-04T00:00:00"/>
  </r>
  <r>
    <x v="14"/>
    <s v="15/07/2026"/>
    <x v="14"/>
    <s v="ALFREDO WIEDMANN GONZALEZ"/>
    <m/>
    <s v="WIGA650914HJCDNL09"/>
    <n v="22726374"/>
    <n v="5213314780753"/>
    <x v="3"/>
    <n v="46367.06"/>
    <n v="13199.86"/>
    <n v="13910.12"/>
    <n v="710.26"/>
    <d v="2028-01-01T00:00:00"/>
  </r>
  <r>
    <x v="14"/>
    <s v="15/07/2026"/>
    <x v="14"/>
    <s v="RAFAEL REYES GUZMAN"/>
    <m/>
    <s v="REGR580722HVZYZF03"/>
    <n v="22728078"/>
    <n v="5212881321318"/>
    <x v="2"/>
    <n v="7640.52"/>
    <n v="2206.58"/>
    <n v="2292.16"/>
    <n v="85.58"/>
    <d v="2027-01-06T00:00:00"/>
  </r>
  <r>
    <x v="14"/>
    <s v="15/07/2026"/>
    <x v="17"/>
    <s v="Juan Carlos Zepeda Diaz"/>
    <m/>
    <s v="ZEDJ690529HNTPZN04"/>
    <n v="22733220"/>
    <n v="3111490876"/>
    <x v="4"/>
    <m/>
    <m/>
    <n v="0"/>
    <n v="0"/>
    <m/>
  </r>
  <r>
    <x v="14"/>
    <s v="14/07/2026"/>
    <x v="22"/>
    <s v="GABRIELA HILARIO ANTONIO"/>
    <m/>
    <s v="HIAG700324MDFLNB04"/>
    <n v="22708646"/>
    <n v="5215579875518"/>
    <x v="5"/>
    <m/>
    <m/>
    <n v="0"/>
    <n v="0"/>
    <m/>
  </r>
  <r>
    <x v="14"/>
    <s v="14/07/2026"/>
    <x v="23"/>
    <s v="María Guadalupe Velasco Gonzalez"/>
    <n v="1705000329"/>
    <s v="VEGG590627MDFLNLD1"/>
    <n v="22712680"/>
    <n v="5214423709663"/>
    <x v="2"/>
    <n v="39045.629999999997"/>
    <n v="11708.04"/>
    <n v="11713.69"/>
    <n v="5.65"/>
    <d v="2028-01-01T00:00:00"/>
  </r>
  <r>
    <x v="14"/>
    <s v="15/07/2026"/>
    <x v="11"/>
    <s v="cecilio montoya flores "/>
    <m/>
    <s v="MOFC610902HCLNLC12"/>
    <n v="22730662"/>
    <n v="5218661481244"/>
    <x v="2"/>
    <n v="37144.629999999997"/>
    <n v="11141.54"/>
    <n v="11143.39"/>
    <n v="1.85"/>
    <d v="2027-01-03T00:00:00"/>
  </r>
  <r>
    <x v="14"/>
    <s v="15/07/2026"/>
    <x v="20"/>
    <s v="RODOLFO"/>
    <n v="3856804475"/>
    <m/>
    <n v="22733646"/>
    <n v="5218126183385"/>
    <x v="1"/>
    <n v="4358.57"/>
    <m/>
    <n v="1307.57"/>
    <n v="185.59"/>
    <m/>
  </r>
  <r>
    <x v="14"/>
    <s v="15/07/2026"/>
    <x v="20"/>
    <s v="MARIA ESPERANZA PATRICIA"/>
    <m/>
    <s v="TOME510126MDFRYS01"/>
    <n v="22734044"/>
    <n v="5215554337963"/>
    <x v="2"/>
    <n v="23757.99"/>
    <n v="7125.39"/>
    <n v="7127.4"/>
    <n v="2.0099999999999998"/>
    <d v="2027-01-04T00:00:00"/>
  </r>
  <r>
    <x v="14"/>
    <s v="15/07/2026"/>
    <x v="11"/>
    <s v="Jose Rafael terraza Borquez "/>
    <m/>
    <s v="TEBR670905HSLRRF05"/>
    <n v="22734352"/>
    <n v="5216678403375"/>
    <x v="3"/>
    <n v="5642.22"/>
    <n v="1085"/>
    <n v="1692.67"/>
    <n v="384.24"/>
    <d v="2027-01-02T00:00:00"/>
  </r>
  <r>
    <x v="14"/>
    <s v="14/07/2026"/>
    <x v="26"/>
    <s v="JOSE MARIA REYES MORALES"/>
    <n v="65786103294"/>
    <s v="REMM620520HVZYRR04"/>
    <n v="22709128"/>
    <n v="5212841001455"/>
    <x v="2"/>
    <n v="7920.51"/>
    <n v="2196.37"/>
    <n v="2376.15"/>
    <n v="179.78"/>
    <d v="2026-08-01T00:00:00"/>
  </r>
  <r>
    <x v="14"/>
    <s v="15/07/2026"/>
    <x v="13"/>
    <s v="VICTORIANO LARA CORPUS"/>
    <n v="43755930013"/>
    <s v="LACV590323HCLRRC09"/>
    <n v="22720068"/>
    <n v="5218113987112"/>
    <x v="2"/>
    <n v="36318.660000000003"/>
    <n v="10060.11"/>
    <n v="10895.6"/>
    <n v="835.49"/>
    <d v="2026-12-01T00:00:00"/>
  </r>
  <r>
    <x v="14"/>
    <s v="15/07/2026"/>
    <x v="32"/>
    <s v="FAUSTO TORIZ MARIN "/>
    <n v="11745569357"/>
    <s v="TOMF580906HDFRRS05"/>
    <n v="2"/>
    <n v="5521031652"/>
    <x v="0"/>
    <n v="9081.52"/>
    <m/>
    <n v="2724.46"/>
    <n v="2724.46"/>
    <m/>
  </r>
  <r>
    <x v="14"/>
    <s v="15/07/2026"/>
    <x v="23"/>
    <s v="JOSE LUIS MARTINEZ GARCIA"/>
    <m/>
    <s v="MAGL600508HDFRRS06"/>
    <n v="22719768"/>
    <n v="5215613305479"/>
    <x v="7"/>
    <n v="5617.63"/>
    <n v="1069.5"/>
    <n v="1685.29"/>
    <n v="375.15"/>
    <d v="2023-01-12T00:00:00"/>
  </r>
  <r>
    <x v="14"/>
    <d v="2026-10-07T00:00:00"/>
    <x v="6"/>
    <s v="EDUARDO GONZALEZ CELIS"/>
    <n v="72735424136"/>
    <s v="GOCE541013HGRNLD00"/>
    <n v="22548902"/>
    <n v="5219191664130"/>
    <x v="2"/>
    <n v="6262.86"/>
    <n v="1878.86"/>
    <n v="1878.86"/>
    <n v="0"/>
    <d v="2028-01-03T00:00:00"/>
  </r>
  <r>
    <x v="14"/>
    <d v="2026-09-07T00:00:00"/>
    <x v="3"/>
    <s v="SILVANO RAFAEL LORENZO"/>
    <n v="532204448228"/>
    <s v="RALS040802HGRFRLA1"/>
    <n v="22521406"/>
    <n v="5214499438981"/>
    <x v="5"/>
    <m/>
    <m/>
    <n v="0"/>
    <n v="0"/>
    <m/>
  </r>
  <r>
    <x v="14"/>
    <s v="15/07/2026"/>
    <x v="26"/>
    <s v="JESUS RAMIREZ ALFARO"/>
    <m/>
    <s v="RAAJ510701HHGMLS00"/>
    <n v="22720424"/>
    <n v="5217718234958"/>
    <x v="6"/>
    <n v="7214.12"/>
    <n v="2002.9"/>
    <n v="2164.2399999999998"/>
    <n v="161.34"/>
    <d v="2026-01-07T00:00:00"/>
  </r>
  <r>
    <x v="14"/>
    <s v="14/07/2026"/>
    <x v="23"/>
    <s v="JESUS MANUEL MEJIA VALENCIANA"/>
    <n v="43826550923"/>
    <s v="MEVJ651225HNLJLS02"/>
    <n v="22710626"/>
    <n v="5218132538477"/>
    <x v="0"/>
    <n v="9760.32"/>
    <m/>
    <n v="2928.1"/>
    <n v="2928.1"/>
    <m/>
  </r>
  <r>
    <x v="15"/>
    <s v="16/07/2026"/>
    <x v="31"/>
    <s v="ALFREDO FLORES ANGUIANO"/>
    <n v="42876003205"/>
    <s v="FOAA600130HDFLNL03"/>
    <n v="2"/>
    <n v="5533401918"/>
    <x v="2"/>
    <n v="5776.61"/>
    <n v="1484.08"/>
    <n v="1732.98"/>
    <n v="119.55"/>
    <d v="2026-01-08T00:00:00"/>
  </r>
  <r>
    <x v="15"/>
    <s v="15/07/2026"/>
    <x v="33"/>
    <s v="EDUARDO MENDEZ Y MENDEZ"/>
    <n v="1654414869"/>
    <s v="MEME440724HDFNND00"/>
    <n v="2"/>
    <n v="5532535945"/>
    <x v="0"/>
    <n v="51457.61"/>
    <m/>
    <n v="15437.28"/>
    <n v="15437.28"/>
    <m/>
  </r>
  <r>
    <x v="15"/>
    <s v="16/07/2026"/>
    <x v="33"/>
    <s v="PATRICIA ESPINOZA GALICIA"/>
    <n v="30886417838"/>
    <s v="EIGP641026MMCSLT03"/>
    <n v="2"/>
    <n v="5519594528"/>
    <x v="2"/>
    <n v="9760.32"/>
    <n v="2927.84"/>
    <n v="2928.1"/>
    <n v="0.26"/>
    <d v="2028-01-03T00:00:00"/>
  </r>
  <r>
    <x v="15"/>
    <s v="16/07/2026"/>
    <x v="32"/>
    <s v="LEOPOLDO VALDES DOMINGUEZ"/>
    <n v="65765610582"/>
    <s v="VADL560828HVZLMP06"/>
    <n v="2"/>
    <n v="2961160725"/>
    <x v="1"/>
    <n v="3568.75"/>
    <m/>
    <n v="1070.6300000000001"/>
    <n v="0"/>
    <m/>
  </r>
  <r>
    <x v="15"/>
    <s v="15/07/2026"/>
    <x v="6"/>
    <s v="BERTHA ALICIA GARZA ESPARZA "/>
    <n v="3978132623"/>
    <s v="GAEB840917MNLRSR04"/>
    <n v="22740212"/>
    <n v="5218122989108"/>
    <x v="4"/>
    <m/>
    <m/>
    <n v="0"/>
    <n v="0"/>
    <m/>
  </r>
  <r>
    <x v="15"/>
    <s v="14/07/2026"/>
    <x v="13"/>
    <s v="LUVIA QUIROZ GARCIA"/>
    <n v="67846358850"/>
    <s v="QUGL670905MVZRRV03"/>
    <n v="22708440"/>
    <n v="5212215725614"/>
    <x v="1"/>
    <n v="4052.82"/>
    <n v="235.92"/>
    <n v="1215.8499999999999"/>
    <n v="-235.92"/>
    <m/>
  </r>
  <r>
    <x v="15"/>
    <s v="15/07/2026"/>
    <x v="7"/>
    <s v="María Guadalupe Pérez Mejínez"/>
    <n v="52876609703"/>
    <s v="PEMG661128MJCRJD09"/>
    <n v="22728004"/>
    <n v="5213121118922"/>
    <x v="2"/>
    <n v="12021.7"/>
    <n v="3602.94"/>
    <n v="3606.51"/>
    <n v="3.57"/>
    <d v="2028-01-06T00:00:00"/>
  </r>
  <r>
    <x v="15"/>
    <s v="16/07/2026"/>
    <x v="31"/>
    <s v="ALFREDO WIEDMANN GONZALEZ"/>
    <n v="54846513205"/>
    <s v="WIGA650914HJCDNL09"/>
    <n v="2"/>
    <n v="3314780753"/>
    <x v="3"/>
    <n v="46367.06"/>
    <n v="13199.86"/>
    <n v="13910.12"/>
    <n v="710.26"/>
    <d v="2028-01-01T00:00:00"/>
  </r>
  <r>
    <x v="15"/>
    <d v="2026-09-07T00:00:00"/>
    <x v="28"/>
    <s v="MARIA DEL ROSARIO CAMARENA NEVAREZ"/>
    <n v="3584671505"/>
    <s v="CANR761231MCHMVS00"/>
    <n v="22523568"/>
    <n v="5216565896686"/>
    <x v="9"/>
    <n v="22358.77"/>
    <n v="6668.9"/>
    <n v="6707.63"/>
    <n v="38.729999999999997"/>
    <d v="2026-01-05T00:00:00"/>
  </r>
  <r>
    <x v="15"/>
    <s v="16/07/2026"/>
    <x v="10"/>
    <s v="PABLO GARCIA IBARRA"/>
    <n v="13816603057"/>
    <s v="GAIP660115HHGRBB08"/>
    <n v="22747808"/>
    <n v="5217736825268"/>
    <x v="2"/>
    <n v="10636.54"/>
    <n v="3190.96"/>
    <n v="3190.96"/>
    <n v="0"/>
    <d v="2028-01-04T00:00:00"/>
  </r>
  <r>
    <x v="15"/>
    <s v="15/07/2026"/>
    <x v="26"/>
    <s v="PETRA YULIANA BERNAL VILLA"/>
    <n v="23856914702"/>
    <s v="BEVP840603MSLRLT06"/>
    <n v="22736576"/>
    <n v="5216871594035"/>
    <x v="1"/>
    <n v="4463.08"/>
    <n v="680"/>
    <n v="1338.92"/>
    <n v="-389.9"/>
    <m/>
  </r>
  <r>
    <x v="15"/>
    <s v="16/07/2026"/>
    <x v="6"/>
    <s v="RAYMUNDO HERNANDEZ NUÑEZ "/>
    <n v="43816030258"/>
    <s v="HENR600315HTSRXY05"/>
    <n v="22738772"/>
    <n v="5218146164423"/>
    <x v="2"/>
    <n v="9617.93"/>
    <n v="2714.96"/>
    <n v="2885.38"/>
    <n v="170.42"/>
    <d v="2027-01-05T00:00:00"/>
  </r>
  <r>
    <x v="15"/>
    <s v="15/07/2026"/>
    <x v="7"/>
    <s v="Miguel Ángel Durán Xool"/>
    <n v="84806007518"/>
    <s v="DUXM601025HYNRLG03"/>
    <n v="22736916"/>
    <n v="5219993504040"/>
    <x v="2"/>
    <n v="10430.1"/>
    <n v="3129.03"/>
    <n v="3129.03"/>
    <n v="0"/>
    <d v="2027-01-04T00:00:00"/>
  </r>
  <r>
    <x v="15"/>
    <s v="15/07/2026"/>
    <x v="0"/>
    <s v="FRANCISCO ALEMAN"/>
    <n v="49887066444"/>
    <m/>
    <n v="22735798"/>
    <n v="5218144045908"/>
    <x v="2"/>
    <n v="8181.55"/>
    <n v="2214.66"/>
    <n v="2454.4699999999998"/>
    <n v="239.81"/>
    <d v="2027-01-02T00:00:00"/>
  </r>
  <r>
    <x v="15"/>
    <s v="15/07/2026"/>
    <x v="13"/>
    <s v="NICOLAS SORIANO MIRANDA"/>
    <n v="7815202317"/>
    <s v="SOMN521206HDFRRC07"/>
    <n v="22720754"/>
    <n v="5215611847126"/>
    <x v="7"/>
    <n v="4784.82"/>
    <n v="486.74"/>
    <n v="1435.45"/>
    <n v="125.1"/>
    <d v="2024-01-08T00:00:00"/>
  </r>
  <r>
    <x v="15"/>
    <s v="16/07/2026"/>
    <x v="3"/>
    <s v="JOSE ALBERTO BECERRA GUTIERREZ"/>
    <n v="53805916714"/>
    <s v="BEGA590322HMNCTL17"/>
    <n v="22749864"/>
    <n v="5214521363159"/>
    <x v="2"/>
    <n v="4813.6899999999996"/>
    <n v="617"/>
    <n v="1444.11"/>
    <n v="23.71"/>
    <d v="2027-01-05T00:00:00"/>
  </r>
  <r>
    <x v="15"/>
    <s v="15/07/2026"/>
    <x v="19"/>
    <s v="REGINA"/>
    <n v="45967936191"/>
    <s v="SIAM890712MDFLRR00"/>
    <n v="22730838"/>
    <n v="5215627117371"/>
    <x v="0"/>
    <n v="11193.22"/>
    <m/>
    <n v="3357.97"/>
    <n v="3357.97"/>
    <m/>
  </r>
  <r>
    <x v="15"/>
    <s v="16/07/2026"/>
    <x v="30"/>
    <s v="Martina Campos Pozos"/>
    <n v="6866816108"/>
    <s v="CAPM641201MGTMZR03"/>
    <n v="22750674"/>
    <n v="5214171402300"/>
    <x v="2"/>
    <n v="7404.12"/>
    <n v="2220"/>
    <n v="2221.2399999999998"/>
    <n v="1.24"/>
    <d v="2026-11-01T00:00:00"/>
  </r>
  <r>
    <x v="15"/>
    <s v="14/07/2026"/>
    <x v="3"/>
    <s v="LUIS ENRIQUE VILLANUEVA MOLINA "/>
    <n v="24795900711"/>
    <s v="VIML590713HSRLLS07"/>
    <n v="22711822"/>
    <n v="5216621159761"/>
    <x v="2"/>
    <n v="5776.61"/>
    <n v="1586.23"/>
    <n v="1732.98"/>
    <n v="17.399999999999999"/>
    <d v="2028-01-02T00:00:00"/>
  </r>
  <r>
    <x v="15"/>
    <s v="15/07/2026"/>
    <x v="6"/>
    <s v="JOSE ANTONIO REYES REYNA "/>
    <n v="32836381981"/>
    <s v="RERA630511HZSYYN07 "/>
    <n v="22723866"/>
    <n v="5218446749853"/>
    <x v="2"/>
    <n v="48125.27"/>
    <n v="14434.01"/>
    <n v="14437.58"/>
    <n v="3.57"/>
    <d v="2027-01-05T00:00:00"/>
  </r>
  <r>
    <x v="15"/>
    <s v="16/07/2026"/>
    <x v="30"/>
    <s v="Jaime Camacho Gutierrez"/>
    <n v="53977821395"/>
    <m/>
    <n v="22740652"/>
    <n v="5217861005519"/>
    <x v="4"/>
    <m/>
    <m/>
    <n v="0"/>
    <n v="0"/>
    <m/>
  </r>
  <r>
    <x v="15"/>
    <s v="16/07/2026"/>
    <x v="13"/>
    <s v="COSME ORTIZ ALVARADO"/>
    <n v="43796323939"/>
    <s v="OIAC630221HNLRLS14"/>
    <n v="22742746"/>
    <n v="5218186576953"/>
    <x v="2"/>
    <n v="7920.51"/>
    <n v="2281.38"/>
    <n v="2376.15"/>
    <n v="94.77"/>
    <d v="2027-01-11T00:00:00"/>
  </r>
  <r>
    <x v="15"/>
    <s v="15/07/2026"/>
    <x v="7"/>
    <s v="Ignacio Mojica Escalera "/>
    <n v="31826008745"/>
    <s v="MOEI600731HDGJSG03"/>
    <n v="22738370"/>
    <n v="5216188396505"/>
    <x v="2"/>
    <n v="5617.63"/>
    <n v="1334.97"/>
    <n v="1685.29"/>
    <n v="109.68"/>
    <d v="2026-08-01T00:00:00"/>
  </r>
  <r>
    <x v="15"/>
    <s v="16/07/2026"/>
    <x v="32"/>
    <s v="REYNA DAMIAN AGUILAR"/>
    <n v="71966900129"/>
    <s v="DAAR690103MCSMGY04"/>
    <n v="2"/>
    <n v="6242666706"/>
    <x v="4"/>
    <m/>
    <m/>
    <n v="0"/>
    <n v="0"/>
    <m/>
  </r>
  <r>
    <x v="15"/>
    <s v="16/07/2026"/>
    <x v="31"/>
    <s v="VICTOR MANUEL ORTEGA CALDERA"/>
    <n v="34786100957"/>
    <s v="OECV610126HZSRLC06"/>
    <n v="2"/>
    <n v="2214285315"/>
    <x v="1"/>
    <m/>
    <m/>
    <n v="0"/>
    <n v="0"/>
    <m/>
  </r>
  <r>
    <x v="15"/>
    <s v="16/07/2026"/>
    <x v="13"/>
    <s v="ALFREDO AGUSTIN RANGEL NOYOLA"/>
    <m/>
    <s v="RANA550220HJCNYL02"/>
    <n v="22749486"/>
    <n v="5218281464976"/>
    <x v="2"/>
    <n v="6271.82"/>
    <n v="1811.47"/>
    <n v="1881.55"/>
    <n v="70.08"/>
    <d v="2027-01-09T00:00:00"/>
  </r>
  <r>
    <x v="15"/>
    <s v="15/07/2026"/>
    <x v="7"/>
    <s v="Cristina Sánchez Salmorán"/>
    <n v="78916921154"/>
    <s v="SASC730725MVZNLR06"/>
    <n v="22738440"/>
    <n v="5212881356185"/>
    <x v="2"/>
    <n v="6434.6"/>
    <n v="1786.47"/>
    <n v="1930.38"/>
    <n v="143.91"/>
    <d v="2027-01-01T00:00:00"/>
  </r>
  <r>
    <x v="15"/>
    <s v="15/07/2026"/>
    <x v="23"/>
    <s v="SALVADOR MUÑOZ HERNANDEZ"/>
    <n v="43755738838"/>
    <s v="MUHS570804HNLXRL07"/>
    <n v="22738342"/>
    <n v="5218123670532"/>
    <x v="6"/>
    <n v="8365.1299999999992"/>
    <n v="2320"/>
    <n v="2509.54"/>
    <n v="189.54"/>
    <d v="2026-01-06T00:00:00"/>
  </r>
  <r>
    <x v="15"/>
    <s v="16/07/2026"/>
    <x v="10"/>
    <s v="ROSA ERENDIDA HURTADO MURRIETA"/>
    <n v="24745301986"/>
    <s v="HUMR551128MSRRRS09"/>
    <n v="22740548"/>
    <n v="5216624589636"/>
    <x v="0"/>
    <n v="8173.37"/>
    <m/>
    <n v="2452.0100000000002"/>
    <n v="2452.0100000000002"/>
    <m/>
  </r>
  <r>
    <x v="15"/>
    <s v="16/07/2026"/>
    <x v="26"/>
    <s v="HECTOR MANUEL PEÑUELAS LOPEZ"/>
    <n v="23836214926"/>
    <s v="PELH630905HSLXPC01"/>
    <n v="22752694"/>
    <n v="5216682281496"/>
    <x v="2"/>
    <n v="7920.51"/>
    <n v="2281.66"/>
    <n v="2376.15"/>
    <n v="94.49"/>
    <d v="2028-01-02T00:00:00"/>
  </r>
  <r>
    <x v="15"/>
    <s v="16/07/2026"/>
    <x v="13"/>
    <s v="FRANCISCO JAVIER DIAZ FLORES"/>
    <n v="63917414938"/>
    <s v="DIFF740524HGTZLR08"/>
    <n v="22753642"/>
    <n v="5214171002479"/>
    <x v="2"/>
    <n v="13617.38"/>
    <n v="4084.49"/>
    <n v="4085.21"/>
    <n v="0.72"/>
    <d v="2027-01-07T00:00:00"/>
  </r>
  <r>
    <x v="15"/>
    <s v="16/07/2026"/>
    <x v="10"/>
    <s v="MARIA DEL CARMEN GRISELDA RAMIREZ TIRADO"/>
    <n v="92895300991"/>
    <s v="RATC551019MDFMRR05"/>
    <n v="22736704"/>
    <n v="5215648187981"/>
    <x v="2"/>
    <n v="8784.2900000000009"/>
    <n v="2634.74"/>
    <n v="2635.29"/>
    <n v="0.55000000000000004"/>
    <d v="2028-01-03T00:00:00"/>
  </r>
  <r>
    <x v="15"/>
    <s v="15/07/2026"/>
    <x v="23"/>
    <s v="MARIA DEL RAYO NUÑEZ SANTACRUZ"/>
    <n v="31896506016"/>
    <s v="NUSR650114MDGXNY09"/>
    <n v="22736854"/>
    <n v="5216183627121"/>
    <x v="2"/>
    <n v="10171.24"/>
    <n v="3051.37"/>
    <n v="3051.37"/>
    <n v="0"/>
    <d v="2027-01-03T00:00:00"/>
  </r>
  <r>
    <x v="15"/>
    <s v="15/07/2026"/>
    <x v="6"/>
    <s v="FRANCISCO NUÑEZ SANCHEZ "/>
    <n v="12816305770"/>
    <s v="NUSF630402HGTXNR01"/>
    <n v="22737262"/>
    <n v="5214772567845"/>
    <x v="2"/>
    <n v="7920.51"/>
    <n v="2291.6"/>
    <n v="2376.15"/>
    <n v="84.55"/>
    <d v="2027-01-03T00:00:00"/>
  </r>
  <r>
    <x v="15"/>
    <s v="16/07/2026"/>
    <x v="31"/>
    <s v="FILIBERTO JARAMILLO SOLORZANO"/>
    <n v="15856505720"/>
    <s v="JASF650218HMSRLL05"/>
    <n v="2"/>
    <n v="7772729549"/>
    <x v="2"/>
    <n v="10724.29"/>
    <n v="3101.08"/>
    <n v="3217.29"/>
    <n v="116.21"/>
    <d v="2027-01-04T00:00:00"/>
  </r>
  <r>
    <x v="15"/>
    <d v="2026-11-07T00:00:00"/>
    <x v="0"/>
    <s v="ESMERALDA RODRIGUEZ ORTEGA"/>
    <n v="65755004341"/>
    <s v="ROOE801107MVZDRS03"/>
    <n v="22582788"/>
    <n v="5212283125675"/>
    <x v="5"/>
    <m/>
    <m/>
    <n v="0"/>
    <n v="0"/>
    <m/>
  </r>
  <r>
    <x v="15"/>
    <s v="29/06/2026"/>
    <x v="23"/>
    <s v="MANUEL RODRIGUEZ LANDA"/>
    <n v="10796109345"/>
    <s v="ROLM610603HDFDNN02"/>
    <n v="22097204"/>
    <n v="5215670061893"/>
    <x v="2"/>
    <n v="12593.45"/>
    <n v="3642.16"/>
    <n v="3778.04"/>
    <n v="135.88"/>
    <d v="2027-01-08T00:00:00"/>
  </r>
  <r>
    <x v="15"/>
    <s v="15/07/2026"/>
    <x v="20"/>
    <s v="FRANCISCO"/>
    <m/>
    <s v="PEVF461003HHGRZR05"/>
    <n v="22680026"/>
    <n v="5215647576118"/>
    <x v="5"/>
    <m/>
    <m/>
    <n v="0"/>
    <n v="0"/>
    <m/>
  </r>
  <r>
    <x v="15"/>
    <s v="15/07/2026"/>
    <x v="7"/>
    <s v="Jesús Eduardo Moreno Guajardo"/>
    <n v="32826557293"/>
    <s v="MOGJ650527HCLRJS02"/>
    <n v="22740924"/>
    <n v="5218993450908"/>
    <x v="0"/>
    <n v="10636.54"/>
    <m/>
    <n v="3190.96"/>
    <n v="3190.96"/>
    <m/>
  </r>
  <r>
    <x v="15"/>
    <s v="16/07/2026"/>
    <x v="23"/>
    <s v="ELVIRA TORRES SALAS"/>
    <n v="32886477986"/>
    <s v="TOSE640125MZSRLL00"/>
    <n v="22752560"/>
    <n v="5218446680147"/>
    <x v="2"/>
    <n v="9081.52"/>
    <n v="2598.88"/>
    <n v="2724.46"/>
    <n v="125.58"/>
    <d v="2027-01-11T00:00:00"/>
  </r>
  <r>
    <x v="15"/>
    <d v="2026-11-07T00:00:00"/>
    <x v="19"/>
    <s v="MARINA"/>
    <n v="33825714802"/>
    <s v="VIHM670611MCHLRR03"/>
    <n v="22584580"/>
    <n v="6142897075"/>
    <x v="6"/>
    <n v="5636.59"/>
    <n v="1564.92"/>
    <n v="1690.98"/>
    <n v="-101.31"/>
    <d v="2026-01-03T00:00:00"/>
  </r>
  <r>
    <x v="15"/>
    <s v="16/07/2026"/>
    <x v="31"/>
    <s v="DARIO ALDAMA REYNALDO"/>
    <n v="3816302644"/>
    <s v="AARD631219HGRLYR04"/>
    <n v="2"/>
    <n v="8991194806"/>
    <x v="2"/>
    <n v="9077.52"/>
    <n v="2722.94"/>
    <n v="2723.26"/>
    <n v="0.32"/>
    <d v="2026-01-09T00:00:00"/>
  </r>
  <r>
    <x v="15"/>
    <s v="16/07/2026"/>
    <x v="20"/>
    <s v="nicolas avila"/>
    <n v="63846308649"/>
    <m/>
    <n v="22756490"/>
    <n v="5215620875105"/>
    <x v="2"/>
    <n v="8385.9599999999991"/>
    <n v="2413.4499999999998"/>
    <n v="2515.79"/>
    <n v="102.34"/>
    <d v="2027-01-08T00:00:00"/>
  </r>
  <r>
    <x v="15"/>
    <s v="16/07/2026"/>
    <x v="17"/>
    <s v="Maria Teresa Zarate Magdaleno"/>
    <m/>
    <s v="ZAMT621013MJCRGR02"/>
    <n v="22756194"/>
    <n v="3322207570"/>
    <x v="2"/>
    <n v="7116.73"/>
    <n v="2051.4299999999998"/>
    <n v="2135.02"/>
    <n v="83.59"/>
    <d v="2027-01-03T00:00:00"/>
  </r>
  <r>
    <x v="15"/>
    <s v="16/07/2026"/>
    <x v="27"/>
    <s v="ARLENA PEREZ CASTRO"/>
    <n v="49977751871"/>
    <s v="PECA791216MVZRSR03"/>
    <n v="22756040"/>
    <n v="5218991932851"/>
    <x v="4"/>
    <m/>
    <m/>
    <n v="0"/>
    <n v="0"/>
    <m/>
  </r>
  <r>
    <x v="15"/>
    <s v="16/07/2026"/>
    <x v="30"/>
    <m/>
    <n v="81806002424"/>
    <m/>
    <n v="22742798"/>
    <n v="5219828220987"/>
    <x v="2"/>
    <n v="6830.63"/>
    <n v="1975.78"/>
    <n v="2049.19"/>
    <n v="73.41"/>
    <d v="2026-08-01T00:00:00"/>
  </r>
  <r>
    <x v="15"/>
    <s v="16/07/2026"/>
    <x v="3"/>
    <s v="SALVADOR DIAZ TOCA"/>
    <n v="65715509512"/>
    <s v="DITS551009HDFZCL09"/>
    <n v="22739552"/>
    <n v="5215520571005"/>
    <x v="0"/>
    <n v="9760.32"/>
    <m/>
    <n v="2928.1"/>
    <n v="2928.1"/>
    <m/>
  </r>
  <r>
    <x v="15"/>
    <s v="13/07/2026"/>
    <x v="23"/>
    <s v="MIGUEL HINOJOSA ALEJO"/>
    <m/>
    <s v="HIAM660425HJCNLG09"/>
    <n v="22632496"/>
    <n v="5213931079319"/>
    <x v="8"/>
    <m/>
    <m/>
    <n v="0"/>
    <n v="0"/>
    <m/>
  </r>
  <r>
    <x v="15"/>
    <s v="15/07/2026"/>
    <x v="13"/>
    <s v="LUIS ANTONIO RODRIGUEZ RAMIREZ"/>
    <m/>
    <s v="RORL650513HSPDMS02"/>
    <n v="22736764"/>
    <n v="5214251025184"/>
    <x v="2"/>
    <n v="9760.32"/>
    <n v="2823.11"/>
    <n v="2928.1"/>
    <n v="104.99"/>
    <d v="2027-01-09T00:00:00"/>
  </r>
  <r>
    <x v="15"/>
    <s v="16/07/2026"/>
    <x v="19"/>
    <s v="JOSE EFRAIN "/>
    <m/>
    <s v="GAJE680208HZSRMF01"/>
    <n v="22756598"/>
    <n v="4651083115"/>
    <x v="6"/>
    <n v="19163.59"/>
    <n v="5320.48"/>
    <n v="5749.08"/>
    <n v="428.6"/>
    <d v="2024-01-11T00:00:00"/>
  </r>
  <r>
    <x v="15"/>
    <s v="16/07/2026"/>
    <x v="27"/>
    <s v="ESTEBAN MARAVER MOYA"/>
    <n v="6765758989"/>
    <m/>
    <n v="22758346"/>
    <n v="5215657764441"/>
    <x v="2"/>
    <n v="10636.54"/>
    <n v="3189.2"/>
    <n v="3190.96"/>
    <n v="1.76"/>
    <d v="2028-01-05T00:00:00"/>
  </r>
  <r>
    <x v="15"/>
    <s v="18/01/2026"/>
    <x v="28"/>
    <s v="MARIA CECILIA PEREZ REYES"/>
    <n v="4674705929"/>
    <s v="PERC471114MSRRYC07"/>
    <n v="16144614"/>
    <n v="5216621007065"/>
    <x v="4"/>
    <m/>
    <m/>
    <n v="0"/>
    <n v="0"/>
    <m/>
  </r>
  <r>
    <x v="15"/>
    <s v="15/07/2026"/>
    <x v="10"/>
    <s v="Oscar Aguilar Miguel"/>
    <m/>
    <s v="AUMO650228HCSGGS08"/>
    <n v="22737820"/>
    <n v="5219613865326"/>
    <x v="2"/>
    <n v="24859.7"/>
    <n v="7189.02"/>
    <n v="7457.91"/>
    <n v="268.89"/>
    <d v="2027-01-12T00:00:00"/>
  </r>
  <r>
    <x v="15"/>
    <s v="16/07/2026"/>
    <x v="17"/>
    <s v="Jaime Cruz Avila"/>
    <m/>
    <s v="CUAJ630506HVZRVM00"/>
    <n v="22759780"/>
    <n v="9993212926"/>
    <x v="6"/>
    <n v="7920.51"/>
    <n v="2291.6"/>
    <n v="2376.15"/>
    <n v="84.55"/>
    <d v="2026-01-06T00:00:00"/>
  </r>
  <r>
    <x v="15"/>
    <d v="2026-11-07T00:00:00"/>
    <x v="26"/>
    <s v="ARTURO ALVARADO MARTINEZ"/>
    <n v="41826203618"/>
    <s v="AAMA620413HSPLRR01"/>
    <n v="22571728"/>
    <n v="5214871390058"/>
    <x v="0"/>
    <n v="9081.52"/>
    <m/>
    <n v="2724.46"/>
    <n v="2724.46"/>
    <m/>
  </r>
  <r>
    <x v="15"/>
    <s v="13/07/2026"/>
    <x v="0"/>
    <s v="MARGARITA LOPEZ MARTINEZ"/>
    <n v="76846300721"/>
    <s v="LOMM630512MDFPRR14"/>
    <n v="22672944"/>
    <n v="5215548896845"/>
    <x v="6"/>
    <n v="7920.51"/>
    <n v="2098.06"/>
    <n v="2376.15"/>
    <n v="278.08999999999997"/>
    <d v="2025-01-12T00:00:00"/>
  </r>
  <r>
    <x v="15"/>
    <s v="16/07/2026"/>
    <x v="13"/>
    <s v="JOSE JOAQUIN MALVAEZ MUÑOZ"/>
    <n v="1755563721"/>
    <s v="MAMJ550209HDFLXQ00"/>
    <n v="22750316"/>
    <n v="5215591053819"/>
    <x v="2"/>
    <n v="13012.78"/>
    <n v="3897.5"/>
    <n v="3903.83"/>
    <n v="6.33"/>
    <d v="2027-01-05T00:00:00"/>
  </r>
  <r>
    <x v="15"/>
    <s v="14/07/2026"/>
    <x v="14"/>
    <s v="CAYETANO MAGAÑA ZAPATA"/>
    <m/>
    <s v="MAZC640807HTCGPY04"/>
    <n v="22697770"/>
    <n v="5219931912538"/>
    <x v="2"/>
    <n v="10636.54"/>
    <n v="3188.33"/>
    <n v="3190.96"/>
    <n v="2.63"/>
    <d v="2028-01-05T00:00:00"/>
  </r>
  <r>
    <x v="15"/>
    <s v="16/07/2026"/>
    <x v="19"/>
    <s v="JOAQUIN FLORES"/>
    <m/>
    <s v="HEFJ630801HMNRLQ08"/>
    <n v="22756980"/>
    <n v="5217861436651"/>
    <x v="0"/>
    <n v="10570.88"/>
    <m/>
    <n v="3171.26"/>
    <n v="3171.26"/>
    <m/>
  </r>
  <r>
    <x v="15"/>
    <s v="16/07/2026"/>
    <x v="3"/>
    <s v="JOSE ANTONIO FLORES MERCADO"/>
    <n v="45886261705"/>
    <s v="FOMA620711HDFLRN04"/>
    <n v="22740450"/>
    <n v="5215573953588"/>
    <x v="0"/>
    <n v="23691.17"/>
    <n v="5121.8500000000004"/>
    <n v="7107.35"/>
    <n v="1985.5"/>
    <d v="2027-01-03T00:00:00"/>
  </r>
  <r>
    <x v="15"/>
    <s v="13/07/2026"/>
    <x v="26"/>
    <s v="RODRIGO ORIGINALES IBARRA"/>
    <n v="32816402492"/>
    <s v="OIIR640502HCLRBD08"/>
    <n v="22663394"/>
    <n v="5218711614309"/>
    <x v="2"/>
    <n v="10171.24"/>
    <n v="3051.37"/>
    <n v="3051.37"/>
    <n v="0"/>
    <d v="2028-01-07T00:00:00"/>
  </r>
  <r>
    <x v="15"/>
    <s v="15/07/2026"/>
    <x v="7"/>
    <s v="Aurora Castro Inzunza "/>
    <n v="21865400200"/>
    <s v="CAIA601210MSLSNR02"/>
    <n v="22740054"/>
    <n v="5216862433196"/>
    <x v="7"/>
    <n v="5378.99"/>
    <n v="1613.53"/>
    <n v="1613.7"/>
    <n v="-407.52"/>
    <d v="2024-01-08T00:00:00"/>
  </r>
  <r>
    <x v="15"/>
    <s v="16/07/2026"/>
    <x v="8"/>
    <s v="MARIA TERESA DOMINGUEZ L,OPEZ"/>
    <n v="33816299078"/>
    <s v="DOLT621026MCHMPR09"/>
    <n v="22761296"/>
    <n v="5216144733374"/>
    <x v="2"/>
    <n v="9081.52"/>
    <n v="2616.4699999999998"/>
    <n v="2724.46"/>
    <n v="107.99"/>
    <d v="2026-12-01T00:00:00"/>
  </r>
  <r>
    <x v="15"/>
    <s v="16/07/2026"/>
    <x v="17"/>
    <s v="Ramon Leal Silva"/>
    <m/>
    <s v="LESR640322HVZLLM02"/>
    <n v="22757950"/>
    <n v="8445363594"/>
    <x v="2"/>
    <n v="9760.32"/>
    <n v="2927.9"/>
    <n v="2928.1"/>
    <n v="0.2"/>
    <d v="2027-01-08T00:00:00"/>
  </r>
  <r>
    <x v="15"/>
    <s v="16/07/2026"/>
    <x v="11"/>
    <s v="jorge cobaxin cobaxin "/>
    <m/>
    <s v="COCJ570312HVZBBR01"/>
    <n v="22759452"/>
    <n v="5218441471329"/>
    <x v="0"/>
    <n v="10636.54"/>
    <m/>
    <n v="3190.96"/>
    <n v="3190.96"/>
    <m/>
  </r>
  <r>
    <x v="15"/>
    <s v="16/07/2026"/>
    <x v="27"/>
    <s v="LUCIA  NUÑEZ CORDOVA "/>
    <n v="74917553146"/>
    <m/>
    <n v="22762130"/>
    <n v="5213313336914"/>
    <x v="2"/>
    <n v="6405.06"/>
    <n v="1852.14"/>
    <n v="1921.52"/>
    <n v="69.38"/>
    <d v="2027-01-03T00:00:00"/>
  </r>
  <r>
    <x v="16"/>
    <s v="17/07/2026"/>
    <x v="31"/>
    <s v="ROSENDO PALOMO MORA"/>
    <n v="43816243935"/>
    <s v="PAMR620301HNLLRS01"/>
    <n v="2"/>
    <n v="8125629130"/>
    <x v="2"/>
    <n v="9504.7000000000007"/>
    <n v="2847.87"/>
    <n v="2851.41"/>
    <n v="3.54"/>
    <d v="2028-01-04T00:00:00"/>
  </r>
  <r>
    <x v="16"/>
    <s v="17/07/2026"/>
    <x v="31"/>
    <s v="J. JESUS GONZALEZ GONZALEZ"/>
    <n v="6796154950"/>
    <s v="GOGJ611003HMCNNSO4"/>
    <n v="2"/>
    <s v="55 2805 1086"/>
    <x v="2"/>
    <n v="17827.189999999999"/>
    <n v="5348.16"/>
    <n v="5348.16"/>
    <n v="0"/>
    <d v="2026-01-10T00:00:00"/>
  </r>
  <r>
    <x v="16"/>
    <s v="17/07/2026"/>
    <x v="32"/>
    <s v="ENRIQUE AVILA CERDA"/>
    <n v="41806315051"/>
    <s v="AICE630518HSPVRN06"/>
    <n v="2"/>
    <n v="4448457967"/>
    <x v="2"/>
    <n v="10636.54"/>
    <n v="3190.94"/>
    <n v="3190.96"/>
    <n v="0.02"/>
    <d v="2028-01-05T00:00:00"/>
  </r>
  <r>
    <x v="16"/>
    <s v="17/07/2026"/>
    <x v="30"/>
    <s v="MA. CARMEN CORONA CASTRO"/>
    <n v="12755204075"/>
    <s v="COCC590707MGTRSR02"/>
    <n v="22765034"/>
    <n v="5214423456322"/>
    <x v="0"/>
    <n v="8784.2900000000009"/>
    <m/>
    <n v="2635.29"/>
    <n v="2635.29"/>
    <m/>
  </r>
  <r>
    <x v="16"/>
    <s v="16/07/2026"/>
    <x v="10"/>
    <s v="JOAQUIN PEDRO AZTEPEITIA AVILA"/>
    <n v="49846012034"/>
    <s v="AEAJ600816HDFZVQ05"/>
    <n v="22764050"/>
    <n v="5218335363809"/>
    <x v="4"/>
    <m/>
    <m/>
    <n v="0"/>
    <n v="0"/>
    <m/>
  </r>
  <r>
    <x v="16"/>
    <s v="17/07/2026"/>
    <x v="6"/>
    <s v="PORFIRIO VERA CORTES"/>
    <s v="_x000a_84745506765"/>
    <s v="VECP550207HYNRRR09"/>
    <n v="22781166"/>
    <n v="5219999094046"/>
    <x v="1"/>
    <n v="4342.43"/>
    <n v="848"/>
    <n v="1302.73"/>
    <n v="-678.55"/>
    <m/>
  </r>
  <r>
    <x v="16"/>
    <s v="17/07/2026"/>
    <x v="30"/>
    <s v="JUANA MARIA DAVILA ADAME"/>
    <n v="34906602528"/>
    <s v="DAAJ660327MCLVDN06"/>
    <n v="22765636"/>
    <n v="5214921037006"/>
    <x v="0"/>
    <n v="10636.54"/>
    <n v="1789.65"/>
    <n v="3190.96"/>
    <n v="1401.31"/>
    <d v="2028-01-06T00:00:00"/>
  </r>
  <r>
    <x v="16"/>
    <s v="17/07/2026"/>
    <x v="32"/>
    <s v="SALVADOR LOZANO GUTIERREZ"/>
    <n v="32806000090"/>
    <s v="LOGS601127HCLZTL07"/>
    <n v="2"/>
    <n v="8717686106"/>
    <x v="2"/>
    <n v="7753.13"/>
    <n v="2243.17"/>
    <n v="2325.94"/>
    <n v="82.77"/>
    <d v="2027-01-06T00:00:00"/>
  </r>
  <r>
    <x v="16"/>
    <s v="17/07/2026"/>
    <x v="31"/>
    <s v="JUAN MANUEL VAZQUEZ LIMON"/>
    <n v="62906060678"/>
    <s v="VALJ600524HPLZMN07"/>
    <n v="2"/>
    <s v="221 401 8709"/>
    <x v="2"/>
    <n v="5617.63"/>
    <n v="1389.24"/>
    <n v="1685.29"/>
    <n v="55.41"/>
    <d v="2026-01-09T00:00:00"/>
  </r>
  <r>
    <x v="16"/>
    <s v="17/07/2026"/>
    <x v="14"/>
    <s v="MARIA DE LOURDES GARCIA MARTINEZ"/>
    <m/>
    <s v="GAML620128MNLRRR03"/>
    <n v="22774872"/>
    <n v="5215586781473"/>
    <x v="2"/>
    <n v="7116.73"/>
    <n v="2132.25"/>
    <n v="2135.02"/>
    <n v="2.77"/>
    <d v="2027-01-02T00:00:00"/>
  </r>
  <r>
    <x v="16"/>
    <s v="16/07/2026"/>
    <x v="3"/>
    <s v="MARIA ELENA GAYTAN FLORES "/>
    <n v="32816551942"/>
    <s v="GAFE651101MCLYLL03"/>
    <n v="22765192"/>
    <n v="5218125900709"/>
    <x v="2"/>
    <n v="9760.32"/>
    <n v="2758.23"/>
    <n v="2928.1"/>
    <n v="169.87"/>
    <d v="2028-01-02T00:00:00"/>
  </r>
  <r>
    <x v="16"/>
    <s v="15/07/2026"/>
    <x v="29"/>
    <s v="Gabriela Murrieta tanori"/>
    <n v="24887288108"/>
    <s v="MUTG731207MSRRNB01"/>
    <n v="22729966"/>
    <n v="5216624313028"/>
    <x v="2"/>
    <n v="6405.06"/>
    <n v="1778.27"/>
    <n v="1921.52"/>
    <n v="143.25"/>
    <d v="2026-12-01T00:00:00"/>
  </r>
  <r>
    <x v="16"/>
    <s v="16/07/2026"/>
    <x v="26"/>
    <s v="ALFONSO GUSTAVO VENTURA MERINO MORA"/>
    <n v="12705325152"/>
    <s v="MEMA530714HVZRRL01"/>
    <n v="22765294"/>
    <n v="5212291621009"/>
    <x v="0"/>
    <n v="10467.25"/>
    <m/>
    <n v="3140.18"/>
    <n v="3140.18"/>
    <m/>
  </r>
  <r>
    <x v="16"/>
    <s v="17/07/2026"/>
    <x v="26"/>
    <s v="LUIS ALFONSO ESTRELLA TUYIN"/>
    <n v="84785506464"/>
    <s v="EETL551006HYNSYS03"/>
    <n v="22780308"/>
    <n v="5219993346693"/>
    <x v="1"/>
    <n v="4488.12"/>
    <n v="1594.08"/>
    <n v="1346.44"/>
    <n v="-1278.94"/>
    <m/>
  </r>
  <r>
    <x v="16"/>
    <s v="16/07/2026"/>
    <x v="3"/>
    <s v="MARIA FRANCISCA FIGUEYRAS AVILES"/>
    <n v="62705217099"/>
    <s v="FIAF551004MPLGVR00"/>
    <n v="22773764"/>
    <n v="22773764"/>
    <x v="2"/>
    <n v="4552.7"/>
    <n v="768.66"/>
    <n v="1365.81"/>
    <n v="-388.94"/>
    <d v="2027-01-08T00:00:00"/>
  </r>
  <r>
    <x v="16"/>
    <s v="17/07/2026"/>
    <x v="6"/>
    <s v="PLACIDO JAVIER MARTINEZ HERNANDEZ "/>
    <n v="62644711806"/>
    <s v="MAHP481005HPLRRL06 "/>
    <n v="22784412"/>
    <n v="5212361081717"/>
    <x v="1"/>
    <n v="3904.19"/>
    <m/>
    <n v="1171.26"/>
    <n v="0"/>
    <m/>
  </r>
  <r>
    <x v="16"/>
    <s v="17/07/2026"/>
    <x v="31"/>
    <s v="ADOLFO LUNA INZUNZA"/>
    <n v="55805802018"/>
    <s v="LUIA580620HNTNND04"/>
    <n v="2"/>
    <n v="3112474147"/>
    <x v="2"/>
    <n v="24234.17"/>
    <n v="7268.37"/>
    <n v="7270.25"/>
    <n v="1.88"/>
    <d v="2027-01-04T00:00:00"/>
  </r>
  <r>
    <x v="16"/>
    <s v="17/07/2026"/>
    <x v="32"/>
    <s v="ROSA MARIA SANDOVAL BARRAGAN"/>
    <n v="64806116857"/>
    <s v="SABR610807MDFNRS03"/>
    <n v="2"/>
    <n v="7299689395"/>
    <x v="3"/>
    <n v="29321.29"/>
    <n v="8481.5499999999993"/>
    <n v="8796.39"/>
    <n v="314.83999999999997"/>
    <d v="2027-01-12T00:00:00"/>
  </r>
  <r>
    <x v="16"/>
    <s v="16/07/2026"/>
    <x v="11"/>
    <s v="HERIBERTO FRIAS RANGEL"/>
    <n v="21836571097"/>
    <s v="FIRH651020HBCRNR09"/>
    <n v="22763356"/>
    <n v="5216531760996"/>
    <x v="3"/>
    <n v="9760.32"/>
    <n v="2206.65"/>
    <n v="2928.1"/>
    <n v="721.45"/>
    <d v="2028-01-07T00:00:00"/>
  </r>
  <r>
    <x v="16"/>
    <s v="17/07/2026"/>
    <x v="32"/>
    <s v="JESUS JAVIER GARCIA TAVITAS"/>
    <n v="32776109343"/>
    <s v="GATJ610228HCLRVS05"/>
    <n v="2"/>
    <n v="8445297151"/>
    <x v="2"/>
    <n v="6263.86"/>
    <n v="1864.01"/>
    <n v="1879.16"/>
    <n v="15.15"/>
    <d v="2027-01-09T00:00:00"/>
  </r>
  <r>
    <x v="16"/>
    <s v="16/07/2026"/>
    <x v="17"/>
    <s v="Alfonso Antonio Del Prado Zertuche"/>
    <m/>
    <s v="PAZA641110HSPRRL07"/>
    <n v="22762500"/>
    <n v="4443938539"/>
    <x v="0"/>
    <n v="9760.32"/>
    <n v="370.66"/>
    <n v="2928.1"/>
    <n v="2557.44"/>
    <d v="2028-01-04T00:00:00"/>
  </r>
  <r>
    <x v="16"/>
    <s v="17/07/2026"/>
    <x v="31"/>
    <s v="MARIA LUISA HERNANDEZ MONTIEL"/>
    <n v="13695313034"/>
    <s v="HEML530905MTLRNS05"/>
    <n v="2"/>
    <n v="7223117537"/>
    <x v="1"/>
    <n v="3881.65"/>
    <m/>
    <n v="1164.5"/>
    <n v="0"/>
    <m/>
  </r>
  <r>
    <x v="16"/>
    <s v="16/07/2026"/>
    <x v="11"/>
    <s v="ISRRAEL CAMACHO RUELAS "/>
    <m/>
    <s v="CARI641203HBCMLS03"/>
    <n v="22763566"/>
    <n v="5216381075480"/>
    <x v="0"/>
    <n v="10171.24"/>
    <n v="879"/>
    <n v="3051.37"/>
    <n v="2172.37"/>
    <m/>
  </r>
  <r>
    <x v="16"/>
    <s v="17/07/2026"/>
    <x v="31"/>
    <s v="INOCENCIA MORALES MORALES"/>
    <n v="32956975166"/>
    <s v="MOMI761008MCLRRN00"/>
    <n v="2"/>
    <n v="8442129049"/>
    <x v="2"/>
    <n v="9760.2999999999993"/>
    <n v="2799.05"/>
    <n v="2928.09"/>
    <n v="129.04"/>
    <d v="2027-01-08T00:00:00"/>
  </r>
  <r>
    <x v="16"/>
    <s v="17/07/2026"/>
    <x v="31"/>
    <s v="JUAN MANUEL GONZALEZ REGOYTIA"/>
    <n v="18826200901"/>
    <s v="GORJ620703HMCNGN00"/>
    <n v="2"/>
    <s v="56 5760 1811"/>
    <x v="2"/>
    <n v="22462.55"/>
    <n v="6720.34"/>
    <n v="6738.77"/>
    <n v="18.420000000000002"/>
    <d v="2027-01-03T00:00:00"/>
  </r>
  <r>
    <x v="16"/>
    <s v="17/07/2026"/>
    <x v="31"/>
    <s v="MARCO ANTONIO LOPEZ VILLARREAL"/>
    <n v="43966405748"/>
    <s v="LOVM641023HCLPLR06"/>
    <n v="2"/>
    <s v=" 81 1663 9322"/>
    <x v="2"/>
    <n v="9081.52"/>
    <n v="2627.49"/>
    <n v="2724.46"/>
    <n v="96.97"/>
    <d v="2028-01-02T00:00:00"/>
  </r>
  <r>
    <x v="16"/>
    <s v="17/07/2026"/>
    <x v="32"/>
    <s v="JORGE AGUILERA MAGAÑA"/>
    <n v="54816141714"/>
    <s v="AUMJ610823HJCGGR05"/>
    <n v="2"/>
    <n v="3412154194"/>
    <x v="9"/>
    <n v="9504.7000000000007"/>
    <n v="2637.84"/>
    <n v="2851.41"/>
    <n v="213.57"/>
    <d v="2026-01-04T00:00:00"/>
  </r>
  <r>
    <x v="16"/>
    <s v="17/07/2026"/>
    <x v="26"/>
    <s v="MARTIN HERNANDEZ LOPEZ"/>
    <n v="32796318933"/>
    <s v="HELM630210HCLRPR01"/>
    <n v="22771020"/>
    <n v="5218712464517"/>
    <x v="2"/>
    <n v="7920.51"/>
    <n v="2287.88"/>
    <n v="2376.15"/>
    <n v="88.27"/>
    <d v="2027-01-05T00:00:00"/>
  </r>
  <r>
    <x v="16"/>
    <s v="17/07/2026"/>
    <x v="10"/>
    <m/>
    <n v="16816321497"/>
    <s v="GAHL631204HMCRRS01"/>
    <n v="22779634"/>
    <n v="5217222699700"/>
    <x v="2"/>
    <n v="20976.2"/>
    <n v="6290.14"/>
    <n v="6292.86"/>
    <n v="2.72"/>
    <d v="2026-10-01T00:00:00"/>
  </r>
  <r>
    <x v="16"/>
    <s v="17/07/2026"/>
    <x v="6"/>
    <s v="JAVIER MUÑOZ VARGAS "/>
    <n v="24846306785"/>
    <s v="MUVJ631209HDFXRV07"/>
    <n v="22765672"/>
    <n v="5215510493331"/>
    <x v="2"/>
    <n v="9081.52"/>
    <n v="2498.39"/>
    <n v="2724.46"/>
    <n v="226.07"/>
    <d v="2026-11-01T00:00:00"/>
  </r>
  <r>
    <x v="16"/>
    <s v="18/07/2026"/>
    <x v="30"/>
    <s v="Juan Carlos Guzmán Feregrino"/>
    <n v="14836406570"/>
    <s v="GUFJ631104HQTZRN02"/>
    <n v="22785942"/>
    <n v="5214271032003"/>
    <x v="0"/>
    <n v="31418.66"/>
    <n v="5180.49"/>
    <n v="9425.6"/>
    <n v="4245.1099999999997"/>
    <d v="2027-01-09T00:00:00"/>
  </r>
  <r>
    <x v="16"/>
    <s v="17/07/2026"/>
    <x v="10"/>
    <m/>
    <n v="25977625851"/>
    <m/>
    <n v="22771380"/>
    <n v="5216682336582"/>
    <x v="4"/>
    <m/>
    <m/>
    <n v="0"/>
    <n v="0"/>
    <m/>
  </r>
  <r>
    <x v="16"/>
    <s v="17/07/2026"/>
    <x v="31"/>
    <s v="ANA MARIA CRUZ ROMERO MUÑOZ"/>
    <n v="1765886971"/>
    <s v="ROMA590501MPLMXN09"/>
    <n v="2"/>
    <s v="55 8177 6070"/>
    <x v="2"/>
    <n v="13516.85"/>
    <n v="4060.46"/>
    <n v="4055.06"/>
    <n v="-5.41"/>
    <d v="2027-01-03T00:00:00"/>
  </r>
  <r>
    <x v="16"/>
    <s v="17/07/2026"/>
    <x v="31"/>
    <s v="MIRANDA TORRES JOSE LUIS"/>
    <n v="10796036795"/>
    <s v="MITL600920HDFRRS04"/>
    <n v="2"/>
    <s v="56 3137 9828"/>
    <x v="2"/>
    <n v="21381.42"/>
    <n v="6186.16"/>
    <n v="6414.43"/>
    <n v="228.27"/>
    <d v="2027-01-06T00:00:00"/>
  </r>
  <r>
    <x v="16"/>
    <s v="17/07/2026"/>
    <x v="19"/>
    <s v="ISIDRO RAMIREZ "/>
    <n v="23897210995"/>
    <m/>
    <n v="22789282"/>
    <n v="6677856455"/>
    <x v="1"/>
    <n v="4306.5"/>
    <n v="373.64"/>
    <n v="1291.95"/>
    <n v="-240.12"/>
    <m/>
  </r>
  <r>
    <x v="16"/>
    <s v="16/07/2026"/>
    <x v="14"/>
    <s v="JOSE INOCENCIO ARREOLA SANCHEZ"/>
    <m/>
    <s v="AESI631120HVZRNN05"/>
    <n v="22765758"/>
    <n v="5214426575907"/>
    <x v="8"/>
    <m/>
    <m/>
    <n v="0"/>
    <n v="0"/>
    <m/>
  </r>
  <r>
    <x v="16"/>
    <s v="17/07/2026"/>
    <x v="31"/>
    <s v="FRANCISCO JAVIER GARCIA GONZALEZ"/>
    <n v="51765600898"/>
    <s v="GAGF561010HJCRNR04"/>
    <n v="2"/>
    <s v="449 201 1278"/>
    <x v="2"/>
    <n v="8138.53"/>
    <n v="2353.36"/>
    <n v="2441.56"/>
    <n v="88.2"/>
    <d v="2027-01-09T00:00:00"/>
  </r>
  <r>
    <x v="16"/>
    <s v="17/07/2026"/>
    <x v="13"/>
    <s v="JORGE JAIME JUAREZ AGUILAR"/>
    <n v="32866576997"/>
    <s v="JUAJ650508HCLRGR06"/>
    <n v="22780542"/>
    <n v="5218424239128"/>
    <x v="5"/>
    <m/>
    <m/>
    <n v="0"/>
    <n v="0"/>
    <m/>
  </r>
  <r>
    <x v="16"/>
    <s v="17/07/2026"/>
    <x v="10"/>
    <s v="GILBERTO MUÑOZ REYES"/>
    <n v="65735706072"/>
    <s v="MURG570204HVZXYL01"/>
    <n v="22778062"/>
    <n v="5212285014331"/>
    <x v="1"/>
    <n v="4342.43"/>
    <m/>
    <n v="1302.73"/>
    <n v="169.45"/>
    <m/>
  </r>
  <r>
    <x v="16"/>
    <s v="17/07/2026"/>
    <x v="32"/>
    <s v="AARON GONZALEZ ESQUIVEL "/>
    <n v="49734803346"/>
    <s v="GOEA480701HTSNSR02"/>
    <n v="2"/>
    <n v="8683934282"/>
    <x v="5"/>
    <m/>
    <m/>
    <n v="0"/>
    <n v="0"/>
    <m/>
  </r>
  <r>
    <x v="16"/>
    <s v="17/07/2026"/>
    <x v="3"/>
    <s v="Monica Pérez creollo"/>
    <n v="84897314005"/>
    <s v="PECM740504MYNRRN01"/>
    <n v="22783784"/>
    <n v="5219991212434"/>
    <x v="2"/>
    <n v="8173.37"/>
    <n v="2627.5"/>
    <n v="2452.0100000000002"/>
    <n v="-175.49"/>
    <d v="2026-09-01T00:00:00"/>
  </r>
  <r>
    <x v="16"/>
    <s v="17/07/2026"/>
    <x v="10"/>
    <s v="AMALIA OSUNA RIOS"/>
    <m/>
    <s v="OURA580506MSLSSM00"/>
    <n v="22728244"/>
    <n v="5216861658944"/>
    <x v="0"/>
    <n v="9760.32"/>
    <m/>
    <n v="2928.1"/>
    <n v="2928.1"/>
    <m/>
  </r>
  <r>
    <x v="16"/>
    <s v="17/07/2026"/>
    <x v="29"/>
    <s v="José Adolfo Hernández Canizales"/>
    <n v="43776108565"/>
    <m/>
    <n v="22789258"/>
    <n v="5218131593801"/>
    <x v="2"/>
    <n v="20397.52"/>
    <n v="6118.99"/>
    <n v="6119.26"/>
    <n v="0.27"/>
    <d v="2028-01-02T00:00:00"/>
  </r>
  <r>
    <x v="16"/>
    <s v="17/07/2026"/>
    <x v="7"/>
    <s v="David Cárdenas Peña"/>
    <n v="49786039161"/>
    <s v="CAPD600721HTSRXV01"/>
    <n v="22782814"/>
    <n v="5218332049036"/>
    <x v="1"/>
    <n v="2219.63"/>
    <m/>
    <n v="665.89"/>
    <n v="0"/>
    <m/>
  </r>
  <r>
    <x v="16"/>
    <s v="17/07/2026"/>
    <x v="3"/>
    <s v="Rosa Hernández Jiménez"/>
    <n v="67955723043"/>
    <s v="HERJ570903MOCRMS07"/>
    <n v="22764500"/>
    <n v="5212711952171"/>
    <x v="1"/>
    <n v="4342.43"/>
    <m/>
    <n v="1302.73"/>
    <n v="169.45"/>
    <m/>
  </r>
  <r>
    <x v="16"/>
    <s v="17/07/2026"/>
    <x v="23"/>
    <s v="MARGARITA GUZMAN CRUZ"/>
    <n v="13967926919"/>
    <s v="GUCM810630MHGZRR05"/>
    <n v="22781484"/>
    <n v="5212214651761"/>
    <x v="4"/>
    <m/>
    <m/>
    <n v="0"/>
    <n v="0"/>
    <m/>
  </r>
  <r>
    <x v="16"/>
    <s v="17/07/2026"/>
    <x v="20"/>
    <s v="Ernesto"/>
    <n v="32937777913"/>
    <m/>
    <n v="22790330"/>
    <n v="5218443614384"/>
    <x v="1"/>
    <n v="3537"/>
    <n v="848"/>
    <n v="1061.0999999999999"/>
    <n v="-848"/>
    <m/>
  </r>
  <r>
    <x v="16"/>
    <s v="17/07/2026"/>
    <x v="8"/>
    <s v="FERMIN SIMENTAL ESTRADA"/>
    <m/>
    <s v="SIEF570707HDGMSR09"/>
    <n v="22796628"/>
    <n v="5216272792182"/>
    <x v="2"/>
    <n v="37862.519999999997"/>
    <n v="11358.76"/>
    <n v="11358.76"/>
    <n v="0"/>
    <d v="2026-09-01T00:00:00"/>
  </r>
  <r>
    <x v="16"/>
    <s v="17/07/2026"/>
    <x v="6"/>
    <s v="GERMAN IBERIO RODRIGUEZ CARLOS "/>
    <n v="67725400047"/>
    <s v="ROCG540528HVZDRR03"/>
    <n v="22768520"/>
    <n v="5212721381129"/>
    <x v="2"/>
    <n v="9760.32"/>
    <n v="2823.87"/>
    <n v="2928.1"/>
    <n v="104.23"/>
    <d v="2027-01-10T00:00:00"/>
  </r>
  <r>
    <x v="16"/>
    <s v="17/07/2026"/>
    <x v="29"/>
    <s v="ANDRES LUNA HERMNANDEZ"/>
    <n v="49806120389"/>
    <m/>
    <n v="22789796"/>
    <n v="5212203638516"/>
    <x v="2"/>
    <n v="6262.86"/>
    <n v="1809.96"/>
    <n v="1878.86"/>
    <n v="68.900000000000006"/>
    <d v="2027-01-04T00:00:00"/>
  </r>
  <r>
    <x v="16"/>
    <s v="17/07/2026"/>
    <x v="7"/>
    <s v="Julio Cesar Anduaga Corral"/>
    <m/>
    <s v="AUCJ590505HSRNRL02"/>
    <n v="22782874"/>
    <n v="5216421233409"/>
    <x v="2"/>
    <n v="7733.26"/>
    <n v="2237.37"/>
    <n v="2319.98"/>
    <n v="82.61"/>
    <d v="2027-01-11T00:00:00"/>
  </r>
  <r>
    <x v="16"/>
    <s v="17/07/2026"/>
    <x v="30"/>
    <s v="JAIME PÉREZ HERNANDEZ "/>
    <n v="42866860887"/>
    <s v="PEHJ681110HMCRRM06"/>
    <n v="22784258"/>
    <n v="5215637397594"/>
    <x v="2"/>
    <n v="5642.22"/>
    <n v="1469.23"/>
    <n v="1692.67"/>
    <n v="0.01"/>
    <d v="2026-08-01T00:00:00"/>
  </r>
  <r>
    <x v="16"/>
    <s v="17/07/2026"/>
    <x v="11"/>
    <s v="BONIFACIO FUENTES TOTO"/>
    <n v="67826476987"/>
    <m/>
    <n v="22788048"/>
    <n v="5219211199286"/>
    <x v="2"/>
    <n v="9081.52"/>
    <n v="2724.31"/>
    <n v="2724.46"/>
    <n v="0.15"/>
    <d v="2027-01-01T00:00:00"/>
  </r>
  <r>
    <x v="16"/>
    <s v="17/07/2026"/>
    <x v="7"/>
    <s v="Juan Manuel Dominguez Bermuda "/>
    <n v="62985509803"/>
    <s v="DOBJ550415HPLMRN01"/>
    <n v="22782952"/>
    <n v="5212224900205"/>
    <x v="2"/>
    <n v="9760.32"/>
    <n v="2928.06"/>
    <n v="2928.1"/>
    <n v="0.04"/>
    <d v="2027-01-10T00:00:00"/>
  </r>
  <r>
    <x v="16"/>
    <s v="17/07/2026"/>
    <x v="29"/>
    <s v="AARON SANDOVAL JUAREZ"/>
    <m/>
    <s v="SAJA670701HDFNRR05"/>
    <n v="22797984"/>
    <n v="5215574922986"/>
    <x v="1"/>
    <n v="2671.62"/>
    <m/>
    <n v="801.49"/>
    <n v="0"/>
    <m/>
  </r>
  <r>
    <x v="16"/>
    <s v="17/07/2026"/>
    <x v="6"/>
    <s v="OSCAR PEREZ "/>
    <n v="78715601064"/>
    <s v="PEXO561209HOCRXS06"/>
    <n v="22787282"/>
    <n v="5219511613857"/>
    <x v="2"/>
    <n v="30750.86"/>
    <n v="9225.2099999999991"/>
    <n v="9225.26"/>
    <n v="0.05"/>
    <d v="2027-01-03T00:00:00"/>
  </r>
  <r>
    <x v="16"/>
    <s v="17/07/2026"/>
    <x v="20"/>
    <s v="ROBERTO VAZQUEZ PRECIADO "/>
    <m/>
    <s v="VAPR620607HJCZRB03"/>
    <n v="22798438"/>
    <n v="5216428532191"/>
    <x v="2"/>
    <n v="6353.54"/>
    <n v="1837.17"/>
    <n v="1906.06"/>
    <n v="68.89"/>
    <d v="2027-01-11T00:00:00"/>
  </r>
  <r>
    <x v="16"/>
    <s v="17/07/2026"/>
    <x v="17"/>
    <s v="Marcelino Cota Ruiz"/>
    <m/>
    <s v="CORM560602HSLTZR06"/>
    <n v="22789292"/>
    <n v="2222030925"/>
    <x v="3"/>
    <n v="65289.73"/>
    <n v="18864.12"/>
    <n v="19586.919999999998"/>
    <n v="722.8"/>
    <d v="2027-01-05T00:00:00"/>
  </r>
  <r>
    <x v="16"/>
    <s v="17/07/2026"/>
    <x v="14"/>
    <s v="MANUEL CASTRO ESCALANTE"/>
    <m/>
    <s v="CAEM680221HBCSSN06"/>
    <n v="22785624"/>
    <n v="5216861983175"/>
    <x v="2"/>
    <n v="8793.09"/>
    <n v="2524.75"/>
    <n v="2637.93"/>
    <n v="113.18"/>
    <d v="2027-01-07T00:00:00"/>
  </r>
  <r>
    <x v="16"/>
    <s v="17/07/2026"/>
    <x v="13"/>
    <s v="ARMANDO SALAZAR ALVAREZ"/>
    <n v="41836700314"/>
    <s v="SAAA670820HSPLLR07"/>
    <n v="22781738"/>
    <n v="5214441403644"/>
    <x v="0"/>
    <n v="8181.55"/>
    <m/>
    <n v="2454.4699999999998"/>
    <n v="2454.4699999999998"/>
    <m/>
  </r>
  <r>
    <x v="16"/>
    <s v="17/07/2026"/>
    <x v="8"/>
    <s v="LUIS RAMOS ALVAREZ"/>
    <m/>
    <s v="RAAL550727HDFMLS08"/>
    <n v="22798994"/>
    <n v="5215531585652"/>
    <x v="2"/>
    <n v="14879.41"/>
    <n v="4303.1899999999996"/>
    <n v="4463.82"/>
    <n v="160.63"/>
    <d v="2027-01-11T00:00:00"/>
  </r>
  <r>
    <x v="16"/>
    <s v="16/07/2026"/>
    <x v="26"/>
    <s v="LUZ DEL CARMEN PACHECO SANCHEZ"/>
    <n v="24896426541"/>
    <s v="PASL640705MSRCNZ08"/>
    <n v="22763942"/>
    <n v="5216621010808"/>
    <x v="2"/>
    <n v="9081.52"/>
    <n v="2721.05"/>
    <n v="2724.46"/>
    <n v="3.41"/>
    <d v="2027-01-08T00:00:00"/>
  </r>
  <r>
    <x v="16"/>
    <s v="17/07/2026"/>
    <x v="11"/>
    <s v="JOSE DE JESUS segobiano ramirez"/>
    <m/>
    <s v="SERJ880906HJCGMS02"/>
    <n v="22798646"/>
    <n v="5213412063114"/>
    <x v="1"/>
    <n v="4172.99"/>
    <m/>
    <n v="1251.9000000000001"/>
    <n v="0.01"/>
    <m/>
  </r>
  <r>
    <x v="16"/>
    <s v="16/07/2026"/>
    <x v="13"/>
    <s v="MARYLINDA DIAZ RANGEL"/>
    <n v="43816317556"/>
    <s v="DIRM630501MNLZNR14"/>
    <n v="22766612"/>
    <n v="5218121012120"/>
    <x v="2"/>
    <n v="9760.32"/>
    <n v="2822"/>
    <n v="2928.1"/>
    <n v="106.1"/>
    <d v="2027-01-08T00:00:00"/>
  </r>
  <r>
    <x v="16"/>
    <s v="17/07/2026"/>
    <x v="6"/>
    <s v="JUAN GUALBERTO ROJAS SAUCEDO"/>
    <n v="31826516911"/>
    <s v="ROSJ650712HDGJCN03"/>
    <n v="22765048"/>
    <n v="5218771464167"/>
    <x v="2"/>
    <n v="9760.32"/>
    <n v="2823.89"/>
    <n v="2928.1"/>
    <n v="104.21"/>
    <d v="2027-01-10T00:00:00"/>
  </r>
  <r>
    <x v="16"/>
    <s v="16/07/2026"/>
    <x v="13"/>
    <s v="CHILO"/>
    <n v="32644814850"/>
    <m/>
    <n v="22767518"/>
    <n v="5218113934656"/>
    <x v="2"/>
    <n v="10861.16"/>
    <n v="3258.02"/>
    <n v="3258.35"/>
    <n v="0.33"/>
    <d v="2027-01-02T00:00:00"/>
  </r>
  <r>
    <x v="16"/>
    <s v="17/07/2026"/>
    <x v="17"/>
    <s v="Roberto De La Torre Garcia"/>
    <m/>
    <s v="TOGR591230HMCRRB01"/>
    <n v="22799122"/>
    <n v="7225587980"/>
    <x v="0"/>
    <n v="10636.54"/>
    <m/>
    <n v="3190.96"/>
    <n v="3190.96"/>
    <m/>
  </r>
  <r>
    <x v="16"/>
    <s v="17/07/2026"/>
    <x v="18"/>
    <s v="SANTA ÁLVAREZ GARCIA"/>
    <n v="32683011210"/>
    <s v="AAGS600419MDGLRN01"/>
    <n v="1"/>
    <n v="8713451876"/>
    <x v="1"/>
    <n v="3272.18"/>
    <m/>
    <n v="981.65"/>
    <n v="0"/>
    <m/>
  </r>
  <r>
    <x v="16"/>
    <s v="17/07/2026"/>
    <x v="11"/>
    <s v="Guillermo Yañez García"/>
    <m/>
    <s v="YAGG570831HSPXRL06"/>
    <n v="22799726"/>
    <n v="5214443543156"/>
    <x v="7"/>
    <n v="17591.439999999999"/>
    <n v="4877.79"/>
    <n v="5277.43"/>
    <n v="399.64"/>
    <d v="2026-01-07T00:00:00"/>
  </r>
  <r>
    <x v="16"/>
    <s v="15/07/2026"/>
    <x v="17"/>
    <s v="Adriana Zamora Saucedo"/>
    <n v="51058616197"/>
    <s v="ZASA900928MASMCD04"/>
    <n v="22734110"/>
    <n v="4491780604"/>
    <x v="4"/>
    <m/>
    <m/>
    <n v="0"/>
    <n v="0"/>
    <m/>
  </r>
  <r>
    <x v="16"/>
    <s v="17/07/2026"/>
    <x v="17"/>
    <s v="German Perez Venegas"/>
    <m/>
    <s v="PEVG511123HPLRNR09"/>
    <n v="22797292"/>
    <n v="5565138159"/>
    <x v="9"/>
    <n v="4813.6899999999996"/>
    <n v="487.84"/>
    <n v="1444.11"/>
    <n v="152.87"/>
    <d v="2026-01-05T00:00:00"/>
  </r>
  <r>
    <x v="16"/>
    <s v="17/07/2026"/>
    <x v="8"/>
    <s v="ENDELIA GUTIERREZ VAZQUEZ"/>
    <n v="12856832592"/>
    <s v="GUVE730329MGTTZN01"/>
    <n v="22800626"/>
    <n v="5214623178833"/>
    <x v="2"/>
    <n v="15996.28"/>
    <n v="4628.1099999999997"/>
    <n v="4798.88"/>
    <n v="170.77"/>
    <d v="2027-01-10T00:00:00"/>
  </r>
  <r>
    <x v="17"/>
    <s v="18/07/2026"/>
    <x v="18"/>
    <m/>
    <n v="78937533293"/>
    <m/>
    <n v="1"/>
    <n v="8331521883"/>
    <x v="2"/>
    <n v="8181.55"/>
    <n v="2366.2600000000002"/>
    <n v="2454.4699999999998"/>
    <n v="88.2"/>
    <d v="2027-01-03T00:00:00"/>
  </r>
  <r>
    <x v="17"/>
    <s v="18/07/2026"/>
    <x v="18"/>
    <m/>
    <n v="32836471253"/>
    <m/>
    <n v="1"/>
    <n v="8616159531"/>
    <x v="0"/>
    <n v="9081.52"/>
    <n v="1488.22"/>
    <n v="2724.46"/>
    <n v="1236.24"/>
    <m/>
  </r>
  <r>
    <x v="17"/>
    <s v="17/07/2026"/>
    <x v="14"/>
    <s v="MARIA CONCEPCION CISNEROS SALAS"/>
    <m/>
    <s v="CISC650907MCLSLN09"/>
    <n v="22803536"/>
    <n v="5218446921213"/>
    <x v="2"/>
    <n v="9760.32"/>
    <n v="2823.71"/>
    <n v="2928.1"/>
    <n v="104.39"/>
    <d v="2028-01-02T00:00:00"/>
  </r>
  <r>
    <x v="17"/>
    <s v="18/07/2026"/>
    <x v="6"/>
    <s v="EUSEBIO JACOME GONZALEZ "/>
    <n v="83806107179"/>
    <s v="JAGE610714HVZCNS07"/>
    <n v="22804920"/>
    <n v="5219612300061"/>
    <x v="6"/>
    <n v="43963.74"/>
    <n v="12717.21"/>
    <n v="13189.12"/>
    <n v="471.91"/>
    <d v="2026-01-05T00:00:00"/>
  </r>
  <r>
    <x v="17"/>
    <s v="18/07/2026"/>
    <x v="30"/>
    <s v="ROSALBA GOMEZ ALDAMA"/>
    <n v="54816614967"/>
    <s v="GOAR700503MJCMLS05"/>
    <n v="22785560"/>
    <n v="5214741055737"/>
    <x v="1"/>
    <n v="3905.96"/>
    <n v="848"/>
    <n v="1171.79"/>
    <n v="-848"/>
    <m/>
  </r>
  <r>
    <x v="17"/>
    <s v="16/07/2026"/>
    <x v="0"/>
    <s v="RUBEN DE JESUS TELLO LEON"/>
    <m/>
    <s v="TELR651219HCSLNB08"/>
    <n v="22761522"/>
    <n v="5219163481148"/>
    <x v="2"/>
    <n v="9760.32"/>
    <n v="2927.35"/>
    <n v="2928.1"/>
    <n v="0.75"/>
    <d v="2028-01-03T00:00:00"/>
  </r>
  <r>
    <x v="17"/>
    <s v="18/07/2026"/>
    <x v="3"/>
    <m/>
    <n v="74915601673"/>
    <m/>
    <n v="22809000"/>
    <n v="5218111621959"/>
    <x v="1"/>
    <n v="3961.31"/>
    <n v="848"/>
    <n v="1188.3900000000001"/>
    <n v="-848"/>
    <m/>
  </r>
  <r>
    <x v="17"/>
    <s v="18/07/2026"/>
    <x v="6"/>
    <s v="JOSE ANTONIO GARCIA ROSAS "/>
    <n v="62916408180"/>
    <s v="GARA640626HPLRSN09"/>
    <n v="22812012"/>
    <n v="5219931054960"/>
    <x v="2"/>
    <n v="30105.07"/>
    <n v="9031.24"/>
    <n v="9031.52"/>
    <n v="0.28000000000000003"/>
    <d v="2027-01-12T00:00:00"/>
  </r>
  <r>
    <x v="17"/>
    <s v="18/07/2026"/>
    <x v="30"/>
    <s v="RUBEN ALONSO ESPITIA MORENO"/>
    <n v="24786003038"/>
    <s v="EIMR600725HSRSRB07"/>
    <n v="22811986"/>
    <n v="5216626678851"/>
    <x v="2"/>
    <n v="7116.73"/>
    <n v="1963.09"/>
    <n v="2135.02"/>
    <n v="171.93"/>
    <d v="2026-08-01T00:00:00"/>
  </r>
  <r>
    <x v="17"/>
    <s v="18/07/2026"/>
    <x v="6"/>
    <s v="ISMAEL SAAVEDRA RODRIGUEZ "/>
    <n v="12836226048"/>
    <s v="SARI620819HGTVDS04"/>
    <n v="22808874"/>
    <n v="5214771844281"/>
    <x v="2"/>
    <n v="7116.73"/>
    <n v="2047.42"/>
    <n v="2135.02"/>
    <n v="87.6"/>
    <d v="2026-10-01T00:00:00"/>
  </r>
  <r>
    <x v="17"/>
    <s v="18/07/2026"/>
    <x v="10"/>
    <s v="YOLANDA MANUELA MORALES ROLDAN"/>
    <n v="45966900990"/>
    <s v="MORY750429MDFRLL04"/>
    <n v="22805042"/>
    <n v="5215544705641"/>
    <x v="2"/>
    <n v="8173.37"/>
    <n v="2363.98"/>
    <n v="2452.0100000000002"/>
    <n v="88.03"/>
    <d v="2027-01-09T00:00:00"/>
  </r>
  <r>
    <x v="17"/>
    <s v="18/07/2026"/>
    <x v="26"/>
    <s v="PEDRO ARMANDO HERNANDEZ ZAMORA"/>
    <n v="43886547520"/>
    <s v="HEZP651022HNLRMD01"/>
    <n v="22809108"/>
    <n v="5218117256737"/>
    <x v="3"/>
    <n v="32674.29"/>
    <n v="9309.94"/>
    <n v="9802.2900000000009"/>
    <n v="492.35"/>
    <d v="2028-01-05T00:00:00"/>
  </r>
  <r>
    <x v="17"/>
    <s v="18/07/2026"/>
    <x v="6"/>
    <s v="CARLOS IRACHETA REYES"/>
    <n v="67786023951"/>
    <s v="IARC600824HTSRYR06"/>
    <n v="22812926"/>
    <n v="5219512612955"/>
    <x v="2"/>
    <n v="5617.63"/>
    <n v="1393.24"/>
    <n v="1685.29"/>
    <n v="51.41"/>
    <d v="2027-01-04T00:00:00"/>
  </r>
  <r>
    <x v="17"/>
    <s v="18/07/2026"/>
    <x v="6"/>
    <s v="JOSE LUIS  RAMIRZ ESQUIVEL"/>
    <n v="51806503663"/>
    <s v="RAEL651206HCLMSS01"/>
    <n v="22811692"/>
    <n v="5218712771387"/>
    <x v="2"/>
    <n v="9760.32"/>
    <n v="2928.1"/>
    <n v="2928.1"/>
    <n v="0"/>
    <d v="2028-01-04T00:00:00"/>
  </r>
  <r>
    <x v="17"/>
    <d v="2026-04-07T00:00:00"/>
    <x v="29"/>
    <s v="LAZARO HERNANDEZ ALCALA"/>
    <m/>
    <s v="HEAL571217HGTRLZ03"/>
    <n v="22295846"/>
    <n v="5214772302136"/>
    <x v="0"/>
    <n v="5617.63"/>
    <m/>
    <n v="1685.29"/>
    <n v="1444.65"/>
    <m/>
  </r>
  <r>
    <x v="17"/>
    <s v="18/07/2026"/>
    <x v="30"/>
    <s v="ERENDIRA VALENCIA GARDUÑO"/>
    <n v="75846504720"/>
    <s v="VAGE650226MDFLRR05"/>
    <n v="22812774"/>
    <n v="5214427778125"/>
    <x v="2"/>
    <n v="40106.230000000003"/>
    <n v="12031.87"/>
    <n v="12031.87"/>
    <n v="0"/>
    <d v="2027-01-08T00:00:00"/>
  </r>
  <r>
    <x v="17"/>
    <s v="17/07/2026"/>
    <x v="26"/>
    <s v="JOSE MANUEL PEREZ ABARCA"/>
    <n v="7875903408"/>
    <s v="PEAM590603HDFRBN04"/>
    <n v="22786636"/>
    <n v="5215513578840"/>
    <x v="0"/>
    <n v="6108.48"/>
    <m/>
    <n v="1832.54"/>
    <n v="1832.54"/>
    <m/>
  </r>
  <r>
    <x v="17"/>
    <s v="18/07/2026"/>
    <x v="13"/>
    <s v="HECTOR ROSALES ALVAREZ"/>
    <m/>
    <s v="ROAH620529HNLSLC02"/>
    <n v="22811570"/>
    <n v="5218115536001"/>
    <x v="3"/>
    <n v="7116.73"/>
    <n v="999.92"/>
    <n v="2135.02"/>
    <n v="1135.0999999999999"/>
    <d v="2027-01-08T00:00:00"/>
  </r>
  <r>
    <x v="17"/>
    <s v="18/07/2026"/>
    <x v="6"/>
    <s v="JULIA HERNANDEZ CRUZ "/>
    <n v="31966104817"/>
    <s v="HECJ611125MCHRRL07"/>
    <n v="22809458"/>
    <n v="5216144661225"/>
    <x v="0"/>
    <n v="9564.7000000000007"/>
    <n v="387.31"/>
    <n v="2869.41"/>
    <n v="2482.1"/>
    <d v="2026-01-12T00:00:00"/>
  </r>
  <r>
    <x v="17"/>
    <s v="18/07/2026"/>
    <x v="13"/>
    <s v="JESUS HUMBERTO PEREZ QUINTERO"/>
    <n v="23836209744"/>
    <s v="PEQJ620320HSLRNS00"/>
    <n v="22811956"/>
    <n v="5213113414264"/>
    <x v="0"/>
    <n v="9760.32"/>
    <n v="848"/>
    <n v="2928.1"/>
    <n v="2080.1"/>
    <m/>
  </r>
  <r>
    <x v="17"/>
    <s v="18/07/2026"/>
    <x v="6"/>
    <s v="RAMON GONZALEZ ROJAS "/>
    <n v="62836101220"/>
    <s v="GORR610314HPLNJM02"/>
    <n v="22801786"/>
    <n v="5212223565632"/>
    <x v="2"/>
    <n v="7640.52"/>
    <n v="2194.98"/>
    <n v="2292.16"/>
    <n v="97.18"/>
    <d v="2027-01-02T00:00:00"/>
  </r>
  <r>
    <x v="17"/>
    <s v="17/07/2026"/>
    <x v="11"/>
    <s v="Jesus Manuel Torres Carrasco"/>
    <m/>
    <s v="TOCJ930306HTCRRS09"/>
    <n v="22797190"/>
    <n v="5219932594603"/>
    <x v="4"/>
    <m/>
    <m/>
    <n v="0"/>
    <n v="0"/>
    <m/>
  </r>
  <r>
    <x v="17"/>
    <s v="18/07/2026"/>
    <x v="6"/>
    <s v="MARTIN ENRIQUE LECIANO ACOSTA"/>
    <n v="81806301685"/>
    <s v="LEAM630330HCCCCR04"/>
    <n v="22814840"/>
    <n v="5219383894367"/>
    <x v="2"/>
    <n v="7920.51"/>
    <n v="2288.83"/>
    <n v="2376.15"/>
    <n v="87.32"/>
    <d v="2027-01-05T00:00:00"/>
  </r>
  <r>
    <x v="17"/>
    <s v="17/07/2026"/>
    <x v="3"/>
    <s v="MARIA ALICIA OVALLE BRISEÑO"/>
    <n v="32765010924"/>
    <s v="OABA610930MCLVRL07"/>
    <n v="22777954"/>
    <n v="5218641323505"/>
    <x v="2"/>
    <n v="9926.1299999999992"/>
    <n v="2974.55"/>
    <n v="2977.84"/>
    <n v="3.29"/>
    <d v="2028-01-06T00:00:00"/>
  </r>
  <r>
    <x v="17"/>
    <s v="18/07/2026"/>
    <x v="14"/>
    <s v="ROCIO GUZMAN GALVAN"/>
    <m/>
    <s v="GUGR610619MQTZLC00"/>
    <n v="22804742"/>
    <n v="5214426375342"/>
    <x v="2"/>
    <n v="9464.2000000000007"/>
    <n v="2627.13"/>
    <n v="2839.26"/>
    <n v="212.13"/>
    <d v="2027-01-01T00:00:00"/>
  </r>
  <r>
    <x v="17"/>
    <s v="18/07/2026"/>
    <x v="18"/>
    <s v="DIANA PATRICIA TORRES GOMEZ"/>
    <n v="32896976886"/>
    <m/>
    <n v="1"/>
    <n v="8442240301"/>
    <x v="5"/>
    <m/>
    <m/>
    <n v="0"/>
    <n v="0"/>
    <m/>
  </r>
  <r>
    <x v="17"/>
    <s v="18/07/2026"/>
    <x v="3"/>
    <s v="MARIA YESENIA FLORES PACHECO"/>
    <n v="23897015758"/>
    <s v="FEPY751104MSLLCS04"/>
    <n v="22804698"/>
    <n v="5216421401937"/>
    <x v="0"/>
    <n v="9572.8799999999992"/>
    <m/>
    <n v="2871.86"/>
    <n v="2871.86"/>
    <m/>
  </r>
  <r>
    <x v="17"/>
    <s v="18/07/2026"/>
    <x v="13"/>
    <s v="SUSANA HERRERA MARTINEZ"/>
    <n v="24796308211"/>
    <s v="HEMS630524MSRRRS09"/>
    <n v="22811300"/>
    <n v="5216333359202"/>
    <x v="9"/>
    <n v="9081.52"/>
    <n v="2517.33"/>
    <n v="2724.46"/>
    <n v="207.13"/>
    <d v="2026-01-07T00:00:00"/>
  </r>
  <r>
    <x v="17"/>
    <s v="17/07/2026"/>
    <x v="27"/>
    <s v="GRACIELA GONZALEZ GALICIA "/>
    <m/>
    <s v="GOGG560701MSPNLR09"/>
    <n v="22790240"/>
    <n v="5214441113827"/>
    <x v="0"/>
    <n v="6262.86"/>
    <m/>
    <n v="1878.86"/>
    <n v="1878.86"/>
    <m/>
  </r>
  <r>
    <x v="17"/>
    <s v="17/07/2026"/>
    <x v="27"/>
    <s v="manuel nava paduano"/>
    <m/>
    <s v="NAPM561209HMCVDN04"/>
    <n v="22796632"/>
    <n v="5215630998811"/>
    <x v="2"/>
    <n v="14003.54"/>
    <n v="4033.91"/>
    <n v="4201.0600000000004"/>
    <n v="167.15"/>
    <d v="2027-01-10T00:00:00"/>
  </r>
  <r>
    <x v="17"/>
    <s v="18/07/2026"/>
    <x v="14"/>
    <s v="VICTOR MANUEL HIDALGO GONZALEZ"/>
    <m/>
    <s v="HIGV530421HTSDNC07"/>
    <n v="22815264"/>
    <n v="5219221857623"/>
    <x v="1"/>
    <n v="3881.65"/>
    <m/>
    <n v="1164.5"/>
    <n v="0"/>
    <m/>
  </r>
  <r>
    <x v="17"/>
    <s v="18/07/2026"/>
    <x v="6"/>
    <s v="MIGUEL JAQUEZ ROJAS"/>
    <n v="6836423019"/>
    <s v="JARM641216HCLQJG01"/>
    <n v="22785562"/>
    <n v="5218717826960"/>
    <x v="2"/>
    <n v="60386.34"/>
    <n v="18398.21"/>
    <n v="18115.900000000001"/>
    <n v="-282.31"/>
    <d v="2027-01-06T00:00:00"/>
  </r>
  <r>
    <x v="17"/>
    <s v="18/07/2026"/>
    <x v="3"/>
    <s v="SERGIO LLACA TAGLE"/>
    <n v="96907404303"/>
    <s v="LATS740801HDFLGR00"/>
    <n v="22815080"/>
    <n v="5216563731705"/>
    <x v="2"/>
    <n v="7135.6"/>
    <n v="2131.38"/>
    <n v="2140.6799999999998"/>
    <n v="9.3000000000000007"/>
    <d v="2026-09-01T00:00:00"/>
  </r>
  <r>
    <x v="17"/>
    <d v="2026-04-07T00:00:00"/>
    <x v="10"/>
    <m/>
    <n v="11775826297"/>
    <m/>
    <n v="22288918"/>
    <n v="5219843122690"/>
    <x v="0"/>
    <n v="10905.17"/>
    <m/>
    <n v="3271.55"/>
    <n v="3271.55"/>
    <m/>
  </r>
  <r>
    <x v="17"/>
    <s v="18/07/2026"/>
    <x v="28"/>
    <s v="JOSE ANDRES BORREGO JUAREZ"/>
    <n v="43806168720"/>
    <s v="BOJA611127HTSRRN09"/>
    <n v="22815404"/>
    <n v="5218126434144"/>
    <x v="7"/>
    <n v="12220.53"/>
    <n v="3392.85"/>
    <n v="3666.16"/>
    <n v="273.31"/>
    <d v="2024-01-11T00:00:00"/>
  </r>
  <r>
    <x v="17"/>
    <s v="18/07/2026"/>
    <x v="26"/>
    <s v="JUDITH VILLEGAS DE LEON"/>
    <n v="65886532137"/>
    <s v="VILJ670413MVZLND09"/>
    <n v="22810186"/>
    <n v="5217821059075"/>
    <x v="4"/>
    <m/>
    <m/>
    <n v="0"/>
    <n v="0"/>
    <m/>
  </r>
  <r>
    <x v="17"/>
    <s v="18/07/2026"/>
    <x v="11"/>
    <s v="JOSE LUIS JIMENEZ "/>
    <n v="11816122615"/>
    <m/>
    <n v="22816620"/>
    <n v="5219981668517"/>
    <x v="6"/>
    <n v="7059.87"/>
    <n v="2117.96"/>
    <n v="2117.96"/>
    <n v="0"/>
    <d v="2026-01-06T00:00:00"/>
  </r>
  <r>
    <x v="17"/>
    <s v="18/07/2026"/>
    <x v="27"/>
    <s v="José de la luz Rodríguez Holguín "/>
    <n v="33715103926"/>
    <s v="ROHL500712HCHDLZ00"/>
    <n v="22816648"/>
    <n v="5216252068073"/>
    <x v="5"/>
    <m/>
    <m/>
    <n v="0"/>
    <n v="0"/>
    <m/>
  </r>
  <r>
    <x v="17"/>
    <s v="18/07/2026"/>
    <x v="27"/>
    <s v="Leticia Ducoyng Ortiz"/>
    <m/>
    <s v="DUOL650421MVZCRT04"/>
    <n v="22817992"/>
    <n v="5218441827321"/>
    <x v="2"/>
    <n v="9760.33"/>
    <n v="2821.69"/>
    <n v="2928.1"/>
    <n v="106.41"/>
    <d v="2027-01-09T00:00:00"/>
  </r>
  <r>
    <x v="17"/>
    <s v="18/07/2026"/>
    <x v="11"/>
    <s v="María Martha Cervantes Cruz"/>
    <m/>
    <s v="CECM610223MTLRRR00"/>
    <n v="22817454"/>
    <n v="5217757567713"/>
    <x v="1"/>
    <n v="4074.36"/>
    <n v="848"/>
    <n v="1222.31"/>
    <n v="-848"/>
    <m/>
  </r>
  <r>
    <x v="17"/>
    <s v="17/07/2026"/>
    <x v="6"/>
    <s v="ENRIQUE VEGA GONZALEZ"/>
    <n v="17796167876"/>
    <s v="VEGE630925HDFGNN05"/>
    <n v="22803380"/>
    <n v="5215530553308"/>
    <x v="1"/>
    <n v="4117.5200000000004"/>
    <m/>
    <n v="1235.26"/>
    <n v="0"/>
    <m/>
  </r>
  <r>
    <x v="17"/>
    <s v="18/07/2026"/>
    <x v="11"/>
    <s v="Francisco antonio catalán García"/>
    <m/>
    <s v="CAGF631006HJCTRR07"/>
    <n v="22818066"/>
    <n v="5213327479447"/>
    <x v="4"/>
    <m/>
    <m/>
    <n v="0"/>
    <n v="0"/>
    <m/>
  </r>
  <r>
    <x v="17"/>
    <s v="18/07/2026"/>
    <x v="0"/>
    <s v="FILOGONIO RAMIREZ HERNANDEZ"/>
    <m/>
    <s v="RAHF611220HVZMRL07"/>
    <n v="22817806"/>
    <n v="5216861440714"/>
    <x v="9"/>
    <n v="6262.86"/>
    <n v="1656.97"/>
    <n v="1878.86"/>
    <n v="221.89"/>
    <d v="2025-01-06T00:00:00"/>
  </r>
  <r>
    <x v="17"/>
    <s v="18/07/2026"/>
    <x v="13"/>
    <s v="JESUS GERARDO CANTERA QUEZADA"/>
    <n v="33806342995"/>
    <s v="CAQJ631003HCHNZS07"/>
    <n v="22809180"/>
    <n v="5216141127463"/>
    <x v="2"/>
    <n v="7920.51"/>
    <n v="2361.73"/>
    <n v="2376.15"/>
    <n v="14.42"/>
    <d v="2028-01-05T00:00:00"/>
  </r>
  <r>
    <x v="17"/>
    <s v="18/07/2026"/>
    <x v="6"/>
    <s v="EDUARDO GRIJALVA GUEVARA"/>
    <n v="19765910609"/>
    <s v="GIGE591220HVZRVD06"/>
    <n v="22814374"/>
    <n v="5212791059896"/>
    <x v="1"/>
    <n v="4035.69"/>
    <m/>
    <n v="1210.71"/>
    <n v="0"/>
    <m/>
  </r>
  <r>
    <x v="17"/>
    <s v="18/07/2026"/>
    <x v="0"/>
    <s v="SILVERIO GAMEZ RANGEL"/>
    <m/>
    <s v="GARS430620HNLMNL00"/>
    <n v="22818136"/>
    <n v="5218110258446"/>
    <x v="1"/>
    <n v="3941.18"/>
    <n v="848"/>
    <n v="1182.3499999999999"/>
    <n v="-848"/>
    <m/>
  </r>
  <r>
    <x v="17"/>
    <s v="18/07/2026"/>
    <x v="11"/>
    <s v="TOMAS HERNANDEZ RAMIRES"/>
    <n v="65684716866"/>
    <s v="HERT471229HVZRMM06"/>
    <n v="22817652"/>
    <n v="5217841336761"/>
    <x v="1"/>
    <n v="4199.87"/>
    <m/>
    <n v="1259.96"/>
    <n v="26.89"/>
    <m/>
  </r>
  <r>
    <x v="17"/>
    <s v="18/07/2026"/>
    <x v="14"/>
    <s v="MARTIN RODRIGUEZ PEREZ"/>
    <m/>
    <s v="ROPM521111HDFDRR09"/>
    <n v="22809478"/>
    <n v="5215520928833"/>
    <x v="2"/>
    <n v="6185.36"/>
    <n v="1789.57"/>
    <n v="1855.61"/>
    <n v="66.040000000000006"/>
    <d v="2027-01-06T00:00:00"/>
  </r>
  <r>
    <x v="17"/>
    <s v="18/07/2026"/>
    <x v="30"/>
    <s v="Arcelia Gerónimo Mateo"/>
    <n v="21816442989"/>
    <s v="GEMA610403MMNRTR02"/>
    <n v="22803182"/>
    <n v="5216642574095"/>
    <x v="2"/>
    <n v="7116.73"/>
    <n v="2051.4299999999998"/>
    <n v="2135.02"/>
    <n v="83.59"/>
    <d v="2027-01-07T00:00:00"/>
  </r>
  <r>
    <x v="17"/>
    <s v="18/07/2026"/>
    <x v="18"/>
    <s v="NO PROPORCIONO "/>
    <n v="54796150685"/>
    <s v="BUMH620422HJCNNC02"/>
    <n v="1"/>
    <n v="3311302657"/>
    <x v="2"/>
    <n v="19375.32"/>
    <n v="5599.45"/>
    <n v="5812.6"/>
    <n v="213.15"/>
    <d v="2026-01-11T00:00:00"/>
  </r>
  <r>
    <x v="17"/>
    <s v="18/07/2026"/>
    <x v="11"/>
    <s v="Juana Rodriguez Ramírez"/>
    <m/>
    <s v="RORJ540407MMCDMN05"/>
    <n v="22818568"/>
    <n v="5215569017074"/>
    <x v="5"/>
    <m/>
    <m/>
    <n v="0"/>
    <n v="0"/>
    <m/>
  </r>
  <r>
    <x v="17"/>
    <s v="18/07/2026"/>
    <x v="29"/>
    <s v="Ma.Susana Saldaña machado"/>
    <n v="31805701021"/>
    <s v="SAMS690524MDGLCS06"/>
    <n v="22817650"/>
    <n v="5218714079979"/>
    <x v="2"/>
    <n v="7128.48"/>
    <n v="2133.36"/>
    <n v="2138.54"/>
    <n v="5.18"/>
    <d v="2028-01-08T00:00:00"/>
  </r>
  <r>
    <x v="17"/>
    <s v="18/07/2026"/>
    <x v="11"/>
    <s v="JAVIER MARCELO JUAREZ "/>
    <m/>
    <s v="MAJJ660601HVZRRV04"/>
    <n v="22819334"/>
    <n v="5217832269403"/>
    <x v="5"/>
    <m/>
    <m/>
    <n v="0"/>
    <n v="0"/>
    <m/>
  </r>
  <r>
    <x v="17"/>
    <s v="18/07/2026"/>
    <x v="26"/>
    <s v="FELIX FLORES SOSA"/>
    <n v="61826202311"/>
    <s v="FOSF621101HTLLSL08"/>
    <n v="22808358"/>
    <n v="5212227319459"/>
    <x v="2"/>
    <n v="9081.52"/>
    <n v="2627.5"/>
    <n v="2724.46"/>
    <n v="96.96"/>
    <d v="2027-01-01T00:00:00"/>
  </r>
  <r>
    <x v="17"/>
    <s v="18/07/2026"/>
    <x v="0"/>
    <s v="JAIME GONZALO CAYETANO"/>
    <n v="1805918032"/>
    <s v="CAGJ590110HDFYRM05"/>
    <n v="22819490"/>
    <n v="5215626111907"/>
    <x v="2"/>
    <n v="5466.39"/>
    <n v="1181.68"/>
    <n v="1639.92"/>
    <n v="111.73"/>
    <d v="2027-01-01T00:00:00"/>
  </r>
  <r>
    <x v="17"/>
    <s v="18/07/2026"/>
    <x v="26"/>
    <s v="JOSE ALFREDO ORTEGA FRANCO"/>
    <n v="33816562541"/>
    <s v="OEFA650922HCHRRL09"/>
    <n v="22806692"/>
    <n v="5218611312927"/>
    <x v="2"/>
    <n v="9760.32"/>
    <n v="2800.52"/>
    <n v="2928.1"/>
    <n v="127.58"/>
    <d v="2027-01-11T00:00:00"/>
  </r>
  <r>
    <x v="17"/>
    <s v="18/07/2026"/>
    <x v="10"/>
    <s v="Maria Guadalupe Anguiano Salazar"/>
    <m/>
    <s v="AUSG621210MNLNLD04"/>
    <n v="22808336"/>
    <n v="5218120405929"/>
    <x v="2"/>
    <n v="7116.73"/>
    <n v="2058.6"/>
    <n v="2135.02"/>
    <n v="76.42"/>
    <d v="2027-01-06T00:00:00"/>
  </r>
  <r>
    <x v="17"/>
    <s v="18/07/2026"/>
    <x v="14"/>
    <s v="IRMA TORRIJOS ROJAS"/>
    <n v="6845500559"/>
    <m/>
    <n v="22812694"/>
    <n v="5215572931299"/>
    <x v="2"/>
    <n v="20002.75"/>
    <n v="5999.17"/>
    <n v="6000.83"/>
    <n v="1.65"/>
    <d v="2027-01-02T00:00:00"/>
  </r>
  <r>
    <x v="17"/>
    <s v="18/07/2026"/>
    <x v="29"/>
    <s v="JUAN JOSE RODRIGUEZ DOMINGUEZ"/>
    <n v="67735308701"/>
    <m/>
    <n v="22819592"/>
    <n v="5219241275041"/>
    <x v="1"/>
    <n v="3184.12"/>
    <m/>
    <n v="955.24"/>
    <n v="0"/>
    <m/>
  </r>
  <r>
    <x v="17"/>
    <s v="18/07/2026"/>
    <x v="0"/>
    <s v="Ana Amelia González flores"/>
    <n v="25957878073"/>
    <m/>
    <n v="22820934"/>
    <n v="5215649163640"/>
    <x v="5"/>
    <m/>
    <m/>
    <n v="0"/>
    <n v="0"/>
    <m/>
  </r>
  <r>
    <x v="18"/>
    <s v="18/07/2026"/>
    <x v="29"/>
    <s v="Victor Lira Hernandez"/>
    <m/>
    <s v="LIHV570329HDGRRC08"/>
    <n v="22820464"/>
    <n v="5216771020378"/>
    <x v="1"/>
    <n v="3919.96"/>
    <m/>
    <n v="1175.99"/>
    <n v="0"/>
    <m/>
  </r>
  <r>
    <x v="18"/>
    <s v="18/07/2026"/>
    <x v="0"/>
    <s v="GREGORIA CECILIA BOBADILLA HERNANDEZ"/>
    <m/>
    <s v="BOHG670312MDFBRR01"/>
    <n v="22822938"/>
    <n v="5215520303634"/>
    <x v="5"/>
    <m/>
    <m/>
    <n v="0"/>
    <n v="0"/>
    <m/>
  </r>
  <r>
    <x v="18"/>
    <s v="18/07/2026"/>
    <x v="29"/>
    <s v="ARACELI JIMENEZ MIRANDA"/>
    <n v="83886944525"/>
    <s v="JIMA751109MTCMRR09"/>
    <n v="22821306"/>
    <n v="5219933980111"/>
    <x v="0"/>
    <n v="9243.5300000000007"/>
    <m/>
    <n v="2773.06"/>
    <n v="2773.06"/>
    <m/>
  </r>
  <r>
    <x v="18"/>
    <s v="19/07/2026"/>
    <x v="29"/>
    <s v="JOSE SALOME MARES JIMENEZ"/>
    <n v="65947362920"/>
    <s v="MAJS730331HVZRML09"/>
    <n v="22826788"/>
    <n v="5212214068650"/>
    <x v="2"/>
    <n v="8588.98"/>
    <n v="2576.17"/>
    <n v="2576.69"/>
    <n v="0.52"/>
    <d v="2027-01-07T00:00:00"/>
  </r>
  <r>
    <x v="18"/>
    <s v="18/07/2026"/>
    <x v="11"/>
    <s v="FRANCISCO JAVIER OCHOA GARCIA "/>
    <m/>
    <s v="OOGF640616HSPCRR07"/>
    <n v="22820370"/>
    <n v="5215656690153"/>
    <x v="0"/>
    <n v="9760.32"/>
    <m/>
    <n v="2928.1"/>
    <n v="2928.1"/>
    <m/>
  </r>
  <r>
    <x v="18"/>
    <s v="19/07/2026"/>
    <x v="29"/>
    <s v="EFRAIN ZALETA HERNANDEZ"/>
    <m/>
    <s v="ZAHE460618HVZLRF00"/>
    <n v="22826056"/>
    <n v="5217209120975"/>
    <x v="2"/>
    <n v="6833.84"/>
    <n v="1976.96"/>
    <n v="2050.15"/>
    <n v="73.19"/>
    <d v="2027-01-05T00:00:00"/>
  </r>
  <r>
    <x v="18"/>
    <s v="18/07/2026"/>
    <x v="11"/>
    <s v="IGNACIO CABRALES DIAZ "/>
    <n v="31725600287"/>
    <m/>
    <n v="22823808"/>
    <n v="5216181089166"/>
    <x v="2"/>
    <n v="18677.86"/>
    <n v="5600.72"/>
    <n v="5603.36"/>
    <n v="2.64"/>
    <d v="2026-11-01T00:00:00"/>
  </r>
  <r>
    <x v="18"/>
    <s v="19/07/2026"/>
    <x v="11"/>
    <s v="RAMIRO ARNULFO CORNEJO TAVERA "/>
    <m/>
    <s v="COTR510523HHGRVM09"/>
    <n v="22828500"/>
    <n v="5215621323654"/>
    <x v="1"/>
    <n v="3855.42"/>
    <m/>
    <n v="1156.6300000000001"/>
    <n v="0"/>
    <m/>
  </r>
  <r>
    <x v="18"/>
    <s v="18/07/2026"/>
    <x v="29"/>
    <s v="MARIA AURORA MARTINEZ CARDONA"/>
    <m/>
    <s v="MACA650712MNLRRR09"/>
    <n v="22823870"/>
    <n v="5218117154936"/>
    <x v="0"/>
    <n v="10636.54"/>
    <m/>
    <n v="3190.96"/>
    <n v="3190.96"/>
    <m/>
  </r>
  <r>
    <x v="18"/>
    <s v="19/07/2026"/>
    <x v="29"/>
    <s v="CRESENCIO GUTIERREZ"/>
    <n v="32826372024"/>
    <m/>
    <n v="22829318"/>
    <n v="5214464953092"/>
    <x v="6"/>
    <n v="9081.52"/>
    <n v="2723.79"/>
    <n v="2724.46"/>
    <n v="0.67"/>
    <d v="2026-01-06T00:00:00"/>
  </r>
  <r>
    <x v="18"/>
    <s v="19/07/2026"/>
    <x v="11"/>
    <s v="Marta Beatriz Hernández"/>
    <m/>
    <s v="HEXM710206MSLRXR00"/>
    <n v="22829658"/>
    <n v="5216866017022"/>
    <x v="2"/>
    <n v="6411.47"/>
    <n v="1852"/>
    <n v="1923.44"/>
    <n v="71.44"/>
    <d v="2027-01-06T00:00:00"/>
  </r>
  <r>
    <x v="18"/>
    <s v="19/07/2026"/>
    <x v="27"/>
    <s v="LUIS REY AGUILAR CHIRINO "/>
    <n v="71876518599"/>
    <m/>
    <n v="22829052"/>
    <n v="5219661126652"/>
    <x v="5"/>
    <m/>
    <m/>
    <n v="0"/>
    <n v="0"/>
    <m/>
  </r>
  <r>
    <x v="18"/>
    <s v="18/07/2026"/>
    <x v="17"/>
    <s v="Lorena Jonguitud López"/>
    <m/>
    <s v="JOLL780804MDFNPR06"/>
    <n v="22819512"/>
    <n v="4441343624"/>
    <x v="5"/>
    <m/>
    <m/>
    <n v="0"/>
    <n v="0"/>
    <m/>
  </r>
  <r>
    <x v="18"/>
    <s v="19/07/2026"/>
    <x v="27"/>
    <s v="GUADALUPE PEREZ REYES"/>
    <n v="75866500749"/>
    <m/>
    <n v="22830276"/>
    <n v="5215540817325"/>
    <x v="2"/>
    <n v="9760.32"/>
    <n v="2794.48"/>
    <n v="2928.1"/>
    <n v="133.62"/>
    <d v="2027-01-06T00:00:00"/>
  </r>
  <r>
    <x v="18"/>
    <s v="19/07/2026"/>
    <x v="29"/>
    <s v="ADRIAN MILLAN FLORES"/>
    <m/>
    <s v="MIFA560718HHGLLD10"/>
    <n v="22830926"/>
    <n v="5217712421277"/>
    <x v="2"/>
    <n v="15257.1"/>
    <n v="4574.96"/>
    <n v="4577.13"/>
    <n v="2.17"/>
    <d v="2027-01-02T00:00:00"/>
  </r>
  <r>
    <x v="18"/>
    <s v="19/07/2026"/>
    <x v="11"/>
    <s v="DULCE  ALLIN PORCAYO FLORES"/>
    <n v="1987922315"/>
    <s v="POFD850103MDFRLL03 "/>
    <n v="22824818"/>
    <n v="5219841068674"/>
    <x v="4"/>
    <m/>
    <m/>
    <n v="0"/>
    <n v="0"/>
    <m/>
  </r>
  <r>
    <x v="18"/>
    <s v="18/07/2026"/>
    <x v="19"/>
    <s v="esteban"/>
    <n v="49916630376"/>
    <m/>
    <n v="22823346"/>
    <n v="5218311152079"/>
    <x v="2"/>
    <n v="19787.36"/>
    <n v="5936.12"/>
    <n v="5936.21"/>
    <n v="0.09"/>
    <d v="2026-11-01T00:00:00"/>
  </r>
  <r>
    <x v="18"/>
    <s v="19/07/2026"/>
    <x v="27"/>
    <s v="LUIS RAUL HERNANDEZ CELAYA "/>
    <m/>
    <s v="HECL650527HDFRLS04"/>
    <n v="22829370"/>
    <n v="5215527972549"/>
    <x v="2"/>
    <n v="18973.25"/>
    <n v="5489.41"/>
    <n v="5691.98"/>
    <n v="202.57"/>
    <d v="2027-01-10T00:00:00"/>
  </r>
  <r>
    <x v="18"/>
    <s v="19/07/2026"/>
    <x v="19"/>
    <s v="oscar daniel"/>
    <m/>
    <s v="BACO610626HCLRRS03"/>
    <n v="22829662"/>
    <n v="8448930563"/>
    <x v="2"/>
    <n v="6262.86"/>
    <n v="1876.86"/>
    <n v="1878.86"/>
    <n v="2"/>
    <d v="2028-01-05T00:00:00"/>
  </r>
  <r>
    <x v="18"/>
    <s v="19/07/2026"/>
    <x v="19"/>
    <s v="arnulfo"/>
    <m/>
    <s v="HECA650528HVZRRR06"/>
    <n v="22831894"/>
    <n v="3112536453"/>
    <x v="2"/>
    <n v="11230.51"/>
    <n v="3369"/>
    <n v="3369.15"/>
    <n v="0.15"/>
    <d v="2028-01-02T00:00:00"/>
  </r>
  <r>
    <x v="18"/>
    <s v="19/07/2026"/>
    <x v="8"/>
    <s v="EPIFANIO MORALES BONILLA"/>
    <m/>
    <s v="MOBE570307HTLRNP04"/>
    <n v="22831120"/>
    <n v="5212211904965"/>
    <x v="2"/>
    <n v="11557.46"/>
    <n v="3343.82"/>
    <n v="3467.24"/>
    <n v="123.42"/>
    <d v="2027-01-04T00:00:00"/>
  </r>
  <r>
    <x v="18"/>
    <s v="19/07/2026"/>
    <x v="0"/>
    <s v="ANGEL PEDRO DE LA CRUZ ZUÑIGA"/>
    <n v="6806306061"/>
    <m/>
    <n v="22833050"/>
    <n v="5215532978576"/>
    <x v="5"/>
    <m/>
    <m/>
    <n v="0"/>
    <n v="0"/>
    <m/>
  </r>
  <r>
    <x v="18"/>
    <s v="19/07/2026"/>
    <x v="0"/>
    <s v="GRACIELA GONZALEZ"/>
    <n v="21846691109"/>
    <m/>
    <n v="22832724"/>
    <n v="5215532978550"/>
    <x v="7"/>
    <n v="5048.7299999999996"/>
    <n v="771.32"/>
    <n v="1514.62"/>
    <n v="104.43"/>
    <d v="2025-01-06T00:00:00"/>
  </r>
  <r>
    <x v="18"/>
    <d v="2026-11-07T00:00:00"/>
    <x v="27"/>
    <s v="RODOLFO BALTAZAR MONDES DE OCA "/>
    <m/>
    <s v="BAMR460705HSLLND03"/>
    <n v="22571534"/>
    <n v="5216694479601"/>
    <x v="5"/>
    <m/>
    <m/>
    <n v="0"/>
    <n v="0"/>
    <m/>
  </r>
  <r>
    <x v="18"/>
    <s v="18/07/2026"/>
    <x v="17"/>
    <s v="Gustavo Hernandez Guzman"/>
    <m/>
    <s v="HEGG430802HTLRZS06"/>
    <n v="22823484"/>
    <n v="7481079313"/>
    <x v="0"/>
    <n v="8504.61"/>
    <m/>
    <n v="2551.38"/>
    <n v="2551.38"/>
    <m/>
  </r>
  <r>
    <x v="18"/>
    <s v="19/07/2026"/>
    <x v="8"/>
    <s v="ABEL LOZANO SERAFIN"/>
    <m/>
    <s v="LOSA770830HGRZRB05"/>
    <n v="22834322"/>
    <n v="5213351371867"/>
    <x v="2"/>
    <n v="5642.22"/>
    <n v="1359.7"/>
    <n v="1692.67"/>
    <n v="109.54"/>
    <d v="2026-11-01T00:00:00"/>
  </r>
  <r>
    <x v="18"/>
    <s v="19/07/2026"/>
    <x v="0"/>
    <s v="JOSE ANTONIO GARCIA VAZQUEZ"/>
    <n v="65936514010"/>
    <s v="GAVA650803HVZRZN07"/>
    <n v="22834334"/>
    <n v="5212821002803"/>
    <x v="2"/>
    <n v="11029.03"/>
    <n v="3298.87"/>
    <n v="3308.71"/>
    <n v="9.84"/>
    <d v="2028-01-04T00:00:00"/>
  </r>
  <r>
    <x v="18"/>
    <s v="18/07/2026"/>
    <x v="11"/>
    <s v="Miguel angel Villela Toledo"/>
    <m/>
    <s v="VITM580929HSRLLG00"/>
    <n v="22820720"/>
    <n v="5216228554709"/>
    <x v="6"/>
    <n v="5617.63"/>
    <n v="1335.16"/>
    <n v="1685.29"/>
    <n v="109.49"/>
    <d v="2026-01-07T00:00:00"/>
  </r>
  <r>
    <x v="18"/>
    <s v="19/07/2026"/>
    <x v="20"/>
    <s v="Felipe "/>
    <n v="24795710359"/>
    <m/>
    <n v="22832674"/>
    <n v="5213111024121"/>
    <x v="2"/>
    <n v="9081.52"/>
    <n v="2521.35"/>
    <n v="2724.46"/>
    <n v="203.11"/>
    <d v="2026-10-01T00:00:00"/>
  </r>
  <r>
    <x v="18"/>
    <s v="19/07/2026"/>
    <x v="20"/>
    <s v="Antonio"/>
    <n v="54785946317"/>
    <m/>
    <n v="22830770"/>
    <n v="5213316791210"/>
    <x v="6"/>
    <n v="7920.61"/>
    <n v="2199.12"/>
    <n v="2376.1799999999998"/>
    <n v="177.06"/>
    <d v="2026-01-02T00:00:00"/>
  </r>
  <r>
    <x v="18"/>
    <s v="17/07/2026"/>
    <x v="20"/>
    <m/>
    <n v="4806320067"/>
    <m/>
    <n v="22798738"/>
    <n v="5213322573020"/>
    <x v="2"/>
    <n v="7920.51"/>
    <n v="2271.2800000000002"/>
    <n v="2376.15"/>
    <n v="104.87"/>
    <d v="2027-01-03T00:00:00"/>
  </r>
  <r>
    <x v="18"/>
    <s v="19/07/2026"/>
    <x v="19"/>
    <s v="CIPRIANO"/>
    <n v="21785508066"/>
    <m/>
    <n v="22834508"/>
    <n v="6567503544"/>
    <x v="2"/>
    <n v="5072.66"/>
    <n v="867.67"/>
    <n v="1521.8"/>
    <n v="32.01"/>
    <d v="2027-01-07T00:00:00"/>
  </r>
  <r>
    <x v="19"/>
    <s v="20/07/2026"/>
    <x v="32"/>
    <s v="HUGO ALEJANDRO CASTILLO GARCIA"/>
    <n v="90907148184"/>
    <s v="CAGH710718HMCSRG14"/>
    <n v="2"/>
    <n v="5523117615"/>
    <x v="2"/>
    <n v="5060.93"/>
    <n v="856.33"/>
    <n v="1518.28"/>
    <n v="31.62"/>
    <d v="2027-01-11T00:00:00"/>
  </r>
  <r>
    <x v="19"/>
    <s v="20/07/2026"/>
    <x v="18"/>
    <s v="HUGO ELOY CABALLERO GASTELUM "/>
    <n v="3705017857"/>
    <m/>
    <n v="1"/>
    <n v="8114951976"/>
    <x v="2"/>
    <n v="8481.08"/>
    <n v="2543.79"/>
    <n v="2544.3200000000002"/>
    <n v="0.53"/>
    <d v="2027-01-08T00:00:00"/>
  </r>
  <r>
    <x v="19"/>
    <s v="20/07/2026"/>
    <x v="32"/>
    <s v="HECTOR MANUEL BUENROSTRO MENDOZA"/>
    <n v="54796150685"/>
    <s v="BUMH620422HJCNNC02"/>
    <n v="2"/>
    <n v="3311302657"/>
    <x v="2"/>
    <n v="19375.32"/>
    <n v="5599.45"/>
    <n v="5812.6"/>
    <n v="213.15"/>
    <d v="2026-01-11T00:00:00"/>
  </r>
  <r>
    <x v="19"/>
    <s v="20/07/2026"/>
    <x v="27"/>
    <m/>
    <n v="85724005914"/>
    <m/>
    <n v="22850352"/>
    <n v="5219995096565"/>
    <x v="0"/>
    <n v="8173.37"/>
    <m/>
    <n v="2452.0100000000002"/>
    <n v="2452.0100000000002"/>
    <m/>
  </r>
  <r>
    <x v="19"/>
    <s v="13/07/2026"/>
    <x v="23"/>
    <s v="Miguel Hinojosa Alejo"/>
    <n v="5487663235"/>
    <s v="HIAM660425HJCNLG09"/>
    <n v="22632496"/>
    <n v="5213931079319"/>
    <x v="0"/>
    <n v="10636.54"/>
    <m/>
    <n v="3190.96"/>
    <n v="3190.96"/>
    <m/>
  </r>
  <r>
    <x v="19"/>
    <s v="19/07/2026"/>
    <x v="27"/>
    <s v="AGUSTIN DOMINGUEZ MORALES "/>
    <n v="33816274352"/>
    <m/>
    <n v="22835432"/>
    <n v="5216141760553"/>
    <x v="6"/>
    <n v="89588.87"/>
    <n v="25590.77"/>
    <n v="26876.66"/>
    <n v="1285.8900000000001"/>
    <d v="2026-01-04T00:00:00"/>
  </r>
  <r>
    <x v="19"/>
    <s v="20/07/2026"/>
    <x v="32"/>
    <s v="PEDRO CERVANTES RAMIREZ"/>
    <n v="4856539871"/>
    <s v="CERP650820HDFRMD07"/>
    <n v="2"/>
    <n v="3342046030"/>
    <x v="2"/>
    <n v="11029.03"/>
    <n v="3186.87"/>
    <n v="3308.71"/>
    <n v="121.84"/>
    <d v="2028-01-03T00:00:00"/>
  </r>
  <r>
    <x v="19"/>
    <s v="20/07/2026"/>
    <x v="31"/>
    <s v="MARIA DE LA LUZ MARTINEZ ANGELES"/>
    <n v="164422699"/>
    <s v="MAAL610331MDFNZ03"/>
    <n v="2"/>
    <s v="55 3154 7832"/>
    <x v="1"/>
    <n v="3632.16"/>
    <n v="848"/>
    <n v="1089.6500000000001"/>
    <n v="-848"/>
    <m/>
  </r>
  <r>
    <x v="19"/>
    <s v="17/07/2026"/>
    <x v="27"/>
    <s v="SERGIO FLORES CASTILLO "/>
    <m/>
    <s v="FOCS600330HDFLSR09"/>
    <n v="22797482"/>
    <n v="5217446526635"/>
    <x v="2"/>
    <n v="9081.52"/>
    <n v="2723.32"/>
    <n v="2724.46"/>
    <n v="1.1399999999999999"/>
    <d v="2028-01-08T00:00:00"/>
  </r>
  <r>
    <x v="19"/>
    <s v="18/07/2026"/>
    <x v="10"/>
    <s v="MERCEDES DANIEL BARROSO"/>
    <n v="12745506704"/>
    <s v="DABM550924MGTNRR01"/>
    <n v="22804346"/>
    <n v="5214621292714"/>
    <x v="2"/>
    <n v="5358.72"/>
    <n v="1133.55"/>
    <n v="1607.62"/>
    <n v="52.19"/>
    <d v="2027-01-09T00:00:00"/>
  </r>
  <r>
    <x v="19"/>
    <s v="18/07/2026"/>
    <x v="10"/>
    <s v="VERONICA PATRICIA VILCHIS CORTES"/>
    <n v="16917014108"/>
    <s v="VICV740102MMCLRR04"/>
    <n v="22801360"/>
    <n v="5217226057029"/>
    <x v="4"/>
    <m/>
    <m/>
    <n v="0"/>
    <n v="0"/>
    <m/>
  </r>
  <r>
    <x v="19"/>
    <s v="20/07/2026"/>
    <x v="18"/>
    <s v="ANTONIA OLVERA GARCIA"/>
    <n v="31844701545"/>
    <m/>
    <n v="1"/>
    <n v="8711045197"/>
    <x v="1"/>
    <n v="3869.36"/>
    <n v="848"/>
    <n v="1160.81"/>
    <n v="-848"/>
    <m/>
  </r>
  <r>
    <x v="19"/>
    <s v="19/07/2026"/>
    <x v="0"/>
    <m/>
    <n v="33774502000"/>
    <m/>
    <n v="22837194"/>
    <n v="5216391914632"/>
    <x v="2"/>
    <n v="6377.54"/>
    <n v="1770"/>
    <n v="1913.26"/>
    <n v="143.26"/>
    <d v="2026-11-01T00:00:00"/>
  </r>
  <r>
    <x v="19"/>
    <s v="20/07/2026"/>
    <x v="31"/>
    <s v="MACARIO HERNANDEZ CEPEDA"/>
    <n v="32917578455"/>
    <s v="HECM750108HCLRPC02"/>
    <n v="2"/>
    <n v="8124431687"/>
    <x v="2"/>
    <n v="7128.48"/>
    <n v="2000"/>
    <n v="2138.54"/>
    <n v="138.54"/>
    <d v="2027-01-04T00:00:00"/>
  </r>
  <r>
    <x v="19"/>
    <s v="20/07/2026"/>
    <x v="0"/>
    <s v="NICOMEDES CHUC BAAS"/>
    <n v="84796207854"/>
    <s v="CUBN620215HYNHSC03"/>
    <n v="22851188"/>
    <n v="5219992049841"/>
    <x v="6"/>
    <n v="7116.73"/>
    <n v="1975.82"/>
    <n v="2135.02"/>
    <n v="159.19999999999999"/>
    <d v="2025-01-05T00:00:00"/>
  </r>
  <r>
    <x v="19"/>
    <s v="30/06/2026"/>
    <x v="28"/>
    <s v="MARTIN MARTINEZ MONROY"/>
    <m/>
    <s v="MAMM650328HDFRNR05"/>
    <n v="22153336"/>
    <n v="5215620473360"/>
    <x v="2"/>
    <n v="9760.32"/>
    <n v="2821.27"/>
    <n v="2928.1"/>
    <n v="106.83"/>
    <d v="2027-01-06T00:00:00"/>
  </r>
  <r>
    <x v="19"/>
    <s v="20/07/2026"/>
    <x v="31"/>
    <s v="JOSE ANTONIO SANCHEZ TORRES"/>
    <n v="4694405244"/>
    <s v="SATA440920HJCNRN04"/>
    <n v="2"/>
    <n v="3334685883"/>
    <x v="2"/>
    <n v="5814.14"/>
    <n v="1738.05"/>
    <n v="1744.24"/>
    <n v="-96.89"/>
    <d v="2026-01-09T00:00:00"/>
  </r>
  <r>
    <x v="19"/>
    <s v="20/07/2026"/>
    <x v="27"/>
    <s v="MANUEL JESUS COB LOPEZ "/>
    <n v="81836601070"/>
    <m/>
    <n v="22852568"/>
    <n v="5219381802662"/>
    <x v="2"/>
    <n v="10636.54"/>
    <n v="3190.93"/>
    <n v="3190.96"/>
    <n v="0.03"/>
    <d v="2028-01-04T00:00:00"/>
  </r>
  <r>
    <x v="19"/>
    <s v="20/07/2026"/>
    <x v="0"/>
    <s v="HUGO ALEJANDRO CASTILLO GARCIA"/>
    <m/>
    <s v="CAGH710718HMCSRG14"/>
    <n v="22846466"/>
    <n v="5215523117615"/>
    <x v="2"/>
    <n v="5060.93"/>
    <n v="856.33"/>
    <n v="1518.28"/>
    <n v="31.62"/>
    <d v="2027-01-11T00:00:00"/>
  </r>
  <r>
    <x v="19"/>
    <s v="20/07/2026"/>
    <x v="31"/>
    <s v="MARTIN MARTINEZ MONROY"/>
    <n v="11836309911"/>
    <s v="MAMM650328HDFRNR05"/>
    <n v="2"/>
    <n v="5620473360"/>
    <x v="2"/>
    <n v="9760.32"/>
    <n v="2821.27"/>
    <n v="2928.1"/>
    <n v="106.83"/>
    <d v="2027-01-06T00:00:00"/>
  </r>
  <r>
    <x v="19"/>
    <s v="20/07/2026"/>
    <x v="32"/>
    <s v="ANTONIO OLVERA TORRES"/>
    <n v="11725389404"/>
    <s v="OETA531218HDFLRN04"/>
    <n v="2"/>
    <n v="5510311711"/>
    <x v="0"/>
    <n v="28673.66"/>
    <m/>
    <n v="8602.1"/>
    <n v="8602.1"/>
    <m/>
  </r>
  <r>
    <x v="19"/>
    <s v="16/07/2026"/>
    <x v="26"/>
    <s v="ELSA CASTAÑEDA QUINTANAR"/>
    <n v="11806001720"/>
    <s v="CAQE600406MDFSNL03"/>
    <n v="22747490"/>
    <n v="5217791240984"/>
    <x v="2"/>
    <n v="9760.32"/>
    <n v="2927.1"/>
    <n v="2928.1"/>
    <n v="1"/>
    <d v="2027-01-04T00:00:00"/>
  </r>
  <r>
    <x v="19"/>
    <s v="20/07/2026"/>
    <x v="8"/>
    <s v="MIRIAM LIZETH LARA MOLINA"/>
    <n v="57917449639"/>
    <s v="LAMM771104MSRRLR07"/>
    <n v="22845294"/>
    <n v="5216624306451"/>
    <x v="2"/>
    <n v="8008.19"/>
    <n v="2402.46"/>
    <n v="2402.46"/>
    <n v="0"/>
    <d v="2028-01-01T00:00:00"/>
  </r>
  <r>
    <x v="19"/>
    <s v="20/07/2026"/>
    <x v="17"/>
    <s v="Rosa Martha Galan Miranda"/>
    <m/>
    <s v="GAMR580227MMCLRS05"/>
    <n v="22853908"/>
    <n v="5514967647"/>
    <x v="2"/>
    <n v="9322.02"/>
    <n v="2690"/>
    <n v="2796.61"/>
    <n v="106.61"/>
    <d v="2027-01-08T00:00:00"/>
  </r>
  <r>
    <x v="19"/>
    <s v="20/07/2026"/>
    <x v="11"/>
    <s v="Amado Ramirez Torres"/>
    <n v="12796320526"/>
    <m/>
    <n v="22850876"/>
    <n v="5214771907999"/>
    <x v="0"/>
    <n v="9081.52"/>
    <n v="879"/>
    <n v="2724.46"/>
    <n v="1845.46"/>
    <m/>
  </r>
  <r>
    <x v="19"/>
    <s v="20/07/2026"/>
    <x v="0"/>
    <s v="LEONARDO HIDALGO ASTUDIO"/>
    <n v="64806151417"/>
    <s v="HIAL611218HDFDSN03"/>
    <n v="22844380"/>
    <n v="5215627012102"/>
    <x v="2"/>
    <n v="37000.74"/>
    <n v="11082.62"/>
    <n v="11100.22"/>
    <n v="17.600000000000001"/>
    <d v="2027-01-04T00:00:00"/>
  </r>
  <r>
    <x v="19"/>
    <s v="20/07/2026"/>
    <x v="0"/>
    <s v="JOB MONSIVAIS"/>
    <n v="43765724893"/>
    <m/>
    <n v="22853802"/>
    <n v="5218131415998"/>
    <x v="2"/>
    <n v="10143.14"/>
    <n v="2932.29"/>
    <n v="3042.94"/>
    <n v="110.65"/>
    <d v="2027-01-11T00:00:00"/>
  </r>
  <r>
    <x v="19"/>
    <s v="19/07/2026"/>
    <x v="8"/>
    <s v="JUAN CARLOS LOPEZ ZENDEJAS"/>
    <m/>
    <s v="LOZJ700127HCMPNN01"/>
    <n v="22828194"/>
    <n v="5213141600373"/>
    <x v="2"/>
    <n v="6106.99"/>
    <n v="1832.1"/>
    <n v="1832.1"/>
    <n v="0"/>
    <d v="2028-01-03T00:00:00"/>
  </r>
  <r>
    <x v="19"/>
    <s v="20/07/2026"/>
    <x v="20"/>
    <s v="ENRIQUE "/>
    <n v="6826416213"/>
    <s v="ROPE640404HDFMRN01"/>
    <n v="22848722"/>
    <n v="5215528431493"/>
    <x v="2"/>
    <n v="26429.21"/>
    <n v="7928.76"/>
    <n v="7928.76"/>
    <n v="0"/>
    <d v="2026-09-01T00:00:00"/>
  </r>
  <r>
    <x v="19"/>
    <s v="20/07/2026"/>
    <x v="30"/>
    <s v="GABRIELA AYALA MELLANADO "/>
    <n v="16947305997"/>
    <s v="AAMG730922MMCYLB00"/>
    <n v="22812524"/>
    <n v="5213325963028"/>
    <x v="1"/>
    <n v="3928.69"/>
    <m/>
    <n v="1178.6099999999999"/>
    <n v="0"/>
    <m/>
  </r>
  <r>
    <x v="19"/>
    <s v="20/07/2026"/>
    <x v="8"/>
    <s v="J. JESUS ANGUIANO DIAZ"/>
    <m/>
    <s v="AUDJ610815HGTNZS06"/>
    <n v="22852032"/>
    <n v="5214761416612"/>
    <x v="2"/>
    <n v="13223.9"/>
    <n v="3966.25"/>
    <n v="3967.17"/>
    <n v="0.92"/>
    <d v="2027-01-09T00:00:00"/>
  </r>
  <r>
    <x v="19"/>
    <s v="20/07/2026"/>
    <x v="29"/>
    <s v="Miguel Angel Tadeo Martinez"/>
    <n v="67806400205"/>
    <m/>
    <n v="22852464"/>
    <n v="5212721843681"/>
    <x v="2"/>
    <n v="9081.52"/>
    <n v="2627.21"/>
    <n v="2724.46"/>
    <n v="97.25"/>
    <d v="2027-01-03T00:00:00"/>
  </r>
  <r>
    <x v="19"/>
    <s v="17/07/2026"/>
    <x v="26"/>
    <s v="JESUS NICANDRO CUEVAS LOPEZ"/>
    <n v="78866612316"/>
    <s v="CULJ660617HOCVPS01"/>
    <n v="22801232"/>
    <n v="5219511924386"/>
    <x v="0"/>
    <n v="28766.66"/>
    <m/>
    <n v="8630"/>
    <n v="8630"/>
    <m/>
  </r>
  <r>
    <x v="19"/>
    <s v="20/07/2026"/>
    <x v="17"/>
    <s v="Aries Alonso Cervantes Jara"/>
    <m/>
    <s v="CEJA751130HCHRRR08"/>
    <n v="22845226"/>
    <n v="6145485272"/>
    <x v="2"/>
    <n v="6411.47"/>
    <n v="1854.6"/>
    <n v="1923.44"/>
    <n v="68.84"/>
    <d v="2027-01-03T00:00:00"/>
  </r>
  <r>
    <x v="19"/>
    <s v="20/07/2026"/>
    <x v="17"/>
    <s v="Jose Rafael Marquez Rivera"/>
    <n v="41907263564"/>
    <s v="MARR740805HSPRVF05"/>
    <n v="22854362"/>
    <n v="4445164923"/>
    <x v="3"/>
    <n v="21109.87"/>
    <n v="5803.53"/>
    <n v="6332.96"/>
    <n v="529.42999999999995"/>
    <d v="2026-01-09T00:00:00"/>
  </r>
  <r>
    <x v="19"/>
    <s v="20/07/2026"/>
    <x v="31"/>
    <s v=" MARQUIBEL BAUTISTA NAJERA"/>
    <n v="4592620452"/>
    <s v="BANM620910MMSTJR01"/>
    <n v="2"/>
    <n v="5510311711"/>
    <x v="2"/>
    <n v="7116.73"/>
    <n v="2046.04"/>
    <n v="2135.02"/>
    <n v="88.98"/>
    <d v="2027-01-12T00:00:00"/>
  </r>
  <r>
    <x v="19"/>
    <s v="20/07/2026"/>
    <x v="3"/>
    <s v="RIGOBERTO VILLANUEVA MORA"/>
    <n v="54816504945"/>
    <s v="VIMR651124HCMLRG01"/>
    <n v="22854858"/>
    <n v="5213111416875"/>
    <x v="2"/>
    <n v="11029.03"/>
    <n v="3308"/>
    <n v="3308.71"/>
    <n v="0.71"/>
    <d v="2028-01-03T00:00:00"/>
  </r>
  <r>
    <x v="19"/>
    <s v="20/07/2026"/>
    <x v="31"/>
    <s v="AARON CRUZ BELTRAN"/>
    <n v="54816530551"/>
    <s v="CUBA650701HJCRLR07"/>
    <n v="2"/>
    <n v="3332407111"/>
    <x v="2"/>
    <n v="9760.32"/>
    <n v="2925.66"/>
    <n v="2928.1"/>
    <n v="2.44"/>
    <d v="2028-01-04T00:00:00"/>
  </r>
  <r>
    <x v="19"/>
    <s v="20/07/2026"/>
    <x v="32"/>
    <s v="HONORIO ENRIQUE CRUZ MARTINEZ"/>
    <n v="18825801550"/>
    <s v="CUMH581230HDFRRN04"/>
    <n v="2"/>
    <n v="5514251094"/>
    <x v="1"/>
    <n v="4342.43"/>
    <n v="360.07"/>
    <n v="1302.73"/>
    <n v="-190.62"/>
    <m/>
  </r>
  <r>
    <x v="19"/>
    <s v="20/07/2026"/>
    <x v="27"/>
    <s v="armando sosa desirena"/>
    <m/>
    <s v="SODA700826HOCSSR07"/>
    <n v="22854560"/>
    <n v="5219721110973"/>
    <x v="0"/>
    <n v="6928.52"/>
    <m/>
    <n v="2078.56"/>
    <n v="2078.56"/>
    <m/>
  </r>
  <r>
    <x v="19"/>
    <s v="20/07/2026"/>
    <x v="32"/>
    <s v="ANDRES DE LUNA MENDEZ"/>
    <n v="43796302446"/>
    <s v="LUMA630119HNLNNN09"/>
    <n v="2"/>
    <n v="8146180778"/>
    <x v="2"/>
    <n v="19666.689999999999"/>
    <n v="5686.72"/>
    <n v="5900.01"/>
    <n v="213.29"/>
    <d v="2027-01-07T00:00:00"/>
  </r>
  <r>
    <x v="19"/>
    <s v="15/07/2026"/>
    <x v="10"/>
    <s v="RAYMUNDO MEDINA REYES"/>
    <n v="12855705815"/>
    <s v="MERR570227HGTDYY04"/>
    <n v="22727552"/>
    <n v="5214621110909"/>
    <x v="2"/>
    <n v="17150.080000000002"/>
    <n v="4960.6000000000004"/>
    <n v="5145.0200000000004"/>
    <n v="184.42"/>
    <d v="2027-01-01T00:00:00"/>
  </r>
  <r>
    <x v="19"/>
    <s v="20/07/2026"/>
    <x v="14"/>
    <s v="ELOY RAMOS DELGADO"/>
    <m/>
    <s v="RADE640221HVZMLL08"/>
    <n v="22855208"/>
    <n v="5212722248289"/>
    <x v="0"/>
    <n v="10608.32"/>
    <n v="848"/>
    <n v="3182.5"/>
    <n v="2334.5"/>
    <m/>
  </r>
  <r>
    <x v="19"/>
    <s v="20/07/2026"/>
    <x v="3"/>
    <s v="LUZ MARIA MARTINEZ"/>
    <n v="1288650247"/>
    <s v="MAXL650420MGTRXZ00"/>
    <n v="22809514"/>
    <n v="5214776493530"/>
    <x v="5"/>
    <m/>
    <m/>
    <n v="0"/>
    <n v="0"/>
    <m/>
  </r>
  <r>
    <x v="19"/>
    <s v="20/07/2026"/>
    <x v="23"/>
    <s v="CARLOS OROZCO LOPEZ"/>
    <n v="6765908584"/>
    <s v="OOLC591103HMNRPR06"/>
    <n v="22855008"/>
    <n v="5215625788821"/>
    <x v="2"/>
    <n v="9760.32"/>
    <n v="2926.65"/>
    <n v="2928.1"/>
    <n v="1.45"/>
    <d v="2028-01-04T00:00:00"/>
  </r>
  <r>
    <x v="19"/>
    <s v="20/07/2026"/>
    <x v="31"/>
    <s v="NOHEMI PATRICIA ALCARAZ LOPEZ"/>
    <n v="3806216192"/>
    <s v="AALN610807MNLLPH08"/>
    <n v="2"/>
    <n v="8112749433"/>
    <x v="2"/>
    <n v="6262.86"/>
    <n v="1810.68"/>
    <n v="1878.86"/>
    <n v="68.180000000000007"/>
    <d v="2027-01-06T00:00:00"/>
  </r>
  <r>
    <x v="19"/>
    <s v="19/07/2026"/>
    <x v="29"/>
    <s v="MARIA LUISA REVELES LOPEZ"/>
    <n v="3877127138"/>
    <s v="RELL710919MNLVPS02"/>
    <n v="22839910"/>
    <n v="5218110133570"/>
    <x v="1"/>
    <n v="3517.29"/>
    <n v="879"/>
    <n v="1055.19"/>
    <n v="-879"/>
    <m/>
  </r>
  <r>
    <x v="19"/>
    <s v="20/07/2026"/>
    <x v="29"/>
    <s v="J. esequiel Sánchez bello"/>
    <m/>
    <s v="SABE480511HMNNLS04"/>
    <n v="22849442"/>
    <n v="5213350456315"/>
    <x v="1"/>
    <n v="4199.87"/>
    <n v="879"/>
    <n v="1259.96"/>
    <n v="-852.11"/>
    <m/>
  </r>
  <r>
    <x v="19"/>
    <s v="19/07/2026"/>
    <x v="29"/>
    <s v="CARLOS MANUEL AGUILAR PEREZ"/>
    <n v="83846516546"/>
    <m/>
    <n v="22835730"/>
    <n v="16479171403"/>
    <x v="3"/>
    <n v="11029.03"/>
    <n v="2976"/>
    <n v="3308.71"/>
    <n v="332.71"/>
    <d v="2028-01-07T00:00:00"/>
  </r>
  <r>
    <x v="19"/>
    <s v="20/07/2026"/>
    <x v="32"/>
    <s v="JOSE ANTONIO BRIONES SALAZAR"/>
    <n v="4160281848"/>
    <s v="BISA020718HCLRLNA8"/>
    <n v="2"/>
    <n v="8421168190"/>
    <x v="5"/>
    <m/>
    <m/>
    <n v="0"/>
    <n v="0"/>
    <m/>
  </r>
  <r>
    <x v="19"/>
    <s v="18/07/2026"/>
    <x v="8"/>
    <s v="JOSE LORENZO LOPEZ SALAZAR"/>
    <m/>
    <s v="LOSL610920HYNPLR05"/>
    <n v="22817598"/>
    <n v="5219841678646"/>
    <x v="9"/>
    <n v="6262.86"/>
    <n v="877.42"/>
    <n v="1878.86"/>
    <n v="1001.44"/>
    <d v="2025-01-08T00:00:00"/>
  </r>
  <r>
    <x v="19"/>
    <s v="20/07/2026"/>
    <x v="19"/>
    <s v="Porfirio "/>
    <n v="54806302268"/>
    <m/>
    <n v="22840114"/>
    <n v="3325985087"/>
    <x v="6"/>
    <n v="7920.51"/>
    <n v="2168.1"/>
    <n v="2376.15"/>
    <n v="208.05"/>
    <d v="2026-01-02T00:00:00"/>
  </r>
  <r>
    <x v="19"/>
    <s v="20/07/2026"/>
    <x v="31"/>
    <s v="JUAN BARRERA GONZALEZ"/>
    <n v="1644226993"/>
    <s v="BAGJ420202HDFRNN01"/>
    <n v="2"/>
    <s v="55 3154 7832"/>
    <x v="1"/>
    <n v="3632.16"/>
    <n v="848"/>
    <n v="1089.6500000000001"/>
    <n v="-848"/>
    <m/>
  </r>
  <r>
    <x v="19"/>
    <s v="20/07/2026"/>
    <x v="10"/>
    <s v="Sisilia Morales Resendiz"/>
    <n v="14654713800"/>
    <s v="MORS640511MGTRSS05"/>
    <n v="22856858"/>
    <n v="5214499864110"/>
    <x v="2"/>
    <n v="5055.88"/>
    <n v="1299.19"/>
    <n v="1516.76"/>
    <n v="-416.29"/>
    <d v="2027-01-03T00:00:00"/>
  </r>
  <r>
    <x v="19"/>
    <s v="17/07/2026"/>
    <x v="29"/>
    <s v="José Antonio Juárez Bonilla"/>
    <n v="62896400280"/>
    <m/>
    <n v="22796460"/>
    <n v="5212215819449"/>
    <x v="0"/>
    <n v="11438.97"/>
    <n v="848"/>
    <n v="3431.69"/>
    <n v="2583.69"/>
    <m/>
  </r>
  <r>
    <x v="19"/>
    <s v="20/07/2026"/>
    <x v="10"/>
    <s v="Lázaro Madrigal Rocha "/>
    <n v="71936260141"/>
    <s v="MARL620214HCSDCZ08 "/>
    <n v="22856662"/>
    <n v="5219933993713"/>
    <x v="2"/>
    <n v="7116.73"/>
    <n v="1973.67"/>
    <n v="2135.02"/>
    <n v="161.35"/>
    <d v="2026-09-01T00:00:00"/>
  </r>
  <r>
    <x v="19"/>
    <s v="20/07/2026"/>
    <x v="30"/>
    <s v="ROBERTO CERVANTES CRUZ"/>
    <n v="42816422168"/>
    <s v="CECR640730HDFRRB09"/>
    <n v="22854918"/>
    <n v="5215548822506"/>
    <x v="2"/>
    <n v="9081.52"/>
    <n v="2518.66"/>
    <n v="2724.46"/>
    <n v="205.8"/>
    <d v="2026-10-01T00:00:00"/>
  </r>
  <r>
    <x v="19"/>
    <s v="20/07/2026"/>
    <x v="19"/>
    <s v="VICTOR "/>
    <m/>
    <s v="EIGV601223HMCNNC06"/>
    <n v="22850880"/>
    <n v="5219619464972"/>
    <x v="2"/>
    <n v="7920.51"/>
    <n v="2289.25"/>
    <n v="2376.15"/>
    <n v="86.9"/>
    <d v="2028-01-01T00:00:00"/>
  </r>
  <r>
    <x v="19"/>
    <s v="20/07/2026"/>
    <x v="19"/>
    <s v="FERNANDO"/>
    <m/>
    <s v="RORF630314HSPDZR08"/>
    <n v="22852544"/>
    <n v="5511427019"/>
    <x v="2"/>
    <n v="9081.52"/>
    <n v="2627.5"/>
    <n v="2724.46"/>
    <n v="96.96"/>
    <d v="2027-01-06T00:00:00"/>
  </r>
  <r>
    <x v="19"/>
    <s v="20/07/2026"/>
    <x v="30"/>
    <s v="ANDRES DE LUNA MENDEZ"/>
    <n v="43796302446"/>
    <s v="LUMA630119HNLNNN09"/>
    <n v="22856780"/>
    <n v="5218146180778"/>
    <x v="2"/>
    <n v="19666.689999999999"/>
    <n v="5686.72"/>
    <n v="5900.01"/>
    <n v="213.29"/>
    <d v="2027-01-07T00:00:00"/>
  </r>
  <r>
    <x v="19"/>
    <s v="20/07/2026"/>
    <x v="19"/>
    <m/>
    <n v="63806022859"/>
    <s v="LOOF600423HDFPRR04"/>
    <n v="22846012"/>
    <n v="5212225086516"/>
    <x v="2"/>
    <n v="18326.98"/>
    <n v="5273.32"/>
    <n v="5498.09"/>
    <n v="224.77"/>
    <d v="2027-01-12T00:00:00"/>
  </r>
  <r>
    <x v="19"/>
    <s v="20/07/2026"/>
    <x v="26"/>
    <m/>
    <n v="67745501717"/>
    <s v="EINR610508MSLSXM08"/>
    <n v="22856426"/>
    <n v="5219211155412"/>
    <x v="4"/>
    <m/>
    <m/>
    <n v="0"/>
    <n v="0"/>
    <m/>
  </r>
  <r>
    <x v="19"/>
    <s v="20/07/2026"/>
    <x v="8"/>
    <s v="MARIA IRENE GUZMAN MARTINEZ"/>
    <n v="1766018350"/>
    <s v="GUMI600221MDFZRR05"/>
    <n v="22841462"/>
    <n v="5215618821685"/>
    <x v="0"/>
    <n v="9225.4"/>
    <m/>
    <n v="2767.62"/>
    <n v="2767.62"/>
    <m/>
  </r>
  <r>
    <x v="19"/>
    <s v="20/07/2026"/>
    <x v="23"/>
    <s v="TERESA GABRIELA RANGEL TOVAR"/>
    <n v="50917558558"/>
    <s v="RATT760414MCHNVR01"/>
    <n v="22859274"/>
    <n v="5216143696836"/>
    <x v="3"/>
    <n v="5636.59"/>
    <n v="919.44"/>
    <n v="1690.98"/>
    <n v="544.16999999999996"/>
    <d v="2028-01-06T00:00:00"/>
  </r>
  <r>
    <x v="19"/>
    <d v="2026-07-07T00:00:00"/>
    <x v="29"/>
    <s v="María Olga Soto Rodriguez"/>
    <n v="23856923273"/>
    <m/>
    <n v="22444514"/>
    <n v="5216692300558"/>
    <x v="0"/>
    <n v="8793.09"/>
    <m/>
    <n v="2637.93"/>
    <n v="2637.93"/>
    <m/>
  </r>
  <r>
    <x v="19"/>
    <s v="19/07/2026"/>
    <x v="17"/>
    <s v="Vinicio Hernandez Rodriguez"/>
    <m/>
    <s v="HERV621119HVZRDN07"/>
    <n v="22837104"/>
    <n v="9223581040"/>
    <x v="2"/>
    <n v="7116.73"/>
    <n v="2056.25"/>
    <n v="2135.02"/>
    <n v="78.77"/>
    <d v="2027-01-09T00:00:00"/>
  </r>
  <r>
    <x v="19"/>
    <s v="20/07/2026"/>
    <x v="14"/>
    <s v="JESUS RAMON RAMIREZ ANAYA"/>
    <m/>
    <s v="RAAJ611112HSRMNS07"/>
    <n v="22868682"/>
    <n v="5216311151210"/>
    <x v="2"/>
    <n v="6262.86"/>
    <n v="1811"/>
    <n v="1878.86"/>
    <n v="67.86"/>
    <d v="2027-01-04T00:00:00"/>
  </r>
  <r>
    <x v="19"/>
    <s v="20/07/2026"/>
    <x v="18"/>
    <s v="CLEMENTE VEGA GONZALEZ "/>
    <n v="32816303559"/>
    <m/>
    <n v="1"/>
    <n v="8713949086"/>
    <x v="0"/>
    <n v="9094.9599999999991"/>
    <m/>
    <n v="2728.49"/>
    <n v="2728.49"/>
    <m/>
  </r>
  <r>
    <x v="19"/>
    <s v="20/07/2026"/>
    <x v="26"/>
    <s v="INES BLANCO RAMIREZ"/>
    <n v="65765404564"/>
    <m/>
    <n v="22858634"/>
    <n v="5217831089597"/>
    <x v="2"/>
    <n v="15898.82"/>
    <n v="4768.83"/>
    <n v="4768.83"/>
    <n v="0.82"/>
    <d v="2027-01-07T00:00:00"/>
  </r>
  <r>
    <x v="19"/>
    <s v="20/07/2026"/>
    <x v="14"/>
    <s v="MIGUEL DOMINGUEZ FERNANDEZ"/>
    <m/>
    <s v="DOFM600820HDFMRG02"/>
    <n v="22857254"/>
    <n v="5215539931611"/>
    <x v="0"/>
    <n v="9760.32"/>
    <n v="1619.44"/>
    <n v="2928.1"/>
    <n v="1308.6600000000001"/>
    <d v="2028-01-07T00:00:00"/>
  </r>
  <r>
    <x v="19"/>
    <s v="20/07/2026"/>
    <x v="26"/>
    <s v="REFUGIO VERA CONTRERAS "/>
    <n v="34745501741"/>
    <s v="VECR550703HZSRNF06"/>
    <n v="22859304"/>
    <n v="5218130745217"/>
    <x v="4"/>
    <m/>
    <m/>
    <n v="0"/>
    <n v="0"/>
    <m/>
  </r>
  <r>
    <x v="19"/>
    <s v="20/07/2026"/>
    <x v="14"/>
    <s v="ISELA MATILDE BARRERA VARGAS"/>
    <m/>
    <s v="BAVI650314MDFRRS06"/>
    <n v="22857540"/>
    <n v="5215529350491"/>
    <x v="0"/>
    <n v="11029.03"/>
    <n v="879"/>
    <n v="3308.71"/>
    <n v="2429.71"/>
    <m/>
  </r>
  <r>
    <x v="19"/>
    <s v="20/07/2026"/>
    <x v="10"/>
    <s v="MARGARITO CASTAÑEDA RODRIGUEZ"/>
    <n v="43886226554"/>
    <s v="CARM680921HNLSDR06"/>
    <n v="22858966"/>
    <n v="5218128721981"/>
    <x v="5"/>
    <m/>
    <m/>
    <n v="0"/>
    <n v="0"/>
    <m/>
  </r>
  <r>
    <x v="19"/>
    <s v="20/07/2026"/>
    <x v="23"/>
    <s v="DONACIANO GUZMAN CARBAJAL"/>
    <n v="72836514686"/>
    <s v="GUCD650524HGRZRN19"/>
    <n v="22871510"/>
    <n v="5216633157858"/>
    <x v="2"/>
    <n v="9760.32"/>
    <n v="2679"/>
    <n v="2928.1"/>
    <n v="249.1"/>
    <d v="2028-01-04T00:00:00"/>
  </r>
  <r>
    <x v="19"/>
    <s v="20/07/2026"/>
    <x v="20"/>
    <s v="NICOLAS"/>
    <m/>
    <s v="MOJN880713HTSRMC06"/>
    <n v="22852640"/>
    <n v="5218685745262"/>
    <x v="4"/>
    <m/>
    <m/>
    <n v="0"/>
    <n v="0"/>
    <m/>
  </r>
  <r>
    <x v="19"/>
    <s v="20/07/2026"/>
    <x v="31"/>
    <s v=" MARQUIBEL BAUTISTA NAJERA"/>
    <n v="4592620452"/>
    <s v="BANM620910MMSTJR01"/>
    <n v="2"/>
    <n v="5512690579"/>
    <x v="2"/>
    <n v="7116.73"/>
    <n v="2046.04"/>
    <n v="2135.02"/>
    <n v="88.98"/>
    <d v="2027-01-12T00:00:00"/>
  </r>
  <r>
    <x v="19"/>
    <s v="18/07/2026"/>
    <x v="27"/>
    <s v="jesus escobar cartas "/>
    <m/>
    <s v="EOCJ441015HVZSRS01"/>
    <n v="22823580"/>
    <n v="5219222072346"/>
    <x v="1"/>
    <n v="3895.43"/>
    <m/>
    <n v="1168.6300000000001"/>
    <n v="0"/>
    <m/>
  </r>
  <r>
    <x v="19"/>
    <s v="20/07/2026"/>
    <x v="23"/>
    <s v="JESUS RAUL CASTRO DOMINGUEZ"/>
    <n v="23776105910"/>
    <s v="CADJ611029HSLSMS06"/>
    <n v="22856798"/>
    <n v="5216441186575"/>
    <x v="2"/>
    <n v="33077.21"/>
    <n v="9909.68"/>
    <n v="9923.16"/>
    <n v="13.48"/>
    <d v="2028-01-01T00:00:00"/>
  </r>
  <r>
    <x v="19"/>
    <s v="19/07/2026"/>
    <x v="11"/>
    <s v="Victor Manuel Rangel"/>
    <n v="12876322822"/>
    <s v="RAXV630626HGTNXC04"/>
    <n v="22836410"/>
    <n v="5214761313465"/>
    <x v="2"/>
    <n v="7920.51"/>
    <n v="2376.14"/>
    <n v="2376.15"/>
    <n v="0.01"/>
    <d v="2027-01-04T00:00:00"/>
  </r>
  <r>
    <x v="19"/>
    <s v="20/07/2026"/>
    <x v="10"/>
    <s v="RUBEN FUENTES GALICIA"/>
    <n v="92886658761"/>
    <s v="FUGR730920HMCNLB07"/>
    <n v="22857818"/>
    <n v="5215645979858"/>
    <x v="3"/>
    <n v="4863.41"/>
    <m/>
    <n v="1459.02"/>
    <n v="690.43"/>
    <m/>
  </r>
  <r>
    <x v="19"/>
    <s v="20/07/2026"/>
    <x v="10"/>
    <s v="DINA GONZALEZ ISMERIO"/>
    <m/>
    <s v="GOID570623MNTNSN03"/>
    <n v="22858412"/>
    <n v="5213111574751"/>
    <x v="2"/>
    <n v="12569.66"/>
    <n v="3635.84"/>
    <n v="3770.9"/>
    <n v="135.06"/>
    <d v="2027-01-04T00:00:00"/>
  </r>
  <r>
    <x v="19"/>
    <s v="20/07/2026"/>
    <x v="20"/>
    <s v="JORGE"/>
    <m/>
    <s v="MACJ560715HMNRRR03"/>
    <n v="22854348"/>
    <n v="5214251054119"/>
    <x v="2"/>
    <n v="6262.86"/>
    <n v="1811.92"/>
    <n v="1878.86"/>
    <n v="66.94"/>
    <d v="2027-01-06T00:00:00"/>
  </r>
  <r>
    <x v="19"/>
    <s v="20/07/2026"/>
    <x v="31"/>
    <s v="JUAN GABRIEL MUÑOZ VELAZQUEZ"/>
    <n v="23917375307"/>
    <s v="MUVJ731121HSLXLN03"/>
    <n v="2"/>
    <s v=" 624 358 6244"/>
    <x v="4"/>
    <m/>
    <m/>
    <n v="0"/>
    <n v="0"/>
    <m/>
  </r>
  <r>
    <x v="19"/>
    <s v="20/07/2026"/>
    <x v="31"/>
    <s v="JUAN MIGUEL AGUIRRE JIMENEZ"/>
    <n v="19796171106"/>
    <s v="AUJM610831HDFGMG02"/>
    <n v="2"/>
    <s v="55 3124 6144"/>
    <x v="2"/>
    <n v="7920.51"/>
    <n v="2274.54"/>
    <n v="2376.15"/>
    <n v="101.61"/>
    <d v="2027-01-01T00:00:00"/>
  </r>
  <r>
    <x v="19"/>
    <s v="20/07/2026"/>
    <x v="11"/>
    <s v="Édgar Constantino caballero"/>
    <m/>
    <s v="COCE580226HCSNBD05"/>
    <n v="22852776"/>
    <n v="5219613141022"/>
    <x v="1"/>
    <n v="4342.43"/>
    <n v="848"/>
    <n v="1302.73"/>
    <n v="-678.55"/>
    <m/>
  </r>
  <r>
    <x v="19"/>
    <s v="16/07/2026"/>
    <x v="19"/>
    <s v="florencio "/>
    <m/>
    <s v="GACF640707HSRRHL01"/>
    <n v="22760156"/>
    <n v="6621861630"/>
    <x v="0"/>
    <n v="9267.0300000000007"/>
    <n v="848"/>
    <n v="2780.11"/>
    <n v="1932.11"/>
    <m/>
  </r>
  <r>
    <x v="19"/>
    <s v="20/07/2026"/>
    <x v="17"/>
    <s v="Norma Angelica Ovalle Lucio"/>
    <n v="32857075462"/>
    <s v="OALN730610MCLVCR08"/>
    <n v="22841376"/>
    <n v="8443280382"/>
    <x v="2"/>
    <n v="5055.87"/>
    <n v="1199.99"/>
    <n v="1516.76"/>
    <n v="-317.10000000000002"/>
    <d v="2027-01-02T00:00:00"/>
  </r>
  <r>
    <x v="19"/>
    <s v="20/07/2026"/>
    <x v="14"/>
    <s v="FRANCISCO ROMERO MENDOZA "/>
    <m/>
    <s v="ROMF600428HDFMNR01"/>
    <n v="22857744"/>
    <n v="5214425417803"/>
    <x v="2"/>
    <n v="5617.63"/>
    <n v="1392.23"/>
    <n v="1685.29"/>
    <n v="52.42"/>
    <d v="2027-01-03T00:00:00"/>
  </r>
  <r>
    <x v="19"/>
    <s v="20/07/2026"/>
    <x v="31"/>
    <s v="ELSA CASTAÑEDA QUINTANAR"/>
    <n v="11806001720"/>
    <s v="CAQE600406MDFSNL03"/>
    <n v="2"/>
    <s v="779 124 0984"/>
    <x v="2"/>
    <n v="9760.32"/>
    <n v="2927.1"/>
    <n v="2928.1"/>
    <n v="1"/>
    <d v="2027-01-04T00:00:00"/>
  </r>
  <r>
    <x v="19"/>
    <s v="20/07/2026"/>
    <x v="23"/>
    <s v="JUAN PARRA CONTRERAS"/>
    <n v="24886405836"/>
    <s v="PACJ640312HBCRNN02"/>
    <n v="22872792"/>
    <n v="5216441081729"/>
    <x v="0"/>
    <n v="39014.01"/>
    <n v="1795.79"/>
    <n v="11704.2"/>
    <n v="9908.41"/>
    <d v="2028-01-03T00:00:00"/>
  </r>
  <r>
    <x v="19"/>
    <s v="20/07/2026"/>
    <x v="3"/>
    <s v="FRANCISCO JAVIER SERVIN CANO "/>
    <n v="53907262512"/>
    <s v="SECF720901HMNRNR07 "/>
    <n v="22873394"/>
    <n v="5214433698522"/>
    <x v="6"/>
    <n v="14606.95"/>
    <n v="4382.09"/>
    <n v="4382.09"/>
    <n v="-0.01"/>
    <d v="2026-01-06T00:00:00"/>
  </r>
  <r>
    <x v="19"/>
    <s v="20/07/2026"/>
    <x v="30"/>
    <s v="JOAQUIN BARRAZA MURILLO"/>
    <n v="21906004987"/>
    <s v="BAMJ600816HSLRRQ01"/>
    <n v="22856894"/>
    <n v="5215532743697"/>
    <x v="2"/>
    <n v="7376.84"/>
    <n v="2120.39"/>
    <n v="2213.0500000000002"/>
    <n v="92.66"/>
    <d v="2027-01-12T00:00:00"/>
  </r>
  <r>
    <x v="19"/>
    <s v="20/07/2026"/>
    <x v="26"/>
    <s v="BENEDICTO POPOCA SAUCEDO"/>
    <n v="72795912533"/>
    <s v="POSB590215HGRPCN01"/>
    <n v="22873840"/>
    <n v="5214432436264"/>
    <x v="2"/>
    <n v="9760.32"/>
    <n v="2821.95"/>
    <n v="2928.1"/>
    <n v="106.15"/>
    <d v="2027-01-07T00:00:00"/>
  </r>
  <r>
    <x v="19"/>
    <s v="19/07/2026"/>
    <x v="8"/>
    <s v="JESUS ARTURO DOMINGUEZ AGUILAR"/>
    <n v="33826373533"/>
    <s v="DOAJ630523HCHMGS08"/>
    <n v="22837600"/>
    <n v="5216143202106"/>
    <x v="2"/>
    <n v="85248.05"/>
    <n v="25571.4"/>
    <n v="25574.42"/>
    <n v="3.01"/>
    <d v="2027-01-01T00:00:00"/>
  </r>
  <r>
    <x v="19"/>
    <s v="18/07/2026"/>
    <x v="11"/>
    <s v="CARLOS JAVIER PERAZA VELAZQUEZ"/>
    <m/>
    <s v="PEVC621104HJCRLR04"/>
    <n v="22817252"/>
    <n v="5216692709287"/>
    <x v="3"/>
    <n v="38420.71"/>
    <n v="10625.08"/>
    <n v="11526.21"/>
    <n v="901.13"/>
    <d v="2026-01-08T00:00:00"/>
  </r>
  <r>
    <x v="19"/>
    <s v="19/07/2026"/>
    <x v="17"/>
    <s v="Apolinar Bartolo Reyes"/>
    <m/>
    <s v="BARA640108HVZRYP01"/>
    <n v="22839292"/>
    <n v="7821401625"/>
    <x v="2"/>
    <n v="20599.310000000001"/>
    <n v="6177.39"/>
    <n v="6179.79"/>
    <n v="2.4"/>
    <d v="2028-01-02T00:00:00"/>
  </r>
  <r>
    <x v="19"/>
    <s v="20/07/2026"/>
    <x v="11"/>
    <s v="Oscar humberto camarillo reyes "/>
    <n v="72846224953"/>
    <m/>
    <n v="22874892"/>
    <n v="5217331442194"/>
    <x v="2"/>
    <n v="9760.32"/>
    <n v="2926.65"/>
    <n v="2928.1"/>
    <n v="1.45"/>
    <d v="2028-01-03T00:00:00"/>
  </r>
  <r>
    <x v="19"/>
    <s v="18/07/2026"/>
    <x v="0"/>
    <s v="FRANCISCO ARTURO GARCIA MARTINEZ"/>
    <n v="33786227885"/>
    <m/>
    <n v="22820458"/>
    <n v="5216141957164"/>
    <x v="2"/>
    <n v="7920.51"/>
    <n v="2174.88"/>
    <n v="2376.15"/>
    <n v="201.27"/>
    <d v="2028-01-06T00:00:00"/>
  </r>
  <r>
    <x v="20"/>
    <s v="21/07/2026"/>
    <x v="32"/>
    <s v="LINO CRUZ PIÑON"/>
    <n v="43786110569"/>
    <s v="CUPL610915HNLRXN07"/>
    <n v="2"/>
    <n v="8134514396"/>
    <x v="2"/>
    <n v="7640.52"/>
    <n v="2291.71"/>
    <n v="2292.16"/>
    <n v="0.45"/>
    <d v="2027-01-09T00:00:00"/>
  </r>
  <r>
    <x v="20"/>
    <s v="21/07/2026"/>
    <x v="16"/>
    <s v="ARMANDO GOMEZ LEDEZMA"/>
    <n v="32795811143"/>
    <m/>
    <n v="1"/>
    <n v="8662780450"/>
    <x v="1"/>
    <n v="4342.43"/>
    <m/>
    <n v="1302.73"/>
    <n v="169.45"/>
    <m/>
  </r>
  <r>
    <x v="20"/>
    <s v="21/07/2026"/>
    <x v="32"/>
    <s v="JOAQUIN ULLOA CORNEJO"/>
    <n v="11806408446"/>
    <s v="UOCJ640131HMNLRQ08"/>
    <n v="2"/>
    <n v="5559032046"/>
    <x v="0"/>
    <n v="9504.7000000000007"/>
    <m/>
    <n v="2851.41"/>
    <n v="2851.41"/>
    <m/>
  </r>
  <r>
    <x v="20"/>
    <d v="2026-10-07T00:00:00"/>
    <x v="6"/>
    <s v="PEDRO RAMOS MUÑOZ "/>
    <n v="71866417463"/>
    <s v="RAMP640429HVZMXD02"/>
    <n v="22552356"/>
    <n v="5219541535836"/>
    <x v="2"/>
    <n v="16140.99"/>
    <n v="4829.7299999999996"/>
    <n v="4842.3"/>
    <n v="12.57"/>
    <d v="2026-10-01T00:00:00"/>
  </r>
  <r>
    <x v="20"/>
    <s v="19/07/2026"/>
    <x v="11"/>
    <s v="ROSALVA ROCHA LEON "/>
    <n v="6705327309"/>
    <s v="ROLR601115MMNCNS14"/>
    <n v="22837824"/>
    <n v="5215614299404"/>
    <x v="2"/>
    <n v="4554.84"/>
    <n v="770"/>
    <n v="1366.45"/>
    <n v="-388.14"/>
    <d v="2027-01-10T00:00:00"/>
  </r>
  <r>
    <x v="20"/>
    <s v="21/07/2026"/>
    <x v="31"/>
    <s v="ANDRES RAMIREZ LOPEZ"/>
    <n v="96886200151"/>
    <s v="RALA631130HMCMPN09"/>
    <n v="2"/>
    <s v="220 490 1437"/>
    <x v="2"/>
    <n v="25705.87"/>
    <n v="7700"/>
    <n v="7711.76"/>
    <n v="11.76"/>
    <d v="2028-01-06T00:00:00"/>
  </r>
  <r>
    <x v="20"/>
    <s v="21/07/2026"/>
    <x v="32"/>
    <s v="PEDRO ALVAREZ LUNA"/>
    <n v="42897105351"/>
    <s v="AALP710817HDFLND09"/>
    <n v="2"/>
    <n v="5659032689"/>
    <x v="2"/>
    <n v="9439.39"/>
    <n v="2730.89"/>
    <n v="2831.82"/>
    <n v="100.93"/>
    <d v="2026-01-11T00:00:00"/>
  </r>
  <r>
    <x v="20"/>
    <s v="20/07/2026"/>
    <x v="0"/>
    <s v="LUZ MARIA VELASCO ROMERO"/>
    <n v="1614356598"/>
    <s v="VERL430515MDFLMZ00"/>
    <n v="22841602"/>
    <n v="5215561214964"/>
    <x v="1"/>
    <n v="4407.05"/>
    <m/>
    <n v="1322.12"/>
    <n v="234.07"/>
    <m/>
  </r>
  <r>
    <x v="20"/>
    <s v="21/07/2026"/>
    <x v="30"/>
    <s v="JOSE LUIS SALVADOR SANCHEZ"/>
    <n v="89806339472"/>
    <s v="SASL640829HDFLNS03"/>
    <n v="22878674"/>
    <n v="5215564239338"/>
    <x v="0"/>
    <n v="15819.6"/>
    <n v="848"/>
    <n v="4745.88"/>
    <n v="3897.88"/>
    <m/>
  </r>
  <r>
    <x v="20"/>
    <s v="18/07/2026"/>
    <x v="11"/>
    <s v="Gregorio Arturo de la Rosa Pérez"/>
    <m/>
    <s v="ROPG480312HDFSRR06"/>
    <n v="22816886"/>
    <n v="5216561022871"/>
    <x v="5"/>
    <m/>
    <m/>
    <n v="0"/>
    <n v="0"/>
    <m/>
  </r>
  <r>
    <x v="20"/>
    <s v="20/07/2026"/>
    <x v="0"/>
    <s v="MARIO IBAÑEZ RAMOS"/>
    <n v="12977451244"/>
    <s v="IARM740809HOCBMR09"/>
    <n v="22845346"/>
    <n v="5212293691761"/>
    <x v="5"/>
    <m/>
    <m/>
    <n v="0"/>
    <n v="0"/>
    <m/>
  </r>
  <r>
    <x v="20"/>
    <d v="2026-11-06T00:00:00"/>
    <x v="11"/>
    <s v="Felipe valenzuela solis"/>
    <n v="12816501311"/>
    <m/>
    <n v="21623360"/>
    <n v="5214762467596"/>
    <x v="0"/>
    <n v="12841.23"/>
    <m/>
    <n v="3852.37"/>
    <n v="3852.37"/>
    <m/>
  </r>
  <r>
    <x v="20"/>
    <s v="21/07/2026"/>
    <x v="6"/>
    <s v="JUAN MANUEL HERNANDEZ RAMIREZ "/>
    <n v="42916609102"/>
    <s v="HERJ660612HDFRMN03 "/>
    <n v="22895902"/>
    <n v="5215577938583"/>
    <x v="0"/>
    <n v="10636.54"/>
    <m/>
    <n v="3190.96"/>
    <n v="3190.96"/>
    <m/>
  </r>
  <r>
    <x v="20"/>
    <s v="20/07/2026"/>
    <x v="3"/>
    <s v="FELIPE ALVAREZ BOLAÑOS"/>
    <n v="33786028374"/>
    <s v="AABF600723HCHLLL07"/>
    <n v="22874180"/>
    <n v="5216142834653"/>
    <x v="2"/>
    <n v="7116.73"/>
    <n v="2059"/>
    <n v="2135.02"/>
    <n v="76.02"/>
    <m/>
  </r>
  <r>
    <x v="20"/>
    <s v="21/07/2026"/>
    <x v="3"/>
    <s v="JOSE JAIME AGUERO ESPINOZA"/>
    <n v="33826613276"/>
    <s v="AUEJ660313HCHGSM08"/>
    <n v="22873794"/>
    <n v="5216251541810"/>
    <x v="0"/>
    <n v="10636.54"/>
    <m/>
    <n v="3190.96"/>
    <n v="3190.96"/>
    <m/>
  </r>
  <r>
    <x v="20"/>
    <s v="21/07/2026"/>
    <x v="6"/>
    <s v="YOLANDA DE LUNA SAN MARTIN"/>
    <n v="49917016567"/>
    <s v="LUSY700715MVZNNL00"/>
    <n v="22895938"/>
    <n v="5218991178970"/>
    <x v="2"/>
    <n v="5642.22"/>
    <n v="1414.92"/>
    <n v="1692.67"/>
    <n v="54.32"/>
    <d v="2027-01-08T00:00:00"/>
  </r>
  <r>
    <x v="20"/>
    <s v="21/07/2026"/>
    <x v="26"/>
    <s v="JESUS ERNESTO ESTRADA DOMINGUEZ"/>
    <n v="33947822244"/>
    <s v="EADJ780414HCHSMS01"/>
    <n v="22884858"/>
    <n v="5216141034579"/>
    <x v="2"/>
    <n v="5972.53"/>
    <n v="1776.03"/>
    <n v="1791.76"/>
    <n v="15.73"/>
    <d v="2028-01-08T00:00:00"/>
  </r>
  <r>
    <x v="20"/>
    <s v="21/07/2026"/>
    <x v="34"/>
    <s v="JACOBO ISRAEL GONZALEZ MARTINEZ"/>
    <n v="1776055558"/>
    <s v="GOMJ601017HDFNRC01"/>
    <n v="2"/>
    <n v="5545296769"/>
    <x v="2"/>
    <n v="16903.439999999999"/>
    <n v="4889.58"/>
    <n v="5071.03"/>
    <n v="181.45"/>
    <d v="2027-01-01T00:00:00"/>
  </r>
  <r>
    <x v="20"/>
    <s v="20/07/2026"/>
    <x v="0"/>
    <s v="JORGE ZARATE LARA"/>
    <m/>
    <s v="ZALJ620706HVZRRR08"/>
    <n v="22847354"/>
    <n v="5212351001041"/>
    <x v="0"/>
    <n v="8539.89"/>
    <m/>
    <n v="2561.9699999999998"/>
    <n v="2561.9699999999998"/>
    <m/>
  </r>
  <r>
    <x v="20"/>
    <s v="20/07/2026"/>
    <x v="29"/>
    <s v="MIGUEL ANGEL PEREZ QUIROZ"/>
    <n v="10795934966"/>
    <s v="PEQM590601HDFRRG03"/>
    <n v="22840966"/>
    <n v="5215610506662"/>
    <x v="2"/>
    <n v="17855.86"/>
    <n v="5149.67"/>
    <n v="5356.76"/>
    <n v="207.09"/>
    <d v="2026-10-01T00:00:00"/>
  </r>
  <r>
    <x v="20"/>
    <s v="21/07/2026"/>
    <x v="31"/>
    <s v="ARCADIO GUZMAN MENDOZA"/>
    <n v="43755910486"/>
    <s v="GUMA590112HNLZNR08"/>
    <n v="2"/>
    <s v="81 1589 4768"/>
    <x v="2"/>
    <n v="4857.75"/>
    <n v="1062.8499999999999"/>
    <n v="1457.33"/>
    <n v="-378.08"/>
    <d v="2027-01-06T00:00:00"/>
  </r>
  <r>
    <x v="20"/>
    <s v="21/07/2026"/>
    <x v="18"/>
    <s v="HUMBERTO FERNÁNDEZ LÓPEZ "/>
    <n v="65835932560"/>
    <m/>
    <n v="1"/>
    <n v="2285917782"/>
    <x v="7"/>
    <n v="5547.14"/>
    <n v="1374.15"/>
    <n v="1664.14"/>
    <n v="0.01"/>
    <d v="2024-01-11T00:00:00"/>
  </r>
  <r>
    <x v="20"/>
    <s v="21/07/2026"/>
    <x v="10"/>
    <s v="ANGEL CENICEROS MARTINEZ"/>
    <n v="32826433131"/>
    <s v="CEMA640318HCLNRN01"/>
    <n v="22886676"/>
    <n v="5218663532821"/>
    <x v="2"/>
    <n v="9081.52"/>
    <n v="2519.69"/>
    <n v="2724.46"/>
    <n v="204.77"/>
    <d v="2026-09-01T00:00:00"/>
  </r>
  <r>
    <x v="20"/>
    <s v="21/07/2026"/>
    <x v="31"/>
    <s v="ARACELI RODRIGUEZ BARRAGAN"/>
    <n v="54776019611"/>
    <s v="RXBA611227MJCDRR06"/>
    <n v="2"/>
    <s v="33 2054 4460"/>
    <x v="3"/>
    <n v="17395.919999999998"/>
    <n v="4827.99"/>
    <n v="5218.78"/>
    <n v="390.79"/>
    <d v="2026-01-08T00:00:00"/>
  </r>
  <r>
    <x v="20"/>
    <s v="20/07/2026"/>
    <x v="10"/>
    <s v="Rodolfo Jaime Ortiz Zetina.  "/>
    <n v="6796245295"/>
    <s v="OIZR620417HMCRTD00 "/>
    <n v="22875168"/>
    <n v="5215513050936"/>
    <x v="2"/>
    <n v="27186.48"/>
    <n v="7865.7"/>
    <n v="8155.94"/>
    <n v="290.24"/>
    <d v="2027-01-02T00:00:00"/>
  </r>
  <r>
    <x v="20"/>
    <s v="21/07/2026"/>
    <x v="30"/>
    <s v="JAVIER BAEZ DIAZ"/>
    <n v="11796152764"/>
    <s v="BADJ610402HDFZZV03"/>
    <n v="22878172"/>
    <n v="5215541761146"/>
    <x v="0"/>
    <n v="12051.13"/>
    <n v="879"/>
    <n v="3615.34"/>
    <n v="2736.34"/>
    <m/>
  </r>
  <r>
    <x v="20"/>
    <s v="21/07/2026"/>
    <x v="6"/>
    <s v="ROSA ISELA CANO ALVAREZ"/>
    <n v="31897301466"/>
    <s v="CAAR731221MDGNLS05"/>
    <n v="22896736"/>
    <n v="5218713982959"/>
    <x v="1"/>
    <n v="2244.0100000000002"/>
    <n v="541"/>
    <n v="673.2"/>
    <n v="-541"/>
    <m/>
  </r>
  <r>
    <x v="20"/>
    <s v="21/07/2026"/>
    <x v="10"/>
    <s v="JOSE MARCELINO ZAVALA ZUÑIGA"/>
    <n v="1175577022"/>
    <s v="ZAZM570602HDFVXR04"/>
    <n v="22897040"/>
    <n v="5215632570630"/>
    <x v="3"/>
    <n v="6262.86"/>
    <n v="1185.45"/>
    <n v="1878.86"/>
    <n v="693.41"/>
    <d v="2027-01-05T00:00:00"/>
  </r>
  <r>
    <x v="20"/>
    <s v="21/07/2026"/>
    <x v="32"/>
    <s v="JUAN PARRA RIVERA"/>
    <n v="54806188725"/>
    <s v="PARJ610830HNTRVN00"/>
    <n v="2"/>
    <n v="3317674561"/>
    <x v="2"/>
    <n v="9760.32"/>
    <n v="2928"/>
    <n v="2928.1"/>
    <n v="0.1"/>
    <d v="2028-01-08T00:00:00"/>
  </r>
  <r>
    <x v="20"/>
    <s v="21/07/2026"/>
    <x v="26"/>
    <s v="FELIPE FRANCISCO GUADARRAMA SANTACRUZ"/>
    <n v="1826006767"/>
    <s v="GUSF600203HDFDNL06"/>
    <n v="22882774"/>
    <n v="5218188024659"/>
    <x v="2"/>
    <n v="13759.12"/>
    <n v="3976.41"/>
    <n v="4127.74"/>
    <n v="151.33000000000001"/>
    <d v="2027-01-03T00:00:00"/>
  </r>
  <r>
    <x v="20"/>
    <s v="20/07/2026"/>
    <x v="23"/>
    <s v="JOSE MARIO GARNICA MUÑOZ"/>
    <n v="469531554"/>
    <s v="GAMM550216HMNRXR01"/>
    <n v="22856936"/>
    <n v="5213333767940"/>
    <x v="1"/>
    <n v="4122.59"/>
    <m/>
    <n v="1236.78"/>
    <n v="0"/>
    <m/>
  </r>
  <r>
    <x v="20"/>
    <s v="21/07/2026"/>
    <x v="32"/>
    <s v="JOSE GUADALUPE SANCHEZ CAMACHO"/>
    <n v="55786002646"/>
    <s v="SACG600806HNTNMD01"/>
    <n v="2"/>
    <n v="3231323075"/>
    <x v="2"/>
    <n v="6262.86"/>
    <n v="1670"/>
    <n v="1878.86"/>
    <n v="208.86"/>
    <d v="2027-01-10T00:00:00"/>
  </r>
  <r>
    <x v="20"/>
    <s v="21/07/2026"/>
    <x v="30"/>
    <s v="MARIANA ROSTRO MEDINA"/>
    <n v="21906428715"/>
    <s v="ROMM630123MMCSDR05"/>
    <n v="22859380"/>
    <n v="5215648786055"/>
    <x v="1"/>
    <n v="3565.2"/>
    <m/>
    <n v="1069.56"/>
    <n v="0"/>
    <m/>
  </r>
  <r>
    <x v="20"/>
    <s v="21/07/2026"/>
    <x v="30"/>
    <s v="NORA LUISA VALDEZ VALLE"/>
    <n v="23945805028"/>
    <s v="VAVN580203MSLLLR06"/>
    <n v="22898124"/>
    <n v="5216681133956"/>
    <x v="1"/>
    <n v="4342.43"/>
    <m/>
    <n v="1302.73"/>
    <n v="169.45"/>
    <m/>
  </r>
  <r>
    <x v="20"/>
    <s v="21/07/2026"/>
    <x v="31"/>
    <s v="JAVIER FRANCISCO QUINTERO LOZANO"/>
    <n v="54856810236"/>
    <s v="QUSF680312HJCNLR05"/>
    <n v="2"/>
    <s v="341 137 2877"/>
    <x v="1"/>
    <n v="4497.51"/>
    <n v="848"/>
    <n v="1349.25"/>
    <n v="-523.47"/>
    <m/>
  </r>
  <r>
    <x v="20"/>
    <s v="21/07/2026"/>
    <x v="34"/>
    <s v="ESGAR GARCIA GARCIA "/>
    <n v="10826335704"/>
    <s v="GAGE630702HVZRRS03"/>
    <n v="2"/>
    <n v="5653475651"/>
    <x v="2"/>
    <n v="8967.4599999999991"/>
    <n v="2690"/>
    <n v="2690.24"/>
    <n v="0.24"/>
    <d v="2028-01-05T00:00:00"/>
  </r>
  <r>
    <x v="20"/>
    <s v="17/07/2026"/>
    <x v="8"/>
    <s v="MARTIN CASTRO BRIANO"/>
    <m/>
    <s v="CABM691129HSPSRR07"/>
    <n v="22799650"/>
    <n v="5214402057961"/>
    <x v="2"/>
    <n v="11256.42"/>
    <n v="3256.7"/>
    <n v="3376.93"/>
    <n v="120.23"/>
    <d v="2027-01-01T00:00:00"/>
  </r>
  <r>
    <x v="20"/>
    <d v="2026-12-07T00:00:00"/>
    <x v="25"/>
    <s v="RENE MORALES GARCIA"/>
    <n v="1745589323"/>
    <s v="MOGR551126HDFRRN03"/>
    <n v="22605092"/>
    <n v="5215529120359"/>
    <x v="7"/>
    <n v="4813.6899999999996"/>
    <n v="565.77"/>
    <n v="1444.11"/>
    <n v="74.94"/>
    <d v="2025-01-03T00:00:00"/>
  </r>
  <r>
    <x v="20"/>
    <s v="21/07/2026"/>
    <x v="31"/>
    <s v="ISRRAEL ARMANDO RODRIGUEZ ESPINOZA"/>
    <n v="43805951092"/>
    <s v="ROEI591118HNLDSS04"/>
    <n v="2"/>
    <s v="81 2366 9303"/>
    <x v="2"/>
    <n v="6262.86"/>
    <n v="1729.38"/>
    <n v="1878.86"/>
    <n v="149.47999999999999"/>
    <d v="2027-01-01T00:00:00"/>
  </r>
  <r>
    <x v="20"/>
    <s v="20/07/2026"/>
    <x v="26"/>
    <s v="MATILDE CASTELLANOS HERNANDEZ"/>
    <n v="67725502529"/>
    <s v="CAHM530130MTSSRT05"/>
    <n v="22877792"/>
    <n v="5212722210035"/>
    <x v="4"/>
    <m/>
    <m/>
    <n v="0"/>
    <n v="0"/>
    <m/>
  </r>
  <r>
    <x v="20"/>
    <s v="21/07/2026"/>
    <x v="6"/>
    <s v="ARACELI CORCUERA ORTIZ "/>
    <n v="1163461091"/>
    <s v="COOA720913MOCRRR00"/>
    <n v="22897530"/>
    <n v="5215549021889"/>
    <x v="2"/>
    <n v="11226.47"/>
    <n v="3248"/>
    <n v="3367.94"/>
    <n v="119.94"/>
    <d v="2027-01-08T00:00:00"/>
  </r>
  <r>
    <x v="20"/>
    <s v="21/07/2026"/>
    <x v="30"/>
    <s v="JAIME TORRES VAZQUEZ"/>
    <n v="53876011882"/>
    <s v="TOVJ600809HMNRZM07"/>
    <n v="22898790"/>
    <n v="5214434155109"/>
    <x v="6"/>
    <n v="5599.63"/>
    <n v="1274.6400000000001"/>
    <n v="1679.89"/>
    <n v="152.01"/>
    <d v="2025-01-03T00:00:00"/>
  </r>
  <r>
    <x v="20"/>
    <s v="21/07/2026"/>
    <x v="32"/>
    <s v="ROMUALDO FLORES VELAZQUEZ"/>
    <n v="1583650905"/>
    <s v="FOVR650207HMSLLM00"/>
    <n v="2"/>
    <n v="7774591417"/>
    <x v="4"/>
    <m/>
    <m/>
    <n v="0"/>
    <n v="0"/>
    <m/>
  </r>
  <r>
    <x v="20"/>
    <s v="21/07/2026"/>
    <x v="31"/>
    <s v="AGUSTIN ESPARZA JARERO"/>
    <n v="54846551155"/>
    <s v="EAJA641216HJCSRG04"/>
    <n v="2"/>
    <s v="33 2587 0489"/>
    <x v="2"/>
    <n v="9081.52"/>
    <n v="2627"/>
    <n v="2724.46"/>
    <n v="97.46"/>
    <d v="2027-01-03T00:00:00"/>
  </r>
  <r>
    <x v="20"/>
    <s v="21/07/2026"/>
    <x v="30"/>
    <s v="ALFONSO CHAPARRO ROSAS"/>
    <n v="3593756704"/>
    <s v="CARA670209HDFHSL07"/>
    <n v="22881868"/>
    <n v="5216146110817"/>
    <x v="2"/>
    <n v="7363.38"/>
    <n v="2129.89"/>
    <n v="2209.0100000000002"/>
    <n v="79.12"/>
    <d v="2027-01-03T00:00:00"/>
  </r>
  <r>
    <x v="20"/>
    <s v="20/07/2026"/>
    <x v="20"/>
    <m/>
    <n v="71866210215"/>
    <m/>
    <n v="22839038"/>
    <n v="5219622869822"/>
    <x v="2"/>
    <n v="9760.32"/>
    <n v="2809.95"/>
    <n v="2928.1"/>
    <n v="118.15"/>
    <d v="2027-01-08T00:00:00"/>
  </r>
  <r>
    <x v="20"/>
    <s v="21/07/2026"/>
    <x v="10"/>
    <s v="Rosa María González Rojas"/>
    <n v="24765715636"/>
    <s v="GORR571209MJCNJS04"/>
    <n v="22899814"/>
    <n v="5213340089075"/>
    <x v="1"/>
    <n v="4176.97"/>
    <n v="848"/>
    <n v="1253.0899999999999"/>
    <n v="-844.01"/>
    <m/>
  </r>
  <r>
    <x v="20"/>
    <s v="20/07/2026"/>
    <x v="20"/>
    <s v="ERNESTO"/>
    <m/>
    <s v="MEME610703HPLZRR03"/>
    <n v="22836126"/>
    <n v="5212222128166"/>
    <x v="2"/>
    <n v="6262.86"/>
    <n v="1810.09"/>
    <n v="1878.86"/>
    <n v="68.77"/>
    <d v="2027-01-04T00:00:00"/>
  </r>
  <r>
    <x v="20"/>
    <s v="21/07/2026"/>
    <x v="31"/>
    <s v="JOSE JUAN CECILIO SORIANO ROSAS"/>
    <n v="62816227151"/>
    <s v="SORJ621122HPLRSN00"/>
    <n v="2"/>
    <s v="229 162 3334"/>
    <x v="6"/>
    <n v="9081.52"/>
    <n v="2724.46"/>
    <n v="2724.46"/>
    <n v="0"/>
    <d v="2026-01-07T00:00:00"/>
  </r>
  <r>
    <x v="20"/>
    <s v="21/07/2026"/>
    <x v="6"/>
    <s v="PAULA MARIA DEL SOCORRO UH GARMA "/>
    <n v="84755802562"/>
    <s v="UXGP500618MYNHRL01"/>
    <n v="22895444"/>
    <n v="5219993805221"/>
    <x v="1"/>
    <n v="3866.25"/>
    <n v="848"/>
    <n v="1159.8800000000001"/>
    <n v="-848"/>
    <m/>
  </r>
  <r>
    <x v="20"/>
    <s v="21/07/2026"/>
    <x v="35"/>
    <s v="RODOLFO GARCIA BOTELLO"/>
    <m/>
    <s v="GABR670622HMCRTD06"/>
    <n v="22901820"/>
    <n v="5519907422"/>
    <x v="1"/>
    <n v="4027.21"/>
    <m/>
    <n v="1208.1600000000001"/>
    <n v="0"/>
    <m/>
  </r>
  <r>
    <x v="20"/>
    <s v="20/07/2026"/>
    <x v="14"/>
    <s v="JOSE LUIS CAJAL COLORADO"/>
    <n v="75826200588"/>
    <s v="CACL630824HDFJLS07"/>
    <n v="22882168"/>
    <n v="5215584048833"/>
    <x v="2"/>
    <n v="34068.19"/>
    <n v="10218.67"/>
    <n v="10220.459999999999"/>
    <n v="1.79"/>
    <d v="2027-01-03T00:00:00"/>
  </r>
  <r>
    <x v="20"/>
    <s v="20/07/2026"/>
    <x v="14"/>
    <s v="Sergio Ruben Obeso Arias"/>
    <m/>
    <s v="OEAS671114HSLBRR07"/>
    <n v="22874186"/>
    <n v="5216644850456"/>
    <x v="3"/>
    <n v="4963.49"/>
    <m/>
    <n v="1489.05"/>
    <n v="790.51"/>
    <m/>
  </r>
  <r>
    <x v="20"/>
    <s v="20/07/2026"/>
    <x v="14"/>
    <s v="YOLANDA BENITEZ HERNANDEZ"/>
    <n v="62744704289"/>
    <m/>
    <n v="22882444"/>
    <n v="5212211580591"/>
    <x v="2"/>
    <n v="7128.48"/>
    <n v="2138.0100000000002"/>
    <n v="2138.54"/>
    <n v="0.53"/>
    <d v="2028-01-04T00:00:00"/>
  </r>
  <r>
    <x v="20"/>
    <s v="21/07/2026"/>
    <x v="14"/>
    <s v="JESUS MARTINEZ ALVARADO"/>
    <m/>
    <s v="MAAJ690206HNLRLS08"/>
    <n v="22893318"/>
    <n v="5218131096115"/>
    <x v="2"/>
    <n v="8181.55"/>
    <n v="2271.4299999999998"/>
    <n v="2454.4699999999998"/>
    <n v="183.04"/>
    <d v="2026-12-01T00:00:00"/>
  </r>
  <r>
    <x v="20"/>
    <s v="21/07/2026"/>
    <x v="36"/>
    <s v="VICTOR  ALEJANDRO MORENO SALES"/>
    <m/>
    <s v="MOSV601223HPLRLC06"/>
    <n v="22902194"/>
    <n v="2481460234"/>
    <x v="6"/>
    <n v="6460.14"/>
    <n v="1793.57"/>
    <n v="1938.04"/>
    <n v="144.47"/>
    <d v="2026-01-05T00:00:00"/>
  </r>
  <r>
    <x v="20"/>
    <s v="21/07/2026"/>
    <x v="26"/>
    <s v="NOHEMI GALLEGOS ESPINOZA "/>
    <n v="39927687648"/>
    <s v="GAEN760315MDFLSH00"/>
    <n v="22899784"/>
    <n v="5217791153748"/>
    <x v="2"/>
    <n v="9109.43"/>
    <n v="2635"/>
    <n v="2732.83"/>
    <n v="97.83"/>
    <d v="2027-01-10T00:00:00"/>
  </r>
  <r>
    <x v="20"/>
    <s v="21/07/2026"/>
    <x v="35"/>
    <s v="Sonia Gutiérrez Saldaña"/>
    <m/>
    <s v="GUSS620930MSRTLN07"/>
    <n v="22902190"/>
    <n v="6644404477"/>
    <x v="2"/>
    <n v="9760.32"/>
    <n v="2916.17"/>
    <n v="2928.1"/>
    <n v="11.93"/>
    <d v="2028-01-06T00:00:00"/>
  </r>
  <r>
    <x v="20"/>
    <s v="21/07/2026"/>
    <x v="35"/>
    <s v="manuel mancilla garcia"/>
    <n v="10785910836"/>
    <m/>
    <n v="22902444"/>
    <n v="5610971482"/>
    <x v="2"/>
    <n v="11341"/>
    <n v="3281.22"/>
    <n v="3402.3"/>
    <n v="121.08"/>
    <d v="2026-11-01T00:00:00"/>
  </r>
  <r>
    <x v="20"/>
    <s v="21/07/2026"/>
    <x v="32"/>
    <s v="GAVINO ALEJANDRO AQUINO SANCHEZ"/>
    <n v="67927406974"/>
    <s v="AUSG741025HVZQNB06"/>
    <n v="2"/>
    <n v="3319022529"/>
    <x v="2"/>
    <n v="5186.09"/>
    <n v="977.05"/>
    <n v="1555.83"/>
    <n v="36.06"/>
    <d v="2027-01-05T00:00:00"/>
  </r>
  <r>
    <x v="20"/>
    <s v="21/07/2026"/>
    <x v="37"/>
    <s v="OMAR ESQUIVEL"/>
    <n v="21927518460"/>
    <m/>
    <n v="22902768"/>
    <n v="5216861740157"/>
    <x v="1"/>
    <n v="1376.78"/>
    <m/>
    <n v="413.03"/>
    <n v="0"/>
    <m/>
  </r>
  <r>
    <x v="20"/>
    <s v="21/07/2026"/>
    <x v="36"/>
    <s v="REBECA TREVIÑO TORRES"/>
    <n v="63826200212"/>
    <s v=" TETR620503MDFRRB08"/>
    <n v="22902892"/>
    <n v="5656922159"/>
    <x v="6"/>
    <n v="7116.36"/>
    <n v="2058.77"/>
    <n v="2134.91"/>
    <n v="76.14"/>
    <d v="2025-01-08T00:00:00"/>
  </r>
  <r>
    <x v="20"/>
    <s v="21/07/2026"/>
    <x v="6"/>
    <s v="MA. FAUSTA CHABERO CAMACHO "/>
    <n v="49784901016"/>
    <s v="CACF491013MSPHMS00"/>
    <n v="22895720"/>
    <n v="22895720"/>
    <x v="0"/>
    <n v="11029.03"/>
    <n v="2693.06"/>
    <n v="3308.71"/>
    <n v="3308.71"/>
    <m/>
  </r>
  <r>
    <x v="20"/>
    <s v="21/07/2026"/>
    <x v="35"/>
    <s v="LEOBARDO LOZADA FERNANDEZ"/>
    <n v="20945900858"/>
    <s v="LOFL590118HVZZRB01"/>
    <n v="22903636"/>
    <n v="5611165144"/>
    <x v="3"/>
    <n v="9081.52"/>
    <n v="2412.38"/>
    <n v="2724.46"/>
    <n v="312.08"/>
    <d v="2027-01-01T00:00:00"/>
  </r>
  <r>
    <x v="20"/>
    <s v="21/07/2026"/>
    <x v="6"/>
    <s v="ANGEL VICENTE MARTINEZ MARTINEZ "/>
    <n v="17836214571"/>
    <s v="MAMA620719HDFRRN06"/>
    <n v="22898430"/>
    <n v="5215616646754"/>
    <x v="2"/>
    <n v="8539.89"/>
    <n v="2560.11"/>
    <n v="2561.9699999999998"/>
    <n v="1.86"/>
    <d v="2027-01-07T00:00:00"/>
  </r>
  <r>
    <x v="20"/>
    <s v="21/07/2026"/>
    <x v="14"/>
    <s v="RICARDO VARGAS PONCE"/>
    <m/>
    <s v="VAPR780405HGRRNC03"/>
    <n v="22899086"/>
    <n v="5216644553111"/>
    <x v="0"/>
    <n v="8793.09"/>
    <m/>
    <n v="2637.93"/>
    <n v="2637.93"/>
    <m/>
  </r>
  <r>
    <x v="20"/>
    <s v="21/07/2026"/>
    <x v="35"/>
    <s v="Consuelo castillo soto"/>
    <n v="21876444445"/>
    <m/>
    <n v="22904228"/>
    <n v="6861654436"/>
    <x v="2"/>
    <n v="9081.52"/>
    <n v="2521.35"/>
    <n v="2724.46"/>
    <n v="203.11"/>
    <d v="2026-09-01T00:00:00"/>
  </r>
  <r>
    <x v="20"/>
    <s v="21/07/2026"/>
    <x v="8"/>
    <s v="YOLANDA LETICIA SOTO ROBLEDO"/>
    <n v="43725322341"/>
    <s v="SORY551025MTSTBL01"/>
    <n v="22902398"/>
    <n v="5218124016094"/>
    <x v="2"/>
    <n v="40541.24"/>
    <n v="12145.13"/>
    <n v="12162.37"/>
    <n v="17.239999999999998"/>
    <m/>
  </r>
  <r>
    <x v="20"/>
    <s v="21/07/2026"/>
    <x v="0"/>
    <s v="JUAN HUESCA GARCIA"/>
    <n v="20917343202"/>
    <s v="HUGJ730522HPLSRN06"/>
    <n v="22903850"/>
    <n v="5212481040207"/>
    <x v="5"/>
    <m/>
    <m/>
    <n v="0"/>
    <n v="0"/>
    <m/>
  </r>
  <r>
    <x v="20"/>
    <s v="21/07/2026"/>
    <x v="31"/>
    <s v="OCTAVIO AGUILAR LICONA"/>
    <n v="1907413585"/>
    <s v="AULO740615HDFGCC00"/>
    <n v="2"/>
    <s v="56 2512 5073"/>
    <x v="1"/>
    <n v="1780.21"/>
    <n v="445"/>
    <n v="534.05999999999995"/>
    <n v="-445"/>
    <m/>
  </r>
  <r>
    <x v="20"/>
    <s v="21/07/2026"/>
    <x v="0"/>
    <s v="OSCAR JACOME HERNANDEZ"/>
    <n v="65876900963"/>
    <s v="JAHO690309HVZCRS01"/>
    <n v="22905658"/>
    <n v="5212961130040"/>
    <x v="7"/>
    <n v="4759.2"/>
    <n v="784.13"/>
    <n v="1427.76"/>
    <n v="-197.91"/>
    <d v="2025-01-01T00:00:00"/>
  </r>
  <r>
    <x v="20"/>
    <s v="21/07/2026"/>
    <x v="36"/>
    <s v="JESUS HERNANDEZ SUAREZ"/>
    <n v="21917499408"/>
    <m/>
    <n v="22903190"/>
    <n v="6867362802"/>
    <x v="1"/>
    <n v="2424.87"/>
    <m/>
    <n v="727.46"/>
    <n v="0"/>
    <m/>
  </r>
  <r>
    <x v="20"/>
    <s v="21/07/2026"/>
    <x v="31"/>
    <s v="ROQUE JACINTO OSUNA MALDONADO"/>
    <n v="24685116915"/>
    <s v="OUMR511002HSRSLQ01"/>
    <n v="2"/>
    <s v="662 316 6708"/>
    <x v="1"/>
    <n v="3855.42"/>
    <m/>
    <n v="1156.6300000000001"/>
    <n v="0"/>
    <m/>
  </r>
  <r>
    <x v="20"/>
    <s v="20/07/2026"/>
    <x v="14"/>
    <s v="LUCIANO HERNANDEZ RUIZ"/>
    <m/>
    <s v="HERL530924HPLRZC05"/>
    <n v="22855988"/>
    <n v="5215523589485"/>
    <x v="2"/>
    <n v="23754.25"/>
    <n v="7125.67"/>
    <n v="7126.28"/>
    <n v="0.6"/>
    <d v="2027-01-09T00:00:00"/>
  </r>
  <r>
    <x v="20"/>
    <s v="21/07/2026"/>
    <x v="14"/>
    <s v="GERARDO PADILLA ARTEAGA"/>
    <m/>
    <s v="PAAG530924HMSDRR03"/>
    <n v="22896170"/>
    <n v="5218682003652"/>
    <x v="3"/>
    <n v="12258.14"/>
    <n v="3150"/>
    <n v="3677.44"/>
    <n v="527.44000000000005"/>
    <d v="2027-01-02T00:00:00"/>
  </r>
  <r>
    <x v="20"/>
    <s v="20/07/2026"/>
    <x v="23"/>
    <s v="GUMERCINDO MONTOYA ARREDONDO"/>
    <n v="3543705242"/>
    <s v="MOAG750414HNLNRM00"/>
    <n v="22873784"/>
    <n v="5218112702930"/>
    <x v="1"/>
    <n v="4610.33"/>
    <n v="428"/>
    <n v="1383.1"/>
    <n v="9.35"/>
    <m/>
  </r>
  <r>
    <x v="20"/>
    <s v="20/07/2026"/>
    <x v="23"/>
    <s v="ROSALINDA MONTOYA ARREDONDO"/>
    <n v="43816381099"/>
    <s v="MOAR650523MNLNRS01"/>
    <n v="22873784"/>
    <n v="5218112702930"/>
    <x v="1"/>
    <n v="3493.49"/>
    <n v="848"/>
    <n v="1048.05"/>
    <n v="-848"/>
    <m/>
  </r>
  <r>
    <x v="20"/>
    <s v="20/07/2026"/>
    <x v="26"/>
    <s v="GREGORIO ZAPATA MORENO"/>
    <n v="43705422541"/>
    <s v="ZAMG540425HNLPRR00"/>
    <n v="22878536"/>
    <n v="5218124456075"/>
    <x v="1"/>
    <n v="3879.3"/>
    <n v="848"/>
    <n v="1163.79"/>
    <n v="-848"/>
    <m/>
  </r>
  <r>
    <x v="20"/>
    <s v="21/07/2026"/>
    <x v="30"/>
    <s v="GUALBERTO DE LA CRUZ BAUTISTA"/>
    <n v="62907437610"/>
    <s v="CUBG740904HPLRTL09"/>
    <n v="22879782"/>
    <n v="5212226605462"/>
    <x v="2"/>
    <n v="11214.6"/>
    <n v="3111.54"/>
    <n v="3364.38"/>
    <n v="252.84"/>
    <d v="2026-08-01T00:00:00"/>
  </r>
  <r>
    <x v="20"/>
    <s v="21/07/2026"/>
    <x v="35"/>
    <s v="Margarita mendez torres"/>
    <n v="485692079"/>
    <s v="METM671014MJCNRR01"/>
    <n v="22906534"/>
    <n v="3322444345"/>
    <x v="2"/>
    <n v="5636.59"/>
    <n v="1689.89"/>
    <n v="1690.98"/>
    <n v="-226.28"/>
    <d v="2027-01-02T00:00:00"/>
  </r>
  <r>
    <x v="20"/>
    <s v="21/07/2026"/>
    <x v="0"/>
    <s v="GUSTAVO GARCIA TREJO"/>
    <m/>
    <s v="GATG710908HMCRRS09"/>
    <n v="22903402"/>
    <n v="5217717412056"/>
    <x v="0"/>
    <n v="28690.84"/>
    <n v="3762.83"/>
    <n v="8607.25"/>
    <n v="4844.42"/>
    <d v="2027-01-08T00:00:00"/>
  </r>
  <r>
    <x v="20"/>
    <s v="21/07/2026"/>
    <x v="8"/>
    <s v="Ma. Guadalupe Hernández Ramírez"/>
    <m/>
    <s v="HERG660328MQTRMD09"/>
    <n v="22906046"/>
    <n v="5214425510031"/>
    <x v="0"/>
    <n v="10636.54"/>
    <m/>
    <n v="3190.96"/>
    <n v="3190.96"/>
    <m/>
  </r>
  <r>
    <x v="20"/>
    <s v="21/07/2026"/>
    <x v="10"/>
    <s v="JUAN CARLOS ALMAZAN MARTINEZ"/>
    <n v="11866405548"/>
    <s v="AAMJ640424HDFLRN04"/>
    <n v="22892462"/>
    <n v="5213319649772"/>
    <x v="2"/>
    <n v="9760.32"/>
    <n v="2913.38"/>
    <n v="2928.1"/>
    <n v="14.72"/>
    <d v="2028-01-02T00:00:00"/>
  </r>
  <r>
    <x v="20"/>
    <s v="14/07/2026"/>
    <x v="14"/>
    <s v="FRANCISCO OROZCO BAEZ"/>
    <m/>
    <s v="OOBF611004HSLRZR06"/>
    <n v="22690668"/>
    <n v="5216861683328"/>
    <x v="2"/>
    <n v="13368.84"/>
    <n v="3865.44"/>
    <n v="4010.65"/>
    <n v="145.21"/>
    <d v="2026-11-01T00:00:00"/>
  </r>
  <r>
    <x v="20"/>
    <s v="21/07/2026"/>
    <x v="8"/>
    <s v="MARIA LUISA NAVARRO ZAMORA"/>
    <m/>
    <s v="NAZL580518MBCVMS12"/>
    <n v="22903304"/>
    <n v="5216531210744"/>
    <x v="1"/>
    <n v="4342.43"/>
    <n v="879"/>
    <n v="1302.73"/>
    <n v="-709.55"/>
    <m/>
  </r>
  <r>
    <x v="20"/>
    <s v="20/07/2026"/>
    <x v="3"/>
    <s v="FLOR ESTELA CORTEZ RODRIGUEZ"/>
    <n v="32826434006"/>
    <s v="CORF690829MCLRDL05"/>
    <n v="22891956"/>
    <n v="5218663867907"/>
    <x v="9"/>
    <n v="4634.6000000000004"/>
    <n v="766.04"/>
    <n v="1390.38"/>
    <n v="-304.42"/>
    <d v="2025-01-03T00:00:00"/>
  </r>
  <r>
    <x v="20"/>
    <s v="21/07/2026"/>
    <x v="14"/>
    <s v="Carlos Hernández Palomares"/>
    <n v="43836300293"/>
    <m/>
    <n v="22888800"/>
    <n v="5218132757517"/>
    <x v="6"/>
    <n v="18628.349999999999"/>
    <n v="2526.5"/>
    <n v="5588.51"/>
    <n v="3062.01"/>
    <d v="2025-01-03T00:00:00"/>
  </r>
  <r>
    <x v="20"/>
    <s v="21/07/2026"/>
    <x v="26"/>
    <s v="JOSE DE JESUS AGUILAR PIÑA"/>
    <n v="41876204979"/>
    <s v="AUPJ620331HSPGXS02"/>
    <n v="22899628"/>
    <n v="5214441938626"/>
    <x v="1"/>
    <n v="4765.49"/>
    <n v="879"/>
    <n v="1429.65"/>
    <n v="-286.49"/>
    <m/>
  </r>
  <r>
    <x v="20"/>
    <s v="21/07/2026"/>
    <x v="6"/>
    <s v="JOSE VICTORINO ROJAS ROSALES "/>
    <n v="43816052021"/>
    <s v="RORV600329HNLJSC05"/>
    <n v="22898208"/>
    <n v="5218114975856"/>
    <x v="0"/>
    <n v="9760.32"/>
    <m/>
    <n v="2928.1"/>
    <n v="2928.1"/>
    <m/>
  </r>
  <r>
    <x v="20"/>
    <s v="21/07/2026"/>
    <x v="10"/>
    <s v="JOSE DE JESUS ISLAS GOMEZ"/>
    <m/>
    <s v="IAGJ620923HJCSMS08"/>
    <n v="22872934"/>
    <n v="5216311951480"/>
    <x v="9"/>
    <n v="7116.73"/>
    <n v="1367.96"/>
    <n v="2135.02"/>
    <n v="767.06"/>
    <d v="2025-01-09T00:00:00"/>
  </r>
  <r>
    <x v="20"/>
    <s v="21/07/2026"/>
    <x v="37"/>
    <s v="HECTOR PEREZ FERNANDEZ"/>
    <m/>
    <s v="PEFH630608HTSRRC00"/>
    <n v="22903838"/>
    <n v="5218311194566"/>
    <x v="6"/>
    <n v="10259.67"/>
    <n v="2848.45"/>
    <n v="3077.9"/>
    <n v="229.45"/>
    <d v="2026-01-07T00:00:00"/>
  </r>
  <r>
    <x v="20"/>
    <s v="21/07/2026"/>
    <x v="23"/>
    <s v="MARIO ALBERTO RUIZ BAZULTO"/>
    <n v="4866671862"/>
    <s v="RUBM660925HJCZZR08"/>
    <n v="22885766"/>
    <n v="5213351214558"/>
    <x v="0"/>
    <n v="19583.25"/>
    <m/>
    <n v="5874.98"/>
    <n v="5874.98"/>
    <m/>
  </r>
  <r>
    <x v="20"/>
    <s v="21/07/2026"/>
    <x v="6"/>
    <s v="MIGUEL REYES ESQUIVEL "/>
    <n v="11917038249"/>
    <s v="REEM701014HMCYSG07"/>
    <n v="22895990"/>
    <n v="5217226832636"/>
    <x v="1"/>
    <n v="3635.76"/>
    <m/>
    <n v="1090.73"/>
    <n v="0"/>
    <m/>
  </r>
  <r>
    <x v="20"/>
    <s v="21/07/2026"/>
    <x v="26"/>
    <s v="ANGEL RAMON LOVERA VILLEGAS"/>
    <n v="16785801057"/>
    <s v="LOVA580615HMCVLN05"/>
    <n v="22894988"/>
    <n v="5217203184208"/>
    <x v="1"/>
    <n v="4342.43"/>
    <m/>
    <n v="1302.73"/>
    <n v="169.45"/>
    <m/>
  </r>
  <r>
    <x v="20"/>
    <s v="20/07/2026"/>
    <x v="3"/>
    <s v="JUAN DE LA CRUZ NAVARRO"/>
    <m/>
    <s v="CUNJ650731HNLRVN09"/>
    <n v="22878294"/>
    <n v="5218132452570"/>
    <x v="0"/>
    <n v="9760.32"/>
    <m/>
    <n v="2928.1"/>
    <n v="2928.1"/>
    <m/>
  </r>
  <r>
    <x v="20"/>
    <s v="21/07/2026"/>
    <x v="37"/>
    <s v="JOSE MIGUEL CONTRERAS LASCURAIN "/>
    <m/>
    <s v="COLM600929HVZNSG04"/>
    <n v="22902202"/>
    <n v="5212712832223"/>
    <x v="2"/>
    <n v="10396.51"/>
    <n v="3007.93"/>
    <n v="3118.95"/>
    <n v="111.02"/>
    <d v="2027-01-02T00:00:00"/>
  </r>
  <r>
    <x v="20"/>
    <s v="21/07/2026"/>
    <x v="14"/>
    <s v="MARIA DEL CARMEN MEDINA VELAZQUEZ"/>
    <m/>
    <s v="MEVC671126MTSDLR09"/>
    <n v="22900654"/>
    <n v="5218342131488"/>
    <x v="8"/>
    <n v="1858.56"/>
    <m/>
    <n v="557.57000000000005"/>
    <n v="0"/>
    <m/>
  </r>
  <r>
    <x v="20"/>
    <s v="21/07/2026"/>
    <x v="30"/>
    <s v="JUAN GARCIA HERNANDEZ"/>
    <n v="11977731881"/>
    <s v="GAHJ770722HDFRRN03"/>
    <n v="22869830"/>
    <n v="5215563461970"/>
    <x v="8"/>
    <n v="4390.51"/>
    <m/>
    <n v="1317.15"/>
    <n v="217.53"/>
    <m/>
  </r>
  <r>
    <x v="20"/>
    <s v="21/07/2026"/>
    <x v="35"/>
    <s v="REYNALDA SANTIAGO LOPEZ"/>
    <m/>
    <s v="SALR690207MGRNPY14"/>
    <n v="22900998"/>
    <n v="6861165227"/>
    <x v="3"/>
    <n v="6411.47"/>
    <n v="1020.63"/>
    <n v="1923.44"/>
    <n v="902.81"/>
    <d v="2027-01-10T00:00:00"/>
  </r>
  <r>
    <x v="20"/>
    <s v="21/07/2026"/>
    <x v="8"/>
    <s v="EDUARDO GOMEZ CISNEROS"/>
    <m/>
    <s v="GOCE630730HDFMSD03"/>
    <n v="22907260"/>
    <n v="5216631051228"/>
    <x v="0"/>
    <n v="11029.03"/>
    <m/>
    <n v="3308.71"/>
    <n v="3308.71"/>
    <m/>
  </r>
  <r>
    <x v="20"/>
    <s v="21/07/2026"/>
    <x v="26"/>
    <s v="GERARDO ENRIQUE GONZALEZ PEREZ"/>
    <n v="54805956700"/>
    <s v="GOPG590327HJCNRR06"/>
    <n v="22880706"/>
    <n v="5213323220637"/>
    <x v="1"/>
    <n v="4832.04"/>
    <n v="848"/>
    <n v="1449.61"/>
    <n v="-188.94"/>
    <m/>
  </r>
  <r>
    <x v="20"/>
    <s v="21/07/2026"/>
    <x v="32"/>
    <s v="TERESAITA DE JESUS GUTIERREZ RODRIGUEZ"/>
    <n v="32845675852"/>
    <s v="GURT560527MCLTDR09"/>
    <n v="2"/>
    <n v="8444963854"/>
    <x v="1"/>
    <n v="4379.26"/>
    <m/>
    <n v="1313.78"/>
    <n v="206.28"/>
    <m/>
  </r>
  <r>
    <x v="20"/>
    <s v="21/07/2026"/>
    <x v="8"/>
    <s v="MARTHA MARTINEZ SAMANO"/>
    <n v="23927043614"/>
    <s v="MASM601218MSLRMR03"/>
    <n v="22906996"/>
    <n v="5216961073212"/>
    <x v="2"/>
    <n v="5714.03"/>
    <n v="1653.01"/>
    <n v="1714.21"/>
    <n v="-111.96"/>
    <d v="2027-01-06T00:00:00"/>
  </r>
  <r>
    <x v="20"/>
    <s v="21/07/2026"/>
    <x v="35"/>
    <s v="GABRIEL RAMIREZ FUENTES"/>
    <n v="4846693473"/>
    <s v="RAFG660526HMNMNB02"/>
    <n v="22908310"/>
    <n v="7227817315"/>
    <x v="0"/>
    <n v="10636.54"/>
    <m/>
    <n v="3190.96"/>
    <n v="3190.96"/>
    <m/>
  </r>
  <r>
    <x v="20"/>
    <s v="21/07/2026"/>
    <x v="37"/>
    <s v="BLANCA ESTELA ALCANTAR"/>
    <n v="54796151055"/>
    <s v="AAXB601226MJCLXL04"/>
    <n v="22904428"/>
    <n v="5213314990198"/>
    <x v="2"/>
    <n v="6355.79"/>
    <n v="1904.23"/>
    <n v="1906.74"/>
    <n v="2.5099999999999998"/>
    <d v="2028-01-07T00:00:00"/>
  </r>
  <r>
    <x v="20"/>
    <s v="21/07/2026"/>
    <x v="31"/>
    <s v="MARCELINO COTA RUIZ"/>
    <n v="65845605347"/>
    <s v="CORM560602HSLTZR06"/>
    <n v="2"/>
    <s v="222 203 0925"/>
    <x v="3"/>
    <n v="65289.73"/>
    <n v="18864.12"/>
    <n v="19586.919999999998"/>
    <n v="722.8"/>
    <d v="2027-01-05T00:00:00"/>
  </r>
  <r>
    <x v="20"/>
    <s v="20/07/2026"/>
    <x v="26"/>
    <s v="MARIA DEL RAYO TERESA TELLEZ CRUZ"/>
    <n v="62755825544"/>
    <s v="TECR581014MPLLRY10"/>
    <n v="22881580"/>
    <n v="5212223008851"/>
    <x v="3"/>
    <n v="4907.05"/>
    <m/>
    <n v="1472.12"/>
    <n v="734.07"/>
    <m/>
  </r>
  <r>
    <x v="20"/>
    <s v="21/07/2026"/>
    <x v="20"/>
    <s v="Jose Armando"/>
    <n v="84916304359"/>
    <m/>
    <n v="22907848"/>
    <n v="5219817368366"/>
    <x v="0"/>
    <n v="10636.54"/>
    <m/>
    <n v="3190.96"/>
    <n v="3190.96"/>
    <m/>
  </r>
  <r>
    <x v="20"/>
    <s v="21/07/2026"/>
    <x v="11"/>
    <s v="Elizabeth Valdez barrios"/>
    <m/>
    <s v="VABE751025MSRLRL01"/>
    <n v="22908414"/>
    <n v="5216623383743"/>
    <x v="3"/>
    <n v="5154.3900000000003"/>
    <m/>
    <n v="1546.32"/>
    <n v="981.41"/>
    <m/>
  </r>
  <r>
    <x v="20"/>
    <s v="21/07/2026"/>
    <x v="8"/>
    <s v="LUZ MARIA CHAVEZ PALACIOS"/>
    <m/>
    <s v="CAPL570111MZSHLZ03"/>
    <n v="22908122"/>
    <n v="5214921744096"/>
    <x v="1"/>
    <n v="4199.87"/>
    <m/>
    <n v="1259.96"/>
    <n v="26.89"/>
    <m/>
  </r>
  <r>
    <x v="20"/>
    <s v="21/07/2026"/>
    <x v="36"/>
    <s v="María Guadalupe cahuich Segovia"/>
    <n v="81745001552"/>
    <m/>
    <n v="22908714"/>
    <n v="9811124985"/>
    <x v="2"/>
    <n v="13064.4"/>
    <n v="3778.96"/>
    <n v="3919.32"/>
    <n v="140.36000000000001"/>
    <d v="2027-01-05T00:00:00"/>
  </r>
  <r>
    <x v="20"/>
    <s v="21/07/2026"/>
    <x v="30"/>
    <s v="IRMA DOMINGUEZ MEDINA"/>
    <n v="31715102591"/>
    <s v="DOMI511203MDGMDR06"/>
    <n v="22893936"/>
    <n v="5216642753146"/>
    <x v="2"/>
    <n v="5800.57"/>
    <n v="1506.06"/>
    <n v="1740.17"/>
    <n v="121.53"/>
    <d v="2026-12-01T00:00:00"/>
  </r>
  <r>
    <x v="20"/>
    <s v="21/07/2026"/>
    <x v="32"/>
    <s v="JOSE MIGUEL LOPEZ MANCILLA"/>
    <n v="5378582813"/>
    <s v="LOMM580318HMNPNG08"/>
    <n v="2"/>
    <n v="4251246456"/>
    <x v="1"/>
    <n v="4035.69"/>
    <n v="848"/>
    <n v="1210.71"/>
    <n v="-848"/>
    <m/>
  </r>
  <r>
    <x v="20"/>
    <s v="21/07/2026"/>
    <x v="14"/>
    <s v="José Alfredo Jiménez Morales"/>
    <m/>
    <s v="JIMA521108HDFMRL07"/>
    <n v="22892784"/>
    <n v="5219721129452"/>
    <x v="1"/>
    <n v="3881.65"/>
    <m/>
    <n v="1164.5"/>
    <n v="0"/>
    <m/>
  </r>
  <r>
    <x v="20"/>
    <s v="21/07/2026"/>
    <x v="0"/>
    <s v="NORMA EDELMIRA SANTIAGO ARRAZATE"/>
    <n v="64805611361"/>
    <s v="SAAN740920MCSNRR09"/>
    <n v="22908642"/>
    <n v="5219984771898"/>
    <x v="7"/>
    <n v="58139.91"/>
    <n v="17440.099999999999"/>
    <n v="17441.97"/>
    <n v="1.87"/>
    <d v="2026-01-04T00:00:00"/>
  </r>
  <r>
    <x v="20"/>
    <s v="20/07/2026"/>
    <x v="26"/>
    <s v="JESUS ROSENDO DIAZ"/>
    <m/>
    <s v="DIXJ550616HSLZXS08"/>
    <n v="22858336"/>
    <n v="5216692744846"/>
    <x v="1"/>
    <n v="3882.85"/>
    <n v="848"/>
    <n v="1164.8599999999999"/>
    <n v="-848"/>
    <m/>
  </r>
  <r>
    <x v="20"/>
    <s v="21/07/2026"/>
    <x v="35"/>
    <s v="LYDIA VAZQUEZ SILVA"/>
    <n v="43725561765"/>
    <s v="VASL550629MNLZLY01"/>
    <n v="22909398"/>
    <n v="8180533536"/>
    <x v="2"/>
    <n v="6262.86"/>
    <n v="1877.83"/>
    <n v="1878.86"/>
    <n v="1.03"/>
    <d v="2028-01-06T00:00:00"/>
  </r>
  <r>
    <x v="20"/>
    <s v="21/07/2026"/>
    <x v="8"/>
    <s v="LETICIA DE LA FUENTE HERNANDEZ"/>
    <m/>
    <s v="FUHL590725MTCNRT02"/>
    <n v="22904052"/>
    <n v="5219331026310"/>
    <x v="2"/>
    <n v="32325.88"/>
    <n v="9697.69"/>
    <n v="9697.76"/>
    <n v="7.0000000000000007E-2"/>
    <d v="2028-01-01T00:00:00"/>
  </r>
  <r>
    <x v="20"/>
    <s v="20/07/2026"/>
    <x v="14"/>
    <s v="AGUSTIN ORTIZ SEGURA"/>
    <m/>
    <s v="OISA631203HGTRGG06"/>
    <n v="22878390"/>
    <n v="5214445093415"/>
    <x v="2"/>
    <n v="15560.54"/>
    <n v="4502.03"/>
    <n v="4668.16"/>
    <n v="166.13"/>
    <d v="2026-08-01T00:00:00"/>
  </r>
  <r>
    <x v="20"/>
    <s v="21/07/2026"/>
    <x v="11"/>
    <s v="Arturo landeros cadena"/>
    <n v="40836300083"/>
    <m/>
    <n v="22909276"/>
    <n v="5215525622857"/>
    <x v="2"/>
    <n v="9081.52"/>
    <n v="2625"/>
    <n v="2724.46"/>
    <n v="99.46"/>
    <d v="2026-10-01T00:00:00"/>
  </r>
  <r>
    <x v="20"/>
    <s v="21/07/2026"/>
    <x v="6"/>
    <s v="FELICIANO AZUA LARA"/>
    <n v="43796036499"/>
    <s v="AULF620609HSPZRL05"/>
    <n v="22895402"/>
    <n v="5218672450863"/>
    <x v="2"/>
    <n v="7116.73"/>
    <n v="2028.47"/>
    <n v="2135.02"/>
    <n v="106.55"/>
    <d v="2027-01-08T00:00:00"/>
  </r>
  <r>
    <x v="20"/>
    <s v="21/07/2026"/>
    <x v="8"/>
    <s v="PATRICIA EPIGMENIA CARMONA PACHECO"/>
    <m/>
    <s v="CAPP620309MDFRCT09"/>
    <n v="22906616"/>
    <n v="5215619408905"/>
    <x v="9"/>
    <n v="7116.73"/>
    <n v="1871.82"/>
    <n v="2135.02"/>
    <n v="263.2"/>
    <d v="2025-01-05T00:00:00"/>
  </r>
  <r>
    <x v="20"/>
    <s v="21/07/2026"/>
    <x v="8"/>
    <s v="ZULEMA ALEJANDRINA ROSALES GOMEZ"/>
    <n v="23927460859"/>
    <s v="ROGZ751120MSLSML08"/>
    <n v="22907826"/>
    <n v="5216699296263"/>
    <x v="4"/>
    <m/>
    <m/>
    <n v="0"/>
    <n v="0"/>
    <m/>
  </r>
  <r>
    <x v="20"/>
    <s v="21/07/2026"/>
    <x v="10"/>
    <s v="JESUS ROSALES CORDOVA"/>
    <n v="31836408463"/>
    <s v="ROCJ640520HDGSRS06"/>
    <n v="22893388"/>
    <n v="5216567684282"/>
    <x v="2"/>
    <n v="9760.32"/>
    <n v="2823.89"/>
    <n v="2928.1"/>
    <n v="104.21"/>
    <d v="2028-01-01T00:00:00"/>
  </r>
  <r>
    <x v="20"/>
    <s v="15/07/2026"/>
    <x v="6"/>
    <s v="BEATRIZ MARIN REYES"/>
    <n v="11614301387"/>
    <s v="MARB690526MDFRYT04"/>
    <n v="22736844"/>
    <n v="5217297727263"/>
    <x v="2"/>
    <n v="13188.47"/>
    <n v="3815.68"/>
    <n v="3956.54"/>
    <n v="140.86000000000001"/>
    <d v="2027-01-04T00:00:00"/>
  </r>
  <r>
    <x v="20"/>
    <s v="21/07/2026"/>
    <x v="31"/>
    <s v="PEDRO PULIDO SANTILLAN"/>
    <n v="4665006864"/>
    <s v="PUSP510610HMNLND08"/>
    <n v="2"/>
    <s v="33 3467 4265"/>
    <x v="1"/>
    <n v="3869.36"/>
    <n v="848"/>
    <n v="1160.81"/>
    <n v="-848"/>
    <m/>
  </r>
  <r>
    <x v="20"/>
    <s v="20/07/2026"/>
    <x v="10"/>
    <s v="MARTA ELENA REYES RAMIREZ"/>
    <n v="12844703020"/>
    <s v="RERM720315MGTYMR03"/>
    <n v="22859206"/>
    <n v="5214779169177"/>
    <x v="0"/>
    <n v="7363.38"/>
    <n v="848"/>
    <n v="2209.0100000000002"/>
    <n v="1361.01"/>
    <m/>
  </r>
  <r>
    <x v="20"/>
    <s v="21/07/2026"/>
    <x v="0"/>
    <s v="JAZMIN DIAZ SANDOVAL"/>
    <n v="90876835165"/>
    <s v="DISJ960710MMCZNZ08"/>
    <n v="22906620"/>
    <n v="5215535743129"/>
    <x v="5"/>
    <m/>
    <m/>
    <n v="0"/>
    <n v="0"/>
    <m/>
  </r>
  <r>
    <x v="20"/>
    <s v="21/07/2026"/>
    <x v="37"/>
    <s v="ARTURO MACIAS RODELO"/>
    <m/>
    <s v="MARA710521HDGCDR02"/>
    <n v="22909516"/>
    <n v="5218715776584"/>
    <x v="1"/>
    <n v="1318.61"/>
    <m/>
    <n v="395.58"/>
    <n v="0"/>
    <m/>
  </r>
  <r>
    <x v="20"/>
    <s v="21/07/2026"/>
    <x v="23"/>
    <s v="SILVIA ELENA SOTO CARRASCO"/>
    <n v="23796100420"/>
    <s v="SOCS670225MSLTRL12"/>
    <n v="22895236"/>
    <n v="5216671541997"/>
    <x v="7"/>
    <n v="4636.7299999999996"/>
    <n v="763.86"/>
    <n v="1391.02"/>
    <n v="-300.11"/>
    <d v="2025-01-05T00:00:00"/>
  </r>
  <r>
    <x v="20"/>
    <s v="21/07/2026"/>
    <x v="23"/>
    <s v="RODOLFO CONTRERAS RUIZ"/>
    <n v="62735423972"/>
    <s v="CORR540418HPLNZD01"/>
    <n v="22900264"/>
    <n v="5212224567667"/>
    <x v="7"/>
    <n v="46565.64"/>
    <n v="13969.69"/>
    <n v="13969.69"/>
    <n v="0"/>
    <d v="2026-01-02T00:00:00"/>
  </r>
  <r>
    <x v="20"/>
    <s v="20/07/2026"/>
    <x v="23"/>
    <s v="MARTHA PATRICIA TOVAR ZARATE"/>
    <m/>
    <s v="TOZM620515MTSVRR03"/>
    <n v="22879108"/>
    <n v="5218681316208"/>
    <x v="2"/>
    <n v="7116.73"/>
    <n v="1971.89"/>
    <n v="2135.02"/>
    <n v="163.13"/>
    <d v="2026-08-01T00:00:00"/>
  </r>
  <r>
    <x v="20"/>
    <s v="21/07/2026"/>
    <x v="37"/>
    <s v="MANUEL DE JESUS CHE PAN"/>
    <n v="82008305946"/>
    <s v="CEPM830629HYNHNN07"/>
    <n v="22908836"/>
    <n v="5215525126884"/>
    <x v="0"/>
    <n v="5913.13"/>
    <m/>
    <n v="1773.94"/>
    <n v="1740.15"/>
    <m/>
  </r>
  <r>
    <x v="20"/>
    <s v="21/07/2026"/>
    <x v="35"/>
    <s v="JUAN MANUEL UGALDE"/>
    <n v="89806320258"/>
    <m/>
    <n v="22906624"/>
    <n v="5535674978"/>
    <x v="7"/>
    <n v="30869.06"/>
    <n v="8933.5300000000007"/>
    <n v="9260.7199999999993"/>
    <n v="327.19"/>
    <d v="2024-01-07T00:00:00"/>
  </r>
  <r>
    <x v="20"/>
    <s v="21/07/2026"/>
    <x v="0"/>
    <s v="MARIA ELENA ALVAREZ DOMINGUEZ"/>
    <n v="15816321705"/>
    <s v="AADE630505MMSLML09"/>
    <n v="22909188"/>
    <n v="5217778926044"/>
    <x v="3"/>
    <n v="11555.63"/>
    <n v="3100.4"/>
    <n v="3466.69"/>
    <n v="366.29"/>
    <d v="2027-01-02T00:00:00"/>
  </r>
  <r>
    <x v="20"/>
    <s v="21/07/2026"/>
    <x v="8"/>
    <s v="VICTOR MURILLO DIAZ"/>
    <m/>
    <s v="MUDV720728HSPRZC01"/>
    <n v="22907164"/>
    <n v="5215623617081"/>
    <x v="1"/>
    <n v="2039.39"/>
    <m/>
    <n v="611.82000000000005"/>
    <n v="0"/>
    <m/>
  </r>
  <r>
    <x v="20"/>
    <s v="21/07/2026"/>
    <x v="18"/>
    <m/>
    <n v="32008317169"/>
    <m/>
    <n v="1"/>
    <n v="8444431460"/>
    <x v="4"/>
    <m/>
    <m/>
    <n v="0"/>
    <n v="0"/>
    <m/>
  </r>
  <r>
    <x v="20"/>
    <s v="21/07/2026"/>
    <x v="0"/>
    <s v="ANGEL PULIDO"/>
    <n v="49937633730"/>
    <m/>
    <n v="22908874"/>
    <n v="5218991495732"/>
    <x v="0"/>
    <n v="7135.6"/>
    <m/>
    <n v="2140.6799999999998"/>
    <n v="2140.6799999999998"/>
    <m/>
  </r>
  <r>
    <x v="20"/>
    <s v="21/07/2026"/>
    <x v="11"/>
    <s v="BEATRIZ GUADALUPE TORRES MARQUEZ "/>
    <n v="43877185223"/>
    <s v="TOMB730818MNLRRT06 "/>
    <n v="22911548"/>
    <n v="5213330071007"/>
    <x v="2"/>
    <n v="10348.790000000001"/>
    <n v="3102.51"/>
    <n v="3104.64"/>
    <n v="2.13"/>
    <d v="2028-01-01T00:00:00"/>
  </r>
  <r>
    <x v="20"/>
    <s v="21/07/2026"/>
    <x v="37"/>
    <s v="ROQUE ANTONIO SALINAS GONZÁLEZ "/>
    <m/>
    <s v="SAGR660204HNLLNQ01"/>
    <n v="22903664"/>
    <n v="5218180545514"/>
    <x v="0"/>
    <n v="10636.54"/>
    <m/>
    <n v="3190.96"/>
    <n v="3190.96"/>
    <m/>
  </r>
  <r>
    <x v="21"/>
    <s v="22/07/2026"/>
    <x v="31"/>
    <s v="SERGIO FLORES CASTILLO"/>
    <n v="1766001729"/>
    <s v="FOCS600330HDFLSR09"/>
    <n v="2"/>
    <s v="744 652 6635"/>
    <x v="2"/>
    <n v="9081.52"/>
    <n v="2723.32"/>
    <n v="2724.46"/>
    <n v="1.1399999999999999"/>
    <d v="2028-01-08T00:00:00"/>
  </r>
  <r>
    <x v="21"/>
    <s v="22/07/2026"/>
    <x v="31"/>
    <s v="JOSE DE JESUS SANCHEZ LUNA"/>
    <n v="4867007629"/>
    <s v="SALJ700528HJCNNS07"/>
    <n v="2"/>
    <s v="33 3324 9483"/>
    <x v="2"/>
    <n v="5295.14"/>
    <n v="1081"/>
    <n v="1588.54"/>
    <n v="41.16"/>
    <d v="2028-01-02T00:00:00"/>
  </r>
  <r>
    <x v="21"/>
    <s v="17/07/2026"/>
    <x v="27"/>
    <s v="ISMAEL PADROZA WALDO "/>
    <m/>
    <s v="PEWI640530HSPDLS04"/>
    <n v="22790100"/>
    <n v="5214851290079"/>
    <x v="2"/>
    <n v="9081.5499999999993"/>
    <n v="2625.25"/>
    <n v="2724.47"/>
    <n v="99.21"/>
    <d v="2026-10-01T00:00:00"/>
  </r>
  <r>
    <x v="21"/>
    <s v="22/07/2026"/>
    <x v="31"/>
    <s v="MARIA DE JESUS ZARATE MORENO"/>
    <n v="1603413392"/>
    <s v="ZAMJ410620MDFRRS04"/>
    <n v="2"/>
    <s v="55 1959 6145"/>
    <x v="6"/>
    <n v="5636.59"/>
    <n v="1564.91"/>
    <n v="1690.98"/>
    <n v="-101.3"/>
    <d v="2026-01-07T00:00:00"/>
  </r>
  <r>
    <x v="21"/>
    <s v="22/07/2026"/>
    <x v="32"/>
    <s v="PEDRO GUTIERREZ GONZALEZ"/>
    <n v="43816454912"/>
    <s v="GUGP640810HNLTND01"/>
    <n v="2"/>
    <n v="8182769757"/>
    <x v="2"/>
    <n v="9081.52"/>
    <n v="2709.76"/>
    <n v="2724.46"/>
    <n v="14.7"/>
    <d v="2027-01-03T00:00:00"/>
  </r>
  <r>
    <x v="21"/>
    <s v="21/07/2026"/>
    <x v="6"/>
    <s v="LUIS RAMON VAZQUEZ HERNANDEZ "/>
    <m/>
    <s v="VAHL640604HDFZRS03"/>
    <n v="22915678"/>
    <n v="5212224226542"/>
    <x v="2"/>
    <n v="24037.94"/>
    <n v="6951.04"/>
    <n v="7211.38"/>
    <n v="260.33999999999997"/>
    <d v="2027-01-08T00:00:00"/>
  </r>
  <r>
    <x v="21"/>
    <s v="22/07/2026"/>
    <x v="32"/>
    <s v="ALBERTO QUINTANA CASTILLO"/>
    <n v="6796242409"/>
    <s v="QUCA630918HDFNSL00"/>
    <n v="2"/>
    <n v="5661451138"/>
    <x v="2"/>
    <n v="9081.52"/>
    <n v="2521.2800000000002"/>
    <n v="2724.46"/>
    <n v="203.18"/>
    <d v="2026-01-08T00:00:00"/>
  </r>
  <r>
    <x v="21"/>
    <s v="21/07/2026"/>
    <x v="6"/>
    <s v="MARIA LUISA GARCIA JUAREZ "/>
    <n v="49826123452"/>
    <s v="GAJL610708MTSRRS08"/>
    <n v="22898372"/>
    <n v="5218332881974"/>
    <x v="2"/>
    <n v="9760.2900000000009"/>
    <n v="2807.46"/>
    <n v="2928.09"/>
    <n v="120.63"/>
    <d v="2027-01-07T00:00:00"/>
  </r>
  <r>
    <x v="21"/>
    <s v="17/07/2026"/>
    <x v="17"/>
    <s v="Juan Jesus Yañez Calistro"/>
    <m/>
    <s v="YACJ600624HMCXLN02"/>
    <n v="22798148"/>
    <n v="5652364718"/>
    <x v="2"/>
    <n v="5617.63"/>
    <n v="1335.95"/>
    <n v="1685.29"/>
    <n v="108.7"/>
    <d v="2026-09-01T00:00:00"/>
  </r>
  <r>
    <x v="21"/>
    <s v="21/07/2026"/>
    <x v="29"/>
    <s v="MARIA DE LOS ANGELES DOMINGUEZ PECINA"/>
    <m/>
    <s v="DOPA580810MCLMCN00"/>
    <n v="22911594"/>
    <n v="5218713925140"/>
    <x v="2"/>
    <n v="4500.4399999999996"/>
    <n v="315.8"/>
    <n v="1350.13"/>
    <n v="11.66"/>
    <d v="2027-01-12T00:00:00"/>
  </r>
  <r>
    <x v="21"/>
    <s v="21/07/2026"/>
    <x v="28"/>
    <s v="JESUS ROJAS HURTADO"/>
    <n v="1795616323"/>
    <m/>
    <n v="22916274"/>
    <n v="5214426857520"/>
    <x v="2"/>
    <n v="10356.120000000001"/>
    <n v="2994.31"/>
    <n v="3106.84"/>
    <n v="112.53"/>
    <d v="2027-01-01T00:00:00"/>
  </r>
  <r>
    <x v="21"/>
    <s v="20/07/2026"/>
    <x v="17"/>
    <s v="Ma Jesus Campos Rios"/>
    <n v="12806311606"/>
    <s v="CARJ650506MGTMSS02"/>
    <n v="22849650"/>
    <n v="4721804739"/>
    <x v="2"/>
    <n v="7128.48"/>
    <n v="2060"/>
    <n v="2138.54"/>
    <n v="78.540000000000006"/>
    <d v="2027-01-04T00:00:00"/>
  </r>
  <r>
    <x v="21"/>
    <s v="22/07/2026"/>
    <x v="14"/>
    <s v="MARIA ELVIA FELIX CALDERON"/>
    <n v="31927637459"/>
    <m/>
    <n v="22982602"/>
    <n v="5217727496976"/>
    <x v="4"/>
    <m/>
    <m/>
    <n v="0"/>
    <n v="0"/>
    <m/>
  </r>
  <r>
    <x v="21"/>
    <s v="21/07/2026"/>
    <x v="6"/>
    <s v="MIGUEL SOTO CORONA"/>
    <n v="56917226153"/>
    <s v="SOCM720209HJCTRG03"/>
    <n v="22913532"/>
    <n v="5213316019601"/>
    <x v="6"/>
    <n v="12042.88"/>
    <n v="3333.97"/>
    <n v="3612.86"/>
    <n v="278.89"/>
    <d v="2026-01-02T00:00:00"/>
  </r>
  <r>
    <x v="21"/>
    <s v="21/07/2026"/>
    <x v="10"/>
    <s v="Abraham MIMIAGA Ramírez "/>
    <n v="42886502816"/>
    <s v="MIRA650103HCSMMB08 "/>
    <n v="22912148"/>
    <n v="5219652250557"/>
    <x v="2"/>
    <n v="10171.24"/>
    <n v="2942.78"/>
    <n v="3051.37"/>
    <n v="108.59"/>
    <d v="2028-01-01T00:00:00"/>
  </r>
  <r>
    <x v="21"/>
    <s v="22/07/2026"/>
    <x v="30"/>
    <s v="XAVIER VILLALOBOS LOPEZ"/>
    <n v="28917201734"/>
    <s v="VILJ720511HDFLPR09"/>
    <n v="22981700"/>
    <n v="5217131078138"/>
    <x v="2"/>
    <n v="14432.94"/>
    <n v="4174.7700000000004"/>
    <n v="4329.88"/>
    <n v="155.11000000000001"/>
    <d v="2027-01-12T00:00:00"/>
  </r>
  <r>
    <x v="21"/>
    <s v="22/07/2026"/>
    <x v="36"/>
    <s v="JUAN FLORES"/>
    <n v="43917446270"/>
    <m/>
    <n v="22989752"/>
    <n v="8184598427"/>
    <x v="6"/>
    <n v="8845.49"/>
    <n v="2354.46"/>
    <n v="2653.65"/>
    <n v="299.19"/>
    <d v="2026-01-06T00:00:00"/>
  </r>
  <r>
    <x v="21"/>
    <s v="22/07/2026"/>
    <x v="10"/>
    <s v="ALFONSO SILVESTRE CAMACHO"/>
    <m/>
    <s v="SICA690818HDGLML00"/>
    <n v="22980448"/>
    <n v="5214774515887"/>
    <x v="1"/>
    <n v="2140.6799999999998"/>
    <m/>
    <n v="642.20000000000005"/>
    <n v="0"/>
    <m/>
  </r>
  <r>
    <x v="21"/>
    <s v="21/07/2026"/>
    <x v="28"/>
    <s v="JOSE ROSARIO AVILA DEL RAYO"/>
    <n v="75947615938"/>
    <s v="AIRR760228HJCVYS08"/>
    <n v="22913056"/>
    <n v="22913056"/>
    <x v="2"/>
    <n v="9163.2800000000007"/>
    <n v="2567.84"/>
    <n v="2748.98"/>
    <n v="181.14"/>
    <d v="2027-01-06T00:00:00"/>
  </r>
  <r>
    <x v="21"/>
    <s v="21/07/2026"/>
    <x v="6"/>
    <s v="ROGELIO MARTINEZ LEOS"/>
    <n v="33816084462"/>
    <s v="MALR600113HCHRSG00"/>
    <n v="22914430"/>
    <n v="5216484696204"/>
    <x v="0"/>
    <n v="6760.29"/>
    <m/>
    <n v="2028.09"/>
    <n v="2028.09"/>
    <m/>
  </r>
  <r>
    <x v="21"/>
    <s v="21/07/2026"/>
    <x v="28"/>
    <s v="MARTIN LUNA RIOS"/>
    <m/>
    <s v="LURM690927HSPNSR04"/>
    <n v="22915666"/>
    <n v="5218451021428"/>
    <x v="2"/>
    <n v="6914.9"/>
    <n v="1917.09"/>
    <n v="2074.4699999999998"/>
    <n v="157.38"/>
    <d v="2026-12-01T00:00:00"/>
  </r>
  <r>
    <x v="21"/>
    <s v="22/07/2026"/>
    <x v="30"/>
    <s v="GUADALUPE URQUIDEZ CASTILLO"/>
    <n v="24664500014"/>
    <s v="UUCG721114MSRRSD08"/>
    <n v="22983614"/>
    <n v="5216624263230"/>
    <x v="2"/>
    <n v="24709.7"/>
    <n v="7131.44"/>
    <n v="7412.91"/>
    <n v="281.47000000000003"/>
    <d v="2027-01-01T00:00:00"/>
  </r>
  <r>
    <x v="21"/>
    <s v="22/07/2026"/>
    <x v="13"/>
    <s v="FRANCISCO JAVIER RODRIGUEZ PEREZ"/>
    <n v="3483640935"/>
    <s v="ROPF640615HZSDRR00"/>
    <n v="22948896"/>
    <n v="5213345741528"/>
    <x v="2"/>
    <n v="9081.52"/>
    <n v="2616.4499999999998"/>
    <n v="2724.46"/>
    <n v="108.01"/>
    <d v="2027-01-04T00:00:00"/>
  </r>
  <r>
    <x v="21"/>
    <s v="19/07/2026"/>
    <x v="19"/>
    <m/>
    <n v="42816292660"/>
    <s v="HEMF621007MDFRRL02"/>
    <n v="22838910"/>
    <n v="4191807821"/>
    <x v="2"/>
    <n v="8539.89"/>
    <n v="2560.27"/>
    <n v="2561.9699999999998"/>
    <n v="1.7"/>
    <d v="2027-01-04T00:00:00"/>
  </r>
  <r>
    <x v="21"/>
    <s v="17/07/2026"/>
    <x v="8"/>
    <s v="ELEAZAR DIAZ MAGAÑA"/>
    <m/>
    <s v="DIME590823HSRZGL10"/>
    <n v="22789878"/>
    <n v="5216449972289"/>
    <x v="3"/>
    <n v="22774.76"/>
    <n v="6290.82"/>
    <n v="6832.43"/>
    <n v="541.61"/>
    <d v="2026-01-10T00:00:00"/>
  </r>
  <r>
    <x v="21"/>
    <s v="22/07/2026"/>
    <x v="13"/>
    <s v="VICTOR DE LA ROSA RODRIGUEZ"/>
    <n v="49705414099"/>
    <s v="RORV540102HVZSDC03"/>
    <n v="22979852"/>
    <n v="5218334496373"/>
    <x v="1"/>
    <n v="3879.3"/>
    <m/>
    <n v="1163.79"/>
    <n v="0"/>
    <m/>
  </r>
  <r>
    <x v="21"/>
    <s v="22/07/2026"/>
    <x v="14"/>
    <s v="JUAN CARLOS GUEVARA VILLA"/>
    <m/>
    <s v="GUVJ600221HNLVLN07"/>
    <n v="22989322"/>
    <n v="5218113698739"/>
    <x v="2"/>
    <n v="5617.63"/>
    <n v="1439.79"/>
    <n v="1685.29"/>
    <n v="4.8600000000000003"/>
    <d v="2026-09-01T00:00:00"/>
  </r>
  <r>
    <x v="21"/>
    <s v="22/07/2026"/>
    <x v="30"/>
    <s v="IRMA DIONISIO BAUTISTA"/>
    <n v="16866702513"/>
    <s v="DIBI690608MDFNTR09"/>
    <n v="22981468"/>
    <n v="5217223398951"/>
    <x v="2"/>
    <n v="6608.86"/>
    <n v="1912.1"/>
    <n v="1982.66"/>
    <n v="70.56"/>
    <d v="2026-12-01T00:00:00"/>
  </r>
  <r>
    <x v="21"/>
    <s v="21/07/2026"/>
    <x v="28"/>
    <s v="AGAPITO VALENCIA RANGEL"/>
    <m/>
    <s v=" VARA490806HGTLNG08"/>
    <n v="22914406"/>
    <n v="5214621930059"/>
    <x v="1"/>
    <n v="3818.93"/>
    <n v="848"/>
    <n v="1145.68"/>
    <n v="-848"/>
    <m/>
  </r>
  <r>
    <x v="21"/>
    <s v="20/07/2026"/>
    <x v="10"/>
    <s v="JESUS ORTIZ ESPÍNOSA"/>
    <n v="43785721945"/>
    <s v="OIEJ570415HCLRSS06"/>
    <n v="22858164"/>
    <n v="5218186866763"/>
    <x v="1"/>
    <n v="4342.43"/>
    <m/>
    <n v="1302.73"/>
    <n v="169.45"/>
    <m/>
  </r>
  <r>
    <x v="21"/>
    <s v="22/07/2026"/>
    <x v="30"/>
    <s v="EDMUNDO ANGELES LOPEZ"/>
    <n v="1806267686"/>
    <s v="AELE621116HDFNPD04"/>
    <n v="22984056"/>
    <n v="5215533923323"/>
    <x v="2"/>
    <n v="7920.51"/>
    <n v="2299.61"/>
    <n v="2376.15"/>
    <n v="76.540000000000006"/>
    <d v="2028-01-03T00:00:00"/>
  </r>
  <r>
    <x v="21"/>
    <s v="21/07/2026"/>
    <x v="26"/>
    <s v="JESUS MANUEL BOJORQUEZ BUSTAMANTE"/>
    <m/>
    <s v="BOBJ650919HSRJSS02"/>
    <n v="22890220"/>
    <n v="5216671435765"/>
    <x v="0"/>
    <n v="9760.32"/>
    <n v="879"/>
    <n v="2928.1"/>
    <n v="2049.1"/>
    <m/>
  </r>
  <r>
    <x v="21"/>
    <s v="22/07/2026"/>
    <x v="38"/>
    <s v="JUAN PABLO"/>
    <n v="31675011006"/>
    <m/>
    <n v="22990596"/>
    <n v="6183645299"/>
    <x v="2"/>
    <n v="27653.7"/>
    <n v="8293.7900000000009"/>
    <n v="8296.11"/>
    <n v="2.3199999999999998"/>
    <d v="2027-01-02T00:00:00"/>
  </r>
  <r>
    <x v="21"/>
    <s v="21/07/2026"/>
    <x v="37"/>
    <s v="JORGE RODRIGUEZ DERAS"/>
    <n v="31816408053"/>
    <m/>
    <n v="22910076"/>
    <n v="5216751293874"/>
    <x v="2"/>
    <n v="9081.52"/>
    <n v="2514.25"/>
    <n v="2724.46"/>
    <n v="210.21"/>
    <d v="2026-11-01T00:00:00"/>
  </r>
  <r>
    <x v="21"/>
    <s v="21/07/2026"/>
    <x v="6"/>
    <s v="HORACIO ZAMORANO BUSTAMANTE "/>
    <n v="24826201766"/>
    <s v="ZABH620803HSRMSR09"/>
    <n v="22914072"/>
    <n v="5216462106725"/>
    <x v="2"/>
    <n v="7116.73"/>
    <n v="2134.98"/>
    <n v="2135.02"/>
    <n v="0.04"/>
    <d v="2027-01-02T00:00:00"/>
  </r>
  <r>
    <x v="21"/>
    <s v="21/07/2026"/>
    <x v="14"/>
    <s v="ARTURO RODRIGUEZ RESENDIZ"/>
    <n v="49805507933"/>
    <s v="RORA550313HTSDSR03"/>
    <n v="22914462"/>
    <n v="5218331287233"/>
    <x v="1"/>
    <n v="3882.85"/>
    <m/>
    <n v="1164.8599999999999"/>
    <n v="0"/>
    <m/>
  </r>
  <r>
    <x v="21"/>
    <s v="22/07/2026"/>
    <x v="14"/>
    <s v="IVAN DE JESUS VILLAVICENCIO MEZA"/>
    <m/>
    <s v="VIMI800802HBSLZV14"/>
    <n v="22917596"/>
    <n v="5216121560938"/>
    <x v="6"/>
    <n v="10975.67"/>
    <n v="3166.3"/>
    <n v="3292.7"/>
    <n v="126.4"/>
    <d v="2024-01-06T00:00:00"/>
  </r>
  <r>
    <x v="21"/>
    <s v="18/07/2026"/>
    <x v="28"/>
    <s v="MIGUEL AGUSTIN ALBA ROBLES"/>
    <n v="33765712881"/>
    <s v="AARM570707HCLLBG08"/>
    <n v="22812616"/>
    <n v="5216143237150"/>
    <x v="0"/>
    <n v="5977.6"/>
    <m/>
    <n v="1793.28"/>
    <n v="1793.28"/>
    <m/>
  </r>
  <r>
    <x v="21"/>
    <s v="22/07/2026"/>
    <x v="31"/>
    <s v="EZEQUIEL GONZALEZ OROZCO"/>
    <n v="54805938625"/>
    <s v="GOOE590925HJCNRZ00"/>
    <n v="2"/>
    <s v="33 3022 4016"/>
    <x v="2"/>
    <n v="5270.52"/>
    <n v="1058.47"/>
    <n v="1581.16"/>
    <n v="39.07"/>
    <d v="2027-01-06T00:00:00"/>
  </r>
  <r>
    <x v="21"/>
    <s v="21/07/2026"/>
    <x v="26"/>
    <s v="VICTOR MANUEL PEREZ CARBALLO"/>
    <n v="67776010547"/>
    <s v="PECV600128HVZRRC01"/>
    <n v="22913774"/>
    <n v="5216563373567"/>
    <x v="6"/>
    <n v="7116.73"/>
    <n v="1886.64"/>
    <n v="2135.02"/>
    <n v="248.38"/>
    <d v="2025-01-02T00:00:00"/>
  </r>
  <r>
    <x v="21"/>
    <s v="22/07/2026"/>
    <x v="36"/>
    <s v="Enrique Aranda Ontiveros"/>
    <m/>
    <s v="AAOE680725HGTRNN01"/>
    <n v="22992166"/>
    <n v="4773546661"/>
    <x v="0"/>
    <n v="9936.06"/>
    <m/>
    <n v="2980.82"/>
    <n v="2980.82"/>
    <m/>
  </r>
  <r>
    <x v="21"/>
    <s v="21/07/2026"/>
    <x v="37"/>
    <s v="RODRIGO GUZMAN GARCIA"/>
    <m/>
    <s v="GUGR641016HVZZRD00"/>
    <n v="22907908"/>
    <n v="5218331885922"/>
    <x v="0"/>
    <n v="9081.52"/>
    <m/>
    <n v="2724.46"/>
    <n v="2724.46"/>
    <m/>
  </r>
  <r>
    <x v="21"/>
    <s v="22/07/2026"/>
    <x v="13"/>
    <s v="JOSE SERGIO AVILA DE SANTIAGO"/>
    <n v="31775503431"/>
    <s v="AISS550215HDGVNR04"/>
    <n v="22916582"/>
    <n v="5218721255734"/>
    <x v="0"/>
    <n v="9689.1"/>
    <m/>
    <n v="2906.73"/>
    <n v="2906.73"/>
    <m/>
  </r>
  <r>
    <x v="21"/>
    <s v="22/07/2026"/>
    <x v="27"/>
    <s v="ADELA PEREZ MARTINEZ"/>
    <m/>
    <s v="PEMA580921MTSRRD09"/>
    <n v="22992844"/>
    <n v="5218999593947"/>
    <x v="3"/>
    <n v="4624"/>
    <m/>
    <n v="1387.2"/>
    <n v="451.02"/>
    <m/>
  </r>
  <r>
    <x v="21"/>
    <s v="21/07/2026"/>
    <x v="26"/>
    <s v="MANUEL ANGEL MURILLO TALAMANTES"/>
    <n v="50967819165"/>
    <s v="MUTM780806HCHRLN08"/>
    <n v="22914442"/>
    <n v="5216272791080"/>
    <x v="1"/>
    <n v="2328.0300000000002"/>
    <n v="582"/>
    <n v="698.41"/>
    <n v="-582"/>
    <m/>
  </r>
  <r>
    <x v="21"/>
    <s v="22/07/2026"/>
    <x v="32"/>
    <m/>
    <n v="19816423719"/>
    <s v="HEBO640115HDFRRS07"/>
    <n v="2"/>
    <n v="5578875194"/>
    <x v="2"/>
    <n v="9760.32"/>
    <n v="2820.1"/>
    <n v="2928.1"/>
    <n v="108"/>
    <d v="2027-01-06T00:00:00"/>
  </r>
  <r>
    <x v="21"/>
    <s v="21/07/2026"/>
    <x v="37"/>
    <s v="GERARDO CONTRERAS FLORES"/>
    <m/>
    <s v="COLG610308HSPNPR03"/>
    <n v="22901126"/>
    <n v="5218443810860"/>
    <x v="0"/>
    <n v="6262.86"/>
    <m/>
    <n v="1878.86"/>
    <n v="1878.86"/>
    <m/>
  </r>
  <r>
    <x v="21"/>
    <s v="22/07/2026"/>
    <x v="18"/>
    <m/>
    <n v="60887077091"/>
    <m/>
    <n v="1"/>
    <n v="8444930641"/>
    <x v="8"/>
    <n v="684.05"/>
    <m/>
    <n v="205.22"/>
    <n v="0"/>
    <m/>
  </r>
  <r>
    <x v="21"/>
    <s v="21/07/2026"/>
    <x v="36"/>
    <s v="VICTOR MANUEL BORJA MACIAS"/>
    <m/>
    <s v="BOMV580325HDFRCC02"/>
    <n v="22910634"/>
    <n v="5613541072"/>
    <x v="2"/>
    <n v="7486.4"/>
    <n v="2165"/>
    <n v="2245.92"/>
    <n v="80.92"/>
    <d v="2027-01-04T00:00:00"/>
  </r>
  <r>
    <x v="21"/>
    <s v="22/07/2026"/>
    <x v="31"/>
    <s v="PEDRO VENEGAS CRUZ"/>
    <n v="7836502935"/>
    <s v="VECP650105HDFNRD06"/>
    <n v="2"/>
    <s v="55 6410 1091"/>
    <x v="2"/>
    <n v="10171.24"/>
    <n v="3050.84"/>
    <n v="3051.37"/>
    <n v="0.53"/>
    <d v="2027-01-07T00:00:00"/>
  </r>
  <r>
    <x v="21"/>
    <s v="22/07/2026"/>
    <x v="31"/>
    <s v="CARLOS ERNESTO ANG RODRIGUEZ"/>
    <n v="64826334217"/>
    <s v="AXRC631107HDFNDR07"/>
    <n v="2"/>
    <s v=" 722 513 4498"/>
    <x v="2"/>
    <n v="7920.51"/>
    <n v="2376.0300000000002"/>
    <n v="2376.15"/>
    <n v="0.12"/>
    <d v="2028-01-06T00:00:00"/>
  </r>
  <r>
    <x v="21"/>
    <s v="22/07/2026"/>
    <x v="38"/>
    <s v="RODRIGO SORIA GARCIA"/>
    <n v="14846405828"/>
    <m/>
    <n v="22991608"/>
    <n v="4425355276"/>
    <x v="2"/>
    <n v="38530.879999999997"/>
    <n v="11558.55"/>
    <n v="11559.26"/>
    <n v="0.71"/>
    <d v="2028-01-02T00:00:00"/>
  </r>
  <r>
    <x v="21"/>
    <s v="20/07/2026"/>
    <x v="26"/>
    <s v="ABRAHAM MEJIA BRAVO"/>
    <m/>
    <s v="MEBA620428HDFJRB07"/>
    <n v="22878326"/>
    <n v="5216361177224"/>
    <x v="0"/>
    <n v="49190.91"/>
    <n v="4187.6499999999996"/>
    <n v="14757.27"/>
    <n v="10569.62"/>
    <d v="2024-01-08T00:00:00"/>
  </r>
  <r>
    <x v="21"/>
    <s v="21/07/2026"/>
    <x v="6"/>
    <s v="JOSE AGUSTIN ROA MARTINEZ "/>
    <n v="1715096069"/>
    <s v="ROMA500318HDFXRG07"/>
    <n v="22898930"/>
    <n v="5215571463006"/>
    <x v="2"/>
    <n v="7116.73"/>
    <n v="2134.9899999999998"/>
    <n v="2135.02"/>
    <n v="0.03"/>
    <d v="2027-01-09T00:00:00"/>
  </r>
  <r>
    <x v="21"/>
    <s v="22/07/2026"/>
    <x v="36"/>
    <s v="LORETO REYES GUTIERREZ"/>
    <m/>
    <s v="REGL641210MSLYTR03"/>
    <n v="22996782"/>
    <n v="6691586116"/>
    <x v="2"/>
    <n v="8793.09"/>
    <n v="2544.0500000000002"/>
    <n v="2637.93"/>
    <n v="93.88"/>
    <d v="2027-01-11T00:00:00"/>
  </r>
  <r>
    <x v="21"/>
    <s v="21/07/2026"/>
    <x v="8"/>
    <s v="CELIA JIMENEZ FLORES"/>
    <n v="13796117557"/>
    <m/>
    <n v="22910086"/>
    <n v="5217717733802"/>
    <x v="0"/>
    <n v="26898.17"/>
    <m/>
    <n v="8069.45"/>
    <n v="8069.45"/>
    <m/>
  </r>
  <r>
    <x v="21"/>
    <s v="22/07/2026"/>
    <x v="35"/>
    <s v="JUAN DIEGO TRINIDAD DELGADO"/>
    <m/>
    <s v="TIDJ640504HVZRLN05"/>
    <n v="22997024"/>
    <n v="2971191012"/>
    <x v="2"/>
    <n v="9081.52"/>
    <n v="2626.95"/>
    <n v="2724.46"/>
    <n v="97.51"/>
    <d v="2026-09-01T00:00:00"/>
  </r>
  <r>
    <x v="21"/>
    <s v="22/07/2026"/>
    <x v="10"/>
    <s v="Emma Sandoval Labra "/>
    <n v="11896826440"/>
    <s v="SALE640417MDFNBM07"/>
    <n v="22992746"/>
    <n v="5215518226715"/>
    <x v="7"/>
    <n v="4385.66"/>
    <n v="494.12"/>
    <n v="1315.7"/>
    <n v="-281.44"/>
    <d v="2024-01-04T00:00:00"/>
  </r>
  <r>
    <x v="21"/>
    <s v="22/07/2026"/>
    <x v="38"/>
    <s v="JOSE LUIS HERRERA RUIZ"/>
    <n v="32786114127"/>
    <s v="HERL610621HCLRZS04"/>
    <n v="22996982"/>
    <n v="8621246725"/>
    <x v="9"/>
    <n v="7640.52"/>
    <n v="2210.59"/>
    <n v="2292.16"/>
    <n v="81.569999999999993"/>
    <d v="2024-01-04T00:00:00"/>
  </r>
  <r>
    <x v="21"/>
    <s v="21/07/2026"/>
    <x v="26"/>
    <s v="VERONICA DEL VALLE NARVAEZ"/>
    <n v="11644702265"/>
    <s v="VANV730715MVZLRR00"/>
    <n v="22895570"/>
    <n v="5216646134518"/>
    <x v="2"/>
    <n v="5636.59"/>
    <n v="1690.32"/>
    <n v="1690.98"/>
    <n v="-226.71"/>
    <d v="2028-01-06T00:00:00"/>
  </r>
  <r>
    <x v="21"/>
    <s v="22/07/2026"/>
    <x v="20"/>
    <s v="NELVA"/>
    <m/>
    <s v="PESN890110MOCRNL07"/>
    <n v="22997580"/>
    <n v="5219518844272"/>
    <x v="5"/>
    <m/>
    <m/>
    <n v="0"/>
    <n v="0"/>
    <m/>
  </r>
  <r>
    <x v="21"/>
    <s v="21/07/2026"/>
    <x v="26"/>
    <s v="JOSE ISMAEL CETZ PALMA"/>
    <n v="84937549529"/>
    <s v="CEPI751106HYNTLS00"/>
    <n v="22915178"/>
    <n v="5219834517075"/>
    <x v="1"/>
    <n v="3783.67"/>
    <m/>
    <n v="1135.0999999999999"/>
    <n v="0"/>
    <m/>
  </r>
  <r>
    <x v="21"/>
    <s v="21/07/2026"/>
    <x v="23"/>
    <s v="CARLOS ALBERTO FIERRO GAYTAN"/>
    <n v="23806024115"/>
    <s v="FIGC601121HSLRYR03"/>
    <n v="22913510"/>
    <n v="5216682330384"/>
    <x v="0"/>
    <n v="9129.5"/>
    <m/>
    <n v="2738.85"/>
    <n v="2738.85"/>
    <m/>
  </r>
  <r>
    <x v="21"/>
    <s v="22/07/2026"/>
    <x v="35"/>
    <s v="ROSA MARLENE VILLANUEVA SANTOS"/>
    <m/>
    <s v="VISR610906MYNLNS01"/>
    <n v="22998206"/>
    <n v="5527231431"/>
    <x v="0"/>
    <n v="12927.82"/>
    <m/>
    <n v="3878.35"/>
    <n v="3878.35"/>
    <m/>
  </r>
  <r>
    <x v="21"/>
    <s v="22/07/2026"/>
    <x v="30"/>
    <s v="ELITANIA CRUZ ROSAS"/>
    <n v="5387707507"/>
    <s v="CURE700421MMNRSL01"/>
    <n v="22983896"/>
    <n v="5217861318796"/>
    <x v="5"/>
    <m/>
    <m/>
    <n v="0"/>
    <n v="0"/>
    <m/>
  </r>
  <r>
    <x v="21"/>
    <s v="22/07/2026"/>
    <x v="26"/>
    <s v="MARGARITA CERVANTES"/>
    <n v="17836407860"/>
    <s v="CEXM640705MDFRXR07"/>
    <n v="22989948"/>
    <n v="5215572948312"/>
    <x v="4"/>
    <m/>
    <m/>
    <n v="0"/>
    <n v="0"/>
    <m/>
  </r>
  <r>
    <x v="21"/>
    <s v="22/07/2026"/>
    <x v="31"/>
    <s v="JOSE ENRIQUE FERNANDEZ PALOMO"/>
    <n v="81867003790"/>
    <s v="FEPE710107HDFRLN01"/>
    <n v="2"/>
    <s v="56 1869 7621"/>
    <x v="2"/>
    <n v="12370.11"/>
    <n v="3711"/>
    <n v="3711.03"/>
    <n v="0.03"/>
    <d v="2028-01-05T00:00:00"/>
  </r>
  <r>
    <x v="21"/>
    <s v="22/07/2026"/>
    <x v="39"/>
    <s v="Jesus Garcia Vazquez"/>
    <m/>
    <s v="GAVJ640701HNTRZS05"/>
    <n v="22996646"/>
    <n v="8448067943"/>
    <x v="2"/>
    <n v="9081.52"/>
    <n v="2518.2800000000002"/>
    <n v="2724.46"/>
    <n v="206.18"/>
    <d v="2026-12-01T00:00:00"/>
  </r>
  <r>
    <x v="21"/>
    <s v="22/07/2026"/>
    <x v="38"/>
    <s v="MARINA ISABEL ROMAN CARREÑO"/>
    <n v="62816405072"/>
    <s v="ROCM710805MPLMRR05"/>
    <n v="22992836"/>
    <n v="2383055020"/>
    <x v="3"/>
    <n v="4569.28"/>
    <m/>
    <n v="1370.78"/>
    <n v="396.3"/>
    <m/>
  </r>
  <r>
    <x v="21"/>
    <s v="21/07/2026"/>
    <x v="23"/>
    <s v="BARBARA MEJIA RUIZ"/>
    <n v="1755846126"/>
    <s v="MERB581204MDFJZR09"/>
    <n v="22912228"/>
    <n v="5215578350305"/>
    <x v="2"/>
    <n v="16493.53"/>
    <n v="4921.83"/>
    <n v="4948.0600000000004"/>
    <n v="26.23"/>
    <d v="2028-01-02T00:00:00"/>
  </r>
  <r>
    <x v="21"/>
    <s v="22/07/2026"/>
    <x v="26"/>
    <s v="JOSE MARTIN GONZALEZ CHOY"/>
    <n v="1796334793"/>
    <s v="GOCM630227HDFNHR03"/>
    <n v="22981644"/>
    <n v="5214611721784"/>
    <x v="0"/>
    <n v="24861.02"/>
    <m/>
    <n v="7458.31"/>
    <n v="7458.31"/>
    <m/>
  </r>
  <r>
    <x v="21"/>
    <s v="22/07/2026"/>
    <x v="14"/>
    <s v="LUZ ALBERTO MARTINEZ IBARRA"/>
    <m/>
    <s v="MAIL750501HNLRBZ09"/>
    <n v="22984046"/>
    <n v="5218771181666"/>
    <x v="7"/>
    <n v="5642.22"/>
    <n v="984.26"/>
    <n v="1692.67"/>
    <n v="484.98"/>
    <d v="2026-01-05T00:00:00"/>
  </r>
  <r>
    <x v="21"/>
    <s v="22/07/2026"/>
    <x v="31"/>
    <s v="JORGE ANTONIO HERRERA MARTINEZ"/>
    <n v="53755738225"/>
    <s v="HEMJ570809HOCRRR00"/>
    <n v="2"/>
    <s v="342 107 5262"/>
    <x v="2"/>
    <n v="4813.6899999999996"/>
    <n v="592"/>
    <n v="1444.11"/>
    <n v="48.71"/>
    <d v="2026-01-08T00:00:00"/>
  </r>
  <r>
    <x v="21"/>
    <s v="22/07/2026"/>
    <x v="10"/>
    <s v="Fidel Garcia Hernandez"/>
    <n v="1714430954"/>
    <s v="GAHF440424HPLRRD02"/>
    <n v="22989980"/>
    <n v="5215614623700"/>
    <x v="1"/>
    <n v="3941.18"/>
    <m/>
    <n v="1182.3499999999999"/>
    <n v="0"/>
    <m/>
  </r>
  <r>
    <x v="21"/>
    <s v="22/07/2026"/>
    <x v="14"/>
    <s v="NICACIO MARTINEZ GARCIA"/>
    <m/>
    <s v="MAGN651011HPLRRC01"/>
    <n v="22988598"/>
    <n v="5215514237673"/>
    <x v="2"/>
    <n v="9760.32"/>
    <n v="2928.1"/>
    <n v="2928.1"/>
    <n v="0"/>
    <d v="2028-01-02T00:00:00"/>
  </r>
  <r>
    <x v="21"/>
    <s v="22/07/2026"/>
    <x v="26"/>
    <s v="SALVADOR LARA RAMIREZ"/>
    <n v="1604404366"/>
    <s v="LARS440403HDFRML02"/>
    <n v="22987918"/>
    <n v="5215585706018"/>
    <x v="0"/>
    <n v="33284.92"/>
    <n v="7651"/>
    <n v="9985.48"/>
    <n v="2334.48"/>
    <d v="2028-01-07T00:00:00"/>
  </r>
  <r>
    <x v="21"/>
    <s v="22/07/2026"/>
    <x v="32"/>
    <s v="ARTURO RODRIGUEZ RESENDIZ"/>
    <n v="49805507933"/>
    <s v="RORA550313HTSDSR03"/>
    <n v="2"/>
    <n v="8331287233"/>
    <x v="1"/>
    <n v="3882.85"/>
    <m/>
    <n v="1164.8599999999999"/>
    <n v="0"/>
    <m/>
  </r>
  <r>
    <x v="21"/>
    <s v="22/07/2026"/>
    <x v="37"/>
    <s v="ANTONIO MONTIEL PARRA"/>
    <n v="11765819971"/>
    <m/>
    <n v="22998616"/>
    <n v="5215625097276"/>
    <x v="6"/>
    <n v="10354.11"/>
    <n v="2993.11"/>
    <n v="3106.23"/>
    <n v="113.12"/>
    <d v="2026-01-03T00:00:00"/>
  </r>
  <r>
    <x v="21"/>
    <s v="22/07/2026"/>
    <x v="6"/>
    <s v="MANUEL HUIZAR FAJARDO"/>
    <n v="34926570721"/>
    <s v="HUFM650708HZSZJN02"/>
    <n v="22992656"/>
    <n v="5214931486709"/>
    <x v="0"/>
    <n v="9760.32"/>
    <n v="848"/>
    <n v="2928.1"/>
    <n v="2080.1"/>
    <m/>
  </r>
  <r>
    <x v="21"/>
    <s v="22/07/2026"/>
    <x v="31"/>
    <s v="ANITA BENITEZ CONTRERAS"/>
    <n v="1775438599"/>
    <s v="BECA531114MPLNNN04"/>
    <n v="2"/>
    <s v="272 102 9322"/>
    <x v="1"/>
    <n v="3584.39"/>
    <n v="848"/>
    <n v="1075.32"/>
    <n v="-848"/>
    <m/>
  </r>
  <r>
    <x v="21"/>
    <s v="22/07/2026"/>
    <x v="26"/>
    <s v="FRANCISCO RUBEN HERNANDEZ FELIX"/>
    <n v="24836321406"/>
    <s v="HEFF631116HSRRLR06"/>
    <n v="22988866"/>
    <n v="5216624255102"/>
    <x v="0"/>
    <n v="9760.32"/>
    <m/>
    <n v="2928.1"/>
    <n v="2928.1"/>
    <m/>
  </r>
  <r>
    <x v="21"/>
    <s v="22/07/2026"/>
    <x v="39"/>
    <s v="Pedro Reyna Sandoval"/>
    <m/>
    <s v="RESP640628HTSYND04"/>
    <n v="22998012"/>
    <n v="8281490308"/>
    <x v="0"/>
    <n v="10636.54"/>
    <m/>
    <n v="3190.96"/>
    <n v="3190.96"/>
    <m/>
  </r>
  <r>
    <x v="21"/>
    <s v="22/07/2026"/>
    <x v="38"/>
    <s v="ERNESTO LEON GONZALEZ"/>
    <m/>
    <s v="LEGE640413HPLNNR06"/>
    <n v="22992156"/>
    <n v="2221529517"/>
    <x v="3"/>
    <n v="28528.28"/>
    <n v="7913.67"/>
    <n v="8558.48"/>
    <n v="644.80999999999995"/>
    <d v="2026-01-10T00:00:00"/>
  </r>
  <r>
    <x v="21"/>
    <s v="22/07/2026"/>
    <x v="35"/>
    <s v="EMILIO GUILLERMO ROBLEDO TORRES"/>
    <m/>
    <s v="ROTE580522HDFBRM04"/>
    <n v="22998782"/>
    <n v="4421287553"/>
    <x v="2"/>
    <n v="5024.04"/>
    <n v="817.44"/>
    <n v="1507.21"/>
    <n v="33.619999999999997"/>
    <d v="2027-01-08T00:00:00"/>
  </r>
  <r>
    <x v="21"/>
    <s v="22/07/2026"/>
    <x v="26"/>
    <s v="JOSE GUSTAVO LASCARRO VILLAFUERTE"/>
    <n v="11715114010"/>
    <s v="LAVG511210HDFSLS00"/>
    <n v="22989190"/>
    <n v="5215539014178"/>
    <x v="1"/>
    <n v="4400.8100000000004"/>
    <n v="200"/>
    <n v="1320.24"/>
    <n v="27.83"/>
    <d v="2025-01-05T00:00:00"/>
  </r>
  <r>
    <x v="21"/>
    <s v="22/07/2026"/>
    <x v="39"/>
    <s v="Jesus Cobos Tovar"/>
    <m/>
    <s v="COTJ570807HTSBVS02"/>
    <n v="22997450"/>
    <n v="22997450"/>
    <x v="0"/>
    <n v="42991.51"/>
    <m/>
    <n v="12897.45"/>
    <n v="12897.45"/>
    <m/>
  </r>
  <r>
    <x v="21"/>
    <s v="21/07/2026"/>
    <x v="23"/>
    <s v="Sergio"/>
    <n v="4806228211"/>
    <m/>
    <n v="22900572"/>
    <n v="5213921212695"/>
    <x v="2"/>
    <n v="7116.73"/>
    <n v="2058.9699999999998"/>
    <n v="2135.02"/>
    <n v="76.05"/>
    <d v="2026-09-01T00:00:00"/>
  </r>
  <r>
    <x v="21"/>
    <s v="22/07/2026"/>
    <x v="32"/>
    <s v="HIGINIO GONZALO MOYEDA MORALES"/>
    <n v="43846036085"/>
    <s v="MOMH600111HNLYRG00"/>
    <n v="2"/>
    <n v="8731038875"/>
    <x v="6"/>
    <n v="5776.61"/>
    <n v="1417.87"/>
    <n v="1732.98"/>
    <n v="185.76"/>
    <d v="2025-01-09T00:00:00"/>
  </r>
  <r>
    <x v="21"/>
    <s v="17/07/2026"/>
    <x v="26"/>
    <s v="MA. CRISTINA CERVANTES CERVANTES"/>
    <n v="53816227531"/>
    <s v="CECC621025MMNRRR03"/>
    <n v="22803458"/>
    <n v="5213511501624"/>
    <x v="2"/>
    <n v="7116.73"/>
    <n v="2127.86"/>
    <n v="2135.02"/>
    <n v="7.16"/>
    <d v="2027-01-03T00:00:00"/>
  </r>
  <r>
    <x v="21"/>
    <s v="22/07/2026"/>
    <x v="20"/>
    <s v="MARIO"/>
    <n v="43786242983"/>
    <m/>
    <n v="22996844"/>
    <n v="5218116151210"/>
    <x v="0"/>
    <n v="23357.439999999999"/>
    <n v="848"/>
    <n v="7007.23"/>
    <n v="6159.23"/>
    <m/>
  </r>
  <r>
    <x v="21"/>
    <s v="22/07/2026"/>
    <x v="31"/>
    <s v="LUIS CARLOS MORALES VILLARREAL"/>
    <n v="3806228247"/>
    <s v="MOVL621209HDFRLS09"/>
    <n v="2"/>
    <s v="81 1543 9489"/>
    <x v="2"/>
    <n v="18766.060000000001"/>
    <n v="5413.02"/>
    <n v="5629.82"/>
    <n v="216.8"/>
    <d v="2027-01-10T00:00:00"/>
  </r>
  <r>
    <x v="21"/>
    <s v="22/07/2026"/>
    <x v="39"/>
    <s v="Carlos Alberto Hammin del Alto"/>
    <m/>
    <s v="HAAC510910HDFMLR07"/>
    <n v="22998492"/>
    <n v="5621910977"/>
    <x v="0"/>
    <n v="9760.32"/>
    <m/>
    <n v="2928.1"/>
    <n v="2928.1"/>
    <m/>
  </r>
  <r>
    <x v="21"/>
    <s v="22/07/2026"/>
    <x v="29"/>
    <s v="MARIA MAGDALENO SANCHEZ"/>
    <n v="67927028679"/>
    <s v="MASM711208MOCGNT08"/>
    <n v="22999188"/>
    <n v="5212741014771"/>
    <x v="1"/>
    <n v="3479.63"/>
    <n v="848"/>
    <n v="1043.8900000000001"/>
    <n v="-848"/>
    <m/>
  </r>
  <r>
    <x v="21"/>
    <s v="22/07/2026"/>
    <x v="36"/>
    <s v="CLARA ANGELICA AGUILAR  ASCENCIO"/>
    <m/>
    <s v="AUAC641217MDFGSL04"/>
    <n v="22997170"/>
    <n v="8130785914"/>
    <x v="2"/>
    <n v="10881.55"/>
    <n v="3264.47"/>
    <n v="3264.47"/>
    <n v="-0.01"/>
    <d v="2028-01-04T00:00:00"/>
  </r>
  <r>
    <x v="21"/>
    <s v="22/07/2026"/>
    <x v="39"/>
    <s v="Martin Baeza Corzo"/>
    <n v="83816429027"/>
    <m/>
    <n v="22999276"/>
    <n v="9933118909"/>
    <x v="4"/>
    <m/>
    <m/>
    <n v="0"/>
    <n v="0"/>
    <m/>
  </r>
  <r>
    <x v="21"/>
    <s v="21/07/2026"/>
    <x v="0"/>
    <s v="JESUS"/>
    <n v="33846727296"/>
    <m/>
    <n v="22904170"/>
    <n v="5216561252732"/>
    <x v="1"/>
    <n v="2134.73"/>
    <n v="514"/>
    <n v="640.41999999999996"/>
    <n v="-514"/>
    <m/>
  </r>
  <r>
    <x v="21"/>
    <s v="22/07/2026"/>
    <x v="38"/>
    <s v="GUILLERMO REYES ANOTA"/>
    <m/>
    <s v="REAG580519HOCYNL05"/>
    <n v="22995670"/>
    <n v="9721210863"/>
    <x v="2"/>
    <n v="14992.92"/>
    <n v="4336.5600000000004"/>
    <n v="4497.88"/>
    <n v="161.32"/>
    <d v="2027-01-02T00:00:00"/>
  </r>
  <r>
    <x v="21"/>
    <s v="22/07/2026"/>
    <x v="30"/>
    <s v="VICTOR VEGA NOEGGERATH"/>
    <m/>
    <s v="VENV570212HHGGGC06"/>
    <n v="22985118"/>
    <n v="5217716838622"/>
    <x v="2"/>
    <n v="37967.57"/>
    <n v="11389.08"/>
    <n v="11390.27"/>
    <n v="1.19"/>
    <d v="2027-01-02T00:00:00"/>
  </r>
  <r>
    <x v="21"/>
    <s v="22/07/2026"/>
    <x v="31"/>
    <s v="GERARDO RUIZ MALDONADO"/>
    <n v="13795500266"/>
    <s v="RUMG551113HMCZLR02"/>
    <n v="2"/>
    <s v="55 5181 9665"/>
    <x v="2"/>
    <n v="9760.32"/>
    <n v="2823.89"/>
    <n v="2928.1"/>
    <n v="104.21"/>
    <d v="2027-01-12T00:00:00"/>
  </r>
  <r>
    <x v="21"/>
    <s v="22/07/2026"/>
    <x v="35"/>
    <s v="LAURA NELLY LOZANO CAVAZOS"/>
    <m/>
    <s v="LOCL611019MNLZVR05"/>
    <n v="22997256"/>
    <n v="8112448003"/>
    <x v="2"/>
    <n v="6769.83"/>
    <n v="1955.18"/>
    <n v="2030.95"/>
    <n v="75.77"/>
    <d v="2027-01-02T00:00:00"/>
  </r>
  <r>
    <x v="21"/>
    <s v="22/07/2026"/>
    <x v="31"/>
    <s v="JOSE ANGEL FRAGOSO ALVAREZ"/>
    <n v="32806278985"/>
    <s v="FAAA620802HCLRLN05"/>
    <n v="2"/>
    <s v="844 499 4568"/>
    <x v="2"/>
    <n v="7920.51"/>
    <n v="2282.86"/>
    <n v="2376.15"/>
    <n v="93.29"/>
    <d v="2028-01-01T00:00:00"/>
  </r>
  <r>
    <x v="21"/>
    <s v="22/07/2026"/>
    <x v="13"/>
    <s v="MANUEL ROMERO MENDEZ"/>
    <n v="51826112339"/>
    <s v="ROMM610522HASMNN08"/>
    <n v="22991228"/>
    <n v="5214491195676"/>
    <x v="7"/>
    <n v="6262.86"/>
    <n v="1732.17"/>
    <n v="1878.86"/>
    <n v="146.69"/>
    <d v="2025-01-07T00:00:00"/>
  </r>
  <r>
    <x v="21"/>
    <s v="22/07/2026"/>
    <x v="18"/>
    <s v="OLIVIA ÁVILA MORENO "/>
    <n v="32806306984"/>
    <m/>
    <n v="1"/>
    <n v="8711008810"/>
    <x v="9"/>
    <n v="18240.84"/>
    <n v="5470.25"/>
    <n v="5472.25"/>
    <n v="2"/>
    <d v="2026-01-03T00:00:00"/>
  </r>
  <r>
    <x v="21"/>
    <s v="22/07/2026"/>
    <x v="36"/>
    <s v="BELLO FLORES MARTHA PATRICIA"/>
    <m/>
    <s v="BEFM680914MDFLLR01"/>
    <n v="23000224"/>
    <n v="5513660673"/>
    <x v="1"/>
    <n v="3485.91"/>
    <m/>
    <n v="1045.77"/>
    <n v="0"/>
    <m/>
  </r>
  <r>
    <x v="21"/>
    <s v="22/07/2026"/>
    <x v="39"/>
    <s v="Herminio Cruz reyes"/>
    <n v="67836361344"/>
    <s v="CURH630426HVZRYR03"/>
    <n v="23000164"/>
    <n v="9221955192"/>
    <x v="2"/>
    <n v="7920.51"/>
    <n v="2374.98"/>
    <n v="2376.15"/>
    <n v="1.17"/>
    <d v="2028-01-04T00:00:00"/>
  </r>
  <r>
    <x v="21"/>
    <s v="14/07/2026"/>
    <x v="28"/>
    <s v="CELIA GARCIA LOPEZ"/>
    <n v="24846617991"/>
    <s v="GALC660606MSRRPL00"/>
    <n v="22709250"/>
    <n v="5216624100913"/>
    <x v="5"/>
    <m/>
    <m/>
    <n v="0"/>
    <n v="0"/>
    <m/>
  </r>
  <r>
    <x v="21"/>
    <s v="22/07/2026"/>
    <x v="13"/>
    <s v="MELQUIADES JUAREZ GARCIA"/>
    <n v="43836554659"/>
    <s v="JUGM651210HSPRRL02"/>
    <n v="22993670"/>
    <n v="5218114988123"/>
    <x v="2"/>
    <n v="9760.32"/>
    <n v="2823.87"/>
    <n v="2928.1"/>
    <n v="104.23"/>
    <m/>
  </r>
  <r>
    <x v="21"/>
    <s v="22/07/2026"/>
    <x v="26"/>
    <s v="JUAN REYES LENDIZABAL"/>
    <n v="16856443094"/>
    <s v="RELJ640601HMCYNN08"/>
    <n v="22991622"/>
    <n v="5217131204737"/>
    <x v="3"/>
    <n v="38121.129999999997"/>
    <n v="11029.35"/>
    <n v="11436.34"/>
    <n v="406.99"/>
    <d v="2026-01-12T00:00:00"/>
  </r>
  <r>
    <x v="21"/>
    <s v="22/07/2026"/>
    <x v="26"/>
    <s v="JOSE RAMON MARTIN GOMEZ RAMIREZ "/>
    <m/>
    <s v="GORR651101HDFMMM07"/>
    <n v="22990682"/>
    <n v="5215643316071"/>
    <x v="2"/>
    <n v="11088.51"/>
    <n v="3326.55"/>
    <n v="3326.55"/>
    <n v="0"/>
    <d v="2027-01-08T00:00:00"/>
  </r>
  <r>
    <x v="21"/>
    <s v="22/07/2026"/>
    <x v="26"/>
    <s v="ANA MARIA VAZQUEZ CARVAJAL"/>
    <n v="23876826217"/>
    <s v="VXCA660723MSLZRN02"/>
    <n v="22992728"/>
    <n v="5216731417828"/>
    <x v="1"/>
    <n v="3635.51"/>
    <n v="879"/>
    <n v="1090.6500000000001"/>
    <n v="-879"/>
    <m/>
  </r>
  <r>
    <x v="21"/>
    <s v="22/07/2026"/>
    <x v="40"/>
    <s v=" Filiberto Hernández Cervantes"/>
    <n v="33885803958"/>
    <m/>
    <n v="23000166"/>
    <n v="5216568252857"/>
    <x v="3"/>
    <n v="7116.73"/>
    <n v="1297.9100000000001"/>
    <n v="2135.02"/>
    <n v="837.11"/>
    <d v="2026-01-05T00:00:00"/>
  </r>
  <r>
    <x v="21"/>
    <s v="22/07/2026"/>
    <x v="41"/>
    <s v="YOLANDA PATRICIA ALVAREZ RODRIGUEZ"/>
    <n v="43877400192"/>
    <s v="AARY761118MNLLDL03"/>
    <n v="23000952"/>
    <n v="5218110398970"/>
    <x v="1"/>
    <n v="3437.04"/>
    <n v="848"/>
    <n v="1031.1099999999999"/>
    <n v="-848"/>
    <m/>
  </r>
  <r>
    <x v="21"/>
    <s v="22/07/2026"/>
    <x v="31"/>
    <s v="ANTONIO TORIJA MEJIA"/>
    <n v="63855700991"/>
    <s v="TOMA570127HDFRJN06"/>
    <n v="2"/>
    <s v="56 1619 6142"/>
    <x v="2"/>
    <n v="9760.32"/>
    <n v="2914.84"/>
    <n v="2928.1"/>
    <n v="13.26"/>
    <d v="2028-01-04T00:00:00"/>
  </r>
  <r>
    <x v="21"/>
    <s v="22/07/2026"/>
    <x v="26"/>
    <s v="FIDEL CATARINO RUBIO CARRILLO"/>
    <n v="33776035587"/>
    <s v="RUCF600323HCHBRD00"/>
    <n v="22992960"/>
    <n v="5216145364696"/>
    <x v="2"/>
    <n v="10171.24"/>
    <n v="3051.37"/>
    <n v="3051.37"/>
    <n v="0"/>
    <d v="2028-01-01T00:00:00"/>
  </r>
  <r>
    <x v="21"/>
    <s v="22/07/2026"/>
    <x v="32"/>
    <s v="MARIA ISABEL CORONADO"/>
    <n v="43745832410"/>
    <s v="CODI570805MNLRLS03"/>
    <n v="2"/>
    <n v="8134134828"/>
    <x v="2"/>
    <n v="6262.86"/>
    <n v="1809.97"/>
    <n v="1878.86"/>
    <n v="68.89"/>
    <d v="2027-01-09T00:00:00"/>
  </r>
  <r>
    <x v="21"/>
    <s v="22/07/2026"/>
    <x v="31"/>
    <s v="LEONARDO ZENEN PIZANO ESTRADA"/>
    <n v="1126800448"/>
    <s v="PIEL681105HMSZSN02"/>
    <n v="2"/>
    <s v="956 489 2291"/>
    <x v="5"/>
    <m/>
    <m/>
    <n v="0"/>
    <n v="0"/>
    <m/>
  </r>
  <r>
    <x v="21"/>
    <s v="22/07/2026"/>
    <x v="38"/>
    <s v="J. JUAN ORTIZ CARMONA"/>
    <m/>
    <s v="OICJ500812HGTRRN02"/>
    <n v="23000002"/>
    <n v="4426344212"/>
    <x v="2"/>
    <n v="5773.8"/>
    <n v="1600.81"/>
    <n v="1732.14"/>
    <n v="0.01"/>
    <d v="2027-01-05T00:00:00"/>
  </r>
  <r>
    <x v="21"/>
    <s v="22/07/2026"/>
    <x v="23"/>
    <s v="ALFONSO MORALES ALVISO"/>
    <n v="60887077091"/>
    <s v="MOAA700803HCLRLL11"/>
    <n v="22992620"/>
    <n v="5218444930641"/>
    <x v="8"/>
    <n v="684.05"/>
    <m/>
    <n v="205.22"/>
    <n v="0"/>
    <m/>
  </r>
  <r>
    <x v="21"/>
    <s v="21/07/2026"/>
    <x v="23"/>
    <s v="GUILLERMO COTERO GUTIERREZ"/>
    <n v="4916421862"/>
    <s v="COGG640904HJCTTL08"/>
    <n v="22915640"/>
    <n v="5217298840852"/>
    <x v="2"/>
    <n v="9081.52"/>
    <n v="2627.5"/>
    <n v="2724.46"/>
    <n v="96.96"/>
    <d v="2027-05-01T00:00:00"/>
  </r>
  <r>
    <x v="21"/>
    <s v="22/07/2026"/>
    <x v="38"/>
    <s v="GLORIA LUZ OTAÑEZ CELIS"/>
    <m/>
    <s v="OACG490328MDFTLL14"/>
    <n v="23001354"/>
    <n v="5591689945"/>
    <x v="1"/>
    <n v="3855.43"/>
    <n v="848"/>
    <n v="1156.6300000000001"/>
    <n v="-848"/>
    <m/>
  </r>
  <r>
    <x v="21"/>
    <s v="22/07/2026"/>
    <x v="41"/>
    <s v="VIRGINIA HERNANDEZ SANCHEZ"/>
    <n v="42806140028"/>
    <s v="HESV730414MSPRNR04"/>
    <n v="22999762"/>
    <n v="5213221329857"/>
    <x v="9"/>
    <n v="4483.92"/>
    <n v="908.56"/>
    <n v="1345.18"/>
    <n v="-597.62"/>
    <d v="2025-01-02T00:00:00"/>
  </r>
  <r>
    <x v="21"/>
    <s v="21/07/2026"/>
    <x v="6"/>
    <s v="AMBROSIO HERNANDEZ MENDEZ "/>
    <n v="18796007138"/>
    <s v="HEMA601207HGRRNM09"/>
    <n v="22897378"/>
    <n v="5214428514907"/>
    <x v="2"/>
    <n v="9760.32"/>
    <n v="2823"/>
    <n v="2928.1"/>
    <n v="105.1"/>
    <d v="2027-01-11T00:00:00"/>
  </r>
  <r>
    <x v="21"/>
    <s v="22/07/2026"/>
    <x v="30"/>
    <s v="GILBERTO GARDUÑO RODRIGUEZ"/>
    <n v="43816484679"/>
    <s v="GARG640204HNLRDL02"/>
    <n v="22987674"/>
    <n v="5218127175108"/>
    <x v="1"/>
    <n v="4035.69"/>
    <m/>
    <n v="1210.71"/>
    <n v="0"/>
    <m/>
  </r>
  <r>
    <x v="21"/>
    <s v="22/07/2026"/>
    <x v="26"/>
    <s v="GILBERTO AURELIO OCAMPO HERNANDEZ"/>
    <n v="67846352606"/>
    <s v="OAHG630925HVZCRL00"/>
    <n v="22995356"/>
    <n v="5219985560809"/>
    <x v="0"/>
    <n v="36455.589999999997"/>
    <m/>
    <n v="10936.68"/>
    <n v="10936.68"/>
    <m/>
  </r>
  <r>
    <x v="21"/>
    <s v="20/07/2026"/>
    <x v="14"/>
    <s v="ROSARIO NIETO"/>
    <n v="24695224410"/>
    <m/>
    <n v="22873598"/>
    <n v="5216221008605"/>
    <x v="1"/>
    <n v="5055.88"/>
    <n v="848"/>
    <n v="1516.76"/>
    <n v="34.9"/>
    <m/>
  </r>
  <r>
    <x v="21"/>
    <s v="20/07/2026"/>
    <x v="28"/>
    <s v="JAVIER LIRA ESPINO"/>
    <n v="32846605072"/>
    <s v="LIEJ670322HCLRSV03"/>
    <n v="22880648"/>
    <n v="5218715098101"/>
    <x v="2"/>
    <n v="5002.7299999999996"/>
    <n v="829.74"/>
    <n v="1500.82"/>
    <n v="0.01"/>
    <d v="2028-01-03T00:00:00"/>
  </r>
  <r>
    <x v="21"/>
    <s v="22/07/2026"/>
    <x v="30"/>
    <s v="J. CARMEN TORRES CALDERON"/>
    <n v="1484590143"/>
    <s v="TOCC590716HSPRLR02"/>
    <n v="22858174"/>
    <n v="5214441586309"/>
    <x v="2"/>
    <n v="7920.51"/>
    <n v="2361.94"/>
    <n v="2376.15"/>
    <n v="14.21"/>
    <d v="2028-01-06T00:00:00"/>
  </r>
  <r>
    <x v="21"/>
    <s v="16/07/2026"/>
    <x v="10"/>
    <s v="Blanca Alicia Cázares de León"/>
    <n v="65866019048"/>
    <s v="CALB601108MVZZNL03"/>
    <n v="22767388"/>
    <n v="5212281545355"/>
    <x v="2"/>
    <n v="7116.73"/>
    <n v="2135.02"/>
    <n v="2135.02"/>
    <n v="0"/>
    <d v="2028-01-06T00:00:00"/>
  </r>
  <r>
    <x v="21"/>
    <s v="21/07/2026"/>
    <x v="37"/>
    <s v="MA. LUZ DEL CARMEN FRAUSTO ESPARZA"/>
    <m/>
    <s v="FAEL500722MZSRSZ00"/>
    <n v="22900930"/>
    <n v="5214497791672"/>
    <x v="2"/>
    <n v="5617.63"/>
    <n v="1393"/>
    <n v="1685.29"/>
    <n v="51.65"/>
    <d v="2027-01-08T00:00:00"/>
  </r>
  <r>
    <x v="21"/>
    <s v="22/07/2026"/>
    <x v="35"/>
    <s v="GABRIEL JIMENEZ ORTEGA"/>
    <n v="32937612680"/>
    <s v="JIOG760226HMCMRB03"/>
    <n v="23002626"/>
    <n v="5517609419"/>
    <x v="5"/>
    <m/>
    <m/>
    <n v="0"/>
    <n v="0"/>
    <m/>
  </r>
  <r>
    <x v="21"/>
    <s v="22/07/2026"/>
    <x v="36"/>
    <s v="ALICIA ALVAREZ COLIN"/>
    <m/>
    <s v="AACA650616MMCLLL05"/>
    <n v="22993102"/>
    <n v="7222068190"/>
    <x v="0"/>
    <n v="10636.54"/>
    <m/>
    <n v="3190.96"/>
    <n v="3190.96"/>
    <m/>
  </r>
  <r>
    <x v="21"/>
    <s v="22/07/2026"/>
    <x v="20"/>
    <s v="balbina"/>
    <m/>
    <s v="BACB600331MVZSSL09"/>
    <n v="23000100"/>
    <n v="5219212682496"/>
    <x v="5"/>
    <m/>
    <m/>
    <n v="0"/>
    <n v="0"/>
    <m/>
  </r>
  <r>
    <x v="21"/>
    <s v="22/07/2026"/>
    <x v="35"/>
    <s v="MOISES RAMIREZ CASTRO"/>
    <m/>
    <s v="RACM840120HDFMSS09"/>
    <n v="23000340"/>
    <n v="5585587106"/>
    <x v="4"/>
    <m/>
    <m/>
    <n v="0"/>
    <n v="0"/>
    <m/>
  </r>
  <r>
    <x v="21"/>
    <s v="22/07/2026"/>
    <x v="29"/>
    <s v="MARIA DEL REFUGIO DIAZ CARMONA"/>
    <m/>
    <s v="DICR641105MMSZRF03"/>
    <n v="23002856"/>
    <n v="5217772574509"/>
    <x v="2"/>
    <n v="9081.31"/>
    <n v="2627"/>
    <n v="2724.39"/>
    <n v="97.39"/>
    <d v="2027-01-10T00:00:00"/>
  </r>
  <r>
    <x v="21"/>
    <s v="22/07/2026"/>
    <x v="35"/>
    <s v="SERGIO MONTIEL CAUDILLO"/>
    <n v="1785568799"/>
    <m/>
    <n v="23003442"/>
    <n v="3121310404"/>
    <x v="1"/>
    <n v="4438.37"/>
    <m/>
    <n v="1331.51"/>
    <n v="265.39"/>
    <m/>
  </r>
  <r>
    <x v="22"/>
    <s v="23/07/2026"/>
    <x v="31"/>
    <s v="GABRIEL DOMINGUEZ TORRES"/>
    <n v="67866780082"/>
    <s v="DOTG670215HVZMRB08"/>
    <n v="2"/>
    <s v="662 173 6264"/>
    <x v="2"/>
    <n v="7917.2"/>
    <n v="2359.0300000000002"/>
    <n v="2375.16"/>
    <n v="16.13"/>
    <d v="2028-01-06T00:00:00"/>
  </r>
  <r>
    <x v="22"/>
    <s v="23/07/2026"/>
    <x v="31"/>
    <s v="MARIA GUADALUPE AYALA GONZALEZ"/>
    <n v="1765279805"/>
    <s v="AAGG520405MDFYND06"/>
    <n v="2"/>
    <s v="55 3409 3662"/>
    <x v="0"/>
    <n v="26936.15"/>
    <m/>
    <n v="8080.85"/>
    <n v="8080.85"/>
    <m/>
  </r>
  <r>
    <x v="22"/>
    <s v="23/07/2026"/>
    <x v="31"/>
    <s v="NICOLASA AVILA RAMIREZ"/>
    <n v="7835400909"/>
    <s v="AIRN581206MDFVMC08"/>
    <n v="2"/>
    <s v="55 6442 7400"/>
    <x v="2"/>
    <n v="25318.18"/>
    <n v="7595.45"/>
    <n v="7595.45"/>
    <n v="0"/>
    <d v="2027-01-02T00:00:00"/>
  </r>
  <r>
    <x v="22"/>
    <s v="20/07/2026"/>
    <x v="0"/>
    <s v="JOSE "/>
    <n v="32755918557"/>
    <m/>
    <n v="22853020"/>
    <n v="5217221079880"/>
    <x v="0"/>
    <n v="9322.61"/>
    <m/>
    <n v="2796.78"/>
    <n v="2796.78"/>
    <m/>
  </r>
  <r>
    <x v="22"/>
    <s v="23/07/2026"/>
    <x v="26"/>
    <s v="JUAN POLANCO GONZALEZ"/>
    <n v="55836000202"/>
    <s v="POGJ600612HNTLNN05"/>
    <n v="23014390"/>
    <n v="5213112263535"/>
    <x v="2"/>
    <n v="8187.26"/>
    <n v="2455.75"/>
    <n v="2456.1799999999998"/>
    <n v="0.43"/>
    <d v="2027-01-12T00:00:00"/>
  </r>
  <r>
    <x v="22"/>
    <s v="22/07/2026"/>
    <x v="20"/>
    <s v="María Isabel "/>
    <n v="84866302841"/>
    <s v="XOAI670820MYNLLS05"/>
    <n v="23002190"/>
    <n v="5219999601550"/>
    <x v="3"/>
    <n v="5055.87"/>
    <m/>
    <n v="1516.76"/>
    <n v="882.89"/>
    <m/>
  </r>
  <r>
    <x v="22"/>
    <s v="23/07/2026"/>
    <x v="6"/>
    <s v="JULIO CESAR GARCIA MARTINEZ "/>
    <n v="12937147010"/>
    <s v="GAMJ700614HMNRRL02"/>
    <n v="23019172"/>
    <n v="5214773760957"/>
    <x v="2"/>
    <n v="5642.22"/>
    <n v="1469"/>
    <n v="1692.67"/>
    <n v="0.24"/>
    <d v="2026-12-01T00:00:00"/>
  </r>
  <r>
    <x v="22"/>
    <s v="23/07/2026"/>
    <x v="32"/>
    <s v="JUAN JAIME GUERRERO COSTILLA"/>
    <n v="60917276291"/>
    <s v="GUCJ720707HCLRSN03"/>
    <n v="2"/>
    <n v="8441975915"/>
    <x v="1"/>
    <n v="3083.89"/>
    <n v="743"/>
    <n v="925.17"/>
    <n v="-743"/>
    <m/>
  </r>
  <r>
    <x v="22"/>
    <s v="22/07/2026"/>
    <x v="13"/>
    <s v="JUAN MANUEL VASQUEZ ESQUIVEL"/>
    <n v="32906476596"/>
    <s v="VAEJ620729HCLSSN01"/>
    <n v="23005644"/>
    <n v="5218443585167"/>
    <x v="0"/>
    <n v="10535.19"/>
    <m/>
    <n v="3160.56"/>
    <n v="3160.56"/>
    <m/>
  </r>
  <r>
    <x v="22"/>
    <s v="23/07/2026"/>
    <x v="6"/>
    <s v="GUADALUPE REYES GONZALEZ "/>
    <n v="67796327053"/>
    <s v="REGG710104MVZYND02"/>
    <n v="23019742"/>
    <n v="5212712835583"/>
    <x v="2"/>
    <n v="8784.2900000000009"/>
    <n v="2541.5"/>
    <n v="2635.29"/>
    <n v="93.79"/>
    <d v="2028-01-01T00:00:00"/>
  </r>
  <r>
    <x v="22"/>
    <s v="23/07/2026"/>
    <x v="10"/>
    <s v="MARCELO CRUZ GARCIA"/>
    <n v="89816450012"/>
    <s v="CUGM641008HVZRRR09"/>
    <n v="23018728"/>
    <n v="5212281117207"/>
    <x v="2"/>
    <n v="10636.54"/>
    <n v="3187.33"/>
    <n v="3190.96"/>
    <n v="3.63"/>
    <d v="2028-01-08T00:00:00"/>
  </r>
  <r>
    <x v="22"/>
    <s v="21/07/2026"/>
    <x v="14"/>
    <s v="MARTHA ELENA CASTILLO RAMIREZ"/>
    <m/>
    <s v="CARM630917MNLSMR01"/>
    <n v="22898686"/>
    <n v="5214444300339"/>
    <x v="0"/>
    <n v="10171.24"/>
    <m/>
    <n v="3051.37"/>
    <n v="3051.37"/>
    <m/>
  </r>
  <r>
    <x v="22"/>
    <s v="22/07/2026"/>
    <x v="37"/>
    <s v="MARIA TERESA URBINA DELFIN"/>
    <m/>
    <s v="UIDT610527MCHRLR03"/>
    <n v="23002368"/>
    <n v="5216565292881"/>
    <x v="2"/>
    <n v="5642.22"/>
    <n v="1416.92"/>
    <n v="1692.67"/>
    <n v="52.32"/>
    <d v="2027-01-07T00:00:00"/>
  </r>
  <r>
    <x v="22"/>
    <s v="22/07/2026"/>
    <x v="38"/>
    <s v="ZOILA GUADALUPE PERALTA RABELO"/>
    <m/>
    <s v="PERZ641212MTCRBL03"/>
    <n v="22997716"/>
    <n v="9931340868"/>
    <x v="0"/>
    <n v="11029.03"/>
    <m/>
    <n v="3308.71"/>
    <n v="3308.71"/>
    <m/>
  </r>
  <r>
    <x v="22"/>
    <s v="23/07/2026"/>
    <x v="26"/>
    <s v="JOSE LUIS GARCIA TINTA"/>
    <n v="4816347373"/>
    <s v="GATL630904HJCRNS09"/>
    <n v="23018708"/>
    <n v="5213318318624"/>
    <x v="0"/>
    <n v="9081.52"/>
    <n v="848"/>
    <n v="2724.46"/>
    <n v="1876.46"/>
    <m/>
  </r>
  <r>
    <x v="22"/>
    <s v="22/07/2026"/>
    <x v="26"/>
    <s v="JACINTO GARZA ESTRADA"/>
    <n v="33836607599"/>
    <s v="GAEJ660911HCHRSC09"/>
    <n v="22983356"/>
    <n v="5216392329472"/>
    <x v="5"/>
    <m/>
    <m/>
    <n v="0"/>
    <n v="0"/>
    <m/>
  </r>
  <r>
    <x v="22"/>
    <s v="21/07/2026"/>
    <x v="35"/>
    <s v="MARTHA MAGDALENA PEREZ JUAREZ"/>
    <n v="1082640949"/>
    <m/>
    <n v="22906074"/>
    <n v="4427922039"/>
    <x v="0"/>
    <n v="9760.32"/>
    <m/>
    <n v="2928.1"/>
    <n v="2928.1"/>
    <m/>
  </r>
  <r>
    <x v="22"/>
    <s v="22/07/2026"/>
    <x v="20"/>
    <s v="Claudia Valdez "/>
    <n v="60917482261"/>
    <s v="VALC750301MCLLPL05"/>
    <n v="22997352"/>
    <n v="5218442350441"/>
    <x v="1"/>
    <n v="3908.19"/>
    <n v="879"/>
    <n v="1172.46"/>
    <n v="-879"/>
    <m/>
  </r>
  <r>
    <x v="22"/>
    <s v="23/07/2026"/>
    <x v="10"/>
    <s v="MA. DEL CARMEN MARTÍNEZ GUTIÉRREZ"/>
    <n v="75846306365"/>
    <s v="MAGC630823MDFRTR09"/>
    <n v="23015906"/>
    <n v="5215550695280"/>
    <x v="2"/>
    <n v="9081.52"/>
    <n v="2627.5"/>
    <n v="2724.46"/>
    <n v="96.96"/>
    <d v="2027-01-07T00:00:00"/>
  </r>
  <r>
    <x v="22"/>
    <s v="22/07/2026"/>
    <x v="14"/>
    <s v="JOSE DE JESUS GUEVARA GARCIA"/>
    <m/>
    <s v="GUGJ610620HSPVRS07"/>
    <n v="23007338"/>
    <n v="5214401240960"/>
    <x v="3"/>
    <n v="9504.7000000000007"/>
    <n v="2179.89"/>
    <n v="2851.41"/>
    <n v="671.52"/>
    <d v="2026-01-09T00:00:00"/>
  </r>
  <r>
    <x v="22"/>
    <s v="23/07/2026"/>
    <x v="23"/>
    <s v="PABLO TORRES GALLARDO"/>
    <n v="12806218041"/>
    <s v="TOGP620718HGTRLB05"/>
    <n v="23011752"/>
    <n v="5214621573112"/>
    <x v="2"/>
    <n v="7116.73"/>
    <n v="1974.86"/>
    <n v="2135.02"/>
    <n v="160.16"/>
    <d v="2026-12-01T00:00:00"/>
  </r>
  <r>
    <x v="22"/>
    <s v="23/07/2026"/>
    <x v="23"/>
    <s v="CARLOS ZARZA"/>
    <n v="45907003870"/>
    <s v="ZAXC700529HDFRXR07"/>
    <n v="23014518"/>
    <n v="5215619117378"/>
    <x v="2"/>
    <n v="9901.5300000000007"/>
    <n v="2967.72"/>
    <n v="2970.46"/>
    <n v="2.74"/>
    <d v="2027-01-03T00:00:00"/>
  </r>
  <r>
    <x v="22"/>
    <s v="23/07/2026"/>
    <x v="3"/>
    <s v="ERASMO PEREZ RUIZ"/>
    <n v="65816500899"/>
    <s v="PERE650602HVZRZR09"/>
    <n v="23020172"/>
    <n v="5212291771020"/>
    <x v="3"/>
    <n v="40027.949999999997"/>
    <n v="11496.24"/>
    <n v="12008.39"/>
    <n v="512.14"/>
    <d v="2027-01-11T00:00:00"/>
  </r>
  <r>
    <x v="22"/>
    <s v="23/07/2026"/>
    <x v="14"/>
    <s v="FERNANDO MARTINEZ AMESCUA"/>
    <m/>
    <s v="MAAF611211HMCRMR05"/>
    <n v="23021304"/>
    <n v="5214444523383"/>
    <x v="2"/>
    <n v="14678.06"/>
    <n v="4401.07"/>
    <n v="4403.42"/>
    <n v="2.35"/>
    <d v="2028-01-05T00:00:00"/>
  </r>
  <r>
    <x v="22"/>
    <s v="23/07/2026"/>
    <x v="39"/>
    <s v="Ma. Elba Lozano Jimenez"/>
    <n v="6654910352"/>
    <s v="LOJE720201MASZML07"/>
    <n v="23024568"/>
    <n v="8110695565"/>
    <x v="2"/>
    <n v="8173.37"/>
    <n v="2269.2199999999998"/>
    <n v="2452.0100000000002"/>
    <n v="182.79"/>
    <d v="2026-11-01T00:00:00"/>
  </r>
  <r>
    <x v="22"/>
    <s v="22/07/2026"/>
    <x v="14"/>
    <s v="ISABEL PEREZ"/>
    <n v="67937683323"/>
    <m/>
    <n v="23005344"/>
    <n v="5219841316581"/>
    <x v="9"/>
    <n v="5997.91"/>
    <n v="1467.46"/>
    <n v="1799.37"/>
    <n v="331.91"/>
    <d v="2024-01-05T00:00:00"/>
  </r>
  <r>
    <x v="22"/>
    <s v="23/07/2026"/>
    <x v="41"/>
    <s v="MARCOS LENIN JUAREZ HERNANDEZ"/>
    <m/>
    <s v="JUHM650504HDFRRR06"/>
    <n v="23024542"/>
    <n v="5219161111559"/>
    <x v="2"/>
    <n v="9760.32"/>
    <n v="2927.92"/>
    <n v="2928.1"/>
    <n v="0.18"/>
    <d v="2027-01-09T00:00:00"/>
  </r>
  <r>
    <x v="22"/>
    <s v="23/07/2026"/>
    <x v="30"/>
    <s v="MARTHA GRANADOS YEBRA"/>
    <n v="1274590069"/>
    <s v="GAYM600816MGTRBR00"/>
    <n v="23019980"/>
    <n v="5214775691295"/>
    <x v="2"/>
    <n v="5617.63"/>
    <n v="1313.41"/>
    <n v="1685.29"/>
    <n v="131.24"/>
    <d v="2026-08-01T00:00:00"/>
  </r>
  <r>
    <x v="22"/>
    <s v="23/07/2026"/>
    <x v="23"/>
    <s v="JORGE LUIS MARTINEZ CARDENAS"/>
    <n v="24776111470"/>
    <s v="MACJ610423HSRRRR06"/>
    <n v="23020688"/>
    <n v="5216411027005"/>
    <x v="2"/>
    <n v="9194.85"/>
    <n v="2659.48"/>
    <n v="2758.46"/>
    <n v="98.97"/>
    <d v="2027-01-08T00:00:00"/>
  </r>
  <r>
    <x v="22"/>
    <s v="23/07/2026"/>
    <x v="35"/>
    <s v="DANIEL HALEY GARCIA"/>
    <n v="53916314643"/>
    <m/>
    <n v="23025066"/>
    <n v="4251063191"/>
    <x v="0"/>
    <n v="19749.240000000002"/>
    <m/>
    <n v="5924.77"/>
    <n v="5924.77"/>
    <m/>
  </r>
  <r>
    <x v="22"/>
    <s v="23/07/2026"/>
    <x v="31"/>
    <s v="MARTIN SEGURA ROMERO"/>
    <n v="32806102862"/>
    <s v="SERM610130HCLGMR06"/>
    <n v="2"/>
    <s v="871 145 8811"/>
    <x v="2"/>
    <n v="25114.05"/>
    <n v="7534.21"/>
    <n v="7534.22"/>
    <n v="0"/>
    <d v="2027-01-02T00:00:00"/>
  </r>
  <r>
    <x v="22"/>
    <s v="19/07/2026"/>
    <x v="11"/>
    <s v="RENE REFUGIO ARIAS OROZCO "/>
    <m/>
    <s v="AIOR490719HJCRRN01"/>
    <n v="22838506"/>
    <n v="5219181510771"/>
    <x v="9"/>
    <n v="17430.04"/>
    <n v="5228.3900000000003"/>
    <n v="5229.01"/>
    <n v="0.62"/>
    <d v="2025-01-06T00:00:00"/>
  </r>
  <r>
    <x v="22"/>
    <s v="21/07/2026"/>
    <x v="37"/>
    <s v="VICENTE GUERRERO TEJEDA"/>
    <m/>
    <s v="GUTV450414HPLRJC08"/>
    <n v="22908120"/>
    <n v="5215534471924"/>
    <x v="0"/>
    <n v="25169.200000000001"/>
    <n v="420.67"/>
    <n v="7550.76"/>
    <n v="7130.09"/>
    <d v="2024-01-12T00:00:00"/>
  </r>
  <r>
    <x v="22"/>
    <s v="23/07/2026"/>
    <x v="36"/>
    <s v="Gloria Elena López González"/>
    <m/>
    <s v="LOGG590513MMNPNL09"/>
    <n v="23000648"/>
    <n v="3512191642"/>
    <x v="2"/>
    <n v="7920.51"/>
    <n v="2291.56"/>
    <n v="2376.15"/>
    <n v="84.59"/>
    <d v="2028-01-02T00:00:00"/>
  </r>
  <r>
    <x v="22"/>
    <s v="23/07/2026"/>
    <x v="31"/>
    <s v="SONIA ROJAS ALVAREZ"/>
    <n v="1846627360"/>
    <s v="ROAS730109MDFJLN02"/>
    <n v="2"/>
    <s v="56 1179 3169"/>
    <x v="2"/>
    <n v="29197.89"/>
    <n v="8746.9699999999993"/>
    <n v="8759.3700000000008"/>
    <n v="12.4"/>
    <d v="2027-01-10T00:00:00"/>
  </r>
  <r>
    <x v="22"/>
    <s v="23/07/2026"/>
    <x v="3"/>
    <s v="OFELIA ACEVEDO NUÑO"/>
    <n v="55827000070"/>
    <s v="AENO700402MNTCXF01"/>
    <n v="23003824"/>
    <n v="5216647259076"/>
    <x v="1"/>
    <n v="1817.88"/>
    <n v="438"/>
    <n v="545.36"/>
    <n v="-438"/>
    <m/>
  </r>
  <r>
    <x v="22"/>
    <s v="23/07/2026"/>
    <x v="30"/>
    <s v="JOSE LUIS OSORIO HUERTA"/>
    <n v="1856406135"/>
    <s v="OOHL640227HDFSRS14"/>
    <n v="23024532"/>
    <n v="5215620101769"/>
    <x v="2"/>
    <n v="10171.24"/>
    <n v="3036.8"/>
    <n v="3051.37"/>
    <n v="14.57"/>
    <d v="2028-01-03T00:00:00"/>
  </r>
  <r>
    <x v="22"/>
    <s v="23/07/2026"/>
    <x v="26"/>
    <s v="INES OROPEZA JIMENEZ"/>
    <n v="62795706795"/>
    <s v="OOJI610420MPLRMN09"/>
    <n v="23024346"/>
    <n v="5212381674652"/>
    <x v="2"/>
    <n v="5636.59"/>
    <n v="1690"/>
    <n v="1690.98"/>
    <n v="-226.39"/>
    <d v="2028-01-04T00:00:00"/>
  </r>
  <r>
    <x v="22"/>
    <s v="21/07/2026"/>
    <x v="6"/>
    <s v="GUADALUPE GUTIERREZ BLANCO "/>
    <n v="33765815668"/>
    <s v="GUBG710730MCHTLD06"/>
    <n v="22916420"/>
    <n v="5216271119343"/>
    <x v="1"/>
    <n v="3469.89"/>
    <m/>
    <n v="1040.97"/>
    <n v="0"/>
    <m/>
  </r>
  <r>
    <x v="22"/>
    <s v="23/07/2026"/>
    <x v="41"/>
    <s v="RAMIRO RANGEL SANTOS"/>
    <m/>
    <s v="RASR541023HCLNNM02"/>
    <n v="23026084"/>
    <n v="5218621024147"/>
    <x v="7"/>
    <n v="4813.6899999999996"/>
    <n v="562.86"/>
    <n v="1444.11"/>
    <n v="77.849999999999994"/>
    <d v="2025-01-03T00:00:00"/>
  </r>
  <r>
    <x v="22"/>
    <s v="20/07/2026"/>
    <x v="26"/>
    <s v="TORIBIO LARA GUERRA"/>
    <n v="32826118633"/>
    <s v="LAGT640416HSPRRR01"/>
    <n v="22872844"/>
    <n v="5218771639240"/>
    <x v="2"/>
    <n v="9081.52"/>
    <n v="2518.6"/>
    <n v="2724.46"/>
    <n v="205.86"/>
    <d v="2027-01-02T00:00:00"/>
  </r>
  <r>
    <x v="22"/>
    <s v="22/07/2026"/>
    <x v="13"/>
    <s v="MIGUEL ANGEL TELLEZ RAMIREZ"/>
    <n v="10866650139"/>
    <s v="TERM650312HDFLMG06"/>
    <n v="22984874"/>
    <n v="5215548273137"/>
    <x v="2"/>
    <n v="9760.32"/>
    <n v="2823.89"/>
    <n v="2928.1"/>
    <n v="104.21"/>
    <d v="2027-01-08T00:00:00"/>
  </r>
  <r>
    <x v="22"/>
    <s v="23/07/2026"/>
    <x v="3"/>
    <s v="ANTONIO RUIZ HUERTA"/>
    <n v="6583606578"/>
    <s v="RUHA600117HVZZRN02"/>
    <n v="23025390"/>
    <n v="5212288303274"/>
    <x v="2"/>
    <n v="5776.61"/>
    <n v="1544.1"/>
    <n v="1732.98"/>
    <n v="59.53"/>
    <d v="2026-08-01T00:00:00"/>
  </r>
  <r>
    <x v="22"/>
    <s v="23/07/2026"/>
    <x v="10"/>
    <s v="ELIZABETH MARTINEZ AGUILAR"/>
    <n v="12796215023"/>
    <s v="MAAE661004MCSRGL03"/>
    <n v="23024702"/>
    <n v="5219631566463"/>
    <x v="0"/>
    <n v="7913.78"/>
    <m/>
    <n v="2374.13"/>
    <n v="2374.13"/>
    <m/>
  </r>
  <r>
    <x v="22"/>
    <s v="23/07/2026"/>
    <x v="11"/>
    <s v="Jorge Alberto Bacelis Arjona"/>
    <n v="84915500866"/>
    <m/>
    <n v="23026604"/>
    <n v="5219993839258"/>
    <x v="2"/>
    <n v="7376.66"/>
    <n v="2048"/>
    <n v="2213"/>
    <n v="165"/>
    <d v="2026-10-01T00:00:00"/>
  </r>
  <r>
    <x v="22"/>
    <s v="19/07/2026"/>
    <x v="29"/>
    <s v="ALFONSO HERNANDEZ MELENDEZ"/>
    <m/>
    <s v="HEMA601030HVZRLL05"/>
    <n v="22830608"/>
    <n v="5212881306065"/>
    <x v="2"/>
    <n v="5617.63"/>
    <n v="1429.29"/>
    <n v="1685.29"/>
    <n v="15.36"/>
    <d v="2028-01-06T00:00:00"/>
  </r>
  <r>
    <x v="22"/>
    <s v="23/07/2026"/>
    <x v="13"/>
    <s v="JOSE VENANCIO VILLAVICENCIO GONZALEZ"/>
    <n v="51876303143"/>
    <s v="VIGV630626HCHLNN01"/>
    <n v="23013820"/>
    <n v="5214151384086"/>
    <x v="0"/>
    <n v="7920.51"/>
    <n v="998.19"/>
    <n v="2376.15"/>
    <n v="1377.96"/>
    <d v="2026-01-09T00:00:00"/>
  </r>
  <r>
    <x v="22"/>
    <s v="23/07/2026"/>
    <x v="16"/>
    <s v="MIRTHA LIZBETH JUAREZ CAMARILLO"/>
    <n v="65937456229"/>
    <m/>
    <n v="1"/>
    <s v="S /N "/>
    <x v="6"/>
    <n v="4707.6899999999996"/>
    <n v="1300.9100000000001"/>
    <n v="1412.31"/>
    <n v="-766.2"/>
    <d v="2025-01-08T00:00:00"/>
  </r>
  <r>
    <x v="22"/>
    <s v="23/07/2026"/>
    <x v="6"/>
    <s v="PEDRO AGUILAR HERNANDEZ"/>
    <n v="31836621552"/>
    <s v="AUHP660128HCLGRD09"/>
    <n v="23013796"/>
    <n v="5214421565808"/>
    <x v="2"/>
    <n v="10636.54"/>
    <n v="3187.67"/>
    <n v="3190.96"/>
    <n v="3.29"/>
    <d v="2028-01-04T00:00:00"/>
  </r>
  <r>
    <x v="22"/>
    <s v="22/07/2026"/>
    <x v="36"/>
    <s v="MARTIN ALVAREZ  VILLA "/>
    <m/>
    <s v="AAVM580101HSRLLR04"/>
    <n v="22991292"/>
    <n v="6442284297"/>
    <x v="2"/>
    <n v="7496.62"/>
    <n v="2167.7800000000002"/>
    <n v="2248.9899999999998"/>
    <n v="81.209999999999994"/>
    <d v="2027-01-04T00:00:00"/>
  </r>
  <r>
    <x v="22"/>
    <s v="23/07/2026"/>
    <x v="35"/>
    <s v="ROCIO IZGUERRA HERNANDEZ"/>
    <n v="53907233091"/>
    <s v="IUHR770220MMNZRC00"/>
    <n v="23028318"/>
    <n v="3511223726"/>
    <x v="4"/>
    <m/>
    <m/>
    <n v="0"/>
    <n v="0"/>
    <m/>
  </r>
  <r>
    <x v="22"/>
    <s v="23/07/2026"/>
    <x v="38"/>
    <s v="ABENAMAR ZANCHEZ GARCIA"/>
    <n v="83815711037"/>
    <s v="ZAGA571002HCSNRB01"/>
    <n v="23028042"/>
    <n v="9841792595"/>
    <x v="1"/>
    <n v="4345.41"/>
    <m/>
    <n v="1303.6199999999999"/>
    <n v="172.43"/>
    <m/>
  </r>
  <r>
    <x v="22"/>
    <s v="23/07/2026"/>
    <x v="35"/>
    <s v="ALEJANDRO "/>
    <n v="24815711239"/>
    <m/>
    <n v="23028586"/>
    <n v="6623256345"/>
    <x v="2"/>
    <n v="57557.32"/>
    <n v="17267.189999999999"/>
    <n v="17267.2"/>
    <n v="0.01"/>
    <d v="2027-01-04T00:00:00"/>
  </r>
  <r>
    <x v="22"/>
    <s v="23/07/2026"/>
    <x v="39"/>
    <s v="J. Fermin Castro Morales"/>
    <m/>
    <s v="CAMF570108HGTSRR04"/>
    <n v="23028590"/>
    <n v="4646550397"/>
    <x v="2"/>
    <n v="6332.29"/>
    <n v="1899.69"/>
    <n v="1899.69"/>
    <n v="0"/>
    <d v="2028-01-08T00:00:00"/>
  </r>
  <r>
    <x v="22"/>
    <s v="23/07/2026"/>
    <x v="3"/>
    <s v="OSCAR MENDEZ MALDONADO"/>
    <n v="52916302459"/>
    <s v="MEMO631022HGRNLS04"/>
    <n v="23005738"/>
    <n v="5213141162341"/>
    <x v="2"/>
    <n v="7920.51"/>
    <n v="2361.73"/>
    <n v="2376.15"/>
    <n v="14.42"/>
    <d v="2028-01-07T00:00:00"/>
  </r>
  <r>
    <x v="22"/>
    <s v="23/07/2026"/>
    <x v="41"/>
    <s v="Mario Amezcua Hernández"/>
    <n v="53896710026"/>
    <s v="AEHM670410HMNMRR07"/>
    <n v="23028382"/>
    <n v="5214776177683"/>
    <x v="1"/>
    <n v="4008.15"/>
    <m/>
    <n v="1202.45"/>
    <n v="0"/>
    <m/>
  </r>
  <r>
    <x v="22"/>
    <s v="23/07/2026"/>
    <x v="6"/>
    <s v="VIRGINIA ALVAREZ ROJAS"/>
    <n v="65806216316"/>
    <s v="AARV620831MVZLJR04"/>
    <n v="23007494"/>
    <n v="5218461042445"/>
    <x v="0"/>
    <n v="12846.42"/>
    <m/>
    <n v="3853.93"/>
    <n v="3853.93"/>
    <m/>
  </r>
  <r>
    <x v="22"/>
    <s v="23/07/2026"/>
    <x v="39"/>
    <s v="Silvia Noemi Tuz Kauil"/>
    <n v="82937419834"/>
    <s v="TUKS830802MYNZLL05"/>
    <n v="23029010"/>
    <n v="4722313589"/>
    <x v="1"/>
    <n v="4332.32"/>
    <m/>
    <n v="1299.7"/>
    <n v="159.34"/>
    <m/>
  </r>
  <r>
    <x v="22"/>
    <s v="22/07/2026"/>
    <x v="26"/>
    <s v="ANTONIO CASILLAS MARTINEZ"/>
    <n v="43796200087"/>
    <s v="CAMA620613HNLSRN00"/>
    <n v="23005584"/>
    <n v="5218117512700"/>
    <x v="2"/>
    <n v="11964.78"/>
    <n v="3461.67"/>
    <n v="3589.43"/>
    <n v="127.76"/>
    <d v="2026-11-01T00:00:00"/>
  </r>
  <r>
    <x v="22"/>
    <s v="23/07/2026"/>
    <x v="0"/>
    <s v="MARTIN CRUZ CAUDILLO"/>
    <n v="54796089750"/>
    <s v="CUCM600201HMNRDR06"/>
    <n v="23028152"/>
    <n v="5213314066019"/>
    <x v="6"/>
    <n v="5617.63"/>
    <n v="1209.83"/>
    <n v="1685.29"/>
    <n v="234.82"/>
    <d v="2025-01-05T00:00:00"/>
  </r>
  <r>
    <x v="22"/>
    <s v="23/07/2026"/>
    <x v="11"/>
    <s v="J.ENCARNACION OLGUIN CASTRO"/>
    <n v="89826421474"/>
    <s v="OUCE641025HDFLSN01"/>
    <n v="23029224"/>
    <n v="5215654417393"/>
    <x v="3"/>
    <n v="52854.52"/>
    <n v="15124.36"/>
    <n v="15856.36"/>
    <n v="732"/>
    <d v="2027-01-03T00:00:00"/>
  </r>
  <r>
    <x v="22"/>
    <s v="23/07/2026"/>
    <x v="10"/>
    <s v="Teresa Ascencio González"/>
    <n v="14856712121"/>
    <s v="AEGT681202MDFSNR08"/>
    <n v="23006710"/>
    <n v="5214425286662"/>
    <x v="2"/>
    <n v="7751.91"/>
    <n v="2310.02"/>
    <n v="2325.5700000000002"/>
    <n v="15.55"/>
    <d v="2028-01-05T00:00:00"/>
  </r>
  <r>
    <x v="22"/>
    <s v="23/07/2026"/>
    <x v="10"/>
    <s v="YOLANDA LUNA CORTE"/>
    <m/>
    <s v="LUCY540905MMCNRL00"/>
    <n v="22915250"/>
    <n v="5215666657335"/>
    <x v="1"/>
    <n v="4041.17"/>
    <m/>
    <n v="1212.3499999999999"/>
    <n v="0"/>
    <m/>
  </r>
  <r>
    <x v="22"/>
    <s v="20/07/2026"/>
    <x v="19"/>
    <m/>
    <n v="15896211156"/>
    <m/>
    <n v="22853620"/>
    <n v="7772207223"/>
    <x v="2"/>
    <n v="8649.98"/>
    <n v="2594.64"/>
    <n v="2594.9899999999998"/>
    <n v="0.35"/>
    <d v="2027-01-09T00:00:00"/>
  </r>
  <r>
    <x v="22"/>
    <s v="20/07/2026"/>
    <x v="19"/>
    <s v="OMAR "/>
    <n v="37917317671"/>
    <s v="IAOO751228HMCSRM01"/>
    <n v="23028534"/>
    <n v="9624144184"/>
    <x v="2"/>
    <n v="7818.65"/>
    <n v="2249.1"/>
    <n v="2345.6"/>
    <n v="96.49"/>
    <d v="2028-01-01T00:00:00"/>
  </r>
  <r>
    <x v="22"/>
    <s v="23/07/2026"/>
    <x v="11"/>
    <s v="ARTURO VARGAS MATA "/>
    <n v="43745421222"/>
    <s v="VAMA540425HNLRTR04"/>
    <n v="23027832"/>
    <n v="5218117532347"/>
    <x v="6"/>
    <n v="5617.63"/>
    <n v="1334.29"/>
    <n v="1685.29"/>
    <n v="110.36"/>
    <d v="2026-01-06T00:00:00"/>
  </r>
  <r>
    <x v="22"/>
    <s v="23/07/2026"/>
    <x v="18"/>
    <s v="JUAN VALADEZ DELGADO"/>
    <n v="31745611314"/>
    <m/>
    <n v="1"/>
    <n v="8342260510"/>
    <x v="2"/>
    <n v="13318.93"/>
    <n v="3995.65"/>
    <n v="3995.68"/>
    <n v="0.03"/>
    <d v="2027-01-05T00:00:00"/>
  </r>
  <r>
    <x v="22"/>
    <s v="18/07/2026"/>
    <x v="27"/>
    <s v="MA. LUISA ALVAREZ JUAREZ "/>
    <n v="12815712448"/>
    <m/>
    <n v="22818910"/>
    <n v="5214624980603"/>
    <x v="3"/>
    <n v="4636.43"/>
    <m/>
    <n v="1390.93"/>
    <n v="463.45"/>
    <m/>
  </r>
  <r>
    <x v="22"/>
    <s v="23/07/2026"/>
    <x v="0"/>
    <s v="ENRIQUE ORTEGA SERRANO"/>
    <n v="1796078614"/>
    <s v="OESE601105HDFRRN08"/>
    <n v="23030252"/>
    <n v="5215640056142"/>
    <x v="0"/>
    <n v="5948.13"/>
    <m/>
    <n v="1784.44"/>
    <n v="1775.15"/>
    <m/>
  </r>
  <r>
    <x v="22"/>
    <d v="2026-11-07T00:00:00"/>
    <x v="27"/>
    <s v="JOSE YANETH QUIROZ VALENZUELA "/>
    <n v="24987719366"/>
    <s v="QUVJ801225MSRRLS01"/>
    <n v="22576920"/>
    <n v="5213313010953"/>
    <x v="4"/>
    <m/>
    <m/>
    <n v="0"/>
    <n v="0"/>
    <m/>
  </r>
  <r>
    <x v="22"/>
    <s v="23/07/2026"/>
    <x v="39"/>
    <s v="Maria Luisa Ortiz Juarez"/>
    <m/>
    <s v="OIJL651217MMCRRS08"/>
    <n v="23029704"/>
    <n v="8715223535"/>
    <x v="0"/>
    <n v="5407.25"/>
    <m/>
    <n v="1622.18"/>
    <n v="1234.27"/>
    <m/>
  </r>
  <r>
    <x v="22"/>
    <s v="23/07/2026"/>
    <x v="13"/>
    <s v="JORGE REYES MARQUEZ"/>
    <n v="31836500871"/>
    <s v="REMJ650121HCLYRR05"/>
    <n v="23019908"/>
    <n v="5218715046483"/>
    <x v="2"/>
    <n v="9760.32"/>
    <n v="2926.91"/>
    <n v="2928.1"/>
    <n v="1.19"/>
    <d v="2027-01-10T00:00:00"/>
  </r>
  <r>
    <x v="22"/>
    <s v="23/07/2026"/>
    <x v="6"/>
    <s v="JESUS MANUEL BADILLO RODRIGUEZ "/>
    <n v="33805928380"/>
    <s v="BARJ591128HCHDDS01"/>
    <n v="23021082"/>
    <n v="5216391354004"/>
    <x v="0"/>
    <n v="16839.48"/>
    <n v="3067.34"/>
    <n v="5051.84"/>
    <n v="1984.5"/>
    <d v="2027-01-04T00:00:00"/>
  </r>
  <r>
    <x v="22"/>
    <s v="23/07/2026"/>
    <x v="26"/>
    <s v="MARIA LUISA GARCIA QUINTERO"/>
    <n v="49796219134"/>
    <s v="GAQL640321MTSRNS08"/>
    <n v="23020950"/>
    <n v="5218681620416"/>
    <x v="3"/>
    <n v="9312.26"/>
    <n v="1840.4"/>
    <n v="2793.68"/>
    <n v="953.28"/>
    <m/>
  </r>
  <r>
    <x v="22"/>
    <s v="23/07/2026"/>
    <x v="30"/>
    <s v="MARIA ISELA BARRON RODRIGUEZ"/>
    <n v="15947209019"/>
    <s v="BARI690909MDFRDS07"/>
    <n v="22988238"/>
    <n v="5215645859587"/>
    <x v="1"/>
    <n v="3908.19"/>
    <n v="848"/>
    <n v="1172.46"/>
    <n v="-848"/>
    <m/>
  </r>
  <r>
    <x v="22"/>
    <s v="23/07/2026"/>
    <x v="6"/>
    <s v="HILARIO ORTIZ RAMOS "/>
    <n v="11654749305"/>
    <s v="OIRH471103HSPRML08"/>
    <n v="23018812"/>
    <n v="5214441164605"/>
    <x v="7"/>
    <n v="12903.64"/>
    <n v="3732.48"/>
    <n v="3871.09"/>
    <n v="138.61000000000001"/>
    <d v="2025-01-05T00:00:00"/>
  </r>
  <r>
    <x v="22"/>
    <s v="23/07/2026"/>
    <x v="41"/>
    <s v="Virginia Arroyo Arvizu"/>
    <m/>
    <s v="AOAV650116MGTRRR07"/>
    <n v="23027824"/>
    <n v="5214613192765"/>
    <x v="0"/>
    <n v="9760.32"/>
    <n v="848"/>
    <n v="2928.1"/>
    <n v="2080.1"/>
    <m/>
  </r>
  <r>
    <x v="22"/>
    <s v="21/07/2026"/>
    <x v="10"/>
    <s v="VICENTE DE LA ROSA ROSAS"/>
    <m/>
    <s v="RORV660405HVZSSC09"/>
    <n v="22883546"/>
    <n v="5212732286933"/>
    <x v="0"/>
    <n v="10636.54"/>
    <m/>
    <n v="3190.962"/>
    <n v="3190.962"/>
    <m/>
  </r>
  <r>
    <x v="22"/>
    <s v="22/07/2026"/>
    <x v="10"/>
    <s v="Norma Alicia Valadez cano"/>
    <n v="24906611108"/>
    <s v="VACN660206MCHLNR06"/>
    <n v="23004738"/>
    <n v="5216441979773"/>
    <x v="2"/>
    <n v="10636.54"/>
    <n v="3189.27"/>
    <n v="3190.962"/>
    <n v="1.6920000000000073"/>
    <d v="2028-06-01T00:00:00"/>
  </r>
  <r>
    <x v="22"/>
    <s v="23/07/2026"/>
    <x v="39"/>
    <s v="Armando Morales Martinez"/>
    <m/>
    <s v="MOMA621210HDFRRR00"/>
    <n v="23030558"/>
    <n v="5565224304"/>
    <x v="0"/>
    <n v="23310.86"/>
    <m/>
    <n v="6993.2579999999998"/>
    <n v="6993.2579999999998"/>
    <m/>
  </r>
  <r>
    <x v="22"/>
    <s v="17/07/2026"/>
    <x v="13"/>
    <s v="CESAR ALEMAN ESTRADA"/>
    <n v="67856502231"/>
    <s v="AEEC650406HVZLSS07"/>
    <n v="22784684"/>
    <n v="5212721684798"/>
    <x v="2"/>
    <n v="9760.32"/>
    <n v="2812.65"/>
    <n v="2928.096"/>
    <n v="115.44599999999991"/>
    <d v="2027-10-01T00:00:00"/>
  </r>
  <r>
    <x v="22"/>
    <s v="23/07/2026"/>
    <x v="23"/>
    <s v="SERGIO BELTRAN BUSTOS"/>
    <n v="33846104660"/>
    <s v="BEBS610217HZSLSR04"/>
    <n v="23007406"/>
    <n v="5214981049629"/>
    <x v="2"/>
    <n v="8634.4"/>
    <n v="2379.2800000000002"/>
    <n v="2590.3199999999997"/>
    <n v="211.03999999999951"/>
    <d v="2026-08-01T00:00:00"/>
  </r>
  <r>
    <x v="22"/>
    <s v="23/07/2026"/>
    <x v="3"/>
    <s v="FERNANDO ABARCA GOMEZ"/>
    <n v="25936916524"/>
    <s v="AAGF690421HGRBMR02"/>
    <n v="23027520"/>
    <n v="5216632117015"/>
    <x v="2"/>
    <n v="7693.6"/>
    <n v="2214.9699999999998"/>
    <n v="2308.08"/>
    <n v="93.110000000000127"/>
    <d v="2027-12-01T00:00:00"/>
  </r>
  <r>
    <x v="22"/>
    <s v="23/07/2026"/>
    <x v="31"/>
    <s v="MANUELA JAIME GALVAN"/>
    <n v="32713310129"/>
    <s v="JAGM580123MCLMLN35"/>
    <n v="2"/>
    <n v="8662544008"/>
    <x v="1"/>
    <n v="3530.52"/>
    <n v="848"/>
    <n v="1059.1559999999999"/>
    <n v="-848"/>
    <m/>
  </r>
  <r>
    <x v="22"/>
    <s v="23/07/2026"/>
    <x v="19"/>
    <m/>
    <n v="65675015187"/>
    <s v="PUCH660113MVZCSR02"/>
    <n v="23028862"/>
    <n v="19242122819"/>
    <x v="2"/>
    <n v="8861.0300000000007"/>
    <n v="2559.0300000000002"/>
    <n v="2658.3090000000002"/>
    <n v="99.278999999999996"/>
    <d v="2027-05-01T00:00:00"/>
  </r>
  <r>
    <x v="22"/>
    <s v="22/07/2026"/>
    <x v="26"/>
    <s v="GUADALUPE RODOLFO GALVEZ CORDOVA"/>
    <n v="88826214426"/>
    <s v="GACG620304HDFLRD08"/>
    <n v="22984028"/>
    <n v="5215565167048"/>
    <x v="2"/>
    <n v="9760.32"/>
    <n v="2806.88"/>
    <n v="2928.096"/>
    <n v="121.21599999999989"/>
    <d v="2027-07-01T00:00:00"/>
  </r>
  <r>
    <x v="22"/>
    <d v="2026-07-23T00:00:00"/>
    <x v="6"/>
    <s v="RUTILIO GONZALEZ LOZA"/>
    <m/>
    <s v="GOLR441113HJCNZT03"/>
    <n v="23020314"/>
    <s v="5213322037721"/>
    <x v="6"/>
    <n v="8299.1"/>
    <n v="2015.16"/>
    <n v="2489.73"/>
    <n v="474.56999999999994"/>
    <d v="2024-10-01T00:00:00"/>
  </r>
  <r>
    <x v="22"/>
    <d v="2026-07-23T00:00:00"/>
    <x v="3"/>
    <s v="ROSA ANA IMELDA ROMO CAREAGA"/>
    <m/>
    <s v="ROCR550504MDFMRS07"/>
    <n v="23012372"/>
    <s v="5215517069313"/>
    <x v="1"/>
    <n v="4226.16"/>
    <m/>
    <n v="1267.848"/>
    <n v="53.180000000000291"/>
    <m/>
  </r>
  <r>
    <x v="22"/>
    <d v="2026-07-23T00:00:00"/>
    <x v="37"/>
    <s v="JOSE OROZCO BARRERA"/>
    <m/>
    <s v="OOBR611031HQRRRM00"/>
    <n v="23032436"/>
    <n v="5219841357497"/>
    <x v="0"/>
    <n v="9760.32"/>
    <m/>
    <n v="2928.096"/>
    <n v="2928.096"/>
    <m/>
  </r>
  <r>
    <x v="22"/>
    <d v="2026-07-23T00:00:00"/>
    <x v="11"/>
    <s v="Oscar Mayo Córdova"/>
    <n v="82926600758"/>
    <m/>
    <n v="23032608"/>
    <n v="5219931160471"/>
    <x v="2"/>
    <n v="10636.54"/>
    <n v="3184.73"/>
    <n v="3190.962"/>
    <n v="6.2319999999999709"/>
    <d v="2028-07-01T00:00:00"/>
  </r>
  <r>
    <x v="22"/>
    <d v="2026-07-23T00:00:00"/>
    <x v="41"/>
    <s v="JULIO CESAR PERALTA ZAMORANO"/>
    <m/>
    <s v="PEZJ630414HSRRML02"/>
    <n v="23029090"/>
    <n v="5216221228242"/>
    <x v="2"/>
    <n v="9081.52"/>
    <n v="2520"/>
    <n v="2724.4560000000001"/>
    <n v="204.45600000000013"/>
    <d v="2026-09-01T00:00:00"/>
  </r>
  <r>
    <x v="22"/>
    <d v="2026-07-23T00:00:00"/>
    <x v="11"/>
    <s v="Jorge Enrique Manzo Moye"/>
    <s v="15805705181"/>
    <m/>
    <n v="23031796"/>
    <n v="5217351020353"/>
    <x v="0"/>
    <n v="9760.32"/>
    <m/>
    <n v="2928.096"/>
    <n v="2928.096"/>
    <m/>
  </r>
  <r>
    <x v="22"/>
    <d v="2026-07-23T00:00:00"/>
    <x v="32"/>
    <s v="ALFONSO ALVAREZ GODINEZ"/>
    <n v="11786026424"/>
    <s v="AAGA600919HGTLDL02"/>
    <n v="2"/>
    <n v="5520954629"/>
    <x v="2"/>
    <n v="5617.63"/>
    <n v="1443.34"/>
    <n v="1685.289"/>
    <n v="1.3100000000006276"/>
    <d v="2027-12-01T00:00:00"/>
  </r>
  <r>
    <x v="22"/>
    <d v="2026-07-23T00:00:00"/>
    <x v="36"/>
    <s v="Jose Antonio Velázquez Jiménez"/>
    <m/>
    <s v="VEJA761028HSRLMN03"/>
    <n v="23031968"/>
    <n v="6221725468"/>
    <x v="1"/>
    <n v="3246.8"/>
    <n v="782"/>
    <n v="974.04"/>
    <n v="-782"/>
    <m/>
  </r>
  <r>
    <x v="22"/>
    <d v="2026-07-23T00:00:00"/>
    <x v="31"/>
    <s v="JOSE DEL CARMEN CENICEROS MUÑOZ"/>
    <n v="31815908988"/>
    <s v="CEMC590712HDGNXR04"/>
    <n v="2"/>
    <s v="871 280 1438"/>
    <x v="2"/>
    <n v="11103.69"/>
    <n v="3212.57"/>
    <n v="3331.107"/>
    <n v="118.53699999999981"/>
    <d v="2027-02-01T00:00:00"/>
  </r>
  <r>
    <x v="22"/>
    <d v="2026-07-23T00:00:00"/>
    <x v="31"/>
    <s v="YOLANDA AVILA HERNANDEZ"/>
    <n v="16897236168"/>
    <s v="AIHY731217MMCVRL06"/>
    <n v="2"/>
    <s v="7297192425"/>
    <x v="2"/>
    <n v="12462.75"/>
    <n v="3605.08"/>
    <n v="3738.83"/>
    <n v="133.75"/>
    <d v="2027-06-01T00:00:00"/>
  </r>
  <r>
    <x v="22"/>
    <d v="2026-07-13T00:00:00"/>
    <x v="29"/>
    <s v="IRMA LAURA CENICEROS ORTEGA"/>
    <s v="31846411382"/>
    <m/>
    <n v="22673378"/>
    <n v="5216141023371"/>
    <x v="0"/>
    <n v="9081.52"/>
    <m/>
    <n v="2724.4560000000001"/>
    <n v="2724.4560000000001"/>
    <m/>
  </r>
  <r>
    <x v="22"/>
    <d v="2026-07-23T00:00:00"/>
    <x v="39"/>
    <s v="Jesus Parra Morales"/>
    <m/>
    <s v="PAMJ650329HDFRRS06"/>
    <n v="23033444"/>
    <n v="5527575598"/>
    <x v="2"/>
    <n v="9760.32"/>
    <n v="2927.79"/>
    <n v="2928.096"/>
    <n v="0.30600000000004002"/>
    <d v="2028-04-01T00:00:00"/>
  </r>
  <r>
    <x v="22"/>
    <d v="2026-07-23T00:00:00"/>
    <x v="26"/>
    <s v="MARIA DE JESUS VILLEGAS"/>
    <n v="12856201426"/>
    <s v="VIXJ620629MGTLXS14"/>
    <n v="23009262"/>
    <n v="5214772862358"/>
    <x v="0"/>
    <n v="7116.73"/>
    <m/>
    <n v="2135.0189999999998"/>
    <n v="2135.0189999999998"/>
    <m/>
  </r>
  <r>
    <x v="22"/>
    <d v="2026-07-23T00:00:00"/>
    <x v="14"/>
    <s v="MARCELINA SANTES MORALES"/>
    <n v="65674725828"/>
    <m/>
    <n v="23007592"/>
    <n v="5217821052834"/>
    <x v="1"/>
    <n v="3908.19"/>
    <m/>
    <n v="1172.4569999999999"/>
    <n v="0"/>
    <m/>
  </r>
  <r>
    <x v="22"/>
    <d v="2026-07-23T00:00:00"/>
    <x v="14"/>
    <s v="GABRIELA MARGARITA ARCE FLORES"/>
    <m/>
    <s v="AEFG611019MPLRLB01"/>
    <n v="23019566"/>
    <n v="5214611481033"/>
    <x v="2"/>
    <n v="6262.86"/>
    <n v="1809.73"/>
    <n v="1878.8579999999997"/>
    <n v="69.127999999999702"/>
    <d v="2027-06-01T00:00:00"/>
  </r>
  <r>
    <x v="22"/>
    <d v="2026-07-22T00:00:00"/>
    <x v="14"/>
    <s v="FELIPE CORDOVA CARMONA"/>
    <m/>
    <s v="COCF510510HZSRRL07"/>
    <n v="23004668"/>
    <n v="5218446662486"/>
    <x v="2"/>
    <n v="30022.720000000001"/>
    <n v="8903.31"/>
    <n v="9006.8160000000007"/>
    <n v="103.50600000000122"/>
    <d v="2028-02-01T00:00:00"/>
  </r>
  <r>
    <x v="22"/>
    <d v="2026-07-23T00:00:00"/>
    <x v="38"/>
    <s v="ADELICIO HERNANDEZ MEDINA"/>
    <n v="81794900803"/>
    <m/>
    <n v="23032674"/>
    <n v="9381707237"/>
    <x v="1"/>
    <n v="3818.93"/>
    <s v="848"/>
    <n v="1145.6789999999999"/>
    <n v="-848"/>
    <m/>
  </r>
  <r>
    <x v="22"/>
    <d v="2026-07-23T00:00:00"/>
    <x v="38"/>
    <s v="ANA MARIA VALLE CARRILLO"/>
    <s v="51897210483 "/>
    <m/>
    <n v="23032050"/>
    <n v="4497663133"/>
    <x v="2"/>
    <n v="8784.27"/>
    <s v="2593.96"/>
    <n v="2635.2809999999999"/>
    <n v="41.320999999999913"/>
    <d v="2028-02-01T00:00:00"/>
  </r>
  <r>
    <x v="22"/>
    <d v="2026-07-23T00:00:00"/>
    <x v="26"/>
    <s v="MARTIN ROSAS PEREZ"/>
    <s v="32896781864"/>
    <s v="ROPM670313HPLSRR05"/>
    <n v="23016342"/>
    <n v="5218442924987"/>
    <x v="0"/>
    <n v="21031.67"/>
    <m/>
    <n v="6309.5009999999993"/>
    <n v="6309.5009999999993"/>
    <m/>
  </r>
  <r>
    <x v="22"/>
    <d v="2026-07-23T00:00:00"/>
    <x v="3"/>
    <s v="RICARDO OLAVARRIETA DE ALBA"/>
    <m/>
    <s v="_x0009_OAAR561019HGTLLC06"/>
    <n v="23014646"/>
    <n v="5214747946258"/>
    <x v="0"/>
    <n v="12721.06"/>
    <m/>
    <n v="3816.3179999999998"/>
    <n v="3816.3179999999998"/>
    <m/>
  </r>
  <r>
    <x v="22"/>
    <d v="2026-07-23T00:00:00"/>
    <x v="26"/>
    <s v="CARLOS JAVIER PEREZ PEREGRINA"/>
    <s v="01785515170"/>
    <s v="PEPC550501HPLRRR09"/>
    <n v="23007636"/>
    <n v="5215527047295"/>
    <x v="2"/>
    <n v="9081.52"/>
    <n v="2627.48"/>
    <n v="2724.4560000000001"/>
    <n v="96.976000000000113"/>
    <d v="2027-04-01T00:00:00"/>
  </r>
  <r>
    <x v="22"/>
    <d v="2026-07-23T00:00:00"/>
    <x v="35"/>
    <s v="ALBERTO BARCENAS"/>
    <n v="53704915510"/>
    <m/>
    <n v="23028936"/>
    <n v="4434903604"/>
    <x v="0"/>
    <n v="14531.78"/>
    <s v="879"/>
    <n v="4359.5339999999997"/>
    <n v="3480.5339999999997"/>
    <m/>
  </r>
  <r>
    <x v="22"/>
    <d v="2026-07-23T00:00:00"/>
    <x v="10"/>
    <s v="Rosario Hernández Santamaría"/>
    <s v="01483300263"/>
    <s v="HESR421109MDFRNS00"/>
    <n v="23011264"/>
    <n v="5215621832566"/>
    <x v="1"/>
    <n v="4084.45"/>
    <n v="267.52999999999997"/>
    <n v="1225.3349999999998"/>
    <n v="-267.52999999999997"/>
    <m/>
  </r>
  <r>
    <x v="22"/>
    <d v="2026-07-23T00:00:00"/>
    <x v="10"/>
    <s v="Armando Barrios Silva"/>
    <s v="01775533217"/>
    <s v="BASA550221HDFRLR07"/>
    <n v="23007396"/>
    <n v="5215542680943"/>
    <x v="6"/>
    <n v="7920.51"/>
    <n v="2091.52"/>
    <n v="2376.1529999999998"/>
    <n v="284.63299999999981"/>
    <d v="2025-11-01T00:00:00"/>
  </r>
  <r>
    <x v="22"/>
    <d v="2026-07-23T00:00:00"/>
    <x v="37"/>
    <m/>
    <n v="78987820012"/>
    <m/>
    <n v="23033848"/>
    <n v="5219711528751"/>
    <x v="5"/>
    <m/>
    <m/>
    <n v="0"/>
    <n v="0"/>
    <m/>
  </r>
  <r>
    <x v="22"/>
    <d v="2026-07-23T00:00:00"/>
    <x v="30"/>
    <s v="ANDRES RAMIREZ LOPEZ"/>
    <m/>
    <s v="RALA631130HMCMPN09"/>
    <n v="23008104"/>
    <n v="5214423157488"/>
    <x v="2"/>
    <n v="25705.87"/>
    <n v="7700"/>
    <n v="7711.7609999999995"/>
    <n v="11.760999999999513"/>
    <d v="2028-06-01T00:00:00"/>
  </r>
  <r>
    <x v="22"/>
    <d v="2026-07-23T00:00:00"/>
    <x v="39"/>
    <s v="Ma. Magdalena Rangel Alvarez"/>
    <m/>
    <s v="RAAM570602MCLNLG08"/>
    <n v="23032666"/>
    <n v="8713933984"/>
    <x v="2"/>
    <n v="7116.73"/>
    <n v="2057.92"/>
    <n v="2135.0189999999998"/>
    <n v="77.098999999999705"/>
    <d v="2027-11-01T00:00:00"/>
  </r>
  <r>
    <x v="22"/>
    <d v="2026-07-23T00:00:00"/>
    <x v="37"/>
    <s v="ERNESTO CORTES GARCIA"/>
    <m/>
    <s v="CXGE641011HPLRRR03"/>
    <n v="23031992"/>
    <n v="5212481134369"/>
    <x v="5"/>
    <m/>
    <m/>
    <n v="0"/>
    <n v="0"/>
    <m/>
  </r>
  <r>
    <x v="22"/>
    <d v="2026-07-23T00:00:00"/>
    <x v="38"/>
    <s v="OLGA JACQUELLINE CASTRO CORRAL"/>
    <m/>
    <s v="CXCO580314MCHSRL04"/>
    <n v="23034092"/>
    <n v="5587596376"/>
    <x v="1"/>
    <n v="4342.43"/>
    <m/>
    <n v="1302.729"/>
    <n v="169.45000000000073"/>
    <m/>
  </r>
  <r>
    <x v="22"/>
    <d v="2026-07-23T00:00:00"/>
    <x v="37"/>
    <s v="ROBLE GUADALUPE VILLAZANA GASPAR"/>
    <n v="32967713507"/>
    <s v="VIGR790514MCLLSB06"/>
    <n v="23034296"/>
    <n v="5218441396051"/>
    <x v="2"/>
    <n v="15359.55"/>
    <n v="4607.26"/>
    <n v="4607.8649999999998"/>
    <n v="0.60499999999956344"/>
    <d v="2027-06-01T00:00:00"/>
  </r>
  <r>
    <x v="23"/>
    <d v="2026-07-23T00:00:00"/>
    <x v="35"/>
    <s v="ARCELIA MORIN CHARLES"/>
    <n v="32725421997"/>
    <s v="MOCA561120MNLRHR01"/>
    <n v="23033304"/>
    <n v="8444281164"/>
    <x v="2"/>
    <n v="50227.78"/>
    <n v="15064.48"/>
    <n v="15068.333999999999"/>
    <n v="3.8539999999993597"/>
    <d v="2027-02-01T00:00:00"/>
  </r>
  <r>
    <x v="23"/>
    <d v="2026-07-22T00:00:00"/>
    <x v="37"/>
    <s v="JUANITA RUBI PIEDRA SORIANO "/>
    <n v="48048550627"/>
    <s v="PISJ851022MPLDRN00"/>
    <n v="23038358"/>
    <n v="5212431322440"/>
    <x v="5"/>
    <m/>
    <m/>
    <n v="0"/>
    <n v="0"/>
    <m/>
  </r>
  <r>
    <x v="23"/>
    <d v="2026-07-24T00:00:00"/>
    <x v="31"/>
    <s v="MA. DEL REFUGIO MALDONADO HERNANDEZ"/>
    <s v="06806106461"/>
    <s v="MAHR670618MDGLRF04"/>
    <n v="2"/>
    <s v="55 6485 2346"/>
    <x v="2"/>
    <n v="26552.93"/>
    <n v="7965"/>
    <n v="7965.8789999999999"/>
    <n v="0.87899999999990541"/>
    <d v="2026-10-01T00:00:00"/>
  </r>
  <r>
    <x v="23"/>
    <d v="2026-07-24T00:00:00"/>
    <x v="31"/>
    <s v="ALFREDO HERNANDEZ GOMEZ"/>
    <s v="01623828520"/>
    <s v="HEGA381028HGTRML01"/>
    <n v="2"/>
    <s v="983 135 2485"/>
    <x v="2"/>
    <n v="7363.38"/>
    <n v="2126.75"/>
    <n v="2209.0140000000001"/>
    <n v="82.264000000000124"/>
    <d v="2027-07-01T00:00:00"/>
  </r>
  <r>
    <x v="23"/>
    <d v="2026-07-24T00:00:00"/>
    <x v="31"/>
    <s v="MANUEL CAYETANO PALAFOX"/>
    <s v="06547330818"/>
    <s v="CAPM530905HVZYLN01"/>
    <n v="2"/>
    <s v="56 1683 3761"/>
    <x v="1"/>
    <n v="3882.85"/>
    <m/>
    <n v="1164.855"/>
    <n v="0"/>
    <m/>
  </r>
  <r>
    <x v="23"/>
    <d v="2026-07-23T00:00:00"/>
    <x v="6"/>
    <s v="RAMON LAZCANO REYES"/>
    <s v="06796182811_x000a_"/>
    <s v="LARR610901HDFZYM06"/>
    <n v="23014586"/>
    <n v="5219986812218"/>
    <x v="2"/>
    <n v="6813.58"/>
    <n v="1891.69"/>
    <n v="2044.0739999999998"/>
    <n v="152.38399999999979"/>
    <d v="2026-12-01T00:00:00"/>
  </r>
  <r>
    <x v="23"/>
    <d v="2026-07-24T00:00:00"/>
    <x v="32"/>
    <s v="LUZ MARIA GARCIA VALDIVIA"/>
    <s v="51925901368"/>
    <s v="GAVL581213MASRLZ08"/>
    <n v="2"/>
    <n v="4493436106"/>
    <x v="2"/>
    <n v="7116.73"/>
    <n v="1975"/>
    <n v="2135.0189999999998"/>
    <n v="160.01899999999978"/>
    <d v="2026-12-01T00:00:00"/>
  </r>
  <r>
    <x v="23"/>
    <d v="2026-07-24T00:00:00"/>
    <x v="32"/>
    <s v="ROGELIO ESQUIVEL POSADAS"/>
    <s v="19805400272"/>
    <s v="EUPR530223HMCSSG06"/>
    <n v="2"/>
    <n v="5519382993"/>
    <x v="2"/>
    <n v="17010.52"/>
    <n v="4919.7"/>
    <n v="5103.1559999999999"/>
    <n v="183.45600000000013"/>
    <d v="2027-08-01T00:00:00"/>
  </r>
  <r>
    <x v="23"/>
    <d v="2026-07-24T00:00:00"/>
    <x v="31"/>
    <s v="PABLO IGNACIO PORTILLO PEÑALOZA"/>
    <s v="06725538026"/>
    <s v="POPP550711HDFRXB04"/>
    <n v="2"/>
    <n v="5525379069"/>
    <x v="2"/>
    <n v="14676.75"/>
    <n v="4393.3599999999997"/>
    <n v="4403.0249999999996"/>
    <n v="9.6649999999999636"/>
    <d v="2027-09-01T00:00:00"/>
  </r>
  <r>
    <x v="23"/>
    <d v="2026-07-24T00:00:00"/>
    <x v="36"/>
    <s v="Julio Antonio Muñoz Potenciano"/>
    <m/>
    <s v="MUPJ620424HTCXTL05"/>
    <n v="23038314"/>
    <n v="9361142259"/>
    <x v="5"/>
    <m/>
    <m/>
    <n v="0"/>
    <n v="0"/>
    <m/>
  </r>
  <r>
    <x v="23"/>
    <d v="2026-07-23T00:00:00"/>
    <x v="14"/>
    <s v="MARIA GABRIELA NUÑEZ ZAVALA"/>
    <m/>
    <s v="NUZG650318MMSXVB04"/>
    <n v="23037662"/>
    <n v="5217775340579"/>
    <x v="2"/>
    <n v="12429.51"/>
    <n v="3596.16"/>
    <n v="3728.8530000000001"/>
    <n v="132.69300000000021"/>
    <d v="2027-09-01T00:00:00"/>
  </r>
  <r>
    <x v="23"/>
    <d v="2026-07-24T00:00:00"/>
    <x v="30"/>
    <s v="MA. CLEMENTINA MARTINEZ OROZCO"/>
    <m/>
    <s v="MAOC590824MGTRRL00"/>
    <n v="23046656"/>
    <n v="5214422039382"/>
    <x v="2"/>
    <n v="34902.089999999997"/>
    <n v="10460.66"/>
    <n v="10470.626999999999"/>
    <n v="9.966999999998734"/>
    <d v="2027-02-01T00:00:00"/>
  </r>
  <r>
    <x v="23"/>
    <d v="2026-07-24T00:00:00"/>
    <x v="32"/>
    <s v="JUAN FRANCISCO BUSTO RAMIREZ"/>
    <s v="32866476974"/>
    <s v="BURJ640920HCLSMN09"/>
    <n v="2"/>
    <n v="8443442121"/>
    <x v="2"/>
    <n v="9760.32"/>
    <n v="2822.57"/>
    <n v="2928.096"/>
    <n v="105.52599999999984"/>
    <d v="2025-05-01T00:00:00"/>
  </r>
  <r>
    <x v="23"/>
    <d v="2026-07-24T00:00:00"/>
    <x v="10"/>
    <s v="JESUS ANGEL HERNANDEZ MARTINEZ"/>
    <m/>
    <s v="HEMJ491001HNLRRS03"/>
    <n v="23048698"/>
    <n v="5218114746025"/>
    <x v="2"/>
    <n v="28095.21"/>
    <n v="8411"/>
    <n v="8428.5630000000001"/>
    <n v="17.563000000000102"/>
    <d v="2027-12-01T00:00:00"/>
  </r>
  <r>
    <x v="23"/>
    <d v="2026-07-24T00:00:00"/>
    <x v="30"/>
    <s v="J. JESUS VALLEJO FERNANDEZ"/>
    <n v="12715407263"/>
    <s v="VAFJ540505HGTLRS05"/>
    <n v="23050142"/>
    <n v="5214622641800"/>
    <x v="1"/>
    <n v="3879.3"/>
    <n v="848"/>
    <n v="1163.79"/>
    <n v="-848"/>
    <m/>
  </r>
  <r>
    <x v="23"/>
    <d v="2026-07-24T00:00:00"/>
    <x v="3"/>
    <s v="JORGE RODRIGUEZ GUTIERRE"/>
    <n v="20886606217"/>
    <s v="ROGJ621031HDFDTR03"/>
    <n v="23048482"/>
    <n v="5219833674878"/>
    <x v="1"/>
    <n v="3902.99"/>
    <m/>
    <n v="1170.8969999999999"/>
    <n v="0"/>
    <m/>
  </r>
  <r>
    <x v="23"/>
    <d v="2026-07-23T00:00:00"/>
    <x v="26"/>
    <s v="GUILLERMO ISLAS ANAYA"/>
    <n v="94937210972"/>
    <s v="IAAG720210HMCSNL08"/>
    <n v="23021358"/>
    <n v="5215532675237"/>
    <x v="0"/>
    <n v="7135.6"/>
    <n v="879"/>
    <n v="2140.6799999999998"/>
    <n v="1261.6799999999998"/>
    <m/>
  </r>
  <r>
    <x v="23"/>
    <d v="2026-07-24T00:00:00"/>
    <x v="38"/>
    <s v="ADRIAN DIAZ VAZQUEZ"/>
    <m/>
    <s v="DIVA580407HSLZZD09"/>
    <n v="23041250"/>
    <n v="4426229296"/>
    <x v="2"/>
    <n v="31723.040000000001"/>
    <n v="9516.64"/>
    <n v="9516.9120000000003"/>
    <n v="0.27200000000084401"/>
    <d v="2027-07-01T00:00:00"/>
  </r>
  <r>
    <x v="23"/>
    <d v="2026-07-24T00:00:00"/>
    <x v="38"/>
    <s v="VERONICA MARTINEZ ANTONIO"/>
    <s v="07967702304"/>
    <s v="MAAV790923MMCRNR05"/>
    <n v="23049464"/>
    <n v="5524350831"/>
    <x v="6"/>
    <n v="6405.06"/>
    <n v="1775.93"/>
    <n v="1921.518"/>
    <n v="145.58799999999997"/>
    <d v="2026-06-01T00:00:00"/>
  </r>
  <r>
    <x v="23"/>
    <d v="2026-07-24T00:00:00"/>
    <x v="36"/>
    <s v="_x0009_ALVARO_x0009_MIJARES_x0009_SERRANO"/>
    <m/>
    <s v="MISA650104HDGJRL05"/>
    <n v="23050884"/>
    <n v="3312398712"/>
    <x v="2"/>
    <n v="11029.03"/>
    <n v="3306.7"/>
    <n v="3308.7090000000003"/>
    <n v="2.0090000000004693"/>
    <d v="2028-04-01T00:00:00"/>
  </r>
  <r>
    <x v="23"/>
    <d v="2026-07-24T00:00:00"/>
    <x v="31"/>
    <s v="MARCOS DE LA CRUZ HERNANDEZ"/>
    <n v="13815805877"/>
    <s v="CUHM561117HHGRRR04"/>
    <n v="2"/>
    <n v="7713715110"/>
    <x v="2"/>
    <n v="9492.73"/>
    <n v="2842.72"/>
    <n v="2847.819"/>
    <n v="5.0990000000001601"/>
    <d v="2028-03-01T00:00:00"/>
  </r>
  <r>
    <x v="23"/>
    <d v="2026-07-24T00:00:00"/>
    <x v="38"/>
    <s v="HECTOR MARTINEZ GUTIERREZ"/>
    <s v="03695260186"/>
    <s v="MAGH521220HSPRTC02"/>
    <n v="23033636"/>
    <n v="8120173066"/>
    <x v="0"/>
    <n v="15727.43"/>
    <m/>
    <n v="4718.2290000000003"/>
    <n v="4718.2290000000003"/>
    <m/>
  </r>
  <r>
    <x v="23"/>
    <d v="2026-07-24T00:00:00"/>
    <x v="6"/>
    <s v="FABIOLA AZAHELA LOZOYA "/>
    <n v="33967609943"/>
    <s v="LOXF760122MCHZXB02"/>
    <n v="23051190"/>
    <n v="5216563603362"/>
    <x v="1"/>
    <n v="2783.2"/>
    <m/>
    <n v="834.95999999999992"/>
    <n v="0"/>
    <m/>
  </r>
  <r>
    <x v="23"/>
    <d v="2026-07-24T00:00:00"/>
    <x v="13"/>
    <s v="LUCERO ANGELICA BARRIENTOS MORALES"/>
    <n v="64836517785"/>
    <s v="BAML650704MDFRRC08"/>
    <n v="23048926"/>
    <n v="5215637782895"/>
    <x v="2"/>
    <n v="9760.32"/>
    <n v="2927.84"/>
    <n v="2928.096"/>
    <n v="0.25599999999985812"/>
    <d v="2028-03-01T00:00:00"/>
  </r>
  <r>
    <x v="23"/>
    <d v="2026-07-24T00:00:00"/>
    <x v="13"/>
    <s v="CANDIDO ROLANDO CRUZ SALOMON"/>
    <n v="84775707122"/>
    <s v="CUSC571011HYNRLN09"/>
    <n v="23049320"/>
    <n v="5219992205909"/>
    <x v="2"/>
    <n v="4993.79"/>
    <n v="790.34"/>
    <n v="1498.1369999999999"/>
    <n v="30.470000000000368"/>
    <d v="2027-12-01T00:00:00"/>
  </r>
  <r>
    <x v="23"/>
    <d v="2026-07-24T00:00:00"/>
    <x v="13"/>
    <s v="LUIS MIGUEL CARRILLO MEJIA"/>
    <n v="62815802152"/>
    <s v="CAML580628HVZRJS06"/>
    <n v="23050582"/>
    <n v="5212213091324"/>
    <x v="2"/>
    <n v="6262.86"/>
    <n v="1810.65"/>
    <n v="1878.8579999999997"/>
    <n v="68.207999999999629"/>
    <d v="2027-09-01T00:00:00"/>
  </r>
  <r>
    <x v="23"/>
    <d v="2026-07-24T00:00:00"/>
    <x v="37"/>
    <s v="JUAN MENDOZA ARAIZA"/>
    <n v="63907247728"/>
    <s v="MEAJ720519HGTNRN07"/>
    <n v="23045118"/>
    <n v="5214131211790"/>
    <x v="1"/>
    <n v="3231.1"/>
    <n v="779"/>
    <n v="969.32999999999993"/>
    <n v="-779"/>
    <m/>
  </r>
  <r>
    <x v="23"/>
    <d v="2026-07-24T00:00:00"/>
    <x v="23"/>
    <s v="IGNACIO VICENCIO MARTINEZ"/>
    <n v="49826411776"/>
    <s v="VIMI641029HVZCRG01"/>
    <n v="22987130"/>
    <n v="5218681615532"/>
    <x v="2"/>
    <n v="9081.44"/>
    <n v="2518.1999999999998"/>
    <n v="2724.4320000000002"/>
    <n v="206.23200000000043"/>
    <d v="2027-01-01T00:00:00"/>
  </r>
  <r>
    <x v="23"/>
    <d v="2026-07-24T00:00:00"/>
    <x v="10"/>
    <s v="Miguel Enrique Molina López"/>
    <n v="24866334543"/>
    <s v="MOLM631124HSRLPG07"/>
    <n v="23039364"/>
    <n v="5216628470915"/>
    <x v="3"/>
    <n v="50082.26"/>
    <n v="14489.99"/>
    <n v="15024.678"/>
    <n v="534.6880000000001"/>
    <d v="2026-08-01T00:00:00"/>
  </r>
  <r>
    <x v="23"/>
    <d v="2026-07-23T00:00:00"/>
    <x v="23"/>
    <s v="MARIA DEL CARMEN CALETI CHAVEZ"/>
    <s v="01725554792"/>
    <s v="CACC560926MDFLHR07"/>
    <n v="23019126"/>
    <n v="5215545798756"/>
    <x v="2"/>
    <n v="5980.05"/>
    <n v="1717.26"/>
    <n v="1794.0150000000001"/>
    <n v="76.755000000000109"/>
    <d v="2027-12-01T00:00:00"/>
  </r>
  <r>
    <x v="23"/>
    <d v="2026-07-24T00:00:00"/>
    <x v="31"/>
    <s v="MARIA DEL PILAR DEL CASTILLO SANDOVAL"/>
    <s v="0785706322"/>
    <s v="CASP570210MDFSNL00"/>
    <n v="2"/>
    <n v="5636008087"/>
    <x v="1"/>
    <n v="4199.87"/>
    <m/>
    <n v="1259.961"/>
    <n v="26.890000000000327"/>
    <m/>
  </r>
  <r>
    <x v="23"/>
    <d v="2026-07-23T00:00:00"/>
    <x v="23"/>
    <s v="ROSA MA. SOTO BELTRAN"/>
    <n v="32796313768"/>
    <s v="SOBR630423MCLTLS22"/>
    <n v="23007704"/>
    <n v="5218782303546"/>
    <x v="3"/>
    <n v="7920.51"/>
    <n v="1436.63"/>
    <n v="2376.1529999999998"/>
    <n v="939.52299999999968"/>
    <d v="2028-01-01T00:00:00"/>
  </r>
  <r>
    <x v="23"/>
    <d v="2026-07-23T00:00:00"/>
    <x v="23"/>
    <s v="Alicia"/>
    <s v="16856409467 "/>
    <m/>
    <n v="23027468"/>
    <n v="5216632135477"/>
    <x v="0"/>
    <n v="9081.52"/>
    <m/>
    <n v="2724.4560000000001"/>
    <n v="2724.4560000000001"/>
    <m/>
  </r>
  <r>
    <x v="23"/>
    <d v="2026-07-23T00:00:00"/>
    <x v="14"/>
    <s v="RAMON CERVANTES ISLAS"/>
    <s v="05685102104"/>
    <s v="CEIR510922HZSRSM04"/>
    <n v="23038264"/>
    <n v="5217772401397"/>
    <x v="1"/>
    <n v="3855.42"/>
    <s v="879"/>
    <n v="1156.626"/>
    <n v="-879"/>
    <m/>
  </r>
  <r>
    <x v="23"/>
    <d v="2026-07-23T00:00:00"/>
    <x v="20"/>
    <s v="Guadalupe Rodriguez"/>
    <n v="35897031486"/>
    <m/>
    <n v="22834102"/>
    <n v="5216141401190"/>
    <x v="1"/>
    <n v="2336.86"/>
    <m/>
    <n v="701.05799999999999"/>
    <n v="0"/>
    <m/>
  </r>
  <r>
    <x v="23"/>
    <d v="2026-07-23T00:00:00"/>
    <x v="19"/>
    <m/>
    <n v="92927612272"/>
    <s v="NEGE790508HDFRND02"/>
    <n v="23032298"/>
    <n v="5215564563698"/>
    <x v="2"/>
    <n v="14821.95"/>
    <s v="4288.14"/>
    <n v="4446.585"/>
    <n v="158.44499999999971"/>
    <d v="2027-06-01T00:00:00"/>
  </r>
  <r>
    <x v="23"/>
    <d v="2026-07-24T00:00:00"/>
    <x v="14"/>
    <s v="JOSE LUIS GUZMAN TORRES"/>
    <m/>
    <s v="GUTL621102HSPZRS05"/>
    <n v="23052072"/>
    <n v="5218343114074"/>
    <x v="2"/>
    <n v="10171.24"/>
    <n v="2939.64"/>
    <n v="3051.3719999999998"/>
    <n v="111.73199999999997"/>
    <d v="2027-03-01T00:00:00"/>
  </r>
  <r>
    <x v="23"/>
    <d v="2026-07-24T00:00:00"/>
    <x v="3"/>
    <s v="ELIAS ORTALEJO HERNANDEZ"/>
    <n v="33796216407"/>
    <s v="OAHE630727HCHRRL08"/>
    <n v="23051454"/>
    <n v="5216142726941"/>
    <x v="2"/>
    <n v="10171.24"/>
    <n v="2942"/>
    <n v="3051.3719999999998"/>
    <n v="109.37199999999984"/>
    <d v="2027-05-01T00:00:00"/>
  </r>
  <r>
    <x v="23"/>
    <d v="2026-07-24T00:00:00"/>
    <x v="37"/>
    <s v="JOSE GONZALEZ CASTRO"/>
    <n v="32786034911"/>
    <s v="GOCM600426HCLNSR02"/>
    <n v="23050904"/>
    <n v="5218661396013"/>
    <x v="3"/>
    <n v="13902.91"/>
    <n v="3642.77"/>
    <n v="4170.8729999999996"/>
    <n v="528.10299999999961"/>
    <d v="2026-08-01T00:00:00"/>
  </r>
  <r>
    <x v="23"/>
    <d v="2026-07-24T00:00:00"/>
    <x v="13"/>
    <s v="LUIS ALEJANDRO BASTO ALCOCER"/>
    <n v="84836416200"/>
    <s v="BAAL640424HYNSLS06"/>
    <n v="23051200"/>
    <n v="5219981558086"/>
    <x v="0"/>
    <n v="35855.53"/>
    <m/>
    <n v="10756.659"/>
    <n v="10756.659"/>
    <m/>
  </r>
  <r>
    <x v="23"/>
    <d v="2026-07-23T00:00:00"/>
    <x v="26"/>
    <s v="ELDA RAMOS GOMEZ"/>
    <n v="22976101182"/>
    <s v="RAGE610808MGRMML06"/>
    <n v="23019992"/>
    <n v="5216243558847"/>
    <x v="6"/>
    <n v="7920.51"/>
    <n v="2193.15"/>
    <n v="2376.1529999999998"/>
    <n v="183.0029999999997"/>
    <d v="2026-06-01T00:00:00"/>
  </r>
  <r>
    <x v="23"/>
    <d v="2026-07-24T00:00:00"/>
    <x v="23"/>
    <s v="ELVIRA BAUTISTA MARIN"/>
    <n v="67917570755"/>
    <s v="BAME800125MGRTRL01"/>
    <n v="23048360"/>
    <n v="5216566517643"/>
    <x v="2"/>
    <n v="8173.37"/>
    <s v="2269.22"/>
    <n v="2452.011"/>
    <n v="182.79100000000017"/>
    <d v="2026-08-01T00:00:00"/>
  </r>
  <r>
    <x v="23"/>
    <d v="2026-07-24T00:00:00"/>
    <x v="30"/>
    <s v="JOSE MARTINEZ ROMERO"/>
    <m/>
    <s v="MARJ540319HMCRMS08"/>
    <n v="23037962"/>
    <n v="5215570121572"/>
    <x v="2"/>
    <n v="13643.44"/>
    <n v="3930.48"/>
    <n v="4093.0320000000002"/>
    <n v="162.55200000000013"/>
    <d v="2027-11-01T00:00:00"/>
  </r>
  <r>
    <x v="23"/>
    <d v="2026-07-24T00:00:00"/>
    <x v="23"/>
    <s v="DANTE MARTINEZ GARCIA"/>
    <s v="01705486494"/>
    <s v="MAGD540131HDFRRN03"/>
    <n v="23051158"/>
    <n v="5215560392259"/>
    <x v="0"/>
    <n v="5617.63"/>
    <m/>
    <n v="1685.289"/>
    <n v="1444.6500000000005"/>
    <m/>
  </r>
  <r>
    <x v="23"/>
    <d v="2026-07-23T00:00:00"/>
    <x v="26"/>
    <s v="GABRIEL SANCHEZ MENDOZA"/>
    <n v="62896611852"/>
    <s v="SAMG660324HPLNNB01"/>
    <n v="23017954"/>
    <n v="5212213475134"/>
    <x v="0"/>
    <n v="10636.54"/>
    <m/>
    <n v="3190.962"/>
    <n v="3190.962"/>
    <m/>
  </r>
  <r>
    <x v="23"/>
    <d v="2026-07-24T00:00:00"/>
    <x v="31"/>
    <s v="ANGEL RAMON LOVERA VILLEGAS"/>
    <n v="16785801057"/>
    <s v="LOVA580615HMCVLN05"/>
    <n v="2"/>
    <n v="7203184208"/>
    <x v="1"/>
    <n v="4342.43"/>
    <m/>
    <n v="1302.729"/>
    <n v="169.45000000000073"/>
    <m/>
  </r>
  <r>
    <x v="23"/>
    <d v="2026-07-23T00:00:00"/>
    <x v="6"/>
    <s v="AIDA VERONICA DIAZ LANZAGORTA "/>
    <s v="01786213924"/>
    <s v="DILA620206MDFZND00"/>
    <n v="23007866"/>
    <n v="5215619307625"/>
    <x v="2"/>
    <n v="7116.73"/>
    <n v="1974.7"/>
    <n v="2135.0189999999998"/>
    <n v="160.31899999999973"/>
    <d v="2026-10-01T00:00:00"/>
  </r>
  <r>
    <x v="23"/>
    <d v="2026-07-23T00:00:00"/>
    <x v="26"/>
    <s v="JOSE LUIS GONZALEZ LEON"/>
    <n v="11926306843"/>
    <s v="GOLL630529HDFNNS06"/>
    <n v="23025612"/>
    <n v="5215527127866"/>
    <x v="2"/>
    <n v="54757.39"/>
    <n v="16421.43"/>
    <n v="16427.217000000001"/>
    <n v="5.7870000000002619"/>
    <d v="2027-10-01T00:00:00"/>
  </r>
  <r>
    <x v="23"/>
    <d v="2026-07-17T00:00:00"/>
    <x v="6"/>
    <s v="SANTA GUADALUPE GALAVIZ DELGADO "/>
    <s v="01674520117"/>
    <s v="GADS741212MSLLLN04"/>
    <n v="22804080"/>
    <n v="5217294539672"/>
    <x v="2"/>
    <n v="7363.38"/>
    <s v="2044.33"/>
    <n v="2209.0140000000001"/>
    <n v="164.6840000000002"/>
    <d v="2027-01-01T00:00:00"/>
  </r>
  <r>
    <x v="23"/>
    <d v="2026-07-24T00:00:00"/>
    <x v="10"/>
    <s v="MARTHA VELAZQUEZ LANDA"/>
    <n v="67725308331"/>
    <s v="VELM710223MVZLNR03"/>
    <n v="23039752"/>
    <n v="5219211532284"/>
    <x v="2"/>
    <n v="5636.59"/>
    <n v="1630.8"/>
    <n v="1690.9770000000001"/>
    <n v="-167.18999999999937"/>
    <d v="2027-06-01T00:00:00"/>
  </r>
  <r>
    <x v="23"/>
    <d v="2026-07-24T00:00:00"/>
    <x v="19"/>
    <s v="JUAN MARTINEZ "/>
    <m/>
    <s v="MALJ581005HSPRPN04"/>
    <n v="23061016"/>
    <n v="5214446353430"/>
    <x v="2"/>
    <n v="14466.54"/>
    <n v="4185.5200000000004"/>
    <n v="4339.9620000000004"/>
    <n v="154.44200000000001"/>
    <d v="2026-10-01T00:00:00"/>
  </r>
  <r>
    <x v="23"/>
    <d v="2026-07-24T00:00:00"/>
    <x v="36"/>
    <s v="ENRIQUE LEOS CAMPOS"/>
    <m/>
    <s v="LECE591203HASSMN02"/>
    <n v="23061444"/>
    <n v="4612926902"/>
    <x v="2"/>
    <n v="5617.63"/>
    <n v="1392.57"/>
    <n v="1685.289"/>
    <n v="52.080000000000609"/>
    <d v="2027-04-01T00:00:00"/>
  </r>
  <r>
    <x v="23"/>
    <d v="2026-07-23T00:00:00"/>
    <x v="37"/>
    <s v="MARIA ELENA MONTAÑEZ VILLA"/>
    <s v="33865828397"/>
    <s v="MOVE700812MCHNLL09"/>
    <n v="23037754"/>
    <n v="5216563858391"/>
    <x v="2"/>
    <n v="13836"/>
    <n v="4150.03"/>
    <n v="4150.8"/>
    <n v="0.77000000000043656"/>
    <d v="2028-02-01T00:00:00"/>
  </r>
  <r>
    <x v="23"/>
    <d v="2026-07-23T00:00:00"/>
    <x v="40"/>
    <s v="Lorenzo huchin uc"/>
    <n v="81856607775"/>
    <s v="HUUL660707HCCCCR00"/>
    <n v="23033164"/>
    <n v="5219812100303"/>
    <x v="3"/>
    <n v="8548.4699999999993"/>
    <n v="2140.66"/>
    <n v="2564.5409999999997"/>
    <n v="423.88099999999986"/>
    <d v="2028-06-01T00:00:00"/>
  </r>
  <r>
    <x v="23"/>
    <d v="2026-07-24T00:00:00"/>
    <x v="26"/>
    <s v="BULMARO SANTOS GUZMAN"/>
    <n v="21815803602"/>
    <s v="SAGB580920HSLNZL07"/>
    <n v="23048684"/>
    <n v="5216221220776"/>
    <x v="2"/>
    <n v="6262.86"/>
    <n v="1799.28"/>
    <n v="1878.8579999999997"/>
    <n v="79.577999999999747"/>
    <d v="2028-01-01T00:00:00"/>
  </r>
  <r>
    <x v="23"/>
    <d v="2026-07-23T00:00:00"/>
    <x v="35"/>
    <s v="Ramon mejia zuñiga"/>
    <m/>
    <s v="MEZR620831HDFJXM09"/>
    <n v="23026316"/>
    <n v="5616550058"/>
    <x v="3"/>
    <n v="9081.52"/>
    <n v="1771.98"/>
    <n v="2724.4560000000001"/>
    <n v="952.47600000000011"/>
    <d v="2027-05-01T00:00:00"/>
  </r>
  <r>
    <x v="23"/>
    <d v="2026-07-24T00:00:00"/>
    <x v="32"/>
    <s v="GUILLERMINA NAPOLES RAMIREZ"/>
    <n v="20886606217"/>
    <s v="NARG660625MDFPML07"/>
    <n v="2"/>
    <n v="9833674878"/>
    <x v="1"/>
    <n v="3902.99"/>
    <m/>
    <n v="1170.8969999999999"/>
    <n v="0"/>
    <m/>
  </r>
  <r>
    <x v="23"/>
    <d v="2026-07-24T00:00:00"/>
    <x v="31"/>
    <s v="GUSTAZO ZAPATA IBARRA"/>
    <n v="32786211188"/>
    <s v="ZAIG620217HCLPBS02"/>
    <n v="2"/>
    <n v="8661826908"/>
    <x v="2"/>
    <n v="7116.73"/>
    <n v="2133.44"/>
    <n v="2135.0189999999998"/>
    <n v="1.5789999999997235"/>
    <d v="2027-04-01T00:00:00"/>
  </r>
  <r>
    <x v="23"/>
    <d v="2026-07-24T00:00:00"/>
    <x v="41"/>
    <s v="JOSE DE JESUS VERDIN CASTILLO"/>
    <m/>
    <s v="VECJ611008HJCRSS04"/>
    <n v="23062504"/>
    <n v="5213328170374"/>
    <x v="2"/>
    <n v="14245.42"/>
    <n v="4269.83"/>
    <n v="4273.6260000000002"/>
    <n v="3.7960000000002765"/>
    <d v="2026-11-01T00:00:00"/>
  </r>
  <r>
    <x v="23"/>
    <d v="2026-07-24T00:00:00"/>
    <x v="36"/>
    <s v="Arcadio leal Hernández"/>
    <m/>
    <s v="_x0009_LEHA430207HPLLRR07"/>
    <n v="23061046"/>
    <n v="2211228830"/>
    <x v="2"/>
    <n v="5176.47"/>
    <n v="1544.81"/>
    <n v="1552.941"/>
    <n v="-541.31999999999925"/>
    <d v="2026-08-01T00:00:00"/>
  </r>
  <r>
    <x v="23"/>
    <d v="2026-07-24T00:00:00"/>
    <x v="20"/>
    <s v="TIMOTEA"/>
    <m/>
    <s v="AAMT550201MHGMTM05"/>
    <n v="22999390"/>
    <n v="5217772170042"/>
    <x v="5"/>
    <m/>
    <m/>
    <n v="0"/>
    <n v="0"/>
    <m/>
  </r>
  <r>
    <x v="23"/>
    <d v="2026-07-23T00:00:00"/>
    <x v="10"/>
    <s v="FELIPE CARDONA CASTILLO"/>
    <n v="49785811651"/>
    <s v="CACF581008HCLRSL04"/>
    <n v="23019720"/>
    <n v="5218444286289"/>
    <x v="6"/>
    <n v="15155.95"/>
    <n v="4384.8999999999996"/>
    <n v="4546.7849999999999"/>
    <n v="161.88500000000022"/>
    <d v="2024-08-01T00:00:00"/>
  </r>
  <r>
    <x v="23"/>
    <d v="2026-07-24T00:00:00"/>
    <x v="26"/>
    <s v="PABLO MARQUEZ MARTINEZ"/>
    <n v="43857019723"/>
    <s v="MAMP700626HNLRRB06"/>
    <n v="23049560"/>
    <n v="5218132367866"/>
    <x v="3"/>
    <n v="24949.72"/>
    <n v="6762.23"/>
    <n v="7484.9160000000002"/>
    <n v="722.6860000000006"/>
    <d v="2027-02-01T00:00:00"/>
  </r>
  <r>
    <x v="23"/>
    <d v="2026-07-24T00:00:00"/>
    <x v="38"/>
    <s v="ANTONIO ALBERTO REBOLLAR CAMACHO"/>
    <m/>
    <s v="RECA630904HDFBMN09"/>
    <n v="23039328"/>
    <n v="5642956938"/>
    <x v="5"/>
    <m/>
    <m/>
    <n v="0"/>
    <n v="0"/>
    <m/>
  </r>
  <r>
    <x v="23"/>
    <d v="2026-07-24T00:00:00"/>
    <x v="13"/>
    <s v="ARMANDO REYES RODRIGUEZ"/>
    <n v="32745912728"/>
    <s v="RERA591215HCLYDR07"/>
    <n v="23046406"/>
    <n v="5218711613550"/>
    <x v="0"/>
    <n v="28731.22"/>
    <m/>
    <n v="8619.366"/>
    <n v="8619.366"/>
    <m/>
  </r>
  <r>
    <x v="23"/>
    <d v="2026-07-24T00:00:00"/>
    <x v="26"/>
    <s v="PAULINO CESAR MAULION"/>
    <m/>
    <s v="CEMP710622HDFSLL00"/>
    <n v="23046962"/>
    <n v="5215663573515"/>
    <x v="1"/>
    <n v="1127.0899999999999"/>
    <m/>
    <n v="338.12699999999995"/>
    <n v="0"/>
    <m/>
  </r>
  <r>
    <x v="23"/>
    <d v="2026-07-24T00:00:00"/>
    <x v="0"/>
    <s v="PABLO LOPEZ GARCIA"/>
    <s v="71755608792"/>
    <s v="LOGP560102HCSPRB05"/>
    <n v="23061008"/>
    <n v="5219625886121"/>
    <x v="9"/>
    <n v="5617.63"/>
    <n v="1390.03"/>
    <n v="1685.289"/>
    <n v="54.620000000000573"/>
    <d v="2025-03-01T00:00:00"/>
  </r>
  <r>
    <x v="23"/>
    <d v="2026-07-24T00:00:00"/>
    <x v="38"/>
    <s v="ATANACIO CAMACHO MORENO"/>
    <n v="49765907719"/>
    <s v="CAMA600503HTSMRT04"/>
    <n v="23034992"/>
    <n v="8681760114"/>
    <x v="2"/>
    <n v="7920.51"/>
    <n v="2374"/>
    <n v="2376.1529999999998"/>
    <n v="2.1529999999997926"/>
    <d v="2027-02-01T00:00:00"/>
  </r>
  <r>
    <x v="23"/>
    <d v="2026-07-24T00:00:00"/>
    <x v="20"/>
    <s v="IRMA "/>
    <m/>
    <s v="LOFI600801MVZPLR02"/>
    <n v="23063150"/>
    <n v="5219221591755"/>
    <x v="5"/>
    <m/>
    <m/>
    <n v="0"/>
    <n v="0"/>
    <m/>
  </r>
  <r>
    <x v="23"/>
    <d v="2026-07-24T00:00:00"/>
    <x v="26"/>
    <s v="J. JESUS PEREZ ARREDONDO"/>
    <n v="14877118977"/>
    <s v="PEAJ710213HQTRRS05"/>
    <n v="23051830"/>
    <n v="5214425575999"/>
    <x v="2"/>
    <n v="6681.7"/>
    <n v="1810.65"/>
    <n v="2004.5099999999998"/>
    <n v="193.85999999999967"/>
    <d v="2027-06-01T00:00:00"/>
  </r>
  <r>
    <x v="23"/>
    <d v="2026-07-24T00:00:00"/>
    <x v="38"/>
    <s v="MARTIN OROZCO LOPEZ"/>
    <n v="54957918680"/>
    <s v="OOLM801103HJCRPR08"/>
    <n v="23037992"/>
    <n v="3481939516"/>
    <x v="4"/>
    <m/>
    <m/>
    <n v="0"/>
    <n v="0"/>
    <m/>
  </r>
  <r>
    <x v="23"/>
    <d v="2026-07-24T00:00:00"/>
    <x v="11"/>
    <s v="Emilio cruz ramirez"/>
    <m/>
    <s v="CURE630317HVZRMM00"/>
    <n v="23062046"/>
    <n v="5218251004232"/>
    <x v="2"/>
    <n v="7920.51"/>
    <n v="2375.52"/>
    <n v="2376.1529999999998"/>
    <n v="0.63299999999981083"/>
    <d v="2028-07-01T00:00:00"/>
  </r>
  <r>
    <x v="23"/>
    <d v="2026-07-24T00:00:00"/>
    <x v="6"/>
    <s v="OMAR BAZALDUA SANDOVAL"/>
    <s v="03664628454"/>
    <s v="BASO460328HNLZNM03"/>
    <n v="23049686"/>
    <n v="5218134148183"/>
    <x v="9"/>
    <n v="10328.93"/>
    <n v="2158.67"/>
    <n v="3098.6790000000001"/>
    <n v="940.00900000000001"/>
    <d v="2024-11-01T00:00:00"/>
  </r>
  <r>
    <x v="23"/>
    <d v="2026-06-30T00:00:00"/>
    <x v="19"/>
    <m/>
    <n v="33745315789"/>
    <s v="RAGA690425MCHMYN09"/>
    <n v="22128172"/>
    <n v="5216391474469"/>
    <x v="6"/>
    <n v="8173.37"/>
    <n v="2451.0100000000002"/>
    <n v="2452.011"/>
    <n v="1.000999999999749"/>
    <d v="2026-07-01T00:00:00"/>
  </r>
  <r>
    <x v="23"/>
    <d v="2026-07-24T00:00:00"/>
    <x v="11"/>
    <s v="Dulce María mendoza torres"/>
    <s v="24684710940"/>
    <s v="METD580906MVZNRL08"/>
    <n v="23061702"/>
    <n v="5219214901004"/>
    <x v="4"/>
    <m/>
    <m/>
    <n v="0"/>
    <n v="0"/>
    <m/>
  </r>
  <r>
    <x v="23"/>
    <d v="2026-07-24T00:00:00"/>
    <x v="20"/>
    <s v="Eric"/>
    <m/>
    <s v="LOOE800705HPLPSR09"/>
    <n v="23060688"/>
    <n v="5212225207405"/>
    <x v="1"/>
    <n v="2798"/>
    <m/>
    <n v="839.4"/>
    <n v="0"/>
    <m/>
  </r>
  <r>
    <x v="23"/>
    <d v="2026-07-24T00:00:00"/>
    <x v="38"/>
    <s v="JUAN DIRGO MENDEZ LOPEZ"/>
    <n v="67917053844"/>
    <m/>
    <n v="23062118"/>
    <n v="9211236027"/>
    <x v="1"/>
    <n v="4263.68"/>
    <m/>
    <n v="1279.104"/>
    <n v="90.700000000000728"/>
    <m/>
  </r>
  <r>
    <x v="23"/>
    <d v="2026-07-24T00:00:00"/>
    <x v="20"/>
    <s v="otilia "/>
    <m/>
    <s v="FOLO600604MJCLRT00"/>
    <n v="23062268"/>
    <n v="5213318404669"/>
    <x v="2"/>
    <n v="5617.63"/>
    <n v="1393.17"/>
    <n v="1685.289"/>
    <n v="51.480000000000473"/>
    <d v="2027-10-01T00:00:00"/>
  </r>
  <r>
    <x v="23"/>
    <d v="2026-07-24T00:00:00"/>
    <x v="41"/>
    <s v="GUADALUPE VELDERRAIN RICARDEZ"/>
    <m/>
    <s v="VERG640307MSRLCD15"/>
    <n v="23064214"/>
    <n v="5216221258857"/>
    <x v="2"/>
    <n v="9760.32"/>
    <n v="2812.52"/>
    <n v="2928.096"/>
    <n v="115.57600000000002"/>
    <d v="2027-10-01T00:00:00"/>
  </r>
  <r>
    <x v="23"/>
    <d v="2026-07-24T00:00:00"/>
    <x v="20"/>
    <s v="Salvador"/>
    <m/>
    <s v="MAPS611224HDFRCL08"/>
    <n v="23064786"/>
    <n v="5215615586581"/>
    <x v="0"/>
    <n v="11526.67"/>
    <n v="848"/>
    <n v="3458.0009999999997"/>
    <n v="2610.0009999999997"/>
    <m/>
  </r>
  <r>
    <x v="23"/>
    <d v="2026-07-24T00:00:00"/>
    <x v="31"/>
    <s v="EDUARDO OLIVARES MALDONADO"/>
    <n v="16897103012"/>
    <s v="OIME611013HMCLLD06"/>
    <n v="2"/>
    <n v="7292671311"/>
    <x v="2"/>
    <n v="22564.15"/>
    <n v="6765.2"/>
    <n v="6769.2449999999999"/>
    <n v="4.0450000000000728"/>
    <d v="2027-05-01T00:00:00"/>
  </r>
  <r>
    <x v="23"/>
    <d v="2026-07-22T00:00:00"/>
    <x v="13"/>
    <s v="JUAN HERNANDEZ GONZALEZ"/>
    <n v="43976617266"/>
    <s v="HEGJ660110HSPRNN06"/>
    <n v="23003640"/>
    <n v="5218132805334"/>
    <x v="4"/>
    <m/>
    <m/>
    <n v="0"/>
    <n v="0"/>
    <m/>
  </r>
  <r>
    <x v="23"/>
    <d v="2026-07-24T00:00:00"/>
    <x v="30"/>
    <s v="JESUS ESPINOZA AGUILAR"/>
    <m/>
    <s v="EIAJ591224HTSSGS04"/>
    <n v="23052532"/>
    <n v="5218683476252"/>
    <x v="2"/>
    <n v="7920.51"/>
    <n v="2344.41"/>
    <n v="2376.1529999999998"/>
    <n v="31.742999999999938"/>
    <d v="2027-12-01T00:00:00"/>
  </r>
  <r>
    <x v="23"/>
    <d v="2026-07-24T00:00:00"/>
    <x v="11"/>
    <s v="Miguel Angel Valencia Perez"/>
    <m/>
    <s v="VAPM600830HPLLRG07"/>
    <n v="23064884"/>
    <n v="5212214080406"/>
    <x v="2"/>
    <n v="9760.32"/>
    <n v="2927.76"/>
    <n v="2928.096"/>
    <n v="0.33599999999978536"/>
    <d v="2027-07-01T00:00:00"/>
  </r>
  <r>
    <x v="23"/>
    <d v="2026-07-22T00:00:00"/>
    <x v="6"/>
    <s v="BALDOMERO NAVARRO ALVAREZ "/>
    <n v="11705132964"/>
    <s v="NAAB510112HJCVLL01"/>
    <n v="22990750"/>
    <n v="16195301267"/>
    <x v="1"/>
    <n v="3961.31"/>
    <m/>
    <n v="1188.393"/>
    <n v="0"/>
    <m/>
  </r>
  <r>
    <x v="23"/>
    <d v="2026-07-16T00:00:00"/>
    <x v="26"/>
    <s v="FIDEL JAVIER ALVARADO CORDERO"/>
    <m/>
    <s v="AACF700323HMCLRD07"/>
    <n v="22764638"/>
    <n v="5215572888803"/>
    <x v="0"/>
    <n v="7119.08"/>
    <n v="848"/>
    <n v="2135.7239999999997"/>
    <n v="1287.7239999999997"/>
    <m/>
  </r>
  <r>
    <x v="23"/>
    <d v="2026-07-24T00:00:00"/>
    <x v="23"/>
    <s v="ROSA IZQUERDO ESPINOZA"/>
    <n v="4986680902"/>
    <s v="IUER680321MTSZSS02"/>
    <n v="23049622"/>
    <n v="5218671632682"/>
    <x v="3"/>
    <n v="13787.87"/>
    <n v="3579.72"/>
    <n v="4136.3609999999999"/>
    <n v="556.64100000000008"/>
    <d v="2027-08-01T00:00:00"/>
  </r>
  <r>
    <x v="23"/>
    <d v="2026-07-24T00:00:00"/>
    <x v="23"/>
    <s v="ERNESTO DELGADO DAVALOS"/>
    <n v="54946606511"/>
    <s v="DEDE661107HJCLVR04"/>
    <n v="23051976"/>
    <n v="5214747386360"/>
    <x v="0"/>
    <n v="13122.88"/>
    <m/>
    <n v="3936.8639999999996"/>
    <n v="3936.8639999999996"/>
    <m/>
  </r>
  <r>
    <x v="23"/>
    <d v="2026-07-24T00:00:00"/>
    <x v="0"/>
    <s v="VICTOR BERNAL"/>
    <n v="33735801004"/>
    <m/>
    <n v="23034742"/>
    <n v="5216145950325"/>
    <x v="1"/>
    <n v="4342.43"/>
    <m/>
    <n v="1302.729"/>
    <n v="169.45000000000073"/>
    <m/>
  </r>
  <r>
    <x v="23"/>
    <d v="2026-07-24T00:00:00"/>
    <x v="39"/>
    <s v="Gilberto Maldonado Guzman"/>
    <m/>
    <s v="MAGG610420HTSLZL05"/>
    <n v="23064700"/>
    <n v="8110708092"/>
    <x v="2"/>
    <n v="7116.73"/>
    <n v="2133.64"/>
    <n v="2135.0189999999998"/>
    <n v="1.3789999999999054"/>
    <d v="2028-03-01T00:00:00"/>
  </r>
  <r>
    <x v="23"/>
    <d v="2026-07-20T00:00:00"/>
    <x v="14"/>
    <s v="GUADALUPE ZUÑIGA IZQUIERDO"/>
    <m/>
    <s v="ZUIG561013MTCXZD09"/>
    <n v="22859498"/>
    <n v="5219931578928"/>
    <x v="3"/>
    <n v="10282.92"/>
    <n v="2571.44"/>
    <n v="3084.8759999999997"/>
    <n v="513.43599999999969"/>
    <d v="2028-03-01T00:00:00"/>
  </r>
  <r>
    <x v="23"/>
    <d v="2026-07-24T00:00:00"/>
    <x v="14"/>
    <s v="PRIMO RAMIREZ LUCIANO"/>
    <n v="28876101701"/>
    <s v="RALP610609HMNMCR06"/>
    <n v="23047422"/>
    <n v="5215573640465"/>
    <x v="0"/>
    <n v="9760.320000000007"/>
    <m/>
    <n v="2928.0960000000018"/>
    <n v="2928.0960000000018"/>
    <m/>
  </r>
  <r>
    <x v="23"/>
    <d v="2026-07-20T00:00:00"/>
    <x v="14"/>
    <s v="Manuel Zapata Yerena"/>
    <n v="43826574964"/>
    <s v="ZAYM651009HNLPRN06"/>
    <n v="22873266"/>
    <n v="5218180103277"/>
    <x v="0"/>
    <n v="21483.13"/>
    <m/>
    <n v="6444.9390000000003"/>
    <n v="6444.9390000000003"/>
    <m/>
  </r>
  <r>
    <x v="23"/>
    <d v="2026-07-24T00:00:00"/>
    <x v="3"/>
    <s v="RICARDO LOERA BARRERAS"/>
    <m/>
    <s v="LOBR530327HSRRRS00"/>
    <n v="22856802"/>
    <n v="5216688203620"/>
    <x v="3"/>
    <n v="5046.1899999999996"/>
    <m/>
    <n v="1513.8569999999997"/>
    <n v="873.21"/>
    <m/>
  </r>
  <r>
    <x v="23"/>
    <d v="2026-07-22T00:00:00"/>
    <x v="26"/>
    <s v="MARCO ANTONIO SANCHEZ ESPINOSA  "/>
    <n v="90907293584"/>
    <s v="SAEM721221HDFNSR05"/>
    <n v="23005816"/>
    <n v="5215565793009"/>
    <x v="3"/>
    <n v="16971.349999999999"/>
    <n v="4775.18"/>
    <n v="5091.4049999999997"/>
    <n v="316.22499999999945"/>
    <d v="2027-06-01T00:00:00"/>
  </r>
  <r>
    <x v="23"/>
    <d v="2026-07-24T00:00:00"/>
    <x v="40"/>
    <s v="Osvaldo Sergio Ortega Pérez"/>
    <n v="62806254405"/>
    <s v="OEPO620805HPLRRS05"/>
    <n v="23065420"/>
    <n v="5212227428554"/>
    <x v="2"/>
    <n v="7116.73"/>
    <n v="2134.98"/>
    <n v="2135.0189999999998"/>
    <n v="3.8999999999759893E-2"/>
    <d v="2027-12-01T00:00:00"/>
  </r>
  <r>
    <x v="23"/>
    <d v="2026-07-23T00:00:00"/>
    <x v="10"/>
    <s v="Carlos Rabiela Lombell"/>
    <s v="01785441971"/>
    <s v="RALC540113HDFBMR06"/>
    <n v="23037456"/>
    <n v="5216623850766"/>
    <x v="2"/>
    <n v="15755.47"/>
    <n v="4721.8100000000004"/>
    <n v="4726.6409999999996"/>
    <n v="4.8309999999992215"/>
    <d v="2028-02-01T00:00:00"/>
  </r>
  <r>
    <x v="23"/>
    <d v="2026-07-24T00:00:00"/>
    <x v="11"/>
    <s v="benjamín bravo bravo "/>
    <m/>
    <s v="BABB840331HSPRRN09"/>
    <n v="23060634"/>
    <n v="5214445798764"/>
    <x v="4"/>
    <m/>
    <m/>
    <n v="0"/>
    <n v="0"/>
    <m/>
  </r>
  <r>
    <x v="23"/>
    <d v="2026-07-24T00:00:00"/>
    <x v="39"/>
    <s v="Irma Lopez Rodriguez"/>
    <m/>
    <s v="LORI690715MZSPDR08"/>
    <n v="23065908"/>
    <n v="3921109934"/>
    <x v="1"/>
    <n v="2649.14"/>
    <m/>
    <n v="794.74199999999996"/>
    <n v="0"/>
    <m/>
  </r>
  <r>
    <x v="23"/>
    <d v="2026-07-24T00:00:00"/>
    <x v="19"/>
    <m/>
    <s v="13816435666"/>
    <m/>
    <n v="23063762"/>
    <n v="5217713830204"/>
    <x v="2"/>
    <n v="9064.2000000000007"/>
    <n v="2681.77"/>
    <n v="2719.26"/>
    <n v="37.490000000000236"/>
    <d v="2027-10-01T00:00:00"/>
  </r>
  <r>
    <x v="23"/>
    <d v="2026-07-24T00:00:00"/>
    <x v="26"/>
    <s v="ENRIQUE GARCIA HERNANDEZ"/>
    <n v="41846312829"/>
    <s v="GAHE630715HSPRRN09"/>
    <n v="23042162"/>
    <n v="5214443492410"/>
    <x v="2"/>
    <n v="23614.18"/>
    <n v="6829.81"/>
    <n v="7084.2539999999999"/>
    <n v="254.44399999999951"/>
    <d v="2027-01-01T00:00:00"/>
  </r>
  <r>
    <x v="23"/>
    <d v="2026-07-24T00:00:00"/>
    <x v="6"/>
    <s v="KIRA PERAZA PAZ "/>
    <n v="8173550029"/>
    <s v="PEPK550419MTCRZR02"/>
    <n v="23039382"/>
    <n v="5219384010286"/>
    <x v="2"/>
    <n v="9202.4699999999993"/>
    <n v="2660"/>
    <n v="2760.7409999999995"/>
    <n v="100.74099999999953"/>
    <d v="2027-04-01T00:00:00"/>
  </r>
  <r>
    <x v="23"/>
    <d v="2026-07-24T00:00:00"/>
    <x v="11"/>
    <s v="OTILIO LOPEZ OLVERA"/>
    <s v="13725103165"/>
    <m/>
    <n v="23082252"/>
    <n v="5217751316607"/>
    <x v="2"/>
    <n v="8800.3700000000008"/>
    <n v="2640.1"/>
    <n v="2640.1110000000003"/>
    <n v="1.1000000000422006E-2"/>
    <d v="2027-10-01T00:00:00"/>
  </r>
  <r>
    <x v="23"/>
    <d v="2026-07-23T00:00:00"/>
    <x v="13"/>
    <s v="RENE CARDONA CARREON"/>
    <m/>
    <s v="CACR591112HDGRRN00"/>
    <n v="23024814"/>
    <n v="5214423567734"/>
    <x v="2"/>
    <n v="16132.22"/>
    <n v="4839.67"/>
    <n v="4839.6659999999993"/>
    <n v="-4.0000000008149073E-3"/>
    <d v="2028-03-01T00:00:00"/>
  </r>
  <r>
    <x v="23"/>
    <d v="2026-07-24T00:00:00"/>
    <x v="20"/>
    <s v="FEDERICO"/>
    <m/>
    <s v="HEMF630302HDFRCD01"/>
    <n v="23085064"/>
    <n v="5215578285240"/>
    <x v="2"/>
    <n v="7920.51"/>
    <n v="2291.6"/>
    <n v="2376.1529999999998"/>
    <n v="84.552999999999884"/>
    <d v="2027-03-01T00:00:00"/>
  </r>
  <r>
    <x v="23"/>
    <d v="2026-07-23T00:00:00"/>
    <x v="6"/>
    <s v="JOSSE BENJAMIN GOMEZ BACILIO "/>
    <s v="06775977397"/>
    <s v="GOBB590331HMCMCN08"/>
    <n v="23038056"/>
    <n v="5215539046165"/>
    <x v="0"/>
    <n v="8430.01"/>
    <m/>
    <n v="2529.0030000000002"/>
    <n v="2529.0030000000002"/>
    <m/>
  </r>
  <r>
    <x v="23"/>
    <d v="2026-07-24T00:00:00"/>
    <x v="39"/>
    <s v="Alberto Ortega Hernandez"/>
    <m/>
    <s v="OEHA630228HTCRRL00"/>
    <n v="23065988"/>
    <n v="9931996664"/>
    <x v="0"/>
    <n v="10571.66"/>
    <m/>
    <n v="3171.498"/>
    <n v="3171.498"/>
    <m/>
  </r>
  <r>
    <x v="23"/>
    <d v="2026-07-23T00:00:00"/>
    <x v="38"/>
    <s v="CRISTINA RAMOS ROSALES"/>
    <m/>
    <s v="RARC760617MPLMSR09"/>
    <n v="23031288"/>
    <n v="2231068999"/>
    <x v="5"/>
    <m/>
    <m/>
    <n v="0"/>
    <n v="0"/>
    <m/>
  </r>
  <r>
    <x v="23"/>
    <d v="2026-07-24T00:00:00"/>
    <x v="0"/>
    <s v="MARIO LUNA RODRIGUEZ"/>
    <m/>
    <s v="LURM590119HZSNDR05"/>
    <n v="23065380"/>
    <n v="5218131950721"/>
    <x v="2"/>
    <n v="7920.51"/>
    <n v="2375"/>
    <n v="2376.1529999999998"/>
    <n v="1.1529999999997926"/>
    <d v="2028-06-01T00:00:00"/>
  </r>
  <r>
    <x v="23"/>
    <d v="2026-07-20T00:00:00"/>
    <x v="3"/>
    <s v="CARLOS BAEZ LEON"/>
    <m/>
    <s v="_x0009_BALC511107HMNZNR03"/>
    <n v="22872378"/>
    <n v="5215547831885"/>
    <x v="2"/>
    <n v="16467.509999999998"/>
    <n v="4940.25"/>
    <n v="4940.2529999999997"/>
    <n v="2.9999999997016857E-3"/>
    <d v="2027-10-01T00:00:00"/>
  </r>
  <r>
    <x v="23"/>
    <d v="2026-07-23T00:00:00"/>
    <x v="10"/>
    <s v="CARLOS SANCHEZ GONZALEZ"/>
    <m/>
    <s v="SAGC571103HMNNNR02"/>
    <n v="23038168"/>
    <n v="5213515190433"/>
    <x v="9"/>
    <n v="9629.15"/>
    <n v="2785.94"/>
    <n v="2888.7449999999999"/>
    <n v="102.80499999999984"/>
    <d v="2026-06-01T00:00:00"/>
  </r>
  <r>
    <x v="23"/>
    <d v="2026-07-24T00:00:00"/>
    <x v="11"/>
    <s v="Juan Antonio de la Cruz Aguilar"/>
    <m/>
    <s v="CUAJ640427HCLRGN00"/>
    <n v="23065722"/>
    <n v="5218712514343"/>
    <x v="0"/>
    <n v="10636.539999999999"/>
    <m/>
    <n v="3190.9619999999995"/>
    <n v="3190.9619999999995"/>
    <m/>
  </r>
  <r>
    <x v="23"/>
    <d v="2026-07-24T00:00:00"/>
    <x v="6"/>
    <s v="NAHUM N. OSEGUERA JUAREZ "/>
    <s v="0-6755656763"/>
    <s v="OEJN561124HOCSRH05"/>
    <n v="23088358"/>
    <n v="5215539346991"/>
    <x v="1"/>
    <n v="4159.45"/>
    <m/>
    <n v="1247.8349999999998"/>
    <n v="0"/>
    <m/>
  </r>
  <r>
    <x v="23"/>
    <d v="2026-07-24T00:00:00"/>
    <x v="23"/>
    <s v="JOSE LUIS CALLES CHAN"/>
    <m/>
    <s v="CACL530206HTCLHS12"/>
    <n v="23047824"/>
    <n v="5212295515828"/>
    <x v="0"/>
    <n v="8608.4500000000007"/>
    <s v="848"/>
    <n v="2582.5350000000003"/>
    <n v="1734.5350000000003"/>
    <m/>
  </r>
  <r>
    <x v="23"/>
    <d v="2026-07-24T00:00:00"/>
    <x v="11"/>
    <s v="SANTOS ENCINIA EGUIA"/>
    <s v="43776110017"/>
    <m/>
    <n v="23088956"/>
    <n v="5218182069781"/>
    <x v="2"/>
    <n v="12870.48"/>
    <n v="3720.4"/>
    <n v="3861.1439999999998"/>
    <n v="140.74399999999969"/>
    <d v="2027-07-01T00:00:00"/>
  </r>
  <r>
    <x v="23"/>
    <d v="2026-07-24T00:00:00"/>
    <x v="19"/>
    <m/>
    <m/>
    <s v="SANB650212HCHNVN02"/>
    <n v="23065768"/>
    <n v="5216146658885"/>
    <x v="2"/>
    <n v="9760.32"/>
    <n v="2813.43"/>
    <n v="2928.096"/>
    <n v="114.66600000000017"/>
    <d v="2027-07-01T00:00:00"/>
  </r>
  <r>
    <x v="23"/>
    <d v="2026-07-24T00:00:00"/>
    <x v="0"/>
    <s v="REYNA"/>
    <s v="04906304532"/>
    <m/>
    <n v="23071740"/>
    <n v="5213317629107"/>
    <x v="2"/>
    <n v="9081.52"/>
    <n v="2627.5"/>
    <n v="2724.4560000000001"/>
    <n v="96.956000000000131"/>
    <d v="2027-03-01T00:00:00"/>
  </r>
  <r>
    <x v="23"/>
    <d v="2026-07-24T00:00:00"/>
    <x v="36"/>
    <s v="ELIDA GOMEZ"/>
    <n v="12046601873"/>
    <m/>
    <n v="23088356"/>
    <n v="4775864155"/>
    <x v="2"/>
    <n v="10310.719999999999"/>
    <n v="3093"/>
    <n v="3093.2159999999999"/>
    <n v="0.2159999999998945"/>
    <d v="2028-07-01T00:00:00"/>
  </r>
  <r>
    <x v="23"/>
    <d v="2026-07-24T00:00:00"/>
    <x v="36"/>
    <s v="ANA MARIA CAMPOY CORRAL"/>
    <m/>
    <s v="_x0009_CXCA490423MSRMRN02"/>
    <n v="23089218"/>
    <n v="6444551599"/>
    <x v="1"/>
    <n v="3960.31"/>
    <s v="848"/>
    <n v="1188.0929999999998"/>
    <n v="-848"/>
    <m/>
  </r>
  <r>
    <x v="23"/>
    <d v="2026-07-23T00:00:00"/>
    <x v="36"/>
    <s v="Antonio León Hernández"/>
    <m/>
    <s v="LEHA631004HGTNRN07"/>
    <n v="23031456"/>
    <n v="4623383344"/>
    <x v="2"/>
    <n v="21171.35"/>
    <n v="6351.41"/>
    <n v="6351.4049999999997"/>
    <n v="-5.0000000001091394E-3"/>
    <d v="2027-12-01T00:00:00"/>
  </r>
  <r>
    <x v="23"/>
    <d v="2026-07-24T00:00:00"/>
    <x v="6"/>
    <s v="ANDRES OROPEZA LARA "/>
    <n v="62846312247"/>
    <s v="OOLA630907HPLRRN09"/>
    <n v="23089110"/>
    <n v="5212382035750"/>
    <x v="2"/>
    <n v="15323.09"/>
    <n v="4596.93"/>
    <n v="4596.9269999999997"/>
    <n v="-3.0000000006111804E-3"/>
    <d v="2027-10-01T00:00:00"/>
  </r>
  <r>
    <x v="23"/>
    <d v="2026-07-24T00:00:00"/>
    <x v="6"/>
    <s v="AMADOR MERCADO MONTES"/>
    <s v="41806301556"/>
    <s v="MEMA630501HSPRNM04"/>
    <n v="23088900"/>
    <n v="5214811208525"/>
    <x v="2"/>
    <n v="25911.9"/>
    <n v="7771.32"/>
    <n v="7773.57"/>
    <n v="2.25"/>
    <d v="2027-07-01T00:00:00"/>
  </r>
  <r>
    <x v="23"/>
    <d v="2026-07-24T00:00:00"/>
    <x v="11"/>
    <s v="gabriel gonzalez ortega "/>
    <m/>
    <s v="GOOG760324HJCNRB01"/>
    <n v="23089558"/>
    <n v="5213326256992"/>
    <x v="2"/>
    <n v="10559.68"/>
    <n v="3167.87"/>
    <n v="3167.904"/>
    <n v="3.4000000000105501E-2"/>
    <d v="2027-06-01T00:00:00"/>
  </r>
  <r>
    <x v="24"/>
    <d v="2026-07-25T00:00:00"/>
    <x v="31"/>
    <s v="SALVADOR VARGAS ROBLES"/>
    <s v="01785989417"/>
    <s v="VARS590212HDFRBL00"/>
    <n v="2"/>
    <n v="5667683078"/>
    <x v="2"/>
    <n v="9760.32"/>
    <n v="2926.65"/>
    <n v="2928.096"/>
    <n v="1.4459999999999127"/>
    <d v="2028-03-01T00:00:00"/>
  </r>
  <r>
    <x v="24"/>
    <d v="2026-07-25T00:00:00"/>
    <x v="31"/>
    <s v="JUAN RUBEN GUTIERREZ AVILA"/>
    <s v="01765343767"/>
    <s v="GUAJ530624HDFTVN05"/>
    <n v="2"/>
    <n v="4621003072"/>
    <x v="2"/>
    <n v="5424.42"/>
    <n v="1206.9000000000001"/>
    <n v="1627.326"/>
    <n v="44.540000000000418"/>
    <d v="2027-10-01T00:00:00"/>
  </r>
  <r>
    <x v="24"/>
    <d v="2026-07-25T00:00:00"/>
    <x v="31"/>
    <s v="ABEL HUITRON MARTINEZ"/>
    <n v="92966203744"/>
    <s v="HUMA620119HDFTRB01"/>
    <n v="2"/>
    <n v="5544147987"/>
    <x v="2"/>
    <n v="9081.52"/>
    <n v="2518.41"/>
    <n v="2724.4560000000001"/>
    <n v="206.04600000000028"/>
    <d v="2026-11-01T00:00:00"/>
  </r>
  <r>
    <x v="24"/>
    <d v="2026-07-24T00:00:00"/>
    <x v="38"/>
    <s v="FRANCISCO VILLALOBOS MEJIA"/>
    <m/>
    <s v="VIMF581004HCLLJR08"/>
    <n v="23049124"/>
    <n v="8661347788"/>
    <x v="2"/>
    <n v="20228.48"/>
    <n v="6066.83"/>
    <n v="6068.5439999999999"/>
    <n v="1.7139999999999418"/>
    <d v="2026-09-01T00:00:00"/>
  </r>
  <r>
    <x v="24"/>
    <d v="2026-07-25T00:00:00"/>
    <x v="32"/>
    <s v="JUAN ANTONIO TORRES SALDAÑA"/>
    <n v="4390600654"/>
    <s v="TOSJ601108HNLRLN19"/>
    <n v="2"/>
    <n v="8122068946"/>
    <x v="2"/>
    <n v="12511.16"/>
    <n v="3752.9"/>
    <n v="3753.348"/>
    <n v="0.44799999999986539"/>
    <d v="2027-04-01T00:00:00"/>
  </r>
  <r>
    <x v="24"/>
    <d v="2026-07-25T00:00:00"/>
    <x v="26"/>
    <s v="MA. DEL SOCORRO YAÑEZ PEREZ"/>
    <n v="49966638121"/>
    <s v="YAPS660510MTSXRC04"/>
    <n v="23098592"/>
    <n v="5218311181642"/>
    <x v="0"/>
    <n v="10636.54"/>
    <m/>
    <n v="3190.962"/>
    <n v="3190.962"/>
    <m/>
  </r>
  <r>
    <x v="24"/>
    <d v="2026-07-24T00:00:00"/>
    <x v="14"/>
    <s v="ABELARDO CASTRO TORRES"/>
    <n v="84816203586"/>
    <s v="CATA620829HYNSRB06"/>
    <n v="23092194"/>
    <n v="5219991083871"/>
    <x v="2"/>
    <n v="9561.24"/>
    <n v="2646.24"/>
    <n v="2868.3719999999998"/>
    <n v="222.13200000000006"/>
    <d v="2026-09-01T00:00:00"/>
  </r>
  <r>
    <x v="24"/>
    <d v="2026-07-24T00:00:00"/>
    <x v="11"/>
    <s v="MA. DE LOS ANGELES ALVAREZ  FLORES "/>
    <m/>
    <s v="AAFA651018MCLLLN03"/>
    <n v="22831756"/>
    <n v="5218448061887"/>
    <x v="2"/>
    <n v="10636.54"/>
    <n v="3188.61"/>
    <n v="3190.962"/>
    <n v="2.3519999999998618"/>
    <d v="2028-06-01T00:00:00"/>
  </r>
  <r>
    <x v="24"/>
    <d v="2026-07-25T00:00:00"/>
    <x v="10"/>
    <s v="ELISA ARTEAGA LOPEZ"/>
    <s v="06786091857_x000a_"/>
    <s v="AELE600419MHGRPL09"/>
    <n v="23092796"/>
    <n v="5215527402743"/>
    <x v="2"/>
    <n v="18606.099999999999"/>
    <n v="5581.71"/>
    <n v="5581.829999999999"/>
    <n v="0.11999999999898137"/>
    <d v="2027-03-01T00:00:00"/>
  </r>
  <r>
    <x v="24"/>
    <d v="2026-07-24T00:00:00"/>
    <x v="26"/>
    <s v="FRANCISCO JAVIER GARCIA SALAZAR"/>
    <n v="53866500332"/>
    <s v="GASF650210HGTRLR06"/>
    <n v="23048234"/>
    <n v="5214623555526"/>
    <x v="2"/>
    <n v="16800.099999999999"/>
    <n v="4860.67"/>
    <n v="5040.03"/>
    <n v="179.35999999999967"/>
    <d v="2027-06-01T00:00:00"/>
  </r>
  <r>
    <x v="24"/>
    <d v="2026-07-25T00:00:00"/>
    <x v="31"/>
    <s v="ANTONIO FRANCISCO MARTINEZ LIRA"/>
    <n v="12816010024"/>
    <s v="MALA600317HOCRRN04"/>
    <n v="2"/>
    <n v="3348104016"/>
    <x v="2"/>
    <n v="9081.52"/>
    <n v="2627.5"/>
    <n v="2724.4560000000001"/>
    <n v="96.956000000000131"/>
    <d v="2027-02-01T00:00:00"/>
  </r>
  <r>
    <x v="24"/>
    <d v="2026-07-24T00:00:00"/>
    <x v="26"/>
    <s v="JUAN CARLOS CURIEL MARTINEZ"/>
    <s v="01796009593"/>
    <s v="CUMJ600421HDFRRN05"/>
    <n v="23091902"/>
    <n v="5215619383590"/>
    <x v="2"/>
    <n v="7016.73"/>
    <n v="1949.67"/>
    <n v="2105.0189999999998"/>
    <n v="155.34899999999971"/>
    <d v="2027-08-01T00:00:00"/>
  </r>
  <r>
    <x v="24"/>
    <d v="2026-07-25T00:00:00"/>
    <x v="6"/>
    <s v="JOSE ANTONIO FELGEUREZ CARDONA"/>
    <n v="10695119114"/>
    <s v="FECA510208HDFLRN00"/>
    <n v="23099906"/>
    <n v="5215512996864"/>
    <x v="2"/>
    <n v="6776.21"/>
    <n v="2018.47"/>
    <n v="2032.8629999999998"/>
    <n v="14.392999999999802"/>
    <d v="2026-10-01T00:00:00"/>
  </r>
  <r>
    <x v="24"/>
    <d v="2026-07-25T00:00:00"/>
    <x v="6"/>
    <s v="JOSE MANUEL CORTEZ TORRES"/>
    <n v="22806306613"/>
    <s v="COTJ630624HBCRRN03"/>
    <n v="23097674"/>
    <n v="5216151000276"/>
    <x v="6"/>
    <n v="7920.51"/>
    <n v="1842.71"/>
    <n v="2376.1529999999998"/>
    <n v="533.44299999999976"/>
    <d v="2026-01-01T00:00:00"/>
  </r>
  <r>
    <x v="24"/>
    <d v="2026-07-25T00:00:00"/>
    <x v="31"/>
    <s v="LUIS MAURO BALDERAS SUSTAITA"/>
    <n v="43816224471"/>
    <s v="BASL621228HNLLSS06"/>
    <n v="2"/>
    <n v="8114741997"/>
    <x v="2"/>
    <n v="7920.51"/>
    <n v="2375.65"/>
    <n v="2376.1529999999998"/>
    <n v="0.50299999999970169"/>
    <d v="2027-10-01T00:00:00"/>
  </r>
  <r>
    <x v="24"/>
    <d v="2026-07-24T00:00:00"/>
    <x v="14"/>
    <s v="CARLOS MARCIAL DIAZ"/>
    <n v="78796309173"/>
    <s v="MADC630204HOCRZR04"/>
    <n v="23091860"/>
    <n v="5216564470517"/>
    <x v="2"/>
    <n v="9760.32"/>
    <n v="2823.89"/>
    <n v="2928.096"/>
    <n v="104.20600000000013"/>
    <d v="2027-09-01T00:00:00"/>
  </r>
  <r>
    <x v="24"/>
    <d v="2026-07-24T00:00:00"/>
    <x v="20"/>
    <s v="_x0009_JESUS MANUEL"/>
    <m/>
    <s v="AAPJ641101HNLLXS00"/>
    <n v="23088918"/>
    <n v="5218148004855"/>
    <x v="2"/>
    <n v="27064.48"/>
    <n v="7829.22"/>
    <n v="8119.3439999999991"/>
    <n v="290.12399999999889"/>
    <d v="2026-10-01T00:00:00"/>
  </r>
  <r>
    <x v="24"/>
    <d v="2026-07-25T00:00:00"/>
    <x v="38"/>
    <s v="J. CARLOS HERNANDEZ MERIDA"/>
    <m/>
    <s v="HEMC581111HQTRRR07"/>
    <n v="23100774"/>
    <n v="4423770824"/>
    <x v="2"/>
    <n v="5617.63"/>
    <n v="1180.01"/>
    <n v="1685.289"/>
    <n v="264.64000000000055"/>
    <d v="2028-08-01T00:00:00"/>
  </r>
  <r>
    <x v="24"/>
    <d v="2026-07-25T00:00:00"/>
    <x v="14"/>
    <s v="FRANCISCO JAVIER CASTILLO GAONA"/>
    <n v="32786002223"/>
    <s v="CAGF600426HTSSNR00"/>
    <n v="23100746"/>
    <n v="5218448936036"/>
    <x v="2"/>
    <n v="12894.75"/>
    <n v="3868.42"/>
    <n v="3868.4249999999997"/>
    <n v="4.999999999654392E-3"/>
    <d v="2026-11-01T00:00:00"/>
  </r>
  <r>
    <x v="24"/>
    <d v="2026-07-25T00:00:00"/>
    <x v="6"/>
    <s v="JOSE DE JESUS PEÑA RIVERA "/>
    <n v="43816583819"/>
    <s v="PERJ650729HTSXVS09"/>
    <n v="23100930"/>
    <n v="5218144920231"/>
    <x v="2"/>
    <n v="9760.32"/>
    <n v="2822.92"/>
    <n v="2928.096"/>
    <n v="105.17599999999993"/>
    <d v="2027-09-01T00:00:00"/>
  </r>
  <r>
    <x v="24"/>
    <d v="2026-07-25T00:00:00"/>
    <x v="38"/>
    <s v="VICTOR ELOY JIMENEZ PARTIDA"/>
    <n v="55755413576"/>
    <s v="JIPV541202HNTMRC07"/>
    <n v="23101092"/>
    <n v="3891020042"/>
    <x v="0"/>
    <n v="24824.3"/>
    <m/>
    <n v="7447.2899999999991"/>
    <n v="7447.2899999999991"/>
    <m/>
  </r>
  <r>
    <x v="24"/>
    <d v="2026-07-23T00:00:00"/>
    <x v="26"/>
    <s v="RAMON ALBERTO ORTIZ RASCON"/>
    <n v="35886621040"/>
    <s v="OIRR660601HCHRSM05"/>
    <n v="23027632"/>
    <n v="5216871652733"/>
    <x v="0"/>
    <n v="10636.54"/>
    <m/>
    <n v="3190.962"/>
    <n v="3190.962"/>
    <m/>
  </r>
  <r>
    <x v="24"/>
    <d v="2026-07-25T00:00:00"/>
    <x v="23"/>
    <s v="RAUL MEJIA GOMEZ"/>
    <n v="54796407481"/>
    <s v="MEGR631115HJCJML02"/>
    <n v="23092834"/>
    <n v="5213320469868"/>
    <x v="0"/>
    <n v="22809.64"/>
    <m/>
    <n v="6842.8919999999998"/>
    <n v="6842.8919999999998"/>
    <m/>
  </r>
  <r>
    <x v="24"/>
    <d v="2026-07-25T00:00:00"/>
    <x v="35"/>
    <s v="Martin solis rodriguez"/>
    <m/>
    <s v="SORM651211HVZLDR06"/>
    <n v="23100760"/>
    <n v="2712460955"/>
    <x v="2"/>
    <n v="15069.59"/>
    <n v="4468.2"/>
    <n v="4520.8769999999995"/>
    <n v="52.67699999999968"/>
    <d v="2028-03-01T00:00:00"/>
  </r>
  <r>
    <x v="24"/>
    <d v="2026-07-25T00:00:00"/>
    <x v="36"/>
    <s v="Ana Bertha Salmerón Gómez"/>
    <n v="23906933066"/>
    <m/>
    <n v="23101516"/>
    <n v="6681563558"/>
    <x v="1"/>
    <n v="3513.79"/>
    <s v="848"/>
    <n v="1054.1369999999999"/>
    <n v="-848"/>
    <m/>
  </r>
  <r>
    <x v="24"/>
    <d v="2026-07-24T00:00:00"/>
    <x v="14"/>
    <s v="MARTHA ALICIA PAVON HERNANDEZ"/>
    <m/>
    <s v="PAHM600606MDFVRR03"/>
    <n v="23092318"/>
    <n v="5215523233109"/>
    <x v="2"/>
    <n v="7116.73"/>
    <n v="2053.75"/>
    <n v="2135.0189999999998"/>
    <n v="81.268999999999778"/>
    <d v="2027-04-01T00:00:00"/>
  </r>
  <r>
    <x v="24"/>
    <d v="2026-07-25T00:00:00"/>
    <x v="30"/>
    <s v="RODOLFO MARTÍNEZ TORRES"/>
    <n v="53856427165"/>
    <s v="MATR640814HMNRRD05"/>
    <n v="23048510"/>
    <n v="5214523063293"/>
    <x v="2"/>
    <n v="10414.52"/>
    <n v="3007.35"/>
    <n v="3124.3560000000002"/>
    <n v="117.00600000000031"/>
    <d v="2027-01-01T00:00:00"/>
  </r>
  <r>
    <x v="24"/>
    <d v="2026-07-24T00:00:00"/>
    <x v="20"/>
    <s v="ELBA"/>
    <n v="65654720732"/>
    <s v="GOHE660704MVZMRL09"/>
    <n v="23082838"/>
    <n v="5217838310608"/>
    <x v="1"/>
    <n v="3437.04"/>
    <n v="828"/>
    <n v="1031.1119999999999"/>
    <n v="-828"/>
    <m/>
  </r>
  <r>
    <x v="24"/>
    <d v="2026-07-25T00:00:00"/>
    <x v="37"/>
    <s v="LEUCADIO FLORES MENDOZA "/>
    <m/>
    <s v="FOML741209HVZLNC04"/>
    <n v="23101522"/>
    <n v="5219381375880"/>
    <x v="1"/>
    <n v="4929.59"/>
    <n v="729.9"/>
    <n v="1478.877"/>
    <n v="26.710000000000605"/>
    <m/>
  </r>
  <r>
    <x v="24"/>
    <d v="2026-07-24T00:00:00"/>
    <x v="40"/>
    <s v="Felipe de Jesus Navarro Soto"/>
    <m/>
    <s v="SONF540205HNLTVL07"/>
    <n v="23088298"/>
    <n v="5216633343841"/>
    <x v="0"/>
    <n v="15526.18"/>
    <m/>
    <n v="4657.8540000000003"/>
    <n v="4657.8540000000003"/>
    <m/>
  </r>
  <r>
    <x v="24"/>
    <d v="2026-07-25T00:00:00"/>
    <x v="37"/>
    <s v="VICTOR MANUEL ECHEVERRIA PEREZ"/>
    <m/>
    <s v="EEPV530325HCSCRC05"/>
    <n v="23101142"/>
    <n v="5219611209473"/>
    <x v="2"/>
    <n v="8440.7800000000007"/>
    <n v="2439.69"/>
    <n v="2532.2339999999999"/>
    <n v="92.543999999999869"/>
    <d v="2026-11-01T00:00:00"/>
  </r>
  <r>
    <x v="24"/>
    <d v="2026-07-25T00:00:00"/>
    <x v="3"/>
    <s v="RUBEN FROILAN VILLAR PONCE"/>
    <m/>
    <s v="_x0009_VIPR641216HBCLNB29"/>
    <n v="23101724"/>
    <n v="5215634810480"/>
    <x v="2"/>
    <n v="9081.52"/>
    <n v="2617.87"/>
    <n v="2724.4560000000001"/>
    <n v="106.58600000000024"/>
    <d v="2027-06-01T00:00:00"/>
  </r>
  <r>
    <x v="24"/>
    <d v="2026-07-25T00:00:00"/>
    <x v="30"/>
    <s v="MARIA GUADALUPE GARCIA PINEDA"/>
    <n v="11735585892"/>
    <s v="GAPG591211MDFRND08"/>
    <n v="23102030"/>
    <n v="5215574318196"/>
    <x v="2"/>
    <n v="15393.39"/>
    <n v="4615.01"/>
    <n v="4618.0169999999998"/>
    <n v="3.0069999999996071"/>
    <d v="2026-11-01T00:00:00"/>
  </r>
  <r>
    <x v="24"/>
    <d v="2026-07-25T00:00:00"/>
    <x v="3"/>
    <s v="ANTONIO SAUCEDO GONZALEZ"/>
    <m/>
    <s v="SAGA510310HCLCNN09"/>
    <n v="22871140"/>
    <n v="5218661404755"/>
    <x v="1"/>
    <n v="3855.42"/>
    <m/>
    <n v="1156.626"/>
    <n v="0"/>
    <m/>
  </r>
  <r>
    <x v="24"/>
    <d v="2026-07-08T00:00:00"/>
    <x v="19"/>
    <m/>
    <m/>
    <s v="MEML641226HDFNRS04"/>
    <n v="22458804"/>
    <n v="5215535790361"/>
    <x v="0"/>
    <n v="28044.81"/>
    <n v="1698.81"/>
    <n v="8413.4429999999993"/>
    <n v="6714.6329999999998"/>
    <d v="2028-06-01T00:00:00"/>
  </r>
  <r>
    <x v="24"/>
    <d v="2026-07-24T00:00:00"/>
    <x v="14"/>
    <s v="ALVARO GUTIERRES AGUILAR"/>
    <m/>
    <s v="GUAA660701HDFTGL03"/>
    <n v="23047980"/>
    <n v="5217772353510"/>
    <x v="0"/>
    <n v="10740"/>
    <m/>
    <n v="3222"/>
    <n v="3222"/>
    <m/>
  </r>
  <r>
    <x v="24"/>
    <d v="2026-07-25T00:00:00"/>
    <x v="35"/>
    <s v="Miguel Angel Gómez Padillo"/>
    <m/>
    <s v="GOPM660321HHGMDG06"/>
    <n v="23102974"/>
    <n v="7712729955"/>
    <x v="5"/>
    <m/>
    <m/>
    <n v="0"/>
    <n v="0"/>
    <m/>
  </r>
  <r>
    <x v="24"/>
    <d v="2026-07-25T00:00:00"/>
    <x v="36"/>
    <s v="Ataulfo Sánchez López"/>
    <m/>
    <s v="SALA621108HTCNPT00"/>
    <n v="23103194"/>
    <n v="6643714621"/>
    <x v="2"/>
    <n v="9081.52"/>
    <n v="2608.96"/>
    <n v="2724.4560000000001"/>
    <n v="115.49600000000009"/>
    <d v="2027-12-01T00:00:00"/>
  </r>
  <r>
    <x v="24"/>
    <d v="2026-07-25T00:00:00"/>
    <x v="35"/>
    <s v="RAUL GOMEZ GONZALEZ"/>
    <m/>
    <s v="GOGR640406HCLMNL14"/>
    <n v="23102050"/>
    <n v="8721392968"/>
    <x v="0"/>
    <n v="10636.54"/>
    <m/>
    <n v="3190.962"/>
    <n v="3190.962"/>
    <m/>
  </r>
  <r>
    <x v="24"/>
    <d v="2026-07-22T00:00:00"/>
    <x v="36"/>
    <s v="Juan Jiménez Ramírez"/>
    <m/>
    <s v="JIRJ641105HCSMMN04"/>
    <n v="22993688"/>
    <n v="9981594348"/>
    <x v="1"/>
    <n v="1412.49"/>
    <m/>
    <n v="423.74700000000001"/>
    <n v="0"/>
    <m/>
  </r>
  <r>
    <x v="24"/>
    <d v="2026-07-25T00:00:00"/>
    <x v="18"/>
    <s v="MARÍA GUADALUPE CASTRO ORTEGA "/>
    <n v="35947864381"/>
    <m/>
    <n v="1"/>
    <n v="8701719411"/>
    <x v="4"/>
    <m/>
    <m/>
    <n v="0"/>
    <n v="0"/>
    <m/>
  </r>
  <r>
    <x v="24"/>
    <d v="2026-07-25T00:00:00"/>
    <x v="36"/>
    <s v="Amanda Cuervo riande"/>
    <n v="65734702668"/>
    <s v="CURA560811MVZRNM00"/>
    <n v="23103932"/>
    <n v="2294835213"/>
    <x v="2"/>
    <n v="6405.06"/>
    <n v="1776.31"/>
    <n v="1921.518"/>
    <n v="145.20800000000008"/>
    <d v="2026-11-01T00:00:00"/>
  </r>
  <r>
    <x v="24"/>
    <d v="2026-07-24T00:00:00"/>
    <x v="10"/>
    <s v="AGRIPINO ESCALERA GONZALEZ"/>
    <m/>
    <s v="EAGA600512HGRSNG04"/>
    <n v="23092124"/>
    <n v="5216242291039"/>
    <x v="2"/>
    <n v="9081.52"/>
    <n v="2716.91"/>
    <n v="2724.4560000000001"/>
    <n v="7.5460000000002765"/>
    <d v="2028-04-01T00:00:00"/>
  </r>
  <r>
    <x v="24"/>
    <d v="2026-07-25T00:00:00"/>
    <x v="10"/>
    <s v="Elizabeth clark clark|"/>
    <n v="24937517142"/>
    <s v="CACE740917MSRLLL01"/>
    <n v="23102654"/>
    <n v="5216864289099"/>
    <x v="2"/>
    <n v="11386.64"/>
    <n v="3415.99"/>
    <n v="3415.9919999999997"/>
    <n v="1.9999999999527063E-3"/>
    <d v="2027-09-01T00:00:00"/>
  </r>
  <r>
    <x v="24"/>
    <d v="2026-07-24T00:00:00"/>
    <x v="36"/>
    <s v="_x0009_DENNIS ARIANA_x0009_JIMENEZ"/>
    <s v="78128610363"/>
    <s v="JIAD860927MOCMVN05"/>
    <n v="23051582"/>
    <n v="9512738029"/>
    <x v="5"/>
    <m/>
    <m/>
    <n v="0"/>
    <n v="0"/>
    <m/>
  </r>
  <r>
    <x v="24"/>
    <d v="2026-07-24T00:00:00"/>
    <x v="13"/>
    <s v="JOSE LUIS CASTILLO PINZON"/>
    <n v="84816318632"/>
    <s v="CAPL631127HYNSNS01"/>
    <n v="23047162"/>
    <n v="5219991509815"/>
    <x v="2"/>
    <n v="9504.7000000000007"/>
    <n v="2633.18"/>
    <n v="2851.4100000000003"/>
    <n v="218.23000000000047"/>
    <d v="2026-08-01T00:00:00"/>
  </r>
  <r>
    <x v="24"/>
    <d v="2026-07-24T00:00:00"/>
    <x v="11"/>
    <s v="MARIA TERESA LOPEZ MARTINEZ "/>
    <m/>
    <s v="LOMT611027MCLPRR01"/>
    <n v="23063756"/>
    <n v="5218445052140"/>
    <x v="5"/>
    <m/>
    <m/>
    <n v="0"/>
    <n v="0"/>
    <m/>
  </r>
  <r>
    <x v="24"/>
    <d v="2026-07-22T00:00:00"/>
    <x v="26"/>
    <s v="ANTONIA ROMERO DELGADO"/>
    <n v="24594114159"/>
    <s v="RODA441101MSRMLN03"/>
    <n v="22917570"/>
    <n v="5216311262052"/>
    <x v="2"/>
    <n v="14976.01"/>
    <s v="4332.01"/>
    <n v="4492.8029999999999"/>
    <n v="160.79299999999967"/>
    <d v="2027-11-01T00:00:00"/>
  </r>
  <r>
    <x v="24"/>
    <d v="2026-07-25T00:00:00"/>
    <x v="29"/>
    <s v="Roger Manuel Aguilar manzanilla"/>
    <n v="84816304566"/>
    <m/>
    <n v="23103252"/>
    <n v="5219992762286"/>
    <x v="2"/>
    <n v="9081.52"/>
    <n v="2723.59"/>
    <n v="2724.4560000000001"/>
    <n v="0.86599999999998545"/>
    <d v="2026-09-01T00:00:00"/>
  </r>
  <r>
    <x v="24"/>
    <d v="2026-07-25T00:00:00"/>
    <x v="14"/>
    <s v="ARMANDO CRUZ CALDERON"/>
    <m/>
    <s v="CUCA630214HOCRLR03"/>
    <n v="23101030"/>
    <n v="5219518492489"/>
    <x v="2"/>
    <n v="9081.52"/>
    <n v="2453.87"/>
    <n v="2724.4560000000001"/>
    <n v="270.58600000000024"/>
    <d v="2026-11-01T00:00:00"/>
  </r>
  <r>
    <x v="24"/>
    <d v="2026-07-25T00:00:00"/>
    <x v="30"/>
    <s v="GABRIELA RANGEL DE LIRA"/>
    <n v="51887113408"/>
    <s v="RALG721019MASNRB03"/>
    <n v="23092914"/>
    <n v="5214493237735"/>
    <x v="1"/>
    <n v="3766.51"/>
    <m/>
    <n v="1129.953"/>
    <n v="0"/>
    <m/>
  </r>
  <r>
    <x v="24"/>
    <d v="2026-07-25T00:00:00"/>
    <x v="14"/>
    <s v="GERONIMO BULMARO SALMORAN BRUNO"/>
    <m/>
    <s v="SABG610720HOCLRR04"/>
    <n v="23102296"/>
    <n v="5219532765112"/>
    <x v="2"/>
    <n v="6262.86"/>
    <n v="1792.85"/>
    <n v="1878.8579999999997"/>
    <n v="86.007999999999811"/>
    <d v="2027-10-01T00:00:00"/>
  </r>
  <r>
    <x v="24"/>
    <d v="2026-07-24T00:00:00"/>
    <x v="26"/>
    <s v="LAURA TELLEZ ROMERO"/>
    <n v="90907210265"/>
    <s v="TERL720922MDFLMR04"/>
    <n v="23092468"/>
    <n v="5215537356433"/>
    <x v="2"/>
    <n v="8181.55"/>
    <n v="2449.0500000000002"/>
    <n v="2454.4650000000001"/>
    <n v="5.4149999999999636"/>
    <d v="2027-03-01T00:00:00"/>
  </r>
  <r>
    <x v="24"/>
    <d v="2026-07-25T00:00:00"/>
    <x v="30"/>
    <m/>
    <m/>
    <s v="CUCE601221MDFRRL06"/>
    <n v="23092080"/>
    <n v="5215610946088"/>
    <x v="0"/>
    <n v="6460.14"/>
    <m/>
    <n v="1938.0419999999999"/>
    <n v="1938.0419999999999"/>
    <m/>
  </r>
  <r>
    <x v="24"/>
    <d v="2026-07-22T00:00:00"/>
    <x v="10"/>
    <s v="FRANCISCO JAVIER CRUZ MEDINA"/>
    <n v="53705415742"/>
    <s v="CUMF540527HMNEDE06"/>
    <n v="22916538"/>
    <n v="5216691635915"/>
    <x v="1"/>
    <n v="3961.31"/>
    <m/>
    <n v="1188.393"/>
    <n v="0"/>
    <m/>
  </r>
  <r>
    <x v="24"/>
    <d v="2026-07-25T00:00:00"/>
    <x v="29"/>
    <s v="Esperanza Rosario González Velasquez"/>
    <m/>
    <s v="GOVE510801MOCNLS06"/>
    <n v="23104790"/>
    <n v="5217298709711"/>
    <x v="1"/>
    <n v="3869.36"/>
    <m/>
    <n v="1160.808"/>
    <n v="0"/>
    <m/>
  </r>
  <r>
    <x v="24"/>
    <d v="2026-07-25T00:00:00"/>
    <x v="38"/>
    <s v="HECTOR ALVARADO ZAVALA"/>
    <m/>
    <s v="AAZH550414HDFLVC08"/>
    <n v="23103394"/>
    <n v="3314448836"/>
    <x v="2"/>
    <n v="22248.52"/>
    <n v="6670.46"/>
    <n v="6674.5559999999996"/>
    <n v="4.0959999999995489"/>
    <d v="2027-08-01T00:00:00"/>
  </r>
  <r>
    <x v="24"/>
    <d v="2026-07-25T00:00:00"/>
    <x v="6"/>
    <s v="GUSTAVO AVILA ROMAN"/>
    <s v="43745911099"/>
    <s v="AIRG590108HSPVMS06"/>
    <n v="23101924"/>
    <n v="5218126390227"/>
    <x v="0"/>
    <n v="5956.8"/>
    <m/>
    <n v="1787.04"/>
    <n v="1783.8200000000006"/>
    <m/>
  </r>
  <r>
    <x v="24"/>
    <d v="2026-07-25T00:00:00"/>
    <x v="30"/>
    <m/>
    <n v="2376480305"/>
    <s v="BECC710309MSLRRL07"/>
    <n v="23105260"/>
    <n v="5216674790785"/>
    <x v="1"/>
    <n v="3685.17"/>
    <m/>
    <n v="1105.5509999999999"/>
    <n v="0"/>
    <m/>
  </r>
  <r>
    <x v="24"/>
    <d v="2026-07-25T00:00:00"/>
    <x v="29"/>
    <s v="Fernando Moreno Garcia"/>
    <m/>
    <s v="MOGF640718HDFRRR00"/>
    <n v="23104908"/>
    <n v="5215582484428"/>
    <x v="0"/>
    <n v="10636.54"/>
    <m/>
    <n v="3190.962"/>
    <n v="3190.962"/>
    <m/>
  </r>
  <r>
    <x v="24"/>
    <d v="2026-07-25T00:00:00"/>
    <x v="10"/>
    <s v="JESUS HALLER RAMOS"/>
    <m/>
    <s v="HARJ551107HDFLMS03"/>
    <n v="23103276"/>
    <n v="5215539419051"/>
    <x v="2"/>
    <n v="29692.68"/>
    <n v="8904.5499999999993"/>
    <n v="8907.8040000000001"/>
    <n v="3.2540000000008149"/>
    <d v="2026-10-01T00:00:00"/>
  </r>
  <r>
    <x v="24"/>
    <d v="2026-07-25T00:00:00"/>
    <x v="11"/>
    <s v="JUAN JOSE BENITEZ PEREZ "/>
    <m/>
    <s v="BEPJ640624HDFNRN02"/>
    <n v="23105556"/>
    <n v="5215529143477"/>
    <x v="0"/>
    <n v="9081.52"/>
    <n v="1453.76"/>
    <n v="2724.4560000000001"/>
    <n v="1270.6960000000001"/>
    <d v="2028-01-01T00:00:00"/>
  </r>
  <r>
    <x v="24"/>
    <d v="2026-07-25T00:00:00"/>
    <x v="13"/>
    <s v="RUFINO GONZALEZ MONTALVO"/>
    <n v="67735708546"/>
    <s v="GOMR580823HVZNNF08"/>
    <n v="23104170"/>
    <n v="5212881149903"/>
    <x v="2"/>
    <n v="12889.09"/>
    <n v="3865.03"/>
    <n v="3866.7269999999999"/>
    <n v="1.6969999999996617"/>
    <d v="2027-05-01T00:00:00"/>
  </r>
  <r>
    <x v="24"/>
    <d v="2026-07-25T00:00:00"/>
    <x v="13"/>
    <s v="FELIPE DEMETRIO CABELLO"/>
    <n v="16846439103"/>
    <s v="DECF640526HDFMBL02"/>
    <n v="23103564"/>
    <n v="5217229048477"/>
    <x v="2"/>
    <n v="9760.32"/>
    <n v="2928.1"/>
    <n v="2928.096"/>
    <n v="-3.9999999999054126E-3"/>
    <d v="2028-04-01T00:00:00"/>
  </r>
  <r>
    <x v="24"/>
    <d v="2026-07-24T00:00:00"/>
    <x v="38"/>
    <s v="DANIEL ARELLANO ARGUELLES"/>
    <m/>
    <s v="AEAD650322HVZRRN00"/>
    <n v="23047446"/>
    <n v="8331896905"/>
    <x v="0"/>
    <n v="13861.31"/>
    <m/>
    <n v="4158.393"/>
    <n v="4158.393"/>
    <m/>
  </r>
  <r>
    <x v="24"/>
    <d v="2026-07-25T00:00:00"/>
    <x v="6"/>
    <s v="MA BERTHA VEGA ESTRADA "/>
    <s v="01775815325"/>
    <s v="VEEB580714MGTGSR02"/>
    <n v="23104166"/>
    <n v="5215580608688"/>
    <x v="0"/>
    <n v="9760.32"/>
    <m/>
    <n v="2928.096"/>
    <n v="2928.096"/>
    <m/>
  </r>
  <r>
    <x v="24"/>
    <d v="2026-07-23T00:00:00"/>
    <x v="26"/>
    <s v="JUAN MANUEL CALDERON Y ZAPATA"/>
    <n v="51884700348"/>
    <s v="CAZJ470225HPLLPN07"/>
    <n v="23037766"/>
    <n v="5214922273512"/>
    <x v="2"/>
    <n v="9696"/>
    <n v="2805.29"/>
    <n v="2908.7999999999997"/>
    <n v="103.50999999999976"/>
    <d v="2027-06-01T00:00:00"/>
  </r>
  <r>
    <x v="24"/>
    <d v="2026-07-25T00:00:00"/>
    <x v="3"/>
    <s v="CECILIO COMPARAN MIRALTA"/>
    <n v="21806338782"/>
    <m/>
    <n v="23093160"/>
    <n v="5216864002780"/>
    <x v="2"/>
    <n v="7920.51"/>
    <n v="2375.15"/>
    <n v="2376.1529999999998"/>
    <n v="1.0029999999997017"/>
    <d v="2028-05-01T00:00:00"/>
  </r>
  <r>
    <x v="24"/>
    <d v="2026-07-25T00:00:00"/>
    <x v="3"/>
    <s v="MANUEL CAYETANO PALAFOX"/>
    <s v="06745330818"/>
    <s v="CAPM530905HVZYLN01"/>
    <n v="23104860"/>
    <n v="5215616833761"/>
    <x v="1"/>
    <n v="3882.85"/>
    <m/>
    <n v="1164.855"/>
    <n v="0"/>
    <m/>
  </r>
  <r>
    <x v="24"/>
    <d v="2026-07-25T00:00:00"/>
    <x v="30"/>
    <s v="JOSE JUAN CORTES ALVAREZ"/>
    <m/>
    <s v="COAJ600328HDFRLN05"/>
    <n v="23104372"/>
    <n v="5215632839585"/>
    <x v="2"/>
    <n v="5617.63"/>
    <n v="1392.24"/>
    <n v="1685.289"/>
    <n v="52.410000000000537"/>
    <d v="2027-02-01T00:00:00"/>
  </r>
  <r>
    <x v="24"/>
    <d v="2026-07-25T00:00:00"/>
    <x v="29"/>
    <s v=" Arturo Alcazar Mendiola"/>
    <m/>
    <s v="AAMA690923HDFLNR03"/>
    <n v="23105696"/>
    <n v="5215512706754"/>
    <x v="0"/>
    <n v="10345.469999999999"/>
    <m/>
    <n v="3103.6409999999996"/>
    <n v="3103.6409999999996"/>
    <m/>
  </r>
  <r>
    <x v="24"/>
    <d v="2026-07-25T00:00:00"/>
    <x v="26"/>
    <s v="MIGUEL ANGEL GARCIA AGUIRRE"/>
    <n v="67944550051"/>
    <s v="GAAM450510HTCRGG06"/>
    <n v="23102388"/>
    <n v="5219531236785"/>
    <x v="2"/>
    <n v="10388.06"/>
    <n v="3115.33"/>
    <n v="3116.4179999999997"/>
    <n v="1.0879999999997381"/>
    <d v="2027-01-01T00:00:00"/>
  </r>
  <r>
    <x v="24"/>
    <d v="2026-07-25T00:00:00"/>
    <x v="13"/>
    <s v="SAMUEL TREJO TALLEDOS"/>
    <n v="63846404083"/>
    <s v="TETS680617HDFRLM03"/>
    <n v="23105336"/>
    <n v="5215574663595"/>
    <x v="0"/>
    <n v="9417.83"/>
    <n v="277.95"/>
    <n v="2825.3489999999997"/>
    <n v="2547.3989999999999"/>
    <m/>
  </r>
  <r>
    <x v="24"/>
    <d v="2026-07-24T00:00:00"/>
    <x v="23"/>
    <s v="ALMA ROSA BECERRA HERNANDEZ"/>
    <m/>
    <s v="BEHA630116MNTCRL02"/>
    <n v="23091626"/>
    <n v="5213222297502"/>
    <x v="2"/>
    <n v="9081.52"/>
    <n v="2724.46"/>
    <n v="2724.4560000000001"/>
    <n v="-3.9999999999054126E-3"/>
    <d v="2028-04-01T00:00:00"/>
  </r>
  <r>
    <x v="24"/>
    <d v="2026-07-25T00:00:00"/>
    <x v="23"/>
    <s v="VICTOR HUGO SERVIN VARGAS"/>
    <n v="68947914401"/>
    <s v="SEVV790808HDFRRC08"/>
    <n v="23101642"/>
    <n v="5215585794286"/>
    <x v="2"/>
    <n v="18950.37"/>
    <n v="5669.76"/>
    <n v="5685.1109999999999"/>
    <n v="15.350999999999658"/>
    <d v="2027-04-01T00:00:00"/>
  </r>
  <r>
    <x v="24"/>
    <d v="2026-07-25T00:00:00"/>
    <x v="23"/>
    <s v="JOSE INES ARIAS SEGURA"/>
    <n v="12765827303"/>
    <s v="AISI580123HGTRGN07"/>
    <n v="23102226"/>
    <n v="5214771146386"/>
    <x v="2"/>
    <n v="7844.5"/>
    <n v="2268"/>
    <n v="2353.35"/>
    <n v="85.349999999999909"/>
    <d v="2026-10-01T00:00:00"/>
  </r>
  <r>
    <x v="24"/>
    <d v="2026-07-25T00:00:00"/>
    <x v="13"/>
    <s v="GABRIEL ROLDAN DELGADO"/>
    <s v="04856584380"/>
    <s v="RODG650228HJCLLB07"/>
    <n v="23103304"/>
    <n v="5213314884133"/>
    <x v="2"/>
    <n v="9760.32"/>
    <n v="2823.87"/>
    <n v="2928.096"/>
    <n v="104.22600000000011"/>
    <d v="2027-06-01T00:00:00"/>
  </r>
  <r>
    <x v="24"/>
    <d v="2026-07-25T00:00:00"/>
    <x v="35"/>
    <s v="ADDA GABRIELA DIAZ HERNANDEZ"/>
    <s v="84815801315"/>
    <s v="DIHA580811MYNZRD07"/>
    <n v="23091872"/>
    <n v="9994856120"/>
    <x v="1"/>
    <n v="3547.06"/>
    <s v="848"/>
    <n v="1064.1179999999999"/>
    <n v="-848"/>
    <m/>
  </r>
  <r>
    <x v="24"/>
    <d v="2026-07-25T00:00:00"/>
    <x v="26"/>
    <s v="RAUL RAMOS MORENO"/>
    <n v="62786106237"/>
    <s v="RAMR611023HPLMRL09"/>
    <n v="23101160"/>
    <n v="5212214641894"/>
    <x v="2"/>
    <n v="6262.86"/>
    <n v="1811.88"/>
    <n v="1878.8579999999997"/>
    <n v="66.977999999999611"/>
    <d v="2027-04-01T00:00:00"/>
  </r>
  <r>
    <x v="24"/>
    <d v="2026-07-25T00:00:00"/>
    <x v="29"/>
    <s v="MARIANO MENDEZ"/>
    <n v="83644710481"/>
    <m/>
    <n v="23103036"/>
    <n v="5219934284179"/>
    <x v="1"/>
    <n v="4035.69"/>
    <m/>
    <n v="1210.7069999999999"/>
    <n v="0"/>
    <m/>
  </r>
  <r>
    <x v="24"/>
    <d v="2026-07-25T00:00:00"/>
    <x v="38"/>
    <s v="JOSE LUIS BARRERA SANTES"/>
    <m/>
    <s v="BASL600621HVZRNS09"/>
    <n v="23106220"/>
    <n v="7841414260"/>
    <x v="7"/>
    <n v="6021.85"/>
    <n v="1742.26"/>
    <n v="1806.5550000000001"/>
    <n v="64.295000000000073"/>
    <d v="2024-06-01T00:00:00"/>
  </r>
  <r>
    <x v="24"/>
    <d v="2026-07-25T00:00:00"/>
    <x v="11"/>
    <s v=" Juan José De La Cruz Pérez Reyes."/>
    <s v="43785930447"/>
    <m/>
    <n v="23106358"/>
    <n v="5218115646900"/>
    <x v="3"/>
    <n v="5564.45"/>
    <s v="848"/>
    <n v="1669.3349999999998"/>
    <n v="543.47000000000025"/>
    <m/>
  </r>
  <r>
    <x v="24"/>
    <d v="2026-07-25T00:00:00"/>
    <x v="38"/>
    <s v="JOSE CARMEN ESCOBAR FLORES"/>
    <m/>
    <s v="EOFC560426HGRSLR08"/>
    <n v="23106318"/>
    <n v="4131285201"/>
    <x v="1"/>
    <n v="3961.31"/>
    <s v="879"/>
    <n v="1188.393"/>
    <n v="-879"/>
    <m/>
  </r>
  <r>
    <x v="24"/>
    <d v="2026-07-25T00:00:00"/>
    <x v="35"/>
    <s v="Jose arturo leyva arcos"/>
    <m/>
    <s v="LEAA730223HDFYRR00"/>
    <n v="23106282"/>
    <n v="5647758447"/>
    <x v="3"/>
    <n v="9582.4699999999993"/>
    <n v="2559.4299999999998"/>
    <n v="2874.7409999999995"/>
    <n v="315.31099999999969"/>
    <d v="2028-06-01T00:00:00"/>
  </r>
  <r>
    <x v="24"/>
    <d v="2026-07-25T00:00:00"/>
    <x v="23"/>
    <s v="JOSE RAUL RAMIREZ JIMENEZ"/>
    <n v="62836112870"/>
    <s v="RAJR610812HPLMML04"/>
    <n v="23105324"/>
    <n v="5212221548751"/>
    <x v="2"/>
    <n v="45485.59"/>
    <n v="13643.55"/>
    <n v="13645.676999999998"/>
    <n v="2.1269999999985885"/>
    <d v="2027-06-01T00:00:00"/>
  </r>
  <r>
    <x v="24"/>
    <d v="2026-07-25T00:00:00"/>
    <x v="35"/>
    <s v="SERGIO RUBEN GAXIOLA CANO "/>
    <n v="23816409918"/>
    <s v="GACS640426HSLXNR00"/>
    <n v="23106500"/>
    <n v="6647627952"/>
    <x v="2"/>
    <n v="13507.95"/>
    <n v="4052.36"/>
    <n v="4052.3850000000002"/>
    <n v="2.5000000000090949E-2"/>
    <d v="2026-10-01T00:00:00"/>
  </r>
  <r>
    <x v="24"/>
    <d v="2026-07-25T00:00:00"/>
    <x v="23"/>
    <s v="JORGE OCTAVIO ABURTO HERNANDEZ"/>
    <n v="62886946482"/>
    <s v="AUHJ641212HPLBRR03"/>
    <n v="23104138"/>
    <n v="5212214373304"/>
    <x v="2"/>
    <n v="10639.54"/>
    <n v="3143.79"/>
    <n v="3191.8620000000001"/>
    <n v="48.072000000000116"/>
    <d v="2028-07-01T00:00:00"/>
  </r>
  <r>
    <x v="24"/>
    <d v="2026-07-25T00:00:00"/>
    <x v="26"/>
    <s v="JOSE CARRASCO MORALES"/>
    <n v="83795905872"/>
    <s v="CAMJ591014HTCRRS05"/>
    <n v="23103266"/>
    <n v="5219931342395"/>
    <x v="9"/>
    <n v="4813.6899999999996"/>
    <n v="523.36"/>
    <n v="1444.1069999999997"/>
    <n v="117.35000000000002"/>
    <d v="2024-10-01T00:00:00"/>
  </r>
  <r>
    <x v="24"/>
    <d v="2026-07-25T00:00:00"/>
    <x v="40"/>
    <s v="Juan de Dios Dorantes Márquez"/>
    <n v="84795910078"/>
    <s v="DOMJ590805HYNRRN04"/>
    <n v="23106364"/>
    <n v="5219995020381"/>
    <x v="2"/>
    <n v="12358.27"/>
    <n v="3705.17"/>
    <n v="3707.4809999999998"/>
    <n v="2.3109999999996944"/>
    <d v="2026-11-01T00:00:00"/>
  </r>
  <r>
    <x v="24"/>
    <d v="2026-07-25T00:00:00"/>
    <x v="35"/>
    <s v="EPIFANIO LOPEZ OSORNIO"/>
    <m/>
    <s v="LOOE650407HHGPSP06"/>
    <n v="23106676"/>
    <n v="7734101967"/>
    <x v="2"/>
    <n v="19920.28"/>
    <n v="5757.7"/>
    <n v="5976.0839999999998"/>
    <n v="218.38400000000001"/>
    <d v="2027-10-01T00:00:00"/>
  </r>
  <r>
    <x v="24"/>
    <d v="2026-07-25T00:00:00"/>
    <x v="3"/>
    <s v="MARIA DEL ROSARIO CASTRO CORTEZ"/>
    <n v="24846771905"/>
    <s v="CACR670806MSRSRS04"/>
    <n v="23104462"/>
    <n v="5216221115784"/>
    <x v="1"/>
    <n v="3783.67"/>
    <m/>
    <n v="1135.1009999999999"/>
    <n v="0"/>
    <m/>
  </r>
  <r>
    <x v="24"/>
    <d v="2026-07-25T00:00:00"/>
    <x v="13"/>
    <s v="REYNA PULIDO HERNANDEZ"/>
    <m/>
    <s v="PUHR590106MNLLRY06"/>
    <n v="23104858"/>
    <n v="5218110719954"/>
    <x v="2"/>
    <n v="5483.36"/>
    <n v="1307.72"/>
    <n v="1645.0079999999998"/>
    <n v="2.6600000000000819"/>
    <d v="2028-02-01T00:00:00"/>
  </r>
  <r>
    <x v="24"/>
    <d v="2026-07-22T00:00:00"/>
    <x v="13"/>
    <s v="MARIA DOLORES MONTEJO ALCUDIA"/>
    <m/>
    <s v="MOAD681214MTCNLL06"/>
    <n v="22988344"/>
    <n v="5219931691613"/>
    <x v="2"/>
    <n v="8181.55"/>
    <n v="2454.2199999999998"/>
    <n v="2454.4650000000001"/>
    <n v="0.24500000000034561"/>
    <d v="2028-07-01T00:00:00"/>
  </r>
  <r>
    <x v="24"/>
    <d v="2026-07-25T00:00:00"/>
    <x v="26"/>
    <s v="ROGELIO OJEDA ESCOBEDO"/>
    <s v="06815905887"/>
    <s v="OEER590908HSPJSG06"/>
    <n v="23104236"/>
    <n v="5215521450837"/>
    <x v="0"/>
    <n v="16326.66"/>
    <m/>
    <n v="4897.9979999999996"/>
    <n v="4897.9979999999996"/>
    <m/>
  </r>
  <r>
    <x v="24"/>
    <d v="2026-07-25T00:00:00"/>
    <x v="23"/>
    <s v="JUAN CARLOS MARQUEZ SEGURA"/>
    <n v="49937744933"/>
    <s v="MASJ770304HTSRGN04"/>
    <n v="23103064"/>
    <n v="5218124213957"/>
    <x v="1"/>
    <n v="3912.1"/>
    <s v="848"/>
    <n v="1173.6299999999999"/>
    <n v="-848"/>
    <m/>
  </r>
  <r>
    <x v="24"/>
    <d v="2026-07-25T00:00:00"/>
    <x v="36"/>
    <s v="Gerardo arrona Peralta"/>
    <m/>
    <s v="AOPG591214HOCRRR03"/>
    <n v="23106160"/>
    <n v="9511968472"/>
    <x v="0"/>
    <n v="9081.52"/>
    <m/>
    <n v="2724.4560000000001"/>
    <n v="2724.4560000000001"/>
    <m/>
  </r>
  <r>
    <x v="24"/>
    <d v="2026-07-25T00:00:00"/>
    <x v="36"/>
    <s v="Jose García romero"/>
    <m/>
    <s v="GARJ650422HCLRMS07"/>
    <n v="23106918"/>
    <n v="8621023435"/>
    <x v="2"/>
    <n v="12186.86"/>
    <n v="3525.95"/>
    <n v="3656.058"/>
    <n v="130.10800000000017"/>
    <d v="2027-10-01T00:00:00"/>
  </r>
  <r>
    <x v="24"/>
    <d v="2026-07-25T00:00:00"/>
    <x v="11"/>
    <s v="CATARINO LOPEZ HERRERA "/>
    <s v="04745822587"/>
    <m/>
    <n v="23107184"/>
    <n v="5213313819615"/>
    <x v="1"/>
    <n v="4342.43"/>
    <m/>
    <n v="1302.729"/>
    <n v="169.45000000000073"/>
    <m/>
  </r>
  <r>
    <x v="24"/>
    <d v="2026-07-25T00:00:00"/>
    <x v="40"/>
    <s v="Maria de Jesús Puentes Favela"/>
    <n v="32017701940"/>
    <m/>
    <n v="23104804"/>
    <n v="5218126145371"/>
    <x v="4"/>
    <m/>
    <m/>
    <n v="0"/>
    <n v="0"/>
    <m/>
  </r>
  <r>
    <x v="24"/>
    <d v="2026-07-25T00:00:00"/>
    <x v="35"/>
    <s v="Juan antonio gaytan torres"/>
    <m/>
    <s v="GATJ640523HNLYRN00"/>
    <n v="23107746"/>
    <n v="8119147579"/>
    <x v="2"/>
    <n v="9081.52"/>
    <n v="2623.96"/>
    <n v="2724.4560000000001"/>
    <n v="100.49600000000009"/>
    <d v="2027-04-01T00:00:00"/>
  </r>
  <r>
    <x v="24"/>
    <d v="2026-07-25T00:00:00"/>
    <x v="35"/>
    <s v="Francisco rivas franco"/>
    <m/>
    <s v="RIFF720512HSRVRR05"/>
    <n v="23107506"/>
    <n v="6442284741"/>
    <x v="0"/>
    <n v="7915.08"/>
    <s v="703"/>
    <n v="2374.5239999999999"/>
    <n v="1671.5239999999999"/>
    <m/>
  </r>
  <r>
    <x v="25"/>
    <d v="2026-07-24T00:00:00"/>
    <x v="41"/>
    <s v="APOLINAR ALBORTANTE CRUZ"/>
    <m/>
    <s v="AOCA490909HVZLRP09"/>
    <n v="23076268"/>
    <n v="5212722616917"/>
    <x v="1"/>
    <n v="3818.93"/>
    <s v="848"/>
    <n v="1145.6789999999999"/>
    <n v="-848"/>
    <m/>
  </r>
  <r>
    <x v="25"/>
    <d v="2026-07-26T00:00:00"/>
    <x v="11"/>
    <s v="José Antonio Garibay Esquivel"/>
    <m/>
    <s v="GAEA520420HYNRSN04"/>
    <n v="23112638"/>
    <n v="5216631492858"/>
    <x v="1"/>
    <n v="4441.09"/>
    <m/>
    <n v="1332.327"/>
    <n v="268.11000000000058"/>
    <m/>
  </r>
  <r>
    <x v="25"/>
    <d v="2026-07-25T00:00:00"/>
    <x v="41"/>
    <s v="ARNULFO CORTEZ FLORES"/>
    <n v="31786102231"/>
    <m/>
    <n v="23109270"/>
    <n v="5216567738109"/>
    <x v="7"/>
    <n v="7920.51"/>
    <n v="2290.34"/>
    <n v="2376.1529999999998"/>
    <n v="85.812999999999647"/>
    <d v="2026-03-01T00:00:00"/>
  </r>
  <r>
    <x v="25"/>
    <d v="2026-07-25T00:00:00"/>
    <x v="29"/>
    <s v="Carlos Ramírez Pérez"/>
    <m/>
    <s v="RAPC721020HPLMRR04"/>
    <n v="23106252"/>
    <n v="5215512450192"/>
    <x v="8"/>
    <m/>
    <m/>
    <n v="0"/>
    <n v="0"/>
    <m/>
  </r>
  <r>
    <x v="25"/>
    <d v="2026-07-26T00:00:00"/>
    <x v="41"/>
    <s v="MANUEL ANTONIO RAMIREZ RUIZ"/>
    <m/>
    <s v="RARM520210HCHMZN05"/>
    <n v="23110486"/>
    <n v="5213316046148"/>
    <x v="2"/>
    <n v="32329.27"/>
    <n v="9696.4699999999993"/>
    <n v="9698.780999999999"/>
    <n v="2.3109999999996944"/>
    <d v="2027-03-01T00:00:00"/>
  </r>
  <r>
    <x v="25"/>
    <d v="2026-07-25T00:00:00"/>
    <x v="37"/>
    <s v="Irineo Alejandro Mercado Gómez"/>
    <s v="06815804619"/>
    <m/>
    <n v="23110172"/>
    <n v="5215571769525"/>
    <x v="9"/>
    <n v="6488.7"/>
    <n v="1945.35"/>
    <n v="1946.61"/>
    <n v="1.2599999999999909"/>
    <d v="2025-09-01T00:00:00"/>
  </r>
  <r>
    <x v="25"/>
    <d v="2026-07-25T00:00:00"/>
    <x v="29"/>
    <s v="Gabriel Ramírez Morán"/>
    <m/>
    <s v="RAMG650228HVZMRB00"/>
    <n v="23105968"/>
    <n v="5212711891200"/>
    <x v="0"/>
    <n v="13214.93"/>
    <s v="848"/>
    <n v="3964.4789999999998"/>
    <n v="3116.4789999999998"/>
    <m/>
  </r>
  <r>
    <x v="25"/>
    <d v="2026-07-26T00:00:00"/>
    <x v="37"/>
    <s v="JESUS ISABEL PRECIADO ROSALES"/>
    <m/>
    <s v="PERJ650708HJCRSS09"/>
    <n v="23113836"/>
    <n v="5213121527712"/>
    <x v="0"/>
    <n v="9760.32"/>
    <m/>
    <n v="2928.096"/>
    <n v="2928.096"/>
    <m/>
  </r>
  <r>
    <x v="25"/>
    <d v="2026-07-25T00:00:00"/>
    <x v="35"/>
    <s v="silvia sebastian elvira"/>
    <m/>
    <s v="SEES650822MVZBLL08"/>
    <n v="23108994"/>
    <n v="9212662425"/>
    <x v="5"/>
    <m/>
    <m/>
    <n v="0"/>
    <n v="0"/>
    <m/>
  </r>
  <r>
    <x v="25"/>
    <d v="2026-07-25T00:00:00"/>
    <x v="39"/>
    <s v="Jose Martin Serrano Rocha"/>
    <m/>
    <s v="SERM630616HGTRCR09"/>
    <n v="23108328"/>
    <n v="4774809296"/>
    <x v="2"/>
    <n v="13792.94"/>
    <n v="3990.63"/>
    <n v="4137.8819999999996"/>
    <n v="147.2519999999995"/>
    <d v="2027-06-01T00:00:00"/>
  </r>
  <r>
    <x v="25"/>
    <d v="2026-07-25T00:00:00"/>
    <x v="39"/>
    <s v="Aurora Lourdes Landeros Orozco"/>
    <m/>
    <s v="LAOA520212MDFNRR08"/>
    <n v="23109912"/>
    <n v="3312809037"/>
    <x v="2"/>
    <n v="28019.74"/>
    <n v="8391.69"/>
    <n v="8405.9220000000005"/>
    <n v="14.231999999999971"/>
    <d v="2028-01-01T00:00:00"/>
  </r>
  <r>
    <x v="25"/>
    <d v="2026-07-25T00:00:00"/>
    <x v="11"/>
    <s v="JOSE MIGUEL LOPEZ MANSILLA"/>
    <m/>
    <s v="LOMM580318HMNPNG16"/>
    <n v="23108282"/>
    <n v="5214251246456"/>
    <x v="5"/>
    <m/>
    <m/>
    <n v="0"/>
    <n v="0"/>
    <m/>
  </r>
  <r>
    <x v="25"/>
    <d v="2026-07-25T00:00:00"/>
    <x v="20"/>
    <s v="DANIEL"/>
    <m/>
    <s v="OITD650710HMSRVN02"/>
    <n v="23108886"/>
    <n v="521734127631"/>
    <x v="2"/>
    <n v="9760.32"/>
    <n v="2822.12"/>
    <n v="2928.096"/>
    <n v="105.97600000000011"/>
    <d v="2027-08-01T00:00:00"/>
  </r>
  <r>
    <x v="25"/>
    <d v="2026-07-25T00:00:00"/>
    <x v="20"/>
    <s v="LEOPOLDO"/>
    <m/>
    <s v="RUVL770321HGTZLP01"/>
    <n v="23110728"/>
    <n v="5214112424985"/>
    <x v="8"/>
    <m/>
    <m/>
    <n v="0"/>
    <n v="0"/>
    <m/>
  </r>
  <r>
    <x v="25"/>
    <d v="2026-07-25T00:00:00"/>
    <x v="36"/>
    <s v="Martha Patricia Yañez Benítez"/>
    <n v="10866933848"/>
    <m/>
    <n v="23107274"/>
    <n v="5534260921"/>
    <x v="8"/>
    <m/>
    <m/>
    <n v="0"/>
    <n v="0"/>
    <m/>
  </r>
  <r>
    <x v="25"/>
    <d v="2026-07-25T00:00:00"/>
    <x v="36"/>
    <s v="Salvador Cabestany Ortiz"/>
    <m/>
    <s v="CAOS560519HMNBRL07"/>
    <n v="23107898"/>
    <n v="9992501199"/>
    <x v="0"/>
    <n v="29590.5"/>
    <m/>
    <n v="8877.15"/>
    <n v="8877.15"/>
    <m/>
  </r>
  <r>
    <x v="25"/>
    <d v="2026-07-26T00:00:00"/>
    <x v="37"/>
    <s v="MIDRED ONAGA RODRIGUEZ"/>
    <m/>
    <s v="OARM840828MDFNDL01"/>
    <n v="23110702"/>
    <n v="5215539194819"/>
    <x v="5"/>
    <m/>
    <m/>
    <n v="0"/>
    <n v="0"/>
    <m/>
  </r>
  <r>
    <x v="25"/>
    <d v="2026-07-25T00:00:00"/>
    <x v="38"/>
    <s v="REYMUNDO QUINTERO VEGA"/>
    <m/>
    <s v="QUVR811211HDFNGY06"/>
    <n v="23109136"/>
    <n v="7221490476"/>
    <x v="8"/>
    <m/>
    <m/>
    <n v="0"/>
    <n v="0"/>
    <m/>
  </r>
  <r>
    <x v="25"/>
    <d v="2026-07-25T00:00:00"/>
    <x v="29"/>
    <s v="VALENTINA ESPINO GONZALEZ"/>
    <s v="33775801930"/>
    <s v="EIGV580214MCHSNL02"/>
    <n v="23106644"/>
    <n v="5216141594029"/>
    <x v="1"/>
    <n v="4342.43"/>
    <m/>
    <n v="1302.729"/>
    <n v="169.45000000000073"/>
    <m/>
  </r>
  <r>
    <x v="25"/>
    <d v="2026-07-26T00:00:00"/>
    <x v="11"/>
    <s v="Hector Rivera hernandez"/>
    <s v="31835701884"/>
    <m/>
    <n v="23116628"/>
    <n v="5218711185305"/>
    <x v="2"/>
    <n v="18302.509999999998"/>
    <n v="5485.41"/>
    <n v="5490.7529999999997"/>
    <n v="5.3429999999998472"/>
    <d v="2028-07-01T00:00:00"/>
  </r>
  <r>
    <x v="25"/>
    <d v="2026-07-26T00:00:00"/>
    <x v="20"/>
    <s v="narcizo "/>
    <n v="15806012270"/>
    <m/>
    <n v="23116612"/>
    <n v="5217343713792"/>
    <x v="5"/>
    <m/>
    <m/>
    <n v="0"/>
    <n v="0"/>
    <m/>
  </r>
  <r>
    <x v="25"/>
    <d v="2026-07-25T00:00:00"/>
    <x v="36"/>
    <s v="Luz Gabriela Mendoza"/>
    <n v="78947531535"/>
    <m/>
    <n v="23108120"/>
    <n v="8442257861"/>
    <x v="4"/>
    <m/>
    <m/>
    <n v="0"/>
    <n v="0"/>
    <m/>
  </r>
  <r>
    <x v="25"/>
    <d v="2026-07-26T00:00:00"/>
    <x v="37"/>
    <s v="ARMANDO JOSE RAMON RUIZ HERRRA"/>
    <s v="01664640768"/>
    <s v="RUHA460901HDFZRR02"/>
    <n v="23116594"/>
    <n v="5215538863186"/>
    <x v="0"/>
    <n v="7920.53"/>
    <m/>
    <n v="2376.1589999999997"/>
    <n v="2376.1589999999997"/>
    <m/>
  </r>
  <r>
    <x v="25"/>
    <d v="2026-07-26T00:00:00"/>
    <x v="38"/>
    <s v="JESUS JORGE CHAVARRIA TORRES"/>
    <s v="43806104782"/>
    <s v="CATJ610101HNLHRS05"/>
    <n v="23116688"/>
    <n v="8182609860"/>
    <x v="2"/>
    <n v="18276.88"/>
    <n v="5238.25"/>
    <n v="5483.0640000000003"/>
    <n v="244.81400000000031"/>
    <d v="2027-07-01T00:00:00"/>
  </r>
  <r>
    <x v="25"/>
    <d v="2026-07-26T00:00:00"/>
    <x v="41"/>
    <s v="Miguel Angel Montes Quevedo"/>
    <n v="14806007937"/>
    <s v="MOQM600914HQTNVG02"/>
    <n v="23112798"/>
    <n v="5214425455231"/>
    <x v="2"/>
    <n v="38536.980000000003"/>
    <n v="11560.08"/>
    <n v="11561.094000000001"/>
    <n v="1.0140000000010332"/>
    <d v="2027-04-01T00:00:00"/>
  </r>
  <r>
    <x v="25"/>
    <d v="2026-07-23T00:00:00"/>
    <x v="41"/>
    <s v="JULIO ANDRES MIRANDA REYES"/>
    <n v="13796402553"/>
    <s v="MIRJ641220HHGRYL01"/>
    <n v="23034616"/>
    <n v="5216641727738"/>
    <x v="2"/>
    <n v="28750.39"/>
    <n v="8625.09"/>
    <n v="8625.1170000000002"/>
    <n v="2.7000000000043656E-2"/>
    <d v="2028-03-01T00:00:00"/>
  </r>
  <r>
    <x v="25"/>
    <d v="2026-07-25T00:00:00"/>
    <x v="38"/>
    <s v="teodoro"/>
    <n v="43796278430"/>
    <m/>
    <n v="23109044"/>
    <n v="8140199759"/>
    <x v="1"/>
    <n v="4209.8500000000004"/>
    <m/>
    <n v="1262.9550000000002"/>
    <n v="36.8700000000008"/>
    <m/>
  </r>
  <r>
    <x v="25"/>
    <d v="2026-07-26T00:00:00"/>
    <x v="39"/>
    <s v="Otilia Oliva Lopez"/>
    <m/>
    <s v="OILO510601MSPLPT01"/>
    <n v="23117146"/>
    <n v="7221471547"/>
    <x v="7"/>
    <n v="6708.48"/>
    <n v="1938.71"/>
    <n v="2012.5439999999999"/>
    <n v="73.833999999999833"/>
    <d v="2025-03-01T00:00:00"/>
  </r>
  <r>
    <x v="25"/>
    <d v="2026-07-26T00:00:00"/>
    <x v="20"/>
    <s v="yolanda"/>
    <n v="33836623901"/>
    <s v="RIEY660115MCHVSL02"/>
    <n v="23117026"/>
    <n v="5216563319066"/>
    <x v="0"/>
    <n v="60440.11"/>
    <m/>
    <n v="18132.032999999999"/>
    <n v="18132.032999999999"/>
    <m/>
  </r>
  <r>
    <x v="25"/>
    <d v="2026-07-24T00:00:00"/>
    <x v="39"/>
    <s v="Teresa Torres Vela"/>
    <m/>
    <s v="TOVT641014MCLRLR05"/>
    <n v="23063424"/>
    <n v="8713327854"/>
    <x v="2"/>
    <n v="9081.52"/>
    <n v="2515.4699999999998"/>
    <n v="2724.4560000000001"/>
    <n v="208.98600000000033"/>
    <d v="2027-01-01T00:00:00"/>
  </r>
  <r>
    <x v="25"/>
    <d v="2026-07-25T00:00:00"/>
    <x v="38"/>
    <s v="VIRGINIA GAMEZ CORONADO"/>
    <m/>
    <s v="GACV680119MSRMRR07"/>
    <n v="23109328"/>
    <n v="6622404284"/>
    <x v="1"/>
    <n v="2776.11"/>
    <s v="669"/>
    <n v="832.83299999999997"/>
    <n v="-669"/>
    <m/>
  </r>
  <r>
    <x v="25"/>
    <d v="2026-07-26T00:00:00"/>
    <x v="20"/>
    <s v="PATRICIA "/>
    <n v="10796124708"/>
    <m/>
    <n v="23117246"/>
    <n v="5215624794910"/>
    <x v="2"/>
    <n v="6262.86"/>
    <n v="1811.9"/>
    <n v="1878.8579999999997"/>
    <n v="66.957999999999629"/>
    <d v="2027-03-01T00:00:00"/>
  </r>
  <r>
    <x v="25"/>
    <d v="2026-07-25T00:00:00"/>
    <x v="37"/>
    <s v="RAUL GONZALEZ SALINAS"/>
    <m/>
    <s v="GOSR601021HDFNLL09"/>
    <n v="23107430"/>
    <n v="5215525112699"/>
    <x v="0"/>
    <n v="7920.51"/>
    <s v="848"/>
    <n v="2376.1529999999998"/>
    <n v="1528.1529999999998"/>
    <m/>
  </r>
  <r>
    <x v="25"/>
    <d v="2026-07-26T00:00:00"/>
    <x v="37"/>
    <s v="Munguía Olalde Antonio"/>
    <n v="12907439439"/>
    <m/>
    <n v="23117788"/>
    <n v="5214121271645"/>
    <x v="1"/>
    <n v="3496.99"/>
    <m/>
    <n v="1049.097"/>
    <n v="0"/>
    <m/>
  </r>
  <r>
    <x v="25"/>
    <d v="2026-07-26T00:00:00"/>
    <x v="37"/>
    <s v="MOISES ANTONIO FELIX PULIDO"/>
    <s v="06715255524"/>
    <s v="FEPM520904HMNLLS01"/>
    <n v="23117384"/>
    <n v="5214495804427"/>
    <x v="3"/>
    <n v="5309.87"/>
    <n v="238.13"/>
    <n v="1592.961"/>
    <n v="898.76000000000033"/>
    <d v="2026-10-01T00:00:00"/>
  </r>
  <r>
    <x v="25"/>
    <d v="2026-07-26T00:00:00"/>
    <x v="20"/>
    <s v="John "/>
    <n v="10705240009"/>
    <m/>
    <n v="23118588"/>
    <n v="5219613367097"/>
    <x v="9"/>
    <n v="8532.41"/>
    <n v="2353.4299999999998"/>
    <n v="2559.723"/>
    <n v="206.29300000000012"/>
    <d v="2026-05-01T00:00:00"/>
  </r>
  <r>
    <x v="25"/>
    <d v="2026-07-26T00:00:00"/>
    <x v="11"/>
    <s v="ALFONSO SOLIS JUAREZ "/>
    <m/>
    <s v="SOJA480702HOCLRL01"/>
    <n v="23117548"/>
    <n v="5219618011799"/>
    <x v="1"/>
    <n v="3904.19"/>
    <s v="879"/>
    <n v="1171.2570000000001"/>
    <n v="-879"/>
    <m/>
  </r>
  <r>
    <x v="25"/>
    <d v="2026-07-26T00:00:00"/>
    <x v="36"/>
    <s v="Ascario Pérez Ortiz"/>
    <m/>
    <s v="PEOA490626HOCRRS09"/>
    <n v="23118526"/>
    <n v="9221892429"/>
    <x v="4"/>
    <m/>
    <m/>
    <n v="0"/>
    <n v="0"/>
    <m/>
  </r>
  <r>
    <x v="25"/>
    <d v="2026-07-26T00:00:00"/>
    <x v="35"/>
    <s v="Juan carlos jaramillo caballero"/>
    <m/>
    <s v="JACJ611214HDFRBN04"/>
    <n v="23118792"/>
    <n v="3113939639"/>
    <x v="3"/>
    <n v="6262.86"/>
    <n v="1525.08"/>
    <n v="1878.8579999999997"/>
    <n v="353.77799999999979"/>
    <d v="2028-01-01T00:00:00"/>
  </r>
  <r>
    <x v="25"/>
    <d v="2026-07-26T00:00:00"/>
    <x v="37"/>
    <s v="ROSARIO CRUZ GARCIA"/>
    <m/>
    <s v="CUGR601013HVZRRS03"/>
    <n v="23117636"/>
    <n v="5219381707404"/>
    <x v="0"/>
    <n v="7125.87"/>
    <m/>
    <n v="2137.761"/>
    <n v="2137.761"/>
    <m/>
  </r>
  <r>
    <x v="25"/>
    <d v="2026-07-25T00:00:00"/>
    <x v="29"/>
    <s v="IMELDA MARTINEZ RAMIREZ"/>
    <s v="656947171690"/>
    <s v="MARI500513MVZRMM04"/>
    <n v="23107200"/>
    <n v="5219221970337"/>
    <x v="2"/>
    <n v="5414.96"/>
    <n v="1566"/>
    <n v="1624.4880000000001"/>
    <n v="-324.01999999999953"/>
    <d v="2027-01-01T00:00:00"/>
  </r>
  <r>
    <x v="25"/>
    <d v="2026-07-26T00:00:00"/>
    <x v="36"/>
    <s v="Alejandro Rosales Bretón"/>
    <m/>
    <s v="_x0009_RXBA610524HPLSRL00"/>
    <n v="23118814"/>
    <n v="2224651747"/>
    <x v="0"/>
    <n v="11029.03"/>
    <m/>
    <n v="3308.7090000000003"/>
    <n v="3308.7090000000003"/>
    <m/>
  </r>
  <r>
    <x v="25"/>
    <d v="2026-07-27T00:00:00"/>
    <x v="35"/>
    <s v="Patricia Elizabeth Vazquez Sanchez "/>
    <s v="01563820321"/>
    <s v="VASP730914MTSZNT06"/>
    <n v="23118448"/>
    <n v="8343511463"/>
    <x v="5"/>
    <n v="40603.370000000003"/>
    <n v="10129.61"/>
    <n v="12181.011"/>
    <n v="2051.4009999999998"/>
    <m/>
  </r>
  <r>
    <x v="25"/>
    <d v="2026-07-26T00:00:00"/>
    <x v="11"/>
    <s v="PEDRO LARA CORNEJO "/>
    <m/>
    <s v="LACP490629HHGRRD08"/>
    <n v="23118396"/>
    <n v="5215663784810"/>
    <x v="1"/>
    <n v="4299.51"/>
    <m/>
    <n v="1289.8530000000001"/>
    <n v="126.53000000000065"/>
    <m/>
  </r>
  <r>
    <x v="25"/>
    <d v="2026-07-26T00:00:00"/>
    <x v="38"/>
    <s v="PIO SILVA BRAVO"/>
    <m/>
    <s v="SIBP500505HTSLRX07"/>
    <n v="23118482"/>
    <n v="5573314391"/>
    <x v="2"/>
    <n v="28139.23"/>
    <n v="8440.66"/>
    <n v="8441.7690000000002"/>
    <n v="1.1090000000003783"/>
    <d v="2026-11-01T00:00:00"/>
  </r>
  <r>
    <x v="25"/>
    <d v="2026-07-26T00:00:00"/>
    <x v="39"/>
    <s v="Anastacio Juarez Santiago"/>
    <m/>
    <s v="JUSA630329HSPRNN04"/>
    <n v="23112486"/>
    <n v="4891235987"/>
    <x v="2"/>
    <n v="7919.84"/>
    <n v="2374.84"/>
    <n v="2375.9519999999998"/>
    <n v="1.1119999999996253"/>
    <d v="2027-02-01T00:00:00"/>
  </r>
  <r>
    <x v="25"/>
    <d v="2026-07-26T00:00:00"/>
    <x v="0"/>
    <s v="DANIEL MORALES LAGUNA"/>
    <m/>
    <s v="MOLD750224HGTRGN06"/>
    <n v="23117680"/>
    <n v="5214615560914"/>
    <x v="5"/>
    <m/>
    <m/>
    <n v="0"/>
    <n v="0"/>
    <m/>
  </r>
  <r>
    <x v="25"/>
    <d v="2026-07-26T00:00:00"/>
    <x v="36"/>
    <s v="Cresencio sarabia barrientos"/>
    <m/>
    <s v="_x0009_SABC651012HDGRRR04"/>
    <n v="23119666"/>
    <n v="6182759709"/>
    <x v="2"/>
    <n v="9760.32"/>
    <n v="2823.89"/>
    <n v="2928.096"/>
    <n v="104.20600000000013"/>
    <d v="2027-11-01T00:00:00"/>
  </r>
  <r>
    <x v="25"/>
    <d v="2026-07-25T00:00:00"/>
    <x v="29"/>
    <s v="OSCAR PRIETO ARROYO"/>
    <s v="06846610464"/>
    <s v="PIAO660117HDFRRS09"/>
    <n v="23108616"/>
    <n v="5215620356811"/>
    <x v="2"/>
    <n v="10636.54"/>
    <n v="3143.79"/>
    <n v="3190.962"/>
    <n v="47.172000000000025"/>
    <d v="2028-04-01T00:00:00"/>
  </r>
  <r>
    <x v="25"/>
    <d v="2026-07-26T00:00:00"/>
    <x v="39"/>
    <s v="Martin Calzadilla Torres"/>
    <m/>
    <s v="CATM630224HDFLRR05"/>
    <n v="23119734"/>
    <n v="5518113928"/>
    <x v="2"/>
    <n v="7920.51"/>
    <n v="2367.42"/>
    <n v="2376.1529999999998"/>
    <n v="8.7329999999997199"/>
    <d v="2027-07-01T00:00:00"/>
  </r>
  <r>
    <x v="25"/>
    <d v="2026-07-26T00:00:00"/>
    <x v="35"/>
    <s v="Juan carlos luna escogido"/>
    <m/>
    <s v="LUEJ570228HTSNSN27"/>
    <n v="23120302"/>
    <n v="9381070742"/>
    <x v="1"/>
    <n v="4199.87"/>
    <s v="848"/>
    <n v="1259.961"/>
    <n v="-821.10999999999967"/>
    <m/>
  </r>
  <r>
    <x v="25"/>
    <d v="2026-07-26T00:00:00"/>
    <x v="39"/>
    <s v="Ismael Maldonado Espinosa"/>
    <m/>
    <s v="MAEI570705HDFLSS02"/>
    <n v="23119936"/>
    <n v="5612734656"/>
    <x v="2"/>
    <n v="9081.52"/>
    <n v="2607.86"/>
    <n v="2724.4560000000001"/>
    <n v="116.596"/>
    <d v="2027-04-01T00:00:00"/>
  </r>
  <r>
    <x v="25"/>
    <d v="2026-07-25T00:00:00"/>
    <x v="37"/>
    <s v="NORMA ANGELICA"/>
    <n v="51816205465"/>
    <m/>
    <n v="23110236"/>
    <n v="5214492114986"/>
    <x v="2"/>
    <n v="26932.68"/>
    <n v="8062.49"/>
    <n v="8079.8040000000001"/>
    <n v="17.314000000000306"/>
    <d v="2027-12-01T00:00:00"/>
  </r>
  <r>
    <x v="25"/>
    <d v="2026-07-26T00:00:00"/>
    <x v="41"/>
    <s v="JUAN ZAMORA MORELOS"/>
    <m/>
    <s v="ZAMJ630308HDFMRN09"/>
    <n v="23115760"/>
    <n v="5215518308804"/>
    <x v="6"/>
    <n v="15932.2"/>
    <n v="4197.28"/>
    <n v="4779.66"/>
    <n v="582.38000000000011"/>
    <d v="2026-01-01T00:00:00"/>
  </r>
  <r>
    <x v="25"/>
    <d v="2026-07-26T00:00:00"/>
    <x v="38"/>
    <s v="Faustino Matías Domínguez"/>
    <m/>
    <s v="MADF680116HVZTMS07"/>
    <n v="23119464"/>
    <n v="5617748480"/>
    <x v="1"/>
    <n v="4190.21"/>
    <m/>
    <n v="1257.0629999999999"/>
    <n v="17.230000000000473"/>
    <m/>
  </r>
  <r>
    <x v="25"/>
    <d v="2026-07-26T00:00:00"/>
    <x v="29"/>
    <s v="ANA MARIA CRISTINA  MARTINEZ GARCIA"/>
    <m/>
    <s v="MAGA700724MDFRRN17"/>
    <n v="23120190"/>
    <n v="5215634168404"/>
    <x v="5"/>
    <m/>
    <m/>
    <n v="0"/>
    <n v="0"/>
    <m/>
  </r>
  <r>
    <x v="25"/>
    <d v="2026-07-26T00:00:00"/>
    <x v="41"/>
    <s v="CARLOS MANUEL RAMOS ARREOLA"/>
    <m/>
    <s v="RAAC541225HJCMRR08"/>
    <n v="23120236"/>
    <n v="5213343343499"/>
    <x v="2"/>
    <n v="4534.54"/>
    <n v="348.69"/>
    <n v="1360.3619999999999"/>
    <n v="12.870000000000402"/>
    <d v="2027-05-01T00:00:00"/>
  </r>
  <r>
    <x v="25"/>
    <d v="2026-07-26T00:00:00"/>
    <x v="35"/>
    <s v="Efrain causor Lopez"/>
    <m/>
    <s v="CALE620108HMNSPF03"/>
    <n v="23117742"/>
    <n v="3931808851"/>
    <x v="6"/>
    <n v="7640.52"/>
    <n v="2109.29"/>
    <n v="2292.1559999999999"/>
    <n v="182.86599999999999"/>
    <d v="2025-10-01T00:00:00"/>
  </r>
  <r>
    <x v="25"/>
    <d v="2026-07-26T00:00:00"/>
    <x v="29"/>
    <s v=" Silvia Flores"/>
    <n v="15796302881"/>
    <m/>
    <n v="23120452"/>
    <n v="5217779140822"/>
    <x v="6"/>
    <n v="7920.51"/>
    <n v="1384.04"/>
    <n v="2376.1529999999998"/>
    <n v="992.11299999999983"/>
    <d v="2026-06-01T00:00:00"/>
  </r>
  <r>
    <x v="25"/>
    <d v="2026-07-26T00:00:00"/>
    <x v="41"/>
    <s v="JOSE FERNANDO ZEPEDA SOLIS"/>
    <m/>
    <s v="ZESF640602HSRPLR00"/>
    <n v="23121272"/>
    <n v="5216681128850"/>
    <x v="2"/>
    <n v="9081.52"/>
    <n v="2518"/>
    <n v="2724.4560000000001"/>
    <n v="206.45600000000013"/>
    <d v="2026-11-01T00:00:00"/>
  </r>
  <r>
    <x v="25"/>
    <d v="2026-07-26T00:00:00"/>
    <x v="20"/>
    <s v="PABLO"/>
    <s v="06725538026"/>
    <m/>
    <n v="23119126"/>
    <n v="5215525379069"/>
    <x v="2"/>
    <n v="14676.75"/>
    <n v="4393.3599999999997"/>
    <n v="4403.0249999999996"/>
    <n v="9.6649999999999636"/>
    <d v="2027-09-01T00:00:00"/>
  </r>
  <r>
    <x v="25"/>
    <d v="2026-07-26T00:00:00"/>
    <x v="19"/>
    <m/>
    <n v="16633611229"/>
    <s v="VEAJ580909MMCLLR02"/>
    <n v="23118680"/>
    <n v="5217223216759"/>
    <x v="1"/>
    <n v="3599.32"/>
    <m/>
    <n v="1079.796"/>
    <n v="0"/>
    <m/>
  </r>
  <r>
    <x v="25"/>
    <d v="2026-07-26T00:00:00"/>
    <x v="20"/>
    <s v="RAUL"/>
    <n v="52978031707"/>
    <m/>
    <n v="23118872"/>
    <n v="5213142482525"/>
    <x v="5"/>
    <m/>
    <m/>
    <n v="0"/>
    <n v="0"/>
    <m/>
  </r>
  <r>
    <x v="25"/>
    <d v="2026-07-26T00:00:00"/>
    <x v="41"/>
    <s v="Marco Antonio Martín Aramburu Porras"/>
    <m/>
    <s v="AAPM561106HDFRRR06"/>
    <n v="23119706"/>
    <n v="5215543515800"/>
    <x v="0"/>
    <n v="43100.88"/>
    <n v="3291.73"/>
    <n v="12930.263999999999"/>
    <n v="9638.5339999999997"/>
    <d v="2028-03-01T00:00:00"/>
  </r>
  <r>
    <x v="25"/>
    <d v="2026-07-26T00:00:00"/>
    <x v="35"/>
    <s v="Maria carmen"/>
    <n v="92907005539"/>
    <m/>
    <n v="23121188"/>
    <n v="5579665495"/>
    <x v="0"/>
    <n v="23122.76"/>
    <m/>
    <n v="6936.8279999999995"/>
    <n v="6936.8279999999995"/>
    <m/>
  </r>
  <r>
    <x v="25"/>
    <d v="2026-07-26T00:00:00"/>
    <x v="41"/>
    <s v="CLEOTILDE MARTINEZ VELASCO"/>
    <s v=" 78694512068"/>
    <s v="MAVC540603MOCRLL15"/>
    <n v="23117348"/>
    <n v="5219514741546"/>
    <x v="0"/>
    <n v="11876.9"/>
    <s v="879"/>
    <n v="3563.0699999999997"/>
    <n v="2684.0699999999997"/>
    <m/>
  </r>
  <r>
    <x v="25"/>
    <d v="2026-07-26T00:00:00"/>
    <x v="35"/>
    <s v="MARIA MERCEDES COVARRUBIAS"/>
    <m/>
    <s v="COGM670815MJCVRR08"/>
    <n v="23122470"/>
    <n v="3315407783"/>
    <x v="1"/>
    <n v="3912.1"/>
    <m/>
    <n v="1173.6299999999999"/>
    <n v="0"/>
    <m/>
  </r>
  <r>
    <x v="25"/>
    <d v="2026-07-26T00:00:00"/>
    <x v="38"/>
    <s v="RICARDO FIGUEROA"/>
    <n v="32816375466"/>
    <m/>
    <n v="23122480"/>
    <n v="8445441173"/>
    <x v="2"/>
    <n v="7920.51"/>
    <n v="2375.0500000000002"/>
    <n v="2376.1529999999998"/>
    <n v="1.1029999999996107"/>
    <d v="2028-02-01T00:00:00"/>
  </r>
  <r>
    <x v="25"/>
    <d v="2026-07-26T00:00:00"/>
    <x v="38"/>
    <s v="YOLANDA GONZALEZ GOMEZ"/>
    <m/>
    <s v="GOGY670415MTCNML08"/>
    <n v="23122648"/>
    <n v="9141090525"/>
    <x v="5"/>
    <m/>
    <m/>
    <n v="0"/>
    <n v="0"/>
    <m/>
  </r>
  <r>
    <x v="25"/>
    <d v="2026-07-26T00:00:00"/>
    <x v="38"/>
    <s v=" José Alfredo Siqueiros Díaz"/>
    <n v="24796241305"/>
    <m/>
    <n v="23123024"/>
    <n v="6624155730"/>
    <x v="3"/>
    <n v="7920.51"/>
    <n v="1477.6"/>
    <n v="2376.1529999999998"/>
    <n v="898.55299999999988"/>
    <d v="2027-07-01T00:00:00"/>
  </r>
  <r>
    <x v="26"/>
    <d v="2026-07-27T00:00:00"/>
    <x v="31"/>
    <s v="ELEUTERIO ROMAN ALEJANDRE"/>
    <n v="49795812798"/>
    <s v="ROAE580418HVZMLL08"/>
    <n v="2"/>
    <n v="8991233087"/>
    <x v="3"/>
    <n v="6090.77"/>
    <n v="1313.26"/>
    <n v="1827.231"/>
    <n v="513.971"/>
    <d v="2027-03-01T00:00:00"/>
  </r>
  <r>
    <x v="26"/>
    <d v="2026-07-27T00:00:00"/>
    <x v="31"/>
    <s v="MA. GUADALUPE VELIZ CHAIRES"/>
    <n v="32755920736"/>
    <s v="VECG601224MCLLHD10"/>
    <n v="2"/>
    <n v="8661893511"/>
    <x v="2"/>
    <n v="4554.84"/>
    <s v="754.14"/>
    <n v="1366.452"/>
    <n v="-372.2799999999994"/>
    <d v="2027-03-01T00:00:00"/>
  </r>
  <r>
    <x v="26"/>
    <d v="2026-07-27T00:00:00"/>
    <x v="32"/>
    <s v="DEMETRIO ESPINOSA RUIZ"/>
    <n v="43816256101"/>
    <s v="EIRD621222HNLSZM09"/>
    <n v="2"/>
    <n v="8112626305"/>
    <x v="7"/>
    <n v="7116.73"/>
    <n v="2059.04"/>
    <n v="2135.0189999999998"/>
    <n v="75.978999999999814"/>
    <d v="2026-05-01T00:00:00"/>
  </r>
  <r>
    <x v="26"/>
    <d v="2026-07-27T00:00:00"/>
    <x v="32"/>
    <s v="FRANCISCO JAVIER CONTRERAS MEDINA"/>
    <n v="81775903545"/>
    <s v="COMF591203HCCNDR01"/>
    <n v="2"/>
    <n v="9382916151"/>
    <x v="2"/>
    <n v="12777.55"/>
    <n v="3832.13"/>
    <n v="3833.2649999999994"/>
    <n v="1.1349999999993088"/>
    <d v="2026-12-01T00:00:00"/>
  </r>
  <r>
    <x v="26"/>
    <d v="2026-07-27T00:00:00"/>
    <x v="31"/>
    <s v="INES LOPEZ DIAS"/>
    <n v="10816320658"/>
    <s v="LODI630219MDFPZN03"/>
    <n v="2"/>
    <n v="5527986575"/>
    <x v="2"/>
    <n v="7920.51"/>
    <n v="2376.12"/>
    <n v="2376.1529999999998"/>
    <n v="3.2999999999901775E-2"/>
    <d v="2027-08-01T00:00:00"/>
  </r>
  <r>
    <x v="26"/>
    <d v="2026-07-26T00:00:00"/>
    <x v="35"/>
    <s v="Norberto rodriguez aguilar"/>
    <m/>
    <s v="ROAN740606HDFDGR06"/>
    <n v="23119562"/>
    <n v="5566839539"/>
    <x v="1"/>
    <n v="3893.6"/>
    <m/>
    <n v="1168.08"/>
    <n v="0"/>
    <m/>
  </r>
  <r>
    <x v="26"/>
    <d v="2026-07-27T00:00:00"/>
    <x v="32"/>
    <s v="VICTOR MANUEL RANGEL"/>
    <s v="12876322822"/>
    <s v="RAXV630626HGTNXC04"/>
    <n v="2"/>
    <n v="4761313465"/>
    <x v="2"/>
    <n v="7920.51"/>
    <n v="2376.14"/>
    <n v="2376.1529999999998"/>
    <n v="1.2999999999919964E-2"/>
    <d v="2027-01-04T00:00:00"/>
  </r>
  <r>
    <x v="26"/>
    <d v="2026-07-26T00:00:00"/>
    <x v="35"/>
    <m/>
    <m/>
    <s v="CUMM530314HTCRNG09"/>
    <n v="23122596"/>
    <n v="9372891978"/>
    <x v="1"/>
    <n v="3494.87"/>
    <m/>
    <n v="1048.461"/>
    <n v="0"/>
    <m/>
  </r>
  <r>
    <x v="26"/>
    <d v="2026-07-26T00:00:00"/>
    <x v="35"/>
    <s v="JESUS"/>
    <n v="2177560578"/>
    <m/>
    <n v="23123368"/>
    <n v="6531168218"/>
    <x v="1"/>
    <n v="3882.85"/>
    <s v="848"/>
    <n v="1164.855"/>
    <n v="-848"/>
    <m/>
  </r>
  <r>
    <x v="26"/>
    <d v="2026-07-26T00:00:00"/>
    <x v="37"/>
    <s v="MILAGROS SALAZAR CAZARES"/>
    <n v="33007912000"/>
    <s v="SACM790603MCLLZL18"/>
    <n v="23121780"/>
    <n v="5218448921701"/>
    <x v="4"/>
    <m/>
    <m/>
    <n v="0"/>
    <n v="0"/>
    <m/>
  </r>
  <r>
    <x v="26"/>
    <d v="2026-07-27T00:00:00"/>
    <x v="32"/>
    <s v="FRANCISCO HERNANDEZ GUZMAN"/>
    <n v="89826327200"/>
    <s v="HEGF631216HDFRZR09"/>
    <n v="2"/>
    <n v="5585792268"/>
    <x v="2"/>
    <n v="9760.32"/>
    <n v="2820.1"/>
    <n v="2928.096"/>
    <n v="107.99600000000009"/>
    <d v="2027-09-01T00:00:00"/>
  </r>
  <r>
    <x v="26"/>
    <d v="2026-07-27T00:00:00"/>
    <x v="30"/>
    <s v="RENE CARRILLO SILVA"/>
    <n v="53815908131"/>
    <s v="CASR591013HMNRLN03"/>
    <n v="23135182"/>
    <n v="5214432270268"/>
    <x v="3"/>
    <n v="37988.089999999997"/>
    <n v="10520.97"/>
    <n v="11396.426999999998"/>
    <n v="875.45699999999852"/>
    <d v="2027-02-01T00:00:00"/>
  </r>
  <r>
    <x v="26"/>
    <d v="2026-07-27T00:00:00"/>
    <x v="32"/>
    <s v="RENE RODRIGUEZ LIMONES"/>
    <s v="32907104619"/>
    <s v="ROLR710128HCLDMN03"/>
    <n v="2"/>
    <n v="8713487235"/>
    <x v="0"/>
    <n v="9572.89"/>
    <m/>
    <n v="2871.8669999999997"/>
    <n v="2871.8669999999997"/>
    <m/>
  </r>
  <r>
    <x v="26"/>
    <d v="2026-07-26T00:00:00"/>
    <x v="37"/>
    <s v="PEDRO VERA HERNANDEZ"/>
    <n v="19796286193"/>
    <s v="VEHP640222HPLRRD03"/>
    <n v="23121518"/>
    <n v="5214272240538"/>
    <x v="2"/>
    <n v="9760.32"/>
    <n v="2928"/>
    <n v="2928.096"/>
    <n v="9.6000000000003638E-2"/>
    <d v="2028-04-01T00:00:00"/>
  </r>
  <r>
    <x v="26"/>
    <d v="2026-07-27T00:00:00"/>
    <x v="31"/>
    <s v="ANTONIO DIAZ DOMINGUEZ"/>
    <n v="10775915761"/>
    <s v="DIDA590708HHGZMN08"/>
    <n v="2"/>
    <n v="9932780378"/>
    <x v="9"/>
    <n v="7928.07"/>
    <n v="2181.2600000000002"/>
    <n v="2378.4209999999998"/>
    <n v="197.1609999999996"/>
    <d v="2024-02-01T00:00:00"/>
  </r>
  <r>
    <x v="26"/>
    <d v="2026-07-27T00:00:00"/>
    <x v="31"/>
    <s v="AMPARO AGUILAR SANTOS"/>
    <n v="43816216287"/>
    <s v="AUSA621223MNLGNM07"/>
    <n v="2"/>
    <n v="8187093221"/>
    <x v="2"/>
    <n v="7116.73"/>
    <n v="2042.89"/>
    <n v="2135.0189999999998"/>
    <n v="92.128999999999678"/>
    <d v="2027-10-01T00:00:00"/>
  </r>
  <r>
    <x v="26"/>
    <d v="2026-07-26T00:00:00"/>
    <x v="36"/>
    <s v="José Emilio Díaz García"/>
    <m/>
    <s v="_x0009_DIGE640821HMCZRM01"/>
    <n v="23118294"/>
    <n v="5584257438"/>
    <x v="3"/>
    <n v="9081.52"/>
    <n v="1809.74"/>
    <n v="2724.4560000000001"/>
    <n v="914.71600000000012"/>
    <d v="2027-12-01T00:00:00"/>
  </r>
  <r>
    <x v="26"/>
    <d v="2026-07-27T00:00:00"/>
    <x v="30"/>
    <s v="MARTHA GABRIELA FELGUEREZ CARDONA"/>
    <n v="1782610377"/>
    <s v="FECM610224MDFLRR07"/>
    <n v="23135552"/>
    <n v="5214432449385"/>
    <x v="2"/>
    <n v="7116.73"/>
    <n v="2057.34"/>
    <n v="2135.0189999999998"/>
    <n v="77.678999999999633"/>
    <d v="2027-02-01T00:00:00"/>
  </r>
  <r>
    <x v="26"/>
    <d v="2026-07-25T00:00:00"/>
    <x v="41"/>
    <s v="RUBEN CAMPOS HERRERA"/>
    <m/>
    <s v="CAHR640217HDFMRB09"/>
    <n v="23110096"/>
    <n v="5215658697611"/>
    <x v="2"/>
    <n v="10636.54"/>
    <n v="3188.97"/>
    <n v="3190.962"/>
    <n v="1.9920000000001892"/>
    <d v="2028-05-01T00:00:00"/>
  </r>
  <r>
    <x v="26"/>
    <d v="2026-07-26T00:00:00"/>
    <x v="0"/>
    <s v="AMALIA"/>
    <s v="32735538723"/>
    <m/>
    <n v="23117240"/>
    <n v="5218641320033"/>
    <x v="2"/>
    <n v="9890.3700000000008"/>
    <n v="2745.74"/>
    <n v="2967.1110000000003"/>
    <n v="221.37100000000055"/>
    <d v="2026-08-01T00:00:00"/>
  </r>
  <r>
    <x v="26"/>
    <d v="2026-07-26T00:00:00"/>
    <x v="39"/>
    <s v="Juan José Padua Navarrete"/>
    <m/>
    <s v="PANJ650227HGRDVN07"/>
    <n v="23123362"/>
    <n v="6864325794"/>
    <x v="2"/>
    <n v="10797.37"/>
    <n v="3058.78"/>
    <n v="3239.2110000000002"/>
    <n v="180.43100000000004"/>
    <d v="2027-10-01T00:00:00"/>
  </r>
  <r>
    <x v="26"/>
    <d v="2026-07-25T00:00:00"/>
    <x v="41"/>
    <s v="ANGEL JESUS GARCIA VALENZUELA"/>
    <n v="33907250700"/>
    <s v="GAVA721212HSLRLN06"/>
    <n v="23109104"/>
    <n v="5216643587287"/>
    <x v="5"/>
    <m/>
    <m/>
    <n v="0"/>
    <n v="0"/>
    <m/>
  </r>
  <r>
    <x v="26"/>
    <d v="2026-07-26T00:00:00"/>
    <x v="35"/>
    <s v="Carmen Alicia Cervantes Gutierrez"/>
    <m/>
    <s v="CEGC670613MJCRTR07"/>
    <n v="23109292"/>
    <n v="3339564627"/>
    <x v="5"/>
    <m/>
    <m/>
    <n v="0"/>
    <n v="0"/>
    <m/>
  </r>
  <r>
    <x v="26"/>
    <d v="2026-07-26T00:00:00"/>
    <x v="35"/>
    <s v="JUAN LUIS BRAVO MAGAÑA"/>
    <m/>
    <s v="BAMJ840508HMNRGN03"/>
    <n v="23122784"/>
    <n v="4361159582"/>
    <x v="8"/>
    <n v="2012.24"/>
    <m/>
    <n v="603.67200000000003"/>
    <n v="0"/>
    <m/>
  </r>
  <r>
    <x v="26"/>
    <d v="2026-07-26T00:00:00"/>
    <x v="39"/>
    <s v="Gerardo García Caballero"/>
    <m/>
    <s v="GACG630522HCHRBR12"/>
    <n v="23115770"/>
    <n v="6142438889"/>
    <x v="0"/>
    <n v="25173.29"/>
    <m/>
    <n v="7551.9870000000001"/>
    <n v="7551.9870000000001"/>
    <m/>
  </r>
  <r>
    <x v="26"/>
    <d v="2026-07-27T00:00:00"/>
    <x v="6"/>
    <s v="DANIEL GOMEZ GONZALEZ "/>
    <n v="49685614659"/>
    <s v="GOGD560103HTSMNN09"/>
    <n v="23136892"/>
    <n v="5218311034212"/>
    <x v="2"/>
    <n v="27122.799999999999"/>
    <n v="8135.97"/>
    <n v="8136.8399999999992"/>
    <n v="0.86999999999898137"/>
    <d v="2026-09-01T00:00:00"/>
  </r>
  <r>
    <x v="26"/>
    <d v="2026-07-26T00:00:00"/>
    <x v="37"/>
    <s v="ROBERTO URIBE GARCIA"/>
    <m/>
    <s v="UIGR640930HSLRRB05"/>
    <n v="23123010"/>
    <n v="5216673574956"/>
    <x v="2"/>
    <n v="9081.2199999999993"/>
    <n v="2722.12"/>
    <n v="2724.3659999999995"/>
    <n v="2.2459999999996398"/>
    <d v="2027-04-01T00:00:00"/>
  </r>
  <r>
    <x v="26"/>
    <d v="2026-07-27T00:00:00"/>
    <x v="32"/>
    <s v="FELIPE AGUIRRE CAMPOS"/>
    <s v="62775818101"/>
    <s v="AUCF580411HTLGML06"/>
    <n v="2"/>
    <n v="2214001141"/>
    <x v="3"/>
    <n v="4813.6899999999996"/>
    <m/>
    <n v="1444.1069999999997"/>
    <n v="640.71"/>
    <m/>
  </r>
  <r>
    <x v="26"/>
    <d v="2026-07-27T00:00:00"/>
    <x v="32"/>
    <s v="MARTIN MEDELLIN GONZALEZ"/>
    <s v="01725682494"/>
    <s v="MEGM561111HDFDNR02"/>
    <n v="2"/>
    <n v="5560696056"/>
    <x v="2"/>
    <n v="10020.75"/>
    <n v="2899"/>
    <n v="3006.2249999999999"/>
    <n v="107.22499999999991"/>
    <d v="2027-11-01T00:00:00"/>
  </r>
  <r>
    <x v="26"/>
    <d v="2026-07-26T00:00:00"/>
    <x v="0"/>
    <s v="AMALIA"/>
    <s v="32816359650"/>
    <m/>
    <n v="23117240"/>
    <n v="5218641320033"/>
    <x v="2"/>
    <n v="9760.32"/>
    <n v="2823.87"/>
    <n v="2928.096"/>
    <n v="104.22600000000011"/>
    <d v="2027-06-01T00:00:00"/>
  </r>
  <r>
    <x v="26"/>
    <d v="2026-07-26T00:00:00"/>
    <x v="37"/>
    <s v="ARTURO ORTEGA PONCE"/>
    <m/>
    <s v="OEPA550115HJCRNR08"/>
    <n v="23116844"/>
    <n v="5213311699036"/>
    <x v="2"/>
    <n v="39352.089999999997"/>
    <n v="11784.83"/>
    <n v="11805.626999999999"/>
    <n v="20.796999999998661"/>
    <d v="2028-03-01T00:00:00"/>
  </r>
  <r>
    <x v="26"/>
    <d v="2026-07-27T00:00:00"/>
    <x v="28"/>
    <s v="JUAN VALENCIA LEON"/>
    <s v="62816507941"/>
    <s v="VALJ650910HPLLNN05"/>
    <n v="23136336"/>
    <n v="5212211631150"/>
    <x v="0"/>
    <n v="10636.54"/>
    <m/>
    <n v="3190.962"/>
    <n v="3190.962"/>
    <m/>
  </r>
  <r>
    <x v="26"/>
    <d v="2026-07-27T00:00:00"/>
    <x v="31"/>
    <s v="NELZAHUALCOYOTL ALVAREZ CARMONA"/>
    <n v="92936300448"/>
    <s v="AACN630418HGRLRT19"/>
    <n v="2"/>
    <n v="8128247289"/>
    <x v="2"/>
    <n v="9081.52"/>
    <n v="2693.06"/>
    <n v="2724.4560000000001"/>
    <n v="31.396000000000186"/>
    <d v="2028-02-01T00:00:00"/>
  </r>
  <r>
    <x v="26"/>
    <d v="2026-07-25T00:00:00"/>
    <x v="40"/>
    <s v=" Rocio Quintero Valdez"/>
    <n v="11967501849"/>
    <s v="QUVR720127MDFNLC05"/>
    <n v="23103988"/>
    <n v="5215532737492"/>
    <x v="2"/>
    <n v="5055.88"/>
    <n v="1253.8599999999999"/>
    <n v="1516.7639999999999"/>
    <n v="-370.95999999999935"/>
    <d v="2027-03-01T00:00:00"/>
  </r>
  <r>
    <x v="26"/>
    <d v="2026-07-27T00:00:00"/>
    <x v="30"/>
    <s v="ROMAN RAMOS PINEDO"/>
    <n v="33836202110"/>
    <s v="RAPR620627HZSMNM01"/>
    <n v="23140674"/>
    <n v="5216141914478"/>
    <x v="6"/>
    <n v="11495.7"/>
    <n v="3049.51"/>
    <n v="3448.71"/>
    <n v="399.19999999999982"/>
    <d v="2025-06-01T00:00:00"/>
  </r>
  <r>
    <x v="26"/>
    <d v="2026-07-25T00:00:00"/>
    <x v="13"/>
    <s v="ANGEL FLORES GARCIA"/>
    <n v="64806325433"/>
    <s v="FOGA631006HMCLRN02"/>
    <n v="23102686"/>
    <n v="5215612773637"/>
    <x v="0"/>
    <n v="9081.52"/>
    <s v="848"/>
    <n v="2724.4560000000001"/>
    <n v="1876.4560000000001"/>
    <m/>
  </r>
  <r>
    <x v="26"/>
    <d v="2026-07-26T00:00:00"/>
    <x v="41"/>
    <s v="Ester Jadhasa García Góngora"/>
    <s v="01917403451"/>
    <s v="GAGE791213MDFRNS04"/>
    <n v="23121454"/>
    <n v="5215537718839"/>
    <x v="2"/>
    <n v="5055.87"/>
    <n v="1300.18"/>
    <n v="1516.761"/>
    <n v="-417.28999999999974"/>
    <d v="2028-06-01T00:00:00"/>
  </r>
  <r>
    <x v="26"/>
    <d v="2026-07-26T00:00:00"/>
    <x v="11"/>
    <s v="benito priciliano hernandez jarquin "/>
    <s v="10836204643"/>
    <m/>
    <n v="23120198"/>
    <n v="5217352152795"/>
    <x v="2"/>
    <n v="7920.51"/>
    <n v="2286.54"/>
    <n v="2376.1529999999998"/>
    <n v="89.612999999999829"/>
    <d v="2027-09-01T00:00:00"/>
  </r>
  <r>
    <x v="26"/>
    <d v="2026-07-22T00:00:00"/>
    <x v="13"/>
    <s v="MARIA GUADALUPE DOMINGUEZ HERNANDEZ"/>
    <n v="43735737439"/>
    <s v="DOHG600928MNLMRD00"/>
    <n v="22989172"/>
    <n v="5218182014913"/>
    <x v="2"/>
    <n v="8784.2900000000009"/>
    <s v="2511.76"/>
    <n v="2635.2870000000003"/>
    <n v="123.52700000000004"/>
    <d v="2027-10-01T00:00:00"/>
  </r>
  <r>
    <x v="26"/>
    <d v="2026-07-27T00:00:00"/>
    <x v="30"/>
    <s v="SERGIO DAVID VALENCIA BARRIENTOS"/>
    <n v="11826416767"/>
    <s v="VABS640322HDFLRR08"/>
    <n v="23139300"/>
    <n v="5215588128709"/>
    <x v="2"/>
    <n v="11195.8"/>
    <n v="3356.19"/>
    <n v="3358.74"/>
    <n v="2.5499999999997272"/>
    <d v="2028-05-01T00:00:00"/>
  </r>
  <r>
    <x v="26"/>
    <d v="2026-07-27T00:00:00"/>
    <x v="14"/>
    <s v="FRANCISCO VELA BASURTO"/>
    <m/>
    <s v="VEBF600510HCHLSR09"/>
    <n v="23135966"/>
    <n v="5213311140890"/>
    <x v="7"/>
    <n v="5617.63"/>
    <n v="1393.24"/>
    <n v="1685.289"/>
    <n v="51.410000000000537"/>
    <d v="2026-03-01T00:00:00"/>
  </r>
  <r>
    <x v="26"/>
    <d v="2026-07-26T00:00:00"/>
    <x v="26"/>
    <s v="HECTOR ZUÑIGA GARCIA"/>
    <n v="43926601550"/>
    <s v="ZUGH660501HNLXRC07"/>
    <n v="23126544"/>
    <n v="5218180137738"/>
    <x v="2"/>
    <n v="10636.54"/>
    <n v="3188.97"/>
    <n v="3190.962"/>
    <n v="1.9920000000001892"/>
    <d v="2028-06-01T00:00:00"/>
  </r>
  <r>
    <x v="26"/>
    <d v="2026-07-27T00:00:00"/>
    <x v="14"/>
    <s v="Roberto Gámez Guerra"/>
    <n v="32695011331"/>
    <s v="GAGR520405HCLMRB00"/>
    <n v="23136444"/>
    <n v="5218443069769"/>
    <x v="2"/>
    <n v="20040.759999999998"/>
    <n v="5792.28"/>
    <n v="6012.2279999999992"/>
    <n v="219.94799999999941"/>
    <d v="2028-02-01T00:00:00"/>
  </r>
  <r>
    <x v="26"/>
    <d v="2026-07-27T00:00:00"/>
    <x v="13"/>
    <s v="JUAN CARLOS BAUTISTA JIMENEZ"/>
    <n v="54796300082"/>
    <s v="BAJJ631222HNTTMN04"/>
    <n v="23131072"/>
    <n v="5213348549225"/>
    <x v="2"/>
    <n v="10171.24"/>
    <n v="2942.78"/>
    <n v="3051.3719999999998"/>
    <n v="108.59199999999964"/>
    <d v="2027-08-01T00:00:00"/>
  </r>
  <r>
    <x v="26"/>
    <d v="2026-07-27T00:00:00"/>
    <x v="14"/>
    <s v="Guadalupe Escalante García"/>
    <m/>
    <s v="EAGG620228MNLSRD09"/>
    <n v="23139244"/>
    <n v="5218114718669"/>
    <x v="2"/>
    <n v="8160.87"/>
    <n v="2360"/>
    <n v="2448.261"/>
    <n v="88.260999999999967"/>
    <d v="2027-10-01T00:00:00"/>
  </r>
  <r>
    <x v="26"/>
    <d v="2026-07-26T00:00:00"/>
    <x v="10"/>
    <s v="Rocio Idalia Riojas Saucedo"/>
    <n v="43927907766"/>
    <s v="RISR790603MNLJCC06"/>
    <n v="23124116"/>
    <n v="5218124306089"/>
    <x v="2"/>
    <n v="6405.06"/>
    <s v="2059.03"/>
    <n v="1921.518"/>
    <n v="-137.51200000000017"/>
    <d v="2027-04-01T00:00:00"/>
  </r>
  <r>
    <x v="26"/>
    <d v="2026-07-26T00:00:00"/>
    <x v="29"/>
    <s v="José Antonio Valdez Aranza"/>
    <n v="28917508849"/>
    <s v="VAAA7505HDFLRN08"/>
    <n v="23120846"/>
    <n v="5215640031061"/>
    <x v="2"/>
    <n v="5642.22"/>
    <n v="1455.2"/>
    <n v="1692.6659999999999"/>
    <n v="14.040000000000646"/>
    <d v="2028-05-01T00:00:00"/>
  </r>
  <r>
    <x v="26"/>
    <d v="2026-07-27T00:00:00"/>
    <x v="28"/>
    <s v="GUADALUPE JIMENEZ NORBERTO"/>
    <s v="78815003849"/>
    <s v="JING601209MOCMRD01"/>
    <n v="23126402"/>
    <n v="5212871279983"/>
    <x v="1"/>
    <n v="5569.67"/>
    <n v="2942.78"/>
    <n v="1670.9010000000001"/>
    <n v="-1546.0899999999997"/>
    <m/>
  </r>
  <r>
    <x v="26"/>
    <d v="2026-07-27T00:00:00"/>
    <x v="28"/>
    <s v="FERNANDO FLORES"/>
    <m/>
    <s v="FOCF610218HJCLRR05"/>
    <n v="23127760"/>
    <n v="5213222652047"/>
    <x v="6"/>
    <n v="7675.8"/>
    <n v="2035.38"/>
    <n v="2302.7399999999998"/>
    <n v="267.35999999999967"/>
    <d v="2023-10-01T00:00:00"/>
  </r>
  <r>
    <x v="26"/>
    <d v="2026-07-26T00:00:00"/>
    <x v="10"/>
    <s v="Mario Garcia Rodriguez"/>
    <n v="65735415591"/>
    <s v="GARM540815HVZRDR15"/>
    <n v="23124680"/>
    <n v="5212961029174"/>
    <x v="2"/>
    <n v="6071.75"/>
    <n v="1808.18"/>
    <n v="1821.5249999999999"/>
    <n v="13.3449999999998"/>
    <d v="2027-05-01T00:00:00"/>
  </r>
  <r>
    <x v="26"/>
    <d v="2026-07-27T00:00:00"/>
    <x v="10"/>
    <s v="ALFREDO CABALLERO MORALES"/>
    <n v="71865901830"/>
    <s v="CAMA590722HCSBRL06"/>
    <n v="23138070"/>
    <n v="5219621260159"/>
    <x v="3"/>
    <n v="4813.6899999999996"/>
    <m/>
    <n v="1444.1069999999997"/>
    <n v="640.71"/>
    <m/>
  </r>
  <r>
    <x v="26"/>
    <d v="2026-07-26T00:00:00"/>
    <x v="14"/>
    <s v="MARIA DE LOS ANGELES ORTIZ MARTINEZ"/>
    <n v="33876903759"/>
    <m/>
    <n v="23124618"/>
    <n v="5216562219858"/>
    <x v="2"/>
    <n v="14483.3"/>
    <n v="4190.3599999999997"/>
    <n v="4344.99"/>
    <n v="154.63000000000011"/>
    <d v="2027-05-01T00:00:00"/>
  </r>
  <r>
    <x v="26"/>
    <d v="2026-07-26T00:00:00"/>
    <x v="11"/>
    <s v="Luz del alba hernandez zapata "/>
    <s v="83846721443"/>
    <m/>
    <n v="23122722"/>
    <n v="5219932230399"/>
    <x v="7"/>
    <n v="21429.58"/>
    <n v="5949.31"/>
    <n v="6428.8740000000007"/>
    <n v="479.56400000000031"/>
    <d v="2026-02-01T00:00:00"/>
  </r>
  <r>
    <x v="26"/>
    <d v="2026-07-26T00:00:00"/>
    <x v="28"/>
    <s v="JOSE ARTURO TORRES ZEPEDA"/>
    <s v="54796096029"/>
    <s v="TOZA600224HJCRPR08"/>
    <n v="23138804"/>
    <n v="5213315678172"/>
    <x v="3"/>
    <n v="29318.42"/>
    <n v="8474.61"/>
    <n v="8795.5259999999998"/>
    <n v="320.91599999999926"/>
    <d v="2027-05-01T00:00:00"/>
  </r>
  <r>
    <x v="26"/>
    <d v="2026-07-27T00:00:00"/>
    <x v="6"/>
    <s v="ROBERTO APOLO OCAMPO ARREOLA "/>
    <n v="1270531338"/>
    <s v="OAAR530206HQTCRB05"/>
    <n v="23132602"/>
    <n v="5214792330949"/>
    <x v="1"/>
    <n v="3881.65"/>
    <n v="848"/>
    <n v="1164.4949999999999"/>
    <n v="-848"/>
    <m/>
  </r>
  <r>
    <x v="26"/>
    <d v="2026-07-27T00:00:00"/>
    <x v="28"/>
    <s v="VICTOR JAVIER HERNANDEZ LEYVA"/>
    <s v="33786206079"/>
    <s v="HELV630602HCHRYC05"/>
    <n v="23125612"/>
    <n v="5216145211208"/>
    <x v="2"/>
    <n v="7920.51"/>
    <n v="2289.0700000000002"/>
    <n v="2376.1529999999998"/>
    <n v="87.082999999999629"/>
    <d v="2027-04-01T00:00:00"/>
  </r>
  <r>
    <x v="26"/>
    <d v="2026-07-27T00:00:00"/>
    <x v="26"/>
    <s v="JUAN FIDENCIO MAGAÑA SALAZAR"/>
    <n v="65806203223"/>
    <s v="MASJ621116HVZGLN09"/>
    <n v="23131644"/>
    <n v="5212291619678"/>
    <x v="0"/>
    <n v="7116.73"/>
    <m/>
    <n v="2135.0189999999998"/>
    <n v="2135.0189999999998"/>
    <m/>
  </r>
  <r>
    <x v="26"/>
    <d v="2026-07-27T00:00:00"/>
    <x v="6"/>
    <s v="ARMANDO BERMUDEZ MARMOLEJO"/>
    <n v="31836617071"/>
    <s v="BEMA660820HDGRRR03"/>
    <n v="23142230"/>
    <n v="5218713845586"/>
    <x v="2"/>
    <n v="6409.47"/>
    <n v="1679.37"/>
    <n v="1922.8409999999999"/>
    <n v="243.471"/>
    <d v="2027-01-01T00:00:00"/>
  </r>
  <r>
    <x v="26"/>
    <d v="2026-07-27T00:00:00"/>
    <x v="6"/>
    <s v="ALFONSO BARAJAS VAZQUEZ "/>
    <s v="33826625304"/>
    <s v="BAVA660123HCHRZL01"/>
    <n v="23143802"/>
    <n v="5216561930163"/>
    <x v="2"/>
    <n v="16200.37"/>
    <n v="4858.29"/>
    <n v="4860.1109999999999"/>
    <n v="1.8209999999999127"/>
    <d v="2028-05-01T00:00:00"/>
  </r>
  <r>
    <x v="26"/>
    <d v="2026-07-27T00:00:00"/>
    <x v="6"/>
    <s v="MARIA DE LA CRUZ GUILLEN ORTIZ "/>
    <s v="11685990422"/>
    <s v="GUOC520111MDFLRR01"/>
    <n v="23143630"/>
    <n v="5217717583100"/>
    <x v="4"/>
    <m/>
    <m/>
    <n v="0"/>
    <n v="0"/>
    <m/>
  </r>
  <r>
    <x v="26"/>
    <d v="2026-07-27T00:00:00"/>
    <x v="32"/>
    <s v="PEDRO RAMIREZ HERNANDEZ"/>
    <n v="43786231605"/>
    <s v="RAHP620629HNLMRD03"/>
    <n v="2"/>
    <n v="8181203913"/>
    <x v="9"/>
    <n v="7116.73"/>
    <n v="1974.86"/>
    <n v="2135.0189999999998"/>
    <n v="160.15899999999988"/>
    <d v="2025-01-01T00:00:00"/>
  </r>
  <r>
    <x v="26"/>
    <d v="2026-07-09T00:00:00"/>
    <x v="14"/>
    <s v="JESUS JOSE CHAVEZ BOLAÑOS"/>
    <n v="57877104380"/>
    <m/>
    <n v="22484926"/>
    <n v="5216444864627"/>
    <x v="1"/>
    <m/>
    <m/>
    <n v="0"/>
    <n v="0"/>
    <m/>
  </r>
  <r>
    <x v="26"/>
    <d v="2026-07-25T00:00:00"/>
    <x v="10"/>
    <s v="JOAQUIN GUTIERREZ TELLEZ"/>
    <n v="49977838504"/>
    <s v="GUTJ540816HTSTLQ01"/>
    <n v="23104000"/>
    <n v="5218184986151"/>
    <x v="0"/>
    <n v="6576.05"/>
    <m/>
    <n v="1972.8150000000001"/>
    <n v="1972.8150000000001"/>
    <m/>
  </r>
  <r>
    <x v="26"/>
    <d v="2026-07-27T00:00:00"/>
    <x v="30"/>
    <s v="Eduardo Morales Garza."/>
    <n v="49765706954"/>
    <s v="MOGE580211HTSRRD07"/>
    <n v="23123558"/>
    <n v="5218333021882"/>
    <x v="2"/>
    <n v="7920.51"/>
    <n v="2291"/>
    <n v="2376.1529999999998"/>
    <n v="85.152999999999793"/>
    <d v="2027-05-01T00:00:00"/>
  </r>
  <r>
    <x v="26"/>
    <d v="2026-07-27T00:00:00"/>
    <x v="31"/>
    <s v="LUIS ROJAS RIOS"/>
    <n v="19725520415"/>
    <s v="RORL530227HVZJSS00"/>
    <n v="2"/>
    <n v="5587443010"/>
    <x v="2"/>
    <n v="9081.52"/>
    <n v="2573.4299999999998"/>
    <n v="2724.4560000000001"/>
    <n v="151.02600000000029"/>
    <d v="2027-09-01T00:00:00"/>
  </r>
  <r>
    <x v="26"/>
    <d v="2026-07-27T00:00:00"/>
    <x v="32"/>
    <s v="JESUS PARDO TORRES"/>
    <s v="41745707970"/>
    <s v="PATJ570908HSPRRS01"/>
    <n v="2"/>
    <n v="8144010658"/>
    <x v="1"/>
    <n v="4698.95"/>
    <n v="848"/>
    <n v="1409.6849999999999"/>
    <n v="-322.02999999999975"/>
    <m/>
  </r>
  <r>
    <x v="26"/>
    <d v="2026-07-26T00:00:00"/>
    <x v="36"/>
    <s v="RODOLFO MARTINEZ RUIZ"/>
    <m/>
    <s v="MARR650510HCLRZD03"/>
    <n v="23120368"/>
    <n v="8646179575"/>
    <x v="2"/>
    <n v="9760.32"/>
    <n v="2913.38"/>
    <n v="2928.096"/>
    <n v="14.715999999999894"/>
    <d v="2028-08-01T00:00:00"/>
  </r>
  <r>
    <x v="26"/>
    <d v="2026-07-25T00:00:00"/>
    <x v="38"/>
    <s v="VIRGINIA LARA GUARNEROS"/>
    <m/>
    <s v="LAGV621016MDFRRR07"/>
    <n v="23109538"/>
    <n v="5533097815"/>
    <x v="1"/>
    <n v="2017.85"/>
    <m/>
    <n v="605.3549999999999"/>
    <n v="0"/>
    <m/>
  </r>
  <r>
    <x v="26"/>
    <d v="2026-07-26T00:00:00"/>
    <x v="0"/>
    <s v="ABEL RIVERA"/>
    <n v="24776203150"/>
    <m/>
    <n v="23118852"/>
    <n v="5216441102471"/>
    <x v="2"/>
    <n v="7561.18"/>
    <n v="2268.35"/>
    <n v="2268.3539999999998"/>
    <n v="3.9999999999054126E-3"/>
    <d v="2026-08-01T00:00:00"/>
  </r>
  <r>
    <x v="26"/>
    <d v="2026-07-27T00:00:00"/>
    <x v="14"/>
    <s v="José Roberto Saldaña Sánchez "/>
    <m/>
    <s v="SASR621121HSPLNB07"/>
    <n v="23140210"/>
    <n v="5214444328268"/>
    <x v="0"/>
    <n v="7808.26"/>
    <m/>
    <n v="2342.4780000000001"/>
    <n v="2342.4780000000001"/>
    <m/>
  </r>
  <r>
    <x v="26"/>
    <d v="2026-07-27T00:00:00"/>
    <x v="14"/>
    <s v="LEOPOLDO PULQUERO ROMERO"/>
    <m/>
    <s v="PURL601115HDFLMP02"/>
    <n v="23141418"/>
    <n v="5214613025022"/>
    <x v="9"/>
    <n v="8404.07"/>
    <n v="2247.81"/>
    <n v="2521.221"/>
    <n v="273.41100000000006"/>
    <d v="2026-07-01T00:00:00"/>
  </r>
  <r>
    <x v="26"/>
    <d v="2026-07-25T00:00:00"/>
    <x v="40"/>
    <s v="Ma Jesus Duarte Gonzalez"/>
    <m/>
    <s v="GODJ560426MGTNRS06"/>
    <n v="23105972"/>
    <n v="5214641811489"/>
    <x v="2"/>
    <n v="5414.57"/>
    <n v="1187.53"/>
    <n v="1624.3709999999999"/>
    <n v="54.060000000000173"/>
    <d v="2027-04-01T00:00:00"/>
  </r>
  <r>
    <x v="26"/>
    <d v="2026-07-27T00:00:00"/>
    <x v="14"/>
    <s v="ESMERALDA MACIAS PIÑA"/>
    <n v="54836677192"/>
    <s v="MAPE730928MJCCXS06"/>
    <n v="23143162"/>
    <n v="5213334624503"/>
    <x v="9"/>
    <n v="5636.59"/>
    <n v="1519.81"/>
    <n v="1690.9770000000001"/>
    <n v="-56.199999999999363"/>
    <d v="2026-07-01T00:00:00"/>
  </r>
  <r>
    <x v="26"/>
    <d v="2026-07-24T00:00:00"/>
    <x v="26"/>
    <s v="LUIS GERARDO GOMEZ BARRAGAN"/>
    <n v="49735633338"/>
    <s v="GOBL560922HTSMRS02"/>
    <n v="23047764"/>
    <n v="5215656294154"/>
    <x v="1"/>
    <n v="4199.87"/>
    <m/>
    <n v="1259.961"/>
    <n v="26.890000000000327"/>
    <m/>
  </r>
  <r>
    <x v="26"/>
    <d v="2026-07-27T00:00:00"/>
    <x v="6"/>
    <s v="HUGO ALEJANDRO LOPEZ RENDON"/>
    <n v="43816468490"/>
    <s v="LORH640601HNLPNG00"/>
    <n v="23136716"/>
    <n v="5218123366570"/>
    <x v="2"/>
    <n v="9081.52"/>
    <n v="2515.1"/>
    <n v="2724.4560000000001"/>
    <n v="209.35600000000022"/>
    <d v="2026-09-01T00:00:00"/>
  </r>
  <r>
    <x v="26"/>
    <d v="2026-07-27T00:00:00"/>
    <x v="39"/>
    <s v="Gonzalo Martínez Castañeda"/>
    <m/>
    <s v="MACG690110HDFRSN08"/>
    <n v="23147002"/>
    <n v="5522027316"/>
    <x v="2"/>
    <n v="5916.87"/>
    <n v="1740.3"/>
    <n v="1775.0609999999999"/>
    <n v="3.5900000000003729"/>
    <d v="2028-05-01T00:00:00"/>
  </r>
  <r>
    <x v="26"/>
    <d v="2026-07-27T00:00:00"/>
    <x v="13"/>
    <s v="RICARDO VALENZUELA ROMERO"/>
    <n v="24897356242"/>
    <s v="VARR740315HSRLMC02"/>
    <n v="23135720"/>
    <n v="16204510041"/>
    <x v="1"/>
    <n v="3514.32"/>
    <n v="879"/>
    <n v="1054.296"/>
    <n v="-879"/>
    <m/>
  </r>
  <r>
    <x v="26"/>
    <d v="2026-07-27T00:00:00"/>
    <x v="13"/>
    <s v="CUTBERTO OSANTE CARRASCO"/>
    <n v="78655110050"/>
    <s v="OACC510927HPLSRT02"/>
    <n v="23135908"/>
    <n v="5219512266652"/>
    <x v="2"/>
    <n v="5211.8599999999997"/>
    <n v="1029.77"/>
    <n v="1563.5579999999998"/>
    <n v="9.1100000000001273"/>
    <d v="2028-07-01T00:00:00"/>
  </r>
  <r>
    <x v="26"/>
    <d v="2026-07-27T00:00:00"/>
    <x v="13"/>
    <s v="VICENTE MAYA VELAZQUEZ"/>
    <n v="1480610442"/>
    <s v="MAVV610417HMNYLC05"/>
    <n v="23136736"/>
    <n v="5214421428110"/>
    <x v="5"/>
    <m/>
    <m/>
    <n v="0"/>
    <n v="0"/>
    <m/>
  </r>
  <r>
    <x v="26"/>
    <d v="2026-07-27T00:00:00"/>
    <x v="13"/>
    <s v="ALFREDO ESPINOZA GONZALEZ"/>
    <s v="016245295988"/>
    <s v="EIGA450320HHGSNL01"/>
    <n v="23140780"/>
    <n v="5216621306148"/>
    <x v="1"/>
    <n v="4287.79"/>
    <m/>
    <n v="1286.337"/>
    <n v="114.8100000000004"/>
    <m/>
  </r>
  <r>
    <x v="26"/>
    <d v="2026-07-26T00:00:00"/>
    <x v="26"/>
    <s v="ROSARIO USTAQUIO ESPINOZA LOPEZ"/>
    <n v="23796016428"/>
    <s v="EILR600920HSLSPS02"/>
    <n v="23126686"/>
    <n v="5216221830844"/>
    <x v="2"/>
    <n v="5617.63"/>
    <n v="1361.58"/>
    <n v="1685.289"/>
    <n v="83.070000000000618"/>
    <d v="2028-01-01T00:00:00"/>
  </r>
  <r>
    <x v="26"/>
    <d v="2026-07-27T00:00:00"/>
    <x v="39"/>
    <s v="Gerardo Nieto Hernandez"/>
    <m/>
    <s v="NIHG580924HPLTRR09"/>
    <n v="23147186"/>
    <n v="2272011579"/>
    <x v="2"/>
    <n v="20084.259999999998"/>
    <n v="5808.08"/>
    <n v="6025.2779999999993"/>
    <n v="217.19799999999941"/>
    <d v="2026-09-01T00:00:00"/>
  </r>
  <r>
    <x v="26"/>
    <d v="2026-07-27T00:00:00"/>
    <x v="28"/>
    <s v="ESPERANZA MARTINEZ CISNEROS"/>
    <s v="31684310829_x000a_"/>
    <s v="MASE480908MZSRSS04"/>
    <n v="23131868"/>
    <n v="5218715985145"/>
    <x v="1"/>
    <n v="4332.32"/>
    <m/>
    <n v="1299.6959999999999"/>
    <n v="159.34000000000015"/>
    <m/>
  </r>
  <r>
    <x v="26"/>
    <d v="2026-07-27T00:00:00"/>
    <x v="10"/>
    <s v="Ramón Moreno Gomez"/>
    <n v="54846561840"/>
    <s v="MOGR650629HBCRMM08"/>
    <n v="23130914"/>
    <n v="5219843203373"/>
    <x v="1"/>
    <n v="4008.23"/>
    <m/>
    <n v="1202.4690000000001"/>
    <n v="0"/>
    <m/>
  </r>
  <r>
    <x v="26"/>
    <d v="2026-07-27T00:00:00"/>
    <x v="10"/>
    <s v="Maria Fimbres Noriega"/>
    <n v="24785925249"/>
    <s v="FINM590324MSRMRR07"/>
    <n v="23144142"/>
    <n v="5216622964952"/>
    <x v="9"/>
    <n v="5865.17"/>
    <n v="1432.1"/>
    <n v="1759.5509999999999"/>
    <n v="260.0900000000006"/>
    <d v="2024-02-01T00:00:00"/>
  </r>
  <r>
    <x v="26"/>
    <d v="2026-07-27T00:00:00"/>
    <x v="10"/>
    <s v="Jose Solis Hernandez"/>
    <n v="24755914710"/>
    <s v="SOHJ590124HSRLRS01"/>
    <n v="23144142"/>
    <n v="5216622964952"/>
    <x v="3"/>
    <n v="5617.63"/>
    <s v="848"/>
    <n v="1685.289"/>
    <n v="596.65000000000055"/>
    <m/>
  </r>
  <r>
    <x v="26"/>
    <d v="2026-07-26T00:00:00"/>
    <x v="10"/>
    <s v="ENRIQUE CORTEZ ALVARADO"/>
    <m/>
    <s v="COAE610706HSPRLN03"/>
    <n v="23125648"/>
    <n v="5218115283633"/>
    <x v="0"/>
    <n v="29399.15"/>
    <m/>
    <n v="8819.7450000000008"/>
    <n v="8819.7450000000008"/>
    <m/>
  </r>
  <r>
    <x v="26"/>
    <d v="2026-07-26T00:00:00"/>
    <x v="20"/>
    <s v="apolonia"/>
    <n v="62745205880"/>
    <s v="FEGA690209MHGRDP01"/>
    <n v="23121626"/>
    <n v="5212461296170"/>
    <x v="2"/>
    <n v="6405.06"/>
    <s v="1913.52"/>
    <n v="1921.518"/>
    <n v="7.9980000000000473"/>
    <d v="2028-05-01T00:00:00"/>
  </r>
  <r>
    <x v="26"/>
    <d v="2026-07-27T00:00:00"/>
    <x v="20"/>
    <s v="jose gerardo"/>
    <n v="41896508577"/>
    <s v="GOLG650628HSPNPR06"/>
    <n v="23109960"/>
    <n v="5214445840174"/>
    <x v="2"/>
    <n v="9760.26"/>
    <n v="2821.63"/>
    <n v="2928.078"/>
    <n v="106.44799999999987"/>
    <d v="2027-10-01T00:00:00"/>
  </r>
  <r>
    <x v="26"/>
    <d v="2026-07-27T00:00:00"/>
    <x v="34"/>
    <s v="MARIA DE LA LUZ GONZALEZ PEREZ"/>
    <s v="43926504648"/>
    <s v="GOLP650719MNLNRZ01"/>
    <n v="2"/>
    <n v="8135561096"/>
    <x v="2"/>
    <n v="9760.32"/>
    <n v="2822.92"/>
    <n v="2928.096"/>
    <n v="105.17599999999993"/>
    <d v="2027-09-01T00:00:00"/>
  </r>
  <r>
    <x v="26"/>
    <d v="2026-07-27T00:00:00"/>
    <x v="26"/>
    <s v="JOSE MARIA MOROYOQUI FLORES"/>
    <n v="24875923930"/>
    <s v="MOFM590815HSRRLR04"/>
    <n v="23144368"/>
    <n v="5216441428384"/>
    <x v="2"/>
    <n v="4813.6899999999996"/>
    <n v="622.53"/>
    <n v="1444.1069999999997"/>
    <n v="18.180000000000064"/>
    <d v="2028-08-01T00:00:00"/>
  </r>
  <r>
    <x v="26"/>
    <d v="2026-07-26T00:00:00"/>
    <x v="20"/>
    <s v="AMADO "/>
    <n v="67765904478"/>
    <m/>
    <n v="23123030"/>
    <n v="5218110287202"/>
    <x v="0"/>
    <n v="7920.51"/>
    <m/>
    <n v="2376.1529999999998"/>
    <n v="2376.1529999999998"/>
    <m/>
  </r>
  <r>
    <x v="26"/>
    <d v="2026-07-27T00:00:00"/>
    <x v="32"/>
    <s v="JAIME ESTRADA GALLEGOS"/>
    <n v="1745292035"/>
    <s v="EAGJ520528HDFSLM02"/>
    <n v="2"/>
    <n v="5627582718"/>
    <x v="2"/>
    <n v="9673.31"/>
    <n v="2797.52"/>
    <n v="2901.9929999999999"/>
    <n v="104.47299999999996"/>
    <d v="2027-03-01T00:00:00"/>
  </r>
  <r>
    <x v="26"/>
    <d v="2026-07-27T00:00:00"/>
    <x v="26"/>
    <s v="ALFREDO DROUAILLET RICO"/>
    <m/>
    <s v="DORA611129HVZRCL05"/>
    <n v="23146116"/>
    <n v="5218123977802"/>
    <x v="0"/>
    <n v="9081.52"/>
    <m/>
    <n v="2724.4560000000001"/>
    <n v="2724.4560000000001"/>
    <m/>
  </r>
  <r>
    <x v="26"/>
    <d v="2026-07-27T00:00:00"/>
    <x v="31"/>
    <s v="GERARDO MAYA CAMARENA"/>
    <n v="49795505194"/>
    <s v="MACG550106HMNYMR07"/>
    <n v="2"/>
    <n v="3329547223"/>
    <x v="2"/>
    <n v="7073.84"/>
    <n v="2043.2"/>
    <n v="2122.152"/>
    <n v="78.951999999999998"/>
    <d v="2027-01-01T00:00:00"/>
  </r>
  <r>
    <x v="26"/>
    <d v="2026-07-27T00:00:00"/>
    <x v="32"/>
    <s v="MIGUEL ANGEL VALENCIA PEREZ"/>
    <n v="62756004313"/>
    <s v="VAPM600830HPLLRG07"/>
    <n v="2"/>
    <n v="2214080406"/>
    <x v="2"/>
    <n v="9760.32"/>
    <n v="2927.76"/>
    <n v="2928.096"/>
    <n v="0.33599999999978536"/>
    <d v="2027-07-01T00:00:00"/>
  </r>
  <r>
    <x v="26"/>
    <d v="2026-07-27T00:00:00"/>
    <x v="41"/>
    <s v="Fernando Rivero Montoya"/>
    <m/>
    <s v="RIMF650505HMCVNR06"/>
    <n v="23148324"/>
    <n v="5215642722798"/>
    <x v="2"/>
    <n v="9760.32"/>
    <n v="2823.26"/>
    <n v="2928.096"/>
    <n v="104.83599999999979"/>
    <d v="2027-12-01T00:00:00"/>
  </r>
  <r>
    <x v="26"/>
    <d v="2026-07-27T00:00:00"/>
    <x v="32"/>
    <s v="LEONCIO AURELIANO VAZQUEZ RAMIREZ"/>
    <s v="37966301154"/>
    <s v="VARL630226HDFZMN08"/>
    <n v="2"/>
    <n v="5552989235"/>
    <x v="6"/>
    <n v="9081.52"/>
    <n v="2518.66"/>
    <n v="2724.4560000000001"/>
    <n v="205.79600000000028"/>
    <d v="2026-05-01T00:00:00"/>
  </r>
  <r>
    <x v="26"/>
    <d v="2026-07-27T00:00:00"/>
    <x v="26"/>
    <s v="PEDRO GUILLERMO FIERRO TORRES"/>
    <n v="31937734486"/>
    <s v="FITP780728HDGRRD09"/>
    <n v="23145910"/>
    <n v="5218722770516"/>
    <x v="2"/>
    <n v="6136.16"/>
    <s v="1838.41"/>
    <n v="1840.848"/>
    <n v="2.4379999999998745"/>
    <d v="2028-07-01T00:00:00"/>
  </r>
  <r>
    <x v="26"/>
    <d v="2026-07-27T00:00:00"/>
    <x v="31"/>
    <s v="MARIA DE LOURDES LOPEZ CASTAÑEDA"/>
    <n v="24856891007"/>
    <s v="LOCL720504MDGPSR02"/>
    <n v="2"/>
    <n v="6711060845"/>
    <x v="2"/>
    <n v="4332.32"/>
    <s v="570.48"/>
    <n v="1299.6959999999999"/>
    <n v="-411.13999999999987"/>
    <d v="2028-04-01T00:00:00"/>
  </r>
  <r>
    <x v="26"/>
    <d v="2026-07-26T00:00:00"/>
    <x v="38"/>
    <s v="YOLANDA GONZALEZ GOMEZ"/>
    <n v="65684213518"/>
    <s v="GOGY670415MTCNML08"/>
    <n v="23122648"/>
    <n v="9141090525"/>
    <x v="6"/>
    <n v="10640.23"/>
    <n v="2540.4499999999998"/>
    <n v="3192.069"/>
    <n v="651.61900000000014"/>
    <d v="2021-03-01T00:00:00"/>
  </r>
  <r>
    <x v="26"/>
    <d v="2026-07-27T00:00:00"/>
    <x v="6"/>
    <s v="HUGO FLAVIO OLIVERIO GARCIA RUIZ "/>
    <n v="53755825105"/>
    <s v="GARH580326HMNRZG08"/>
    <n v="23146286"/>
    <n v="5214438430021"/>
    <x v="0"/>
    <n v="6262.86"/>
    <m/>
    <n v="1878.8579999999997"/>
    <n v="1878.8579999999997"/>
    <m/>
  </r>
  <r>
    <x v="26"/>
    <d v="2026-07-27T00:00:00"/>
    <x v="10"/>
    <s v="J INEZ GARCIA RAMIREZ"/>
    <n v="41825305992"/>
    <s v="GARI530420HSPRMN09"/>
    <n v="23145650"/>
    <n v="5214811315813"/>
    <x v="2"/>
    <n v="9895.2199999999993"/>
    <n v="2860.86"/>
    <n v="2968.5659999999998"/>
    <n v="107.70599999999968"/>
    <d v="2027-11-01T00:00:00"/>
  </r>
  <r>
    <x v="26"/>
    <d v="2026-07-27T00:00:00"/>
    <x v="10"/>
    <s v="María Guadalupe Herrera López"/>
    <n v="23826401145"/>
    <s v="HELG641117MVZRPD09 "/>
    <n v="23144232"/>
    <n v="5219531038207"/>
    <x v="2"/>
    <n v="5636.59"/>
    <n v="1684.48"/>
    <n v="1690.9770000000001"/>
    <n v="-220.86999999999944"/>
    <d v="2028-06-01T00:00:00"/>
  </r>
  <r>
    <x v="26"/>
    <d v="2026-07-27T00:00:00"/>
    <x v="14"/>
    <s v="SERGIO MANUEL GOMEZ IDE"/>
    <m/>
    <s v="GOIS700821HSLMDR08"/>
    <n v="23145526"/>
    <n v="5216693124552"/>
    <x v="1"/>
    <n v="3473.36"/>
    <n v="848"/>
    <n v="1042.008"/>
    <n v="-848"/>
    <m/>
  </r>
  <r>
    <x v="26"/>
    <d v="2026-07-27T00:00:00"/>
    <x v="14"/>
    <s v="SAN JUANA CARREON URQUIETA"/>
    <n v="32806322841"/>
    <m/>
    <n v="23143752"/>
    <n v="5218662531251"/>
    <x v="7"/>
    <n v="22238.35"/>
    <n v="6671.01"/>
    <n v="6671.5049999999992"/>
    <n v="0.49499999999898137"/>
    <d v="2026-07-01T00:00:00"/>
  </r>
  <r>
    <x v="26"/>
    <d v="2026-07-27T00:00:00"/>
    <x v="41"/>
    <s v="HENER FERMIN HERNANDEZ MARTINEZ"/>
    <m/>
    <s v="HEME770718HCLRRN09"/>
    <n v="23147204"/>
    <n v="5218661559894"/>
    <x v="2"/>
    <n v="6411.47"/>
    <n v="1920.02"/>
    <n v="1923.441"/>
    <n v="3.4210000000000491"/>
    <d v="2028-03-01T00:00:00"/>
  </r>
  <r>
    <x v="26"/>
    <d v="2026-07-27T00:00:00"/>
    <x v="6"/>
    <s v="ALEJANDRO PADILLA VELIZ"/>
    <n v="90906512018"/>
    <s v="PAVA651028HDFDLL08"/>
    <n v="23145490"/>
    <n v="5215587794476"/>
    <x v="2"/>
    <n v="9760.32"/>
    <n v="2926.65"/>
    <n v="2928.096"/>
    <n v="1.4459999999999127"/>
    <d v="2028-02-01T00:00:00"/>
  </r>
  <r>
    <x v="26"/>
    <d v="2026-07-20T00:00:00"/>
    <x v="11"/>
    <s v="maria patricia monroy gomez "/>
    <m/>
    <s v="MOGP630107MDFNMT06"/>
    <n v="22840062"/>
    <n v="5215574094701"/>
    <x v="0"/>
    <n v="8539.89"/>
    <m/>
    <n v="2561.9669999999996"/>
    <n v="2561.9669999999996"/>
    <m/>
  </r>
  <r>
    <x v="26"/>
    <d v="2026-07-24T00:00:00"/>
    <x v="38"/>
    <s v="GAMALIEL LLANES OVALLE"/>
    <m/>
    <s v="LAOG570613HCLLVM03"/>
    <n v="23051568"/>
    <n v="8184583932"/>
    <x v="6"/>
    <n v="91170.94"/>
    <n v="14416.49"/>
    <n v="27351.281999999999"/>
    <n v="12934.791999999999"/>
    <d v="2025-08-01T00:00:00"/>
  </r>
  <r>
    <x v="26"/>
    <d v="2026-07-27T00:00:00"/>
    <x v="32"/>
    <s v="MIGUEL MENDOZA LOPEZ"/>
    <n v="14806315793"/>
    <s v="MELM630917HQTNPG03"/>
    <n v="2"/>
    <n v="4424312329"/>
    <x v="2"/>
    <n v="7920.51"/>
    <n v="2199.02"/>
    <n v="2376.1529999999998"/>
    <n v="177.13299999999981"/>
    <d v="2027-01-01T00:00:00"/>
  </r>
  <r>
    <x v="26"/>
    <d v="2026-07-27T00:00:00"/>
    <x v="39"/>
    <s v="Francisco Acosta De La Hoya"/>
    <m/>
    <s v="AOHF651227HSLCYR03"/>
    <n v="23148706"/>
    <n v="6635130202"/>
    <x v="2"/>
    <n v="9760.32"/>
    <n v="2928.1"/>
    <n v="2928.096"/>
    <n v="-3.9999999999054126E-3"/>
    <d v="2028-04-01T00:00:00"/>
  </r>
  <r>
    <x v="26"/>
    <d v="2026-07-26T00:00:00"/>
    <x v="13"/>
    <s v="JOSE AVALOS HERRERA"/>
    <n v="53745712025"/>
    <s v="AAHJ571125HMNVRS07"/>
    <n v="23123684"/>
    <n v="5214443754226"/>
    <x v="9"/>
    <n v="14634.74"/>
    <n v="4046.35"/>
    <n v="4390.4219999999996"/>
    <n v="344.07199999999966"/>
    <d v="2026-05-01T00:00:00"/>
  </r>
  <r>
    <x v="26"/>
    <d v="2026-07-27T00:00:00"/>
    <x v="39"/>
    <s v="Cecilia Flores Gomez"/>
    <m/>
    <s v="FOGC431122MJCLMC03"/>
    <n v="23147314"/>
    <n v="3314337635"/>
    <x v="1"/>
    <n v="3106.01"/>
    <m/>
    <n v="931.803"/>
    <n v="0"/>
    <m/>
  </r>
  <r>
    <x v="26"/>
    <d v="2026-07-27T00:00:00"/>
    <x v="19"/>
    <s v="JUAN ANTONIO "/>
    <n v="23796211722"/>
    <m/>
    <n v="23123074"/>
    <n v="5216691972850"/>
    <x v="9"/>
    <n v="21328.46"/>
    <n v="6398.05"/>
    <n v="6398.5379999999996"/>
    <n v="0.48799999999937427"/>
    <d v="2026-01-01T00:00:00"/>
  </r>
  <r>
    <x v="26"/>
    <d v="2026-07-27T00:00:00"/>
    <x v="39"/>
    <s v="David Bravo Martínez del campo"/>
    <m/>
    <s v="BAMD510414HDFRRV07"/>
    <n v="23146382"/>
    <n v="4271238620"/>
    <x v="2"/>
    <n v="10262.11"/>
    <n v="2118.6799999999998"/>
    <n v="3078.6330000000003"/>
    <n v="959.95300000000043"/>
    <d v="2027-12-01T00:00:00"/>
  </r>
  <r>
    <x v="26"/>
    <d v="2026-07-27T00:00:00"/>
    <x v="30"/>
    <s v="PATRICIA NEREIDA ARIAS FLORES"/>
    <n v="56977930165"/>
    <s v="AIFP850814MJCRLT08"/>
    <n v="23128786"/>
    <n v="5213322410749"/>
    <x v="4"/>
    <m/>
    <m/>
    <n v="0"/>
    <n v="0"/>
    <m/>
  </r>
  <r>
    <x v="26"/>
    <d v="2026-07-27T00:00:00"/>
    <x v="10"/>
    <s v="JORGE ALFONSO RAMIREZ LUGO"/>
    <m/>
    <s v="RALJ650123HSRMGR03"/>
    <n v="23132310"/>
    <n v="5216621936298"/>
    <x v="2"/>
    <n v="11029.02"/>
    <n v="3308.46"/>
    <n v="3308.7060000000001"/>
    <n v="0.24600000000009459"/>
    <d v="2028-05-01T00:00:00"/>
  </r>
  <r>
    <x v="26"/>
    <d v="2026-07-27T00:00:00"/>
    <x v="36"/>
    <s v="Raúl Jiménez Quiroz"/>
    <m/>
    <s v="_x0009_JIQR591017HMCMRL01"/>
    <n v="23151080"/>
    <n v="7293100398"/>
    <x v="2"/>
    <n v="62352.61"/>
    <n v="18702.48"/>
    <n v="18705.782999999999"/>
    <n v="3.3029999999998836"/>
    <d v="2027-02-01T00:00:00"/>
  </r>
  <r>
    <x v="26"/>
    <d v="2026-07-27T00:00:00"/>
    <x v="6"/>
    <s v="JESUS LOPEZ MARTINEZ "/>
    <n v="43775949928"/>
    <s v="LOMJ590817HNLPRS00"/>
    <n v="23139420"/>
    <n v="5218180120560"/>
    <x v="0"/>
    <n v="13374.35"/>
    <n v="608.92999999999995"/>
    <n v="4012.3049999999998"/>
    <n v="3403.375"/>
    <d v="2026-11-01T00:00:00"/>
  </r>
  <r>
    <x v="26"/>
    <d v="2026-07-27T00:00:00"/>
    <x v="26"/>
    <s v="JOSE OCTAVIO GUIZAR IBARRA"/>
    <n v="52978000306"/>
    <s v="GUIO800812HCMZBC02"/>
    <n v="23136814"/>
    <n v="5213121170106"/>
    <x v="2"/>
    <n v="5963.65"/>
    <n v="1725.46"/>
    <n v="1789.0949999999998"/>
    <n v="63.634999999999764"/>
    <d v="2028-08-01T00:00:00"/>
  </r>
  <r>
    <x v="26"/>
    <d v="2026-07-27T00:00:00"/>
    <x v="41"/>
    <s v="JOSE LUIS MEZA PINEDA"/>
    <m/>
    <s v="MEPL650621HCLZNS06"/>
    <n v="23149528"/>
    <n v="5216673000878"/>
    <x v="3"/>
    <n v="9760.32"/>
    <n v="2475.87"/>
    <n v="2928.096"/>
    <n v="452.22600000000011"/>
    <d v="2028-02-01T00:00:00"/>
  </r>
  <r>
    <x v="26"/>
    <d v="2026-07-26T00:00:00"/>
    <x v="14"/>
    <s v="ESMERALDA IVONNE GONZALEZ CARRASCO"/>
    <m/>
    <s v="GOCE750104MCHNRS09"/>
    <n v="23123976"/>
    <n v="5216141265506"/>
    <x v="1"/>
    <n v="3783.67"/>
    <m/>
    <n v="1135.1009999999999"/>
    <n v="0"/>
    <m/>
  </r>
  <r>
    <x v="26"/>
    <d v="2026-07-27T00:00:00"/>
    <x v="30"/>
    <s v="ALEJANDRO GONZALEZ ZARATE"/>
    <m/>
    <s v="GOZA750620HJCNRL01"/>
    <n v="23129400"/>
    <n v="5213313185775"/>
    <x v="2"/>
    <n v="6411.47"/>
    <n v="1923.44"/>
    <n v="1923.441"/>
    <n v="9.9999999997635314E-4"/>
    <d v="2027-11-01T00:00:00"/>
  </r>
  <r>
    <x v="26"/>
    <d v="2026-07-27T00:00:00"/>
    <x v="10"/>
    <s v="Carolina López Alvarado"/>
    <s v="74907356252_x000a_"/>
    <s v="LOAC780302MJCPLR05"/>
    <n v="23135584"/>
    <n v="5213333839874"/>
    <x v="4"/>
    <m/>
    <m/>
    <n v="0"/>
    <n v="0"/>
    <m/>
  </r>
  <r>
    <x v="26"/>
    <d v="2026-07-27T00:00:00"/>
    <x v="10"/>
    <s v="Justino Lopez Hernandez "/>
    <s v="06856500647"/>
    <s v="LOHJ650512HHGPRS08"/>
    <n v="23144872"/>
    <n v="5215591890370"/>
    <x v="2"/>
    <n v="9760.32"/>
    <n v="2813.71"/>
    <n v="2928.096"/>
    <n v="114.38599999999997"/>
    <d v="2027-12-01T00:00:00"/>
  </r>
  <r>
    <x v="26"/>
    <d v="2026-07-27T00:00:00"/>
    <x v="30"/>
    <s v="JOSE ANTONIO TORRES RODRIGUEZ"/>
    <s v="06806333404"/>
    <s v="TORA630709HDFRDN08"/>
    <n v="23144364"/>
    <n v="5215584223135"/>
    <x v="2"/>
    <n v="9081.52"/>
    <n v="2521.35"/>
    <n v="2724.4560000000001"/>
    <n v="203.10600000000022"/>
    <d v="2026-12-01T00:00:00"/>
  </r>
  <r>
    <x v="26"/>
    <d v="2026-07-27T00:00:00"/>
    <x v="35"/>
    <s v="Ma. Del Carmen Carrillo Garcia"/>
    <m/>
    <s v="CAGC641228MCMRRR08"/>
    <n v="23151394"/>
    <n v="3121035041"/>
    <x v="0"/>
    <n v="9683.44"/>
    <m/>
    <n v="2905.0320000000002"/>
    <n v="2905.0320000000002"/>
    <m/>
  </r>
  <r>
    <x v="26"/>
    <d v="2026-07-27T00:00:00"/>
    <x v="35"/>
    <s v="ANGEL CORONADO MORENO"/>
    <m/>
    <s v="COMA560802HSLRRN07"/>
    <n v="23150736"/>
    <n v="6688227464"/>
    <x v="1"/>
    <n v="3866.52"/>
    <m/>
    <n v="1159.9559999999999"/>
    <n v="0"/>
    <m/>
  </r>
  <r>
    <x v="26"/>
    <d v="2026-07-26T00:00:00"/>
    <x v="13"/>
    <s v="JESUS NUÑEZ GOMEZ"/>
    <m/>
    <s v="NUGJ620912HCLXMS00"/>
    <n v="23125602"/>
    <n v="5218716111816"/>
    <x v="7"/>
    <n v="9187.48"/>
    <n v="2644.78"/>
    <n v="2756.2439999999997"/>
    <n v="111.46399999999949"/>
    <d v="2025-07-01T00:00:00"/>
  </r>
  <r>
    <x v="26"/>
    <d v="2026-07-27T00:00:00"/>
    <x v="13"/>
    <s v="LEON VILLEGAS GONZALEZ"/>
    <m/>
    <s v="VIGL620411HMCLNN06"/>
    <n v="23133454"/>
    <n v="5217225764887"/>
    <x v="2"/>
    <n v="7920.51"/>
    <n v="2376.0300000000002"/>
    <n v="2376.1529999999998"/>
    <n v="0.12299999999959255"/>
    <d v="2028-01-01T00:00:00"/>
  </r>
  <r>
    <x v="26"/>
    <d v="2026-07-27T00:00:00"/>
    <x v="31"/>
    <s v="JUAN JOSE SANTOS ESCOBAR"/>
    <n v="67806348966"/>
    <s v="SAEJ631214HVZNSN00"/>
    <n v="2"/>
    <n v="5647889487"/>
    <x v="2"/>
    <n v="9081.52"/>
    <n v="2624.14"/>
    <n v="2724.4560000000001"/>
    <n v="100.31600000000026"/>
    <d v="2027-04-01T00:00:00"/>
  </r>
  <r>
    <x v="26"/>
    <d v="2026-07-27T00:00:00"/>
    <x v="32"/>
    <s v="ANDRES SALA RIVERA"/>
    <s v="31846725773"/>
    <s v="SARA671130HDGLVN07"/>
    <n v="2"/>
    <n v="8711641142"/>
    <x v="6"/>
    <n v="9637.44"/>
    <n v="2556.56"/>
    <n v="2891.232"/>
    <n v="334.67200000000003"/>
    <d v="2026-01-01T00:00:00"/>
  </r>
  <r>
    <x v="26"/>
    <d v="2026-07-27T00:00:00"/>
    <x v="28"/>
    <s v="JORGE FRANCISCO TOVILLA COELLO"/>
    <s v="12785606802_x000a_"/>
    <s v="TOCJ560106HCSVLR03"/>
    <n v="23137284"/>
    <n v="5214774640269"/>
    <x v="2"/>
    <n v="20051.47"/>
    <n v="6015.23"/>
    <n v="6015.4409999999998"/>
    <n v="0.21100000000024011"/>
    <d v="2026-11-01T00:00:00"/>
  </r>
  <r>
    <x v="26"/>
    <d v="2026-07-27T00:00:00"/>
    <x v="13"/>
    <s v="JAVIER MORENO MENDOZA"/>
    <m/>
    <s v="MOMJ570307HVZRNV01"/>
    <n v="23143120"/>
    <n v="5215656886821"/>
    <x v="6"/>
    <n v="10201.41"/>
    <n v="2831.96"/>
    <n v="3060.4229999999998"/>
    <n v="228.46299999999974"/>
    <d v="2026-06-01T00:00:00"/>
  </r>
  <r>
    <x v="26"/>
    <d v="2026-07-27T00:00:00"/>
    <x v="39"/>
    <s v="Guillermo Cruz Cuevas"/>
    <m/>
    <s v="CUCG710916HDFRVL03"/>
    <n v="23148998"/>
    <n v="7226971594"/>
    <x v="2"/>
    <n v="8793.09"/>
    <n v="2637.93"/>
    <n v="2637.9270000000001"/>
    <n v="-2.9999999997016857E-3"/>
    <d v="2028-05-01T00:00:00"/>
  </r>
  <r>
    <x v="26"/>
    <d v="2026-07-27T00:00:00"/>
    <x v="6"/>
    <s v="ROSALIO MONDRAGON SOLIS "/>
    <n v="22846301756"/>
    <s v="MOSR630830HMNNLS00"/>
    <n v="23135126"/>
    <n v="5216242244778"/>
    <x v="2"/>
    <n v="7964.9"/>
    <n v="2211.34"/>
    <n v="2389.4699999999998"/>
    <n v="178.12999999999965"/>
    <d v="2026-09-01T00:00:00"/>
  </r>
  <r>
    <x v="26"/>
    <d v="2026-07-27T00:00:00"/>
    <x v="38"/>
    <s v="RUBEN ROBLES ROBLES"/>
    <m/>
    <s v="RORR610328HNLBBB06"/>
    <n v="23152626"/>
    <n v="8116815834"/>
    <x v="2"/>
    <n v="9760.32"/>
    <n v="2758.36"/>
    <n v="2928.096"/>
    <n v="169.73599999999988"/>
    <d v="2027-08-01T00:00:00"/>
  </r>
  <r>
    <x v="26"/>
    <d v="2026-07-27T00:00:00"/>
    <x v="41"/>
    <s v="DORA VAZQUEZ CONTRERAS"/>
    <m/>
    <s v="VACD471013MCLZNR09"/>
    <n v="23149080"/>
    <n v="5216562770478"/>
    <x v="1"/>
    <n v="4170.87"/>
    <n v="848"/>
    <n v="1251.261"/>
    <n v="-848"/>
    <m/>
  </r>
  <r>
    <x v="26"/>
    <d v="2026-07-27T00:00:00"/>
    <x v="39"/>
    <s v="Teofilo Rosas Rosas"/>
    <m/>
    <s v="RORT530206HBSSSF05"/>
    <n v="23150264"/>
    <n v="6241758249"/>
    <x v="7"/>
    <n v="5257.5"/>
    <n v="1002.12"/>
    <n v="1577.25"/>
    <n v="82.400000000000432"/>
    <d v="2026-07-01T00:00:00"/>
  </r>
  <r>
    <x v="26"/>
    <d v="2026-07-27T00:00:00"/>
    <x v="36"/>
    <s v="Alma Delia Costilla Camacho"/>
    <s v="43897254876"/>
    <s v="COCA681016MNLSML04"/>
    <n v="23152884"/>
    <n v="8119838109"/>
    <x v="4"/>
    <m/>
    <m/>
    <n v="0"/>
    <n v="0"/>
    <m/>
  </r>
  <r>
    <x v="26"/>
    <d v="2026-07-27T00:00:00"/>
    <x v="28"/>
    <s v="JUAN FRANCISCO PICAZO FLORES"/>
    <m/>
    <s v="PIFJ541026HCLCLN04"/>
    <n v="23133358"/>
    <n v="5218616156899"/>
    <x v="1"/>
    <n v="4243.99"/>
    <n v="879"/>
    <n v="1273.1969999999999"/>
    <n v="-807.98999999999978"/>
    <m/>
  </r>
  <r>
    <x v="26"/>
    <d v="2026-07-27T00:00:00"/>
    <x v="38"/>
    <s v="JULIO CESAR MARQUEZ BOROSTIETA"/>
    <n v="43816028237"/>
    <m/>
    <n v="23152874"/>
    <n v="8116379025"/>
    <x v="6"/>
    <n v="12062.73"/>
    <n v="3348.99"/>
    <n v="3618.819"/>
    <n v="269.82900000000018"/>
    <d v="2026-02-01T00:00:00"/>
  </r>
  <r>
    <x v="26"/>
    <d v="2026-07-25T00:00:00"/>
    <x v="38"/>
    <s v="JOSE ANTONIO "/>
    <n v="43926216102"/>
    <m/>
    <n v="23106788"/>
    <n v="8184722420"/>
    <x v="2"/>
    <n v="15546.64"/>
    <n v="4498.0200000000004"/>
    <n v="4663.9919999999993"/>
    <n v="165.97199999999884"/>
    <d v="2027-10-01T00:00:00"/>
  </r>
  <r>
    <x v="26"/>
    <d v="2026-07-27T00:00:00"/>
    <x v="20"/>
    <s v="_x0009_CRISTINA"/>
    <m/>
    <s v="CUHC581024MTSLNR02"/>
    <n v="23123194"/>
    <n v="5218682015218"/>
    <x v="5"/>
    <m/>
    <m/>
    <n v="0"/>
    <n v="0"/>
    <m/>
  </r>
  <r>
    <x v="26"/>
    <d v="2026-07-27T00:00:00"/>
    <x v="41"/>
    <s v="JOSE ANTONIO GUTIERREZ ROMERO"/>
    <m/>
    <s v="GURA531008HDFTMN00"/>
    <n v="23148520"/>
    <n v="5215571340844"/>
    <x v="2"/>
    <n v="7860.39"/>
    <n v="2273.84"/>
    <n v="2358.1170000000002"/>
    <n v="84.277000000000044"/>
    <d v="2026-08-01T00:00:00"/>
  </r>
  <r>
    <x v="26"/>
    <d v="2026-07-27T00:00:00"/>
    <x v="35"/>
    <s v="ricardo de la o rodirguez"/>
    <m/>
    <s v="OXRR540328HCHXDC07"/>
    <n v="23152772"/>
    <n v="6141026323"/>
    <x v="0"/>
    <n v="33404.51"/>
    <m/>
    <n v="10021.353000000001"/>
    <n v="10021.353000000001"/>
    <m/>
  </r>
  <r>
    <x v="27"/>
    <d v="2026-07-28T00:00:00"/>
    <x v="32"/>
    <s v="ROMAN MARIO MEDINA BAUTISTA"/>
    <n v="10796119666"/>
    <s v="MEBR610809HDFDTM06"/>
    <n v="2"/>
    <n v="5512327380"/>
    <x v="7"/>
    <n v="7882.89"/>
    <n v="2353.0700000000002"/>
    <n v="2364.8670000000002"/>
    <n v="11.797000000000025"/>
    <d v="2026-06-01T00:00:00"/>
  </r>
  <r>
    <x v="27"/>
    <d v="2026-07-25T00:00:00"/>
    <x v="40"/>
    <s v="Elena Avalos de la Rosa"/>
    <n v="83905802639"/>
    <s v="AARE580802MTCVSL05"/>
    <n v="23105646"/>
    <n v="5219371229503"/>
    <x v="5"/>
    <m/>
    <m/>
    <n v="0"/>
    <n v="0"/>
    <m/>
  </r>
  <r>
    <x v="27"/>
    <d v="2026-07-28T00:00:00"/>
    <x v="31"/>
    <s v="CANDELARIA TORRES GOMEZ"/>
    <n v="54796366042"/>
    <s v="TOGC630224MJCRMN00"/>
    <n v="2"/>
    <n v="3325768776"/>
    <x v="6"/>
    <n v="9081.52"/>
    <n v="2516.44"/>
    <n v="2724.4560000000001"/>
    <n v="208.01600000000008"/>
    <d v="2026-07-01T00:00:00"/>
  </r>
  <r>
    <x v="27"/>
    <d v="2026-07-28T00:00:00"/>
    <x v="32"/>
    <s v="REBECA RIOS MARTINEZ"/>
    <n v="43936015221"/>
    <s v="RIMR620920MNLSRB06"/>
    <n v="2"/>
    <n v="8262651173"/>
    <x v="2"/>
    <n v="7920.51"/>
    <n v="2290"/>
    <n v="2376.1529999999998"/>
    <n v="86.152999999999793"/>
    <d v="2027-07-01T00:00:00"/>
  </r>
  <r>
    <x v="27"/>
    <d v="2026-07-28T00:00:00"/>
    <x v="31"/>
    <s v="MIGUEL ANGEL FLORES CERVANTES"/>
    <n v="62968105361"/>
    <s v="FOCM810217HPLLRG04"/>
    <n v="2"/>
    <n v="2226929743"/>
    <x v="2"/>
    <n v="5383.48"/>
    <n v="1164.6199999999999"/>
    <n v="1615.0439999999999"/>
    <n v="45.880000000000109"/>
    <d v="2027-09-01T00:00:00"/>
  </r>
  <r>
    <x v="27"/>
    <d v="2026-07-27T00:00:00"/>
    <x v="35"/>
    <s v="NEREYDA"/>
    <n v="24866451065"/>
    <m/>
    <n v="23154162"/>
    <n v="6474872964"/>
    <x v="2"/>
    <n v="9760.32"/>
    <n v="2823.89"/>
    <n v="2928.096"/>
    <n v="104.20600000000013"/>
    <d v="2027-11-01T00:00:00"/>
  </r>
  <r>
    <x v="27"/>
    <d v="2026-07-28T00:00:00"/>
    <x v="31"/>
    <s v="TOMAS REBOLLENO BENITEZ"/>
    <s v="15866308347"/>
    <s v="REBT630130HMSBNM01"/>
    <n v="2"/>
    <n v="5545435538"/>
    <x v="2"/>
    <n v="8539.89"/>
    <n v="2470.6999999999998"/>
    <n v="2561.9669999999996"/>
    <n v="91.266999999999825"/>
    <d v="2028-01-01T00:00:00"/>
  </r>
  <r>
    <x v="27"/>
    <d v="2026-07-27T00:00:00"/>
    <x v="37"/>
    <s v="VIOLETA AVENDAÑO ZAVALA"/>
    <m/>
    <s v="AEZV690228MCSVVL06"/>
    <n v="23155636"/>
    <n v="5219211951030"/>
    <x v="7"/>
    <n v="5642.22"/>
    <n v="1176.29"/>
    <n v="1692.6659999999999"/>
    <n v="292.95000000000073"/>
    <d v="2024-07-01T00:00:00"/>
  </r>
  <r>
    <x v="27"/>
    <d v="2026-07-28T00:00:00"/>
    <x v="30"/>
    <s v="FLOR AZUCENA ELIZONDO TORRES"/>
    <n v="2195787040"/>
    <s v="EITF800413MBCLRL09"/>
    <n v="23136534"/>
    <n v="5216861572115"/>
    <x v="0"/>
    <n v="8035.74"/>
    <m/>
    <n v="2410.7219999999998"/>
    <n v="2410.7219999999998"/>
    <m/>
  </r>
  <r>
    <x v="27"/>
    <d v="2026-07-27T00:00:00"/>
    <x v="37"/>
    <s v="VICTOR HUGO GONZALEZ"/>
    <n v="40927330924"/>
    <m/>
    <n v="23157096"/>
    <n v="5218146154936"/>
    <x v="0"/>
    <n v="9582.4699999999993"/>
    <m/>
    <n v="2874.7409999999995"/>
    <n v="2874.7409999999995"/>
    <m/>
  </r>
  <r>
    <x v="27"/>
    <d v="2026-07-27T00:00:00"/>
    <x v="35"/>
    <s v="ERNESTO ALONSO ARREGUIN PONCE "/>
    <n v="33078217321"/>
    <s v="AEPE820814HCHRNR06"/>
    <n v="23158680"/>
    <n v="6141702393"/>
    <x v="2"/>
    <n v="4956.93"/>
    <s v="725.47"/>
    <n v="1487.079"/>
    <n v="58.4800000000007"/>
    <d v="2026-10-01T00:00:00"/>
  </r>
  <r>
    <x v="27"/>
    <d v="2026-07-27T00:00:00"/>
    <x v="35"/>
    <s v="Juan Mateo Hernández Díaz"/>
    <n v="72957617227"/>
    <s v="HEDJ670920HGRRZN00"/>
    <n v="23154344"/>
    <n v="7442419297"/>
    <x v="5"/>
    <m/>
    <m/>
    <n v="0"/>
    <n v="0"/>
    <m/>
  </r>
  <r>
    <x v="27"/>
    <d v="2026-07-27T00:00:00"/>
    <x v="35"/>
    <s v="CANDELARIO PATRICIO "/>
    <s v="83846315154"/>
    <m/>
    <n v="23154780"/>
    <n v="9932355781"/>
    <x v="8"/>
    <m/>
    <m/>
    <n v="0"/>
    <n v="0"/>
    <m/>
  </r>
  <r>
    <x v="27"/>
    <d v="2026-07-28T00:00:00"/>
    <x v="32"/>
    <s v="CONSTANTINO RODRIGUEZ ALARCON"/>
    <n v="65825847950"/>
    <s v="ROAC580607HVZDLN04"/>
    <n v="2"/>
    <n v="2283586911"/>
    <x v="2"/>
    <n v="5046.1899999999996"/>
    <n v="842.13"/>
    <n v="1513.8569999999997"/>
    <n v="31.080000000000041"/>
    <d v="2027-05-01T00:00:00"/>
  </r>
  <r>
    <x v="27"/>
    <d v="2026-07-27T00:00:00"/>
    <x v="38"/>
    <s v="EUSTACIO MARTINEZ GARCIA"/>
    <n v="43756017679"/>
    <m/>
    <n v="23159746"/>
    <n v="8132323118"/>
    <x v="2"/>
    <n v="5617.63"/>
    <n v="1336"/>
    <n v="1685.289"/>
    <n v="108.65000000000055"/>
    <d v="2027-01-01T00:00:00"/>
  </r>
  <r>
    <x v="27"/>
    <d v="2026-07-28T00:00:00"/>
    <x v="36"/>
    <s v="José Francisco cadena Lule"/>
    <n v="12876983797"/>
    <m/>
    <n v="23158722"/>
    <n v="4491476126"/>
    <x v="1"/>
    <n v="3873.29"/>
    <m/>
    <n v="1161.9869999999999"/>
    <n v="0"/>
    <m/>
  </r>
  <r>
    <x v="27"/>
    <d v="2026-07-27T00:00:00"/>
    <x v="36"/>
    <s v="RICARDO GARCIA"/>
    <n v="55886906779"/>
    <s v="_x0009_GAZR690414HNTRMC04"/>
    <n v="23156584"/>
    <n v="3113974431"/>
    <x v="1"/>
    <n v="1138.83"/>
    <m/>
    <n v="341.64899999999994"/>
    <n v="0"/>
    <m/>
  </r>
  <r>
    <x v="27"/>
    <d v="2026-07-28T00:00:00"/>
    <x v="30"/>
    <s v="JAVIER IBARRA CAMPOS"/>
    <m/>
    <s v="IACJ740505HJCBMV09"/>
    <n v="23170874"/>
    <n v="5213322452608"/>
    <x v="2"/>
    <n v="6411.47"/>
    <n v="1854.99"/>
    <n v="1923.441"/>
    <n v="68.451000000000022"/>
    <d v="2027-07-01T00:00:00"/>
  </r>
  <r>
    <x v="27"/>
    <d v="2026-07-27T00:00:00"/>
    <x v="6"/>
    <s v="MIGUEL ANGEL VILLARREAL GONZALEZ "/>
    <s v="03664816083"/>
    <s v="VIGM480212HNLLNG04"/>
    <n v="23144168"/>
    <n v="5218129447675"/>
    <x v="2"/>
    <n v="23167.9"/>
    <n v="6702.92"/>
    <n v="6950.37"/>
    <n v="247.44999999999982"/>
    <d v="2027-02-01T00:00:00"/>
  </r>
  <r>
    <x v="27"/>
    <d v="2026-07-28T00:00:00"/>
    <x v="6"/>
    <s v="JOSE LUIS CARDENAS MUÑOZ "/>
    <s v="90876410284"/>
    <s v="CAML640909HTLRXS06"/>
    <n v="23167364"/>
    <n v="5215530087571"/>
    <x v="2"/>
    <n v="9081.52"/>
    <n v="2598.5700000000002"/>
    <n v="2724.4560000000001"/>
    <n v="125.88599999999997"/>
    <d v="2027-04-01T00:00:00"/>
  </r>
  <r>
    <x v="27"/>
    <d v="2026-07-28T00:00:00"/>
    <x v="26"/>
    <s v="ALBERTO VAZQUEZ VELDERRAIN"/>
    <n v="24927543892"/>
    <s v="VAVA751010HSRZLL03"/>
    <n v="23169892"/>
    <n v="5216677375250"/>
    <x v="1"/>
    <n v="1999.67"/>
    <s v="499"/>
    <n v="599.90099999999995"/>
    <n v="-499"/>
    <m/>
  </r>
  <r>
    <x v="27"/>
    <d v="2026-07-28T00:00:00"/>
    <x v="30"/>
    <s v="ROSA AMELIA CUADRAS RUELAS"/>
    <n v="2376480150"/>
    <s v="CURR540710MSLDLS09"/>
    <n v="23171264"/>
    <n v="13233348850"/>
    <x v="1"/>
    <n v="4813.6900000000005"/>
    <s v="848"/>
    <n v="1444.1070000000002"/>
    <n v="-207.28999999999905"/>
    <m/>
  </r>
  <r>
    <x v="27"/>
    <d v="2026-07-27T00:00:00"/>
    <x v="41"/>
    <s v="IMELDA MANUELA RAMIREZ NAVA"/>
    <m/>
    <s v="RANI790322MMSMVM04"/>
    <n v="23147744"/>
    <n v="5214445435324"/>
    <x v="1"/>
    <n v="2004.46"/>
    <s v="501.46"/>
    <n v="601.33799999999997"/>
    <n v="-501.46"/>
    <m/>
  </r>
  <r>
    <x v="27"/>
    <d v="2026-07-28T00:00:00"/>
    <x v="6"/>
    <s v="ANA LILIA SANCHEZ ORTEGA"/>
    <s v="01755813811"/>
    <s v="SAOA580214MDFNRN03"/>
    <n v="23169420"/>
    <n v="5215626768752"/>
    <x v="1"/>
    <n v="4342.43"/>
    <m/>
    <n v="1302.729"/>
    <n v="169.45000000000073"/>
    <m/>
  </r>
  <r>
    <x v="27"/>
    <d v="2026-07-27T00:00:00"/>
    <x v="41"/>
    <s v="LUIS FILIBERTO PAVON NAVARRO"/>
    <m/>
    <s v="PANL550822HYNVVS04"/>
    <n v="23146958"/>
    <n v="5219995823404"/>
    <x v="1"/>
    <n v="3882.85"/>
    <s v="848"/>
    <n v="1164.855"/>
    <n v="-848"/>
    <m/>
  </r>
  <r>
    <x v="27"/>
    <d v="2026-07-28T00:00:00"/>
    <x v="6"/>
    <s v="JULIAN REYNA AYALA "/>
    <n v="32816418027"/>
    <s v="REAJ641203HCLYYL10"/>
    <n v="23172480"/>
    <n v="5218661418945"/>
    <x v="2"/>
    <n v="9081.52"/>
    <n v="2723.46"/>
    <n v="2724.4560000000001"/>
    <n v="0.99600000000009459"/>
    <d v="2028-04-01T00:00:00"/>
  </r>
  <r>
    <x v="27"/>
    <d v="2026-07-28T00:00:00"/>
    <x v="14"/>
    <s v="SALVADOR ORTIZ LOPEZ"/>
    <m/>
    <s v="OILS740413HJCRPL04"/>
    <n v="23169826"/>
    <n v="5213322212354"/>
    <x v="1"/>
    <n v="3635.76"/>
    <m/>
    <n v="1090.7280000000001"/>
    <n v="0"/>
    <m/>
  </r>
  <r>
    <x v="27"/>
    <d v="2026-07-27T00:00:00"/>
    <x v="37"/>
    <s v="MANUEL"/>
    <n v="20916204561"/>
    <m/>
    <n v="23159870"/>
    <n v="5217221091523"/>
    <x v="0"/>
    <n v="9760.32"/>
    <m/>
    <n v="2928.096"/>
    <n v="2928.096"/>
    <m/>
  </r>
  <r>
    <x v="27"/>
    <d v="2026-07-28T00:00:00"/>
    <x v="32"/>
    <s v="ALBERTO MUÑOZ LANDAVERDE"/>
    <n v="49796215405"/>
    <s v="MXLA621115HSPXNL02"/>
    <n v="2"/>
    <n v="8999677048"/>
    <x v="2"/>
    <n v="9504.7000000000007"/>
    <n v="2638.84"/>
    <n v="2851.4100000000003"/>
    <n v="212.57000000000016"/>
    <d v="2026-11-01T00:00:00"/>
  </r>
  <r>
    <x v="27"/>
    <d v="2026-07-26T00:00:00"/>
    <x v="3"/>
    <s v="NAZARIA SANTILLAN ARELLANO"/>
    <n v="41845100589"/>
    <s v="SAAN510612MSPNRZ06"/>
    <n v="23123912"/>
    <n v="5214444339686"/>
    <x v="0"/>
    <n v="6104.8"/>
    <m/>
    <n v="1831.44"/>
    <n v="1831.44"/>
    <m/>
  </r>
  <r>
    <x v="27"/>
    <d v="2026-07-28T00:00:00"/>
    <x v="31"/>
    <s v="JOSE SALVADOR ROMERO IBARRA"/>
    <s v="318763OO158"/>
    <s v="ROIS630712HDGMBL00"/>
    <n v="2"/>
    <n v="8714672828"/>
    <x v="0"/>
    <n v="9081.52"/>
    <s v="879"/>
    <n v="2724.4560000000001"/>
    <n v="1845.4560000000001"/>
    <m/>
  </r>
  <r>
    <x v="27"/>
    <d v="2026-07-28T00:00:00"/>
    <x v="26"/>
    <s v="RAFAEL HECTOR SALAZAR GRAJALES"/>
    <n v="49795826111"/>
    <s v="SAGR580620HTSLRF00"/>
    <n v="23173862"/>
    <n v="5218671457769"/>
    <x v="2"/>
    <n v="11515.32"/>
    <n v="3450.08"/>
    <n v="3454.596"/>
    <n v="4.5160000000000764"/>
    <d v="2026-12-01T00:00:00"/>
  </r>
  <r>
    <x v="27"/>
    <d v="2026-07-28T00:00:00"/>
    <x v="30"/>
    <s v="MARCO ANTONIO DELGADO DELGADO"/>
    <m/>
    <s v="DEDM560712HVZLLR08"/>
    <n v="23172938"/>
    <n v="5218332650307"/>
    <x v="3"/>
    <n v="4519.22"/>
    <m/>
    <n v="1355.7660000000001"/>
    <n v="346.24000000000069"/>
    <m/>
  </r>
  <r>
    <x v="27"/>
    <d v="2026-07-28T00:00:00"/>
    <x v="6"/>
    <s v="PROFETA LOPEZ RAMIREZ "/>
    <n v="72806224894"/>
    <s v="LORP620331HOCPMR02"/>
    <n v="23170974"/>
    <n v="5219981076071"/>
    <x v="6"/>
    <n v="7116.73"/>
    <n v="1887.88"/>
    <n v="2135.0189999999998"/>
    <n v="247.13899999999967"/>
    <d v="2025-11-01T00:00:00"/>
  </r>
  <r>
    <x v="27"/>
    <d v="2026-07-28T00:00:00"/>
    <x v="6"/>
    <s v="AURELIA QUIÑONES ALVARADO"/>
    <n v="3294466003"/>
    <s v="QUAA660508MDGXLR07"/>
    <n v="23102450"/>
    <n v="5218641007439"/>
    <x v="3"/>
    <n v="5055.88"/>
    <m/>
    <n v="1516.7639999999999"/>
    <n v="882.90000000000055"/>
    <m/>
  </r>
  <r>
    <x v="27"/>
    <d v="2026-07-27T00:00:00"/>
    <x v="35"/>
    <s v="MARTIN ESPINO CEBALLOS"/>
    <m/>
    <s v="EICM601112HMNSBR04"/>
    <n v="23151996"/>
    <n v="5532839376"/>
    <x v="0"/>
    <n v="22845.68"/>
    <n v="3231.68"/>
    <n v="6853.7039999999997"/>
    <n v="3622.0239999999999"/>
    <d v="2028-02-01T00:00:00"/>
  </r>
  <r>
    <x v="27"/>
    <d v="2026-07-28T00:00:00"/>
    <x v="6"/>
    <s v="RAMON GONZALEZ MARTINEZ "/>
    <n v="41725605293"/>
    <s v="GOMR560906HTSNRM01"/>
    <n v="23160156"/>
    <n v="5214811402473"/>
    <x v="2"/>
    <n v="8214.15"/>
    <n v="2373.23"/>
    <n v="2464.2449999999999"/>
    <n v="91.014999999999873"/>
    <d v="2027-01-01T00:00:00"/>
  </r>
  <r>
    <x v="27"/>
    <d v="2026-07-27T00:00:00"/>
    <x v="13"/>
    <s v="RAUL JUAN FRANCO HERNANDEZ"/>
    <s v="01634367195"/>
    <s v="FAHR430328HDFRRL06"/>
    <n v="23138930"/>
    <n v="5215581785536"/>
    <x v="1"/>
    <n v="4162.83"/>
    <s v="879"/>
    <n v="1248.8489999999999"/>
    <n v="-879"/>
    <m/>
  </r>
  <r>
    <x v="27"/>
    <d v="2026-07-25T00:00:00"/>
    <x v="41"/>
    <s v="JOSE JAVIER GONZALEZ MORENO"/>
    <n v="62816210959"/>
    <s v="GOMJ621114HPLNRV04"/>
    <n v="23108314"/>
    <n v="5216181683447"/>
    <x v="2"/>
    <n v="37040.089999999997"/>
    <n v="11109.14"/>
    <n v="11112.026999999998"/>
    <n v="2.8869999999988067"/>
    <d v="2028-01-01T00:00:00"/>
  </r>
  <r>
    <x v="27"/>
    <d v="2026-07-28T00:00:00"/>
    <x v="26"/>
    <s v="MARTIN FLORES RAMIREZ"/>
    <n v="62806106308"/>
    <s v="FORM610118HPLLMR06 "/>
    <n v="23173190"/>
    <n v="5212227122973"/>
    <x v="0"/>
    <n v="12956.25"/>
    <m/>
    <n v="3886.875"/>
    <n v="3886.875"/>
    <m/>
  </r>
  <r>
    <x v="27"/>
    <d v="2026-07-28T00:00:00"/>
    <x v="14"/>
    <s v="CONCEPCION NIEVES ORTEGA"/>
    <m/>
    <s v="NIOC751005MBCVRN04"/>
    <n v="23173430"/>
    <n v="5216651463816"/>
    <x v="2"/>
    <n v="8181.55"/>
    <n v="2271.4899999999998"/>
    <n v="2454.4650000000001"/>
    <n v="182.97500000000036"/>
    <d v="2026-12-01T00:00:00"/>
  </r>
  <r>
    <x v="27"/>
    <d v="2026-07-28T00:00:00"/>
    <x v="30"/>
    <s v="SILVA CASIANO HERNÁNDEZ "/>
    <n v="62866704364"/>
    <s v="CAHS821105MPLSRL07"/>
    <n v="23172006"/>
    <n v="5212311517908"/>
    <x v="2"/>
    <n v="7920.51"/>
    <n v="2372.15"/>
    <n v="2376.1529999999998"/>
    <n v="4.0029999999997017"/>
    <d v="2028-06-01T00:00:00"/>
  </r>
  <r>
    <x v="27"/>
    <d v="2026-07-24T00:00:00"/>
    <x v="3"/>
    <s v="JOSE OSCAR GERVANCIO TOLENTINO JIMENEZ"/>
    <s v="62846434009"/>
    <s v="TOJO640513HPLLMS04"/>
    <n v="23092052"/>
    <n v="5212224584129"/>
    <x v="2"/>
    <n v="9081.52"/>
    <n v="2557.62"/>
    <n v="2724.4560000000001"/>
    <n v="166.83600000000024"/>
    <d v="2026-10-01T00:00:00"/>
  </r>
  <r>
    <x v="27"/>
    <d v="2026-07-27T00:00:00"/>
    <x v="37"/>
    <s v="ALFREDO DE LA CRUZ PUENTE"/>
    <m/>
    <s v="CUPA580112HNLRNL00"/>
    <n v="23156450"/>
    <n v="5218114833869"/>
    <x v="2"/>
    <n v="7920.51"/>
    <n v="2291"/>
    <n v="2376.1529999999998"/>
    <n v="85.152999999999793"/>
    <d v="2028-01-01T00:00:00"/>
  </r>
  <r>
    <x v="27"/>
    <d v="2026-07-28T00:00:00"/>
    <x v="14"/>
    <s v="MANUEL DE JESUS ENRIQUEZ FLORES"/>
    <n v="24947636924"/>
    <s v="EIFM760919HSRNLN01"/>
    <n v="23162690"/>
    <n v="5216421577912"/>
    <x v="0"/>
    <n v="9582.4699999999993"/>
    <m/>
    <n v="2874.7409999999995"/>
    <n v="2874.7409999999995"/>
    <m/>
  </r>
  <r>
    <x v="27"/>
    <d v="2026-07-26T00:00:00"/>
    <x v="0"/>
    <s v="GUSTAVO DE JESUS BAHENA"/>
    <n v="96906914328"/>
    <s v="JEBG690416HGRSHS09"/>
    <n v="23123188"/>
    <n v="5215581468250"/>
    <x v="0"/>
    <n v="8782.6"/>
    <m/>
    <n v="2634.78"/>
    <n v="2634.78"/>
    <m/>
  </r>
  <r>
    <x v="27"/>
    <d v="2026-07-27T00:00:00"/>
    <x v="10"/>
    <s v="ILFOR HERNANDEZ BRONCA"/>
    <n v="83876904455"/>
    <s v="HEBI690628HTCRRL08"/>
    <n v="23144980"/>
    <n v="5219932272695"/>
    <x v="4"/>
    <m/>
    <m/>
    <n v="0"/>
    <n v="0"/>
    <m/>
  </r>
  <r>
    <x v="27"/>
    <d v="2026-07-28T00:00:00"/>
    <x v="26"/>
    <s v="SERGIO ESPINOZA RAMIREZ"/>
    <n v="24816300024"/>
    <s v="EIRS630220HSRSMR00"/>
    <n v="23160388"/>
    <n v="5216311295876"/>
    <x v="2"/>
    <n v="11355.12"/>
    <n v="3406.54"/>
    <n v="3406.5360000000001"/>
    <n v="-3.9999999999054126E-3"/>
    <d v="2027-08-01T00:00:00"/>
  </r>
  <r>
    <x v="27"/>
    <d v="2026-07-23T00:00:00"/>
    <x v="6"/>
    <s v="ROSA TREVIÑO RIVAS"/>
    <n v="35957965912"/>
    <s v="TERR810831MZSRVS05"/>
    <n v="23024810"/>
    <n v="5216568629540"/>
    <x v="6"/>
    <n v="5970.22"/>
    <n v="1640.62"/>
    <n v="1791.066"/>
    <n v="150.44600000000014"/>
    <d v="2026-04-01T00:00:00"/>
  </r>
  <r>
    <x v="27"/>
    <d v="2026-07-20T00:00:00"/>
    <x v="20"/>
    <s v="GINA"/>
    <s v="07866301828"/>
    <m/>
    <n v="22848066"/>
    <n v="5217121307603"/>
    <x v="2"/>
    <n v="9760.32"/>
    <n v="2927"/>
    <n v="2928.096"/>
    <n v="1.0960000000000036"/>
    <d v="2028-03-01T00:00:00"/>
  </r>
  <r>
    <x v="27"/>
    <d v="2026-07-20T00:00:00"/>
    <x v="20"/>
    <s v="FELIX"/>
    <m/>
    <s v="LOHF611206HCSPRL06"/>
    <n v="22845702"/>
    <n v="5219171135098"/>
    <x v="2"/>
    <n v="6262.86"/>
    <n v="1811.95"/>
    <n v="1878.8579999999997"/>
    <n v="66.907999999999674"/>
    <d v="2027-09-01T00:00:00"/>
  </r>
  <r>
    <x v="27"/>
    <d v="2026-07-28T00:00:00"/>
    <x v="30"/>
    <s v="JOSE LUIS MORENO"/>
    <m/>
    <s v="MOXL560907HVZRXS01"/>
    <n v="23136050"/>
    <n v="5212294058665"/>
    <x v="2"/>
    <n v="5617.63"/>
    <n v="1332.18"/>
    <n v="1685.289"/>
    <n v="112.47000000000048"/>
    <d v="2027-01-01T00:00:00"/>
  </r>
  <r>
    <x v="27"/>
    <d v="2026-07-28T00:00:00"/>
    <x v="35"/>
    <s v="Pedro Francisco Sánchez Reyna"/>
    <s v="03816501500"/>
    <m/>
    <n v="23176088"/>
    <n v="8132638387"/>
    <x v="2"/>
    <n v="9760.32"/>
    <n v="2821.76"/>
    <n v="2928.096"/>
    <n v="106.33599999999979"/>
    <d v="2027-04-01T00:00:00"/>
  </r>
  <r>
    <x v="27"/>
    <d v="2026-07-28T00:00:00"/>
    <x v="14"/>
    <s v="FERNANDO FERNANDEZ GARCIA"/>
    <m/>
    <s v="FEGF650527HZSRRR06"/>
    <n v="23172936"/>
    <n v="5213338506917"/>
    <x v="0"/>
    <n v="9760.32"/>
    <m/>
    <n v="2928.096"/>
    <n v="2928.096"/>
    <m/>
  </r>
  <r>
    <x v="27"/>
    <d v="2026-07-28T00:00:00"/>
    <x v="10"/>
    <s v="Jorge Aguilar Vázquez"/>
    <s v="65916630455_x000a_"/>
    <m/>
    <n v="23162852"/>
    <n v="5218991655883"/>
    <x v="2"/>
    <n v="8181.55"/>
    <n v="2367.09"/>
    <n v="2454.4650000000001"/>
    <n v="87.375"/>
    <d v="2027-09-01T00:00:00"/>
  </r>
  <r>
    <x v="27"/>
    <d v="2026-07-28T00:00:00"/>
    <x v="13"/>
    <s v="SERGIO MARTINEZ SOLARES"/>
    <n v="45896203911"/>
    <s v="MASS621007HDFRLR05"/>
    <n v="23170800"/>
    <n v="5215538652227"/>
    <x v="0"/>
    <n v="9081.52"/>
    <m/>
    <n v="2724.4560000000001"/>
    <n v="2724.4560000000001"/>
    <m/>
  </r>
  <r>
    <x v="27"/>
    <d v="2026-07-28T00:00:00"/>
    <x v="41"/>
    <s v="MANUEL REYES ALMARAZ"/>
    <m/>
    <s v="REAM620531HDFYLN09"/>
    <n v="23176210"/>
    <n v="5215548591152"/>
    <x v="2"/>
    <n v="9081.52"/>
    <n v="2521.35"/>
    <n v="2724.4560000000001"/>
    <n v="203.10600000000022"/>
    <d v="2027-02-01T00:00:00"/>
  </r>
  <r>
    <x v="27"/>
    <d v="2026-07-28T00:00:00"/>
    <x v="41"/>
    <s v="ROSA ELENA GONZALEZ ALMAZAN"/>
    <m/>
    <s v="GOAR531230MTSNLS08"/>
    <n v="23176704"/>
    <n v="5218333389325"/>
    <x v="3"/>
    <n v="8556.52"/>
    <n v="2030.32"/>
    <n v="2566.9560000000001"/>
    <n v="536.63600000000019"/>
    <d v="2027-05-01T00:00:00"/>
  </r>
  <r>
    <x v="27"/>
    <d v="2026-07-28T00:00:00"/>
    <x v="26"/>
    <s v="ANGELICA GARCIA RODRIGUEZ"/>
    <n v="12664816365"/>
    <s v="GARA700401MGTRDN04"/>
    <n v="23174196"/>
    <n v="5214641105676"/>
    <x v="4"/>
    <m/>
    <m/>
    <n v="0"/>
    <n v="0"/>
    <m/>
  </r>
  <r>
    <x v="27"/>
    <d v="2026-07-28T00:00:00"/>
    <x v="26"/>
    <s v="SAUL RIVERA REGALADO"/>
    <n v="23866804927"/>
    <s v="RIRS680521HCLVGL02"/>
    <n v="23175076"/>
    <n v="5218711281261"/>
    <x v="2"/>
    <n v="5642.22"/>
    <n v="1359.7"/>
    <n v="1692.6659999999999"/>
    <n v="109.54000000000065"/>
    <d v="2027-02-01T00:00:00"/>
  </r>
  <r>
    <x v="27"/>
    <d v="2026-07-28T00:00:00"/>
    <x v="39"/>
    <s v="Alvaro Muñoz Montes"/>
    <m/>
    <s v="MUMA630831HDFXNL03"/>
    <n v="23176760"/>
    <n v="5611507783"/>
    <x v="9"/>
    <n v="9081.52"/>
    <n v="2514.25"/>
    <n v="2724.4560000000001"/>
    <n v="210.20600000000013"/>
    <d v="2026-06-01T00:00:00"/>
  </r>
  <r>
    <x v="27"/>
    <d v="2026-07-28T00:00:00"/>
    <x v="32"/>
    <s v="MANUEL SALGADO RORIGUEZ"/>
    <s v="11705427695"/>
    <s v="SARM540918HGTLDN03"/>
    <n v="2"/>
    <n v="5588131200"/>
    <x v="2"/>
    <n v="14294.42"/>
    <n v="4286.8500000000004"/>
    <n v="4288.326"/>
    <n v="1.475999999999658"/>
    <d v="2028-06-01T00:00:00"/>
  </r>
  <r>
    <x v="27"/>
    <d v="2026-07-28T00:00:00"/>
    <x v="13"/>
    <s v="PEDRO TORRES CEREZO"/>
    <s v="01927428902"/>
    <s v="TOCP740528HDFRRD08"/>
    <n v="23165646"/>
    <n v="5219211744311"/>
    <x v="2"/>
    <n v="7353.71"/>
    <n v="2115.5500000000002"/>
    <n v="2206.1129999999998"/>
    <n v="90.562999999999647"/>
    <d v="2027-03-01T00:00:00"/>
  </r>
  <r>
    <x v="27"/>
    <d v="2026-07-28T00:00:00"/>
    <x v="31"/>
    <s v="GUADALUPE ADRIANA BARRERA SANCHEZ"/>
    <n v="75815919842"/>
    <s v="BASG590305MDFRND05"/>
    <n v="2"/>
    <n v="5523334839"/>
    <x v="2"/>
    <n v="5617.63"/>
    <n v="1438.7"/>
    <n v="1685.289"/>
    <n v="5.9500000000005002"/>
    <d v="2028-04-01T00:00:00"/>
  </r>
  <r>
    <x v="27"/>
    <d v="2026-07-27T00:00:00"/>
    <x v="36"/>
    <s v="Genaro Hernández parra "/>
    <m/>
    <s v="HEPG721211HBCRRN07"/>
    <n v="23158668"/>
    <n v="6642051137"/>
    <x v="0"/>
    <n v="7135.6"/>
    <m/>
    <n v="2140.6799999999998"/>
    <n v="2140.6799999999998"/>
    <m/>
  </r>
  <r>
    <x v="27"/>
    <d v="2026-07-28T00:00:00"/>
    <x v="36"/>
    <s v="Alfredo Díaz robles"/>
    <m/>
    <s v="DIRA561016HCHZBL09"/>
    <n v="23177562"/>
    <n v="6561641910"/>
    <x v="9"/>
    <n v="7998.53"/>
    <n v="2220.12"/>
    <n v="2399.5589999999997"/>
    <n v="179.43899999999985"/>
    <d v="2026-06-01T00:00:00"/>
  </r>
  <r>
    <x v="27"/>
    <d v="2026-07-28T00:00:00"/>
    <x v="11"/>
    <s v="Ma. Del Carmen Contreras Trujillo"/>
    <m/>
    <s v="COTC590905MSPNRR02"/>
    <n v="23177932"/>
    <n v="5214443267328"/>
    <x v="2"/>
    <n v="7571.7"/>
    <n v="2256.94"/>
    <n v="2271.5099999999998"/>
    <n v="14.569999999999709"/>
    <d v="2027-05-01T00:00:00"/>
  </r>
  <r>
    <x v="27"/>
    <d v="2026-07-28T00:00:00"/>
    <x v="32"/>
    <s v="SERGIO CISNEROS SANTANA"/>
    <s v="52855902905"/>
    <s v="CISS581210HCMSNR08"/>
    <n v="2"/>
    <n v="3121091427"/>
    <x v="1"/>
    <n v="4342.43"/>
    <n v="848"/>
    <n v="1302.729"/>
    <n v="-678.54999999999927"/>
    <m/>
  </r>
  <r>
    <x v="27"/>
    <d v="2026-07-25T00:00:00"/>
    <x v="38"/>
    <s v="JESUS MANUEL PARADA PEREZ"/>
    <n v="32816518974"/>
    <m/>
    <n v="23107926"/>
    <n v="8448582923"/>
    <x v="8"/>
    <m/>
    <m/>
    <n v="0"/>
    <n v="0"/>
    <m/>
  </r>
  <r>
    <x v="27"/>
    <d v="2026-07-28T00:00:00"/>
    <x v="20"/>
    <s v="olga"/>
    <n v="23806230183"/>
    <m/>
    <n v="23178392"/>
    <n v="5216682276642"/>
    <x v="2"/>
    <n v="7920.51"/>
    <n v="2375.2199999999998"/>
    <n v="2376.1529999999998"/>
    <n v="0.93299999999999272"/>
    <d v="2028-08-01T00:00:00"/>
  </r>
  <r>
    <x v="27"/>
    <d v="2026-07-27T00:00:00"/>
    <x v="35"/>
    <s v="rene favela"/>
    <n v="4386631718"/>
    <m/>
    <n v="23157082"/>
    <n v="8112450740"/>
    <x v="0"/>
    <n v="19740.849999999999"/>
    <m/>
    <n v="5922.2549999999992"/>
    <n v="5922.2549999999992"/>
    <m/>
  </r>
  <r>
    <x v="27"/>
    <d v="2026-07-28T00:00:00"/>
    <x v="13"/>
    <s v="DORA LUZ RODRIGUEZ"/>
    <n v="33897256583"/>
    <s v="ROXD720727MCHDXR01"/>
    <n v="23175140"/>
    <n v="5216563132775"/>
    <x v="1"/>
    <n v="3783.67"/>
    <n v="848"/>
    <n v="1135.1009999999999"/>
    <n v="-848"/>
    <m/>
  </r>
  <r>
    <x v="27"/>
    <d v="2026-07-28T00:00:00"/>
    <x v="41"/>
    <s v="JULIO ANTONIO CANCHE CENTENO"/>
    <m/>
    <s v="CACJ550927HYNNNL01"/>
    <n v="23177204"/>
    <n v="5219993645427"/>
    <x v="2"/>
    <n v="13874.52"/>
    <n v="4011.7"/>
    <n v="4162.3559999999998"/>
    <n v="150.65599999999995"/>
    <d v="2026-12-01T00:00:00"/>
  </r>
  <r>
    <x v="27"/>
    <d v="2026-07-28T00:00:00"/>
    <x v="0"/>
    <s v="CONCEPCION APARICIO SALAS"/>
    <s v="65724202059"/>
    <m/>
    <n v="23179440"/>
    <n v="5217821149578"/>
    <x v="1"/>
    <n v="3984.96"/>
    <m/>
    <n v="1195.4880000000001"/>
    <n v="0"/>
    <m/>
  </r>
  <r>
    <x v="27"/>
    <d v="2026-07-28T00:00:00"/>
    <x v="29"/>
    <s v="MARIA FLORA HERRERA TOVIAS"/>
    <n v="41866308707"/>
    <s v="HETF631124MSPRVL03"/>
    <n v="23178452"/>
    <n v="5214445828162"/>
    <x v="2"/>
    <n v="7920.51"/>
    <n v="2373.66"/>
    <n v="2376.1529999999998"/>
    <n v="2.4929999999999382"/>
    <d v="2027-02-01T00:00:00"/>
  </r>
  <r>
    <x v="27"/>
    <d v="2026-07-28T00:00:00"/>
    <x v="39"/>
    <s v="Marcelino Martín Tuyub Medina"/>
    <m/>
    <s v="TUMM641230HYNYDR01"/>
    <n v="23177282"/>
    <n v="9995717213"/>
    <x v="0"/>
    <n v="10636.54"/>
    <m/>
    <n v="3190.962"/>
    <n v="3190.962"/>
    <m/>
  </r>
  <r>
    <x v="27"/>
    <d v="2026-07-28T00:00:00"/>
    <x v="30"/>
    <s v="LETICIA OLIVARRIA AGUILAR"/>
    <n v="24825411929"/>
    <s v="AUOL610326MSRGLT03"/>
    <n v="23142888"/>
    <n v="5216221230700"/>
    <x v="5"/>
    <m/>
    <m/>
    <n v="0"/>
    <n v="0"/>
    <m/>
  </r>
  <r>
    <x v="27"/>
    <d v="2026-07-28T00:00:00"/>
    <x v="30"/>
    <s v="AGUSTIN ARECHIGA GARCIA"/>
    <m/>
    <s v="AEGA540213HDFRRG08"/>
    <n v="23171802"/>
    <n v="5218116655552"/>
    <x v="0"/>
    <n v="32725.46"/>
    <m/>
    <n v="9817.637999999999"/>
    <n v="9817.637999999999"/>
    <m/>
  </r>
  <r>
    <x v="27"/>
    <d v="2026-07-25T00:00:00"/>
    <x v="6"/>
    <s v="IMELDA NORIEGA JUAREZ "/>
    <n v="65755705392"/>
    <s v="NOJI690512MVZRRM09"/>
    <n v="23104052"/>
    <n v="5212741211105"/>
    <x v="2"/>
    <n v="13190.79"/>
    <n v="3956.82"/>
    <n v="3957.2370000000001"/>
    <n v="0.41699999999991633"/>
    <d v="2027-09-01T00:00:00"/>
  </r>
  <r>
    <x v="27"/>
    <d v="2026-07-28T00:00:00"/>
    <x v="26"/>
    <s v="ELADIO SOSA HUERTA"/>
    <n v="33735638836"/>
    <s v="SOHE560218HCHSRL07"/>
    <n v="23174420"/>
    <n v="5216561084727"/>
    <x v="1"/>
    <n v="4082.04"/>
    <m/>
    <n v="1224.6119999999999"/>
    <n v="0"/>
    <m/>
  </r>
  <r>
    <x v="27"/>
    <d v="2026-07-28T00:00:00"/>
    <x v="10"/>
    <s v="María Teresa Hernandez Guel"/>
    <n v="49836732450"/>
    <s v="HEGT671031MTSRLR06"/>
    <n v="23172946"/>
    <n v="5218338508968"/>
    <x v="1"/>
    <n v="3908.19"/>
    <s v="879"/>
    <n v="1172.4569999999999"/>
    <n v="-879"/>
    <m/>
  </r>
  <r>
    <x v="27"/>
    <d v="2026-07-27T00:00:00"/>
    <x v="26"/>
    <s v="CLEMENTINA LOPEZ MARIN"/>
    <s v="01704767951"/>
    <s v="LOMC540320MDFPRL08"/>
    <n v="23135788"/>
    <n v="5215647525504"/>
    <x v="1"/>
    <n v="3623.38"/>
    <s v="879"/>
    <n v="1087.0139999999999"/>
    <n v="-879"/>
    <m/>
  </r>
  <r>
    <x v="27"/>
    <d v="2026-07-24T00:00:00"/>
    <x v="40"/>
    <s v="David Ponce Juarez"/>
    <n v="62937400737"/>
    <s v="POJD741223HPLNRV00"/>
    <n v="23065814"/>
    <n v="5212224484573"/>
    <x v="5"/>
    <m/>
    <m/>
    <n v="0"/>
    <n v="0"/>
    <m/>
  </r>
  <r>
    <x v="27"/>
    <d v="2026-07-28T00:00:00"/>
    <x v="30"/>
    <s v="MARIA DE LA LUZ ESPERANZA TELLEZ"/>
    <m/>
    <s v="EATL611204MDFSLZ02"/>
    <n v="23160358"/>
    <n v="5215564513129"/>
    <x v="0"/>
    <n v="10970.9"/>
    <s v="848"/>
    <n v="3291.27"/>
    <n v="2443.27"/>
    <m/>
  </r>
  <r>
    <x v="27"/>
    <d v="2026-07-28T00:00:00"/>
    <x v="30"/>
    <s v="JUAN CARLOS BOJORQUEZ SANTOS"/>
    <n v="23876525314"/>
    <s v="BOSJ650501HSLJNN04"/>
    <n v="23169270"/>
    <n v="5216681909002"/>
    <x v="2"/>
    <n v="20028.8"/>
    <n v="6006.01"/>
    <n v="6008.6399999999994"/>
    <n v="2.6299999999991996"/>
    <d v="2027-08-01T00:00:00"/>
  </r>
  <r>
    <x v="27"/>
    <d v="2026-07-17T00:00:00"/>
    <x v="14"/>
    <s v="MARIA DE LOS ANGELES GONZALEZ BERUMEN"/>
    <m/>
    <s v="GOBA600110MNLNRN07"/>
    <n v="22802356"/>
    <n v="5216641991697"/>
    <x v="6"/>
    <n v="6623.3"/>
    <n v="1558.02"/>
    <n v="1986.99"/>
    <n v="428.97"/>
    <d v="2024-07-01T00:00:00"/>
  </r>
  <r>
    <x v="27"/>
    <d v="2026-07-28T00:00:00"/>
    <x v="42"/>
    <s v="HECTOR MELCAMPO ZATARIAN "/>
    <n v="23765816154"/>
    <s v="MAZH610118HSLLTC07"/>
    <n v="2317913"/>
    <n v="6691614590"/>
    <x v="2"/>
    <n v="9760.32"/>
    <n v="2809.95"/>
    <n v="2928.096"/>
    <n v="118.14600000000019"/>
    <d v="2027-06-01T00:00:00"/>
  </r>
  <r>
    <x v="27"/>
    <d v="2026-07-28T00:00:00"/>
    <x v="35"/>
    <s v="Juan Humberto García Ramírez"/>
    <m/>
    <s v="GARJ620708HNLRMN00"/>
    <n v="23181808"/>
    <n v="8182601006"/>
    <x v="2"/>
    <n v="7116.73"/>
    <n v="2135.02"/>
    <n v="2135.0189999999998"/>
    <n v="-1.0000000002037268E-3"/>
    <d v="2027-09-01T00:00:00"/>
  </r>
  <r>
    <x v="27"/>
    <d v="2026-07-28T00:00:00"/>
    <x v="20"/>
    <m/>
    <m/>
    <s v="PESJ780717HOCRLQ05 "/>
    <n v="23105834"/>
    <n v="5212878894173"/>
    <x v="5"/>
    <m/>
    <m/>
    <n v="0"/>
    <n v="0"/>
    <m/>
  </r>
  <r>
    <x v="27"/>
    <d v="2026-07-27T00:00:00"/>
    <x v="36"/>
    <s v="ROSA MARIA SANCHEZ VIDAL "/>
    <m/>
    <s v="SAVR501105MBCNDS09"/>
    <n v="23152752"/>
    <n v="6642050437"/>
    <x v="5"/>
    <m/>
    <m/>
    <n v="0"/>
    <n v="0"/>
    <m/>
  </r>
  <r>
    <x v="27"/>
    <d v="2026-07-28T00:00:00"/>
    <x v="26"/>
    <s v="CANDELARIO MISS BENITEZ"/>
    <m/>
    <s v="MIBC650905HCCSNN01"/>
    <n v="23165370"/>
    <n v="5219811374125"/>
    <x v="2"/>
    <n v="9760.32"/>
    <n v="2925.99"/>
    <n v="2928.096"/>
    <n v="2.1060000000002219"/>
    <d v="2027-11-01T00:00:00"/>
  </r>
  <r>
    <x v="27"/>
    <d v="2026-07-27T00:00:00"/>
    <x v="37"/>
    <s v="MARIA JOSEDINA BARRERA HUESCA"/>
    <n v="90896200355"/>
    <m/>
    <n v="23151560"/>
    <n v="5215579251357"/>
    <x v="5"/>
    <m/>
    <m/>
    <n v="0"/>
    <n v="0"/>
    <m/>
  </r>
  <r>
    <x v="27"/>
    <d v="2026-07-28T00:00:00"/>
    <x v="36"/>
    <s v="Gayosso angeles jose alfonso "/>
    <m/>
    <s v="_x0009_GAAA620319HHGYNL07"/>
    <n v="23179146"/>
    <n v="6699186165"/>
    <x v="6"/>
    <n v="7116.73"/>
    <n v="1747.63"/>
    <n v="2135.0189999999998"/>
    <n v="387.38899999999967"/>
    <d v="2024-05-01T00:00:00"/>
  </r>
  <r>
    <x v="27"/>
    <d v="2026-07-26T00:00:00"/>
    <x v="20"/>
    <s v="DOMITILIO"/>
    <n v="33745700683"/>
    <m/>
    <n v="23120844"/>
    <n v="5216393989352"/>
    <x v="0"/>
    <n v="7363.38"/>
    <m/>
    <n v="2209.0140000000001"/>
    <n v="2209.0140000000001"/>
    <m/>
  </r>
  <r>
    <x v="27"/>
    <d v="2026-07-28T00:00:00"/>
    <x v="38"/>
    <s v="MARIA DE LOS ANGELES GARCIA DIAZ"/>
    <n v="61946602416"/>
    <m/>
    <n v="23182960"/>
    <n v="2225806996"/>
    <x v="2"/>
    <n v="8173.37"/>
    <s v="2364.73"/>
    <n v="2452.011"/>
    <n v="87.280999999999949"/>
    <d v="2027-09-01T00:00:00"/>
  </r>
  <r>
    <x v="27"/>
    <d v="2026-07-28T00:00:00"/>
    <x v="13"/>
    <s v="JORGE AGUSTIN MEJIA MORALES"/>
    <n v="41846304891"/>
    <s v="MEMJ630828HSPJRR00"/>
    <n v="23172874"/>
    <n v="5214446421962"/>
    <x v="9"/>
    <n v="7920.51"/>
    <n v="2289.19"/>
    <n v="2376.1529999999998"/>
    <n v="86.962999999999738"/>
    <d v="2026-04-01T00:00:00"/>
  </r>
  <r>
    <x v="27"/>
    <d v="2026-06-21T00:00:00"/>
    <x v="11"/>
    <s v="julia perez garcia "/>
    <n v="32783800686"/>
    <s v="PEGJ490423MCLRRL08"/>
    <n v="21881424"/>
    <n v="5218443274846"/>
    <x v="7"/>
    <n v="4554.84"/>
    <n v="654.4"/>
    <n v="1366.452"/>
    <n v="-272.5399999999994"/>
    <d v="2025-01-01T00:00:00"/>
  </r>
  <r>
    <x v="27"/>
    <d v="2026-07-28T00:00:00"/>
    <x v="42"/>
    <s v="MA. ASCENCION HERRERA REYES"/>
    <n v="34814900485"/>
    <s v="HERA590406MZSRYS04"/>
    <n v="23179628"/>
    <n v="8126393531"/>
    <x v="8"/>
    <m/>
    <m/>
    <n v="0"/>
    <n v="0"/>
    <m/>
  </r>
  <r>
    <x v="27"/>
    <d v="2026-07-28T00:00:00"/>
    <x v="40"/>
    <s v="Fidel Rodriguez Rosales"/>
    <m/>
    <s v="RORF561212HQTDSD03"/>
    <n v="23178208"/>
    <n v="5214881194910"/>
    <x v="2"/>
    <n v="15273.74"/>
    <n v="4409.95"/>
    <n v="4582.1219999999994"/>
    <n v="172.17199999999957"/>
    <d v="2027-12-01T00:00:00"/>
  </r>
  <r>
    <x v="27"/>
    <d v="2026-07-28T00:00:00"/>
    <x v="6"/>
    <s v="ERNESTO GREGORIO HUMMEL RAMIREZ"/>
    <s v=" 1080634989"/>
    <s v="HURE630509HDFMMR01"/>
    <n v="23142436"/>
    <n v="5219991605267"/>
    <x v="0"/>
    <n v="7920.51"/>
    <m/>
    <n v="2376.1529999999998"/>
    <n v="2376.1529999999998"/>
    <m/>
  </r>
  <r>
    <x v="27"/>
    <d v="2026-07-28T00:00:00"/>
    <x v="31"/>
    <s v="MARIA GUADALUPE CAASTILLO GARCIA"/>
    <n v="16937125082"/>
    <s v="CAGG730206MMCSRD07"/>
    <n v="2"/>
    <n v="7223015113"/>
    <x v="2"/>
    <n v="7224.19"/>
    <n v="2089.56"/>
    <n v="2167.2569999999996"/>
    <n v="77.696999999999662"/>
    <d v="2026-08-01T00:00:00"/>
  </r>
  <r>
    <x v="27"/>
    <d v="2026-07-28T00:00:00"/>
    <x v="32"/>
    <s v="JESUS CELSO BANDA AVILA"/>
    <n v="41816330249"/>
    <s v="BAAJ630408HSPNVS03"/>
    <n v="2"/>
    <n v="4443913745"/>
    <x v="2"/>
    <n v="7920.51"/>
    <n v="2371.7399999999998"/>
    <n v="2376.1529999999998"/>
    <n v="4.4130000000000109"/>
    <d v="2026-08-01T00:00:00"/>
  </r>
  <r>
    <x v="27"/>
    <d v="2026-07-28T00:00:00"/>
    <x v="6"/>
    <s v="ROBERTO MUÑOZ ESPINOSA "/>
    <s v="15745601714"/>
    <s v="MUER560910HMSXSB03"/>
    <n v="23140162"/>
    <n v="5217773362122"/>
    <x v="2"/>
    <n v="23663.39"/>
    <n v="6845.38"/>
    <n v="7099.0169999999998"/>
    <n v="253.63699999999972"/>
    <d v="2026-11-01T00:00:00"/>
  </r>
  <r>
    <x v="27"/>
    <d v="2026-07-28T00:00:00"/>
    <x v="31"/>
    <s v="MA GUADALUPE CONTRERAS PEREZ"/>
    <n v="54836607017"/>
    <s v="COPG711212MJCNRD03"/>
    <n v="2"/>
    <n v="3731042664"/>
    <x v="2"/>
    <n v="8173.37"/>
    <n v="2364.75"/>
    <n v="2452.011"/>
    <n v="87.260999999999967"/>
    <d v="2027-06-01T00:00:00"/>
  </r>
  <r>
    <x v="27"/>
    <d v="2026-07-27T00:00:00"/>
    <x v="37"/>
    <s v="ANGEL CONTRERAS TOVAR "/>
    <m/>
    <s v="COTA580802HSPNVN02"/>
    <n v="23151282"/>
    <n v="5214442848007"/>
    <x v="2"/>
    <n v="15349.19"/>
    <n v="4604.55"/>
    <n v="4604.7569999999996"/>
    <n v="0.2069999999994252"/>
    <d v="2027-10-01T00:00:00"/>
  </r>
  <r>
    <x v="27"/>
    <d v="2026-07-28T00:00:00"/>
    <x v="19"/>
    <m/>
    <m/>
    <s v="LOPA631117HNLZXL00"/>
    <n v="23180318"/>
    <n v="5218118998082"/>
    <x v="2"/>
    <n v="7920.51"/>
    <n v="2275.54"/>
    <n v="2376.1529999999998"/>
    <n v="100.61299999999983"/>
    <d v="2027-07-01T00:00:00"/>
  </r>
  <r>
    <x v="27"/>
    <d v="2026-07-28T00:00:00"/>
    <x v="41"/>
    <s v="JOSE HUMBERTO GARCIA MORALES"/>
    <n v="37876606213"/>
    <m/>
    <n v="23183016"/>
    <n v="5215551679462"/>
    <x v="1"/>
    <n v="1271.24"/>
    <m/>
    <n v="381.37200000000001"/>
    <n v="0"/>
    <m/>
  </r>
  <r>
    <x v="27"/>
    <d v="2026-07-26T00:00:00"/>
    <x v="10"/>
    <s v="SERGIO ARMANDO BUENROSTRO CARDENAS"/>
    <m/>
    <s v="BUCS621020HMNNRR07"/>
    <n v="23126884"/>
    <n v="5213541018184"/>
    <x v="0"/>
    <n v="10636.54"/>
    <m/>
    <n v="3190.962"/>
    <n v="3190.962"/>
    <m/>
  </r>
  <r>
    <x v="27"/>
    <d v="2026-07-21T00:00:00"/>
    <x v="41"/>
    <s v="MARIO VALENTE MORENO APOLONIO"/>
    <m/>
    <s v="MOAM601123HDFRPR00"/>
    <n v="23178830"/>
    <n v="5215514357856"/>
    <x v="0"/>
    <n v="10636.54"/>
    <m/>
    <n v="3190.962"/>
    <n v="3190.962"/>
    <m/>
  </r>
  <r>
    <x v="27"/>
    <d v="2026-07-28T00:00:00"/>
    <x v="14"/>
    <s v="GENARO REYES VILLAREAL"/>
    <m/>
    <s v="REVG731208HSLYLN00"/>
    <n v="23175202"/>
    <n v="5216675046509"/>
    <x v="1"/>
    <n v="3205.73"/>
    <m/>
    <n v="961.71899999999994"/>
    <n v="0"/>
    <m/>
  </r>
  <r>
    <x v="27"/>
    <d v="2026-07-27T00:00:00"/>
    <x v="38"/>
    <s v="NIDIA ANGELICA GARZA AVILA"/>
    <m/>
    <s v="GAAN630604MNLRVD02"/>
    <n v="23154770"/>
    <n v="8120014390"/>
    <x v="3"/>
    <n v="30268.36"/>
    <n v="8757"/>
    <n v="9080.5079999999998"/>
    <n v="323.50799999999981"/>
    <d v="2027-07-01T00:00:00"/>
  </r>
  <r>
    <x v="27"/>
    <d v="2026-07-28T00:00:00"/>
    <x v="31"/>
    <s v="JOSE GERARDO GARCIA RODRIGUEZ"/>
    <n v="43796274058"/>
    <s v="GARG620529HSPRDR07"/>
    <n v="2"/>
    <n v="8180945095"/>
    <x v="2"/>
    <n v="7116.73"/>
    <n v="2135.02"/>
    <n v="2135.0189999999998"/>
    <n v="-1.0000000002037268E-3"/>
    <d v="2028-05-01T00:00:00"/>
  </r>
  <r>
    <x v="27"/>
    <d v="2026-07-28T00:00:00"/>
    <x v="38"/>
    <s v="ROBERTO SANDOVAL MARIN"/>
    <n v="54816574906"/>
    <m/>
    <n v="23184498"/>
    <n v="3330735537"/>
    <x v="2"/>
    <n v="7913.78"/>
    <n v="2289.64"/>
    <n v="2374.134"/>
    <n v="84.494000000000142"/>
    <d v="2028-01-01T00:00:00"/>
  </r>
  <r>
    <x v="27"/>
    <d v="2026-07-28T00:00:00"/>
    <x v="42"/>
    <s v="GENOVEVA GARCIA VALDES"/>
    <m/>
    <s v="GAVG620101MMCRLN05"/>
    <n v="23184344"/>
    <n v="5572860649"/>
    <x v="2"/>
    <n v="9760.32"/>
    <n v="2926.03"/>
    <n v="2928.096"/>
    <n v="2.0659999999998035"/>
    <d v="2028-04-01T00:00:00"/>
  </r>
  <r>
    <x v="27"/>
    <d v="2026-07-28T00:00:00"/>
    <x v="14"/>
    <s v="NOE ORTEGA ERIVES"/>
    <m/>
    <s v="OEEN611113HCHRRX00"/>
    <n v="23171768"/>
    <n v="5216591059307"/>
    <x v="2"/>
    <n v="7116.73"/>
    <n v="1975.23"/>
    <n v="2135.0189999999998"/>
    <n v="159.78899999999976"/>
    <d v="2026-09-01T00:00:00"/>
  </r>
  <r>
    <x v="27"/>
    <d v="2026-07-28T00:00:00"/>
    <x v="31"/>
    <s v="JUAN ZAMORA LUCIO"/>
    <n v="43796278307"/>
    <s v="ZALJ620315HSPMCN01"/>
    <n v="2"/>
    <n v="8114682911"/>
    <x v="2"/>
    <n v="7116.73"/>
    <n v="2017"/>
    <n v="2135.0189999999998"/>
    <n v="118.01899999999978"/>
    <d v="2027-02-01T00:00:00"/>
  </r>
  <r>
    <x v="27"/>
    <d v="2026-07-23T00:00:00"/>
    <x v="13"/>
    <s v="IGNACIO SOLANO CARDONA"/>
    <n v="53927136597"/>
    <s v="SOCI710801HMNLRG00"/>
    <n v="23025746"/>
    <n v="5216621429639"/>
    <x v="0"/>
    <n v="8181.5500000000029"/>
    <m/>
    <n v="2454.4650000000006"/>
    <n v="2454.4650000000006"/>
    <m/>
  </r>
  <r>
    <x v="27"/>
    <d v="2026-07-21T00:00:00"/>
    <x v="3"/>
    <s v="FRANCISCO DE LA ROSA RODRIGUEZ"/>
    <n v="41825802543"/>
    <s v="RORF580603HSPSDR05"/>
    <n v="22898870"/>
    <n v="5214444154466"/>
    <x v="2"/>
    <n v="4506.33"/>
    <n v="321.49"/>
    <n v="1351.8989999999999"/>
    <n v="11.860000000000355"/>
    <d v="2027-08-01T00:00:00"/>
  </r>
  <r>
    <x v="27"/>
    <d v="2026-07-28T00:00:00"/>
    <x v="14"/>
    <s v="RAMON INFANZON GONZALEZ"/>
    <n v="65866209631"/>
    <m/>
    <n v="23168356"/>
    <n v="5212292337227"/>
    <x v="2"/>
    <n v="7920.51"/>
    <n v="2165.7199999999998"/>
    <n v="2376.1529999999998"/>
    <n v="210.43299999999999"/>
    <d v="2026-12-01T00:00:00"/>
  </r>
  <r>
    <x v="27"/>
    <d v="2026-07-28T00:00:00"/>
    <x v="32"/>
    <s v="ALEJANDRO GONZALEZ ZARATE"/>
    <n v="75937565176"/>
    <s v="GOZA750620HJCNRL01"/>
    <n v="2"/>
    <n v="3313185775"/>
    <x v="2"/>
    <n v="6411.47"/>
    <n v="1923.44"/>
    <n v="1923.441"/>
    <n v="9.9999999997635314E-4"/>
    <d v="2027-11-01T00:00:00"/>
  </r>
  <r>
    <x v="27"/>
    <d v="2026-07-28T00:00:00"/>
    <x v="38"/>
    <s v="MARTINA ELENA ARRAS"/>
    <m/>
    <s v="AAXM650422MCHRXR03"/>
    <n v="23185134"/>
    <n v="6141910790"/>
    <x v="0"/>
    <n v="11029.03"/>
    <m/>
    <n v="3308.7090000000003"/>
    <n v="3308.7090000000003"/>
    <m/>
  </r>
  <r>
    <x v="27"/>
    <d v="2026-07-28T00:00:00"/>
    <x v="11"/>
    <s v="María de Lourdes castañeda Zamora"/>
    <s v="33796166842"/>
    <m/>
    <n v="23184340"/>
    <n v="5216146076236"/>
    <x v="2"/>
    <n v="6331.86"/>
    <n v="1826.18"/>
    <n v="1899.5579999999998"/>
    <n v="73.377999999999702"/>
    <d v="2026-11-01T00:00:00"/>
  </r>
  <r>
    <x v="27"/>
    <d v="2026-07-28T00:00:00"/>
    <x v="29"/>
    <s v="Carmen Serrano flores"/>
    <s v="21857007815"/>
    <m/>
    <n v="23184696"/>
    <n v="5216634409552"/>
    <x v="2"/>
    <n v="8181.55"/>
    <n v="2347.11"/>
    <n v="2454.4650000000001"/>
    <n v="107.35500000000002"/>
    <d v="2027-02-01T00:00:00"/>
  </r>
  <r>
    <x v="27"/>
    <d v="2026-07-20T00:00:00"/>
    <x v="11"/>
    <s v="EVARISTO ARREDONDO ALVARADO "/>
    <m/>
    <s v="AEAE620527HCLRLV08"/>
    <n v="22850180"/>
    <n v="5218442060804"/>
    <x v="1"/>
    <n v="4742.99"/>
    <n v="879"/>
    <n v="1422.8969999999999"/>
    <n v="-308.98999999999978"/>
    <m/>
  </r>
  <r>
    <x v="27"/>
    <d v="2026-07-28T00:00:00"/>
    <x v="39"/>
    <s v="Higinio Alejandro Gonzalez Ortega"/>
    <m/>
    <s v="GOOH640111HHGNRG00"/>
    <n v="23178062"/>
    <n v="7761470722"/>
    <x v="6"/>
    <n v="9081.52"/>
    <n v="2515.2199999999998"/>
    <n v="2724.4560000000001"/>
    <n v="209.23600000000033"/>
    <d v="2026-06-01T00:00:00"/>
  </r>
  <r>
    <x v="27"/>
    <d v="2026-07-28T00:00:00"/>
    <x v="39"/>
    <s v="Ma. De Los Angeles Cardenas"/>
    <m/>
    <s v="CAXA611001MNTRXN00"/>
    <n v="23177626"/>
    <n v="3221111124"/>
    <x v="2"/>
    <n v="9081.52"/>
    <n v="2626.95"/>
    <n v="2724.4560000000001"/>
    <n v="97.506000000000313"/>
    <d v="2027-12-01T00:00:00"/>
  </r>
  <r>
    <x v="27"/>
    <d v="2026-07-27T00:00:00"/>
    <x v="38"/>
    <s v="JUAN MAR CARDENAS"/>
    <n v="65856828226"/>
    <s v="MACJ680524HVZRRN01"/>
    <n v="23156216"/>
    <n v="3334648517"/>
    <x v="3"/>
    <n v="6213.17"/>
    <n v="744.61"/>
    <n v="1863.951"/>
    <n v="1119.3409999999999"/>
    <d v="2025-04-01T00:00:00"/>
  </r>
  <r>
    <x v="27"/>
    <d v="2026-07-28T00:00:00"/>
    <x v="11"/>
    <s v="Guillermina García Herrera"/>
    <s v="33735708175"/>
    <m/>
    <n v="23186398"/>
    <n v="5216562991940"/>
    <x v="1"/>
    <n v="4199.87"/>
    <n v="848"/>
    <n v="1259.961"/>
    <n v="-821.10999999999967"/>
    <m/>
  </r>
  <r>
    <x v="27"/>
    <d v="2026-07-28T00:00:00"/>
    <x v="41"/>
    <s v="Perpetuo socorro Alvarado Rivas"/>
    <n v="31897029760"/>
    <s v="AARP730627MCLLVR03"/>
    <n v="23179354"/>
    <n v="5216568070400"/>
    <x v="4"/>
    <m/>
    <m/>
    <n v="0"/>
    <n v="0"/>
    <m/>
  </r>
  <r>
    <x v="27"/>
    <d v="2026-07-28T00:00:00"/>
    <x v="29"/>
    <s v="MARIA DEL ROCIO CUAUTLI CASTILLO"/>
    <s v="37897206258"/>
    <s v="CUCR700315MPLTSC03"/>
    <n v="23186372"/>
    <n v="5212223495483"/>
    <x v="9"/>
    <n v="15044.79"/>
    <n v="3939.54"/>
    <n v="4513.4369999999999"/>
    <n v="573.89699999999993"/>
    <d v="2026-05-01T00:00:00"/>
  </r>
  <r>
    <x v="27"/>
    <d v="2026-07-28T00:00:00"/>
    <x v="20"/>
    <s v="Rosa Elia Robledo Ramos"/>
    <n v="43796064111"/>
    <s v="RORR601027MNLBMS01"/>
    <n v="23186308"/>
    <n v="5218113201485"/>
    <x v="3"/>
    <n v="7920.51"/>
    <n v="1351.32"/>
    <n v="2376.1529999999998"/>
    <n v="1024.8329999999999"/>
    <d v="2026-11-01T00:00:00"/>
  </r>
  <r>
    <x v="27"/>
    <d v="2026-07-28T00:00:00"/>
    <x v="36"/>
    <s v="LEONARDO CEJA RINCON"/>
    <m/>
    <s v="CERL630104HBCJNN02"/>
    <n v="23184346"/>
    <n v="4531204258"/>
    <x v="0"/>
    <n v="8539.89"/>
    <m/>
    <n v="2561.9669999999996"/>
    <n v="2561.9669999999996"/>
    <m/>
  </r>
  <r>
    <x v="28"/>
    <d v="2026-07-25T00:00:00"/>
    <x v="38"/>
    <s v="JOSE ELIAS GODOY"/>
    <n v="11715506322"/>
    <m/>
    <n v="23108666"/>
    <n v="5568578660"/>
    <x v="5"/>
    <m/>
    <m/>
    <n v="0"/>
    <n v="0"/>
    <m/>
  </r>
  <r>
    <x v="28"/>
    <d v="2026-07-29T00:00:00"/>
    <x v="31"/>
    <s v="ESTHER HERMINA RUIZ"/>
    <n v="43725431209"/>
    <s v="HERE530609MVZRZS05"/>
    <n v="2"/>
    <n v="8123313441"/>
    <x v="2"/>
    <n v="14752.62"/>
    <n v="4423.8999999999996"/>
    <n v="4425.7860000000001"/>
    <n v="1.886000000000422"/>
    <d v="2027-04-01T00:00:00"/>
  </r>
  <r>
    <x v="28"/>
    <d v="2026-07-29T00:00:00"/>
    <x v="32"/>
    <s v="MARIA EDITH CABRERA TAPIA"/>
    <s v="198263 13348"/>
    <s v="CATE631005MVZBPD00"/>
    <n v="2"/>
    <n v="5534982312"/>
    <x v="2"/>
    <n v="9081.52"/>
    <n v="2518.66"/>
    <n v="2724.4560000000001"/>
    <n v="205.79600000000028"/>
    <d v="2026-12-01T00:00:00"/>
  </r>
  <r>
    <x v="28"/>
    <d v="2026-07-29T00:00:00"/>
    <x v="31"/>
    <s v="ARNOLDO GUAJARDO AGUILERA"/>
    <n v="31816438167"/>
    <s v="GUAA640703HDGJGR09"/>
    <n v="2"/>
    <n v="8719671616"/>
    <x v="2"/>
    <n v="9081.52"/>
    <n v="2719.41"/>
    <n v="2724.4560000000001"/>
    <n v="5.0460000000002765"/>
    <d v="2026-11-01T00:00:00"/>
  </r>
  <r>
    <x v="28"/>
    <d v="2026-07-29T00:00:00"/>
    <x v="32"/>
    <s v="JUAN PABLO ALMARAZ CERDA"/>
    <n v="32836477433"/>
    <s v="AACJ640717HNLLRN08"/>
    <n v="2"/>
    <n v="8127572680"/>
    <x v="2"/>
    <n v="9081.52"/>
    <n v="2511.2399999999998"/>
    <n v="2724.4560000000001"/>
    <n v="213.21600000000035"/>
    <d v="2026-11-01T00:00:00"/>
  </r>
  <r>
    <x v="28"/>
    <d v="2026-07-29T00:00:00"/>
    <x v="32"/>
    <s v="JOSE ELIZONDO AGUIRRE"/>
    <s v="04896526805"/>
    <s v="EIAJ650122HJCLGS02"/>
    <n v="2"/>
    <n v="3841182707"/>
    <x v="2"/>
    <n v="11364.96"/>
    <n v="3408.61"/>
    <n v="3409.4879999999998"/>
    <n v="0.87799999999970169"/>
    <d v="2027-12-01T00:00:00"/>
  </r>
  <r>
    <x v="28"/>
    <d v="2026-07-29T00:00:00"/>
    <x v="32"/>
    <s v="FERNANDO ADOLFO ESPINOZA GRANADOS"/>
    <n v="42816521134"/>
    <s v="EIGF650627HDFSRR05"/>
    <n v="2"/>
    <n v="5568050541"/>
    <x v="2"/>
    <n v="9760.32"/>
    <n v="2927.66"/>
    <n v="2928.096"/>
    <n v="0.43600000000014916"/>
    <d v="2028-04-01T00:00:00"/>
  </r>
  <r>
    <x v="28"/>
    <d v="2026-07-29T00:00:00"/>
    <x v="43"/>
    <s v="Martin Gandara Olivas"/>
    <s v="33846404391"/>
    <s v="GAOM640711HCHNLR05"/>
    <n v="23188946"/>
    <n v="5216295210101"/>
    <x v="2"/>
    <n v="9081.52"/>
    <n v="2720.81"/>
    <n v="2724.4560000000001"/>
    <n v="3.6460000000001855"/>
    <d v="2028-06-01T00:00:00"/>
  </r>
  <r>
    <x v="28"/>
    <d v="2026-07-28T00:00:00"/>
    <x v="19"/>
    <m/>
    <n v="41816206431"/>
    <m/>
    <n v="23185280"/>
    <n v="5214441654008"/>
    <x v="2"/>
    <n v="11930.61"/>
    <n v="3579.18"/>
    <n v="3579.183"/>
    <n v="3.0000000001564331E-3"/>
    <d v="2027-05-01T00:00:00"/>
  </r>
  <r>
    <x v="28"/>
    <d v="2026-07-29T00:00:00"/>
    <x v="43"/>
    <m/>
    <s v="24806157772"/>
    <m/>
    <n v="23188834"/>
    <n v="5216622915154"/>
    <x v="3"/>
    <n v="6262.86"/>
    <s v="848"/>
    <n v="1878.8579999999997"/>
    <n v="1030.8579999999997"/>
    <m/>
  </r>
  <r>
    <x v="28"/>
    <d v="2026-07-28T00:00:00"/>
    <x v="35"/>
    <s v="Adriana Guadalupe callejas Araujo"/>
    <m/>
    <s v="CAAA640305MSRLRD07"/>
    <n v="23185400"/>
    <n v="6861226787"/>
    <x v="0"/>
    <n v="9760.32"/>
    <m/>
    <n v="2928.096"/>
    <n v="2928.096"/>
    <m/>
  </r>
  <r>
    <x v="28"/>
    <d v="2026-07-29T00:00:00"/>
    <x v="43"/>
    <s v="Jorge Ley Tamez"/>
    <m/>
    <s v="LETJ500616HTSYMR02 "/>
    <n v="23188368"/>
    <n v="5218332598734"/>
    <x v="1"/>
    <n v="4281.16"/>
    <s v="848"/>
    <n v="1284.348"/>
    <n v="-739.81999999999971"/>
    <m/>
  </r>
  <r>
    <x v="28"/>
    <d v="2026-07-29T00:00:00"/>
    <x v="43"/>
    <s v="Antonio Ruvalcaba Becerra"/>
    <s v="04826480438"/>
    <s v="RUBA641223HZSVCN15"/>
    <n v="23187502"/>
    <n v="5213314405547"/>
    <x v="0"/>
    <n v="39034.29"/>
    <s v="10292.00"/>
    <n v="11710.287"/>
    <n v="1418.2870000000003"/>
    <m/>
  </r>
  <r>
    <x v="28"/>
    <d v="2026-07-28T00:00:00"/>
    <x v="41"/>
    <s v="MARIA DE LOS ANGELES MENDOZA LOPEZ"/>
    <m/>
    <s v="MELA641031MBCNPN00"/>
    <n v="23186614"/>
    <n v="5216646419229"/>
    <x v="2"/>
    <n v="7116.73"/>
    <s v="2051.43"/>
    <n v="2135.0189999999998"/>
    <n v="83.588999999999942"/>
    <d v="2027-12-01T00:00:00"/>
  </r>
  <r>
    <x v="28"/>
    <d v="2026-07-29T00:00:00"/>
    <x v="43"/>
    <s v="Martin Arnoldo Rodríguez Nuñez"/>
    <m/>
    <s v="RONM630110HMNDXR06"/>
    <n v="23186960"/>
    <n v="5214431284127"/>
    <x v="9"/>
    <n v="7920.51"/>
    <n v="2195.2800000000002"/>
    <n v="2376.1529999999998"/>
    <n v="180.87299999999959"/>
    <d v="2026-06-01T00:00:00"/>
  </r>
  <r>
    <x v="28"/>
    <d v="2026-07-28T00:00:00"/>
    <x v="6"/>
    <s v="EDUARDO LEGORRETA CASAS "/>
    <n v="16826000487"/>
    <s v="LECE600202HDFGSD06"/>
    <n v="23172176"/>
    <n v="5219993966225"/>
    <x v="2"/>
    <n v="7920.51"/>
    <n v="2195.27"/>
    <n v="2376.1529999999998"/>
    <n v="180.88299999999981"/>
    <d v="2026-10-01T00:00:00"/>
  </r>
  <r>
    <x v="28"/>
    <d v="2026-07-28T00:00:00"/>
    <x v="35"/>
    <s v="HERIBERTO"/>
    <n v="54796351655"/>
    <m/>
    <n v="23185938"/>
    <n v="3221678946"/>
    <x v="2"/>
    <n v="7920.51"/>
    <s v="2373.77"/>
    <n v="2376.1529999999998"/>
    <n v="2.3829999999998108"/>
    <d v="2028-05-01T00:00:00"/>
  </r>
  <r>
    <x v="28"/>
    <d v="2026-07-28T00:00:00"/>
    <x v="43"/>
    <s v="Gelacio Vázquez González"/>
    <m/>
    <s v="VAGG560129HHGZNL02"/>
    <n v="23188762"/>
    <n v="5217757073011"/>
    <x v="2"/>
    <n v="20259.849999999999"/>
    <s v="6076.55"/>
    <n v="6077.954999999999"/>
    <n v="1.4049999999988358"/>
    <d v="2026-12-01T00:00:00"/>
  </r>
  <r>
    <x v="28"/>
    <d v="2026-07-22T00:00:00"/>
    <x v="14"/>
    <s v="JOSE LUIS CIBRIAN VERGARA"/>
    <m/>
    <s v="CIVL571119HCMBRS00"/>
    <n v="23006970"/>
    <n v="5213123002291"/>
    <x v="9"/>
    <n v="6578.4"/>
    <s v="1825.08"/>
    <n v="1973.5199999999998"/>
    <n v="148.43999999999983"/>
    <d v="2026-04-01T00:00:00"/>
  </r>
  <r>
    <x v="28"/>
    <d v="2026-07-29T00:00:00"/>
    <x v="30"/>
    <s v="PEDRO COLLAZO PORTILLO"/>
    <m/>
    <s v="COPP570429HCHLRD09"/>
    <n v="23192800"/>
    <n v="5216144967378"/>
    <x v="1"/>
    <n v="4199.87"/>
    <s v="848"/>
    <n v="1259.961"/>
    <n v="-821.10999999999967"/>
    <m/>
  </r>
  <r>
    <x v="28"/>
    <d v="2026-07-26T00:00:00"/>
    <x v="10"/>
    <s v="JERONIMO LUNA MEJIA"/>
    <s v="53846414190"/>
    <s v="LUMJ641211HMNNJR06"/>
    <n v="23123768"/>
    <n v="5214432586289"/>
    <x v="0"/>
    <n v="11328.369999999999"/>
    <s v="848"/>
    <n v="3398.5109999999995"/>
    <n v="2550.5109999999995"/>
    <m/>
  </r>
  <r>
    <x v="28"/>
    <d v="2026-07-28T00:00:00"/>
    <x v="10"/>
    <s v="Genny Concepcion Cano Jiménez"/>
    <s v="84725207363"/>
    <s v="CAJG591208MYNNMN06"/>
    <n v="23171834"/>
    <n v="5219995798298"/>
    <x v="2"/>
    <n v="13498.32"/>
    <n v="4048.66"/>
    <n v="4049.4959999999996"/>
    <n v="0.83599999999978536"/>
    <d v="2026-11-01T00:00:00"/>
  </r>
  <r>
    <x v="28"/>
    <d v="2026-07-29T00:00:00"/>
    <x v="26"/>
    <s v="MANUEL FELIPE MARTINEZ ALTAMIRANO"/>
    <n v="14745800038"/>
    <s v="MAAM580526HQTRLN03"/>
    <n v="23199950"/>
    <n v="5214425251152"/>
    <x v="1"/>
    <n v="4342.43"/>
    <m/>
    <n v="1302.729"/>
    <n v="169.45000000000073"/>
    <m/>
  </r>
  <r>
    <x v="28"/>
    <d v="2026-07-28T00:00:00"/>
    <x v="38"/>
    <s v="LEONEL ARROYO HERNANDEZ"/>
    <m/>
    <s v="AOHL650105HBCRRN07"/>
    <n v="23185526"/>
    <n v="6531468204"/>
    <x v="2"/>
    <n v="16560.12"/>
    <n v="4787.9799999999996"/>
    <n v="4968.0359999999991"/>
    <n v="180.05599999999959"/>
    <d v="2028-02-01T00:00:00"/>
  </r>
  <r>
    <x v="28"/>
    <d v="2026-07-21T00:00:00"/>
    <x v="20"/>
    <s v="alberto"/>
    <m/>
    <s v="FAGA600415HJCRRL05"/>
    <n v="22908876"/>
    <n v="5213311834200"/>
    <x v="9"/>
    <n v="11693.55"/>
    <s v="2468.54"/>
    <n v="3508.0649999999996"/>
    <n v="1039.5249999999996"/>
    <d v="2026-06-01T00:00:00"/>
  </r>
  <r>
    <x v="28"/>
    <d v="2026-07-29T00:00:00"/>
    <x v="19"/>
    <s v="JOSE ARTURO "/>
    <m/>
    <s v="RERA650305HDFYMR09"/>
    <n v="23117706"/>
    <n v="5215561642836"/>
    <x v="0"/>
    <n v="9760.32"/>
    <m/>
    <n v="2928.096"/>
    <n v="2928.096"/>
    <m/>
  </r>
  <r>
    <x v="28"/>
    <d v="2026-07-28T00:00:00"/>
    <x v="40"/>
    <s v="Jose Guillermo Quintanilla Villarreal"/>
    <m/>
    <s v="QUVG640625HNLNLL03"/>
    <n v="23186164"/>
    <n v="5218132569492"/>
    <x v="2"/>
    <n v="9081.52"/>
    <n v="2514.86"/>
    <n v="2724.4560000000001"/>
    <n v="209.596"/>
    <d v="2026-10-01T00:00:00"/>
  </r>
  <r>
    <x v="28"/>
    <d v="2026-07-28T00:00:00"/>
    <x v="26"/>
    <s v="PEDRO TERRONES TORRES"/>
    <n v="72735308743"/>
    <s v="TETP550128HGRRRD07"/>
    <n v="23169312"/>
    <n v="5217443094889"/>
    <x v="2"/>
    <n v="6675.38"/>
    <n v="1914.69"/>
    <n v="2002.614"/>
    <n v="87.923999999999978"/>
    <d v="2027-12-01T00:00:00"/>
  </r>
  <r>
    <x v="28"/>
    <d v="2026-07-29T00:00:00"/>
    <x v="14"/>
    <s v="JORGE PARRA EUSEBIO"/>
    <m/>
    <s v="PAEJ631004HJCRSR01"/>
    <n v="23195502"/>
    <n v="5213330040803"/>
    <x v="2"/>
    <n v="9081.52"/>
    <n v="2627.5"/>
    <n v="2724.4560000000001"/>
    <n v="96.956000000000131"/>
    <d v="2027-05-01T00:00:00"/>
  </r>
  <r>
    <x v="28"/>
    <d v="2026-07-29T00:00:00"/>
    <x v="31"/>
    <s v="MARTHA PATRICIA YAÑEZ BENITEZ"/>
    <n v="10866933848"/>
    <s v="YABM700718MDFXNR04"/>
    <n v="2"/>
    <n v="5534260921"/>
    <x v="8"/>
    <m/>
    <m/>
    <n v="0"/>
    <n v="0"/>
    <m/>
  </r>
  <r>
    <x v="28"/>
    <d v="2026-07-29T00:00:00"/>
    <x v="6"/>
    <s v="ROSA GONZALEZ MENDEZ"/>
    <n v="14886500892"/>
    <s v="GOMR650205MQTNNS00"/>
    <n v="23197646"/>
    <n v="5214271177304"/>
    <x v="5"/>
    <m/>
    <m/>
    <n v="0"/>
    <n v="0"/>
    <m/>
  </r>
  <r>
    <x v="28"/>
    <d v="2026-05-02T00:00:00"/>
    <x v="28"/>
    <s v="NOEMI BERENICE GARCIA CASTILLO"/>
    <s v="92937279161"/>
    <s v="MECN790112MDFJSM01"/>
    <n v="20239406"/>
    <n v="5215528925392"/>
    <x v="2"/>
    <n v="22710.16"/>
    <n v="6569.9"/>
    <n v="6813.0479999999998"/>
    <n v="243.14800000000014"/>
    <d v="2027-08-01T00:00:00"/>
  </r>
  <r>
    <x v="28"/>
    <d v="2026-07-29T00:00:00"/>
    <x v="10"/>
    <s v="JOSE JERONIMO DE LOS ANGELES"/>
    <m/>
    <s v="CACJ651205HYNNRR09"/>
    <n v="23195180"/>
    <n v="5219992444960"/>
    <x v="0"/>
    <n v="9760.32"/>
    <m/>
    <n v="2928.096"/>
    <n v="2928.096"/>
    <m/>
  </r>
  <r>
    <x v="28"/>
    <d v="2026-07-29T00:00:00"/>
    <x v="26"/>
    <s v="FRANCISCO JAVIER ZARAGOZA NAVARRETE"/>
    <s v="06816366329"/>
    <s v="ZANF630122HDFRVR08"/>
    <n v="23201298"/>
    <n v="5214581176524"/>
    <x v="2"/>
    <n v="9504.7000000000007"/>
    <n v="2850.5"/>
    <n v="2851.4100000000003"/>
    <n v="0.91000000000030923"/>
    <d v="2027-08-01T00:00:00"/>
  </r>
  <r>
    <x v="28"/>
    <d v="2026-07-29T00:00:00"/>
    <x v="6"/>
    <s v="VICTOR MANUEL GODOY FRANCO"/>
    <n v="41896200510"/>
    <s v="GOFV620421HSPDRC06"/>
    <n v="23197102"/>
    <n v="5214448492558"/>
    <x v="0"/>
    <n v="26353.22"/>
    <m/>
    <n v="7905.9660000000003"/>
    <n v="7905.9660000000003"/>
    <m/>
  </r>
  <r>
    <x v="28"/>
    <d v="2026-07-29T00:00:00"/>
    <x v="32"/>
    <s v="HERMINIO MEZA VILLA"/>
    <s v="54806355902"/>
    <s v="MEVH650721HJCZLR05"/>
    <n v="2"/>
    <n v="3414208637"/>
    <x v="2"/>
    <n v="9760.32"/>
    <n v="2926.71"/>
    <n v="2928.096"/>
    <n v="1.3859999999999673"/>
    <d v="2028-01-01T00:00:00"/>
  </r>
  <r>
    <x v="28"/>
    <d v="2026-07-29T00:00:00"/>
    <x v="26"/>
    <s v="CARMEN ROBERTA RODRIGUEZ MARTINEZ"/>
    <s v="49846514153   "/>
    <s v="ROMC770423MTSDRR08"/>
    <n v="23197854"/>
    <n v="23197854"/>
    <x v="2"/>
    <n v="7628.27"/>
    <n v="2115"/>
    <n v="2288.4810000000002"/>
    <n v="173.48100000000022"/>
    <d v="2026-12-01T00:00:00"/>
  </r>
  <r>
    <x v="28"/>
    <d v="2026-07-26T00:00:00"/>
    <x v="0"/>
    <s v="ADOLFO MARQUEZ PULIDO"/>
    <n v="83816209452"/>
    <m/>
    <n v="23119094"/>
    <n v="5219932227357"/>
    <x v="3"/>
    <n v="24760.05"/>
    <n v="6750.93"/>
    <n v="7428.0149999999994"/>
    <n v="677.08499999999913"/>
    <d v="2026-09-01T00:00:00"/>
  </r>
  <r>
    <x v="28"/>
    <d v="2026-07-29T00:00:00"/>
    <x v="30"/>
    <s v="MARIA ELIZABETH CARRILLO RAMOS"/>
    <n v="43796270957"/>
    <s v="CARE621111MNLRML00"/>
    <n v="23204120"/>
    <n v="5218119800050"/>
    <x v="2"/>
    <n v="23664.79"/>
    <n v="7099.08"/>
    <n v="7099.4369999999999"/>
    <n v="0.3569999999999709"/>
    <d v="2027-11-01T00:00:00"/>
  </r>
  <r>
    <x v="28"/>
    <d v="2026-07-29T00:00:00"/>
    <x v="30"/>
    <s v="MARCO ANTONIO ISLAS RODRIGUEZ"/>
    <n v="13786400187"/>
    <s v="IARM570613HHGSDR02"/>
    <n v="23203462"/>
    <n v="5216863957803"/>
    <x v="0"/>
    <n v="7363.38"/>
    <m/>
    <n v="2209.0140000000001"/>
    <n v="2209.0140000000001"/>
    <m/>
  </r>
  <r>
    <x v="28"/>
    <d v="2026-07-29T00:00:00"/>
    <x v="26"/>
    <s v="OSCAR RIEBELING BARAJAS"/>
    <s v="04856229481"/>
    <s v="RIBO620722HJCBRS09"/>
    <n v="23202954"/>
    <n v="5216421301379"/>
    <x v="0"/>
    <n v="9760.32"/>
    <m/>
    <n v="2928.096"/>
    <n v="2928.096"/>
    <m/>
  </r>
  <r>
    <x v="28"/>
    <d v="2026-07-29T00:00:00"/>
    <x v="6"/>
    <s v="ANGEL ROBERTO NAGAYA GARCIA "/>
    <m/>
    <s v="NAGA771213HCSGRN05"/>
    <n v="23199646"/>
    <n v="5218125044688"/>
    <x v="1"/>
    <n v="2771"/>
    <m/>
    <n v="831.3"/>
    <n v="0"/>
    <m/>
  </r>
  <r>
    <x v="28"/>
    <d v="2026-07-28T00:00:00"/>
    <x v="43"/>
    <s v="Jorge Quintana Grijalva."/>
    <s v="21846307573"/>
    <m/>
    <n v="23187034"/>
    <n v="5216621404327"/>
    <x v="0"/>
    <n v="21760.99"/>
    <m/>
    <n v="6528.2970000000005"/>
    <n v="6528.2970000000005"/>
    <m/>
  </r>
  <r>
    <x v="28"/>
    <d v="2026-07-29T00:00:00"/>
    <x v="13"/>
    <s v="RODOLFO FABIAN ACOSTA CASAS"/>
    <n v="92926612547"/>
    <s v="AOCR660120HCLCSD09"/>
    <n v="23195434"/>
    <n v="5218444680847"/>
    <x v="0"/>
    <n v="10636.54"/>
    <m/>
    <n v="3190.962"/>
    <n v="3190.962"/>
    <m/>
  </r>
  <r>
    <x v="28"/>
    <d v="2026-07-25T00:00:00"/>
    <x v="0"/>
    <s v="ANDREA GARCIA VILLANUEVA"/>
    <n v="23826238216"/>
    <s v="GAVA701030MSLRLN10"/>
    <n v="23109672"/>
    <n v="5216674326886"/>
    <x v="2"/>
    <n v="7685.91"/>
    <n v="2222.02"/>
    <n v="2305.7729999999997"/>
    <n v="83.752999999999702"/>
    <d v="2027-07-01T00:00:00"/>
  </r>
  <r>
    <x v="28"/>
    <d v="2026-07-29T00:00:00"/>
    <x v="6"/>
    <s v="ROSALIO JESUS HERRERA REYES "/>
    <n v="11755622567"/>
    <s v="HERR560904HDFRYS01"/>
    <n v="23202700"/>
    <n v="5215655425173"/>
    <x v="0"/>
    <n v="6262.86"/>
    <m/>
    <n v="1878.8579999999997"/>
    <n v="1878.8579999999997"/>
    <m/>
  </r>
  <r>
    <x v="28"/>
    <d v="2026-07-26T00:00:00"/>
    <x v="28"/>
    <s v="MARCOS MARTINEZ CONTRERAS"/>
    <m/>
    <s v="MACM600711HNLRNR03"/>
    <n v="23125348"/>
    <n v="5218119996833"/>
    <x v="2"/>
    <n v="5617.63"/>
    <n v="1390"/>
    <n v="1685.289"/>
    <n v="54.650000000000546"/>
    <d v="2027-05-01T00:00:00"/>
  </r>
  <r>
    <x v="28"/>
    <d v="2026-07-29T00:00:00"/>
    <x v="30"/>
    <s v="GUADALUPE ENRIQUEZ HERRERA"/>
    <n v="21845500939"/>
    <s v="EIHG611211NCHNRD02"/>
    <n v="23205306"/>
    <n v="5216645820577"/>
    <x v="1"/>
    <n v="3505.89"/>
    <n v="848"/>
    <n v="1051.7669999999998"/>
    <n v="-848"/>
    <m/>
  </r>
  <r>
    <x v="28"/>
    <d v="2026-07-29T00:00:00"/>
    <x v="30"/>
    <s v="FRANCISCO PADILLA CHAVEZ"/>
    <m/>
    <s v="PACF600403HDFDHR06"/>
    <n v="23190830"/>
    <n v="5215578814809"/>
    <x v="2"/>
    <n v="5617.63"/>
    <n v="1400"/>
    <n v="1685.289"/>
    <n v="44.650000000000546"/>
    <d v="2028-07-01T00:00:00"/>
  </r>
  <r>
    <x v="28"/>
    <d v="2026-07-29T00:00:00"/>
    <x v="32"/>
    <s v="MANUEL ABAD VALVERDE LUNA"/>
    <s v="10856556930"/>
    <s v="VALM651226HOCLNN02"/>
    <n v="2"/>
    <n v="5587997358"/>
    <x v="2"/>
    <n v="8784.27"/>
    <n v="2633.39"/>
    <n v="2635.2809999999999"/>
    <n v="1.8910000000000764"/>
    <d v="2028-05-01T00:00:00"/>
  </r>
  <r>
    <x v="28"/>
    <d v="2026-07-29T00:00:00"/>
    <x v="26"/>
    <s v="IRMA GUADALUPE ESTRADA ALVARADO"/>
    <n v="32745828239"/>
    <s v="EAAI580528MCLSLR08"/>
    <n v="23203044"/>
    <n v="5218442357220"/>
    <x v="1"/>
    <n v="4342.43"/>
    <m/>
    <n v="1302.729"/>
    <n v="169.45000000000073"/>
    <m/>
  </r>
  <r>
    <x v="28"/>
    <d v="2026-07-29T00:00:00"/>
    <x v="14"/>
    <s v="EDUARDO LOPEZ LLAMAS"/>
    <m/>
    <s v="LOLE620623HNLPLD02"/>
    <n v="23203444"/>
    <n v="5218135729576"/>
    <x v="2"/>
    <n v="59253.33"/>
    <n v="17776"/>
    <n v="17775.999"/>
    <n v="-1.0000000002037268E-3"/>
    <d v="2027-03-01T00:00:00"/>
  </r>
  <r>
    <x v="28"/>
    <d v="2026-07-29T00:00:00"/>
    <x v="30"/>
    <s v="RAMIRO CORDOVA HERNANDEZ"/>
    <s v="32836617558"/>
    <s v="COHR660124HCLRRM04"/>
    <n v="23197850"/>
    <n v="5218445360250"/>
    <x v="2"/>
    <n v="11029.03"/>
    <n v="3294.08"/>
    <n v="3308.7090000000003"/>
    <n v="14.62900000000036"/>
    <d v="2028-05-01T00:00:00"/>
  </r>
  <r>
    <x v="28"/>
    <d v="2026-07-29T00:00:00"/>
    <x v="14"/>
    <s v="JOSE LUIS VICENCIO ROJAS"/>
    <n v="49815507485"/>
    <s v="VIRL551102HVZCJS00"/>
    <n v="23205416"/>
    <n v="5219932180560"/>
    <x v="9"/>
    <n v="24419.33"/>
    <n v="7323.1"/>
    <n v="7325.799"/>
    <n v="2.6989999999996144"/>
    <d v="2028-05-01T00:00:00"/>
  </r>
  <r>
    <x v="28"/>
    <d v="2026-07-28T00:00:00"/>
    <x v="39"/>
    <s v="Salome Velazquez Celaya"/>
    <m/>
    <s v="VECS541022HDGLLL02"/>
    <n v="23184518"/>
    <n v="6181641189"/>
    <x v="9"/>
    <n v="7132.13"/>
    <n v="1977.9"/>
    <n v="2139.6390000000001"/>
    <n v="161.73900000000003"/>
    <d v="2023-10-01T00:00:00"/>
  </r>
  <r>
    <x v="28"/>
    <d v="2026-07-29T00:00:00"/>
    <x v="10"/>
    <s v="MARIO CAMACHO"/>
    <n v="53806016936"/>
    <s v="CAXM600815HMNMXR05"/>
    <n v="23205328"/>
    <n v="5214431011747"/>
    <x v="7"/>
    <n v="4954.7299999999996"/>
    <n v="589.27"/>
    <n v="1486.4189999999999"/>
    <n v="192.48000000000002"/>
    <d v="2025-06-01T00:00:00"/>
  </r>
  <r>
    <x v="28"/>
    <d v="2026-07-28T00:00:00"/>
    <x v="39"/>
    <s v="Ernesto Mauro Nuñez"/>
    <m/>
    <s v="NUXE600211HDGXXR07"/>
    <n v="23179920"/>
    <n v="6121312297"/>
    <x v="7"/>
    <n v="5617.63"/>
    <n v="1376.55"/>
    <n v="1685.289"/>
    <n v="68.100000000000591"/>
    <d v="2024-05-01T00:00:00"/>
  </r>
  <r>
    <x v="28"/>
    <d v="2026-07-29T00:00:00"/>
    <x v="35"/>
    <s v="Celestina Vega Gómez"/>
    <s v="21784502854"/>
    <s v="VEGC551125MJCGML05"/>
    <n v="23206810"/>
    <n v="6862395452"/>
    <x v="0"/>
    <n v="8173.37"/>
    <n v="879"/>
    <n v="2452.011"/>
    <n v="1573.011"/>
    <m/>
  </r>
  <r>
    <x v="28"/>
    <d v="2026-07-29T00:00:00"/>
    <x v="39"/>
    <s v="Antonio Meza Mendez"/>
    <m/>
    <s v="MEMA530703HGRZNN12"/>
    <n v="23207050"/>
    <n v="8711164435"/>
    <x v="1"/>
    <n v="3881.65"/>
    <n v="848"/>
    <n v="1164.4949999999999"/>
    <n v="-848"/>
    <m/>
  </r>
  <r>
    <x v="28"/>
    <d v="2026-07-29T00:00:00"/>
    <x v="6"/>
    <s v="JACOBO GALVEZ FAVELA "/>
    <n v="23695013096"/>
    <s v="GAFJ501115HSLLVC05"/>
    <n v="23205100"/>
    <n v="5216871390401"/>
    <x v="0"/>
    <n v="23748.62"/>
    <m/>
    <n v="7124.5859999999993"/>
    <n v="7124.5859999999993"/>
    <m/>
  </r>
  <r>
    <x v="28"/>
    <d v="2026-07-29T00:00:00"/>
    <x v="31"/>
    <s v="MARTIN ERNESTO JUAREZ SANCHEZ"/>
    <n v="32846478876"/>
    <s v="JUSM641105HCLRNR01"/>
    <n v="2"/>
    <n v="8445354017"/>
    <x v="2"/>
    <n v="9493.07"/>
    <n v="2745"/>
    <n v="2847.9209999999998"/>
    <n v="102.92099999999982"/>
    <d v="2027-02-01T00:00:00"/>
  </r>
  <r>
    <x v="28"/>
    <d v="2026-07-26T00:00:00"/>
    <x v="10"/>
    <s v="PATRICIA HERNÁNDEZ HERNÁNDEZ"/>
    <s v="42966301618_x000a_"/>
    <s v="HEHP620507MDFRRT07"/>
    <n v="23125778"/>
    <n v="5215616042499"/>
    <x v="2"/>
    <n v="8005.9"/>
    <n v="2401.0100000000002"/>
    <n v="2401.77"/>
    <n v="0.75999999999976353"/>
    <d v="2028-02-01T00:00:00"/>
  </r>
  <r>
    <x v="28"/>
    <d v="2026-07-30T00:00:00"/>
    <x v="35"/>
    <s v="Silvia barron olivas"/>
    <s v="31876803516"/>
    <s v="BAOS730909MCHRLL01"/>
    <n v="23208636"/>
    <n v="8714278625"/>
    <x v="2"/>
    <n v="5448.87"/>
    <n v="1511.22"/>
    <n v="1634.6609999999998"/>
    <n v="-235.3299999999997"/>
    <d v="2026-11-01T00:00:00"/>
  </r>
  <r>
    <x v="28"/>
    <d v="2026-07-29T00:00:00"/>
    <x v="26"/>
    <s v="ROSA ISELA RODRIGUEZ LEON "/>
    <n v="23856464344"/>
    <s v="ROLR640721MSLDNS04"/>
    <n v="23205318"/>
    <n v="5216693195012"/>
    <x v="3"/>
    <n v="33401"/>
    <n v="9270.65"/>
    <n v="10020.299999999999"/>
    <n v="749.64999999999964"/>
    <d v="2027-01-01T00:00:00"/>
  </r>
  <r>
    <x v="28"/>
    <d v="2026-07-29T00:00:00"/>
    <x v="10"/>
    <s v="Francisco Javier Lopez Medran"/>
    <m/>
    <s v="LOMF591115HPLPDR05"/>
    <n v="23203084"/>
    <n v="5212214260095"/>
    <x v="0"/>
    <n v="7159.39"/>
    <m/>
    <n v="2147.817"/>
    <n v="2147.817"/>
    <m/>
  </r>
  <r>
    <x v="28"/>
    <d v="2026-07-29T00:00:00"/>
    <x v="20"/>
    <s v="efrain becerraa"/>
    <m/>
    <s v="BEHE611124HNLCRF06"/>
    <n v="23206496"/>
    <n v="5218211462876"/>
    <x v="2"/>
    <n v="29610"/>
    <n v="8883"/>
    <n v="8883"/>
    <n v="0"/>
    <d v="2027-01-01T00:00:00"/>
  </r>
  <r>
    <x v="28"/>
    <d v="2026-07-28T00:00:00"/>
    <x v="43"/>
    <s v="Isidro López Flores"/>
    <s v="54836450806"/>
    <m/>
    <n v="23189168"/>
    <n v="5213921294826"/>
    <x v="0"/>
    <n v="9760.32"/>
    <m/>
    <n v="2928.096"/>
    <n v="2928.096"/>
    <m/>
  </r>
  <r>
    <x v="28"/>
    <d v="2026-07-29T00:00:00"/>
    <x v="40"/>
    <s v="Marco Antonio Sandoval de la Cruz"/>
    <n v="32856727501"/>
    <s v="SACM671027HCLNRR09"/>
    <n v="23208616"/>
    <n v="5218771409848"/>
    <x v="2"/>
    <n v="8181.55"/>
    <n v="2271.4899999999998"/>
    <n v="2454.4650000000001"/>
    <n v="182.97500000000036"/>
    <d v="2026-12-01T00:00:00"/>
  </r>
  <r>
    <x v="28"/>
    <d v="2026-07-29T00:00:00"/>
    <x v="31"/>
    <s v="JOSE OCTAVIO SALDAÑA IRUEGAS"/>
    <n v="43806307161"/>
    <s v="SAIO630121HNLLRC06"/>
    <n v="2"/>
    <n v="8129102968"/>
    <x v="2"/>
    <n v="9760.32"/>
    <n v="2823.57"/>
    <n v="2928.096"/>
    <n v="104.52599999999984"/>
    <d v="2027-05-01T00:00:00"/>
  </r>
  <r>
    <x v="28"/>
    <d v="2026-07-29T00:00:00"/>
    <x v="20"/>
    <s v="guillermo"/>
    <m/>
    <s v="EICG620418HDFSML01"/>
    <n v="23209522"/>
    <n v="5215578765762"/>
    <x v="2"/>
    <n v="10171.24"/>
    <n v="2930.62"/>
    <n v="3051.3719999999998"/>
    <n v="120.75199999999995"/>
    <d v="2027-09-01T00:00:00"/>
  </r>
  <r>
    <x v="28"/>
    <d v="2026-07-29T00:00:00"/>
    <x v="13"/>
    <s v="SILVIA VELAZQUEZ TELLEZ"/>
    <m/>
    <s v="VETS640329MDFLLL02"/>
    <n v="23203426"/>
    <n v="5215510059254"/>
    <x v="3"/>
    <n v="26857.08"/>
    <n v="7455.07"/>
    <n v="8057.1239999999998"/>
    <n v="602.05400000000009"/>
    <d v="2026-08-01T00:00:00"/>
  </r>
  <r>
    <x v="28"/>
    <d v="2026-07-29T00:00:00"/>
    <x v="30"/>
    <s v="ELIZABETH PORTILLO HERNANDEZ"/>
    <m/>
    <s v="POHE661028MCHRRL02"/>
    <n v="23195684"/>
    <n v="5216143732825"/>
    <x v="2"/>
    <n v="5819.98"/>
    <n v="1588"/>
    <n v="1745.9939999999999"/>
    <n v="59"/>
    <d v="2027-07-01T00:00:00"/>
  </r>
  <r>
    <x v="28"/>
    <d v="2026-07-29T00:00:00"/>
    <x v="13"/>
    <s v="EDUARDO SERHANT HERRERA"/>
    <n v="11795726345"/>
    <s v="SEHE570919HDFRRD09"/>
    <n v="23197256"/>
    <n v="5215657477902"/>
    <x v="2"/>
    <n v="5077.9799999999996"/>
    <n v="1222.46"/>
    <n v="1523.3939999999998"/>
    <n v="-317.46000000000004"/>
    <d v="2026-10-01T00:00:00"/>
  </r>
  <r>
    <x v="28"/>
    <d v="2026-07-29T00:00:00"/>
    <x v="36"/>
    <s v="GENARO GARCIA SANDOVAL "/>
    <m/>
    <s v="GASG590906HJCRNN06"/>
    <n v="23209156"/>
    <n v="3326462223"/>
    <x v="2"/>
    <n v="4813.6899999999996"/>
    <n v="617"/>
    <n v="1444.1069999999997"/>
    <n v="23.710000000000036"/>
    <d v="2027-09-01T00:00:00"/>
  </r>
  <r>
    <x v="28"/>
    <d v="2026-07-23T00:00:00"/>
    <x v="11"/>
    <s v="ALEJANDRO JIMENEZ GUILLEN "/>
    <m/>
    <s v="JIGA640111HDFMLL06"/>
    <n v="23035142"/>
    <n v="5215523512030"/>
    <x v="0"/>
    <n v="10171.24"/>
    <m/>
    <n v="3051.3719999999998"/>
    <n v="3051.3719999999998"/>
    <m/>
  </r>
  <r>
    <x v="28"/>
    <d v="2026-07-29T00:00:00"/>
    <x v="31"/>
    <s v="GUSTAVO LUNA MEJIA"/>
    <n v="1916500174"/>
    <s v="LUMG651130HDFNJS06"/>
    <n v="2"/>
    <n v="5647197906"/>
    <x v="2"/>
    <n v="9760.32"/>
    <n v="2926.65"/>
    <n v="2928.096"/>
    <n v="1.4459999999999127"/>
    <d v="2028-04-01T00:00:00"/>
  </r>
  <r>
    <x v="28"/>
    <d v="2026-07-29T00:00:00"/>
    <x v="41"/>
    <s v="FRANCISCO JAVIER NAVARRO"/>
    <m/>
    <s v="NAXF601115HSLVXR00"/>
    <n v="23209990"/>
    <n v="5216632031321"/>
    <x v="9"/>
    <n v="6262.86"/>
    <n v="1736.71"/>
    <n v="1878.8579999999997"/>
    <n v="142.14799999999968"/>
    <d v="2026-07-01T00:00:00"/>
  </r>
  <r>
    <x v="28"/>
    <d v="2026-07-28T00:00:00"/>
    <x v="39"/>
    <s v="Salvador Moreno García"/>
    <n v="54977410098"/>
    <m/>
    <n v="23186054"/>
    <n v="3411506300"/>
    <x v="4"/>
    <m/>
    <m/>
    <n v="0"/>
    <n v="0"/>
    <m/>
  </r>
  <r>
    <x v="28"/>
    <d v="2026-07-29T00:00:00"/>
    <x v="29"/>
    <s v="Valente Elizondo flores"/>
    <s v="03816476398"/>
    <m/>
    <n v="23210224"/>
    <n v="5218147063220"/>
    <x v="6"/>
    <n v="9081.52"/>
    <n v="2520.12"/>
    <n v="2724.4560000000001"/>
    <n v="204.33600000000024"/>
    <d v="2026-07-01T00:00:00"/>
  </r>
  <r>
    <x v="28"/>
    <d v="2026-07-29T00:00:00"/>
    <x v="13"/>
    <s v="EDIEL BENITEZ OCHOA "/>
    <n v="49846016027"/>
    <s v="BEOE600609HVZNCD05"/>
    <n v="23193178"/>
    <n v="5219631456686"/>
    <x v="0"/>
    <n v="32675.89"/>
    <m/>
    <n v="9802.7669999999998"/>
    <n v="9802.7669999999998"/>
    <m/>
  </r>
  <r>
    <x v="28"/>
    <d v="2026-07-29T00:00:00"/>
    <x v="26"/>
    <s v="ELISA GONZALEZ GODINES"/>
    <s v="04725534954"/>
    <s v="GOGE550530MVZNDL13"/>
    <n v="23203814"/>
    <n v="5216562155906"/>
    <x v="6"/>
    <n v="6262.94"/>
    <n v="1726.76"/>
    <n v="1878.8819999999998"/>
    <n v="152.12199999999984"/>
    <d v="2026-05-01T00:00:00"/>
  </r>
  <r>
    <x v="28"/>
    <d v="2026-07-29T00:00:00"/>
    <x v="20"/>
    <s v="omar"/>
    <m/>
    <s v="GOTO610208HTSNVM02"/>
    <n v="23210566"/>
    <n v="5218991331331"/>
    <x v="2"/>
    <n v="6262.86"/>
    <n v="1878.8"/>
    <n v="1878.8579999999997"/>
    <n v="5.799999999976535E-2"/>
    <d v="2026-09-01T00:00:00"/>
  </r>
  <r>
    <x v="28"/>
    <d v="2026-07-29T00:00:00"/>
    <x v="36"/>
    <s v="Sara Gómez Jiménez"/>
    <m/>
    <s v="GOJS610929MCSMMR05"/>
    <n v="23209936"/>
    <n v="9612712540"/>
    <x v="2"/>
    <n v="7116.73"/>
    <n v="2040.83"/>
    <n v="2135.0189999999998"/>
    <n v="94.188999999999851"/>
    <d v="2026-11-01T00:00:00"/>
  </r>
  <r>
    <x v="28"/>
    <d v="2026-07-29T00:00:00"/>
    <x v="41"/>
    <s v="JORGE PINZO RAMIREZ"/>
    <m/>
    <s v="PIRJ580424HOCNMR09"/>
    <n v="23210996"/>
    <n v="5216695458633"/>
    <x v="1"/>
    <n v="4342.43"/>
    <m/>
    <n v="1302.729"/>
    <n v="169.45000000000073"/>
    <m/>
  </r>
  <r>
    <x v="28"/>
    <d v="2026-07-26T00:00:00"/>
    <x v="10"/>
    <s v="PATRICIA HERNÁNDEZ HERNÁNDEZ"/>
    <s v="75836205940"/>
    <s v="HEHP620507MDFRRT07"/>
    <n v="23125778"/>
    <n v="5215616042499"/>
    <x v="4"/>
    <m/>
    <m/>
    <n v="0"/>
    <n v="0"/>
    <m/>
  </r>
  <r>
    <x v="28"/>
    <d v="2026-07-29T00:00:00"/>
    <x v="26"/>
    <s v="CARLOS HERNANDEZ APODACA "/>
    <n v="65826200407"/>
    <s v="HEAC621129HVZRPR08"/>
    <n v="23193878"/>
    <n v="5212294636276"/>
    <x v="0"/>
    <n v="7116.73"/>
    <n v="848"/>
    <n v="2135.0189999999998"/>
    <n v="1287.0189999999998"/>
    <m/>
  </r>
  <r>
    <x v="28"/>
    <d v="2026-07-29T00:00:00"/>
    <x v="40"/>
    <s v="Maria Estela Campos Arenas"/>
    <n v="10856223135"/>
    <m/>
    <n v="23210724"/>
    <n v="5215633900996"/>
    <x v="2"/>
    <n v="7116.73"/>
    <n v="2135.02"/>
    <n v="2135.0189999999998"/>
    <n v="-1.0000000002037268E-3"/>
    <d v="2028-02-01T00:00:00"/>
  </r>
  <r>
    <x v="28"/>
    <d v="2026-07-29T00:00:00"/>
    <x v="11"/>
    <s v="GUADALUPE FERNANDEZ ALVAREZ "/>
    <m/>
    <s v="FEAG610101MZSRLD00"/>
    <n v="23211750"/>
    <n v="5214494155019"/>
    <x v="2"/>
    <n v="7116.73"/>
    <n v="2056.9899999999998"/>
    <n v="2135.0189999999998"/>
    <n v="78.028999999999996"/>
    <d v="2027-07-01T00:00:00"/>
  </r>
  <r>
    <x v="28"/>
    <d v="2026-07-29T00:00:00"/>
    <x v="41"/>
    <s v="ALVARO PEDRO MARTINEZ TORRES"/>
    <m/>
    <s v="MATA770819HMCRRL09"/>
    <n v="23207902"/>
    <n v="5215530669261"/>
    <x v="4"/>
    <m/>
    <m/>
    <n v="0"/>
    <n v="0"/>
    <m/>
  </r>
  <r>
    <x v="28"/>
    <d v="2026-07-29T00:00:00"/>
    <x v="31"/>
    <s v="J. ENCARNACION OLGUIN CASTRO"/>
    <n v="89826421474"/>
    <s v="OUCE641025HDFLSN01"/>
    <n v="2"/>
    <n v="5654417393"/>
    <x v="2"/>
    <n v="52854.52"/>
    <n v="15856.36"/>
    <n v="15856.355999999998"/>
    <n v="-4.0000000026338967E-3"/>
    <d v="2027-03-01T00:00:00"/>
  </r>
  <r>
    <x v="28"/>
    <d v="2026-07-29T00:00:00"/>
    <x v="10"/>
    <s v="JAIME ALBA MADRAZO"/>
    <m/>
    <s v="AAMJ500801HDFLDM06"/>
    <n v="23205722"/>
    <n v="5214423709637"/>
    <x v="2"/>
    <n v="39045.629999999997"/>
    <n v="11711.49"/>
    <n v="11713.688999999998"/>
    <n v="2.1989999999987049"/>
    <d v="2028-01-01T00:00:00"/>
  </r>
  <r>
    <x v="28"/>
    <d v="2026-07-26T00:00:00"/>
    <x v="11"/>
    <s v="MARIA DEL ROSARIO RUIZ RAMIREZ"/>
    <s v="43776207607_x000a_"/>
    <s v="RURR650809MNLZMS05 "/>
    <n v="23116504"/>
    <n v="5218123291324"/>
    <x v="1"/>
    <n v="3558.59"/>
    <n v="879"/>
    <n v="1067.577"/>
    <n v="-879"/>
    <m/>
  </r>
  <r>
    <x v="28"/>
    <d v="2026-07-29T00:00:00"/>
    <x v="41"/>
    <s v="ARTURO QUIROZ MANCILLA"/>
    <m/>
    <s v="QUMA641117HMCRNR05"/>
    <n v="23211302"/>
    <n v="5217223567575"/>
    <x v="3"/>
    <n v="9990.66"/>
    <n v="2653.8"/>
    <n v="2997.1979999999999"/>
    <n v="343.39799999999968"/>
    <d v="2027-06-01T00:00:00"/>
  </r>
  <r>
    <x v="28"/>
    <d v="2026-07-29T00:00:00"/>
    <x v="38"/>
    <s v="CARMEN ARAUJO HERNANDEZ"/>
    <n v="19805805694"/>
    <m/>
    <n v="23211628"/>
    <n v="23211628"/>
    <x v="2"/>
    <n v="7859.97"/>
    <n v="2272.83"/>
    <n v="2357.991"/>
    <n v="85.161000000000058"/>
    <d v="2027-03-01T00:00:00"/>
  </r>
  <r>
    <x v="28"/>
    <d v="2026-07-29T00:00:00"/>
    <x v="32"/>
    <s v="JOSE MARTIN SERRANO ROCHA"/>
    <n v="12886302764"/>
    <s v="SERM630616HGTRCR09"/>
    <n v="2"/>
    <n v="4774809296"/>
    <x v="2"/>
    <n v="13792.94"/>
    <n v="3990.63"/>
    <n v="4137.8819999999996"/>
    <n v="147.2519999999995"/>
    <d v="2027-06-01T00:00:00"/>
  </r>
  <r>
    <x v="28"/>
    <d v="2026-07-29T00:00:00"/>
    <x v="35"/>
    <s v="asuncion vicente lopez"/>
    <n v="88805300253"/>
    <s v="VILA531208MOCCPS03"/>
    <n v="23211548"/>
    <n v="5563028771"/>
    <x v="3"/>
    <n v="7997.11"/>
    <n v="1797.68"/>
    <n v="2399.1329999999998"/>
    <n v="601.45299999999975"/>
    <d v="2028-01-01T00:00:00"/>
  </r>
  <r>
    <x v="28"/>
    <d v="2026-07-24T00:00:00"/>
    <x v="0"/>
    <s v="JOSE RAUL PEREZ FLORES"/>
    <s v="01725563793"/>
    <m/>
    <n v="23061766"/>
    <n v="5217774112991"/>
    <x v="1"/>
    <n v="4317"/>
    <n v="848"/>
    <n v="1295.0999999999999"/>
    <n v="-703.97999999999956"/>
    <m/>
  </r>
  <r>
    <x v="28"/>
    <d v="2026-07-27T00:00:00"/>
    <x v="3"/>
    <s v="ARZALIA IVETH LIZARRAGA DURAZO "/>
    <s v="24826614901"/>
    <s v="_x0009_LIDA721118MSRZRR06"/>
    <n v="23128662"/>
    <n v="5216624137177"/>
    <x v="2"/>
    <n v="5636.59"/>
    <n v="1690.98"/>
    <n v="1690.9770000000001"/>
    <n v="-227.36999999999944"/>
    <d v="2028-04-01T00:00:00"/>
  </r>
  <r>
    <x v="28"/>
    <d v="2026-07-29T00:00:00"/>
    <x v="38"/>
    <s v="MANUEL JAIME PORTILLA VARGAS"/>
    <n v="43887223881"/>
    <m/>
    <n v="23212260"/>
    <n v="8117383073"/>
    <x v="1"/>
    <n v="4462.99"/>
    <n v="279.69"/>
    <n v="1338.8969999999999"/>
    <n v="10.320000000000221"/>
    <m/>
  </r>
  <r>
    <x v="28"/>
    <d v="2026-07-29T00:00:00"/>
    <x v="32"/>
    <s v="GUILLERMO COTERO GUTIERREZ"/>
    <s v="04916421862"/>
    <s v="COGG640904HJCTTL08"/>
    <n v="2"/>
    <n v="4773004742"/>
    <x v="2"/>
    <n v="9081.52"/>
    <n v="2627.5"/>
    <n v="2724.4560000000001"/>
    <n v="96.956000000000131"/>
    <d v="2027-05-01T00:00:00"/>
  </r>
  <r>
    <x v="28"/>
    <d v="2026-07-29T00:00:00"/>
    <x v="31"/>
    <s v="MARIO ARTURO SANCHEZ LLANES"/>
    <n v="43806432829"/>
    <s v="SALM640203HNLNLR01"/>
    <n v="2"/>
    <n v="8135938378"/>
    <x v="2"/>
    <n v="7116.73"/>
    <n v="2057.06"/>
    <n v="2135.0189999999998"/>
    <n v="77.958999999999833"/>
    <d v="2027-03-01T00:00:00"/>
  </r>
  <r>
    <x v="28"/>
    <d v="2026-07-29T00:00:00"/>
    <x v="31"/>
    <s v="ALGERIO OLVERA RIOS"/>
    <n v="1785729862"/>
    <s v="OERA570920HNLLSR06"/>
    <n v="2"/>
    <n v="8116343577"/>
    <x v="2"/>
    <n v="7371.68"/>
    <n v="2130"/>
    <n v="2211.5039999999999"/>
    <n v="81.503999999999905"/>
    <d v="2027-10-01T00:00:00"/>
  </r>
  <r>
    <x v="28"/>
    <d v="2026-07-29T00:00:00"/>
    <x v="26"/>
    <s v="LUCILA TOLEDO LOPEZ "/>
    <n v="6785617086"/>
    <s v="TOLL710412MOCLPC03"/>
    <n v="23201540"/>
    <n v="5216565735997"/>
    <x v="5"/>
    <m/>
    <m/>
    <n v="0"/>
    <n v="0"/>
    <m/>
  </r>
  <r>
    <x v="28"/>
    <d v="2026-07-29T00:00:00"/>
    <x v="38"/>
    <s v="EFRAIN MARTINEZ SOTO"/>
    <n v="24816452296"/>
    <m/>
    <n v="23211938"/>
    <n v="6441192487"/>
    <x v="2"/>
    <n v="9081.51"/>
    <n v="2723.75"/>
    <n v="2724.453"/>
    <n v="0.70299999999997453"/>
    <d v="2028-06-01T00:00:00"/>
  </r>
  <r>
    <x v="28"/>
    <d v="2026-07-29T00:00:00"/>
    <x v="38"/>
    <s v="MA. DEL SOCORRO DE LA CRUZ JIMENEZ"/>
    <m/>
    <s v="CUJS630513MGRRMC03"/>
    <n v="23211258"/>
    <n v="5637824107"/>
    <x v="0"/>
    <n v="31053.08"/>
    <m/>
    <n v="9315.9240000000009"/>
    <n v="9315.9240000000009"/>
    <m/>
  </r>
  <r>
    <x v="28"/>
    <d v="2026-07-29T00:00:00"/>
    <x v="0"/>
    <s v="MIGUEL ANTONIO GUTIERREZ RODRIGUEZ"/>
    <m/>
    <s v="GURM560928HCLTDG02"/>
    <n v="23212000"/>
    <n v="5218110796649"/>
    <x v="2"/>
    <n v="9504.7000000000007"/>
    <n v="2746.53"/>
    <n v="2851.4100000000003"/>
    <n v="104.88000000000011"/>
    <d v="2027-08-01T00:00:00"/>
  </r>
  <r>
    <x v="28"/>
    <d v="2026-07-29T00:00:00"/>
    <x v="19"/>
    <s v="BLANCA "/>
    <m/>
    <s v="RUCB680115MDFBNL19"/>
    <n v="23211468"/>
    <n v="9995666686"/>
    <x v="1"/>
    <n v="3568.75"/>
    <n v="879"/>
    <n v="1070.625"/>
    <n v="-879"/>
    <m/>
  </r>
  <r>
    <x v="28"/>
    <d v="2026-07-28T00:00:00"/>
    <x v="36"/>
    <s v="_x0009_ROBERTO_x0009_ MARISCAL BARBERENA"/>
    <s v="06735403088"/>
    <s v="MABR540116HTSRRB06"/>
    <n v="23185394"/>
    <n v="8113931505"/>
    <x v="7"/>
    <n v="4459.79"/>
    <n v="467.43"/>
    <n v="1337.9369999999999"/>
    <n v="-180.61999999999961"/>
    <d v="2024-02-01T00:00:00"/>
  </r>
  <r>
    <x v="28"/>
    <d v="2026-07-29T00:00:00"/>
    <x v="35"/>
    <s v="Sandra Patricia Rocha Manjarrez"/>
    <s v="1291630003"/>
    <s v="ROMS631120MGTCNN09"/>
    <n v="23213034"/>
    <n v="4622616471"/>
    <x v="5"/>
    <m/>
    <m/>
    <n v="0"/>
    <n v="0"/>
    <m/>
  </r>
  <r>
    <x v="28"/>
    <d v="2026-07-29T00:00:00"/>
    <x v="0"/>
    <s v="REYES MENDEZ"/>
    <n v="49806504681"/>
    <m/>
    <n v="23213268"/>
    <n v="5218332396530"/>
    <x v="3"/>
    <n v="9760.32"/>
    <n v="2563.67"/>
    <n v="2928.096"/>
    <n v="364.42599999999993"/>
    <d v="2027-10-01T00:00:00"/>
  </r>
  <r>
    <x v="28"/>
    <d v="2026-07-29T00:00:00"/>
    <x v="39"/>
    <s v="Ramiro Portales Castillo"/>
    <m/>
    <s v="POCR600704HCLRSM00"/>
    <n v="23209444"/>
    <n v="8241770239"/>
    <x v="6"/>
    <n v="12068.65"/>
    <n v="3201.46"/>
    <n v="3620.5949999999998"/>
    <n v="419.13499999999976"/>
    <d v="2025-05-01T00:00:00"/>
  </r>
  <r>
    <x v="28"/>
    <d v="2026-07-29T00:00:00"/>
    <x v="20"/>
    <s v="carlos"/>
    <s v="43846659738"/>
    <s v="ESGC661010HNLSDPR04"/>
    <n v="23211118"/>
    <n v="5218119817368"/>
    <x v="3"/>
    <n v="6188.26"/>
    <n v="1115.55"/>
    <n v="1856.4780000000001"/>
    <n v="740.92800000000011"/>
    <d v="2027-06-01T00:00:00"/>
  </r>
  <r>
    <x v="28"/>
    <d v="2026-07-24T00:00:00"/>
    <x v="39"/>
    <s v="Gonzalo Trejo Gil"/>
    <m/>
    <s v="TEGG590721HDFRLN03"/>
    <n v="23066214"/>
    <n v="2227573093"/>
    <x v="9"/>
    <n v="26869.34"/>
    <n v="8051.65"/>
    <n v="8060.8019999999997"/>
    <n v="9.1520000000000437"/>
    <d v="2026-02-01T00:00:00"/>
  </r>
  <r>
    <x v="28"/>
    <d v="2026-07-27T00:00:00"/>
    <x v="38"/>
    <s v="GUILLERMINA ROJAS GARCIA"/>
    <n v="53816119837"/>
    <s v="ROGG610914MMNJRL05"/>
    <n v="23152004"/>
    <n v="3222294798"/>
    <x v="0"/>
    <n v="7688.7"/>
    <m/>
    <n v="2306.6099999999997"/>
    <n v="2306.6099999999997"/>
    <m/>
  </r>
  <r>
    <x v="28"/>
    <d v="2026-07-25T00:00:00"/>
    <x v="20"/>
    <s v="Heriberto"/>
    <m/>
    <s v="MAAH600316HDFRRR05"/>
    <n v="23106460"/>
    <n v="5213329557010"/>
    <x v="5"/>
    <m/>
    <m/>
    <n v="0"/>
    <n v="0"/>
    <m/>
  </r>
  <r>
    <x v="29"/>
    <d v="2026-07-30T00:00:00"/>
    <x v="31"/>
    <s v="FRANCISCO PADILLA CHAVEZ"/>
    <n v="11786028610"/>
    <s v="PACF600403HDFDHR06"/>
    <n v="2"/>
    <n v="5578814809"/>
    <x v="2"/>
    <n v="5617.63"/>
    <n v="1400"/>
    <n v="1685.289"/>
    <n v="44.650000000000546"/>
    <d v="2028-07-01T00:00:00"/>
  </r>
  <r>
    <x v="29"/>
    <d v="2026-07-29T00:00:00"/>
    <x v="37"/>
    <s v="PATRICIA CASTAÑEDA REYNOSO"/>
    <s v="35937705263"/>
    <s v="CARP740802MCHSYT03"/>
    <n v="23211220"/>
    <n v="5216567782777"/>
    <x v="2"/>
    <n v="8173.37"/>
    <n v="2447.02"/>
    <n v="2452.011"/>
    <n v="4.9909999999999854"/>
    <d v="2028-04-01T00:00:00"/>
  </r>
  <r>
    <x v="29"/>
    <d v="2026-07-30T00:00:00"/>
    <x v="31"/>
    <s v="GUADALUPE DEL CARMEN GALINDO TINAJERO"/>
    <n v="49856217408"/>
    <s v="GATG620911MTSLND08"/>
    <n v="2"/>
    <n v="8115195190"/>
    <x v="2"/>
    <n v="9081.52"/>
    <n v="2721.65"/>
    <n v="2724.4560000000001"/>
    <n v="2.80600000000004"/>
    <d v="2027-11-01T00:00:00"/>
  </r>
  <r>
    <x v="29"/>
    <d v="2026-07-29T00:00:00"/>
    <x v="40"/>
    <s v="MARIA GUADALUPE CASAS BLANCO"/>
    <n v="11654603395"/>
    <s v="CABG460620MOCSLD07"/>
    <n v="23212142"/>
    <n v="5215530856253"/>
    <x v="2"/>
    <n v="5776.61"/>
    <n v="1484.07"/>
    <n v="1732.9829999999999"/>
    <n v="119.56000000000017"/>
    <d v="2026-09-01T00:00:00"/>
  </r>
  <r>
    <x v="29"/>
    <d v="2026-07-30T00:00:00"/>
    <x v="31"/>
    <s v="MARIA DEL CARMEN JAIME SIERRA"/>
    <n v="43745912410"/>
    <s v="JASC590704MNLMRR05"/>
    <n v="2"/>
    <s v="81 1324 3344"/>
    <x v="0"/>
    <n v="28637.15"/>
    <m/>
    <n v="8591.1450000000004"/>
    <n v="8591.1450000000004"/>
    <m/>
  </r>
  <r>
    <x v="29"/>
    <d v="2026-07-30T00:00:00"/>
    <x v="28"/>
    <s v="YADHIRA ARACELI REMIGIO  LOPEZ"/>
    <s v="35907457259"/>
    <s v="RELY770407MCHMPD06"/>
    <n v="23226348"/>
    <n v="23226348"/>
    <x v="2"/>
    <n v="7135.6"/>
    <n v="2140.6799999999998"/>
    <n v="2140.6799999999998"/>
    <n v="0"/>
    <d v="2028-02-01T00:00:00"/>
  </r>
  <r>
    <x v="29"/>
    <d v="2026-07-30T00:00:00"/>
    <x v="0"/>
    <s v="MARIA SOFIA GUARDIOLA ESTRADA"/>
    <s v="03816452381"/>
    <s v="GUES660918MNLRSF09"/>
    <n v="23207070"/>
    <n v="5218445050158"/>
    <x v="2"/>
    <n v="13505.16"/>
    <n v="3907.37"/>
    <n v="4051.5479999999998"/>
    <n v="144.17799999999988"/>
    <d v="2027-11-01T00:00:00"/>
  </r>
  <r>
    <x v="29"/>
    <d v="2026-07-30T00:00:00"/>
    <x v="26"/>
    <s v="ADOLFO HERNANDEZ MALDONADO"/>
    <n v="81786100347"/>
    <s v="HEMA620110HCCRLD08"/>
    <n v="23227706"/>
    <n v="5219381586697"/>
    <x v="2"/>
    <n v="5429.93"/>
    <n v="2210.59"/>
    <n v="1628.979"/>
    <n v="-953.63999999999942"/>
    <d v="2027-12-01T00:00:00"/>
  </r>
  <r>
    <x v="29"/>
    <d v="2026-07-29T00:00:00"/>
    <x v="6"/>
    <s v="JAVIER DE JESUS MORAN VEGA"/>
    <s v="06866413344"/>
    <s v="MOVJ640409HDFRGV04"/>
    <n v="23214658"/>
    <n v="5213318848989"/>
    <x v="5"/>
    <m/>
    <m/>
    <n v="0"/>
    <n v="0"/>
    <m/>
  </r>
  <r>
    <x v="29"/>
    <d v="2026-07-30T00:00:00"/>
    <x v="42"/>
    <s v="MANUEL AMARO LEAL"/>
    <s v="01796197760"/>
    <s v="AALM610706HDFMLN06"/>
    <n v="22575612"/>
    <n v="5573383942"/>
    <x v="2"/>
    <n v="27731.54"/>
    <n v="8310.2900000000009"/>
    <n v="8319.4619999999995"/>
    <n v="9.1719999999986612"/>
    <d v="2026-09-01T00:00:00"/>
  </r>
  <r>
    <x v="29"/>
    <d v="2026-07-30T00:00:00"/>
    <x v="31"/>
    <s v="LUIS DIAZ SOZA"/>
    <n v="42826441016"/>
    <s v="DISL640907HMCZZS00"/>
    <n v="2"/>
    <n v="5510766575"/>
    <x v="2"/>
    <n v="10635.54"/>
    <n v="3189.99"/>
    <n v="3190.6620000000003"/>
    <n v="0.67200000000048021"/>
    <d v="2028-08-01T00:00:00"/>
  </r>
  <r>
    <x v="29"/>
    <d v="2026-07-30T00:00:00"/>
    <x v="28"/>
    <s v="FELIX GARCIA MEJIA"/>
    <s v="14806422920"/>
    <s v=" GAMF640114HQTRJL08"/>
    <n v="23228088"/>
    <n v="5214272455698"/>
    <x v="3"/>
    <n v="30697.26"/>
    <n v="8881.4500000000007"/>
    <n v="9209.1779999999999"/>
    <n v="327.72799999999916"/>
    <d v="2027-08-01T00:00:00"/>
  </r>
  <r>
    <x v="29"/>
    <d v="2026-07-30T00:00:00"/>
    <x v="6"/>
    <s v="YADHIRA ARACELI REMIGIO LOPEZ "/>
    <n v="35907457259"/>
    <s v="RELY770407MCHMPD06"/>
    <n v="23225784"/>
    <n v="5216391238979"/>
    <x v="2"/>
    <n v="7135.6"/>
    <n v="2140.6799999999998"/>
    <n v="2140.6799999999998"/>
    <n v="0"/>
    <d v="2028-02-01T00:00:00"/>
  </r>
  <r>
    <x v="29"/>
    <d v="2026-07-26T00:00:00"/>
    <x v="6"/>
    <s v="JESUS MANUEL MUÑIZ GUTIERREZ "/>
    <n v="33755602720"/>
    <s v="MUGJ561227HCHXTS02"/>
    <n v="23127188"/>
    <n v="5216141065055"/>
    <x v="1"/>
    <n v="3961.31"/>
    <m/>
    <n v="1188.393"/>
    <n v="0"/>
    <m/>
  </r>
  <r>
    <x v="29"/>
    <d v="2026-07-30T00:00:00"/>
    <x v="31"/>
    <s v="NORBERTO MARTIN ESCOBAR JIMENEZ"/>
    <n v="41816206431"/>
    <s v="EOJN621005HSPSMR05"/>
    <n v="2"/>
    <n v="4441654008"/>
    <x v="2"/>
    <n v="11930.61"/>
    <n v="3579.18"/>
    <n v="3579.183"/>
    <n v="3.0000000001564331E-3"/>
    <d v="2027-05-01T00:00:00"/>
  </r>
  <r>
    <x v="29"/>
    <d v="2026-07-28T00:00:00"/>
    <x v="10"/>
    <s v="Jesus Ramírez Alvarez"/>
    <s v="06855906779"/>
    <s v="RAAJ590301HDFMLS04"/>
    <n v="23160148"/>
    <n v="5215541276811"/>
    <x v="3"/>
    <n v="4813.6899999999996"/>
    <m/>
    <n v="1444.1069999999997"/>
    <n v="640.71"/>
    <m/>
  </r>
  <r>
    <x v="29"/>
    <d v="2026-07-30T00:00:00"/>
    <x v="26"/>
    <s v="RAFAEL CRUZ DELGADO"/>
    <n v="23785915895"/>
    <s v="CUDR581024HSLRLF03"/>
    <n v="23228382"/>
    <n v="5216682507308"/>
    <x v="2"/>
    <n v="7116.73"/>
    <n v="2058.67"/>
    <n v="2135.0189999999998"/>
    <n v="76.348999999999705"/>
    <d v="2027-09-01T00:00:00"/>
  </r>
  <r>
    <x v="29"/>
    <d v="2026-07-30T00:00:00"/>
    <x v="6"/>
    <s v="JOSE ELESAR ESTRADA VERDIN"/>
    <n v="24806404653"/>
    <s v="EAVE640823HJCSRL04"/>
    <n v="23228006"/>
    <n v="5213132625645"/>
    <x v="3"/>
    <n v="14100.71"/>
    <n v="3889.08"/>
    <n v="4230.2129999999997"/>
    <n v="341.13299999999981"/>
    <d v="2027-10-01T00:00:00"/>
  </r>
  <r>
    <x v="29"/>
    <d v="2026-07-30T00:00:00"/>
    <x v="6"/>
    <s v="RITO CRUZ GUTIERREZ "/>
    <s v="24695410563"/>
    <s v="CUGR540203HSRRTT03"/>
    <n v="23198064"/>
    <n v="5216441026482"/>
    <x v="7"/>
    <n v="4905.43"/>
    <n v="642.64"/>
    <n v="1471.6290000000001"/>
    <n v="89.810000000000741"/>
    <d v="2024-07-01T00:00:00"/>
  </r>
  <r>
    <x v="29"/>
    <d v="2026-07-30T00:00:00"/>
    <x v="6"/>
    <s v="MARIA BAUTISTA ALCANTARA"/>
    <n v="72937253150"/>
    <s v="BAAM801124MGRTLR07"/>
    <n v="23228280"/>
    <n v="5217411048718"/>
    <x v="7"/>
    <n v="5480.3"/>
    <n v="1574.92"/>
    <n v="1644.09"/>
    <n v="-267.59999999999945"/>
    <d v="2025-07-01T00:00:00"/>
  </r>
  <r>
    <x v="29"/>
    <d v="2026-07-30T00:00:00"/>
    <x v="26"/>
    <s v="LUIS DIAZ SOZA"/>
    <n v="42826441026"/>
    <s v="DISL640907HMCZZS00"/>
    <n v="23223704"/>
    <n v="5215510766575"/>
    <x v="2"/>
    <n v="10635.54"/>
    <n v="3189.99"/>
    <n v="3190.6620000000003"/>
    <n v="0.67200000000048021"/>
    <d v="2028-08-01T00:00:00"/>
  </r>
  <r>
    <x v="29"/>
    <d v="2026-07-30T00:00:00"/>
    <x v="30"/>
    <s v="MAGDALENA FALCON AMBRIZ"/>
    <n v="12816004340"/>
    <s v="FAAM560529MGTLMG07"/>
    <n v="22856344"/>
    <n v="5214774637248"/>
    <x v="2"/>
    <n v="8173.37"/>
    <n v="2353.39"/>
    <n v="2452.011"/>
    <n v="98.621000000000095"/>
    <d v="2028-01-01T00:00:00"/>
  </r>
  <r>
    <x v="29"/>
    <d v="2026-07-30T00:00:00"/>
    <x v="14"/>
    <s v="JESUS MANUEL LOPEZ VEGA"/>
    <m/>
    <s v="LOVJ570814HSLPGS09"/>
    <n v="23218376"/>
    <n v="5216691516807"/>
    <x v="6"/>
    <n v="26685.14"/>
    <n v="7406.25"/>
    <n v="8005.5419999999995"/>
    <n v="599.29199999999946"/>
    <d v="2026-06-01T00:00:00"/>
  </r>
  <r>
    <x v="29"/>
    <d v="2026-07-30T00:00:00"/>
    <x v="6"/>
    <s v="LUIS MORALES GASPAR "/>
    <n v="13846400870"/>
    <s v="MOGL651225HHGRSS06"/>
    <n v="23217304"/>
    <n v="5217711635804"/>
    <x v="2"/>
    <n v="11029.03"/>
    <n v="3291.73"/>
    <n v="3308.7090000000003"/>
    <n v="16.979000000000269"/>
    <d v="2028-07-01T00:00:00"/>
  </r>
  <r>
    <x v="29"/>
    <d v="2026-07-29T00:00:00"/>
    <x v="10"/>
    <s v="FRANCISCO LUCIANO MARTINEZ LLANAS"/>
    <m/>
    <s v="MALF670107HNLRLR03"/>
    <n v="23205050"/>
    <n v="5218140065740"/>
    <x v="1"/>
    <n v="3789.49"/>
    <n v="848"/>
    <n v="1136.847"/>
    <n v="-848"/>
    <m/>
  </r>
  <r>
    <x v="29"/>
    <d v="2026-07-30T00:00:00"/>
    <x v="26"/>
    <s v="DEMETRIO RAMIREZ GONZALEZ"/>
    <n v="10796021524"/>
    <s v="RAGD600813HMCMNM06"/>
    <n v="23222142"/>
    <n v="5215512003222"/>
    <x v="2"/>
    <n v="7116.73"/>
    <n v="2123.15"/>
    <n v="2135.0189999999998"/>
    <n v="11.868999999999687"/>
    <d v="2028-06-01T00:00:00"/>
  </r>
  <r>
    <x v="29"/>
    <d v="2026-07-30T00:00:00"/>
    <x v="6"/>
    <s v="MANUEL TANORI FIGUEROA"/>
    <n v="24674924725"/>
    <s v="TAFM490710HSRNGN05"/>
    <n v="23226430"/>
    <n v="5216623487017"/>
    <x v="2"/>
    <n v="5385.91"/>
    <n v="944.1"/>
    <n v="1615.7729999999999"/>
    <n v="268.83000000000027"/>
    <d v="2026-11-01T00:00:00"/>
  </r>
  <r>
    <x v="29"/>
    <d v="2026-07-29T00:00:00"/>
    <x v="41"/>
    <s v="Juan Manuel Andazola Medina"/>
    <m/>
    <s v="AAMJ560127HCHNDN03"/>
    <n v="23213822"/>
    <n v="5216141762152"/>
    <x v="0"/>
    <n v="25523.54"/>
    <m/>
    <n v="7657.0619999999999"/>
    <n v="7657.0619999999999"/>
    <m/>
  </r>
  <r>
    <x v="29"/>
    <d v="2026-07-30T00:00:00"/>
    <x v="28"/>
    <s v="ISIDRO CRUZ JULIAN"/>
    <s v="82805804133"/>
    <s v="CUIJ580512HCSRLS19"/>
    <n v="23226670"/>
    <n v="5212219940932"/>
    <x v="1"/>
    <n v="4342.43"/>
    <m/>
    <n v="1302.729"/>
    <n v="169.45000000000073"/>
    <m/>
  </r>
  <r>
    <x v="29"/>
    <d v="2026-07-30T00:00:00"/>
    <x v="14"/>
    <s v="ARMANDO AGUILAR GARCIA"/>
    <m/>
    <s v="AUGA430827HDGGRR02"/>
    <n v="23221284"/>
    <n v="5214427224006"/>
    <x v="2"/>
    <n v="6595.37"/>
    <n v="1907.11"/>
    <n v="1978.6109999999999"/>
    <n v="71.500999999999976"/>
    <d v="2027-08-01T00:00:00"/>
  </r>
  <r>
    <x v="29"/>
    <d v="2026-07-30T00:00:00"/>
    <x v="28"/>
    <s v="FRANCISCO ENRIQUE CARRILLO CEBALLOS"/>
    <s v="35927508420_x000a_"/>
    <s v="CACF751004HCHRBR06"/>
    <n v="23215190"/>
    <n v="5216142298357"/>
    <x v="2"/>
    <n v="7826.61"/>
    <n v="2627.4900000000002"/>
    <n v="2347.9829999999997"/>
    <n v="-279.50700000000052"/>
    <d v="2027-01-01T00:00:00"/>
  </r>
  <r>
    <x v="29"/>
    <d v="2026-07-30T00:00:00"/>
    <x v="14"/>
    <s v="GUSTAVO HURTADO ORTEGA"/>
    <m/>
    <s v="HUOG620516HNLRRS06"/>
    <n v="23223160"/>
    <n v="5218116611771"/>
    <x v="1"/>
    <n v="3914.2"/>
    <m/>
    <n v="1174.26"/>
    <n v="0"/>
    <m/>
  </r>
  <r>
    <x v="29"/>
    <d v="2026-07-30T00:00:00"/>
    <x v="28"/>
    <s v="NORMA DE SANTIAGO RODRIGUEZ"/>
    <s v="31956610823"/>
    <s v="SARN660331MDGNDR07"/>
    <n v="23214928"/>
    <n v="5216181511319"/>
    <x v="5"/>
    <m/>
    <m/>
    <n v="0"/>
    <n v="0"/>
    <m/>
  </r>
  <r>
    <x v="29"/>
    <d v="2026-07-30T00:00:00"/>
    <x v="14"/>
    <s v="MANUEL SOLIS SOLIS"/>
    <m/>
    <s v="SOSM571216HZSLLN00"/>
    <n v="23225756"/>
    <n v="5218281018214"/>
    <x v="6"/>
    <n v="9432.9500000000007"/>
    <n v="2610"/>
    <n v="2829.8850000000002"/>
    <n v="219.88500000000022"/>
    <d v="2026-07-01T00:00:00"/>
  </r>
  <r>
    <x v="29"/>
    <d v="2026-07-30T00:00:00"/>
    <x v="14"/>
    <s v="RAMON GILBERTO ROBLEDO MIRANDA"/>
    <m/>
    <s v="ROMR620814HSRBRM05"/>
    <n v="23229476"/>
    <n v="5216413265447"/>
    <x v="2"/>
    <n v="10474.27"/>
    <n v="3135.35"/>
    <n v="3142.2809999999999"/>
    <n v="6.93100000000004"/>
    <d v="2028-04-01T00:00:00"/>
  </r>
  <r>
    <x v="29"/>
    <d v="2026-07-25T00:00:00"/>
    <x v="39"/>
    <s v="Ma guadalupe flores vazquez"/>
    <m/>
    <s v="FOVG581004MJCLZD02"/>
    <n v="23109110"/>
    <n v="3326000555"/>
    <x v="2"/>
    <n v="7116.73"/>
    <n v="2056.8000000000002"/>
    <n v="2135.0189999999998"/>
    <n v="78.218999999999596"/>
    <d v="2028-02-01T00:00:00"/>
  </r>
  <r>
    <x v="29"/>
    <d v="2026-07-30T00:00:00"/>
    <x v="30"/>
    <s v="ROBERTO MARTIN CERECER DUARTE"/>
    <n v="24816418164"/>
    <s v="CEDR640508HSRRRB03"/>
    <n v="22916794"/>
    <n v="5216622211042"/>
    <x v="0"/>
    <n v="37742.629999999997"/>
    <m/>
    <n v="11322.788999999999"/>
    <n v="11322.788999999999"/>
    <m/>
  </r>
  <r>
    <x v="29"/>
    <d v="2026-07-29T00:00:00"/>
    <x v="6"/>
    <s v="MIGUEL LOPEZ SOSA"/>
    <n v="49865001520"/>
    <s v="LOSM501214HTSPSG09"/>
    <n v="23214702"/>
    <n v="5218341142670"/>
    <x v="1"/>
    <n v="3879.67"/>
    <m/>
    <n v="1163.9010000000001"/>
    <n v="0"/>
    <m/>
  </r>
  <r>
    <x v="29"/>
    <d v="2026-07-30T00:00:00"/>
    <x v="6"/>
    <s v="GILBERTO DE LOS REYES REYES "/>
    <n v="71966600513"/>
    <s v="RERG660507HCSYYL08"/>
    <n v="23232244"/>
    <n v="5219642053281"/>
    <x v="0"/>
    <n v="10636.53"/>
    <m/>
    <n v="3190.9590000000003"/>
    <n v="3190.9590000000003"/>
    <m/>
  </r>
  <r>
    <x v="29"/>
    <d v="2026-07-30T00:00:00"/>
    <x v="26"/>
    <s v="ARMANDO RAYA ARAIZA"/>
    <n v="12766300409"/>
    <s v="RAAA630915HGTYRR00"/>
    <n v="23228472"/>
    <n v="5214775620436"/>
    <x v="2"/>
    <n v="9504.7000000000007"/>
    <n v="2748.95"/>
    <n v="2851.4100000000003"/>
    <n v="102.46000000000049"/>
    <d v="2027-03-01T00:00:00"/>
  </r>
  <r>
    <x v="29"/>
    <d v="2026-07-29T00:00:00"/>
    <x v="14"/>
    <s v="SIXTO AMIGON TAPIA"/>
    <n v="10806170055"/>
    <s v="AITS610806HPLMPX00"/>
    <n v="23216322"/>
    <n v="5212431140510"/>
    <x v="2"/>
    <n v="13693.59"/>
    <n v="3961.88"/>
    <n v="4108.0770000000002"/>
    <n v="146.19700000000012"/>
    <d v="2027-12-01T00:00:00"/>
  </r>
  <r>
    <x v="29"/>
    <d v="2026-07-29T00:00:00"/>
    <x v="14"/>
    <s v="MARIA ERNESTINA TORRES PEREZ"/>
    <m/>
    <s v="TOPE570318MSPRRR02"/>
    <n v="23217966"/>
    <n v="5214444574585"/>
    <x v="1"/>
    <n v="4199.87"/>
    <n v="848"/>
    <n v="1259.961"/>
    <n v="-821.10999999999967"/>
    <m/>
  </r>
  <r>
    <x v="29"/>
    <d v="2026-07-30T00:00:00"/>
    <x v="26"/>
    <s v="JOSE REFUGIO FRAYRE MEJIA"/>
    <n v="31937215346"/>
    <s v="FAMR720219HDGRJF07"/>
    <n v="23231928"/>
    <n v="5216181545548"/>
    <x v="1"/>
    <n v="2790.78"/>
    <n v="672"/>
    <n v="837.23400000000004"/>
    <n v="-672"/>
    <m/>
  </r>
  <r>
    <x v="29"/>
    <d v="2026-07-28T00:00:00"/>
    <x v="43"/>
    <s v="Jose Rafael García Laguna"/>
    <m/>
    <s v="GALR610506HDFRGF04"/>
    <n v="23186944"/>
    <n v="5215652001299"/>
    <x v="2"/>
    <n v="7640.52"/>
    <n v="2197.5700000000002"/>
    <n v="2292.1559999999999"/>
    <n v="94.585999999999785"/>
    <d v="2027-01-01T00:00:00"/>
  </r>
  <r>
    <x v="29"/>
    <d v="2026-07-30T00:00:00"/>
    <x v="26"/>
    <s v="JOSE GABRIEL BARRETO SOLIS"/>
    <n v="75936201468"/>
    <s v="BASG620815HDFRLB01"/>
    <n v="23224972"/>
    <n v="5215540130398"/>
    <x v="2"/>
    <n v="9081.52"/>
    <n v="2521.35"/>
    <n v="2724.4560000000001"/>
    <n v="203.10600000000022"/>
    <d v="2027-01-01T00:00:00"/>
  </r>
  <r>
    <x v="29"/>
    <d v="2026-07-29T00:00:00"/>
    <x v="37"/>
    <s v="PEDRO VARELA RAMIREZ"/>
    <s v="07846300981"/>
    <m/>
    <n v="23232876"/>
    <n v="5214776718047"/>
    <x v="9"/>
    <n v="8078.05"/>
    <n v="2208.21"/>
    <n v="2423.415"/>
    <n v="215.20499999999993"/>
    <d v="2018-05-01T00:00:00"/>
  </r>
  <r>
    <x v="29"/>
    <d v="2026-07-30T00:00:00"/>
    <x v="36"/>
    <s v="Laura Elena Soberanis Gamboa"/>
    <s v="85721304732"/>
    <s v="SOGL681114MYNBMR09"/>
    <n v="23232832"/>
    <n v="9994946826"/>
    <x v="2"/>
    <n v="7913.78"/>
    <n v="2373.9"/>
    <n v="2374.134"/>
    <n v="0.2339999999999236"/>
    <d v="2027-03-01T00:00:00"/>
  </r>
  <r>
    <x v="29"/>
    <d v="2026-07-27T00:00:00"/>
    <x v="28"/>
    <s v="RIGOBERTO ESQUEDA LOPEZ"/>
    <m/>
    <s v="EULR630128HNTSPG05"/>
    <n v="23129174"/>
    <n v="5213112350669"/>
    <x v="2"/>
    <n v="9081.52"/>
    <n v="2617.9299999999998"/>
    <n v="2724.4560000000001"/>
    <n v="106.52600000000029"/>
    <d v="2027-05-01T00:00:00"/>
  </r>
  <r>
    <x v="29"/>
    <d v="2026-07-30T00:00:00"/>
    <x v="6"/>
    <s v="ALEJANDRO MONDRAGON ESPANTA "/>
    <n v="54806187511"/>
    <s v="MOEA620313HJCNSL00"/>
    <n v="23231480"/>
    <n v="5213321698264"/>
    <x v="0"/>
    <n v="10636.54"/>
    <m/>
    <n v="3190.962"/>
    <n v="3190.962"/>
    <m/>
  </r>
  <r>
    <x v="29"/>
    <d v="2026-07-30T00:00:00"/>
    <x v="37"/>
    <s v="ERNESTO ACEVES SANTILLAN"/>
    <s v="04865923165"/>
    <s v="AESE590521HDFCNR04"/>
    <n v="23234676"/>
    <n v="5215551872942"/>
    <x v="2"/>
    <n v="6460.14"/>
    <n v="1869"/>
    <n v="1938.0419999999999"/>
    <n v="69.041999999999916"/>
    <d v="2027-04-01T00:00:00"/>
  </r>
  <r>
    <x v="29"/>
    <d v="2026-07-30T00:00:00"/>
    <x v="26"/>
    <s v="CARLOS CORONADO BRIONES"/>
    <n v="43887146751"/>
    <s v="COBC710713HNLRRR09"/>
    <n v="23225216"/>
    <n v="5218148821454"/>
    <x v="2"/>
    <n v="8793.09"/>
    <n v="2634.68"/>
    <n v="2637.9270000000001"/>
    <n v="3.2470000000002983"/>
    <d v="2028-03-01T00:00:00"/>
  </r>
  <r>
    <x v="29"/>
    <d v="2026-07-30T00:00:00"/>
    <x v="38"/>
    <s v="SALOME ARMENTA CAMACHO"/>
    <m/>
    <s v="HEOJ530624MSRRRN02"/>
    <n v="23234718"/>
    <n v="6531050227"/>
    <x v="1"/>
    <n v="3469.89"/>
    <n v="848"/>
    <n v="1040.9669999999999"/>
    <n v="-848"/>
    <m/>
  </r>
  <r>
    <x v="29"/>
    <d v="2026-07-30T00:00:00"/>
    <x v="6"/>
    <s v="RANDELL CAÑEZ SAUSTEGUI"/>
    <s v="_x000a_2467511275_x000a_"/>
    <s v="CASR510808HSRXSN05 "/>
    <n v="23229522"/>
    <n v="5216623412420"/>
    <x v="1"/>
    <n v="4035.69"/>
    <n v="879"/>
    <n v="1210.7069999999999"/>
    <n v="-879"/>
    <m/>
  </r>
  <r>
    <x v="29"/>
    <d v="2026-07-30T00:00:00"/>
    <x v="36"/>
    <s v="Antonio Victorio Reyes"/>
    <m/>
    <s v="VIRA560418HGTCYN09"/>
    <n v="23234674"/>
    <n v="5564989791"/>
    <x v="1"/>
    <n v="4013.59"/>
    <n v="848"/>
    <n v="1204.077"/>
    <n v="-848"/>
    <m/>
  </r>
  <r>
    <x v="29"/>
    <d v="2026-07-30T00:00:00"/>
    <x v="20"/>
    <s v="Joel"/>
    <m/>
    <s v="DEBJ590513HDFLSL07"/>
    <n v="23235078"/>
    <n v="52215521723330"/>
    <x v="9"/>
    <n v="6702.98"/>
    <n v="1766.16"/>
    <n v="2010.8939999999998"/>
    <n v="244.7339999999997"/>
    <d v="2025-02-01T00:00:00"/>
  </r>
  <r>
    <x v="29"/>
    <d v="2026-07-30T00:00:00"/>
    <x v="41"/>
    <s v="SERGIO CAMACHO NUÑEZ"/>
    <m/>
    <s v="CANS641016HNTMXR02"/>
    <n v="23235344"/>
    <n v="5216691545078"/>
    <x v="0"/>
    <n v="13317.03"/>
    <m/>
    <n v="3995.1089999999999"/>
    <n v="3995.1089999999999"/>
    <m/>
  </r>
  <r>
    <x v="29"/>
    <d v="2026-07-30T00:00:00"/>
    <x v="0"/>
    <s v="MARINA NERI CUENCA"/>
    <n v="62674710942"/>
    <s v="NECM650112MPLRNR08"/>
    <n v="23235392"/>
    <n v="5212441054556"/>
    <x v="1"/>
    <n v="4332.32"/>
    <m/>
    <n v="1299.6959999999999"/>
    <n v="159.34000000000015"/>
    <m/>
  </r>
  <r>
    <x v="29"/>
    <d v="2026-07-30T00:00:00"/>
    <x v="32"/>
    <s v="JUAN EDUARDO MAYA SALDAÑA"/>
    <n v="49967946739"/>
    <s v="MASJ790826HTSYLN00"/>
    <n v="2"/>
    <n v="8127634784"/>
    <x v="1"/>
    <n v="3153.27"/>
    <n v="788"/>
    <n v="945.98099999999999"/>
    <n v="-788"/>
    <m/>
  </r>
  <r>
    <x v="29"/>
    <d v="2026-07-23T00:00:00"/>
    <x v="10"/>
    <s v="MARTIN GUAJARDO VILLA"/>
    <n v="43956535256"/>
    <s v="GUVM650928HDGJLR07"/>
    <n v="23007674"/>
    <n v="5218131313024"/>
    <x v="0"/>
    <n v="10636.54"/>
    <m/>
    <n v="3190.962"/>
    <n v="3190.962"/>
    <m/>
  </r>
  <r>
    <x v="29"/>
    <d v="2026-07-28T00:00:00"/>
    <x v="43"/>
    <s v="Isaías González Solís"/>
    <m/>
    <s v="GOSI620706HVZNLS00"/>
    <n v="23188394"/>
    <n v="5212711530004"/>
    <x v="3"/>
    <n v="9956.7900000000009"/>
    <n v="2669.6"/>
    <n v="2987.0370000000003"/>
    <n v="317.43700000000035"/>
    <d v="2028-04-01T00:00:00"/>
  </r>
  <r>
    <x v="29"/>
    <d v="2026-07-30T00:00:00"/>
    <x v="0"/>
    <s v="JAIME IBARRA DEL RIO"/>
    <s v="34796203031"/>
    <m/>
    <n v="23234404"/>
    <n v="5214921304111"/>
    <x v="0"/>
    <n v="10636.54"/>
    <m/>
    <n v="3190.962"/>
    <n v="3190.962"/>
    <m/>
  </r>
  <r>
    <x v="29"/>
    <d v="2026-07-29T00:00:00"/>
    <x v="28"/>
    <s v="ADRIAN DURAN DIMAS"/>
    <m/>
    <s v="DUDA600305HCLRMD06"/>
    <n v="23200798"/>
    <n v="5218713847590"/>
    <x v="2"/>
    <n v="5617.63"/>
    <n v="1390"/>
    <n v="1685.289"/>
    <n v="54.650000000000546"/>
    <d v="2027-08-01T00:00:00"/>
  </r>
  <r>
    <x v="29"/>
    <d v="2026-07-29T00:00:00"/>
    <x v="26"/>
    <s v="MARISEL APIZAÑA HERNANDEZ"/>
    <n v="31906840264"/>
    <s v="PIHM710105MDGZRR08"/>
    <n v="23215604"/>
    <n v="5216644433638"/>
    <x v="9"/>
    <n v="6405.06"/>
    <n v="1169.8900000000001"/>
    <n v="1921.518"/>
    <n v="751.62799999999993"/>
    <d v="2025-07-01T00:00:00"/>
  </r>
  <r>
    <x v="29"/>
    <d v="2026-07-28T00:00:00"/>
    <x v="43"/>
    <s v="Hermelinda Guzmán Jimenez"/>
    <m/>
    <s v="GUJH651011MCSZMR00"/>
    <n v="23188848"/>
    <n v="5219192045777"/>
    <x v="5"/>
    <m/>
    <m/>
    <n v="0"/>
    <n v="0"/>
    <m/>
  </r>
  <r>
    <x v="29"/>
    <d v="2026-07-30T00:00:00"/>
    <x v="41"/>
    <s v="OLGA MORALES GARCIA"/>
    <n v="62795206333"/>
    <s v="MOGO580101MPLRRL05"/>
    <n v="23236184"/>
    <n v="5212381782701"/>
    <x v="2"/>
    <n v="6710.84"/>
    <n v="1941.1"/>
    <n v="2013.252"/>
    <n v="72.152000000000044"/>
    <d v="2027-02-01T00:00:00"/>
  </r>
  <r>
    <x v="29"/>
    <d v="2026-07-30T00:00:00"/>
    <x v="28"/>
    <s v="LUIS ENRIQUE JIMENEZ GARCIA"/>
    <s v="06786081874"/>
    <s v="JIGL600904HDFMRS06"/>
    <n v="23217292"/>
    <n v="5215576647073"/>
    <x v="5"/>
    <m/>
    <m/>
    <n v="0"/>
    <n v="0"/>
    <m/>
  </r>
  <r>
    <x v="29"/>
    <d v="2026-07-30T00:00:00"/>
    <x v="6"/>
    <s v="JUAN TRUJANO MARTINEZ "/>
    <n v="67896922597"/>
    <s v="TUMJ691014HASRRN06"/>
    <n v="23226948"/>
    <n v="5212741101360"/>
    <x v="2"/>
    <n v="49783.8"/>
    <n v="14933.22"/>
    <n v="14935.14"/>
    <n v="1.9200000000000728"/>
    <d v="2026-09-01T00:00:00"/>
  </r>
  <r>
    <x v="29"/>
    <d v="2026-07-30T00:00:00"/>
    <x v="29"/>
    <s v="Irma esther guajardo Uribe"/>
    <n v="32786121362"/>
    <m/>
    <n v="23234104"/>
    <n v="5218787889191"/>
    <x v="0"/>
    <n v="59177.45"/>
    <n v="3896"/>
    <n v="17753.234999999997"/>
    <n v="13857.234999999997"/>
    <m/>
  </r>
  <r>
    <x v="29"/>
    <d v="2026-07-30T00:00:00"/>
    <x v="11"/>
    <s v="HUMBERTO ISLAS VELAZQUEZ "/>
    <s v="43886510817"/>
    <m/>
    <n v="23236760"/>
    <n v="5218117563069"/>
    <x v="2"/>
    <n v="9760.32"/>
    <n v="2823.01"/>
    <n v="2928.096"/>
    <n v="105.08599999999979"/>
    <d v="2027-06-01T00:00:00"/>
  </r>
  <r>
    <x v="29"/>
    <d v="2026-07-27T00:00:00"/>
    <x v="36"/>
    <s v="Silvia Guadalupe López coronado"/>
    <m/>
    <s v="LOCS641103MSRPRL02"/>
    <n v="23159768"/>
    <n v="6222276223"/>
    <x v="2"/>
    <n v="9760.32"/>
    <n v="2806.88"/>
    <n v="2928.096"/>
    <n v="121.21599999999989"/>
    <d v="2027-08-01T00:00:00"/>
  </r>
  <r>
    <x v="29"/>
    <d v="2026-07-30T00:00:00"/>
    <x v="6"/>
    <s v="PABLO GARCIA HERNANDEZ"/>
    <n v="62735623555"/>
    <s v="GAHP560130HVZRRB00"/>
    <n v="23228556"/>
    <n v="5212213754516"/>
    <x v="2"/>
    <n v="9760.32"/>
    <n v="2823.01"/>
    <n v="2928.096"/>
    <n v="105.08599999999979"/>
    <d v="2027-06-01T00:00:00"/>
  </r>
  <r>
    <x v="29"/>
    <d v="2026-07-30T00:00:00"/>
    <x v="38"/>
    <s v="RAFAEL ESCOBAR OJEDA"/>
    <s v="01715527287"/>
    <m/>
    <n v="23236842"/>
    <n v="7223731378"/>
    <x v="1"/>
    <n v="4035.69"/>
    <n v="848"/>
    <n v="1210.7069999999999"/>
    <n v="-848"/>
    <m/>
  </r>
  <r>
    <x v="29"/>
    <d v="2026-07-30T00:00:00"/>
    <x v="41"/>
    <s v="LAURA ELENA MARTINEZ MIRANDA"/>
    <s v="21887044432"/>
    <s v="MAML810411MDGRRR00"/>
    <n v="23236708"/>
    <n v="5216636579990"/>
    <x v="2"/>
    <n v="7706.52"/>
    <n v="2514.4699999999998"/>
    <n v="2311.9560000000001"/>
    <n v="-202.51399999999967"/>
    <d v="2027-12-01T00:00:00"/>
  </r>
  <r>
    <x v="29"/>
    <d v="2026-07-30T00:00:00"/>
    <x v="31"/>
    <s v="JESUS MUÑOZ GARCIA"/>
    <n v="32745733850"/>
    <s v="MUGJ570220HCLXRS08"/>
    <n v="2"/>
    <n v="8781430425"/>
    <x v="1"/>
    <n v="4199.87"/>
    <n v="221.25"/>
    <n v="1259.961"/>
    <n v="-194.35999999999967"/>
    <m/>
  </r>
  <r>
    <x v="29"/>
    <d v="2026-07-29T00:00:00"/>
    <x v="10"/>
    <s v="GABRIEL RODRIGUEZ ROMERO"/>
    <m/>
    <s v="RORG630331HSRDMB05"/>
    <n v="23205976"/>
    <n v="5216453408990"/>
    <x v="0"/>
    <n v="9081.52"/>
    <m/>
    <n v="2724.4560000000001"/>
    <n v="2724.4560000000001"/>
    <m/>
  </r>
  <r>
    <x v="29"/>
    <d v="2026-07-30T00:00:00"/>
    <x v="0"/>
    <s v="JOSE ALFREDO VARGAS PRADO"/>
    <n v="20917340570"/>
    <s v="VAPA750222HDFRRL03"/>
    <n v="23237290"/>
    <n v="5215551762174"/>
    <x v="2"/>
    <n v="5814.14"/>
    <n v="1674.14"/>
    <n v="1744.242"/>
    <n v="-32.979999999999336"/>
    <d v="2027-03-01T00:00:00"/>
  </r>
  <r>
    <x v="29"/>
    <d v="2026-07-30T00:00:00"/>
    <x v="11"/>
    <s v="PABLO COMUNIDAD TORAL "/>
    <m/>
    <s v="COTP610607HPLMRB04"/>
    <n v="23237308"/>
    <n v="5215534932343"/>
    <x v="9"/>
    <n v="14165.37"/>
    <n v="4080.13"/>
    <n v="4249.6109999999999"/>
    <n v="169.48099999999977"/>
    <d v="2026-03-01T00:00:00"/>
  </r>
  <r>
    <x v="29"/>
    <d v="2026-07-30T00:00:00"/>
    <x v="32"/>
    <s v="JOSEFINA DIAZ ESTRADA"/>
    <s v="34956501026"/>
    <s v="DIEJ650727MZSZSS07"/>
    <n v="2"/>
    <n v="4928696916"/>
    <x v="1"/>
    <n v="4813.6900000000005"/>
    <n v="848"/>
    <n v="1444.1070000000002"/>
    <n v="-207.28999999999905"/>
    <m/>
  </r>
  <r>
    <x v="29"/>
    <d v="2026-07-30T00:00:00"/>
    <x v="28"/>
    <s v="FELIPE AGUILAR CHIU"/>
    <m/>
    <s v="AUCF551218HDFGHL07"/>
    <n v="23228904"/>
    <n v="5215537198440"/>
    <x v="2"/>
    <n v="5188.4399999999996"/>
    <n v="935"/>
    <n v="1556.5319999999999"/>
    <n v="80.460000000000036"/>
    <d v="2027-01-01T00:00:00"/>
  </r>
  <r>
    <x v="29"/>
    <d v="2026-07-28T00:00:00"/>
    <x v="10"/>
    <s v="CAROLINA NUÑEZ GARCIA"/>
    <n v="49887221478"/>
    <s v="NUGC721002MVZXRR07"/>
    <n v="23168950"/>
    <n v="5218994677223"/>
    <x v="2"/>
    <n v="8180.85"/>
    <n v="2356"/>
    <n v="2454.2550000000001"/>
    <n v="98.255000000000109"/>
    <d v="2027-04-01T00:00:00"/>
  </r>
  <r>
    <x v="29"/>
    <d v="2026-07-30T00:00:00"/>
    <x v="35"/>
    <s v="Francisco valencia cruz"/>
    <m/>
    <s v="VACF551004HMCLRR01"/>
    <n v="23238214"/>
    <n v="5648875388"/>
    <x v="3"/>
    <n v="4959.26"/>
    <m/>
    <n v="1487.778"/>
    <n v="786.28000000000065"/>
    <m/>
  </r>
  <r>
    <x v="29"/>
    <d v="2026-07-30T00:00:00"/>
    <x v="29"/>
    <s v="Jose Antonio lucero"/>
    <n v="24846534139"/>
    <m/>
    <n v="23235902"/>
    <n v="5216642637255"/>
    <x v="2"/>
    <n v="12575.09"/>
    <n v="3638.24"/>
    <n v="3772.527"/>
    <n v="134.28700000000026"/>
    <d v="2028-01-01T00:00:00"/>
  </r>
  <r>
    <x v="29"/>
    <d v="2026-07-30T00:00:00"/>
    <x v="32"/>
    <s v="RAMON TALAVERA ANTUNEZ"/>
    <n v="88816007087"/>
    <s v="TAAR600828HDGLNM00"/>
    <n v="2"/>
    <n v="5540417388"/>
    <x v="2"/>
    <n v="10150.33"/>
    <n v="2936.73"/>
    <n v="3045.0989999999997"/>
    <n v="108.36899999999969"/>
    <d v="2026-08-01T00:00:00"/>
  </r>
  <r>
    <x v="29"/>
    <d v="2026-07-30T00:00:00"/>
    <x v="20"/>
    <s v="Jorge Zapata Pedraaz"/>
    <n v="31796220692"/>
    <m/>
    <n v="23234480"/>
    <n v="5218714032294"/>
    <x v="2"/>
    <n v="9068.26"/>
    <n v="2717.86"/>
    <n v="2720.4780000000001"/>
    <n v="2.6179999999999382"/>
    <d v="2028-05-01T00:00:00"/>
  </r>
  <r>
    <x v="29"/>
    <d v="2026-07-30T00:00:00"/>
    <x v="37"/>
    <s v="EUSEBIA LEMUS FRANCO"/>
    <n v="65937051988"/>
    <s v="LEFE690304MPLMRS01"/>
    <n v="23235582"/>
    <n v="5217641139500"/>
    <x v="6"/>
    <n v="6714.95"/>
    <n v="1650.35"/>
    <n v="2014.4849999999999"/>
    <n v="364.13499999999999"/>
    <d v="2024-06-01T00:00:00"/>
  </r>
  <r>
    <x v="29"/>
    <d v="2026-07-30T00:00:00"/>
    <x v="42"/>
    <s v="SAMUEL _x0009_RESENDIZ GARCIA"/>
    <m/>
    <s v="REGS630604HSPSRM04"/>
    <n v="23237462"/>
    <n v="5532298728"/>
    <x v="0"/>
    <n v="9760.32"/>
    <m/>
    <n v="2928.096"/>
    <n v="2928.096"/>
    <m/>
  </r>
  <r>
    <x v="29"/>
    <d v="2026-07-30T00:00:00"/>
    <x v="0"/>
    <s v="JESUS"/>
    <n v="32856305399"/>
    <m/>
    <n v="23239230"/>
    <n v="5218712319455"/>
    <x v="0"/>
    <n v="40497.39"/>
    <m/>
    <n v="12149.216999999999"/>
    <n v="12149.216999999999"/>
    <m/>
  </r>
  <r>
    <x v="29"/>
    <d v="2026-07-30T00:00:00"/>
    <x v="29"/>
    <s v="JORGE AGUILAR AGUILAR HUERTA"/>
    <m/>
    <s v="AUHJ550220HGTGRR05"/>
    <n v="23237138"/>
    <n v="5214731626176"/>
    <x v="3"/>
    <n v="5260.8"/>
    <m/>
    <n v="1578.24"/>
    <n v="1087.8200000000006"/>
    <m/>
  </r>
  <r>
    <x v="29"/>
    <d v="2026-07-30T00:00:00"/>
    <x v="39"/>
    <s v="Minerva Jimenez Hernandez"/>
    <m/>
    <s v="JIHM530426MOCMRN09"/>
    <n v="23238558"/>
    <n v="2871218138"/>
    <x v="1"/>
    <n v="4813.6899999999996"/>
    <n v="848"/>
    <n v="1444.1069999999997"/>
    <n v="-207.28999999999996"/>
    <m/>
  </r>
  <r>
    <x v="29"/>
    <d v="2026-07-30T00:00:00"/>
    <x v="29"/>
    <s v="EDILBERTO LUNA SANTOS"/>
    <m/>
    <s v="LUSE660303HZSNND01"/>
    <n v="23233530"/>
    <n v="5214931553029"/>
    <x v="0"/>
    <n v="32941.550000000003"/>
    <m/>
    <n v="9882.4650000000001"/>
    <n v="9882.4650000000001"/>
    <m/>
  </r>
  <r>
    <x v="29"/>
    <d v="2026-07-30T00:00:00"/>
    <x v="37"/>
    <s v="ISIDRO GUTIERREZ"/>
    <n v="28886814624"/>
    <m/>
    <n v="23238404"/>
    <n v="5215575664849"/>
    <x v="2"/>
    <n v="4637.67"/>
    <n v="447.41"/>
    <n v="1391.3009999999999"/>
    <n v="17.280000000000484"/>
    <d v="2027-11-01T00:00:00"/>
  </r>
  <r>
    <x v="29"/>
    <d v="2026-07-30T00:00:00"/>
    <x v="42"/>
    <s v="Zaida Guadalupe Berrelleza Escobar"/>
    <n v="23786111254"/>
    <m/>
    <n v="23239418"/>
    <n v="5214448871688"/>
    <x v="2"/>
    <n v="9760.32"/>
    <n v="2928.1"/>
    <n v="2928.096"/>
    <n v="-3.9999999999054126E-3"/>
    <d v="2028-05-01T00:00:00"/>
  </r>
  <r>
    <x v="29"/>
    <d v="2026-07-30T00:00:00"/>
    <x v="30"/>
    <s v="VICTOR DELINO OCHOA"/>
    <m/>
    <s v="DEOV550226HCMLCC06"/>
    <n v="22916368"/>
    <n v="5213132623403"/>
    <x v="3"/>
    <n v="5639.07"/>
    <n v="848"/>
    <n v="1691.7209999999998"/>
    <n v="618.09000000000015"/>
    <m/>
  </r>
  <r>
    <x v="29"/>
    <d v="2026-07-30T00:00:00"/>
    <x v="42"/>
    <s v="RAMON SOSA CHAVEZ"/>
    <m/>
    <s v="SOCR621202HMCSHM08"/>
    <n v="23239184"/>
    <n v="5219999933662"/>
    <x v="2"/>
    <n v="7920.51"/>
    <n v="2275.54"/>
    <n v="2376.1529999999998"/>
    <n v="100.61299999999983"/>
    <d v="2027-11-01T00:00:00"/>
  </r>
  <r>
    <x v="29"/>
    <d v="2026-07-29T00:00:00"/>
    <x v="28"/>
    <s v="ANTONIA CERROQUE MURO"/>
    <s v="32735430665_x000a_"/>
    <s v="CEMA550127MDGRRN01"/>
    <n v="23214660"/>
    <n v="5218715128218"/>
    <x v="1"/>
    <n v="3494.57"/>
    <n v="842"/>
    <n v="1048.3710000000001"/>
    <n v="-842"/>
    <m/>
  </r>
  <r>
    <x v="29"/>
    <d v="2026-07-30T00:00:00"/>
    <x v="32"/>
    <s v="EUSEBIO GONZALEZ JIMENEZ"/>
    <s v="04826270136"/>
    <s v="GOJE620712HJCNMS07"/>
    <n v="2"/>
    <s v="33 5086 8370"/>
    <x v="2"/>
    <n v="9760.32"/>
    <n v="2809.95"/>
    <n v="2928.096"/>
    <n v="118.14600000000019"/>
    <d v="2028-01-01T00:00:00"/>
  </r>
  <r>
    <x v="29"/>
    <d v="2026-07-29T00:00:00"/>
    <x v="14"/>
    <s v="MARGARITO HERNANDEZ PACHECANO"/>
    <n v="43796408045"/>
    <m/>
    <n v="23215242"/>
    <n v="5218131113139"/>
    <x v="2"/>
    <n v="9760.32"/>
    <n v="2800.52"/>
    <n v="2928.096"/>
    <n v="127.57600000000002"/>
    <d v="2027-10-01T00:00:00"/>
  </r>
  <r>
    <x v="29"/>
    <d v="2026-07-30T00:00:00"/>
    <x v="39"/>
    <s v="Jaime Betancourt Guzman"/>
    <m/>
    <s v="BEGJ580524HCLTZM02"/>
    <n v="23240048"/>
    <n v="8717967188"/>
    <x v="1"/>
    <n v="4342.43"/>
    <m/>
    <n v="1302.729"/>
    <n v="169.45000000000073"/>
    <m/>
  </r>
  <r>
    <x v="29"/>
    <d v="2026-07-30T00:00:00"/>
    <x v="38"/>
    <s v="EULOGIO POBLANO HERNANDEZ"/>
    <m/>
    <s v="POHE620318HZSBRL08"/>
    <n v="23239170"/>
    <n v="6144634763"/>
    <x v="9"/>
    <n v="7920.51"/>
    <n v="2195.2800000000002"/>
    <n v="2376.1529999999998"/>
    <n v="180.87299999999959"/>
    <d v="2026-07-01T00:00:00"/>
  </r>
  <r>
    <x v="29"/>
    <d v="2026-07-30T00:00:00"/>
    <x v="31"/>
    <s v="ARMANDO TREJO PERALES"/>
    <n v="33876278152"/>
    <s v="TEPA621010HCHRRR06"/>
    <n v="2"/>
    <n v="6124012116"/>
    <x v="2"/>
    <n v="32188.91"/>
    <n v="9626.77"/>
    <n v="9656.6729999999989"/>
    <n v="29.902999999998428"/>
    <d v="2028-01-01T00:00:00"/>
  </r>
  <r>
    <x v="29"/>
    <d v="2026-07-30T00:00:00"/>
    <x v="6"/>
    <s v="MARIA ELIZABETH GARCIA MARTINEZ "/>
    <n v="32856575371"/>
    <s v="GAME650413MCLRRL09"/>
    <n v="23229200"/>
    <n v="5218446684595"/>
    <x v="0"/>
    <n v="9760.32"/>
    <m/>
    <n v="2928.096"/>
    <n v="2928.096"/>
    <m/>
  </r>
  <r>
    <x v="29"/>
    <d v="2026-07-30T00:00:00"/>
    <x v="11"/>
    <s v="Raúl Carrillo Sánchez"/>
    <s v="83816428979_x000a_"/>
    <m/>
    <n v="23239280"/>
    <n v="5219323278237"/>
    <x v="2"/>
    <n v="9081.52"/>
    <n v="2627"/>
    <n v="2724.4560000000001"/>
    <n v="97.456000000000131"/>
    <d v="2027-08-01T00:00:00"/>
  </r>
  <r>
    <x v="29"/>
    <d v="2026-07-26T00:00:00"/>
    <x v="20"/>
    <s v="IMELDA GARCIA CORTES "/>
    <n v="65866828745"/>
    <s v="GACI680513MVZRRM06"/>
    <n v="23121910"/>
    <n v="5212295501673"/>
    <x v="5"/>
    <m/>
    <m/>
    <n v="0"/>
    <n v="0"/>
    <m/>
  </r>
  <r>
    <x v="29"/>
    <d v="2026-07-30T00:00:00"/>
    <x v="35"/>
    <s v="moises tovar delgado"/>
    <n v="55776002994"/>
    <m/>
    <n v="23235502"/>
    <n v="6648177007"/>
    <x v="4"/>
    <m/>
    <m/>
    <n v="0"/>
    <n v="0"/>
    <m/>
  </r>
  <r>
    <x v="29"/>
    <d v="2026-07-30T00:00:00"/>
    <x v="36"/>
    <s v="MIGUEL ANGEL MONTES BELTRAN "/>
    <m/>
    <s v="MOBM800901HCLNLG00"/>
    <n v="23233164"/>
    <n v="8611041624"/>
    <x v="1"/>
    <n v="2410.58"/>
    <n v="581"/>
    <n v="723.17399999999998"/>
    <n v="-581"/>
    <m/>
  </r>
  <r>
    <x v="29"/>
    <d v="2026-07-26T00:00:00"/>
    <x v="39"/>
    <s v="Maria Elodia Salazar Tamayo"/>
    <m/>
    <s v="SATE580424MSRLML01"/>
    <n v="23116820"/>
    <n v="6861757231"/>
    <x v="1"/>
    <n v="4342.43"/>
    <n v="848"/>
    <n v="1302.729"/>
    <n v="-678.54999999999927"/>
    <m/>
  </r>
  <r>
    <x v="29"/>
    <d v="2026-07-30T00:00:00"/>
    <x v="29"/>
    <s v="SILVIA ANGUIANO CHAIREZ"/>
    <m/>
    <s v="AUCS550327MCLNHL03"/>
    <n v="23240818"/>
    <n v="5218714646665"/>
    <x v="4"/>
    <m/>
    <m/>
    <n v="0"/>
    <n v="0"/>
    <m/>
  </r>
  <r>
    <x v="30"/>
    <d v="2026-07-30T00:00:00"/>
    <x v="37"/>
    <s v="JOSE AGUILAR GARCIA"/>
    <n v="39956201972"/>
    <s v="AUGJ601020HGTGRS09"/>
    <n v="23238918"/>
    <n v="5215545749654"/>
    <x v="3"/>
    <n v="4554.84"/>
    <m/>
    <n v="1366.452"/>
    <n v="381.86000000000058"/>
    <m/>
  </r>
  <r>
    <x v="30"/>
    <d v="2026-07-31T00:00:00"/>
    <x v="31"/>
    <s v="MA. DE LA LUZ ENRIQUEZ BUSTAMANTE"/>
    <n v="32826404645"/>
    <s v="EIBL640108MDGNSZ18"/>
    <n v="2"/>
    <s v="871 336 5291"/>
    <x v="6"/>
    <n v="9081.52"/>
    <n v="2515.4699999999998"/>
    <n v="2724.4560000000001"/>
    <n v="208.98600000000033"/>
    <d v="2026-08-01T00:00:00"/>
  </r>
  <r>
    <x v="30"/>
    <d v="2026-07-31T00:00:00"/>
    <x v="32"/>
    <s v="ELSA MIREYA HERNANDEZ ZAPATA"/>
    <n v="43776013864"/>
    <s v="HEZE600725MNLRPL04"/>
    <n v="2"/>
    <s v=" 81 2368 2395"/>
    <x v="7"/>
    <n v="7116.73"/>
    <n v="2058.8200000000002"/>
    <n v="2135.0189999999998"/>
    <n v="76.198999999999614"/>
    <d v="2026-04-01T00:00:00"/>
  </r>
  <r>
    <x v="30"/>
    <d v="2026-07-30T00:00:00"/>
    <x v="43"/>
    <s v="Cesar Quezada Torres"/>
    <m/>
    <s v="QUTC720813HDFZRS02"/>
    <n v="23241776"/>
    <n v="5215572002123"/>
    <x v="5"/>
    <m/>
    <m/>
    <n v="0"/>
    <n v="0"/>
    <m/>
  </r>
  <r>
    <x v="30"/>
    <d v="2026-07-30T00:00:00"/>
    <x v="43"/>
    <s v="Juan Manuel Echeverria Camelo"/>
    <s v="84694912746"/>
    <s v="EECJ490208HYNCMN00"/>
    <n v="23241858"/>
    <n v="5219991401686"/>
    <x v="2"/>
    <n v="5385.7"/>
    <n v="1212.71"/>
    <n v="1615.7099999999998"/>
    <n v="1.0000000000218279E-2"/>
    <d v="2028-07-01T00:00:00"/>
  </r>
  <r>
    <x v="30"/>
    <d v="2026-07-30T00:00:00"/>
    <x v="43"/>
    <s v="Manuel Espinosa Roa"/>
    <s v="89856725034_x000a_"/>
    <s v="EIRM670525HDFSXN02"/>
    <n v="23241996"/>
    <n v="5215539549357"/>
    <x v="5"/>
    <m/>
    <m/>
    <n v="0"/>
    <n v="0"/>
    <m/>
  </r>
  <r>
    <x v="30"/>
    <d v="2026-07-30T00:00:00"/>
    <x v="43"/>
    <m/>
    <s v="43816496822"/>
    <m/>
    <n v="23242284"/>
    <n v="5218131079813"/>
    <x v="2"/>
    <n v="9760.32"/>
    <n v="2925.55"/>
    <n v="2928.096"/>
    <n v="2.5459999999998217"/>
    <d v="2027-10-01T00:00:00"/>
  </r>
  <r>
    <x v="30"/>
    <d v="2026-07-30T00:00:00"/>
    <x v="38"/>
    <s v="MA. CONCEPCION PEREZ GONZALEZ"/>
    <m/>
    <s v="PEGC591115MCLRNN14"/>
    <n v="23240234"/>
    <n v="8122127031"/>
    <x v="6"/>
    <n v="11583.73"/>
    <n v="2147.14"/>
    <n v="3475.1189999999997"/>
    <n v="1327.9789999999998"/>
    <d v="2025-10-01T00:00:00"/>
  </r>
  <r>
    <x v="30"/>
    <d v="2026-07-30T00:00:00"/>
    <x v="43"/>
    <s v="María De Lourdes Escalona Rodríguez"/>
    <s v="90927347246_x000a_"/>
    <s v="EARL730705MDFSDR08"/>
    <n v="23243354"/>
    <n v="5212382018633"/>
    <x v="1"/>
    <n v="2456.0500000000002"/>
    <m/>
    <n v="736.81500000000005"/>
    <n v="0"/>
    <m/>
  </r>
  <r>
    <x v="30"/>
    <d v="2026-07-30T00:00:00"/>
    <x v="44"/>
    <s v="Humberto Arias Lopez"/>
    <m/>
    <s v="AILH620423HTCRPM04"/>
    <n v="23236642"/>
    <n v="5219932137178"/>
    <x v="6"/>
    <n v="7116.73"/>
    <n v="1975.86"/>
    <n v="2135.0189999999998"/>
    <n v="159.15899999999988"/>
    <d v="2026-08-01T00:00:00"/>
  </r>
  <r>
    <x v="30"/>
    <d v="2026-07-30T00:00:00"/>
    <x v="42"/>
    <s v="J JOSE DE LIRA MIRELES"/>
    <m/>
    <s v="LIMJ600915HZSRRS00"/>
    <n v="23241572"/>
    <n v="5214442677303"/>
    <x v="0"/>
    <n v="7920.51"/>
    <m/>
    <n v="2376.1529999999998"/>
    <n v="2376.1529999999998"/>
    <m/>
  </r>
  <r>
    <x v="30"/>
    <d v="2026-07-30T00:00:00"/>
    <x v="35"/>
    <s v="IRMA"/>
    <n v="4745643447"/>
    <s v="TOSI570112MJCRTR06"/>
    <n v="23236024"/>
    <n v="3334735045"/>
    <x v="0"/>
    <n v="18040.689999999999"/>
    <m/>
    <n v="5412.2069999999994"/>
    <n v="5412.2069999999994"/>
    <m/>
  </r>
  <r>
    <x v="30"/>
    <d v="2026-07-28T00:00:00"/>
    <x v="13"/>
    <s v="FERNANDO VALERIO HERNANDEZ"/>
    <n v="65735603188"/>
    <s v="VAHF561212HVZLRR00"/>
    <n v="23171100"/>
    <n v="5212299161274"/>
    <x v="9"/>
    <n v="7920.51"/>
    <n v="2081.56"/>
    <n v="2376.1529999999998"/>
    <n v="294.59299999999985"/>
    <d v="2025-08-01T00:00:00"/>
  </r>
  <r>
    <x v="30"/>
    <d v="2026-07-30T00:00:00"/>
    <x v="11"/>
    <s v="martin bolañoz gonzalez "/>
    <s v="9947655004"/>
    <s v="BOGM751210HTSLNR03"/>
    <n v="23235900"/>
    <n v="5218333323220"/>
    <x v="7"/>
    <n v="4336.66"/>
    <n v="355"/>
    <n v="1300.9979999999998"/>
    <n v="-191.31999999999971"/>
    <m/>
  </r>
  <r>
    <x v="30"/>
    <d v="2026-07-31T00:00:00"/>
    <x v="14"/>
    <s v="FERNANDO JARQUIN ORTIZ"/>
    <m/>
    <s v="JAOF491221HOCRRR08"/>
    <n v="23252788"/>
    <n v="5215537002106"/>
    <x v="9"/>
    <n v="16609.87"/>
    <n v="4611.4799999999996"/>
    <n v="4982.9609999999993"/>
    <n v="371.48099999999977"/>
    <d v="2026-04-01T00:00:00"/>
  </r>
  <r>
    <x v="30"/>
    <d v="2026-07-30T00:00:00"/>
    <x v="14"/>
    <s v="MA DEL ROSARIO CHAVEZ RIVAS"/>
    <n v="51897236611"/>
    <m/>
    <n v="23244992"/>
    <n v="5214491087696"/>
    <x v="2"/>
    <n v="14420.95"/>
    <n v="4322.0200000000004"/>
    <n v="4326.2849999999999"/>
    <n v="4.2649999999994179"/>
    <d v="2028-07-01T00:00:00"/>
  </r>
  <r>
    <x v="30"/>
    <d v="2026-07-31T00:00:00"/>
    <x v="6"/>
    <s v="EDUARDO YAÑEZ MOYA"/>
    <n v="43806124202"/>
    <s v="NUME610622HNLXYD04"/>
    <n v="23253386"/>
    <n v="5218143391629"/>
    <x v="7"/>
    <n v="6262.86"/>
    <n v="1659.99"/>
    <n v="1878.8579999999997"/>
    <n v="218.86799999999971"/>
    <d v="2025-02-01T00:00:00"/>
  </r>
  <r>
    <x v="30"/>
    <d v="2026-07-31T00:00:00"/>
    <x v="26"/>
    <s v="ALEJANDRO MUÑOZ ORTEGA"/>
    <n v="1373551148"/>
    <s v="MUOA551126HDFXRL03"/>
    <n v="23255718"/>
    <n v="5217717763222"/>
    <x v="0"/>
    <n v="24674.82"/>
    <m/>
    <n v="7402.4459999999999"/>
    <n v="7402.4459999999999"/>
    <m/>
  </r>
  <r>
    <x v="30"/>
    <d v="2026-07-30T00:00:00"/>
    <x v="28"/>
    <s v="ISMAEL CANO HERNANDEZ"/>
    <s v="65785511521_x000a_"/>
    <s v="CAHI550621HVZNRS02"/>
    <n v="23218254"/>
    <n v="5212351101299"/>
    <x v="5"/>
    <m/>
    <m/>
    <n v="0"/>
    <n v="0"/>
    <m/>
  </r>
  <r>
    <x v="30"/>
    <d v="2026-07-30T00:00:00"/>
    <x v="6"/>
    <s v="MARIO PEREZ MERAZ "/>
    <n v="33826442353"/>
    <s v="PEMM640911HSLRRR07"/>
    <n v="23231846"/>
    <n v="5216453333373"/>
    <x v="2"/>
    <n v="9081.52"/>
    <n v="2637.36"/>
    <n v="2724.4560000000001"/>
    <n v="87.096000000000004"/>
    <d v="2027-03-01T00:00:00"/>
  </r>
  <r>
    <x v="30"/>
    <d v="2026-07-31T00:00:00"/>
    <x v="6"/>
    <s v="ARTURO ALDRETE MORA "/>
    <n v="54796365739"/>
    <s v="AEMA630821HJCLRR08"/>
    <n v="23253632"/>
    <n v="5213313294337"/>
    <x v="0"/>
    <n v="28060.38"/>
    <n v="3807.48"/>
    <n v="8418.1139999999996"/>
    <n v="4610.634"/>
    <d v="2026-12-01T00:00:00"/>
  </r>
  <r>
    <x v="30"/>
    <d v="2026-07-28T00:00:00"/>
    <x v="13"/>
    <s v="RAMON ESPINOZA SOTELO"/>
    <n v="23705312132"/>
    <s v="EISR530718HSLSTM04"/>
    <n v="23171954"/>
    <n v="5216681394526"/>
    <x v="1"/>
    <n v="3979.3"/>
    <n v="879"/>
    <n v="1193.79"/>
    <n v="-879"/>
    <m/>
  </r>
  <r>
    <x v="30"/>
    <d v="2026-07-31T00:00:00"/>
    <x v="26"/>
    <s v="GUSTAVO ALFONSO GARCIA GONZALEZ"/>
    <n v="43886026020"/>
    <s v="GAGG600712HCLRNS02"/>
    <n v="23253848"/>
    <n v="5218180223088"/>
    <x v="9"/>
    <n v="7116.73"/>
    <n v="1975.67"/>
    <n v="2135.0189999999998"/>
    <n v="159.34899999999971"/>
    <d v="2026-04-01T00:00:00"/>
  </r>
  <r>
    <x v="30"/>
    <d v="2026-07-29T00:00:00"/>
    <x v="13"/>
    <s v="JUAN HERNANDEZ RODRIGUEZ"/>
    <n v="43816593529"/>
    <s v="HERJ650108HSPRDN05"/>
    <n v="23202156"/>
    <n v="5218188008511"/>
    <x v="2"/>
    <n v="9760.32"/>
    <n v="2809.35"/>
    <n v="2928.096"/>
    <n v="118.74600000000009"/>
    <d v="2027-09-01T00:00:00"/>
  </r>
  <r>
    <x v="30"/>
    <d v="2026-07-30T00:00:00"/>
    <x v="43"/>
    <s v="Juana Enedina Sánchez Cruz"/>
    <m/>
    <s v="SACJ650514MDFNRN08"/>
    <n v="23242044"/>
    <n v="5213222141246"/>
    <x v="2"/>
    <n v="9760.32"/>
    <n v="2809.35"/>
    <n v="2928.096"/>
    <n v="118.74600000000009"/>
    <d v="2028-01-01T00:00:00"/>
  </r>
  <r>
    <x v="30"/>
    <d v="2026-07-31T00:00:00"/>
    <x v="14"/>
    <s v="MIGUEL ANGEL CARREÑO GARCIA"/>
    <m/>
    <s v="CAGM670802HDFRRG00"/>
    <n v="23255392"/>
    <n v="5215528253193"/>
    <x v="1"/>
    <n v="4172.9900000000016"/>
    <m/>
    <n v="1251.8970000000004"/>
    <n v="1.0000000002037268E-2"/>
    <m/>
  </r>
  <r>
    <x v="30"/>
    <d v="2026-07-31T00:00:00"/>
    <x v="14"/>
    <s v="HIGINIO BARRAZA GARDEA"/>
    <m/>
    <s v="BAGH650417HCHRRG03"/>
    <n v="23249832"/>
    <n v="5216146094817"/>
    <x v="2"/>
    <n v="18801.78"/>
    <n v="5626.95"/>
    <n v="5640.5339999999997"/>
    <n v="13.583999999999833"/>
    <d v="2028-07-01T00:00:00"/>
  </r>
  <r>
    <x v="30"/>
    <d v="2026-07-31T00:00:00"/>
    <x v="32"/>
    <s v="ARTURO ALEJANDRO VELAZQUEZ DELGADO"/>
    <s v="41816330371"/>
    <s v="VEDA630923HSPLLR01"/>
    <n v="2"/>
    <n v="4443058784"/>
    <x v="6"/>
    <n v="8631"/>
    <n v="2396.48"/>
    <n v="2589.2999999999997"/>
    <n v="192.81999999999971"/>
    <d v="2026-02-01T00:00:00"/>
  </r>
  <r>
    <x v="30"/>
    <d v="2026-07-31T00:00:00"/>
    <x v="28"/>
    <s v="JOSE LUIS CARRILLO VILLASANA"/>
    <m/>
    <s v="CAVL651117HCLRLS05"/>
    <n v="23250232"/>
    <n v="5218715196636"/>
    <x v="2"/>
    <n v="11029.03"/>
    <n v="3307.6"/>
    <n v="3308.7090000000003"/>
    <n v="1.1090000000003783"/>
    <d v="2028-03-01T00:00:00"/>
  </r>
  <r>
    <x v="30"/>
    <d v="2026-07-29T00:00:00"/>
    <x v="6"/>
    <s v="HILDER PEREGRINO HERNANDEZ "/>
    <n v="83846602783"/>
    <s v="PEHH660316HTCRRL05"/>
    <n v="23215170"/>
    <n v="5219141000113"/>
    <x v="0"/>
    <n v="10636.54"/>
    <m/>
    <n v="3190.962"/>
    <n v="3190.962"/>
    <m/>
  </r>
  <r>
    <x v="30"/>
    <d v="2026-07-31T00:00:00"/>
    <x v="14"/>
    <s v="FELIPE DE JESUS PANIAGUA DIAZ"/>
    <m/>
    <s v="PADF650205HDFNZL04"/>
    <n v="23247814"/>
    <n v="5215565297169"/>
    <x v="3"/>
    <n v="9760.32"/>
    <n v="2240.41"/>
    <n v="2928.096"/>
    <n v="687.68600000000015"/>
    <d v="2027-11-01T00:00:00"/>
  </r>
  <r>
    <x v="30"/>
    <d v="2026-07-30T00:00:00"/>
    <x v="38"/>
    <s v="JOSE ANTONIO ROBLEDO SANJUAN"/>
    <m/>
    <s v="ROSA561105HDFBNN08"/>
    <n v="23238428"/>
    <n v="5569094239"/>
    <x v="1"/>
    <n v="4937.92"/>
    <n v="879"/>
    <n v="1481.376"/>
    <n v="-114.05999999999949"/>
    <m/>
  </r>
  <r>
    <x v="30"/>
    <d v="2026-07-31T00:00:00"/>
    <x v="6"/>
    <s v="JUAN GERARDO HAGELSIEB OLIVARRIA "/>
    <n v="24756002283"/>
    <s v="HAOJ600919HSRGLN05"/>
    <n v="23245310"/>
    <n v="5216462684881"/>
    <x v="0"/>
    <n v="11111.93"/>
    <m/>
    <n v="3333.5790000000002"/>
    <n v="3333.5790000000002"/>
    <m/>
  </r>
  <r>
    <x v="30"/>
    <d v="2026-07-31T00:00:00"/>
    <x v="13"/>
    <s v="HELEODORO ATZIN GARCIA "/>
    <n v="65886242562"/>
    <s v="AIGH620703HVZTRL08"/>
    <n v="23256696"/>
    <n v="5218677220236"/>
    <x v="2"/>
    <n v="11533.76"/>
    <n v="3459.58"/>
    <n v="3460.1280000000002"/>
    <n v="0.54800000000022919"/>
    <d v="2026-12-01T00:00:00"/>
  </r>
  <r>
    <x v="30"/>
    <d v="2026-07-31T00:00:00"/>
    <x v="26"/>
    <s v="JOSE LUIS PEREZ MORENO"/>
    <n v="84936408461"/>
    <s v="PEML640910HYNRRS04"/>
    <n v="23253612"/>
    <n v="5219971225658"/>
    <x v="5"/>
    <m/>
    <m/>
    <n v="0"/>
    <n v="0"/>
    <m/>
  </r>
  <r>
    <x v="30"/>
    <d v="2026-07-31T00:00:00"/>
    <x v="28"/>
    <s v="HUMBERTO JUVENTINO PERALTA HERNANDEZ"/>
    <s v="67735302944"/>
    <s v="PEHH530220HPLRRM04"/>
    <n v="23258782"/>
    <n v="5219211090414"/>
    <x v="2"/>
    <n v="9595.2800000000007"/>
    <n v="2776.15"/>
    <n v="2878.5840000000003"/>
    <n v="102.4340000000002"/>
    <d v="2028-02-01T00:00:00"/>
  </r>
  <r>
    <x v="30"/>
    <d v="2026-07-31T00:00:00"/>
    <x v="6"/>
    <s v="JESUS RENTERIA ONTIVEROS"/>
    <n v="33786046582"/>
    <s v="REOJ601220HCHNNS09"/>
    <n v="23258394"/>
    <n v="5216564587190"/>
    <x v="2"/>
    <n v="9081.52"/>
    <n v="2624.73"/>
    <n v="2724.4560000000001"/>
    <n v="99.726000000000113"/>
    <d v="2026-09-01T00:00:00"/>
  </r>
  <r>
    <x v="30"/>
    <d v="2026-07-30T00:00:00"/>
    <x v="39"/>
    <s v="Sandra Arceo Hernández"/>
    <m/>
    <s v="AEHS630205MMNRRN06"/>
    <n v="23241100"/>
    <n v="4523085109"/>
    <x v="2"/>
    <n v="7920.51"/>
    <n v="2186.6799999999998"/>
    <n v="2376.1529999999998"/>
    <n v="189.47299999999996"/>
    <d v="2027-01-01T00:00:00"/>
  </r>
  <r>
    <x v="30"/>
    <d v="2026-07-31T00:00:00"/>
    <x v="13"/>
    <s v="ALMA NEREIDA MEDINA GUICOZA"/>
    <n v="24915923007"/>
    <s v="MEGA840310MSRDCL00"/>
    <n v="23257448"/>
    <n v="5216471208629"/>
    <x v="6"/>
    <n v="5617.64"/>
    <n v="1558"/>
    <n v="1685.2920000000001"/>
    <n v="-113.33999999999924"/>
    <d v="2026-08-01T00:00:00"/>
  </r>
  <r>
    <x v="30"/>
    <d v="2026-07-31T00:00:00"/>
    <x v="28"/>
    <s v="NORMA ALICIA MARQUEZ RIVAS"/>
    <s v="33786014044_x000a_"/>
    <s v="MARN600808MCHRVR03"/>
    <n v="23258126"/>
    <n v="5216563411893"/>
    <x v="2"/>
    <n v="12671.84"/>
    <n v="3517.29"/>
    <n v="3801.5519999999997"/>
    <n v="284.26199999999972"/>
    <d v="2026-10-01T00:00:00"/>
  </r>
  <r>
    <x v="30"/>
    <d v="2026-07-31T00:00:00"/>
    <x v="14"/>
    <s v="SERGIO VARELA PIMENTEL"/>
    <m/>
    <s v="VAPS621005HCHRMR02"/>
    <n v="23257688"/>
    <n v="5216142187565"/>
    <x v="0"/>
    <n v="9760.32"/>
    <m/>
    <n v="2928.096"/>
    <n v="2928.096"/>
    <m/>
  </r>
  <r>
    <x v="30"/>
    <d v="2026-07-31T00:00:00"/>
    <x v="6"/>
    <s v="IRMA AGUILAR DIAZ"/>
    <n v="4383652106"/>
    <s v="AUDI650130MTSGZR07"/>
    <n v="23259162"/>
    <n v="5218333832267"/>
    <x v="2"/>
    <n v="9760.32"/>
    <n v="2822.12"/>
    <n v="2928.096"/>
    <n v="105.97600000000011"/>
    <d v="2027-07-01T00:00:00"/>
  </r>
  <r>
    <x v="30"/>
    <d v="2026-07-30T00:00:00"/>
    <x v="26"/>
    <s v="ARTURO TALAVERA VENZOR "/>
    <m/>
    <s v="TAVA631129HSRLNR03"/>
    <n v="23245292"/>
    <n v="5216145375926"/>
    <x v="2"/>
    <n v="7920.51"/>
    <n v="2370"/>
    <n v="2376.1529999999998"/>
    <n v="6.1529999999997926"/>
    <d v="2028-03-01T00:00:00"/>
  </r>
  <r>
    <x v="30"/>
    <d v="2026-07-30T00:00:00"/>
    <x v="43"/>
    <s v="Jorge Alberto Márquez"/>
    <s v="23644723456"/>
    <m/>
    <n v="23242356"/>
    <n v="5216673316373"/>
    <x v="1"/>
    <n v="3895.43"/>
    <n v="879"/>
    <n v="1168.6289999999999"/>
    <n v="-879"/>
    <m/>
  </r>
  <r>
    <x v="30"/>
    <d v="2026-07-31T00:00:00"/>
    <x v="39"/>
    <s v="Martin Ibarra Ramos"/>
    <m/>
    <s v="IARM630223HVZBMR03"/>
    <n v="23259370"/>
    <n v="2297785330"/>
    <x v="2"/>
    <n v="9762.32"/>
    <n v="2823.87"/>
    <n v="2928.6959999999999"/>
    <n v="104.82600000000002"/>
    <d v="2028-01-01T00:00:00"/>
  </r>
  <r>
    <x v="30"/>
    <d v="2026-07-31T00:00:00"/>
    <x v="31"/>
    <s v="MANUEL RAMIREZ CARDENAS"/>
    <n v="14765801346"/>
    <s v="RACM580823HQTMRN09"/>
    <n v="2"/>
    <n v="5544639706"/>
    <x v="2"/>
    <n v="19203.740000000002"/>
    <n v="5719.12"/>
    <n v="5761.1220000000003"/>
    <n v="42.002000000000407"/>
    <d v="2027-05-01T00:00:00"/>
  </r>
  <r>
    <x v="30"/>
    <d v="2026-07-25T00:00:00"/>
    <x v="37"/>
    <s v="SILVIA RAMIREZ DEL VALLE"/>
    <s v="06745032026"/>
    <s v="RAVS540208MDFMLL09"/>
    <n v="23108134"/>
    <n v="5215532503070"/>
    <x v="6"/>
    <n v="7128.48"/>
    <n v="1978.25"/>
    <n v="2138.5439999999999"/>
    <n v="160.29399999999987"/>
    <d v="2026-07-01T00:00:00"/>
  </r>
  <r>
    <x v="30"/>
    <d v="2026-07-20T00:00:00"/>
    <x v="0"/>
    <s v="ALBERTO CANSECO REYES"/>
    <s v="67795805703"/>
    <m/>
    <n v="22850812"/>
    <n v="5212831303643"/>
    <x v="6"/>
    <n v="5923.14"/>
    <n v="1546.12"/>
    <n v="1776.942"/>
    <n v="204.04000000000087"/>
    <d v="2025-04-01T00:00:00"/>
  </r>
  <r>
    <x v="30"/>
    <d v="2026-07-31T00:00:00"/>
    <x v="6"/>
    <s v="MARCELO EDUARDO RUANA HUERTA "/>
    <n v="28944900373"/>
    <s v="RUHM491027HMNNRR00"/>
    <n v="23258696"/>
    <n v="5219991270867"/>
    <x v="0"/>
    <n v="35009.19"/>
    <n v="1615.84"/>
    <n v="10502.757"/>
    <n v="8886.9169999999995"/>
    <m/>
  </r>
  <r>
    <x v="30"/>
    <d v="2026-07-31T00:00:00"/>
    <x v="45"/>
    <s v="Julio Cesar Rendon Galaviz"/>
    <m/>
    <s v="REGJ671222HDFNLL01"/>
    <n v="23260528"/>
    <n v="8180185080"/>
    <x v="0"/>
    <n v="9491"/>
    <m/>
    <n v="2847.2999999999997"/>
    <n v="2847.2999999999997"/>
    <m/>
  </r>
  <r>
    <x v="30"/>
    <d v="2026-07-31T00:00:00"/>
    <x v="29"/>
    <s v="Esteban Pech mex"/>
    <m/>
    <s v="PEME631226HYNCXS09 "/>
    <n v="23261044"/>
    <n v="5219889679408"/>
    <x v="2"/>
    <n v="9504.7000000000007"/>
    <n v="2622.91"/>
    <n v="2851.4100000000003"/>
    <n v="228.50000000000045"/>
    <d v="2026-09-01T00:00:00"/>
  </r>
  <r>
    <x v="30"/>
    <d v="2026-07-31T00:00:00"/>
    <x v="36"/>
    <s v="Francisco Carlos Espinoza Morán"/>
    <n v="41815610112"/>
    <m/>
    <n v="23261780"/>
    <n v="8342715237"/>
    <x v="1"/>
    <n v="4199.87"/>
    <n v="848"/>
    <n v="1259.961"/>
    <n v="-821.10999999999967"/>
    <m/>
  </r>
  <r>
    <x v="30"/>
    <d v="2026-07-29T00:00:00"/>
    <x v="13"/>
    <s v="JOSEFINA GARCIA PEREZ"/>
    <s v="04664818665"/>
    <s v="GAPJ530224MMNRRS07"/>
    <n v="23217152"/>
    <n v="5213521389763"/>
    <x v="1"/>
    <n v="3904.19"/>
    <m/>
    <n v="1171.2570000000001"/>
    <n v="0"/>
    <m/>
  </r>
  <r>
    <x v="30"/>
    <d v="2026-07-31T00:00:00"/>
    <x v="6"/>
    <s v="J. JESUS TAVARES RODRIGUEZ "/>
    <n v="21765603416"/>
    <s v="TARJ561109HJCVDS05"/>
    <n v="23249790"/>
    <n v="5213326852473"/>
    <x v="2"/>
    <n v="9504.7000000000007"/>
    <n v="2749.87"/>
    <n v="2851.4100000000003"/>
    <n v="101.54000000000042"/>
    <d v="2027-03-01T00:00:00"/>
  </r>
  <r>
    <x v="30"/>
    <d v="2026-07-31T00:00:00"/>
    <x v="29"/>
    <s v="LEONOR DIAS TORRES"/>
    <m/>
    <s v="DITL640713MPLSRN05"/>
    <n v="23259574"/>
    <n v="5212491388793"/>
    <x v="5"/>
    <m/>
    <m/>
    <n v="0"/>
    <n v="0"/>
    <m/>
  </r>
  <r>
    <x v="30"/>
    <d v="2026-07-25T00:00:00"/>
    <x v="40"/>
    <s v="JUAN MANUEL RAMIREZ RUIZ"/>
    <m/>
    <s v="RARJ620823HDFMZN08"/>
    <n v="23106494"/>
    <n v="5215576162975"/>
    <x v="6"/>
    <n v="7920.51"/>
    <n v="2199.0100000000002"/>
    <n v="2376.1529999999998"/>
    <n v="177.14299999999957"/>
    <d v="2026-03-01T00:00:00"/>
  </r>
  <r>
    <x v="30"/>
    <d v="2026-07-31T00:00:00"/>
    <x v="41"/>
    <s v="GISELA SOLIS TORRES"/>
    <m/>
    <s v="SOTG760327MMNLRS09"/>
    <n v="23261408"/>
    <n v="5215542408403"/>
    <x v="2"/>
    <n v="5060.9799999999996"/>
    <n v="856.01"/>
    <n v="1518.2939999999999"/>
    <n v="31.990000000000009"/>
    <d v="2027-03-01T00:00:00"/>
  </r>
  <r>
    <x v="30"/>
    <d v="2026-07-31T00:00:00"/>
    <x v="39"/>
    <s v="Leopoldo Tellaeche Galván"/>
    <m/>
    <s v="TEGL610405HSRLLP01"/>
    <n v="23261016"/>
    <n v="6643548267"/>
    <x v="2"/>
    <n v="25410.720000000001"/>
    <n v="7612.94"/>
    <n v="7623.2160000000003"/>
    <n v="10.276000000000749"/>
    <d v="2028-07-01T00:00:00"/>
  </r>
  <r>
    <x v="30"/>
    <d v="2026-07-31T00:00:00"/>
    <x v="35"/>
    <s v="Félix de Hoyos Castro"/>
    <m/>
    <s v="HOCF620429HCLYSL15"/>
    <n v="23262774"/>
    <n v="8616178431"/>
    <x v="6"/>
    <n v="19051.189999999999"/>
    <n v="5275.82"/>
    <n v="5715.3569999999991"/>
    <n v="439.53699999999935"/>
    <d v="2026-08-01T00:00:00"/>
  </r>
  <r>
    <x v="30"/>
    <d v="2026-07-31T00:00:00"/>
    <x v="32"/>
    <s v="CARLOS CLEOFAS HERNANDEZ CAVAZOS"/>
    <s v="43745428367"/>
    <s v="HECC540925HNLRVR03"/>
    <n v="2"/>
    <s v="81 1249 6402"/>
    <x v="2"/>
    <n v="27471.8"/>
    <n v="8240.89"/>
    <n v="8241.5399999999991"/>
    <n v="0.6499999999996362"/>
    <d v="2027-06-01T00:00:00"/>
  </r>
  <r>
    <x v="30"/>
    <d v="2026-07-31T00:00:00"/>
    <x v="41"/>
    <s v="JOSE SANTOS JIMENEZ RAMIREZ"/>
    <m/>
    <s v="JIRS630411HASMMN06"/>
    <n v="23263336"/>
    <n v="5214498168349"/>
    <x v="0"/>
    <n v="10636.54"/>
    <m/>
    <n v="3190.962"/>
    <n v="3190.962"/>
    <m/>
  </r>
  <r>
    <x v="30"/>
    <d v="2026-07-28T00:00:00"/>
    <x v="6"/>
    <s v="MARIA AURELIA ESTHER ZAMITIZ PEREZ"/>
    <s v="02936200514"/>
    <s v="ZAPA620925MPLMRR02"/>
    <n v="23170612"/>
    <n v="14809427434"/>
    <x v="2"/>
    <n v="10636.54"/>
    <n v="3190.93"/>
    <n v="3190.962"/>
    <n v="3.2000000000152795E-2"/>
    <d v="2028-05-01T00:00:00"/>
  </r>
  <r>
    <x v="30"/>
    <d v="2026-07-31T00:00:00"/>
    <x v="32"/>
    <s v="EMERICO BAZALDUA LOPEZ"/>
    <n v="43887088359"/>
    <s v="BALE701012HNLZPM05"/>
    <n v="2"/>
    <s v="826 103 1103"/>
    <x v="5"/>
    <m/>
    <m/>
    <n v="0"/>
    <n v="0"/>
    <m/>
  </r>
  <r>
    <x v="30"/>
    <d v="2026-07-31T00:00:00"/>
    <x v="39"/>
    <s v="Raúl Prado Garcia"/>
    <m/>
    <s v="PAGR601016HJCRRL00"/>
    <n v="23262548"/>
    <n v="3325688176"/>
    <x v="2"/>
    <n v="15866.88"/>
    <n v="4585.45"/>
    <n v="4760.0639999999994"/>
    <n v="174.61399999999958"/>
    <d v="2027-07-01T00:00:00"/>
  </r>
  <r>
    <x v="30"/>
    <d v="2026-07-31T00:00:00"/>
    <x v="6"/>
    <s v="JUAN CARLOS HERNANDEZ GARIBAY"/>
    <m/>
    <s v="HEGJ740721HJCRRN07"/>
    <n v="23257584"/>
    <n v="5213541502840"/>
    <x v="2"/>
    <n v="5642.22"/>
    <n v="1469.23"/>
    <n v="1692.6659999999999"/>
    <n v="1.0000000000673026E-2"/>
    <d v="2028-06-01T00:00:00"/>
  </r>
  <r>
    <x v="30"/>
    <d v="2026-07-31T00:00:00"/>
    <x v="40"/>
    <s v="Cristina Escoto"/>
    <n v="12886912182"/>
    <m/>
    <n v="23263250"/>
    <n v="5216643557270"/>
    <x v="6"/>
    <n v="9151.15"/>
    <n v="2425.14"/>
    <n v="2745.3449999999998"/>
    <n v="320.20499999999993"/>
    <d v="2025-04-01T00:00:00"/>
  </r>
  <r>
    <x v="30"/>
    <d v="2026-07-31T00:00:00"/>
    <x v="13"/>
    <s v="LIGIA ESPERANZA LOPEZ SOLIS"/>
    <n v="45876016366"/>
    <s v="LOSL600115MYNPLG07"/>
    <n v="23255164"/>
    <n v="5219995562113"/>
    <x v="1"/>
    <n v="3961.31"/>
    <n v="848"/>
    <n v="1188.393"/>
    <n v="-848"/>
    <m/>
  </r>
  <r>
    <x v="30"/>
    <d v="2026-07-30T00:00:00"/>
    <x v="35"/>
    <s v="maria elena casas lopez"/>
    <m/>
    <s v="CALE610621MSRSPL07"/>
    <n v="23235208"/>
    <n v="6621384551"/>
    <x v="2"/>
    <n v="6261.78"/>
    <n v="1877"/>
    <n v="1878.5339999999999"/>
    <n v="1.5339999999998781"/>
    <d v="2027-04-01T00:00:00"/>
  </r>
  <r>
    <x v="30"/>
    <d v="2026-07-22T00:00:00"/>
    <x v="28"/>
    <s v="MA. REFUGIO LUNA NERI"/>
    <s v="55816006252"/>
    <s v="LUNR6006619MNTNRF07"/>
    <n v="22982000"/>
    <n v="5213113431454"/>
    <x v="3"/>
    <n v="4632.01"/>
    <m/>
    <n v="1389.6030000000001"/>
    <n v="459.03000000000065"/>
    <m/>
  </r>
  <r>
    <x v="30"/>
    <d v="2026-07-31T00:00:00"/>
    <x v="0"/>
    <s v="ELADIO TREVIÑO TORRES"/>
    <n v="43796366169"/>
    <m/>
    <n v="23261448"/>
    <n v="5218110151180"/>
    <x v="0"/>
    <n v="35251.01"/>
    <n v="8543.5499999999993"/>
    <n v="10575.303"/>
    <n v="2031.7530000000006"/>
    <d v="2027-01-01T00:00:00"/>
  </r>
  <r>
    <x v="30"/>
    <d v="2026-07-31T00:00:00"/>
    <x v="6"/>
    <s v="MARTHA EDITH HERVERT TREJO"/>
    <n v="4988621097"/>
    <s v="HETM620205MVZRRR07"/>
    <n v="23258110"/>
    <n v="5218333106491"/>
    <x v="2"/>
    <n v="10527.41"/>
    <n v="3157.17"/>
    <n v="3158.223"/>
    <n v="1.0529999999998836"/>
    <d v="2027-01-01T00:00:00"/>
  </r>
  <r>
    <x v="30"/>
    <d v="2026-07-31T00:00:00"/>
    <x v="13"/>
    <s v="MARIO MARTIN RANGEL SEGURA"/>
    <n v="32816457710"/>
    <s v="RASM640120HGTNGR04"/>
    <n v="23258776"/>
    <n v="5214612109935"/>
    <x v="2"/>
    <n v="10989.53"/>
    <n v="3025.67"/>
    <n v="3296.8589999999999"/>
    <n v="271.18899999999985"/>
    <d v="2028-01-01T00:00:00"/>
  </r>
  <r>
    <x v="30"/>
    <d v="2026-07-27T00:00:00"/>
    <x v="6"/>
    <m/>
    <n v="62805407756"/>
    <m/>
    <n v="23128122"/>
    <n v="5212224026208"/>
    <x v="1"/>
    <n v="3879.3"/>
    <m/>
    <n v="1163.79"/>
    <n v="0"/>
    <m/>
  </r>
  <r>
    <x v="30"/>
    <d v="2026-07-29T00:00:00"/>
    <x v="28"/>
    <s v="MARIA HERLINDA AGUILAR SANCHEZ"/>
    <s v="01776072710_x000a_"/>
    <s v="AUSH610307MDFGNR08"/>
    <n v="23200432"/>
    <n v="5213328044116"/>
    <x v="2"/>
    <n v="7116.73"/>
    <n v="2046.04"/>
    <n v="2135.0189999999998"/>
    <n v="88.978999999999814"/>
    <d v="2028-01-01T00:00:00"/>
  </r>
  <r>
    <x v="30"/>
    <d v="2026-07-31T00:00:00"/>
    <x v="41"/>
    <s v="MIGUEL ANGEL AGUILAR SANCHEZ"/>
    <m/>
    <s v="AUSM600922HDFGNG01"/>
    <n v="23262514"/>
    <n v="5215668599199"/>
    <x v="9"/>
    <n v="5617.64"/>
    <n v="1271.28"/>
    <n v="1685.2920000000001"/>
    <n v="173.38000000000079"/>
    <d v="2025-06-01T00:00:00"/>
  </r>
  <r>
    <x v="30"/>
    <d v="2026-07-31T00:00:00"/>
    <x v="31"/>
    <s v="RUBEN GUZMAN LOPEZ"/>
    <s v="04856905114"/>
    <s v="GULR690805HJCZPB07"/>
    <n v="2"/>
    <n v="3311552258"/>
    <x v="0"/>
    <n v="8793.09"/>
    <m/>
    <n v="2637.9270000000001"/>
    <n v="2637.9270000000001"/>
    <m/>
  </r>
  <r>
    <x v="30"/>
    <d v="2026-07-31T00:00:00"/>
    <x v="28"/>
    <s v="MARGARITA PONCE QUEZADA"/>
    <s v="3367511109"/>
    <s v="POQM510125MCHNZR01"/>
    <n v="23226436"/>
    <n v="5215548590450"/>
    <x v="3"/>
    <n v="4886.68"/>
    <m/>
    <n v="1466.0040000000001"/>
    <n v="713.70000000000073"/>
    <m/>
  </r>
  <r>
    <x v="30"/>
    <d v="2026-07-31T00:00:00"/>
    <x v="44"/>
    <s v="Julia Maria Guadalupe avendaño"/>
    <m/>
    <s v="AEGJ600412MDGVNL07 "/>
    <n v="23263274"/>
    <n v="6862451666"/>
    <x v="3"/>
    <n v="6262.86"/>
    <n v="864.83"/>
    <n v="1878.8579999999997"/>
    <n v="1014.0279999999997"/>
    <d v="2025-01-01T00:00:00"/>
  </r>
  <r>
    <x v="30"/>
    <d v="2026-07-31T00:00:00"/>
    <x v="37"/>
    <s v="ESMERALDA SANCHEZ BENITEZ"/>
    <n v="72977804763"/>
    <s v="SABE830614MGRNNS09"/>
    <n v="23262224"/>
    <n v="5217441293949"/>
    <x v="1"/>
    <n v="3869.37"/>
    <m/>
    <n v="1160.8109999999999"/>
    <n v="0"/>
    <m/>
  </r>
  <r>
    <x v="30"/>
    <d v="2026-07-28T00:00:00"/>
    <x v="38"/>
    <s v="MARIA EDITH CABRERA TAPIA"/>
    <m/>
    <s v="CATE631005MVZBPD00"/>
    <n v="23182010"/>
    <n v="5534982312"/>
    <x v="2"/>
    <n v="9081.52"/>
    <n v="2518.66"/>
    <n v="2724.4560000000001"/>
    <n v="205.79600000000028"/>
    <d v="2026-12-01T00:00:00"/>
  </r>
  <r>
    <x v="30"/>
    <d v="2026-07-30T00:00:00"/>
    <x v="43"/>
    <m/>
    <s v="83957801190"/>
    <m/>
    <n v="23241924"/>
    <n v="5219171405092"/>
    <x v="4"/>
    <m/>
    <m/>
    <n v="0"/>
    <n v="0"/>
    <m/>
  </r>
  <r>
    <x v="30"/>
    <d v="2026-07-31T00:00:00"/>
    <x v="28"/>
    <s v="JUAN MANUEL SMITH RANGEL"/>
    <s v="49906530891"/>
    <s v="SIRJ650623HTSMNN06"/>
    <n v="23255110"/>
    <n v="5214441195563"/>
    <x v="2"/>
    <n v="9760.32"/>
    <n v="2928.1"/>
    <n v="2928.096"/>
    <n v="-3.9999999999054126E-3"/>
    <d v="2027-10-01T00:00:00"/>
  </r>
  <r>
    <x v="30"/>
    <d v="2026-07-31T00:00:00"/>
    <x v="6"/>
    <s v="JORGE GONZALEZ LARA"/>
    <s v="23886205089"/>
    <s v="GOLJ621118HSLNRR05"/>
    <n v="23245592"/>
    <n v="5216673560023"/>
    <x v="7"/>
    <n v="7116.13"/>
    <n v="2118.96"/>
    <n v="2134.8389999999999"/>
    <n v="15.878999999999905"/>
    <d v="2026-05-01T00:00:00"/>
  </r>
  <r>
    <x v="30"/>
    <d v="2026-07-31T00:00:00"/>
    <x v="41"/>
    <s v="LAURA IMELDA MARTINEZ CONTRERAS"/>
    <n v="1785768332"/>
    <s v="MACL580511MSPRNR08"/>
    <n v="23260996"/>
    <n v="5214402000358"/>
    <x v="2"/>
    <n v="8173.37"/>
    <n v="2269.2199999999998"/>
    <n v="2452.011"/>
    <n v="182.79100000000017"/>
    <d v="2027-01-01T00:00:00"/>
  </r>
  <r>
    <x v="30"/>
    <d v="2026-07-31T00:00:00"/>
    <x v="35"/>
    <s v="Bernardo Jacinto torres Marín"/>
    <m/>
    <s v="TOMB630817HNLRRR13"/>
    <n v="23265142"/>
    <n v="7206104550"/>
    <x v="1"/>
    <n v="3911.54"/>
    <m/>
    <n v="1173.462"/>
    <n v="0"/>
    <m/>
  </r>
  <r>
    <x v="30"/>
    <d v="2026-07-31T00:00:00"/>
    <x v="37"/>
    <s v="ANGEL CASTRO GUTIERREZ"/>
    <s v="24734903263"/>
    <s v="CXGA490911HSRSTN08"/>
    <n v="23265686"/>
    <n v="5216625126772"/>
    <x v="1"/>
    <n v="3881.65"/>
    <m/>
    <n v="1164.4949999999999"/>
    <n v="0"/>
    <m/>
  </r>
  <r>
    <x v="30"/>
    <d v="2026-07-31T00:00:00"/>
    <x v="32"/>
    <s v="MARIA GREGORIA DOLORES PALMA"/>
    <s v="02522000203"/>
    <s v="GUPG550309MPLZLR08"/>
    <n v="2"/>
    <s v="222 100 2331"/>
    <x v="1"/>
    <n v="3591.45"/>
    <m/>
    <n v="1077.4349999999999"/>
    <n v="0"/>
    <m/>
  </r>
  <r>
    <x v="30"/>
    <d v="2026-07-31T00:00:00"/>
    <x v="20"/>
    <s v="JORGE PEREZ"/>
    <n v="62816407696"/>
    <m/>
    <n v="23211748"/>
    <n v="5212214368786"/>
    <x v="0"/>
    <n v="7364.65"/>
    <m/>
    <n v="2209.395"/>
    <n v="2209.395"/>
    <m/>
  </r>
  <r>
    <x v="30"/>
    <d v="2026-07-31T00:00:00"/>
    <x v="36"/>
    <s v="Francisco Javier flores leon"/>
    <m/>
    <s v="_x0009_FOLF750112HDFLNR04"/>
    <n v="23265430"/>
    <n v="5565214236"/>
    <x v="1"/>
    <n v="3496.99"/>
    <n v="848"/>
    <n v="1049.097"/>
    <n v="-848"/>
    <m/>
  </r>
  <r>
    <x v="30"/>
    <d v="2026-07-24T00:00:00"/>
    <x v="20"/>
    <s v="JUAN"/>
    <n v="14806117322"/>
    <s v="RODJ630217HQTDZN07"/>
    <n v="23089048"/>
    <n v="521442557904"/>
    <x v="5"/>
    <m/>
    <m/>
    <n v="0"/>
    <n v="0"/>
    <m/>
  </r>
  <r>
    <x v="30"/>
    <d v="2026-07-30T00:00:00"/>
    <x v="26"/>
    <s v="GERARDO TORO HERRERA"/>
    <m/>
    <s v="TOHG600403HMNRRR04"/>
    <n v="23244702"/>
    <n v="5214341149627"/>
    <x v="5"/>
    <m/>
    <m/>
    <n v="0"/>
    <n v="0"/>
    <m/>
  </r>
  <r>
    <x v="30"/>
    <d v="2026-07-31T00:00:00"/>
    <x v="11"/>
    <s v="hector ruben cabrera alvarado"/>
    <m/>
    <s v="CAAH530508HVZBLC02"/>
    <n v="23265854"/>
    <n v="5216647667253"/>
    <x v="1"/>
    <n v="3879.3"/>
    <m/>
    <n v="1163.79"/>
    <n v="0"/>
    <m/>
  </r>
  <r>
    <x v="30"/>
    <d v="2026-07-31T00:00:00"/>
    <x v="37"/>
    <s v="YOLANDA"/>
    <s v="12816505957"/>
    <m/>
    <n v="23265242"/>
    <n v="5214792553450"/>
    <x v="0"/>
    <n v="9760.32"/>
    <m/>
    <n v="2928.096"/>
    <n v="2928.096"/>
    <m/>
  </r>
  <r>
    <x v="30"/>
    <d v="2026-07-31T00:00:00"/>
    <x v="35"/>
    <s v="JOSE LUIS VAZQUEZ SANTIAGO"/>
    <n v="71846207364"/>
    <s v="VASL620425HCSZNS03"/>
    <n v="23266346"/>
    <n v="5584547219"/>
    <x v="2"/>
    <n v="7116.13"/>
    <n v="2059.0100000000002"/>
    <n v="2134.8389999999999"/>
    <n v="75.828999999999724"/>
    <d v="2026-12-01T00:00:00"/>
  </r>
  <r>
    <x v="30"/>
    <d v="2026-07-31T00:00:00"/>
    <x v="20"/>
    <s v="CELINA VEGA"/>
    <n v="23977918962"/>
    <s v="VELC820314MSLGGL01"/>
    <n v="23265592"/>
    <n v="5216871291970"/>
    <x v="1"/>
    <n v="3488.31"/>
    <m/>
    <n v="1046.4929999999999"/>
    <n v="0"/>
    <m/>
  </r>
  <r>
    <x v="30"/>
    <d v="2026-07-31T00:00:00"/>
    <x v="11"/>
    <s v="EZEQUIEL ALFARO SUAREZ "/>
    <n v="37886802448"/>
    <m/>
    <n v="23266584"/>
    <n v="5215535521383"/>
    <x v="2"/>
    <n v="21357.82"/>
    <n v="6407.19"/>
    <n v="6407.3459999999995"/>
    <n v="0.15599999999994907"/>
    <d v="2027-03-01T00:00:00"/>
  </r>
  <r>
    <x v="30"/>
    <d v="2026-07-31T00:00:00"/>
    <x v="36"/>
    <s v="_x0009_PABLO_x0009_MONTOYA_x0009_GONGORA"/>
    <m/>
    <s v="MOGP610811HSRNNB02"/>
    <n v="23265906"/>
    <n v="6143819761"/>
    <x v="2"/>
    <n v="7640.52"/>
    <n v="2288.4899999999998"/>
    <n v="2292.1559999999999"/>
    <n v="3.6660000000001673"/>
    <d v="2027-08-01T00:00:00"/>
  </r>
  <r>
    <x v="30"/>
    <d v="2026-07-31T00:00:00"/>
    <x v="19"/>
    <s v="JUSTINA"/>
    <n v="16705013395"/>
    <s v="ROSJ690719MMCDSS03"/>
    <n v="23260568"/>
    <n v="7291604504"/>
    <x v="0"/>
    <n v="13873.76"/>
    <m/>
    <n v="4162.1279999999997"/>
    <n v="4162.1279999999997"/>
    <m/>
  </r>
  <r>
    <x v="31"/>
    <d v="2026-07-31T00:00:00"/>
    <x v="37"/>
    <s v="MARCELINO JUAN MORALES HERNANDEZ"/>
    <n v="49836437282"/>
    <s v="MOHM640602HTSRRR01"/>
    <n v="23264324"/>
    <n v="5218334367663"/>
    <x v="2"/>
    <n v="10636.54"/>
    <n v="3189.94"/>
    <n v="3190.962"/>
    <n v="1.0219999999999345"/>
    <d v="2028-07-01T00:00:00"/>
  </r>
  <r>
    <x v="31"/>
    <d v="2026-08-01T00:00:00"/>
    <x v="31"/>
    <s v="ERNESTO BURNES VELA"/>
    <s v="03806227751"/>
    <s v="BUVE620228HNLRLR08 "/>
    <n v="2"/>
    <n v="8120809957"/>
    <x v="2"/>
    <n v="30821.43"/>
    <n v="9241.84"/>
    <n v="9246.4290000000001"/>
    <n v="4.5889999999999418"/>
    <d v="2027-03-01T00:00:00"/>
  </r>
  <r>
    <x v="31"/>
    <d v="2026-07-31T00:00:00"/>
    <x v="28"/>
    <s v="HECTOR ORTIZ PIÑON"/>
    <s v="43816555015_x000a_"/>
    <s v="OIPH650114HNLRXC02"/>
    <n v="23267404"/>
    <n v="5218116874445"/>
    <x v="3"/>
    <n v="56051.25"/>
    <n v="15950.15"/>
    <n v="16815.375"/>
    <n v="865.22500000000036"/>
    <d v="2027-05-01T00:00:00"/>
  </r>
  <r>
    <x v="31"/>
    <d v="2026-07-31T00:00:00"/>
    <x v="37"/>
    <s v="FAUSTINO CARRANZA REYES"/>
    <m/>
    <s v="CARF570310HJCRYS09"/>
    <n v="23266710"/>
    <n v="5216421413044"/>
    <x v="1"/>
    <n v="4199.87"/>
    <n v="848"/>
    <n v="1259.961"/>
    <n v="-821.10999999999967"/>
    <m/>
  </r>
  <r>
    <x v="31"/>
    <d v="2026-08-01T00:00:00"/>
    <x v="28"/>
    <s v="JAIME MOCTEZUMA CASTILLO"/>
    <s v="61816309787_x000a_"/>
    <s v="MOCJ630120HTLCSM04"/>
    <n v="23271946"/>
    <n v="5212482278039"/>
    <x v="7"/>
    <n v="9081.52"/>
    <n v="2627.32"/>
    <n v="2724.4560000000001"/>
    <n v="97.135999999999967"/>
    <d v="2026-08-01T00:00:00"/>
  </r>
  <r>
    <x v="31"/>
    <d v="2026-07-31T00:00:00"/>
    <x v="14"/>
    <s v="MARIA DE LA SOLEDAD MACIAS BECERRA"/>
    <m/>
    <s v="MABS600306MHGCCL00"/>
    <n v="23267246"/>
    <n v="5215543247497"/>
    <x v="2"/>
    <n v="46101.69"/>
    <n v="13802.93"/>
    <n v="13830.507"/>
    <n v="27.576999999999316"/>
    <d v="2027-05-01T00:00:00"/>
  </r>
  <r>
    <x v="31"/>
    <d v="2026-07-30T00:00:00"/>
    <x v="6"/>
    <s v="MARTIN RAMIREZ MARTINEZ "/>
    <n v="5179631130"/>
    <s v="RAMM630930HASMRR06"/>
    <n v="23269194"/>
    <n v="5214495410644"/>
    <x v="0"/>
    <n v="7920.51"/>
    <n v="879"/>
    <n v="2376.1529999999998"/>
    <n v="1497.1529999999998"/>
    <m/>
  </r>
  <r>
    <x v="31"/>
    <d v="2026-08-01T00:00:00"/>
    <x v="6"/>
    <s v="SARA ELVA JIMENEZ ALVAREZ "/>
    <n v="49906408064"/>
    <s v="JIAS640528MTSMLR06"/>
    <n v="23273158"/>
    <n v="5218991262344"/>
    <x v="2"/>
    <n v="18684.990000000002"/>
    <n v="5392.55"/>
    <n v="5605.4970000000003"/>
    <n v="212.94700000000012"/>
    <d v="2027-01-01T00:00:00"/>
  </r>
  <r>
    <x v="31"/>
    <d v="2026-07-31T00:00:00"/>
    <x v="20"/>
    <s v="ELISEO NUÑEZ "/>
    <n v="54765801433"/>
    <s v="NUJE590106HJCXRL07"/>
    <n v="23266582"/>
    <n v="5213333804410"/>
    <x v="6"/>
    <n v="5891.74"/>
    <n v="1519.79"/>
    <n v="1767.5219999999999"/>
    <n v="198.97000000000025"/>
    <d v="2025-12-01T00:00:00"/>
  </r>
  <r>
    <x v="31"/>
    <d v="2026-07-31T00:00:00"/>
    <x v="26"/>
    <s v="ROCIO IZQUIERDO BOTELLO"/>
    <n v="45906007476"/>
    <s v="IUBR600524MDFZTC05"/>
    <n v="23267032"/>
    <n v="5215525306486"/>
    <x v="2"/>
    <n v="9281.52"/>
    <n v="2827.5"/>
    <n v="2784.4560000000001"/>
    <n v="-43.043999999999869"/>
    <d v="2028-02-01T00:00:00"/>
  </r>
  <r>
    <x v="31"/>
    <d v="2026-07-31T00:00:00"/>
    <x v="6"/>
    <s v="HECTOR GUSTAVO GUTIERREZ FONSECA "/>
    <n v="17806319277"/>
    <s v="GUFH631101HDFTNC00"/>
    <n v="23271836"/>
    <n v="5215531818976"/>
    <x v="2"/>
    <n v="7920.51"/>
    <n v="2376.13"/>
    <n v="2376.1529999999998"/>
    <n v="2.2999999999683496E-2"/>
    <d v="2028-02-01T00:00:00"/>
  </r>
  <r>
    <x v="31"/>
    <d v="2026-07-31T00:00:00"/>
    <x v="26"/>
    <s v="JOSE IGNACIO JUAREZ GOMEZ"/>
    <s v="06825902437"/>
    <s v="JUGI590731HPLRMG02"/>
    <n v="23268538"/>
    <n v="5218131259231"/>
    <x v="2"/>
    <n v="7116.73"/>
    <n v="1975.62"/>
    <n v="2135.0189999999998"/>
    <n v="159.39899999999989"/>
    <d v="2026-09-01T00:00:00"/>
  </r>
  <r>
    <x v="31"/>
    <d v="2026-08-01T00:00:00"/>
    <x v="32"/>
    <s v="LUIS BELTRAN ROSALES"/>
    <n v="43826476640"/>
    <s v="BERL640524HSPLSS01"/>
    <n v="2"/>
    <s v="81 3600 1949"/>
    <x v="2"/>
    <n v="9081.52"/>
    <n v="2511.2399999999998"/>
    <n v="2724.4560000000001"/>
    <n v="213.21600000000035"/>
    <d v="2027-03-01T00:00:00"/>
  </r>
  <r>
    <x v="31"/>
    <d v="2026-08-01T00:00:00"/>
    <x v="6"/>
    <s v="MARIA DE LOURDES GONZALEZ CESAR"/>
    <s v="01745905214"/>
    <s v="GOCL600723MDFNSR00"/>
    <n v="23277714"/>
    <n v="5215531696750"/>
    <x v="2"/>
    <n v="6262.86"/>
    <n v="1811"/>
    <n v="1878.8579999999997"/>
    <n v="67.85799999999972"/>
    <d v="2027-09-01T00:00:00"/>
  </r>
  <r>
    <x v="31"/>
    <d v="2026-08-01T00:00:00"/>
    <x v="28"/>
    <s v="JORGE EDUARDO CANCHE PECH"/>
    <m/>
    <s v="CAPJ600926HCCNCR07"/>
    <n v="23273222"/>
    <n v="5219811704988"/>
    <x v="0"/>
    <n v="6842.24"/>
    <n v="500.13"/>
    <n v="2052.672"/>
    <n v="1552.5419999999999"/>
    <d v="2027-06-01T00:00:00"/>
  </r>
  <r>
    <x v="31"/>
    <d v="2026-07-31T00:00:00"/>
    <x v="37"/>
    <s v="FRANCISCO JAVIER CRUZ"/>
    <n v="57887168425"/>
    <m/>
    <n v="23261790"/>
    <n v="5216451135451"/>
    <x v="4"/>
    <m/>
    <m/>
    <n v="0"/>
    <n v="0"/>
    <m/>
  </r>
  <r>
    <x v="31"/>
    <d v="2026-07-31T00:00:00"/>
    <x v="26"/>
    <s v="JOSE NICOLAS VILLA MOLINA"/>
    <s v="24806108759    "/>
    <s v="VIMN610910HSRLLC03"/>
    <n v="23269146"/>
    <n v="5216311070745"/>
    <x v="9"/>
    <n v="20400.07"/>
    <n v="4295.26"/>
    <n v="6120.0209999999997"/>
    <n v="1824.7609999999995"/>
    <d v="2025-02-01T00:00:00"/>
  </r>
  <r>
    <x v="31"/>
    <d v="2026-07-29T00:00:00"/>
    <x v="14"/>
    <s v="ESTEBAN VARGAS SANCHEZ"/>
    <m/>
    <s v="VASE670102HOCRNS04"/>
    <n v="23201980"/>
    <n v="5219511231882"/>
    <x v="5"/>
    <m/>
    <m/>
    <n v="0"/>
    <n v="0"/>
    <m/>
  </r>
  <r>
    <x v="31"/>
    <d v="2026-07-31T00:00:00"/>
    <x v="37"/>
    <s v="ELENA OJEDA"/>
    <n v="21826509396"/>
    <m/>
    <n v="23266420"/>
    <n v="5216462578378"/>
    <x v="0"/>
    <n v="11029.03"/>
    <m/>
    <n v="3308.7090000000003"/>
    <n v="3308.7090000000003"/>
    <m/>
  </r>
  <r>
    <x v="31"/>
    <d v="2026-08-01T00:00:00"/>
    <x v="6"/>
    <s v="CARMEN YOLANDA BORUNDA HERNANDEZ "/>
    <n v="33755833309"/>
    <s v="BOHC580724MCHRRR00"/>
    <n v="23272152"/>
    <n v="5216143676494"/>
    <x v="2"/>
    <n v="11046.6"/>
    <n v="3196.05"/>
    <n v="3313.98"/>
    <n v="117.92999999999984"/>
    <d v="2027-04-01T00:00:00"/>
  </r>
  <r>
    <x v="31"/>
    <d v="2026-08-01T00:00:00"/>
    <x v="28"/>
    <s v="JOSE DE JESUS DURAN HERNANDEZ"/>
    <s v="5479607662"/>
    <s v="DUHJ600811HJCRRS01"/>
    <n v="23278674"/>
    <n v="5213318922962"/>
    <x v="0"/>
    <n v="23514.47"/>
    <m/>
    <n v="7054.3410000000003"/>
    <n v="7054.3410000000003"/>
    <m/>
  </r>
  <r>
    <x v="31"/>
    <d v="2026-08-01T00:00:00"/>
    <x v="14"/>
    <s v="MA. GLORIA INOCENCIA PIÑA SÁNCHEZ"/>
    <n v="41584111581"/>
    <m/>
    <n v="23279050"/>
    <n v="5214441761198"/>
    <x v="3"/>
    <n v="6658.01"/>
    <n v="1515.36"/>
    <n v="1997.403"/>
    <n v="482.04300000000012"/>
    <d v="2026-12-01T00:00:00"/>
  </r>
  <r>
    <x v="31"/>
    <d v="2026-08-01T00:00:00"/>
    <x v="28"/>
    <s v="RODOLFO VELASCO ITURBE"/>
    <m/>
    <s v=" VEIR571007HDFLTD01"/>
    <n v="23278346"/>
    <n v="5213334765252"/>
    <x v="2"/>
    <n v="25844.48"/>
    <n v="7753.31"/>
    <n v="7753.3439999999991"/>
    <n v="3.3999999998741259E-2"/>
    <d v="2027-01-01T00:00:00"/>
  </r>
  <r>
    <x v="31"/>
    <d v="2026-07-31T00:00:00"/>
    <x v="26"/>
    <s v="ISAIAS CASTRO OLIVA"/>
    <n v="12957606465"/>
    <s v="CAOI760706HGTSLS03"/>
    <n v="23278624"/>
    <n v="5214447222581"/>
    <x v="1"/>
    <n v="3605.17"/>
    <m/>
    <n v="1081.5509999999999"/>
    <n v="0"/>
    <m/>
  </r>
  <r>
    <x v="31"/>
    <d v="2026-08-01T00:00:00"/>
    <x v="26"/>
    <s v="CARLOS RICARDO BAHENA LOPEZ"/>
    <n v="64846431449"/>
    <s v="BALC640719HDFHPR02"/>
    <n v="23278750"/>
    <n v="5215513615353"/>
    <x v="2"/>
    <n v="9210.7800000000007"/>
    <n v="2761.91"/>
    <n v="2763.2339999999999"/>
    <n v="1.3240000000000691"/>
    <d v="2027-05-01T00:00:00"/>
  </r>
  <r>
    <x v="31"/>
    <d v="2026-07-31T00:00:00"/>
    <x v="20"/>
    <s v="ANTONIO "/>
    <n v="13796500224"/>
    <s v="MAAA650520HTLRRN07"/>
    <n v="23265016"/>
    <n v="5217841004130"/>
    <x v="0"/>
    <n v="11029.03"/>
    <m/>
    <n v="3308.7090000000003"/>
    <n v="3308.7090000000003"/>
    <m/>
  </r>
  <r>
    <x v="31"/>
    <d v="2026-08-01T00:00:00"/>
    <x v="35"/>
    <s v="Armando alcantara mayen"/>
    <m/>
    <s v="AAMA620714HDFLYR09"/>
    <n v="23280190"/>
    <n v="5551940746"/>
    <x v="6"/>
    <n v="7116.73"/>
    <n v="1746.84"/>
    <n v="2135.0189999999998"/>
    <n v="388.17899999999986"/>
    <d v="2024-10-01T00:00:00"/>
  </r>
  <r>
    <x v="31"/>
    <d v="2026-08-01T00:00:00"/>
    <x v="14"/>
    <s v="ANGEL ARTURO LUIS PERALTA "/>
    <m/>
    <s v="RUPA651215HDFZRN07"/>
    <n v="23278616"/>
    <n v="5215529408644"/>
    <x v="2"/>
    <n v="12680.66"/>
    <n v="3677.75"/>
    <n v="3804.1979999999999"/>
    <n v="126.44799999999987"/>
    <d v="2028-07-01T00:00:00"/>
  </r>
  <r>
    <x v="31"/>
    <d v="2026-08-01T00:00:00"/>
    <x v="13"/>
    <s v="J. GUADALUPE GARCIA SANCHEZ"/>
    <n v="41664611120"/>
    <s v="GASG461009HSPRND13"/>
    <n v="23272004"/>
    <n v="5213320504511"/>
    <x v="0"/>
    <n v="11051.1"/>
    <m/>
    <n v="3315.33"/>
    <n v="3315.33"/>
    <m/>
  </r>
  <r>
    <x v="31"/>
    <d v="2026-07-31T00:00:00"/>
    <x v="13"/>
    <s v="MANUEL MARTINEZ CADENA"/>
    <n v="24886635895"/>
    <s v="MACM660128HSRRDN09"/>
    <n v="23268912"/>
    <n v="5216621078299"/>
    <x v="0"/>
    <n v="11029.03"/>
    <m/>
    <n v="3308.7090000000003"/>
    <n v="3308.7090000000003"/>
    <m/>
  </r>
  <r>
    <x v="31"/>
    <d v="2026-08-01T00:00:00"/>
    <x v="6"/>
    <s v="JULIO FRANCISCO MARQUEZ FERNANDEZ "/>
    <m/>
    <s v="MAFJ610616HVZRRL01"/>
    <n v="23279090"/>
    <n v="5219211609298"/>
    <x v="0"/>
    <n v="7116.73"/>
    <m/>
    <n v="2135.0189999999998"/>
    <n v="2135.0189999999998"/>
    <m/>
  </r>
  <r>
    <x v="31"/>
    <d v="2026-07-31T00:00:00"/>
    <x v="13"/>
    <s v="ISTVAN KADAS SZENASY"/>
    <n v="11765792715"/>
    <s v="KASI571118HDFDZS07"/>
    <n v="23267952"/>
    <n v="5215539730779"/>
    <x v="1"/>
    <n v="4342.43"/>
    <m/>
    <n v="1302.729"/>
    <n v="169.45000000000073"/>
    <m/>
  </r>
  <r>
    <x v="31"/>
    <d v="2026-08-01T00:00:00"/>
    <x v="14"/>
    <s v="GREGORIO EDUARDO MARTINEZ ZUÑIGA"/>
    <m/>
    <s v="MAZG610219HVZRXR02"/>
    <n v="23279662"/>
    <n v="5217821210595"/>
    <x v="2"/>
    <n v="6262.86"/>
    <n v="1877.96"/>
    <n v="1878.8579999999997"/>
    <n v="0.8979999999996835"/>
    <d v="2027-11-01T00:00:00"/>
  </r>
  <r>
    <x v="31"/>
    <d v="2026-08-01T00:00:00"/>
    <x v="26"/>
    <s v="JOSE ANGEL NIEVES MENDEZ"/>
    <m/>
    <s v="NIMA571015HDGVNN06"/>
    <n v="23279722"/>
    <n v="5216771030654"/>
    <x v="1"/>
    <n v="4199.87"/>
    <n v="848"/>
    <n v="1259.961"/>
    <n v="-821.10999999999967"/>
    <m/>
  </r>
  <r>
    <x v="31"/>
    <d v="2026-08-01T00:00:00"/>
    <x v="28"/>
    <s v="JULIO GUSTAVO ESCARCEGA CERVANTES"/>
    <s v="01796272662_x000a_"/>
    <s v="EACJ620407HDFSRL07"/>
    <n v="23279738"/>
    <n v="5216861431996"/>
    <x v="2"/>
    <n v="9504.7000000000007"/>
    <n v="2834.02"/>
    <n v="2851.4100000000003"/>
    <n v="17.390000000000327"/>
    <d v="2028-04-01T00:00:00"/>
  </r>
  <r>
    <x v="31"/>
    <d v="2026-07-31T00:00:00"/>
    <x v="20"/>
    <s v="ISABEL GARCIA"/>
    <n v="72856433098"/>
    <m/>
    <n v="23262108"/>
    <n v="5216122305581"/>
    <x v="2"/>
    <n v="14812.1"/>
    <n v="4285.5"/>
    <n v="4443.63"/>
    <n v="158.13000000000011"/>
    <d v="2027-01-01T00:00:00"/>
  </r>
  <r>
    <x v="31"/>
    <d v="2026-08-01T00:00:00"/>
    <x v="26"/>
    <s v="FRANCISCO ABARCA LOPEZ"/>
    <n v="72855901426"/>
    <s v="AALF590709HGRBPR05"/>
    <n v="23278208"/>
    <n v="5217531633649"/>
    <x v="0"/>
    <n v="10536.35"/>
    <n v="1637.96"/>
    <n v="3160.9050000000002"/>
    <n v="1522.9450000000002"/>
    <d v="2026-09-01T00:00:00"/>
  </r>
  <r>
    <x v="31"/>
    <d v="2026-08-01T00:00:00"/>
    <x v="0"/>
    <s v="ENRIQUE JAVIER BELMONTE ARENAS"/>
    <n v="51786101165"/>
    <s v="BEAE610912HASLRN04"/>
    <n v="23280818"/>
    <n v="5214494586050"/>
    <x v="2"/>
    <n v="24271.84"/>
    <n v="7271.03"/>
    <n v="7281.5519999999997"/>
    <n v="10.521999999999935"/>
    <d v="2027-02-01T00:00:00"/>
  </r>
  <r>
    <x v="31"/>
    <d v="2026-08-01T00:00:00"/>
    <x v="28"/>
    <s v="LETICIA VALENZUELA ESCAMILLA"/>
    <s v="23877222754"/>
    <s v=" VAEL700618MBCLST03"/>
    <n v="23269236"/>
    <n v="5216675787395"/>
    <x v="4"/>
    <m/>
    <m/>
    <n v="0"/>
    <n v="0"/>
    <m/>
  </r>
  <r>
    <x v="31"/>
    <d v="2026-08-01T00:00:00"/>
    <x v="37"/>
    <s v="LILIA DEL CARMEN TORRES TAMAYO"/>
    <n v="82836604767"/>
    <s v="TOTL660805MYNRML05"/>
    <n v="23281462"/>
    <n v="5219912170555"/>
    <x v="3"/>
    <n v="4541.58"/>
    <m/>
    <n v="1362.4739999999999"/>
    <n v="368.60000000000036"/>
    <m/>
  </r>
  <r>
    <x v="31"/>
    <d v="2026-08-01T00:00:00"/>
    <x v="19"/>
    <m/>
    <m/>
    <s v="SACL651207HDFNRS04"/>
    <n v="23280426"/>
    <n v="5643718824"/>
    <x v="2"/>
    <n v="10525.73"/>
    <n v="3155.53"/>
    <n v="3157.7189999999996"/>
    <n v="2.1889999999993961"/>
    <d v="2028-02-01T00:00:00"/>
  </r>
  <r>
    <x v="31"/>
    <d v="2026-08-01T00:00:00"/>
    <x v="42"/>
    <s v="Jose Isidro Gómez reyes "/>
    <m/>
    <s v="GORI500515HVZMYS06"/>
    <n v="23266716"/>
    <n v="5212721755543"/>
    <x v="1"/>
    <n v="4136.6099999999997"/>
    <m/>
    <n v="1240.9829999999999"/>
    <n v="0"/>
    <m/>
  </r>
  <r>
    <x v="31"/>
    <d v="2026-08-01T00:00:00"/>
    <x v="42"/>
    <s v="JAVIER MARTINEZ OLGUIN "/>
    <n v="10815911556"/>
    <m/>
    <n v="23282022"/>
    <n v="5219982015487"/>
    <x v="0"/>
    <n v="16742.91"/>
    <m/>
    <n v="5022.8729999999996"/>
    <n v="5022.8729999999996"/>
    <m/>
  </r>
  <r>
    <x v="31"/>
    <d v="2026-08-01T00:00:00"/>
    <x v="45"/>
    <m/>
    <n v="32866580841"/>
    <m/>
    <n v="23281854"/>
    <n v="8441032767"/>
    <x v="0"/>
    <n v="9760.32"/>
    <n v="848"/>
    <n v="2928.096"/>
    <n v="2080.096"/>
    <m/>
  </r>
  <r>
    <x v="31"/>
    <d v="2026-08-01T00:00:00"/>
    <x v="36"/>
    <s v="_x0009_SANTIAGO RUIZ"/>
    <m/>
    <s v="RUCS590901HOCZRN11"/>
    <n v="23281456"/>
    <n v="9712630208"/>
    <x v="2"/>
    <n v="4813.6899999999996"/>
    <n v="589.46"/>
    <n v="1444.1069999999997"/>
    <n v="51.25"/>
    <d v="2026-12-01T00:00:00"/>
  </r>
  <r>
    <x v="31"/>
    <d v="2026-08-01T00:00:00"/>
    <x v="37"/>
    <s v="MA.REBECA PEREZ FERRER"/>
    <m/>
    <s v="PEFR650930MMNRRB03"/>
    <n v="23282696"/>
    <n v="5214361052043"/>
    <x v="2"/>
    <n v="32424.639999999999"/>
    <n v="9720.76"/>
    <n v="9727.3919999999998"/>
    <n v="6.6319999999996071"/>
    <d v="2028-06-01T00:00:00"/>
  </r>
  <r>
    <x v="31"/>
    <d v="2026-08-01T00:00:00"/>
    <x v="28"/>
    <s v="JOSE SIMON SAUCEDO REYES"/>
    <s v="3181590913"/>
    <s v="SARS590930HZSCYM01"/>
    <n v="23277374"/>
    <n v="5214921368960"/>
    <x v="6"/>
    <n v="6543.63"/>
    <n v="1815.94"/>
    <n v="1963.0889999999999"/>
    <n v="147.14899999999989"/>
    <d v="2026-05-01T00:00:00"/>
  </r>
  <r>
    <x v="31"/>
    <d v="2026-08-01T00:00:00"/>
    <x v="37"/>
    <s v="JORGE MANUEL CRUZ"/>
    <n v="65765510584"/>
    <s v="MACJ550423HVZNRR04"/>
    <n v="23280628"/>
    <n v="5217841337416"/>
    <x v="1"/>
    <n v="4153.45"/>
    <m/>
    <n v="1246.0349999999999"/>
    <n v="0"/>
    <m/>
  </r>
  <r>
    <x v="31"/>
    <d v="2026-08-01T00:00:00"/>
    <x v="28"/>
    <s v="NORMA ADRIANA LARA ORTEGA"/>
    <s v="54816309345"/>
    <s v="LAON640505MJCRRR04"/>
    <n v="23279482"/>
    <n v="5213326780392"/>
    <x v="2"/>
    <n v="9081.52"/>
    <n v="2617.79"/>
    <n v="2724.4560000000001"/>
    <n v="106.66600000000017"/>
    <d v="2027-04-01T00:00:00"/>
  </r>
  <r>
    <x v="31"/>
    <d v="2026-08-01T00:00:00"/>
    <x v="0"/>
    <s v="YARA EKEBA CALDERON BRAVO"/>
    <n v="21836737169"/>
    <s v="CABY810326MBCLRR05"/>
    <n v="23281266"/>
    <n v="5216868849411"/>
    <x v="4"/>
    <m/>
    <m/>
    <n v="0"/>
    <n v="0"/>
    <m/>
  </r>
  <r>
    <x v="31"/>
    <d v="2026-07-13T00:00:00"/>
    <x v="6"/>
    <s v="VICTOR DE LA O MARTINEZ "/>
    <n v="20926909209"/>
    <s v="OXMV690707HDFXRC04"/>
    <n v="22665472"/>
    <n v="5215561587638"/>
    <x v="9"/>
    <n v="34716.49"/>
    <n v="9671.43"/>
    <n v="10414.946999999998"/>
    <n v="743.51699999999801"/>
    <d v="2026-03-01T00:00:00"/>
  </r>
  <r>
    <x v="31"/>
    <d v="2026-07-31T00:00:00"/>
    <x v="26"/>
    <s v="MARCO ANTONIO LEON GONZALEZ"/>
    <n v="23725600375"/>
    <s v="LEGM560130HSLNNR03"/>
    <n v="23267250"/>
    <n v="5216671000501"/>
    <x v="2"/>
    <n v="14507.4"/>
    <n v="4234.8599999999997"/>
    <n v="4352.2199999999993"/>
    <n v="117.35999999999967"/>
    <d v="2028-03-01T00:00:00"/>
  </r>
  <r>
    <x v="31"/>
    <d v="2026-08-01T00:00:00"/>
    <x v="35"/>
    <s v="JULIO CESAR PEREZ"/>
    <n v="65634517463"/>
    <m/>
    <n v="23281970"/>
    <n v="2291702382"/>
    <x v="2"/>
    <n v="24031.29"/>
    <n v="7207.68"/>
    <n v="7209.3869999999997"/>
    <n v="1.7069999999994252"/>
    <d v="2026-12-01T00:00:00"/>
  </r>
  <r>
    <x v="31"/>
    <d v="2026-08-01T00:00:00"/>
    <x v="26"/>
    <s v="MARIA ANGELICA NATIVIDAD MORALES ROSALES"/>
    <n v="62816424592"/>
    <s v="MORA640601MPLRSN01"/>
    <n v="23279078"/>
    <n v="5215521442401"/>
    <x v="2"/>
    <n v="9081.52"/>
    <n v="2724.46"/>
    <n v="2724.4560000000001"/>
    <n v="-3.9999999999054126E-3"/>
    <d v="2028-02-01T00:00:00"/>
  </r>
  <r>
    <x v="31"/>
    <d v="2026-07-31T00:00:00"/>
    <x v="20"/>
    <s v="SALUSTIO"/>
    <m/>
    <s v="EIMS500914HMSNDL14"/>
    <n v="23283866"/>
    <n v="5217531315418"/>
    <x v="1"/>
    <n v="3866.25"/>
    <n v="848"/>
    <n v="1159.875"/>
    <n v="-848"/>
    <m/>
  </r>
  <r>
    <x v="31"/>
    <d v="2026-08-01T00:00:00"/>
    <x v="37"/>
    <s v="HILDA ESTRADA"/>
    <n v="43946212123"/>
    <m/>
    <n v="23282000"/>
    <n v="5218186848274"/>
    <x v="6"/>
    <n v="7116.73"/>
    <n v="1894.66"/>
    <n v="2135.0189999999998"/>
    <n v="240.3589999999997"/>
    <d v="2026-08-01T00:00:00"/>
  </r>
  <r>
    <x v="31"/>
    <d v="2026-08-01T00:00:00"/>
    <x v="42"/>
    <s v="eduardo farfan lopez"/>
    <s v="11947719404"/>
    <m/>
    <n v="23284122"/>
    <n v="5215565149857"/>
    <x v="2"/>
    <n v="7135.6"/>
    <n v="2064.4899999999998"/>
    <n v="2140.6799999999998"/>
    <n v="76.190000000000055"/>
    <d v="2027-02-01T00:00:00"/>
  </r>
  <r>
    <x v="31"/>
    <d v="2026-07-31T00:00:00"/>
    <x v="6"/>
    <s v="MARCOS JESUS CRUZ CARRANZA "/>
    <m/>
    <s v="CUCM590308HVZRRR01"/>
    <n v="23254644"/>
    <n v="5219613291778"/>
    <x v="0"/>
    <n v="5671.51"/>
    <m/>
    <n v="1701.453"/>
    <n v="1498.5300000000007"/>
    <m/>
  </r>
  <r>
    <x v="31"/>
    <d v="2026-07-31T00:00:00"/>
    <x v="13"/>
    <s v="JOSE LUIS PANIAGUA CARRILLO"/>
    <n v="53806100508"/>
    <s v="PACL610927HMNNRS04"/>
    <n v="23269072"/>
    <n v="5214591230115"/>
    <x v="0"/>
    <n v="6262.86"/>
    <m/>
    <n v="1878.8579999999997"/>
    <n v="1878.8579999999997"/>
    <m/>
  </r>
  <r>
    <x v="31"/>
    <d v="2026-07-31T00:00:00"/>
    <x v="13"/>
    <s v="ANDRES TORRES TORRES"/>
    <n v="1284654439"/>
    <s v="TOTA651020HGTRRN05"/>
    <n v="23255780"/>
    <n v="5214779134337"/>
    <x v="2"/>
    <n v="9760.32"/>
    <n v="2914.24"/>
    <n v="2928.096"/>
    <n v="13.856000000000222"/>
    <d v="2028-02-01T00:00:00"/>
  </r>
  <r>
    <x v="31"/>
    <d v="2026-08-01T00:00:00"/>
    <x v="44"/>
    <s v="Juan Rodriguez Rodriguez"/>
    <m/>
    <s v="RORJ630910HMCDDN08"/>
    <n v="23283264"/>
    <n v="5653397294"/>
    <x v="2"/>
    <n v="12017.89"/>
    <n v="3475.37"/>
    <n v="3605.3669999999997"/>
    <n v="129.99699999999984"/>
    <d v="2027-07-01T00:00:00"/>
  </r>
  <r>
    <x v="31"/>
    <d v="2026-08-01T00:00:00"/>
    <x v="35"/>
    <s v="JOEL CARVAJAL MENDEZ"/>
    <m/>
    <s v="CAMJ590714HSRRNL05"/>
    <n v="23284304"/>
    <n v="6871789395"/>
    <x v="2"/>
    <n v="24501.4"/>
    <n v="7085.2"/>
    <n v="7350.42"/>
    <n v="265.22000000000025"/>
    <d v="2027-12-01T00:00:00"/>
  </r>
  <r>
    <x v="31"/>
    <d v="2026-08-01T00:00:00"/>
    <x v="35"/>
    <s v="Maria de los angeles alcazar bravo"/>
    <m/>
    <s v="AABA560802MDFLRN07"/>
    <n v="23284602"/>
    <n v="4423357603"/>
    <x v="1"/>
    <n v="4342.43"/>
    <m/>
    <n v="1302.729"/>
    <n v="169.45000000000073"/>
    <m/>
  </r>
  <r>
    <x v="31"/>
    <d v="2026-08-01T00:00:00"/>
    <x v="44"/>
    <s v="Ruben Rodriguez Ramirez"/>
    <m/>
    <s v="RORR640430HDFDMB00"/>
    <n v="23282816"/>
    <n v="5637849639"/>
    <x v="2"/>
    <n v="13335.19"/>
    <n v="3791.15"/>
    <n v="4000.5569999999998"/>
    <n v="209.4069999999997"/>
    <d v="2027-07-01T00:00:00"/>
  </r>
  <r>
    <x v="31"/>
    <d v="2026-08-01T00:00:00"/>
    <x v="37"/>
    <s v="MARIA LOURDES ARMENTA PLATA"/>
    <n v="10786063254"/>
    <s v="AEPL600908MDFRLR01"/>
    <n v="23284422"/>
    <n v="5215652041208"/>
    <x v="2"/>
    <n v="7920.51"/>
    <n v="2375.4499999999998"/>
    <n v="2376.1529999999998"/>
    <n v="0.70299999999997453"/>
    <d v="2027-06-01T00:00:00"/>
  </r>
  <r>
    <x v="31"/>
    <d v="2026-08-01T00:00:00"/>
    <x v="42"/>
    <s v="LUIS ENRIQUE RODRIGUEZ GARCIA"/>
    <m/>
    <s v="_x0009_ROGJ591015HNLDRM00"/>
    <n v="23283572"/>
    <n v="5218128774826"/>
    <x v="2"/>
    <n v="9081.52"/>
    <n v="2627.5"/>
    <n v="2724.4560000000001"/>
    <n v="96.956000000000131"/>
    <d v="2027-03-01T00:00:00"/>
  </r>
  <r>
    <x v="31"/>
    <d v="2026-07-31T00:00:00"/>
    <x v="45"/>
    <s v="Magdalena Miron Martinez"/>
    <s v="05705301454"/>
    <s v="MEEM530426HVZZSR09"/>
    <n v="23261232"/>
    <n v="2227106370"/>
    <x v="4"/>
    <m/>
    <m/>
    <n v="0"/>
    <n v="0"/>
    <m/>
  </r>
  <r>
    <x v="31"/>
    <d v="2026-07-25T00:00:00"/>
    <x v="28"/>
    <s v="JUVENTINO RIVERA MOLINERO"/>
    <s v="54806152960"/>
    <s v=" RIMJ611220HMNVLV04"/>
    <n v="23093896"/>
    <n v="5217702003661"/>
    <x v="2"/>
    <n v="7116.73"/>
    <n v="2058.6999999999998"/>
    <n v="2135.0189999999998"/>
    <n v="76.31899999999996"/>
    <d v="2027-04-01T00:00:00"/>
  </r>
  <r>
    <x v="31"/>
    <d v="2026-08-01T00:00:00"/>
    <x v="45"/>
    <s v="Lucia Roman Jimenez"/>
    <n v="55796302804"/>
    <m/>
    <n v="23283864"/>
    <n v="3111307134"/>
    <x v="2"/>
    <n v="9081.4"/>
    <n v="2521.23"/>
    <n v="2724.4199999999996"/>
    <n v="203.1899999999996"/>
    <d v="2026-11-01T00:00:00"/>
  </r>
  <r>
    <x v="31"/>
    <d v="2026-08-01T00:00:00"/>
    <x v="45"/>
    <s v="Jesus Guzman Fierro"/>
    <n v="55796002198"/>
    <m/>
    <n v="23283864"/>
    <n v="3111307134"/>
    <x v="2"/>
    <n v="6262.86"/>
    <n v="1870"/>
    <n v="1878.8579999999997"/>
    <n v="8.8579999999997199"/>
    <d v="2028-03-01T00:00:00"/>
  </r>
  <r>
    <x v="31"/>
    <d v="2026-08-01T00:00:00"/>
    <x v="26"/>
    <s v="FRANCISCO LOPEZ CASTAÑEDA"/>
    <n v="43826901340"/>
    <s v="LOCF691201HNLPSR03"/>
    <n v="23278408"/>
    <n v="5218121920606"/>
    <x v="9"/>
    <n v="10866.89"/>
    <n v="1127.74"/>
    <n v="3260.0669999999996"/>
    <n v="2132.3269999999993"/>
    <d v="2024-02-01T00:00:00"/>
  </r>
  <r>
    <x v="31"/>
    <d v="2026-07-31T00:00:00"/>
    <x v="6"/>
    <s v="ALMA ROSA MEDINA KOCH"/>
    <n v="41957213014"/>
    <s v="MEKA720710MSPDCL04"/>
    <n v="23267154"/>
    <n v="5214448475658"/>
    <x v="1"/>
    <n v="1550.31"/>
    <m/>
    <n v="465.09299999999996"/>
    <n v="0"/>
    <m/>
  </r>
  <r>
    <x v="31"/>
    <d v="2026-08-01T00:00:00"/>
    <x v="0"/>
    <s v="GUADALUPE DOLORES TELLO ROLDAN"/>
    <m/>
    <s v="TERG541212MPLLLD08"/>
    <n v="23283412"/>
    <n v="5215554762440"/>
    <x v="2"/>
    <n v="15487.31"/>
    <n v="4480.8500000000004"/>
    <n v="4646.1929999999993"/>
    <n v="165.34299999999894"/>
    <d v="2027-11-01T00:00:00"/>
  </r>
  <r>
    <x v="31"/>
    <d v="2026-07-31T00:00:00"/>
    <x v="14"/>
    <s v="JORGE REYES COLIN"/>
    <n v="10856550180"/>
    <s v="RECJ651209HMCYLR02"/>
    <n v="23267408"/>
    <n v="5215535544267"/>
    <x v="2"/>
    <n v="12008.9"/>
    <n v="3601.23"/>
    <n v="3602.6699999999996"/>
    <n v="1.4399999999995998"/>
    <d v="2026-09-01T00:00:00"/>
  </r>
  <r>
    <x v="31"/>
    <d v="2026-08-01T00:00:00"/>
    <x v="28"/>
    <s v="OSCAR HUMBERTO NIEBLAS LOPEZ"/>
    <m/>
    <s v=" NILO600320HSLBPS01"/>
    <n v="23269474"/>
    <n v="5216681015918"/>
    <x v="2"/>
    <n v="7116.73"/>
    <n v="2059.04"/>
    <n v="2135.0189999999998"/>
    <n v="75.978999999999814"/>
    <d v="2027-09-01T00:00:00"/>
  </r>
  <r>
    <x v="31"/>
    <d v="2026-08-01T00:00:00"/>
    <x v="45"/>
    <s v="Juan Armando Berdon Alva"/>
    <m/>
    <s v="BEAJ640808HVZRLN04"/>
    <n v="23284228"/>
    <n v="2941292964"/>
    <x v="0"/>
    <n v="16215.72"/>
    <m/>
    <n v="4864.7159999999994"/>
    <n v="4864.7159999999994"/>
    <m/>
  </r>
  <r>
    <x v="31"/>
    <d v="2026-08-01T00:00:00"/>
    <x v="0"/>
    <s v="JOSE JOAQUIN PASCUAL DAZA CERVANTES"/>
    <m/>
    <s v="DACJ490816HDFZRQ04"/>
    <n v="23280176"/>
    <n v="5215549684822"/>
    <x v="0"/>
    <n v="11127.99"/>
    <m/>
    <n v="3338.3969999999999"/>
    <n v="3338.3969999999999"/>
    <m/>
  </r>
  <r>
    <x v="31"/>
    <d v="2026-07-27T00:00:00"/>
    <x v="26"/>
    <s v="ALEJANDRO PEREZ ESCOBAR"/>
    <n v="71796114123"/>
    <s v="PEEA600717HCSRSL11"/>
    <n v="23135578"/>
    <n v="5219622585426"/>
    <x v="3"/>
    <n v="6262.88"/>
    <n v="1485.93"/>
    <n v="1878.864"/>
    <n v="392.93399999999997"/>
    <d v="2027-05-01T00:00:00"/>
  </r>
  <r>
    <x v="31"/>
    <d v="2026-08-01T00:00:00"/>
    <x v="42"/>
    <s v="RUBEN HERNANDEZ BENITEZ"/>
    <m/>
    <s v="_x0009_HEBR520815HMCRNB04"/>
    <n v="23285944"/>
    <n v="5214611382926"/>
    <x v="0"/>
    <n v="7116.73"/>
    <m/>
    <n v="2135.0189999999998"/>
    <n v="2135.0189999999998"/>
    <m/>
  </r>
  <r>
    <x v="31"/>
    <d v="2026-08-01T00:00:00"/>
    <x v="45"/>
    <s v="Jose Galarza Campos"/>
    <m/>
    <s v="GACJ640813HDGLMS01"/>
    <n v="23284550"/>
    <n v="6183025008"/>
    <x v="2"/>
    <n v="9760.32"/>
    <n v="2812.1"/>
    <n v="2928.096"/>
    <n v="115.99600000000009"/>
    <d v="2027-11-01T00:00:00"/>
  </r>
  <r>
    <x v="31"/>
    <d v="2026-08-01T00:00:00"/>
    <x v="19"/>
    <m/>
    <n v="33876667404"/>
    <m/>
    <n v="23285670"/>
    <n v="6142100839"/>
    <x v="0"/>
    <n v="10636.54"/>
    <m/>
    <n v="3190.962"/>
    <n v="3190.962"/>
    <m/>
  </r>
  <r>
    <x v="31"/>
    <d v="2026-08-01T00:00:00"/>
    <x v="0"/>
    <s v="HECTOR RAUL MARTINEZ GARZA"/>
    <m/>
    <s v="MAGH620319HNLRRC08"/>
    <n v="23284280"/>
    <n v="5218711526273"/>
    <x v="0"/>
    <n v="49661.65"/>
    <m/>
    <n v="14898.494999999999"/>
    <n v="14898.494999999999"/>
    <m/>
  </r>
  <r>
    <x v="31"/>
    <d v="2026-07-29T00:00:00"/>
    <x v="28"/>
    <s v="JOSE MARTIN MACIAS ESPINOZA"/>
    <s v="21816258475"/>
    <s v="MAEM620205HBCCSR08"/>
    <n v="23201360"/>
    <n v="5216651084099"/>
    <x v="0"/>
    <n v="9760.32"/>
    <m/>
    <n v="2928.096"/>
    <n v="2928.096"/>
    <m/>
  </r>
  <r>
    <x v="31"/>
    <d v="2026-08-01T00:00:00"/>
    <x v="0"/>
    <s v="MARCO ANTONIO CRUZ SEVILLA"/>
    <m/>
    <s v="CUSM610523HDFRVR05"/>
    <n v="23286704"/>
    <n v="5219221383247"/>
    <x v="3"/>
    <n v="15672.75"/>
    <n v="4268.13"/>
    <n v="4701.8249999999998"/>
    <n v="433.69499999999971"/>
    <d v="2027-09-01T00:00:00"/>
  </r>
  <r>
    <x v="31"/>
    <d v="2026-08-01T00:00:00"/>
    <x v="20"/>
    <s v="ROBERTO VARGAS"/>
    <n v="65975600092"/>
    <m/>
    <n v="23285540"/>
    <n v="5212283135127"/>
    <x v="2"/>
    <n v="6262.86"/>
    <n v="1872.38"/>
    <n v="1878.8579999999997"/>
    <n v="6.4779999999996107"/>
    <d v="2026-09-01T00:00:00"/>
  </r>
  <r>
    <x v="31"/>
    <d v="2026-08-01T00:00:00"/>
    <x v="20"/>
    <s v="RAUL GOMEZ"/>
    <n v="23806419315"/>
    <m/>
    <n v="23284232"/>
    <n v="5216641425325"/>
    <x v="2"/>
    <n v="9760.32"/>
    <n v="2471.6799999999998"/>
    <n v="2928.096"/>
    <n v="456.41600000000017"/>
    <d v="2027-10-01T00:00:00"/>
  </r>
  <r>
    <x v="31"/>
    <d v="2026-08-01T00:00:00"/>
    <x v="20"/>
    <s v="JAVIER HERNANDEZ "/>
    <n v="35917453330"/>
    <m/>
    <n v="23286210"/>
    <n v="5216391066416"/>
    <x v="1"/>
    <n v="5077.9799999999996"/>
    <n v="848"/>
    <n v="1523.3939999999998"/>
    <n v="57"/>
    <m/>
  </r>
  <r>
    <x v="31"/>
    <d v="2026-08-01T00:00:00"/>
    <x v="20"/>
    <s v="PEDRO"/>
    <n v="10765766687"/>
    <m/>
    <n v="23286464"/>
    <n v="5215579623705"/>
    <x v="2"/>
    <n v="25185.37"/>
    <n v="7286.4"/>
    <n v="7555.610999999999"/>
    <n v="269.21099999999933"/>
    <d v="2026-09-01T00:00:00"/>
  </r>
  <r>
    <x v="31"/>
    <d v="2026-08-01T00:00:00"/>
    <x v="20"/>
    <s v="MARTHA "/>
    <n v="23735501167"/>
    <m/>
    <n v="23287366"/>
    <n v="5216682504782"/>
    <x v="2"/>
    <n v="5668.03"/>
    <n v="1441"/>
    <n v="1700.4089999999999"/>
    <n v="54.050000000000182"/>
    <d v="2027-06-01T00:00:00"/>
  </r>
  <r>
    <x v="31"/>
    <d v="2026-08-01T00:00:00"/>
    <x v="35"/>
    <s v="Renato Martinez ibarra"/>
    <m/>
    <s v="MAIR620405HJCRBN03"/>
    <n v="23285808"/>
    <n v="3320285042"/>
    <x v="6"/>
    <n v="7116.73"/>
    <n v="1747.63"/>
    <n v="2135.0189999999998"/>
    <n v="387.38899999999967"/>
    <d v="2025-01-01T00:00:00"/>
  </r>
  <r>
    <x v="31"/>
    <d v="2026-08-01T00:00:00"/>
    <x v="0"/>
    <s v="JUANA DE DIOS ARIAS DE LA CRUZ"/>
    <m/>
    <s v="AICJ630308MCSRRN04"/>
    <n v="23287736"/>
    <n v="5219611448700"/>
    <x v="5"/>
    <m/>
    <m/>
    <n v="0"/>
    <n v="0"/>
    <m/>
  </r>
  <r>
    <x v="32"/>
    <d v="2026-08-01T00:00:00"/>
    <x v="11"/>
    <s v="JUAN ANTONIO REYES GALVAN "/>
    <m/>
    <s v="REGJ601012HGTYLN07"/>
    <n v="23288712"/>
    <n v="5214771513584"/>
    <x v="2"/>
    <n v="5617.63"/>
    <n v="1392.23"/>
    <n v="1685.289"/>
    <n v="52.420000000000528"/>
    <d v="2027-02-01T00:00:00"/>
  </r>
  <r>
    <x v="32"/>
    <d v="2026-08-02T00:00:00"/>
    <x v="11"/>
    <s v="honorio dzib dzib "/>
    <m/>
    <s v="DIDH420101HYNZZN03"/>
    <n v="23292692"/>
    <n v="5219834403758"/>
    <x v="1"/>
    <n v="4035.69"/>
    <m/>
    <n v="1210.7069999999999"/>
    <n v="0"/>
    <m/>
  </r>
  <r>
    <x v="32"/>
    <d v="2026-08-02T00:00:00"/>
    <x v="11"/>
    <s v="Marco Antonio León López"/>
    <m/>
    <s v="LELM550627HVZNPR05"/>
    <n v="23291638"/>
    <n v="5218994800755"/>
    <x v="1"/>
    <n v="3961.31"/>
    <m/>
    <n v="1188.393"/>
    <n v="0"/>
    <m/>
  </r>
  <r>
    <x v="32"/>
    <d v="2026-08-02T00:00:00"/>
    <x v="29"/>
    <s v="NICOLAS IBARRA ALVAREZ"/>
    <n v="55806109371"/>
    <m/>
    <n v="23288758"/>
    <n v="5213223035026"/>
    <x v="2"/>
    <n v="6425.73"/>
    <n v="1927.72"/>
    <n v="1927.7189999999998"/>
    <n v="-1.0000000002037268E-3"/>
    <d v="2028-01-01T00:00:00"/>
  </r>
  <r>
    <x v="32"/>
    <d v="2026-08-02T00:00:00"/>
    <x v="11"/>
    <s v="LAURA ELENA BLANCO SANCHEZ "/>
    <m/>
    <s v="BASL580310MCLLNR09"/>
    <n v="23295776"/>
    <n v="5218141928244"/>
    <x v="1"/>
    <n v="4342.43"/>
    <m/>
    <n v="1302.729"/>
    <n v="169.45000000000073"/>
    <m/>
  </r>
  <r>
    <x v="32"/>
    <d v="2026-08-02T00:00:00"/>
    <x v="29"/>
    <s v="MARTIN FRANCISCO LOPEZ GARCIA"/>
    <n v="33705226505"/>
    <s v="LOGM510615HDGPRR08"/>
    <n v="23288164"/>
    <n v="5216142343932"/>
    <x v="2"/>
    <n v="20772.189999999999"/>
    <n v="6230.45"/>
    <n v="6231.6569999999992"/>
    <n v="1.2069999999994252"/>
    <d v="2027-06-01T00:00:00"/>
  </r>
  <r>
    <x v="32"/>
    <d v="2026-08-02T00:00:00"/>
    <x v="29"/>
    <s v="OLIVIA PEREZ ZAVALA"/>
    <s v="01563822707"/>
    <s v="PEZO441228MDFRVL01"/>
    <n v="23295766"/>
    <n v="5215513829133"/>
    <x v="2"/>
    <n v="5055.88"/>
    <n v="1300.19"/>
    <n v="1516.7639999999999"/>
    <n v="-417.28999999999951"/>
    <d v="2028-07-01T00:00:00"/>
  </r>
  <r>
    <x v="32"/>
    <d v="2026-08-02T00:00:00"/>
    <x v="11"/>
    <s v="ARMIDA LAU MORALES "/>
    <m/>
    <s v="LAMA650225MCSXRR04"/>
    <n v="23295916"/>
    <n v="5216691992417"/>
    <x v="2"/>
    <n v="9760.32"/>
    <n v="2821.95"/>
    <n v="2928.096"/>
    <n v="106.14600000000019"/>
    <d v="2027-06-01T00:00:00"/>
  </r>
  <r>
    <x v="32"/>
    <d v="2026-08-02T00:00:00"/>
    <x v="11"/>
    <s v="Martha Alicia Treviño Tristán"/>
    <s v="43796177194"/>
    <m/>
    <n v="23296304"/>
    <n v="5218116793467"/>
    <x v="2"/>
    <n v="7640.52"/>
    <n v="2292"/>
    <n v="2292.1559999999999"/>
    <n v="0.15599999999994907"/>
    <d v="2028-04-01T00:00:00"/>
  </r>
  <r>
    <x v="32"/>
    <d v="2026-08-02T00:00:00"/>
    <x v="29"/>
    <s v="Maria Guadalupe Trejo Muñoz"/>
    <m/>
    <s v="TEMG620324MNLRXD03"/>
    <n v="23296484"/>
    <n v="5218442958771"/>
    <x v="2"/>
    <n v="7116.73"/>
    <n v="1975.12"/>
    <n v="2135.0189999999998"/>
    <n v="159.89899999999989"/>
    <d v="2026-10-01T00:00:00"/>
  </r>
  <r>
    <x v="32"/>
    <d v="2026-08-02T00:00:00"/>
    <x v="40"/>
    <s v="Nazaria Alvarez Aguilar"/>
    <s v="78816008896"/>
    <s v="AAAN630728MOCLGZ03"/>
    <n v="23292832"/>
    <n v="5219712189356"/>
    <x v="2"/>
    <n v="4807.49"/>
    <n v="1051.58"/>
    <n v="1442.2469999999998"/>
    <n v="-417.06999999999971"/>
    <d v="2028-02-01T00:00:00"/>
  </r>
  <r>
    <x v="32"/>
    <d v="2026-08-02T00:00:00"/>
    <x v="40"/>
    <s v="Víctor Alberto Domínguez Gómez"/>
    <n v="20876616622"/>
    <s v="DOGV671127HDFMMC03"/>
    <n v="23293184"/>
    <n v="5215586829416"/>
    <x v="1"/>
    <n v="3494.87"/>
    <m/>
    <n v="1048.461"/>
    <n v="0"/>
    <m/>
  </r>
  <r>
    <x v="32"/>
    <d v="2026-08-02T00:00:00"/>
    <x v="11"/>
    <s v="RAQUEL MARIN GONZALEZ "/>
    <m/>
    <s v="MAGR621117MMCRNQ07"/>
    <n v="23297736"/>
    <n v="5215564635457"/>
    <x v="2"/>
    <n v="9760.32"/>
    <n v="2911.13"/>
    <n v="2928.096"/>
    <n v="16.965999999999894"/>
    <d v="2028-01-01T00:00:00"/>
  </r>
  <r>
    <x v="32"/>
    <d v="2026-08-02T00:00:00"/>
    <x v="29"/>
    <s v="Juan huerta arambula"/>
    <n v="32927241250"/>
    <m/>
    <n v="23297562"/>
    <n v="5216682173212"/>
    <x v="0"/>
    <n v="6755.26"/>
    <n v="758.75"/>
    <n v="2026.578"/>
    <n v="1267.828"/>
    <d v="2026-10-01T00:00:00"/>
  </r>
  <r>
    <x v="32"/>
    <d v="2026-08-02T00:00:00"/>
    <x v="11"/>
    <s v="PEDRO HERNANDEZ PEREZ "/>
    <m/>
    <s v="HEPP621025HSPRRD07"/>
    <n v="23298264"/>
    <n v="5214891105268"/>
    <x v="0"/>
    <n v="7116.73"/>
    <n v="695.59"/>
    <n v="2135.0189999999998"/>
    <n v="1439.4289999999996"/>
    <d v="2028-07-01T00:00:00"/>
  </r>
  <r>
    <x v="32"/>
    <d v="2026-08-01T00:00:00"/>
    <x v="11"/>
    <s v="ELFEGO OROPEZA MORALES "/>
    <m/>
    <s v="OOME501220HPLRRL00"/>
    <n v="23290160"/>
    <n v="5212288243853"/>
    <x v="5"/>
    <m/>
    <m/>
    <n v="0"/>
    <n v="0"/>
    <m/>
  </r>
  <r>
    <x v="32"/>
    <d v="2026-08-02T00:00:00"/>
    <x v="29"/>
    <s v="FERNANDO CHAVEZ MOLINA"/>
    <m/>
    <s v="CAMF610813HDFHLR05"/>
    <n v="23288008"/>
    <n v="5219904037570"/>
    <x v="2"/>
    <n v="7920.51"/>
    <n v="2291.3000000000002"/>
    <n v="2376.1529999999998"/>
    <n v="84.852999999999611"/>
    <d v="2027-05-01T00:00:00"/>
  </r>
  <r>
    <x v="32"/>
    <d v="2026-08-02T00:00:00"/>
    <x v="40"/>
    <s v="Rodolfo Guerra Velez"/>
    <n v="1644657148"/>
    <m/>
    <n v="23297994"/>
    <n v="5215521536207"/>
    <x v="2"/>
    <n v="14964.81"/>
    <n v="4489.43"/>
    <n v="4489.4429999999993"/>
    <n v="1.299999999901047E-2"/>
    <d v="2027-07-01T00:00:00"/>
  </r>
  <r>
    <x v="32"/>
    <d v="2026-07-30T00:00:00"/>
    <x v="11"/>
    <s v="JUAN MARTIN GARCIA GARCIA "/>
    <m/>
    <s v="GAGJ551111HGTRRN05"/>
    <n v="23233524"/>
    <n v="5214641196992"/>
    <x v="5"/>
    <m/>
    <m/>
    <n v="0"/>
    <n v="0"/>
    <m/>
  </r>
  <r>
    <x v="32"/>
    <d v="2026-08-02T00:00:00"/>
    <x v="29"/>
    <s v="CALIXTRO TORRES DELFIN"/>
    <n v="21755001159"/>
    <s v="TODC501014HNTRLL05"/>
    <n v="23288970"/>
    <n v="5213111593745"/>
    <x v="1"/>
    <m/>
    <m/>
    <n v="0"/>
    <n v="0"/>
    <m/>
  </r>
  <r>
    <x v="32"/>
    <d v="2026-08-02T00:00:00"/>
    <x v="29"/>
    <s v="PEDRO VALERIANO GONZALEZ PORTILLO"/>
    <n v="76805900024"/>
    <m/>
    <n v="23289344"/>
    <n v="5219511270715"/>
    <x v="1"/>
    <n v="4813.6900000000005"/>
    <n v="848"/>
    <n v="1444.1070000000002"/>
    <n v="-207.28999999999905"/>
    <m/>
  </r>
  <r>
    <x v="32"/>
    <d v="2026-08-02T00:00:00"/>
    <x v="40"/>
    <s v="Valente Mendoza Hurtado"/>
    <s v="08170176575"/>
    <m/>
    <n v="23292694"/>
    <n v="5214281029593"/>
    <x v="5"/>
    <m/>
    <m/>
    <n v="0"/>
    <n v="0"/>
    <m/>
  </r>
  <r>
    <x v="32"/>
    <d v="2026-08-01T00:00:00"/>
    <x v="40"/>
    <s v="Raymundo Lopez Rivera"/>
    <m/>
    <s v="LORR491115HQTPVY00"/>
    <n v="23290094"/>
    <n v="5214426598423"/>
    <x v="2"/>
    <n v="13191.9"/>
    <n v="3957.57"/>
    <n v="3957.5699999999997"/>
    <n v="0"/>
    <d v="2027-09-01T00:00:00"/>
  </r>
  <r>
    <x v="32"/>
    <d v="2026-08-02T00:00:00"/>
    <x v="40"/>
    <s v="Guadalupe Elena Ibarra Valencia"/>
    <n v="32745523772"/>
    <s v="IAVG630512MSLBLD05"/>
    <n v="23297342"/>
    <n v="5216681567210"/>
    <x v="2"/>
    <n v="48295.76"/>
    <n v="14475.28"/>
    <n v="14488.728000000001"/>
    <n v="13.44800000000032"/>
    <d v="2028-02-01T00:00:00"/>
  </r>
  <r>
    <x v="32"/>
    <d v="2026-08-01T00:00:00"/>
    <x v="29"/>
    <s v="MARGARITA GARCIA ORTIZ"/>
    <n v="10795993947"/>
    <s v="GAOM601025MCMRRR03"/>
    <n v="23289878"/>
    <n v="5213121046353"/>
    <x v="5"/>
    <m/>
    <m/>
    <n v="0"/>
    <n v="0"/>
    <m/>
  </r>
  <r>
    <x v="33"/>
    <d v="2026-08-03T00:00:00"/>
    <x v="31"/>
    <s v="MIGUEL ANGEL ALEGRIA MONROY"/>
    <n v="14816324249"/>
    <s v="AEMM630312HDFLNG04"/>
    <n v="2"/>
    <n v="4425481504"/>
    <x v="8"/>
    <m/>
    <m/>
    <n v="0"/>
    <n v="0"/>
    <m/>
  </r>
  <r>
    <x v="33"/>
    <d v="2026-08-03T00:00:00"/>
    <x v="31"/>
    <s v="RAUL MENDOZA VAZQUEZ"/>
    <n v="1681632167"/>
    <s v="MEVR630827HMNNZL00"/>
    <n v="2"/>
    <n v="2212058270"/>
    <x v="2"/>
    <n v="12807.35"/>
    <n v="3842.2"/>
    <n v="3842.2049999999999"/>
    <n v="5.0000000001091394E-3"/>
    <d v="2027-03-01T00:00:00"/>
  </r>
  <r>
    <x v="33"/>
    <d v="2026-08-02T00:00:00"/>
    <x v="40"/>
    <s v="Claudia Franco Espinoza"/>
    <n v="21947766255"/>
    <s v="FAEC771218MBCRSL07"/>
    <n v="23293444"/>
    <n v="5216862141831"/>
    <x v="2"/>
    <n v="7685.91"/>
    <n v="2288.86"/>
    <n v="2305.7729999999997"/>
    <n v="16.912999999999556"/>
    <d v="2028-05-01T00:00:00"/>
  </r>
  <r>
    <x v="33"/>
    <d v="2026-08-02T00:00:00"/>
    <x v="40"/>
    <s v="Mario Morales Guillen "/>
    <n v="53906510408"/>
    <m/>
    <n v="23293998"/>
    <n v="5217121332645"/>
    <x v="0"/>
    <n v="42341.38"/>
    <m/>
    <n v="12702.413999999999"/>
    <n v="12702.413999999999"/>
    <m/>
  </r>
  <r>
    <x v="33"/>
    <d v="2026-08-03T00:00:00"/>
    <x v="31"/>
    <s v="JUAN JOSE CERVANTES VELAZQUEZ"/>
    <s v="0677604496"/>
    <s v="CEVJ611121HDFRLN00"/>
    <n v="2"/>
    <n v="5662820327"/>
    <x v="2"/>
    <n v="5792.63"/>
    <n v="1549.01"/>
    <n v="1737.789"/>
    <n v="70.640000000000555"/>
    <d v="2027-06-01T00:00:00"/>
  </r>
  <r>
    <x v="33"/>
    <d v="2026-08-02T00:00:00"/>
    <x v="40"/>
    <s v="Aura Luz Garcia Lopez"/>
    <n v="83735701449"/>
    <m/>
    <n v="23295424"/>
    <n v="5219931624465"/>
    <x v="2"/>
    <n v="40870.370000000003"/>
    <n v="12259.44"/>
    <n v="12261.111000000001"/>
    <n v="1.6710000000002765"/>
    <d v="2027-08-01T00:00:00"/>
  </r>
  <r>
    <x v="33"/>
    <d v="2026-08-03T00:00:00"/>
    <x v="26"/>
    <s v="VICENTE CONTRERAS MOLINA"/>
    <n v="52845702142"/>
    <s v="COMV570406HCMNLC01"/>
    <n v="23313672"/>
    <n v="5213121140810"/>
    <x v="0"/>
    <n v="9760.32"/>
    <m/>
    <n v="2928.096"/>
    <n v="2928.096"/>
    <m/>
  </r>
  <r>
    <x v="33"/>
    <d v="2026-07-28T00:00:00"/>
    <x v="43"/>
    <s v="José Alberto Hernandez Hernandez"/>
    <m/>
    <s v="HEHA600201HDFRRL07"/>
    <n v="23188100"/>
    <n v="5215591440659"/>
    <x v="2"/>
    <n v="7755.08"/>
    <n v="2322.0700000000002"/>
    <n v="2326.5239999999999"/>
    <n v="4.4539999999997235"/>
    <d v="2028-03-01T00:00:00"/>
  </r>
  <r>
    <x v="33"/>
    <d v="2026-08-02T00:00:00"/>
    <x v="11"/>
    <s v="roberto lopez hernandez "/>
    <m/>
    <s v="LOHR650621HDFPRB09"/>
    <n v="23293672"/>
    <n v="5215517806146"/>
    <x v="0"/>
    <n v="11029.030000000002"/>
    <m/>
    <n v="3308.7090000000007"/>
    <n v="3308.7090000000007"/>
    <m/>
  </r>
  <r>
    <x v="33"/>
    <d v="2026-07-30T00:00:00"/>
    <x v="38"/>
    <s v="FELIPE DE JESUS RODRIGUEZ GUERRERO"/>
    <n v="31806321753"/>
    <s v="ROGF640205HCLDRL01"/>
    <n v="23241518"/>
    <n v="8717363344"/>
    <x v="0"/>
    <n v="11029.03"/>
    <m/>
    <n v="3308.7090000000003"/>
    <n v="3308.7090000000003"/>
    <m/>
  </r>
  <r>
    <x v="33"/>
    <d v="2026-08-03T00:00:00"/>
    <x v="29"/>
    <s v="francisco javier rincon de la cruz"/>
    <m/>
    <s v="RICF671022HJCNRR06"/>
    <n v="23297446"/>
    <n v="5213318834951"/>
    <x v="0"/>
    <n v="9582.4699999999993"/>
    <m/>
    <n v="2874.7409999999995"/>
    <n v="2874.7409999999995"/>
    <m/>
  </r>
  <r>
    <x v="33"/>
    <d v="2026-08-03T00:00:00"/>
    <x v="29"/>
    <s v="adelaida avila garcia"/>
    <n v="13826320478"/>
    <m/>
    <n v="23295900"/>
    <n v="5216653913917"/>
    <x v="2"/>
    <n v="9760.32"/>
    <n v="2909.99"/>
    <n v="2928.096"/>
    <n v="18.106000000000222"/>
    <d v="2028-01-01T00:00:00"/>
  </r>
  <r>
    <x v="33"/>
    <d v="2026-08-03T00:00:00"/>
    <x v="28"/>
    <s v="JOSE DANIEL GONZALEZ MORENO"/>
    <s v="49926215614"/>
    <s v="GOMD620319HTSNRN00"/>
    <n v="23308412"/>
    <n v="5218343552182"/>
    <x v="2"/>
    <n v="9081.52"/>
    <n v="2519.89"/>
    <n v="2724.4560000000001"/>
    <n v="204.56600000000026"/>
    <d v="2027-01-01T00:00:00"/>
  </r>
  <r>
    <x v="33"/>
    <d v="2026-08-02T00:00:00"/>
    <x v="40"/>
    <s v="Marco Antonio Rodriguez Mejia"/>
    <n v="10786073691"/>
    <s v="ROMM600910HDFDJR04"/>
    <n v="23297478"/>
    <n v="5215578410256"/>
    <x v="2"/>
    <n v="5617.63"/>
    <n v="1379.11"/>
    <n v="1685.289"/>
    <n v="65.540000000000646"/>
    <d v="2027-08-01T00:00:00"/>
  </r>
  <r>
    <x v="33"/>
    <d v="2026-08-03T00:00:00"/>
    <x v="6"/>
    <s v="DAVID ROMERO LORENZANA "/>
    <s v="55795902760"/>
    <s v="ROLD591229HNTMRV03"/>
    <n v="23314908"/>
    <n v="5213112027025"/>
    <x v="2"/>
    <n v="7116.73"/>
    <n v="2059.04"/>
    <n v="2135.0189999999998"/>
    <n v="75.978999999999814"/>
    <d v="2026-12-01T00:00:00"/>
  </r>
  <r>
    <x v="33"/>
    <d v="2026-08-03T00:00:00"/>
    <x v="34"/>
    <s v="Veronica Rosas Ramirez"/>
    <s v="89846629395"/>
    <s v="RORV660125MDFSMR01"/>
    <n v="2"/>
    <n v="5214772713853"/>
    <x v="2"/>
    <n v="11029.03"/>
    <n v="3307.14"/>
    <n v="3308.7090000000003"/>
    <n v="1.5690000000004147"/>
    <d v="2028-05-01T00:00:00"/>
  </r>
  <r>
    <x v="33"/>
    <d v="2026-08-03T00:00:00"/>
    <x v="14"/>
    <s v="JOSE GUADALUPE RAMIREZ CABRALES"/>
    <m/>
    <s v="RACG561212HTCMBD03"/>
    <n v="23315432"/>
    <n v="5219321127304"/>
    <x v="1"/>
    <n v="3351.87"/>
    <m/>
    <n v="1005.5609999999999"/>
    <n v="0"/>
    <m/>
  </r>
  <r>
    <x v="33"/>
    <d v="2026-08-02T00:00:00"/>
    <x v="26"/>
    <s v="FERNANDO GOMEZ LOPEZ"/>
    <n v="21796141808"/>
    <s v="GOLF610223HSRMPR05"/>
    <n v="23299948"/>
    <n v="5216311829413"/>
    <x v="2"/>
    <n v="7653.18"/>
    <n v="2030"/>
    <n v="2295.9540000000002"/>
    <n v="265.95400000000018"/>
    <d v="2027-04-01T00:00:00"/>
  </r>
  <r>
    <x v="33"/>
    <d v="2026-07-31T00:00:00"/>
    <x v="6"/>
    <s v="EVODIO MOSSO PEREZ"/>
    <n v="52825400170"/>
    <s v="MOPE540506HGRSRV03"/>
    <n v="23268586"/>
    <n v="5217443242755"/>
    <x v="2"/>
    <n v="12417.03"/>
    <n v="3592.54"/>
    <n v="3725.1089999999999"/>
    <n v="132.56899999999996"/>
    <d v="2027-01-01T00:00:00"/>
  </r>
  <r>
    <x v="33"/>
    <d v="2026-07-27T00:00:00"/>
    <x v="36"/>
    <s v="_x0009_ROSA MARIA SANCHEZ"/>
    <n v="21684814904"/>
    <m/>
    <n v="23152752"/>
    <n v="6642050437"/>
    <x v="2"/>
    <n v="8173.37"/>
    <n v="2364.73"/>
    <n v="2452.011"/>
    <n v="87.280999999999949"/>
    <d v="2027-09-01T00:00:00"/>
  </r>
  <r>
    <x v="33"/>
    <d v="2026-07-31T00:00:00"/>
    <x v="36"/>
    <m/>
    <s v="49966000345"/>
    <s v="LUXE660524HSPGXS00"/>
    <n v="23263764"/>
    <n v="8335347880"/>
    <x v="1"/>
    <n v="4813.6900000000005"/>
    <n v="848"/>
    <n v="1444.1070000000002"/>
    <n v="-207.28999999999905"/>
    <m/>
  </r>
  <r>
    <x v="33"/>
    <d v="2026-08-02T00:00:00"/>
    <x v="28"/>
    <s v="JORGE OCTAVIO CALIXTO VIEYRA"/>
    <s v="10816012073"/>
    <s v="CAVJ600709HDFLYR09"/>
    <n v="23304464"/>
    <n v="5213330510552"/>
    <x v="0"/>
    <n v="25410.720000000001"/>
    <m/>
    <n v="7623.2160000000003"/>
    <n v="7623.2160000000003"/>
    <m/>
  </r>
  <r>
    <x v="33"/>
    <d v="2026-08-02T00:00:00"/>
    <x v="28"/>
    <s v="JUAN MARCELO FUENTES ROJAS"/>
    <s v="12895908213"/>
    <s v="FURJ590116HGTNJN00"/>
    <n v="23304596"/>
    <n v="5214111130859"/>
    <x v="3"/>
    <n v="7920.51"/>
    <n v="2017.67"/>
    <n v="2376.1529999999998"/>
    <n v="358.48299999999972"/>
    <d v="2027-07-01T00:00:00"/>
  </r>
  <r>
    <x v="33"/>
    <d v="2026-08-01T00:00:00"/>
    <x v="13"/>
    <s v="ALFONSO ORTINEZ ESCORZA"/>
    <n v="20816201006"/>
    <s v="OIEA620628HDFRSL06"/>
    <n v="23275110"/>
    <n v="5214131114519"/>
    <x v="0"/>
    <n v="46098.93"/>
    <n v="848"/>
    <n v="13829.679"/>
    <n v="12981.679"/>
    <m/>
  </r>
  <r>
    <x v="33"/>
    <d v="2026-08-02T00:00:00"/>
    <x v="13"/>
    <s v="OSCAR ALMARAZ DE LA CRUZ"/>
    <n v="62916507288"/>
    <s v="AACO650415HPLLRS07"/>
    <n v="23300984"/>
    <n v="5212227280007"/>
    <x v="0"/>
    <n v="9760.32"/>
    <m/>
    <n v="2928.096"/>
    <n v="2928.096"/>
    <m/>
  </r>
  <r>
    <x v="33"/>
    <d v="2026-08-03T00:00:00"/>
    <x v="13"/>
    <s v="GABINO RUBEN MARTINEZ MONTELLANO"/>
    <n v="78865902866"/>
    <s v="MAMG591021HOCRNB06"/>
    <n v="23315276"/>
    <n v="5219511135410"/>
    <x v="0"/>
    <n v="27620.83"/>
    <n v="3515.24"/>
    <n v="8286.2489999999998"/>
    <n v="4771.009"/>
    <d v="2026-07-01T00:00:00"/>
  </r>
  <r>
    <x v="33"/>
    <d v="2026-08-03T00:00:00"/>
    <x v="31"/>
    <s v="LUNA ESPINOSA JUAN CARLOS"/>
    <s v="06786025129"/>
    <s v="LUEJ620306HMCNSN07"/>
    <n v="2"/>
    <n v="7772337102"/>
    <x v="3"/>
    <n v="28153.54"/>
    <n v="8145.49"/>
    <n v="8446.0619999999999"/>
    <n v="300.57200000000012"/>
    <d v="2028-01-01T00:00:00"/>
  </r>
  <r>
    <x v="33"/>
    <d v="2026-08-02T00:00:00"/>
    <x v="28"/>
    <s v="DOMINGO HECTOR DOMINGUEZ PUENTE"/>
    <s v="32755828616_x000a_"/>
    <s v="DOPD610713HNLMNM08"/>
    <n v="23304632"/>
    <n v="5218715206192"/>
    <x v="2"/>
    <n v="10171.19"/>
    <n v="2942.73"/>
    <n v="3051.357"/>
    <n v="108.62699999999995"/>
    <d v="2027-07-01T00:00:00"/>
  </r>
  <r>
    <x v="33"/>
    <d v="2026-08-03T00:00:00"/>
    <x v="32"/>
    <s v="ZACARIAS SANCHEZ VASQUEZ"/>
    <n v="43796410413"/>
    <s v="SAVZ640229HQTNSC05"/>
    <n v="2"/>
    <s v="81 1128 9988"/>
    <x v="2"/>
    <n v="9081.52"/>
    <n v="2627"/>
    <n v="2724.4560000000001"/>
    <n v="97.456000000000131"/>
    <d v="2027-02-01T00:00:00"/>
  </r>
  <r>
    <x v="33"/>
    <d v="2026-08-03T00:00:00"/>
    <x v="32"/>
    <s v="ISMAEL ZAVALA MARTINEZ"/>
    <n v="12896856932"/>
    <s v="ZAMI680906HGTVRS02"/>
    <n v="2"/>
    <s v="33 1637 2260"/>
    <x v="4"/>
    <m/>
    <m/>
    <n v="0"/>
    <n v="0"/>
    <m/>
  </r>
  <r>
    <x v="33"/>
    <d v="2026-07-13T00:00:00"/>
    <x v="39"/>
    <s v="Juan Rene Martinez Huitron"/>
    <m/>
    <s v="MAHJ660122HCHRTN05"/>
    <n v="22639886"/>
    <n v="6561572554"/>
    <x v="0"/>
    <n v="33506.800000000017"/>
    <m/>
    <n v="10052.040000000005"/>
    <n v="10052.040000000005"/>
    <m/>
  </r>
  <r>
    <x v="33"/>
    <d v="2026-08-03T00:00:00"/>
    <x v="34"/>
    <s v="HORTENSIA RODRIGUEZ ARREGUIN "/>
    <s v="43806326781"/>
    <s v="AERH650102MNLRDR02"/>
    <n v="2"/>
    <n v="5218123242097"/>
    <x v="2"/>
    <n v="10171.24"/>
    <n v="3051.37"/>
    <n v="3051.3719999999998"/>
    <n v="1.9999999999527063E-3"/>
    <d v="2027-10-01T00:00:00"/>
  </r>
  <r>
    <x v="33"/>
    <d v="2026-08-03T00:00:00"/>
    <x v="32"/>
    <s v="JOSE FORTINO MIJANGOS BECERRA"/>
    <s v="01735138115"/>
    <s v="MIBF510812HDFJCR04"/>
    <n v="2"/>
    <s v=" 729 801 8036"/>
    <x v="1"/>
    <n v="3855.42"/>
    <n v="848"/>
    <n v="1156.626"/>
    <n v="-848"/>
    <m/>
  </r>
  <r>
    <x v="33"/>
    <d v="2026-07-31T00:00:00"/>
    <x v="14"/>
    <s v="ANTONIO GALLEGOS PORRAS"/>
    <m/>
    <s v="GAPA651116HTSLRN04"/>
    <n v="23258702"/>
    <n v="5218351042121"/>
    <x v="0"/>
    <n v="10636.54"/>
    <m/>
    <n v="3190.962"/>
    <n v="3190.962"/>
    <m/>
  </r>
  <r>
    <x v="33"/>
    <d v="2026-08-02T00:00:00"/>
    <x v="6"/>
    <s v="ARMANDO DOMINGUEZ SANTOS"/>
    <n v="67796111365"/>
    <s v="DOSA610314HVZMNR09"/>
    <n v="23302504"/>
    <n v="5219811717996"/>
    <x v="2"/>
    <n v="6754.23"/>
    <n v="2023.15"/>
    <n v="2026.2689999999998"/>
    <n v="3.1189999999996871"/>
    <d v="2028-08-01T00:00:00"/>
  </r>
  <r>
    <x v="33"/>
    <d v="2026-08-02T00:00:00"/>
    <x v="26"/>
    <s v="BERTHA PEREZ JIMENEZ"/>
    <s v="01776063552"/>
    <s v="PEJB610408MDFRMR03"/>
    <n v="23299820"/>
    <n v="5214371020145"/>
    <x v="9"/>
    <n v="6262.86"/>
    <n v="1651.41"/>
    <n v="1878.8579999999997"/>
    <n v="227.44799999999964"/>
    <d v="2025-07-01T00:00:00"/>
  </r>
  <r>
    <x v="33"/>
    <d v="2026-08-03T00:00:00"/>
    <x v="14"/>
    <s v="ROSSANA MENA SANCHEZ"/>
    <n v="43816026207"/>
    <s v="MESR600219MMSNNS07"/>
    <n v="23312858"/>
    <n v="5218118917317"/>
    <x v="7"/>
    <n v="9504.7000000000007"/>
    <n v="2739.48"/>
    <n v="2851.4100000000003"/>
    <n v="111.93000000000029"/>
    <d v="2026-08-01T00:00:00"/>
  </r>
  <r>
    <x v="33"/>
    <d v="2026-08-03T00:00:00"/>
    <x v="34"/>
    <s v="ADOLFO LUNA INZUNZA"/>
    <s v="55805802018"/>
    <s v="LUIA580620HNTNND04"/>
    <n v="2"/>
    <n v="5213112474147"/>
    <x v="2"/>
    <n v="24234.17"/>
    <n v="7268.37"/>
    <n v="7270.2509999999993"/>
    <n v="1.8809999999994034"/>
    <d v="2027-04-01T00:00:00"/>
  </r>
  <r>
    <x v="33"/>
    <d v="2026-08-02T00:00:00"/>
    <x v="28"/>
    <s v="JOSE RAFAEL RUIZ DIAZ"/>
    <s v="24846229946_x000a_"/>
    <s v="RUDR620914HSRZZF00"/>
    <n v="23304430"/>
    <n v="5216532885729"/>
    <x v="2"/>
    <n v="7580.17"/>
    <n v="2057.23"/>
    <n v="2274.0509999999999"/>
    <n v="216.82099999999991"/>
    <d v="2027-05-01T00:00:00"/>
  </r>
  <r>
    <x v="33"/>
    <d v="2026-08-02T00:00:00"/>
    <x v="26"/>
    <s v="AMALIA ZAVALA LARA"/>
    <n v="84946404112"/>
    <s v="ZALA640406MCCVRM02"/>
    <n v="23299202"/>
    <n v="5219993449523"/>
    <x v="2"/>
    <n v="9081.52"/>
    <n v="2515.2199999999998"/>
    <n v="2724.4560000000001"/>
    <n v="209.23600000000033"/>
    <d v="2026-10-01T00:00:00"/>
  </r>
  <r>
    <x v="33"/>
    <d v="2026-08-03T00:00:00"/>
    <x v="34"/>
    <s v="GABRIEL ESCARRAMAN SALAZAR"/>
    <s v="15897401160"/>
    <s v="EASG740817HMSSLB07"/>
    <n v="2"/>
    <n v="5217772135955"/>
    <x v="2"/>
    <n v="8784.27"/>
    <n v="2540.0700000000002"/>
    <n v="2635.2809999999999"/>
    <n v="95.210999999999785"/>
    <d v="2027-06-01T00:00:00"/>
  </r>
  <r>
    <x v="33"/>
    <d v="2026-08-03T00:00:00"/>
    <x v="44"/>
    <s v="Martha Natalia Perez Buenrostro"/>
    <s v="64846405138"/>
    <s v="PEBM640705MDFRNR07"/>
    <n v="23327342"/>
    <n v="5574274920"/>
    <x v="2"/>
    <n v="9081.52"/>
    <n v="2724.46"/>
    <n v="2724.4560000000001"/>
    <n v="-3.9999999999054126E-3"/>
    <d v="2026-12-01T00:00:00"/>
  </r>
  <r>
    <x v="33"/>
    <d v="2026-08-03T00:00:00"/>
    <x v="31"/>
    <s v="RODOLFO CONTRERAS BARAJAS"/>
    <n v="12744905311"/>
    <s v="COBR491101HMNNRD04"/>
    <n v="2"/>
    <s v="477 273 4701"/>
    <x v="1"/>
    <n v="3818.93"/>
    <n v="848"/>
    <n v="1145.6789999999999"/>
    <n v="-848"/>
    <m/>
  </r>
  <r>
    <x v="33"/>
    <d v="2026-08-02T00:00:00"/>
    <x v="26"/>
    <s v="FRANCISCO JAVIER ZACARIAS FLORES"/>
    <m/>
    <s v="ZAFF660101HASCLR07"/>
    <n v="23299560"/>
    <n v="5214774121822"/>
    <x v="2"/>
    <n v="10636.54"/>
    <n v="3100"/>
    <n v="3190.962"/>
    <n v="90.961999999999989"/>
    <d v="2028-04-01T00:00:00"/>
  </r>
  <r>
    <x v="33"/>
    <d v="2026-08-02T00:00:00"/>
    <x v="26"/>
    <s v="CESAR GARCIA JACOBO"/>
    <n v="54796400056"/>
    <s v="GAJC640709HJCRCS08"/>
    <n v="23299902"/>
    <n v="5213331814654"/>
    <x v="0"/>
    <n v="10636.54"/>
    <m/>
    <n v="3190.962"/>
    <n v="3190.962"/>
    <m/>
  </r>
  <r>
    <x v="33"/>
    <d v="2026-08-02T00:00:00"/>
    <x v="40"/>
    <s v="Alvaro Valdes Arzate"/>
    <m/>
    <s v="VAAA580509HDFLRL07"/>
    <n v="23296176"/>
    <n v="5215648174533"/>
    <x v="1"/>
    <n v="4342.43"/>
    <m/>
    <n v="1302.729"/>
    <n v="169.45000000000073"/>
    <m/>
  </r>
  <r>
    <x v="33"/>
    <d v="2026-08-03T00:00:00"/>
    <x v="0"/>
    <s v="GUADALUPE TRUJILLO NAVARRO"/>
    <n v="24734901440"/>
    <s v="TUNG571019MSRRVD07"/>
    <n v="23314308"/>
    <n v="5216623466283"/>
    <x v="1"/>
    <n v="3632.17"/>
    <m/>
    <n v="1089.6510000000001"/>
    <n v="0"/>
    <m/>
  </r>
  <r>
    <x v="33"/>
    <d v="2026-08-02T00:00:00"/>
    <x v="6"/>
    <s v="FELIX LIBORIO BARRITA LOPEZ "/>
    <m/>
    <s v="BALF610710HOCRPL07"/>
    <n v="23302566"/>
    <n v="5215659444562"/>
    <x v="6"/>
    <n v="7920.51"/>
    <n v="2101"/>
    <n v="2376.1529999999998"/>
    <n v="275.15299999999979"/>
    <d v="2025-09-01T00:00:00"/>
  </r>
  <r>
    <x v="33"/>
    <d v="2026-08-03T00:00:00"/>
    <x v="14"/>
    <s v="LUIS ALBERTO MENDOZA BARRERAS"/>
    <m/>
    <s v="MEBL660528HSRNRS05"/>
    <n v="23322726"/>
    <n v="5216421570934"/>
    <x v="2"/>
    <n v="10636.54"/>
    <n v="3190.96"/>
    <n v="3190.962"/>
    <n v="1.9999999999527063E-3"/>
    <d v="2028-07-01T00:00:00"/>
  </r>
  <r>
    <x v="33"/>
    <d v="2026-08-03T00:00:00"/>
    <x v="31"/>
    <s v="MARTIN JAIME GONZALEZ"/>
    <s v="12916201093"/>
    <s v="GOXM620829HGTNXR01"/>
    <n v="2"/>
    <n v="4771661208"/>
    <x v="2"/>
    <n v="7920.51"/>
    <n v="2291.6"/>
    <n v="2376.1529999999998"/>
    <n v="84.552999999999884"/>
    <d v="2026-12-01T00:00:00"/>
  </r>
  <r>
    <x v="33"/>
    <d v="2026-08-03T00:00:00"/>
    <x v="45"/>
    <m/>
    <n v="49866502401"/>
    <m/>
    <n v="23321468"/>
    <n v="8318983411"/>
    <x v="0"/>
    <n v="17051.88"/>
    <n v="3598.56"/>
    <n v="5115.5640000000003"/>
    <n v="1517.0040000000004"/>
    <d v="2028-03-01T00:00:00"/>
  </r>
  <r>
    <x v="33"/>
    <d v="2026-08-02T00:00:00"/>
    <x v="28"/>
    <s v="JOSE FABIAN MONTES PEREZ"/>
    <s v="62816403943_x000a_"/>
    <s v=" MOPF640430HPLNRB04"/>
    <n v="23305482"/>
    <n v="5212226114156"/>
    <x v="2"/>
    <n v="9081.52"/>
    <n v="2627.48"/>
    <n v="2724.4560000000001"/>
    <n v="96.976000000000113"/>
    <d v="2027-04-01T00:00:00"/>
  </r>
  <r>
    <x v="33"/>
    <d v="2026-08-03T00:00:00"/>
    <x v="20"/>
    <s v="Angel Eduardo "/>
    <n v="24897401543"/>
    <m/>
    <n v="23327766"/>
    <n v="5216331156803"/>
    <x v="0"/>
    <n v="9163.2800000000007"/>
    <m/>
    <n v="2748.9839999999999"/>
    <n v="2748.9839999999999"/>
    <m/>
  </r>
  <r>
    <x v="33"/>
    <d v="2026-08-01T00:00:00"/>
    <x v="14"/>
    <s v="Romelia Hernández Linares"/>
    <s v="32806320209_x000a_"/>
    <m/>
    <n v="23276084"/>
    <n v="5218661157605"/>
    <x v="0"/>
    <n v="8784.2900000000009"/>
    <m/>
    <n v="2635.2870000000003"/>
    <n v="2635.2870000000003"/>
    <m/>
  </r>
  <r>
    <x v="33"/>
    <d v="2026-08-03T00:00:00"/>
    <x v="32"/>
    <s v="JOSE LUIS GONZALEZ CORTEZ"/>
    <m/>
    <s v="GOCL640703HVZNRS00"/>
    <n v="2"/>
    <n v="8110438187"/>
    <x v="2"/>
    <n v="9081.52"/>
    <n v="2627.48"/>
    <n v="2724.4560000000001"/>
    <n v="96.976000000000113"/>
    <d v="2027-06-01T00:00:00"/>
  </r>
  <r>
    <x v="33"/>
    <d v="2026-08-03T00:00:00"/>
    <x v="0"/>
    <s v="FRANCISCA"/>
    <s v="78825604701"/>
    <m/>
    <n v="23330112"/>
    <n v="5216221569316"/>
    <x v="2"/>
    <n v="6340.73"/>
    <n v="1833.98"/>
    <n v="1902.2189999999998"/>
    <n v="68.238999999999805"/>
    <d v="2027-06-01T00:00:00"/>
  </r>
  <r>
    <x v="33"/>
    <d v="2026-08-03T00:00:00"/>
    <x v="6"/>
    <s v="ALFREDO RUIZ MILLAN "/>
    <m/>
    <s v="RUMA620910HTSZLL01"/>
    <n v="23309760"/>
    <n v="5218341170735"/>
    <x v="2"/>
    <n v="7116.73"/>
    <n v="2135"/>
    <n v="2135.0189999999998"/>
    <n v="1.8999999999778083E-2"/>
    <d v="2028-02-01T00:00:00"/>
  </r>
  <r>
    <x v="33"/>
    <d v="2026-08-03T00:00:00"/>
    <x v="0"/>
    <s v="ARIEL FERNANDO MAYORGA HERNANDEZ"/>
    <m/>
    <s v="MAHA600215HTSYRR00"/>
    <n v="23315882"/>
    <n v="5218116928701"/>
    <x v="0"/>
    <n v="31796.959999999999"/>
    <m/>
    <n v="9539.0879999999997"/>
    <n v="9539.0879999999997"/>
    <m/>
  </r>
  <r>
    <x v="33"/>
    <d v="2026-08-03T00:00:00"/>
    <x v="45"/>
    <s v="MARIA SAN JUANA ORDAZ AGUAYO"/>
    <m/>
    <s v="OAAS551105MDFRGN02"/>
    <n v="23330746"/>
    <n v="6538495316"/>
    <x v="5"/>
    <m/>
    <m/>
    <n v="0"/>
    <n v="0"/>
    <m/>
  </r>
  <r>
    <x v="33"/>
    <d v="2026-08-02T00:00:00"/>
    <x v="28"/>
    <s v="HANZ GERARDO HERNANDEZ GUEVARA"/>
    <s v="51826106968_x000a_"/>
    <s v="HEGH610811HASRVN04"/>
    <n v="23305596"/>
    <n v="5214491255072"/>
    <x v="6"/>
    <n v="38455.32"/>
    <n v="11124.42"/>
    <n v="11536.596"/>
    <n v="412.17599999999948"/>
    <d v="2026-04-01T00:00:00"/>
  </r>
  <r>
    <x v="33"/>
    <d v="2026-08-03T00:00:00"/>
    <x v="11"/>
    <s v="DANIEL REYES SILVA "/>
    <s v="89816351533"/>
    <m/>
    <n v="23289186"/>
    <n v="5215637480259"/>
    <x v="2"/>
    <n v="10636.54"/>
    <n v="3190"/>
    <n v="3190.962"/>
    <n v="0.96199999999998909"/>
    <d v="2028-06-01T00:00:00"/>
  </r>
  <r>
    <x v="33"/>
    <d v="2026-08-03T00:00:00"/>
    <x v="19"/>
    <s v="JORGE "/>
    <m/>
    <s v="OECJ670116HDFRTR04"/>
    <n v="23322804"/>
    <n v="5533341440"/>
    <x v="6"/>
    <n v="32158.2"/>
    <n v="7028.39"/>
    <n v="9647.4599999999991"/>
    <n v="2619.0699999999988"/>
    <d v="2024-05-01T00:00:00"/>
  </r>
  <r>
    <x v="33"/>
    <d v="2026-08-02T00:00:00"/>
    <x v="13"/>
    <s v="HECTOR ELIAS GARIBAY CAMPOS"/>
    <n v="53907338494"/>
    <s v="GACH730701HMNRMC00"/>
    <n v="23301114"/>
    <n v="5213511629242"/>
    <x v="2"/>
    <n v="45983.87"/>
    <n v="13779.09"/>
    <n v="13795.161"/>
    <n v="16.070999999999913"/>
    <d v="2026-09-01T00:00:00"/>
  </r>
  <r>
    <x v="33"/>
    <d v="2026-08-03T00:00:00"/>
    <x v="45"/>
    <m/>
    <n v="51795909541"/>
    <m/>
    <n v="23330586"/>
    <n v="7751984304"/>
    <x v="6"/>
    <n v="12448.6"/>
    <n v="3302.29"/>
    <n v="3734.58"/>
    <n v="432.28999999999996"/>
    <d v="2026-01-01T00:00:00"/>
  </r>
  <r>
    <x v="33"/>
    <d v="2026-08-03T00:00:00"/>
    <x v="0"/>
    <s v="GERSON GUTIERREZ LLANOS"/>
    <m/>
    <s v="GULG790623HVZTLR07"/>
    <n v="23315724"/>
    <n v="5212281122832"/>
    <x v="5"/>
    <m/>
    <m/>
    <n v="0"/>
    <n v="0"/>
    <m/>
  </r>
  <r>
    <x v="33"/>
    <d v="2026-08-03T00:00:00"/>
    <x v="31"/>
    <s v="VERONICA ANDRADE FLORES"/>
    <n v="62917374357"/>
    <s v="AAFV740618MPLNLR05"/>
    <n v="2"/>
    <s v="222 564 1138"/>
    <x v="1"/>
    <n v="4172.99"/>
    <m/>
    <n v="1251.8969999999999"/>
    <n v="1.0000000000218279E-2"/>
    <m/>
  </r>
  <r>
    <x v="33"/>
    <d v="2026-08-03T00:00:00"/>
    <x v="0"/>
    <s v="ALFREDO BETANCOURT"/>
    <m/>
    <s v="BEXA620414HBSTXL04"/>
    <n v="23327730"/>
    <n v="5216121050157"/>
    <x v="2"/>
    <n v="65442.64"/>
    <n v="19630.830000000002"/>
    <n v="19632.791999999998"/>
    <n v="1.9619999999958964"/>
    <d v="2027-01-01T00:00:00"/>
  </r>
  <r>
    <x v="33"/>
    <d v="2026-08-03T00:00:00"/>
    <x v="18"/>
    <m/>
    <s v="33815636635"/>
    <m/>
    <n v="1"/>
    <n v="6391293595"/>
    <x v="7"/>
    <n v="4813.6899999999996"/>
    <n v="1019.36"/>
    <n v="1444.1069999999997"/>
    <n v="-378.65"/>
    <d v="2027-04-01T00:00:00"/>
  </r>
  <r>
    <x v="33"/>
    <d v="2026-08-01T00:00:00"/>
    <x v="11"/>
    <s v="MARINA ARREOLA CLAUDIO "/>
    <s v="2187653106"/>
    <s v="AECM700323MBCRLR09"/>
    <n v="23288760"/>
    <n v="5216652600155"/>
    <x v="4"/>
    <m/>
    <m/>
    <n v="0"/>
    <n v="0"/>
    <m/>
  </r>
  <r>
    <x v="33"/>
    <d v="2026-08-03T00:00:00"/>
    <x v="19"/>
    <m/>
    <s v="04684920459"/>
    <m/>
    <n v="23331796"/>
    <n v="5213325762768"/>
    <x v="1"/>
    <n v="3635.53"/>
    <m/>
    <n v="1090.6590000000001"/>
    <n v="0"/>
    <m/>
  </r>
  <r>
    <x v="33"/>
    <d v="2026-08-02T00:00:00"/>
    <x v="11"/>
    <s v="ROSA MELCHORA BERLANGA DE LA CRUZ "/>
    <m/>
    <s v="BECR570830MNLRRS01"/>
    <n v="23290700"/>
    <n v="5218126887579"/>
    <x v="1"/>
    <n v="4199.87"/>
    <m/>
    <n v="1259.961"/>
    <n v="26.890000000000327"/>
    <m/>
  </r>
  <r>
    <x v="33"/>
    <d v="2026-08-02T00:00:00"/>
    <x v="13"/>
    <s v="CARLOS SIMBRON SANTES"/>
    <m/>
    <s v="SISC640316HVZMNR03"/>
    <n v="23310588"/>
    <n v="5215544105137"/>
    <x v="2"/>
    <n v="9081.52"/>
    <n v="2624.22"/>
    <n v="2724.4560000000001"/>
    <n v="100.23600000000033"/>
    <d v="2027-09-01T00:00:00"/>
  </r>
  <r>
    <x v="33"/>
    <d v="2026-08-03T00:00:00"/>
    <x v="31"/>
    <s v="DIONICIO HERNANDEZ BARRETO"/>
    <n v="53887002698"/>
    <s v="HEBD701012HZSRRN04"/>
    <n v="2"/>
    <n v="4581295663"/>
    <x v="6"/>
    <n v="6941.78"/>
    <n v="1926.9"/>
    <n v="2082.5339999999997"/>
    <n v="155.63399999999956"/>
    <d v="2026-08-01T00:00:00"/>
  </r>
  <r>
    <x v="33"/>
    <d v="2026-08-03T00:00:00"/>
    <x v="31"/>
    <s v="CARLOS ADOLFO RAMIREZ ROMERO"/>
    <m/>
    <s v="RARC640401HJCMMR06"/>
    <n v="2"/>
    <n v="3316604720"/>
    <x v="0"/>
    <n v="32476.77"/>
    <m/>
    <n v="9743.030999999999"/>
    <n v="9743.030999999999"/>
    <m/>
  </r>
  <r>
    <x v="33"/>
    <d v="2026-08-02T00:00:00"/>
    <x v="11"/>
    <s v="MIGUEL CAÑEDO "/>
    <s v="24755704939"/>
    <m/>
    <n v="23292318"/>
    <n v="5216624182152"/>
    <x v="0"/>
    <n v="7920.51"/>
    <n v="591.59"/>
    <n v="2376.1529999999998"/>
    <n v="1784.5629999999996"/>
    <d v="2025-08-01T00:00:00"/>
  </r>
  <r>
    <x v="33"/>
    <d v="2026-08-03T00:00:00"/>
    <x v="39"/>
    <s v="Javier Pizaña Palma"/>
    <m/>
    <s v="PIPJ530617HDFZLV00"/>
    <n v="23327726"/>
    <n v="6645334075"/>
    <x v="2"/>
    <n v="5545.05"/>
    <n v="1265.25"/>
    <n v="1663.5150000000001"/>
    <n v="106.82000000000062"/>
    <d v="2026-10-01T00:00:00"/>
  </r>
  <r>
    <x v="33"/>
    <d v="2026-08-03T00:00:00"/>
    <x v="26"/>
    <s v="FELIX MAGALLANES RIOS"/>
    <n v="31765701573"/>
    <s v="MARF571122HDGGSL07"/>
    <n v="23311222"/>
    <n v="5216181229447"/>
    <x v="1"/>
    <n v="4035.69"/>
    <m/>
    <n v="1210.7069999999999"/>
    <n v="0"/>
    <m/>
  </r>
  <r>
    <x v="33"/>
    <d v="2026-08-03T00:00:00"/>
    <x v="6"/>
    <s v="JUAN BENJAMIN SUAREZ CERVANTES "/>
    <s v="01765771173"/>
    <s v="SUCJ580310HMCRRN04"/>
    <n v="23303452"/>
    <n v="5214152787324"/>
    <x v="7"/>
    <n v="4813.6899999999996"/>
    <n v="565.79999999999995"/>
    <n v="1444.1069999999997"/>
    <n v="74.910000000000082"/>
    <d v="2025-08-01T00:00:00"/>
  </r>
  <r>
    <x v="33"/>
    <d v="2026-08-02T00:00:00"/>
    <x v="13"/>
    <s v="LUCILA MONREAL RODRIGUEZ"/>
    <n v="4180580738"/>
    <s v="MORL570430MSPNDC03"/>
    <n v="23301508"/>
    <n v="5214442040700"/>
    <x v="9"/>
    <n v="33509.56"/>
    <n v="10038.200000000001"/>
    <n v="10052.867999999999"/>
    <n v="14.667999999997846"/>
    <d v="2026-02-01T00:00:00"/>
  </r>
  <r>
    <x v="33"/>
    <d v="2026-08-03T00:00:00"/>
    <x v="20"/>
    <s v="BERNARDO MACHADO"/>
    <n v="23906625902"/>
    <m/>
    <n v="23333592"/>
    <n v="5216644303146"/>
    <x v="5"/>
    <m/>
    <m/>
    <n v="0"/>
    <n v="0"/>
    <m/>
  </r>
  <r>
    <x v="33"/>
    <d v="2026-08-03T00:00:00"/>
    <x v="19"/>
    <m/>
    <m/>
    <s v="BECH731208HDFJRC04"/>
    <n v="23320070"/>
    <n v="5215561044517"/>
    <x v="1"/>
    <n v="3275.9"/>
    <m/>
    <n v="982.77"/>
    <n v="0"/>
    <m/>
  </r>
  <r>
    <x v="33"/>
    <d v="2026-08-03T00:00:00"/>
    <x v="20"/>
    <s v="BREATRIZ CRUZ"/>
    <n v="75673013838"/>
    <m/>
    <n v="23322104"/>
    <n v="5212881361917"/>
    <x v="5"/>
    <m/>
    <m/>
    <n v="0"/>
    <n v="0"/>
    <m/>
  </r>
  <r>
    <x v="33"/>
    <d v="2026-08-03T00:00:00"/>
    <x v="0"/>
    <s v="EDY MOLINA CARDENAS"/>
    <m/>
    <s v="MOCE611114HCSLRD01"/>
    <n v="23333846"/>
    <n v="5219622053030"/>
    <x v="2"/>
    <n v="7116.74"/>
    <n v="2059"/>
    <n v="2135.0219999999999"/>
    <n v="76.021999999999935"/>
    <d v="2027-05-01T00:00:00"/>
  </r>
  <r>
    <x v="33"/>
    <d v="2026-08-03T00:00:00"/>
    <x v="20"/>
    <s v="MANUEL"/>
    <n v="52816100847"/>
    <s v="BECM610705HMNRRN04"/>
    <n v="23334168"/>
    <n v="5216462900800"/>
    <x v="6"/>
    <n v="5642.22"/>
    <n v="1354.16"/>
    <n v="1692.6659999999999"/>
    <n v="115.08000000000061"/>
    <d v="2026-06-01T00:00:00"/>
  </r>
  <r>
    <x v="33"/>
    <d v="2026-08-03T00:00:00"/>
    <x v="20"/>
    <s v="FIDEL HERNANDEZ"/>
    <m/>
    <s v="HEBF490528HHGRTD05"/>
    <n v="23333270"/>
    <n v="5217716848282"/>
    <x v="1"/>
    <n v="3855.42"/>
    <m/>
    <n v="1156.626"/>
    <n v="0"/>
    <m/>
  </r>
  <r>
    <x v="33"/>
    <d v="2026-08-03T00:00:00"/>
    <x v="44"/>
    <s v="Maria Guadalupe cervantes martinez"/>
    <m/>
    <s v="CEMG610108MDGRRD00"/>
    <n v="23317846"/>
    <n v="6182933057"/>
    <x v="3"/>
    <n v="10171.24"/>
    <n v="2718.48"/>
    <n v="3051.3719999999998"/>
    <n v="332.89199999999983"/>
    <d v="2027-11-01T00:00:00"/>
  </r>
  <r>
    <x v="34"/>
    <d v="2026-08-04T00:00:00"/>
    <x v="32"/>
    <s v="PABLO AMADOR DELGADO"/>
    <n v="12084900716"/>
    <m/>
    <n v="2"/>
    <n v="4771593755"/>
    <x v="4"/>
    <m/>
    <m/>
    <n v="0"/>
    <n v="0"/>
    <m/>
  </r>
  <r>
    <x v="34"/>
    <d v="2026-08-04T00:00:00"/>
    <x v="32"/>
    <s v="RICARDO LIÑAN SANCHEZ"/>
    <n v="41705220957"/>
    <s v="LISR520303HSPXNC03"/>
    <n v="2"/>
    <n v="8443185202"/>
    <x v="2"/>
    <n v="8933.91"/>
    <n v="2577.83"/>
    <n v="2680.1729999999998"/>
    <n v="102.34299999999985"/>
    <d v="2028-08-01T00:00:00"/>
  </r>
  <r>
    <x v="34"/>
    <d v="2026-08-04T00:00:00"/>
    <x v="6"/>
    <s v="ERASMO RAFAEL SAUZA BALDENEGRO "/>
    <n v="16725401741"/>
    <s v="SABE541125HGTZLR06"/>
    <n v="23315288"/>
    <n v="5217222335238"/>
    <x v="3"/>
    <n v="4636.43"/>
    <m/>
    <n v="1390.9290000000001"/>
    <n v="463.45000000000073"/>
    <m/>
  </r>
  <r>
    <x v="34"/>
    <d v="2026-08-03T00:00:00"/>
    <x v="28"/>
    <s v="EDUARDO GONZALEZ DIAZ"/>
    <s v="13766005741"/>
    <m/>
    <n v="23339494"/>
    <n v="5213221828370"/>
    <x v="2"/>
    <n v="7145.88"/>
    <n v="2065.77"/>
    <n v="2143.7640000000001"/>
    <n v="77.994000000000142"/>
    <d v="2027-07-01T00:00:00"/>
  </r>
  <r>
    <x v="34"/>
    <d v="2026-08-03T00:00:00"/>
    <x v="28"/>
    <s v="ROGELIO DE LA CRUZ MACHIN"/>
    <s v="65695118805"/>
    <s v="CUMR510310HTCRCG05"/>
    <n v="23339898"/>
    <n v="5219821025747"/>
    <x v="0"/>
    <n v="15823"/>
    <m/>
    <n v="4746.8999999999996"/>
    <n v="4746.8999999999996"/>
    <m/>
  </r>
  <r>
    <x v="34"/>
    <d v="2026-08-01T00:00:00"/>
    <x v="35"/>
    <s v="GUADALUPE MEJIA PATIÑO"/>
    <n v="10825700387"/>
    <s v="MEPG570927MDFJTD06"/>
    <n v="23287182"/>
    <n v="5519354012"/>
    <x v="3"/>
    <n v="4813.6899999999996"/>
    <m/>
    <n v="1444.1069999999997"/>
    <n v="640.71"/>
    <m/>
  </r>
  <r>
    <x v="34"/>
    <d v="2026-08-04T00:00:00"/>
    <x v="6"/>
    <s v="MARGARITA ZARREON NARVAEZ "/>
    <n v="89866526620"/>
    <s v="ZANM650225MDFRRR05"/>
    <n v="23351498"/>
    <n v="5215621717419"/>
    <x v="2"/>
    <n v="9760.32"/>
    <n v="2799.48"/>
    <n v="2928.096"/>
    <n v="128.61599999999999"/>
    <d v="2027-08-01T00:00:00"/>
  </r>
  <r>
    <x v="34"/>
    <d v="2026-08-04T00:00:00"/>
    <x v="28"/>
    <s v="MARCO ANTONIO FLORES ROJAS"/>
    <s v="15796104188"/>
    <s v=" FORM611114HDFLJR09"/>
    <n v="23350712"/>
    <n v="5219984989644"/>
    <x v="9"/>
    <n v="11256.72"/>
    <n v="2986.11"/>
    <n v="3377.0159999999996"/>
    <n v="390.90599999999949"/>
    <d v="2025-10-01T00:00:00"/>
  </r>
  <r>
    <x v="34"/>
    <d v="2026-08-04T00:00:00"/>
    <x v="6"/>
    <s v="MARTHA RODRIGUEZ LOPEZ "/>
    <s v="64856418336"/>
    <s v="ROLM641126MDFDPR02"/>
    <n v="23341968"/>
    <n v="5215516570258"/>
    <x v="2"/>
    <n v="10815.23"/>
    <n v="3126.91"/>
    <n v="3244.569"/>
    <n v="117.65900000000011"/>
    <d v="2027-08-01T00:00:00"/>
  </r>
  <r>
    <x v="34"/>
    <d v="2026-08-04T00:00:00"/>
    <x v="28"/>
    <s v="CONRADO CASTRO BRAVO"/>
    <s v="62805804580"/>
    <s v=" CABC580512HPLSRN01"/>
    <n v="23340464"/>
    <n v="5212434350415"/>
    <x v="0"/>
    <n v="9081.52"/>
    <m/>
    <n v="2724.4560000000001"/>
    <n v="2724.4560000000001"/>
    <m/>
  </r>
  <r>
    <x v="34"/>
    <d v="2026-08-04T00:00:00"/>
    <x v="28"/>
    <s v="CLARA ELENA BAUTISTA VENEGAS"/>
    <s v="43816490809"/>
    <s v=" BAVC640206MNLTNL00"/>
    <n v="23345646"/>
    <n v="5214423431363"/>
    <x v="0"/>
    <n v="39873.57"/>
    <m/>
    <n v="11962.071"/>
    <n v="11962.071"/>
    <m/>
  </r>
  <r>
    <x v="34"/>
    <d v="2026-08-04T00:00:00"/>
    <x v="32"/>
    <s v="HERMELINDA GUADALUPE RODRIGUEZ GANDARA"/>
    <s v="04896030675"/>
    <s v="ROGH601028MNLDNR08"/>
    <n v="2"/>
    <s v=" 33 1903 8120"/>
    <x v="2"/>
    <n v="10024.790000000001"/>
    <n v="2896.27"/>
    <n v="3007.4370000000004"/>
    <n v="111.16700000000037"/>
    <d v="2027-02-01T00:00:00"/>
  </r>
  <r>
    <x v="34"/>
    <d v="2026-08-04T00:00:00"/>
    <x v="28"/>
    <s v="CARMEN"/>
    <s v="62684400047"/>
    <m/>
    <n v="23348688"/>
    <n v="5217761127765"/>
    <x v="2"/>
    <n v="14182.1"/>
    <n v="4099.96"/>
    <n v="4254.63"/>
    <n v="154.67000000000007"/>
    <d v="2027-06-01T00:00:00"/>
  </r>
  <r>
    <x v="34"/>
    <d v="2026-08-04T00:00:00"/>
    <x v="31"/>
    <s v="JUSTO GABRIEL ALENCASTRO"/>
    <s v="54846471008"/>
    <s v="GAAJ640408HJCBLS08"/>
    <n v="2"/>
    <n v="8119870025"/>
    <x v="2"/>
    <n v="5639.5"/>
    <n v="1690"/>
    <n v="1691.85"/>
    <n v="-223.47999999999956"/>
    <d v="2027-02-01T00:00:00"/>
  </r>
  <r>
    <x v="34"/>
    <d v="2026-08-04T00:00:00"/>
    <x v="28"/>
    <s v="CARLOS EDUARDO SALAVARRIA VELAZQUEZ"/>
    <s v="81875903411"/>
    <s v=" SAVC590620HCCLLR08"/>
    <n v="23349492"/>
    <n v="5219811050649"/>
    <x v="0"/>
    <n v="10388.35"/>
    <n v="879"/>
    <n v="3116.5050000000001"/>
    <n v="2237.5050000000001"/>
    <m/>
  </r>
  <r>
    <x v="34"/>
    <d v="2026-08-04T00:00:00"/>
    <x v="32"/>
    <s v="FELIPE DE JESUS ALDAPE CARLOS"/>
    <n v="43755935988"/>
    <s v="AACF590205HCLLRL03"/>
    <n v="2"/>
    <n v="8119067229"/>
    <x v="2"/>
    <n v="14385.18"/>
    <n v="4315"/>
    <n v="4315.5540000000001"/>
    <n v="0.55400000000008731"/>
    <d v="2027-06-01T00:00:00"/>
  </r>
  <r>
    <x v="34"/>
    <d v="2026-08-03T00:00:00"/>
    <x v="14"/>
    <s v="TEODORO CRUZ LEZAMA"/>
    <m/>
    <s v="CULT541029HVZRZD07"/>
    <n v="23319476"/>
    <n v="5212381864502"/>
    <x v="1"/>
    <n v="4388.54"/>
    <m/>
    <n v="1316.5619999999999"/>
    <n v="215.5600000000004"/>
    <m/>
  </r>
  <r>
    <x v="34"/>
    <d v="2026-08-03T00:00:00"/>
    <x v="14"/>
    <s v="GABRIEL AGUILAR GARCIA"/>
    <m/>
    <s v="AUGG630725HDFGRB00"/>
    <n v="23319600"/>
    <n v="5214441100974"/>
    <x v="3"/>
    <n v="12560.16"/>
    <n v="2819"/>
    <n v="3768.0479999999998"/>
    <n v="949.04799999999977"/>
    <m/>
  </r>
  <r>
    <x v="34"/>
    <d v="2026-07-24T00:00:00"/>
    <x v="41"/>
    <s v="JOSE ANTONIO CAZARES ALMIRAY"/>
    <m/>
    <s v="CAAA600502HTSZLN04"/>
    <n v="23052668"/>
    <n v="23052668"/>
    <x v="2"/>
    <n v="5617.64"/>
    <n v="1444"/>
    <n v="1685.2920000000001"/>
    <n v="0.66000000000076398"/>
    <d v="2028-07-01T00:00:00"/>
  </r>
  <r>
    <x v="34"/>
    <d v="2026-08-04T00:00:00"/>
    <x v="13"/>
    <s v="REYNALDO QUIROZ MORENO"/>
    <n v="12765207696"/>
    <s v="QUMR520808HGTRRY04"/>
    <n v="23341352"/>
    <n v="5214792151302"/>
    <x v="1"/>
    <n v="3881.65"/>
    <m/>
    <n v="1164.4949999999999"/>
    <n v="0"/>
    <m/>
  </r>
  <r>
    <x v="34"/>
    <d v="2026-08-04T00:00:00"/>
    <x v="13"/>
    <s v="MARIA LAURA LULE GONZALEZ"/>
    <s v="14957305544"/>
    <s v="LUGL750502MGTLNR09"/>
    <n v="23345258"/>
    <n v="5214171241747"/>
    <x v="1"/>
    <m/>
    <m/>
    <n v="0"/>
    <n v="0"/>
    <m/>
  </r>
  <r>
    <x v="34"/>
    <d v="2026-08-04T00:00:00"/>
    <x v="14"/>
    <s v="JOSE ADOLFO ARELLANO MARTINEZ"/>
    <n v="33806224896"/>
    <s v="AEMA640314HCHRRD02"/>
    <n v="23345774"/>
    <n v="5216562149832"/>
    <x v="0"/>
    <n v="9081.52"/>
    <n v="879"/>
    <n v="2724.4560000000001"/>
    <n v="1845.4560000000001"/>
    <m/>
  </r>
  <r>
    <x v="34"/>
    <d v="2026-08-03T00:00:00"/>
    <x v="13"/>
    <s v="VICTOR GUAJARDO PONCE"/>
    <n v="43836614057"/>
    <s v="GUPV660603HNLJNC08"/>
    <n v="23340296"/>
    <n v="5218111877048"/>
    <x v="1"/>
    <n v="4035.69"/>
    <n v="848"/>
    <n v="1210.7069999999999"/>
    <n v="-848"/>
    <m/>
  </r>
  <r>
    <x v="34"/>
    <d v="2026-08-04T00:00:00"/>
    <x v="14"/>
    <s v="Berta Alicia Venegas Ferman"/>
    <s v="04896523331"/>
    <s v="VEFB780214MJCNRR09"/>
    <n v="23348908"/>
    <n v="5213331975952"/>
    <x v="2"/>
    <n v="19385.810000000001"/>
    <n v="5815.74"/>
    <n v="5815.7430000000004"/>
    <n v="3.0000000006111804E-3"/>
    <d v="2026-11-01T00:00:00"/>
  </r>
  <r>
    <x v="34"/>
    <d v="2026-08-02T00:00:00"/>
    <x v="6"/>
    <s v="ROSA NELLY HERNANDEZ MURILLO"/>
    <n v="43705516367"/>
    <s v="HEMR550626MNLRRS07"/>
    <n v="23304004"/>
    <n v="5218180958247"/>
    <x v="0"/>
    <n v="35632.93"/>
    <m/>
    <n v="10689.878999999999"/>
    <n v="10689.878999999999"/>
    <m/>
  </r>
  <r>
    <x v="34"/>
    <d v="2026-07-31T00:00:00"/>
    <x v="41"/>
    <s v="MA. MAGDALENA VALLE TORRES"/>
    <m/>
    <s v="VATM670923MNLLRG05"/>
    <n v="23265752"/>
    <n v="5218145487606"/>
    <x v="0"/>
    <n v="8181.55"/>
    <m/>
    <n v="2454.4650000000001"/>
    <n v="2454.4650000000001"/>
    <m/>
  </r>
  <r>
    <x v="34"/>
    <d v="2026-08-03T00:00:00"/>
    <x v="6"/>
    <s v="JOSE LORENZO NAJERA"/>
    <n v="33725412663"/>
    <s v="NAXL540102HCHJXR09"/>
    <n v="23339714"/>
    <n v="23339714"/>
    <x v="7"/>
    <n v="5318.91"/>
    <n v="936.35"/>
    <n v="1595.673"/>
    <n v="209.58000000000027"/>
    <d v="2024-09-01T00:00:00"/>
  </r>
  <r>
    <x v="34"/>
    <d v="2026-08-01T00:00:00"/>
    <x v="11"/>
    <s v="JOSE MANUEL DE JESUS LEAL"/>
    <s v="65786014962"/>
    <m/>
    <n v="23289446"/>
    <n v="5214461421413"/>
    <x v="2"/>
    <n v="10363.77"/>
    <n v="2875.42"/>
    <n v="3109.1309999999999"/>
    <n v="233.71099999999979"/>
    <d v="2027-01-01T00:00:00"/>
  </r>
  <r>
    <x v="34"/>
    <d v="2026-08-02T00:00:00"/>
    <x v="26"/>
    <s v="JUAN CRUZ REYES"/>
    <n v="19806254777"/>
    <s v="CUBJ620624HPLRLN07"/>
    <n v="23299524"/>
    <n v="5216121032629"/>
    <x v="0"/>
    <n v="10636.54"/>
    <m/>
    <n v="3190.962"/>
    <n v="3190.962"/>
    <m/>
  </r>
  <r>
    <x v="34"/>
    <d v="2026-07-30T00:00:00"/>
    <x v="35"/>
    <s v="ABELARDO HERNANDEZ ABURTO"/>
    <m/>
    <s v="HEAA650125HVZRBB08"/>
    <n v="23233560"/>
    <n v="6241769773"/>
    <x v="2"/>
    <n v="10171.24"/>
    <n v="2942.41"/>
    <n v="3051.3719999999998"/>
    <n v="108.96199999999999"/>
    <d v="2027-11-01T00:00:00"/>
  </r>
  <r>
    <x v="34"/>
    <d v="2026-08-03T00:00:00"/>
    <x v="26"/>
    <s v="JOSE LUIS ALVARADO ALMAZAN"/>
    <n v="65644721923"/>
    <s v="AAAL470808HVZLLS06"/>
    <n v="23311202"/>
    <n v="5212298498933"/>
    <x v="2"/>
    <n v="9760.32"/>
    <n v="2822"/>
    <n v="2928.096"/>
    <n v="106.096"/>
    <d v="2027-05-01T00:00:00"/>
  </r>
  <r>
    <x v="34"/>
    <d v="2026-08-04T00:00:00"/>
    <x v="14"/>
    <s v="GABRIEL BUGARIN VALENZUELA"/>
    <m/>
    <s v="BUVG641128HCHGLB03"/>
    <n v="23354712"/>
    <n v="5216391607499"/>
    <x v="2"/>
    <n v="10171.24"/>
    <n v="3039.4"/>
    <n v="3051.3719999999998"/>
    <n v="11.971999999999753"/>
    <d v="2028-06-01T00:00:00"/>
  </r>
  <r>
    <x v="34"/>
    <d v="2026-08-01T00:00:00"/>
    <x v="42"/>
    <s v="RAMON BLANCO CHAVEZ"/>
    <m/>
    <s v="BACR510121HCHLHM06"/>
    <n v="23280402"/>
    <n v="6567749546"/>
    <x v="1"/>
    <n v="3878.36"/>
    <n v="879"/>
    <n v="1163.508"/>
    <n v="-879"/>
    <m/>
  </r>
  <r>
    <x v="34"/>
    <d v="2026-08-04T00:00:00"/>
    <x v="6"/>
    <s v="MARIA DE JESUS DIAZ FLORES"/>
    <m/>
    <s v="DIFJ490329MDFZLS00"/>
    <n v="23347968"/>
    <n v="5215619685111"/>
    <x v="2"/>
    <n v="5402.79"/>
    <n v="1173.44"/>
    <n v="1620.837"/>
    <n v="56.370000000000346"/>
    <d v="2027-10-01T00:00:00"/>
  </r>
  <r>
    <x v="34"/>
    <d v="2026-07-31T00:00:00"/>
    <x v="37"/>
    <s v="VICTOR MANUEL ROBLES GOMEZ"/>
    <n v="64866113463"/>
    <m/>
    <n v="23266162"/>
    <n v="5214461000935"/>
    <x v="6"/>
    <n v="9569.2999999999993"/>
    <n v="2354.35"/>
    <n v="2870.7899999999995"/>
    <n v="516.4399999999996"/>
    <d v="2024-08-01T00:00:00"/>
  </r>
  <r>
    <x v="34"/>
    <d v="2026-08-04T00:00:00"/>
    <x v="26"/>
    <s v="GABRIEL JUAREZ REYES"/>
    <n v="49846634167"/>
    <s v="JURG660307HVZRYB06"/>
    <n v="23351366"/>
    <n v="5218683493711"/>
    <x v="0"/>
    <n v="10636.54"/>
    <m/>
    <n v="3190.962"/>
    <n v="3190.962"/>
    <m/>
  </r>
  <r>
    <x v="34"/>
    <d v="2026-07-27T00:00:00"/>
    <x v="6"/>
    <s v="JESUS ANTONIO VILLANUEVA ALVAREZ "/>
    <m/>
    <s v="VIAJ570409HTSLLS01"/>
    <n v="23141904"/>
    <n v="5214438896076"/>
    <x v="5"/>
    <m/>
    <m/>
    <n v="0"/>
    <n v="0"/>
    <m/>
  </r>
  <r>
    <x v="34"/>
    <d v="2026-08-02T00:00:00"/>
    <x v="40"/>
    <s v="Juanita Alejandra Teja Camargo"/>
    <s v="017549161185"/>
    <m/>
    <n v="23295146"/>
    <n v="5214421685627"/>
    <x v="5"/>
    <m/>
    <m/>
    <n v="0"/>
    <n v="0"/>
    <m/>
  </r>
  <r>
    <x v="34"/>
    <d v="2026-08-03T00:00:00"/>
    <x v="26"/>
    <s v="PEDRO PIÑA ESCARCEGA"/>
    <n v="11694959641"/>
    <s v="PIEP490629HDFXSD00"/>
    <n v="23336306"/>
    <n v="5217352035555"/>
    <x v="2"/>
    <n v="9081.52"/>
    <n v="2521.35"/>
    <n v="2724.4560000000001"/>
    <n v="203.10600000000022"/>
    <d v="2026-10-01T00:00:00"/>
  </r>
  <r>
    <x v="34"/>
    <d v="2026-08-04T00:00:00"/>
    <x v="28"/>
    <s v="RAFAEL DAVID GONZALEZ ECHAVARRIA"/>
    <s v="81846606838"/>
    <s v="GOER861229HCCNCF08"/>
    <n v="23355420"/>
    <n v="5219381152265"/>
    <x v="1"/>
    <n v="807.15"/>
    <m/>
    <n v="242.14499999999998"/>
    <n v="0"/>
    <m/>
  </r>
  <r>
    <x v="34"/>
    <d v="2026-08-04T00:00:00"/>
    <x v="26"/>
    <s v="MIGUEL JIMENEZ PALAGOT"/>
    <n v="62755818630"/>
    <s v="JIPM580928HVZMLG03"/>
    <n v="23349030"/>
    <n v="5212297522582"/>
    <x v="9"/>
    <n v="7116.73"/>
    <n v="2058.6"/>
    <n v="2135.0189999999998"/>
    <n v="76.418999999999869"/>
    <d v="2026-04-01T00:00:00"/>
  </r>
  <r>
    <x v="34"/>
    <d v="2026-08-04T00:00:00"/>
    <x v="6"/>
    <s v="SERGIO ZAVALA MARQUEZ "/>
    <m/>
    <s v="ZAMS640303HVZVRR07"/>
    <n v="23353606"/>
    <n v="5214891167778"/>
    <x v="2"/>
    <n v="9760.32"/>
    <n v="2820.29"/>
    <n v="2928.096"/>
    <n v="107.80600000000004"/>
    <d v="2027-09-01T00:00:00"/>
  </r>
  <r>
    <x v="34"/>
    <d v="2026-08-04T00:00:00"/>
    <x v="32"/>
    <s v="AARON CRUZ MEXICANO"/>
    <n v="62886407377"/>
    <s v="CUMA641230HPLRXR01"/>
    <n v="2"/>
    <n v="2221509694"/>
    <x v="2"/>
    <n v="9760.32"/>
    <n v="2823.85"/>
    <n v="2928.096"/>
    <n v="104.24600000000009"/>
    <d v="2027-10-01T00:00:00"/>
  </r>
  <r>
    <x v="34"/>
    <d v="2026-08-04T00:00:00"/>
    <x v="6"/>
    <s v="J FELIZ MARTINEZ NEGRETE"/>
    <n v="12654816862"/>
    <s v="MANF491120HGTRGL00"/>
    <n v="23355538"/>
    <n v="5216624668789"/>
    <x v="1"/>
    <n v="4022.21"/>
    <m/>
    <n v="1206.663"/>
    <n v="0"/>
    <m/>
  </r>
  <r>
    <x v="34"/>
    <d v="2026-08-04T00:00:00"/>
    <x v="13"/>
    <s v="JOSE HECTOR FLORES TAPIA"/>
    <n v="41796112799"/>
    <s v="FOTH620622HSPLPC06"/>
    <n v="23354818"/>
    <n v="5214443302458"/>
    <x v="0"/>
    <n v="8346.34"/>
    <m/>
    <n v="2503.902"/>
    <n v="2503.902"/>
    <m/>
  </r>
  <r>
    <x v="34"/>
    <d v="2026-08-02T00:00:00"/>
    <x v="26"/>
    <s v="LILIA ESPERANZA DZUL"/>
    <n v="85723505294"/>
    <s v="DUXL470529MYNZXL09"/>
    <n v="23299282"/>
    <n v="5219992302072"/>
    <x v="2"/>
    <n v="7913.78"/>
    <n v="2130.0700000000002"/>
    <n v="2374.134"/>
    <n v="244.06399999999985"/>
    <d v="2027-02-01T00:00:00"/>
  </r>
  <r>
    <x v="34"/>
    <d v="2026-08-04T00:00:00"/>
    <x v="31"/>
    <s v="JOSE ISMAEL GONZALEZ"/>
    <n v="10805403754"/>
    <s v="GOXI540818HDFNXS06"/>
    <n v="2"/>
    <n v="5577922514"/>
    <x v="1"/>
    <n v="3879.3"/>
    <m/>
    <n v="1163.79"/>
    <n v="0"/>
    <m/>
  </r>
  <r>
    <x v="34"/>
    <d v="2026-08-04T00:00:00"/>
    <x v="14"/>
    <s v="NORMA CRUZ ALVAREZ"/>
    <n v="53917339193"/>
    <s v="CUAN760706MMNRLR09"/>
    <n v="23367210"/>
    <n v="5218685409954"/>
    <x v="2"/>
    <n v="4738.45"/>
    <n v="947.78"/>
    <n v="1421.5349999999999"/>
    <n v="-382.30999999999972"/>
    <d v="2027-07-01T00:00:00"/>
  </r>
  <r>
    <x v="34"/>
    <d v="2026-08-04T00:00:00"/>
    <x v="0"/>
    <s v="JULIO ERNESTO LOPEZ RAMIREZ"/>
    <m/>
    <s v="LORJ590121HDFPML09"/>
    <n v="22818524"/>
    <n v="5215575198522"/>
    <x v="4"/>
    <m/>
    <m/>
    <n v="0"/>
    <n v="0"/>
    <m/>
  </r>
  <r>
    <x v="34"/>
    <d v="2026-08-02T00:00:00"/>
    <x v="29"/>
    <s v="Jose Rocha Morales"/>
    <s v="43765802285"/>
    <m/>
    <n v="23297314"/>
    <n v="5216572217619"/>
    <x v="2"/>
    <n v="17970.12"/>
    <n v="5390.99"/>
    <n v="5391.0359999999991"/>
    <n v="4.5999999999366992E-2"/>
    <d v="2026-10-01T00:00:00"/>
  </r>
  <r>
    <x v="34"/>
    <d v="2026-08-04T00:00:00"/>
    <x v="26"/>
    <s v="JAVIER FERNANDO SABIDO MEDINA"/>
    <n v="84715404384"/>
    <s v="SAMJ541129HYNBDV03"/>
    <n v="23356156"/>
    <n v="5219993526094"/>
    <x v="1"/>
    <n v="4401.97"/>
    <n v="220.81"/>
    <n v="1320.5910000000001"/>
    <n v="8.1800000000006889"/>
    <m/>
  </r>
  <r>
    <x v="34"/>
    <d v="2026-08-04T00:00:00"/>
    <x v="20"/>
    <s v="gustavo "/>
    <n v="33826801998"/>
    <m/>
    <n v="23369204"/>
    <n v="5216142232713"/>
    <x v="1"/>
    <n v="4210.29"/>
    <n v="848"/>
    <n v="1263.087"/>
    <n v="-810.6899999999996"/>
    <m/>
  </r>
  <r>
    <x v="34"/>
    <d v="2026-08-04T00:00:00"/>
    <x v="6"/>
    <s v="FABIOLA DAVILA FLORES"/>
    <s v="06725459900"/>
    <s v="DAFF681108MDFVLB04"/>
    <n v="23368746"/>
    <n v="5215511997958"/>
    <x v="2"/>
    <n v="14787.68"/>
    <n v="4242.8900000000003"/>
    <n v="4436.3040000000001"/>
    <n v="193.41399999999976"/>
    <d v="2026-11-01T00:00:00"/>
  </r>
  <r>
    <x v="34"/>
    <d v="2026-08-04T00:00:00"/>
    <x v="14"/>
    <s v="ERNESTO CASANOVA GARCIA"/>
    <m/>
    <s v="CAGE621107HVZSRR05"/>
    <n v="23355208"/>
    <n v="5218361212703"/>
    <x v="2"/>
    <n v="7116.73"/>
    <n v="2043.04"/>
    <n v="2135.0189999999998"/>
    <n v="91.978999999999814"/>
    <d v="2027-08-01T00:00:00"/>
  </r>
  <r>
    <x v="34"/>
    <d v="2026-08-03T00:00:00"/>
    <x v="14"/>
    <s v="OSCAR CABEALLERO PALMENO"/>
    <m/>
    <s v="CAPO500428HDFBLS04"/>
    <n v="23339996"/>
    <n v="5216562240500"/>
    <x v="1"/>
    <n v="3866.25"/>
    <n v="879"/>
    <n v="1159.875"/>
    <n v="-879"/>
    <m/>
  </r>
  <r>
    <x v="34"/>
    <d v="2026-08-04T00:00:00"/>
    <x v="0"/>
    <s v="JORGE OCTAVIO ALCALA"/>
    <s v="54775949701"/>
    <s v="AAGJ710520HJCLTR03"/>
    <n v="23369800"/>
    <n v="5213311132007"/>
    <x v="5"/>
    <m/>
    <m/>
    <n v="0"/>
    <n v="0"/>
    <m/>
  </r>
  <r>
    <x v="34"/>
    <d v="2026-08-04T00:00:00"/>
    <x v="11"/>
    <s v="Silvia Sandoval Lopez"/>
    <s v="32966825062_x000a_"/>
    <s v="SALS700206MCLNPL05 "/>
    <n v="23370026"/>
    <n v="5218666529180"/>
    <x v="7"/>
    <n v="8554.23"/>
    <n v="2371.66"/>
    <n v="2566.2689999999998"/>
    <n v="194.60899999999992"/>
    <d v="2026-06-01T00:00:00"/>
  </r>
  <r>
    <x v="34"/>
    <d v="2026-08-04T00:00:00"/>
    <x v="20"/>
    <s v="VICTOR "/>
    <n v="30826104157"/>
    <m/>
    <n v="23370280"/>
    <n v="5215540147265"/>
    <x v="4"/>
    <m/>
    <m/>
    <n v="0"/>
    <n v="0"/>
    <m/>
  </r>
  <r>
    <x v="34"/>
    <d v="2026-08-04T00:00:00"/>
    <x v="19"/>
    <m/>
    <n v="53907210065"/>
    <m/>
    <n v="23370592"/>
    <n v="4361123666"/>
    <x v="7"/>
    <n v="4645.7700000000004"/>
    <n v="432.51"/>
    <n v="1393.731"/>
    <n v="40.280000000000882"/>
    <d v="2026-06-01T00:00:00"/>
  </r>
  <r>
    <x v="34"/>
    <d v="2026-08-04T00:00:00"/>
    <x v="0"/>
    <s v="MARGARITA MORALES MEZTA"/>
    <s v="32806148493"/>
    <s v="MOMM630319MCLRZR06"/>
    <n v="23369224"/>
    <n v="5218443612916"/>
    <x v="2"/>
    <n v="5636.59"/>
    <n v="1629.35"/>
    <n v="1690.9770000000001"/>
    <n v="-165.73999999999933"/>
    <d v="2027-06-01T00:00:00"/>
  </r>
  <r>
    <x v="34"/>
    <d v="2026-08-04T00:00:00"/>
    <x v="26"/>
    <s v="MARIA DE JESUS ZAVALA "/>
    <n v="43845903038"/>
    <s v="ZAHJ590522MNLVRS03"/>
    <n v="23367154"/>
    <n v="23367154"/>
    <x v="2"/>
    <n v="42682.04"/>
    <n v="12802.93"/>
    <n v="12804.611999999999"/>
    <n v="1.6819999999988795"/>
    <d v="2027-04-01T00:00:00"/>
  </r>
  <r>
    <x v="34"/>
    <d v="2026-08-04T00:00:00"/>
    <x v="26"/>
    <s v="JAVIER RUTILO ARELLANO OLVERA"/>
    <s v="64846500417"/>
    <s v="AEOJ650604HDFRLV09"/>
    <n v="23353422"/>
    <n v="5215516465257"/>
    <x v="2"/>
    <n v="9760.32"/>
    <n v="2806.88"/>
    <n v="2928.096"/>
    <n v="121.21599999999989"/>
    <d v="2027-07-01T00:00:00"/>
  </r>
  <r>
    <x v="34"/>
    <d v="2026-08-04T00:00:00"/>
    <x v="6"/>
    <s v="MARIA DE LOURDES CEREZO PAYAN"/>
    <n v="67816216575"/>
    <s v="CEPL631024MVZRYR04"/>
    <n v="23353906"/>
    <n v="5212221915677"/>
    <x v="3"/>
    <n v="31347.38"/>
    <n v="9063.16"/>
    <n v="9404.2139999999999"/>
    <n v="341.05400000000009"/>
    <d v="2027-08-01T00:00:00"/>
  </r>
  <r>
    <x v="34"/>
    <d v="2026-08-02T00:00:00"/>
    <x v="40"/>
    <s v="Jose Fidel Cobos Tovar"/>
    <n v="49796247861"/>
    <m/>
    <n v="23292426"/>
    <n v="5217831011365"/>
    <x v="2"/>
    <n v="31626.07"/>
    <n v="9477.57"/>
    <n v="9487.8209999999999"/>
    <n v="10.251000000000204"/>
    <d v="2028-04-01T00:00:00"/>
  </r>
  <r>
    <x v="34"/>
    <d v="2026-08-01T00:00:00"/>
    <x v="14"/>
    <s v="IGNACIO PARRA MONTES"/>
    <m/>
    <s v="PAMI570104HCHRNG00"/>
    <n v="23278084"/>
    <n v="5216143286711"/>
    <x v="9"/>
    <n v="4813.6899999999996"/>
    <n v="520.23"/>
    <n v="1444.1069999999997"/>
    <n v="120.48000000000002"/>
    <d v="2026-02-01T00:00:00"/>
  </r>
  <r>
    <x v="34"/>
    <d v="2026-08-04T00:00:00"/>
    <x v="11"/>
    <s v="LETICIA ORTIZ RENTERIA "/>
    <m/>
    <s v="OIRL640301MNTRNT04"/>
    <n v="23370336"/>
    <n v="5213221059927"/>
    <x v="2"/>
    <n v="9081.52"/>
    <n v="2625.85"/>
    <n v="2724.4560000000001"/>
    <n v="98.606000000000222"/>
    <d v="2027-03-01T00:00:00"/>
  </r>
  <r>
    <x v="34"/>
    <d v="2026-08-04T00:00:00"/>
    <x v="28"/>
    <s v="MIGUEL BARRERA RAMIREZ"/>
    <s v="53826238080_x000a_"/>
    <s v="BARM620929HMNRMG00"/>
    <n v="23367318"/>
    <n v="23367318"/>
    <x v="6"/>
    <n v="9081.52"/>
    <n v="2598.66"/>
    <n v="2724.4560000000001"/>
    <n v="125.79600000000028"/>
    <d v="2026-05-01T00:00:00"/>
  </r>
  <r>
    <x v="34"/>
    <d v="2026-08-04T00:00:00"/>
    <x v="28"/>
    <s v="GUSTAVO CRUZ CHACON"/>
    <s v="3382680199_x000a_"/>
    <m/>
    <n v="23367946"/>
    <n v="23367946"/>
    <x v="1"/>
    <n v="4210.29"/>
    <n v="848"/>
    <n v="1263.087"/>
    <n v="-810.6899999999996"/>
    <m/>
  </r>
  <r>
    <x v="34"/>
    <d v="2026-08-04T00:00:00"/>
    <x v="6"/>
    <s v="MAXIMO CANIZALES HERNANDEZ "/>
    <m/>
    <s v="CAHM630511HNLNRX03"/>
    <n v="23357926"/>
    <n v="5218180817750"/>
    <x v="2"/>
    <n v="7920.51"/>
    <n v="2376.1"/>
    <n v="2376.1529999999998"/>
    <n v="5.2999999999883585E-2"/>
    <d v="2028-06-01T00:00:00"/>
  </r>
  <r>
    <x v="34"/>
    <d v="2026-08-02T00:00:00"/>
    <x v="6"/>
    <s v="VALENTIN HERNANDEZ CASTRO"/>
    <m/>
    <s v="HECV500214HVZRSL01"/>
    <n v="23304092"/>
    <n v="5212881354472"/>
    <x v="2"/>
    <n v="16394.14"/>
    <n v="4743"/>
    <n v="4918.2419999999993"/>
    <n v="175.24199999999928"/>
    <d v="2027-12-01T00:00:00"/>
  </r>
  <r>
    <x v="34"/>
    <d v="2026-08-04T00:00:00"/>
    <x v="32"/>
    <s v="MARIA DE LOURDES ARMENTA PLATA"/>
    <n v="10786063254"/>
    <s v="AEPL600908MDFRLR01"/>
    <n v="2"/>
    <s v="56 5204 1208"/>
    <x v="2"/>
    <n v="7920.51"/>
    <n v="2375.4499999999998"/>
    <n v="2376.1529999999998"/>
    <n v="0.70299999999997453"/>
    <d v="2027-06-01T00:00:00"/>
  </r>
  <r>
    <x v="34"/>
    <d v="2026-08-04T00:00:00"/>
    <x v="28"/>
    <s v="ISIDRO CALZADA TORRES"/>
    <s v="23745305138_x000a_"/>
    <s v="CATI530407HDGLRS01"/>
    <n v="23367052"/>
    <n v="23367052"/>
    <x v="7"/>
    <n v="4827.43"/>
    <n v="535.05999999999995"/>
    <n v="1448.229"/>
    <n v="119.39000000000078"/>
    <d v="2024-11-01T00:00:00"/>
  </r>
  <r>
    <x v="34"/>
    <d v="2026-07-25T00:00:00"/>
    <x v="39"/>
    <s v="Juan Diego Bueno Martinez"/>
    <n v="71654811588"/>
    <s v="BUMJ481209HCSNRN03"/>
    <n v="23110222"/>
    <n v="9612181127"/>
    <x v="1"/>
    <n v="4199.87"/>
    <n v="879"/>
    <n v="1259.961"/>
    <n v="-852.10999999999967"/>
    <m/>
  </r>
  <r>
    <x v="34"/>
    <d v="2026-08-04T00:00:00"/>
    <x v="11"/>
    <s v="Justo Esteban Navarrete"/>
    <m/>
    <s v="NAXJ580902HYNVXS04"/>
    <n v="23372722"/>
    <n v="5219995479200"/>
    <x v="1"/>
    <n v="4342.43"/>
    <m/>
    <n v="1302.729"/>
    <n v="169.45000000000073"/>
    <m/>
  </r>
  <r>
    <x v="34"/>
    <d v="2026-08-04T00:00:00"/>
    <x v="0"/>
    <s v="HILDA REYES CABRERA"/>
    <n v="62825807753"/>
    <s v="RECH601213MPLYBL00"/>
    <n v="23373026"/>
    <n v="5212223348405"/>
    <x v="6"/>
    <n v="16513.98"/>
    <n v="4063"/>
    <n v="4954.1939999999995"/>
    <n v="891.19399999999951"/>
    <d v="2024-02-01T00:00:00"/>
  </r>
  <r>
    <x v="34"/>
    <d v="2026-08-04T00:00:00"/>
    <x v="32"/>
    <s v="HECTOR TRUJILLO DE LA CRUZ"/>
    <n v="62846300861"/>
    <s v="TUCH630330HPLRRC08"/>
    <n v="2"/>
    <s v="444 800 2526"/>
    <x v="6"/>
    <n v="15542.02"/>
    <n v="4108.67"/>
    <n v="4662.6059999999998"/>
    <n v="553.93599999999969"/>
    <d v="2025-05-01T00:00:00"/>
  </r>
  <r>
    <x v="34"/>
    <d v="2026-08-04T00:00:00"/>
    <x v="6"/>
    <s v="HOMERO MONTOYA CARRERA "/>
    <m/>
    <s v="MOCH650312HCLNRM03"/>
    <n v="23367600"/>
    <n v="15128035947"/>
    <x v="0"/>
    <n v="9760.32"/>
    <n v="879"/>
    <n v="2928.096"/>
    <n v="2049.096"/>
    <m/>
  </r>
  <r>
    <x v="34"/>
    <d v="2026-08-04T00:00:00"/>
    <x v="26"/>
    <s v="ROGELIO ROBLES CAMPA "/>
    <n v="22684910882"/>
    <s v="ROCR481201HSRBMG08"/>
    <n v="23366202"/>
    <n v="23366202"/>
    <x v="1"/>
    <n v="3866.25"/>
    <n v="879"/>
    <n v="1159.875"/>
    <n v="-879"/>
    <m/>
  </r>
  <r>
    <x v="34"/>
    <d v="2026-08-04T00:00:00"/>
    <x v="28"/>
    <s v="CECILIA MELENDEZ  CROSTHWAITE"/>
    <s v="21836101135_x000a_"/>
    <s v="MECC610826MBCLRC07"/>
    <n v="23366138"/>
    <n v="23366138"/>
    <x v="2"/>
    <n v="20144.009999999998"/>
    <n v="5980.88"/>
    <n v="6043.2029999999995"/>
    <n v="62.322999999999411"/>
    <d v="2028-04-01T00:00:00"/>
  </r>
  <r>
    <x v="34"/>
    <d v="2026-08-04T00:00:00"/>
    <x v="13"/>
    <s v="JUAN MANUEL LOPEZ MARTINE"/>
    <n v="43776000127"/>
    <m/>
    <n v="23366608"/>
    <n v="5218115378060"/>
    <x v="2"/>
    <n v="5617.63"/>
    <n v="1335"/>
    <n v="1685.289"/>
    <n v="109.65000000000055"/>
    <d v="2027-01-01T00:00:00"/>
  </r>
  <r>
    <x v="34"/>
    <d v="2026-09-04T00:00:00"/>
    <x v="19"/>
    <m/>
    <n v="82836409449"/>
    <m/>
    <n v="23369300"/>
    <n v="9841070467"/>
    <x v="2"/>
    <n v="10636.54"/>
    <n v="3190.96"/>
    <n v="3190.962"/>
    <n v="1.9999999999527063E-3"/>
    <d v="2028-07-01T00:00:00"/>
  </r>
  <r>
    <x v="34"/>
    <d v="2026-08-04T00:00:00"/>
    <x v="26"/>
    <s v="MANUELA MARTINA ARAMBULA RUEDA"/>
    <n v="31786205745"/>
    <s v="AARM640908MDGRDN01"/>
    <n v="23358296"/>
    <n v="5216183641422"/>
    <x v="1"/>
    <n v="4332.32"/>
    <m/>
    <n v="1299.6959999999999"/>
    <n v="159.34000000000015"/>
    <m/>
  </r>
  <r>
    <x v="34"/>
    <d v="2026-08-04T00:00:00"/>
    <x v="6"/>
    <s v="FELIX RAMOS CAMPA"/>
    <n v="32806038082"/>
    <s v="RACF600107HCLMML04"/>
    <n v="23368952"/>
    <n v="23368952"/>
    <x v="0"/>
    <n v="7116.73"/>
    <m/>
    <n v="2135.0189999999998"/>
    <n v="2135.0189999999998"/>
    <m/>
  </r>
  <r>
    <x v="34"/>
    <d v="2026-08-04T00:00:00"/>
    <x v="28"/>
    <s v="FEDEBERTO VILLA GONZALEZ"/>
    <s v="24825810401_x000a_"/>
    <s v="VIGF580817HSRLNR04"/>
    <n v="23368834"/>
    <n v="5216323240163"/>
    <x v="7"/>
    <n v="5239.09"/>
    <n v="1108.26"/>
    <n v="1571.7270000000001"/>
    <n v="-42.149999999999409"/>
    <d v="2024-03-01T00:00:00"/>
  </r>
  <r>
    <x v="34"/>
    <d v="2026-08-04T00:00:00"/>
    <x v="39"/>
    <s v="Jaime Velazco Santiago"/>
    <n v="21846450365"/>
    <s v="VESJ640414HBSLNM01"/>
    <n v="23372588"/>
    <n v="6151591111"/>
    <x v="0"/>
    <n v="78794.48"/>
    <n v="17633.55"/>
    <n v="23638.343999999997"/>
    <n v="6004.7939999999981"/>
    <d v="2027-02-01T00:00:00"/>
  </r>
  <r>
    <x v="34"/>
    <d v="2026-08-04T00:00:00"/>
    <x v="28"/>
    <s v="DELIA VERONICA NEVAREZ CHAIREZ"/>
    <s v="33836571407_x000a_"/>
    <s v="NECD651218MCHVHL03"/>
    <n v="23361474"/>
    <n v="5216561562511"/>
    <x v="2"/>
    <n v="16758.27"/>
    <n v="4775.8599999999997"/>
    <n v="5027.4809999999998"/>
    <n v="251.62100000000009"/>
    <d v="2027-07-01T00:00:00"/>
  </r>
  <r>
    <x v="34"/>
    <d v="2026-08-04T00:00:00"/>
    <x v="26"/>
    <s v="JOSE LUIS CARRILLO GUEL"/>
    <n v="33774802327"/>
    <s v="CAGL481128HCHRLS05"/>
    <n v="23345002"/>
    <n v="5216567775284"/>
    <x v="1"/>
    <n v="3869.36"/>
    <n v="879"/>
    <n v="1160.808"/>
    <n v="-879"/>
    <m/>
  </r>
  <r>
    <x v="34"/>
    <d v="2026-08-01T00:00:00"/>
    <x v="37"/>
    <s v="MARTIN ORTIZ"/>
    <n v="32846319393"/>
    <m/>
    <n v="23287686"/>
    <n v="5218442959612"/>
    <x v="9"/>
    <n v="7920.51"/>
    <n v="2099.48"/>
    <n v="2376.1529999999998"/>
    <n v="276.67299999999977"/>
    <d v="2026-01-01T00:00:00"/>
  </r>
  <r>
    <x v="34"/>
    <d v="2026-08-04T00:00:00"/>
    <x v="28"/>
    <s v="SALVADOR RODRIGUEZ GARCIA"/>
    <m/>
    <s v=" ROGS660313HJCDRL07"/>
    <n v="23353636"/>
    <n v="5213331074067"/>
    <x v="0"/>
    <n v="10636.54"/>
    <m/>
    <n v="3190.962"/>
    <n v="3190.962"/>
    <m/>
  </r>
  <r>
    <x v="34"/>
    <d v="2026-08-05T00:00:00"/>
    <x v="11"/>
    <s v="RODOLFO "/>
    <s v="65836370051_x000a_"/>
    <s v="RONR630809HVZDJD05"/>
    <n v="23372986"/>
    <n v="5212292085395"/>
    <x v="6"/>
    <n v="16023.87"/>
    <n v="4807.16"/>
    <n v="4807.1610000000001"/>
    <n v="1.0000000002037268E-3"/>
    <d v="2026-03-01T00:00:00"/>
  </r>
  <r>
    <x v="34"/>
    <d v="2026-08-03T00:00:00"/>
    <x v="39"/>
    <s v="Froilan Olea Hernandez"/>
    <n v="22826101051"/>
    <m/>
    <n v="23334138"/>
    <n v="6242444774"/>
    <x v="2"/>
    <n v="7116.73"/>
    <n v="2058.04"/>
    <n v="2135.0189999999998"/>
    <n v="76.978999999999814"/>
    <d v="2027-08-01T00:00:00"/>
  </r>
  <r>
    <x v="34"/>
    <d v="2026-08-04T00:00:00"/>
    <x v="11"/>
    <s v="JESUS RODRIGUEZ CARAVEO"/>
    <s v="24695024760_x000a_"/>
    <m/>
    <n v="23374710"/>
    <n v="6221069550"/>
    <x v="1"/>
    <n v="3879.3"/>
    <m/>
    <n v="1163.79"/>
    <n v="0"/>
    <m/>
  </r>
  <r>
    <x v="34"/>
    <d v="2026-08-04T00:00:00"/>
    <x v="0"/>
    <s v="IRASEMA LIBRADO SAPIEN"/>
    <m/>
    <s v="LASI611112MCHBPR05"/>
    <n v="23375398"/>
    <n v="5216311865266"/>
    <x v="2"/>
    <n v="7116.73"/>
    <n v="2055.65"/>
    <n v="2135.0189999999998"/>
    <n v="79.368999999999687"/>
    <d v="2026-12-01T00:00:00"/>
  </r>
  <r>
    <x v="34"/>
    <d v="2026-08-04T00:00:00"/>
    <x v="20"/>
    <s v="maria elena "/>
    <n v="16956000240"/>
    <s v="TEJE620618MDFLML07"/>
    <n v="23370944"/>
    <n v="5215643390142"/>
    <x v="1"/>
    <n v="4332.32"/>
    <m/>
    <n v="1299.6959999999999"/>
    <n v="159.34000000000015"/>
    <m/>
  </r>
  <r>
    <x v="34"/>
    <d v="2026-08-04T00:00:00"/>
    <x v="0"/>
    <s v="ALDO JIMENEZ"/>
    <n v="81866201742"/>
    <m/>
    <n v="23373826"/>
    <n v="5219811810243"/>
    <x v="2"/>
    <n v="10454.969999999999"/>
    <n v="3134.59"/>
    <n v="3136.4909999999995"/>
    <n v="1.9009999999993852"/>
    <d v="2026-11-01T00:00:00"/>
  </r>
  <r>
    <x v="34"/>
    <d v="2026-08-04T00:00:00"/>
    <x v="20"/>
    <m/>
    <n v="63816216517"/>
    <s v="TEJE620618MDFLML07"/>
    <n v="23370944"/>
    <n v="5215643390142"/>
    <x v="2"/>
    <n v="7116.73"/>
    <n v="2055.04"/>
    <n v="2135.0189999999998"/>
    <n v="79.978999999999814"/>
    <d v="2027-04-01T00:00:00"/>
  </r>
  <r>
    <x v="34"/>
    <d v="2026-08-04T00:00:00"/>
    <x v="40"/>
    <s v="Alejandro Betancourt Hernandez"/>
    <n v="43927775239"/>
    <m/>
    <n v="23288402"/>
    <n v="5218124669902"/>
    <x v="7"/>
    <n v="5742.01"/>
    <n v="638.04999999999995"/>
    <n v="1722.6030000000001"/>
    <n v="930.9800000000007"/>
    <d v="2026-07-01T00:00:00"/>
  </r>
  <r>
    <x v="35"/>
    <d v="2026-08-05T00:00:00"/>
    <x v="31"/>
    <s v="VICENTE FLORES REYES"/>
    <s v="06836506268"/>
    <s v="FORV650320HSPLYC09"/>
    <n v="2"/>
    <s v="440 231 0460"/>
    <x v="2"/>
    <n v="9760.32"/>
    <n v="2927.2"/>
    <n v="2928.096"/>
    <n v="0.89600000000018554"/>
    <d v="2027-11-01T00:00:00"/>
  </r>
  <r>
    <x v="35"/>
    <d v="2026-08-05T00:00:00"/>
    <x v="32"/>
    <s v="MARIA DEL ROCIO RIOS JUAREZ"/>
    <n v="62896602083"/>
    <s v="RIJR660628MPLSRC09"/>
    <n v="2"/>
    <n v="2225500506"/>
    <x v="1"/>
    <n v="4199.87"/>
    <n v="848"/>
    <n v="1259.961"/>
    <n v="-821.10999999999967"/>
    <m/>
  </r>
  <r>
    <x v="35"/>
    <d v="2026-07-31T00:00:00"/>
    <x v="40"/>
    <s v="Martin de Santos Cervantes"/>
    <m/>
    <s v="SACM630321HSPNRR05"/>
    <n v="23260756"/>
    <n v="5214443040955"/>
    <x v="2"/>
    <n v="11399.56"/>
    <n v="3292.64"/>
    <n v="3419.8679999999999"/>
    <n v="127.22800000000007"/>
    <d v="2028-02-01T00:00:00"/>
  </r>
  <r>
    <x v="35"/>
    <d v="2026-08-05T00:00:00"/>
    <x v="18"/>
    <m/>
    <n v="32836478100"/>
    <m/>
    <n v="1"/>
    <n v="8442314554"/>
    <x v="2"/>
    <n v="47701.14"/>
    <n v="14701.14"/>
    <n v="14310.341999999999"/>
    <n v="-390.79800000000068"/>
    <d v="2026-10-01T00:00:00"/>
  </r>
  <r>
    <x v="35"/>
    <d v="2026-08-05T00:00:00"/>
    <x v="6"/>
    <s v="CARMEN ALICIA PEREZ LARIOS "/>
    <s v="52774900733"/>
    <s v="PELC530108MCMRRR08"/>
    <n v="23390948"/>
    <n v="23390948"/>
    <x v="0"/>
    <n v="6405.06"/>
    <m/>
    <n v="1921.518"/>
    <n v="1921.518"/>
    <m/>
  </r>
  <r>
    <x v="35"/>
    <d v="2026-08-05T00:00:00"/>
    <x v="6"/>
    <s v="FERNANDO BENITEZ MORENO "/>
    <m/>
    <s v="BEMF711022HBCNRR00"/>
    <n v="23379868"/>
    <n v="5216631697305"/>
    <x v="1"/>
    <n v="3568.75"/>
    <n v="848"/>
    <n v="1070.625"/>
    <n v="-848"/>
    <m/>
  </r>
  <r>
    <x v="35"/>
    <d v="2026-08-04T00:00:00"/>
    <x v="13"/>
    <s v="JOSE DE JESUS MARTINEZ CHAVEZ"/>
    <n v="54846653068"/>
    <s v="MACJ670526HZSRHS06"/>
    <n v="23368344"/>
    <n v="5214494371634"/>
    <x v="5"/>
    <m/>
    <m/>
    <n v="0"/>
    <n v="0"/>
    <m/>
  </r>
  <r>
    <x v="35"/>
    <d v="2026-08-05T00:00:00"/>
    <x v="34"/>
    <s v="JESUS DURAN HERNANDEZ"/>
    <s v="01654518909"/>
    <s v="HEDJ460101HDFRRS03"/>
    <n v="2"/>
    <n v="5215537091388"/>
    <x v="2"/>
    <n v="21548.25"/>
    <n v="6462.41"/>
    <n v="6464.4749999999995"/>
    <n v="2.0649999999995998"/>
    <d v="2027-06-01T00:00:00"/>
  </r>
  <r>
    <x v="35"/>
    <d v="2026-08-05T00:00:00"/>
    <x v="34"/>
    <s v="LEOPOLDO GABRIEL MANRIQUEZ OROZCO"/>
    <s v="64826121283"/>
    <s v="MAOL611102HDFNRP17"/>
    <n v="2"/>
    <n v="5215542831907"/>
    <x v="2"/>
    <n v="8984.57"/>
    <n v="2599"/>
    <n v="2695.3709999999996"/>
    <n v="96.37099999999964"/>
    <d v="2027-11-01T00:00:00"/>
  </r>
  <r>
    <x v="35"/>
    <d v="2026-08-05T00:00:00"/>
    <x v="31"/>
    <s v="JOSE DE CUPERTINO CORTES GONZALEZ"/>
    <s v="01674795578"/>
    <s v="COGC470918HDFRNP08"/>
    <n v="2"/>
    <n v="5511905776"/>
    <x v="2"/>
    <n v="13534.06"/>
    <n v="4057.91"/>
    <n v="4060.2179999999998"/>
    <n v="2.3079999999999927"/>
    <d v="2027-05-01T00:00:00"/>
  </r>
  <r>
    <x v="35"/>
    <d v="2026-08-05T00:00:00"/>
    <x v="31"/>
    <s v="RENE PALACIOS VALDES"/>
    <n v="43866416266"/>
    <s v="PAVR640730HNLLLN06"/>
    <n v="2"/>
    <n v="8136295032"/>
    <x v="2"/>
    <n v="9081.5300000000007"/>
    <n v="2514.86"/>
    <n v="2724.4590000000003"/>
    <n v="209.59900000000016"/>
    <d v="2026-09-01T00:00:00"/>
  </r>
  <r>
    <x v="35"/>
    <d v="2026-08-05T00:00:00"/>
    <x v="28"/>
    <s v="MARTHA SOFIA GONZALEZ ARMENTA"/>
    <s v="35886534722"/>
    <s v=" GOAM650713MSLNRR08"/>
    <n v="23385506"/>
    <n v="5216681724059"/>
    <x v="5"/>
    <m/>
    <m/>
    <n v="0"/>
    <n v="0"/>
    <m/>
  </r>
  <r>
    <x v="35"/>
    <d v="2026-08-05T00:00:00"/>
    <x v="28"/>
    <s v="ENRIQUE ANGELES COBARRUBIAS"/>
    <s v="12775911303"/>
    <s v="AECE590724HGTNBN04"/>
    <n v="23394142"/>
    <n v="5214612792124"/>
    <x v="2"/>
    <n v="6889.2"/>
    <n v="2615.5"/>
    <n v="2066.7599999999998"/>
    <n v="-548.74000000000024"/>
    <d v="2026-12-01T00:00:00"/>
  </r>
  <r>
    <x v="35"/>
    <d v="2026-08-05T00:00:00"/>
    <x v="32"/>
    <s v="JORGE REYES COLIN"/>
    <n v="10856550180"/>
    <s v="RECJ651209HMCYLR02"/>
    <n v="2"/>
    <s v="55 3554 4267"/>
    <x v="2"/>
    <n v="12008.9"/>
    <n v="3601.23"/>
    <n v="3602.6699999999996"/>
    <n v="1.4399999999995998"/>
    <d v="2026-09-01T00:00:00"/>
  </r>
  <r>
    <x v="35"/>
    <d v="2026-08-04T00:00:00"/>
    <x v="26"/>
    <s v="REYNALDA GARCIA CERVANTES"/>
    <n v="33725427588"/>
    <s v="GACR540103MDGRRY00"/>
    <n v="23345002"/>
    <n v="5216567775284"/>
    <x v="1"/>
    <n v="3879.3"/>
    <n v="848"/>
    <n v="1163.79"/>
    <n v="-848"/>
    <m/>
  </r>
  <r>
    <x v="35"/>
    <d v="2026-08-04T00:00:00"/>
    <x v="41"/>
    <s v="MARIA ANDREA RICO PRADO"/>
    <m/>
    <s v="RIPA500301MSLCRN06"/>
    <n v="23376600"/>
    <n v="5216674193395"/>
    <x v="1"/>
    <n v="4369"/>
    <m/>
    <n v="1310.7"/>
    <n v="196.02000000000044"/>
    <m/>
  </r>
  <r>
    <x v="35"/>
    <d v="2026-08-05T00:00:00"/>
    <x v="29"/>
    <s v="Hugo Ignacio Vazquez Ornelas"/>
    <n v="53816500317"/>
    <m/>
    <n v="23395928"/>
    <n v="5217531006111"/>
    <x v="1"/>
    <n v="1182.3599999999999"/>
    <m/>
    <n v="354.70799999999997"/>
    <n v="0"/>
    <m/>
  </r>
  <r>
    <x v="35"/>
    <d v="2026-08-05T00:00:00"/>
    <x v="28"/>
    <s v="JUAN ULISES CRUZ PERALTA"/>
    <s v="92886007233"/>
    <s v=" CUPJ600424HCSRRN07"/>
    <n v="23395386"/>
    <n v="5215537703451"/>
    <x v="5"/>
    <m/>
    <m/>
    <n v="0"/>
    <n v="0"/>
    <m/>
  </r>
  <r>
    <x v="35"/>
    <d v="2026-08-04T00:00:00"/>
    <x v="20"/>
    <s v="hector lugo"/>
    <n v="23756000941"/>
    <m/>
    <n v="23374900"/>
    <n v="5216641560099"/>
    <x v="3"/>
    <n v="9081.52"/>
    <n v="1779.5"/>
    <n v="2724.4560000000001"/>
    <n v="944.95600000000013"/>
    <d v="2027-09-01T00:00:00"/>
  </r>
  <r>
    <x v="35"/>
    <d v="2026-08-05T00:00:00"/>
    <x v="31"/>
    <s v="MARIA DEL CARMEN ORTEGA LICONA"/>
    <s v="01725687329"/>
    <s v="OELC600124MDFRCR06"/>
    <n v="2"/>
    <n v="5566037416"/>
    <x v="2"/>
    <n v="5636.59"/>
    <n v="1463.61"/>
    <n v="1690.9770000000001"/>
    <n v="0"/>
    <d v="2027-09-01T00:00:00"/>
  </r>
  <r>
    <x v="35"/>
    <d v="2026-08-05T00:00:00"/>
    <x v="19"/>
    <s v="LUIS EUSEBIO "/>
    <m/>
    <s v="RIGL500814HCHVRS04"/>
    <n v="23374426"/>
    <n v="5214731010644"/>
    <x v="1"/>
    <n v="3866.25"/>
    <n v="848"/>
    <n v="1159.875"/>
    <n v="-848"/>
    <m/>
  </r>
  <r>
    <x v="35"/>
    <d v="2026-08-04T00:00:00"/>
    <x v="14"/>
    <s v="GREGORIO AGUILAR ORTEGA"/>
    <m/>
    <s v="AUOG620309HMCGRR01"/>
    <n v="23356152"/>
    <n v="5215632705518"/>
    <x v="0"/>
    <n v="9081.52"/>
    <m/>
    <n v="2724.4560000000001"/>
    <n v="2724.4560000000001"/>
    <m/>
  </r>
  <r>
    <x v="35"/>
    <d v="2026-08-05T00:00:00"/>
    <x v="6"/>
    <s v="JOSAFAT FILEMON CUAUTLE ZAMORA "/>
    <m/>
    <s v="CUZJ641114HPLTMS02"/>
    <n v="23379974"/>
    <n v="5212221785706"/>
    <x v="2"/>
    <n v="16455.740000000002"/>
    <n v="4758.1499999999996"/>
    <n v="4936.7220000000007"/>
    <n v="178.57200000000103"/>
    <d v="2027-07-01T00:00:00"/>
  </r>
  <r>
    <x v="35"/>
    <d v="2026-08-05T00:00:00"/>
    <x v="18"/>
    <s v="YOLANDA DE LUNA SAN MARTIN"/>
    <m/>
    <s v="LUSY700715MVZNNL00"/>
    <n v="1"/>
    <n v="8991178970"/>
    <x v="2"/>
    <n v="5642.22"/>
    <n v="1414.92"/>
    <n v="1692.6659999999999"/>
    <n v="54.320000000000618"/>
    <d v="2027-08-01T00:00:00"/>
  </r>
  <r>
    <x v="35"/>
    <d v="2026-08-05T00:00:00"/>
    <x v="28"/>
    <s v="MAURILIO NUÑEZ MONTIEL"/>
    <m/>
    <s v="NUMM510908HVZXNR01"/>
    <n v="23358112"/>
    <n v="5212724057920"/>
    <x v="1"/>
    <n v="3879.46"/>
    <m/>
    <n v="1163.838"/>
    <n v="0"/>
    <m/>
  </r>
  <r>
    <x v="35"/>
    <d v="2026-08-05T00:00:00"/>
    <x v="18"/>
    <s v="NO PROPORCIONO"/>
    <m/>
    <s v="IAFE500224MTSSLP01"/>
    <n v="1"/>
    <n v="8941033143"/>
    <x v="1"/>
    <n v="3866.25"/>
    <n v="848"/>
    <n v="1159.875"/>
    <n v="-848"/>
    <m/>
  </r>
  <r>
    <x v="35"/>
    <d v="2026-08-05T00:00:00"/>
    <x v="0"/>
    <s v="ALFREDO NUÑEZ AGUILERA"/>
    <m/>
    <s v="NUAA610910HDFXGL09"/>
    <n v="23396062"/>
    <n v="5215548605398"/>
    <x v="2"/>
    <n v="12175.69"/>
    <n v="3651.61"/>
    <n v="3652.7069999999999"/>
    <n v="1.0969999999997526"/>
    <d v="2027-02-01T00:00:00"/>
  </r>
  <r>
    <x v="35"/>
    <d v="2026-07-27T00:00:00"/>
    <x v="36"/>
    <s v="Pedro López Medrano"/>
    <m/>
    <s v="LOMP580629HSLPDD08"/>
    <n v="23152170"/>
    <n v="6681492708"/>
    <x v="0"/>
    <n v="10636.54"/>
    <m/>
    <n v="3190.962"/>
    <n v="3190.962"/>
    <m/>
  </r>
  <r>
    <x v="35"/>
    <d v="2026-08-04T00:00:00"/>
    <x v="6"/>
    <s v="VERONICA VIDACA MARTINEZ "/>
    <n v="35886843016"/>
    <s v="VIMV750830MCHDRR02"/>
    <n v="23360668"/>
    <n v="5216391287662"/>
    <x v="3"/>
    <n v="8173.37"/>
    <n v="1499.93"/>
    <n v="2452.011"/>
    <n v="952.0809999999999"/>
    <d v="2027-04-01T00:00:00"/>
  </r>
  <r>
    <x v="35"/>
    <d v="2026-08-04T00:00:00"/>
    <x v="13"/>
    <s v="SANTOS RUBIO COLIN"/>
    <n v="21945201669"/>
    <s v="RUCS521101HBCBLN01"/>
    <n v="23368424"/>
    <n v="5216862026189"/>
    <x v="1"/>
    <n v="4813.6900000000005"/>
    <n v="879"/>
    <n v="1444.1070000000002"/>
    <n v="-238.28999999999905"/>
    <m/>
  </r>
  <r>
    <x v="35"/>
    <d v="2026-08-04T00:00:00"/>
    <x v="13"/>
    <s v="JUAN FRANCISCO CHAVEZ ARREDONDO"/>
    <m/>
    <s v="CAAJ530223HHGHRN04"/>
    <n v="23366482"/>
    <n v="5217717508352"/>
    <x v="1"/>
    <n v="3881.65"/>
    <n v="879"/>
    <n v="1164.4949999999999"/>
    <n v="-879"/>
    <m/>
  </r>
  <r>
    <x v="35"/>
    <d v="2026-08-04T00:00:00"/>
    <x v="13"/>
    <s v="JAVIER ORNELAS ERIVES"/>
    <s v="238057058210"/>
    <s v="OEEJ570220HCHRRV00"/>
    <n v="23367008"/>
    <n v="23367008"/>
    <x v="2"/>
    <n v="7116.73"/>
    <n v="2052.9"/>
    <n v="2135.0189999999998"/>
    <n v="82.118999999999687"/>
    <d v="2028-04-01T00:00:00"/>
  </r>
  <r>
    <x v="35"/>
    <d v="2026-08-04T00:00:00"/>
    <x v="14"/>
    <s v="JOSEFINA TORRES DAVILA"/>
    <m/>
    <s v="TODJ610701MZSRVS02"/>
    <n v="23367150"/>
    <n v="5214922911211"/>
    <x v="0"/>
    <n v="25289.77"/>
    <m/>
    <n v="7586.9309999999996"/>
    <n v="7586.9309999999996"/>
    <m/>
  </r>
  <r>
    <x v="35"/>
    <d v="2026-07-31T00:00:00"/>
    <x v="20"/>
    <s v="SIMONA"/>
    <m/>
    <s v="GUCS480229MCMTRM05"/>
    <n v="23264148"/>
    <n v="5213121082045"/>
    <x v="5"/>
    <m/>
    <m/>
    <n v="0"/>
    <n v="0"/>
    <m/>
  </r>
  <r>
    <x v="35"/>
    <d v="2026-08-05T00:00:00"/>
    <x v="20"/>
    <s v="DIAZ "/>
    <n v="43725236624"/>
    <m/>
    <n v="23373428"/>
    <n v="5218126146241"/>
    <x v="2"/>
    <n v="10998.42"/>
    <n v="3181.41"/>
    <n v="3299.5259999999998"/>
    <n v="118.11599999999999"/>
    <d v="2027-02-01T00:00:00"/>
  </r>
  <r>
    <x v="35"/>
    <d v="2026-08-05T00:00:00"/>
    <x v="26"/>
    <s v="MANUEL FONSECA CASTAÑEDA "/>
    <n v="33785817470"/>
    <s v="FOCM580205HCHNSN00"/>
    <n v="23395464"/>
    <n v="5214611480324"/>
    <x v="0"/>
    <n v="9514.35"/>
    <m/>
    <n v="2854.3049999999998"/>
    <n v="2854.3049999999998"/>
    <m/>
  </r>
  <r>
    <x v="35"/>
    <d v="2026-07-29T00:00:00"/>
    <x v="41"/>
    <s v=" Juan Bautista De Jesús Briceño Coronado"/>
    <m/>
    <s v="BICJ600710HYNRRN08"/>
    <n v="23212746"/>
    <n v="5219995466597"/>
    <x v="2"/>
    <n v="5617.63"/>
    <n v="1336"/>
    <n v="1685.289"/>
    <n v="108.65000000000055"/>
    <d v="2027-01-01T00:00:00"/>
  </r>
  <r>
    <x v="35"/>
    <d v="2026-08-05T00:00:00"/>
    <x v="20"/>
    <s v="Martiniano Olivares"/>
    <n v="43725539985"/>
    <m/>
    <n v="23395836"/>
    <n v="5218123480191"/>
    <x v="0"/>
    <n v="32302.59"/>
    <m/>
    <n v="9690.777"/>
    <n v="9690.777"/>
    <m/>
  </r>
  <r>
    <x v="35"/>
    <d v="2026-08-05T00:00:00"/>
    <x v="0"/>
    <s v="EVA CRUZ MARIN BARAJAS"/>
    <s v="33874919882"/>
    <s v="MABE570503MCHRRV05"/>
    <n v="23397862"/>
    <n v="5216481069393"/>
    <x v="5"/>
    <m/>
    <m/>
    <n v="0"/>
    <n v="0"/>
    <m/>
  </r>
  <r>
    <x v="35"/>
    <d v="2026-08-04T00:00:00"/>
    <x v="41"/>
    <s v="CARLOS ARTURO PACHECO RIVAS"/>
    <m/>
    <s v="PARC581021HDFCVR00"/>
    <n v="23375616"/>
    <n v="5217775725261"/>
    <x v="0"/>
    <n v="8539.89"/>
    <m/>
    <n v="2561.9669999999996"/>
    <n v="2561.9669999999996"/>
    <m/>
  </r>
  <r>
    <x v="35"/>
    <d v="2026-08-04T00:00:00"/>
    <x v="6"/>
    <s v="MARIA DEL CARMEN LOPEZ MORALES "/>
    <n v="32936376113"/>
    <s v="LOMC630526MCLPRR01"/>
    <n v="23379666"/>
    <n v="5218441182240"/>
    <x v="2"/>
    <n v="7920.51"/>
    <n v="2199.02"/>
    <n v="2376.1529999999998"/>
    <n v="177.13299999999981"/>
    <d v="2026-12-01T00:00:00"/>
  </r>
  <r>
    <x v="35"/>
    <d v="2026-08-04T00:00:00"/>
    <x v="26"/>
    <s v="RAUL GOMEZ REVILLA"/>
    <n v="64815712316"/>
    <s v="GORR570913HDFMVL04"/>
    <n v="23379884"/>
    <n v="5215513993581"/>
    <x v="2"/>
    <n v="40571.17"/>
    <n v="12170.44"/>
    <n v="12171.350999999999"/>
    <n v="0.91099999999823922"/>
    <d v="2026-10-01T00:00:00"/>
  </r>
  <r>
    <x v="35"/>
    <d v="2026-08-05T00:00:00"/>
    <x v="28"/>
    <s v="MAURICIO VELAZQUEZ MARTINEZ"/>
    <s v="54917159086_x000a_"/>
    <s v="VEMM710816HJCLRR09"/>
    <n v="23377140"/>
    <n v="23377140"/>
    <x v="2"/>
    <n v="7135.6"/>
    <n v="2129.23"/>
    <n v="2140.6799999999998"/>
    <n v="11.449999999999818"/>
    <d v="2028-07-01T00:00:00"/>
  </r>
  <r>
    <x v="35"/>
    <d v="2026-08-05T00:00:00"/>
    <x v="31"/>
    <s v="MARTIN GUAJARDO VILLA"/>
    <n v="43956535256"/>
    <s v="GUVM650928HDGJLR07"/>
    <n v="2"/>
    <n v="8131313024"/>
    <x v="0"/>
    <n v="10636.54"/>
    <m/>
    <n v="3190.962"/>
    <n v="3190.962"/>
    <m/>
  </r>
  <r>
    <x v="35"/>
    <d v="2026-08-05T00:00:00"/>
    <x v="34"/>
    <s v="JOSE COLIN TRINIDAD"/>
    <n v="19776013369"/>
    <s v="COTJ600319HMCLRS00"/>
    <n v="2"/>
    <n v="5215637804150"/>
    <x v="2"/>
    <n v="8118.24"/>
    <n v="2435.4699999999998"/>
    <n v="2435.4719999999998"/>
    <n v="1.9999999999527063E-3"/>
    <d v="2028-04-01T00:00:00"/>
  </r>
  <r>
    <x v="35"/>
    <d v="2026-08-05T00:00:00"/>
    <x v="44"/>
    <s v="Mario Mejia Fernandez"/>
    <m/>
    <s v="MEFM490402HVZJRR04"/>
    <n v="23400806"/>
    <n v="2821844328"/>
    <x v="1"/>
    <n v="3866.25"/>
    <n v="848"/>
    <n v="1159.875"/>
    <n v="-848"/>
    <m/>
  </r>
  <r>
    <x v="35"/>
    <d v="2026-08-05T00:00:00"/>
    <x v="40"/>
    <s v="Javier Melgarejo Orduña"/>
    <m/>
    <s v="MEOJ641114HVZLRV07"/>
    <n v="23400972"/>
    <n v="7225767646"/>
    <x v="0"/>
    <n v="9081.52"/>
    <n v="848"/>
    <n v="2724.4560000000001"/>
    <n v="1876.4560000000001"/>
    <m/>
  </r>
  <r>
    <x v="35"/>
    <d v="2026-08-04T00:00:00"/>
    <x v="13"/>
    <s v="MARIA JESUS RASCON CADENA"/>
    <m/>
    <s v="RACJ550101MSRSDS03"/>
    <n v="23367322"/>
    <n v="5216621046326"/>
    <x v="1"/>
    <n v="4199.87"/>
    <n v="879"/>
    <n v="1259.961"/>
    <n v="-852.10999999999967"/>
    <m/>
  </r>
  <r>
    <x v="35"/>
    <d v="2026-08-05T00:00:00"/>
    <x v="18"/>
    <s v="NO PROPORCIONO"/>
    <n v="65937572223"/>
    <m/>
    <n v="1"/>
    <n v="8143316507"/>
    <x v="2"/>
    <n v="11047.7"/>
    <n v="3195"/>
    <n v="3314.31"/>
    <n v="119.30999999999995"/>
    <d v="2027-10-01T00:00:00"/>
  </r>
  <r>
    <x v="35"/>
    <d v="2026-08-05T00:00:00"/>
    <x v="0"/>
    <s v="GUADALUPE REYNA PERALTA MARTINEZ"/>
    <m/>
    <s v="PEMG591226MOCRRD03"/>
    <n v="23395834"/>
    <n v="5219516382391"/>
    <x v="3"/>
    <n v="4813.6899999999996"/>
    <m/>
    <n v="1444.1069999999997"/>
    <n v="640.71"/>
    <m/>
  </r>
  <r>
    <x v="35"/>
    <d v="2026-08-05T00:00:00"/>
    <x v="26"/>
    <s v="ALICIA MARIA GONZALEZ GARCIA"/>
    <n v="54816564923"/>
    <s v="GOGA650128MJCNRL08"/>
    <n v="23387476"/>
    <n v="5213330387937"/>
    <x v="2"/>
    <n v="9760.32"/>
    <n v="2724.81"/>
    <n v="2928.096"/>
    <n v="203.28600000000006"/>
    <d v="2027-08-01T00:00:00"/>
  </r>
  <r>
    <x v="35"/>
    <d v="2026-08-05T00:00:00"/>
    <x v="19"/>
    <m/>
    <m/>
    <s v="SACP711109HTSNRD05"/>
    <n v="23395908"/>
    <n v="8991653063"/>
    <x v="2"/>
    <n v="5642.22"/>
    <n v="1401.79"/>
    <n v="1692.6659999999999"/>
    <n v="67.450000000000728"/>
    <d v="2028-02-01T00:00:00"/>
  </r>
  <r>
    <x v="35"/>
    <d v="2026-08-01T00:00:00"/>
    <x v="6"/>
    <s v="PAULA PATRICIA RAMOS ESPINOZA"/>
    <m/>
    <s v="RAEP650322MOCMSL00"/>
    <n v="23279858"/>
    <n v="5219511236047"/>
    <x v="0"/>
    <n v="9760.32"/>
    <m/>
    <n v="2928.096"/>
    <n v="2928.096"/>
    <m/>
  </r>
  <r>
    <x v="35"/>
    <d v="2026-08-05T00:00:00"/>
    <x v="14"/>
    <s v="LUCIA BERTHA BAUTISTA ALVAREZ"/>
    <s v="0858420004"/>
    <m/>
    <n v="23389740"/>
    <n v="23389740"/>
    <x v="2"/>
    <n v="5636.59"/>
    <n v="1630.18"/>
    <n v="1690.9770000000001"/>
    <n v="-166.56999999999948"/>
    <d v="2027-08-01T00:00:00"/>
  </r>
  <r>
    <x v="35"/>
    <d v="2026-08-05T00:00:00"/>
    <x v="28"/>
    <s v="RODRIGO ROMAN ROJAS CONTRERAS"/>
    <s v="63816305435_x000a_"/>
    <s v="ROCR630228HDFJND09"/>
    <n v="23368440"/>
    <n v="23368440"/>
    <x v="0"/>
    <n v="28376.01"/>
    <m/>
    <n v="8512.8029999999999"/>
    <n v="8512.8029999999999"/>
    <m/>
  </r>
  <r>
    <x v="35"/>
    <d v="2026-08-05T00:00:00"/>
    <x v="19"/>
    <m/>
    <m/>
    <s v="WAPR481022HSRLDL03"/>
    <n v="23374308"/>
    <s v="632 112 8596"/>
    <x v="0"/>
    <n v="6711.39"/>
    <m/>
    <n v="2013.4169999999999"/>
    <n v="2013.4169999999999"/>
    <m/>
  </r>
  <r>
    <x v="35"/>
    <d v="2026-08-05T00:00:00"/>
    <x v="44"/>
    <s v="ROMAN GUADALUPE JIMENEZ ORTIZ"/>
    <m/>
    <s v="JIOR490809HDFMRM05"/>
    <n v="23399608"/>
    <n v="5523813418"/>
    <x v="0"/>
    <n v="14962.98"/>
    <n v="2303.14"/>
    <n v="4488.8939999999993"/>
    <n v="2185.7539999999995"/>
    <d v="2025-08-01T00:00:00"/>
  </r>
  <r>
    <x v="35"/>
    <d v="2026-08-05T00:00:00"/>
    <x v="0"/>
    <s v="ANTONIO RAZO"/>
    <s v="12927468400 "/>
    <m/>
    <n v="23402608"/>
    <n v="5214624756905"/>
    <x v="2"/>
    <n v="7135.6"/>
    <n v="2043.81"/>
    <n v="2140.6799999999998"/>
    <n v="96.869999999999891"/>
    <d v="2026-10-01T00:00:00"/>
  </r>
  <r>
    <x v="35"/>
    <d v="2026-08-05T00:00:00"/>
    <x v="6"/>
    <s v="RICARDO TORRES CRUZ"/>
    <m/>
    <s v="TOCR631201HVZRRC03"/>
    <n v="23388838"/>
    <n v="5219221157099"/>
    <x v="9"/>
    <n v="7920.51"/>
    <n v="2198.64"/>
    <n v="2376.1529999999998"/>
    <n v="177.51299999999992"/>
    <d v="2026-08-01T00:00:00"/>
  </r>
  <r>
    <x v="35"/>
    <d v="2026-08-04T00:00:00"/>
    <x v="13"/>
    <s v="MARIA JESUS RASCON CADENA"/>
    <n v="24694917980"/>
    <s v="RACJ550101MSRSDS03"/>
    <n v="23367322"/>
    <n v="5216621046326"/>
    <x v="3"/>
    <n v="8784.2900000000009"/>
    <n v="1611.06"/>
    <n v="2635.2870000000003"/>
    <n v="1024.2270000000003"/>
    <d v="2028-06-01T00:00:00"/>
  </r>
  <r>
    <x v="35"/>
    <d v="2026-08-05T00:00:00"/>
    <x v="14"/>
    <s v="MA DE LOURDES GAMEZ ESPARZA"/>
    <n v="49906430506"/>
    <s v="GAEL720224MSPMSR06"/>
    <n v="23393198"/>
    <n v="5218311033818"/>
    <x v="7"/>
    <n v="5055.87"/>
    <n v="474.5"/>
    <n v="1516.761"/>
    <n v="408.39000000000033"/>
    <d v="2025-05-01T00:00:00"/>
  </r>
  <r>
    <x v="35"/>
    <d v="2026-08-01T00:00:00"/>
    <x v="40"/>
    <s v="Sandra Michel Chavez Estrella"/>
    <n v="16876508850"/>
    <s v="CAES890227MDFHSN04"/>
    <n v="23289462"/>
    <n v="5217221081066"/>
    <x v="1"/>
    <n v="1584.11"/>
    <m/>
    <n v="475.23299999999995"/>
    <n v="0"/>
    <m/>
  </r>
  <r>
    <x v="35"/>
    <d v="2026-08-05T00:00:00"/>
    <x v="32"/>
    <s v="JESUS RAMIREZ PEREZ "/>
    <n v="43786025817"/>
    <s v="RAPJ601221HZSMRS07"/>
    <n v="2"/>
    <s v="821 106 9011"/>
    <x v="2"/>
    <n v="5617.63"/>
    <n v="1392.42"/>
    <n v="1685.289"/>
    <n v="52.230000000000473"/>
    <d v="2027-04-01T00:00:00"/>
  </r>
  <r>
    <x v="35"/>
    <d v="2026-08-04T00:00:00"/>
    <x v="28"/>
    <s v="EDUARDO GANDUR LAYON"/>
    <m/>
    <s v="GALE621110HDFNYD02"/>
    <n v="23379040"/>
    <n v="5217711234062"/>
    <x v="2"/>
    <n v="35649.599999999999"/>
    <n v="10681.21"/>
    <n v="10694.88"/>
    <n v="13.670000000000073"/>
    <d v="2027-04-01T00:00:00"/>
  </r>
  <r>
    <x v="35"/>
    <d v="2026-08-05T00:00:00"/>
    <x v="29"/>
    <s v="JOSE LUIS ELIAS ISLAS"/>
    <n v="12786031612"/>
    <s v="EIIL601201HDFLSS07"/>
    <n v="23404194"/>
    <n v="5216625487685"/>
    <x v="2"/>
    <n v="5617.63"/>
    <n v="1392.57"/>
    <n v="1685.289"/>
    <n v="52.080000000000609"/>
    <d v="2027-02-01T00:00:00"/>
  </r>
  <r>
    <x v="35"/>
    <d v="2026-08-05T00:00:00"/>
    <x v="20"/>
    <s v="lorena"/>
    <m/>
    <s v="CORL590823MZSRBR04"/>
    <n v="23403124"/>
    <n v="5213331410944"/>
    <x v="5"/>
    <m/>
    <m/>
    <n v="0"/>
    <n v="0"/>
    <m/>
  </r>
  <r>
    <x v="35"/>
    <d v="2026-07-31T00:00:00"/>
    <x v="6"/>
    <s v="ALFREDO CID GARCIA "/>
    <m/>
    <s v="CIGA630907HPLDRL03"/>
    <n v="23268938"/>
    <n v="23268938"/>
    <x v="3"/>
    <n v="31342.19"/>
    <n v="8704.19"/>
    <n v="9402.6569999999992"/>
    <n v="698.46699999999873"/>
    <d v="2028-01-01T00:00:00"/>
  </r>
  <r>
    <x v="35"/>
    <d v="2026-08-05T00:00:00"/>
    <x v="28"/>
    <s v="LUIS ALBERTO URESTI SALDIVAR"/>
    <m/>
    <s v="UEZL620408HDFRLS09"/>
    <n v="23389502"/>
    <n v="23389502"/>
    <x v="2"/>
    <n v="9081.52"/>
    <n v="2724.46"/>
    <n v="2724.4560000000001"/>
    <n v="-3.9999999999054126E-3"/>
    <d v="2026-11-01T00:00:00"/>
  </r>
  <r>
    <x v="35"/>
    <d v="2026-08-05T00:00:00"/>
    <x v="20"/>
    <s v="leticia "/>
    <m/>
    <s v="AUHL590331MCLGTT01"/>
    <n v="23401414"/>
    <n v="5218442771211"/>
    <x v="3"/>
    <n v="29015.74"/>
    <n v="8000"/>
    <n v="8704.7219999999998"/>
    <n v="704.72199999999975"/>
    <d v="2028-06-01T00:00:00"/>
  </r>
  <r>
    <x v="35"/>
    <d v="2026-08-05T00:00:00"/>
    <x v="31"/>
    <s v="BALTAZAR ESPINOSA SOLIS"/>
    <s v="49654415584"/>
    <s v="EISB440106HTSSLL08"/>
    <n v="2"/>
    <n v="8134155769"/>
    <x v="2"/>
    <n v="7363.38"/>
    <n v="2130"/>
    <n v="2209.0140000000001"/>
    <n v="79.014000000000124"/>
    <d v="2028-01-01T00:00:00"/>
  </r>
  <r>
    <x v="35"/>
    <d v="2026-08-04T00:00:00"/>
    <x v="6"/>
    <s v="RAUL FAVELA AVILA"/>
    <m/>
    <s v="FAAR610115HDGVVL03"/>
    <n v="23367974"/>
    <n v="23367974"/>
    <x v="3"/>
    <n v="6460.14"/>
    <n v="879"/>
    <n v="1938.0419999999999"/>
    <n v="1059.0419999999999"/>
    <m/>
  </r>
  <r>
    <x v="35"/>
    <d v="2026-08-05T00:00:00"/>
    <x v="29"/>
    <s v="JUAN  GONZALEZ BAROLA"/>
    <m/>
    <s v="GOBJ500614HDFNRN01"/>
    <n v="23407312"/>
    <n v="5215588277896"/>
    <x v="6"/>
    <n v="37909.769999999997"/>
    <n v="11372.13"/>
    <n v="11372.930999999999"/>
    <n v="0.80099999999947613"/>
    <d v="2026-07-01T00:00:00"/>
  </r>
  <r>
    <x v="35"/>
    <d v="2026-08-05T00:00:00"/>
    <x v="6"/>
    <s v="ALVARO DANIEL CERDA ZAPATA "/>
    <m/>
    <s v="CEZA780928HCLRPL04"/>
    <n v="23394412"/>
    <n v="5218662804025"/>
    <x v="0"/>
    <n v="9665.01"/>
    <m/>
    <n v="2899.5030000000002"/>
    <n v="2899.5030000000002"/>
    <m/>
  </r>
  <r>
    <x v="35"/>
    <d v="2026-08-05T00:00:00"/>
    <x v="24"/>
    <s v="FIDEL RUIZ GARCIA"/>
    <n v="32866000493"/>
    <s v="RUGF600508HCLZRD00"/>
    <n v="23408326"/>
    <n v="6561231013"/>
    <x v="2"/>
    <n v="5617.63"/>
    <n v="1375.8"/>
    <n v="1685.289"/>
    <n v="68.850000000000591"/>
    <d v="2027-02-01T00:00:00"/>
  </r>
  <r>
    <x v="35"/>
    <d v="2026-08-05T00:00:00"/>
    <x v="24"/>
    <m/>
    <s v="52816311022"/>
    <s v="COGA650405MCMNRN07"/>
    <n v="23407484"/>
    <n v="3121180401"/>
    <x v="2"/>
    <n v="9760.32"/>
    <n v="2792.71"/>
    <n v="2928.096"/>
    <n v="135.38599999999997"/>
    <d v="2028-01-01T00:00:00"/>
  </r>
  <r>
    <x v="35"/>
    <d v="2026-08-05T00:00:00"/>
    <x v="18"/>
    <m/>
    <s v="49966600345"/>
    <m/>
    <n v="1"/>
    <n v="8335347880"/>
    <x v="1"/>
    <n v="4813.6900000000005"/>
    <n v="848"/>
    <n v="1444.1070000000002"/>
    <n v="-207.28999999999905"/>
    <m/>
  </r>
  <r>
    <x v="35"/>
    <d v="2026-08-05T00:00:00"/>
    <x v="24"/>
    <m/>
    <n v="33866523641"/>
    <s v="RUVI651107MMNZLS03"/>
    <n v="23407796"/>
    <n v="5216571932724"/>
    <x v="2"/>
    <n v="9760.32"/>
    <n v="2914.84"/>
    <n v="2928.096"/>
    <n v="13.255999999999858"/>
    <d v="2028-07-01T00:00:00"/>
  </r>
  <r>
    <x v="35"/>
    <d v="2026-07-05T00:00:00"/>
    <x v="19"/>
    <m/>
    <n v="72916301962"/>
    <m/>
    <n v="23398348"/>
    <n v="7442356023"/>
    <x v="2"/>
    <n v="9504.7000000000007"/>
    <n v="2749.94"/>
    <n v="2851.4100000000003"/>
    <n v="101.47000000000025"/>
    <d v="2027-03-01T00:00:00"/>
  </r>
  <r>
    <x v="35"/>
    <d v="2026-08-05T00:00:00"/>
    <x v="29"/>
    <s v="ANA LILIA RAMIREZ "/>
    <s v="04036906321"/>
    <s v="RAXA710715MJCMXN03"/>
    <n v="23408322"/>
    <n v="5213318288745"/>
    <x v="4"/>
    <m/>
    <m/>
    <n v="0"/>
    <n v="0"/>
    <m/>
  </r>
  <r>
    <x v="36"/>
    <d v="2026-08-06T00:00:00"/>
    <x v="31"/>
    <s v="JORGE MANUEL PUENTE"/>
    <n v="43765822614"/>
    <s v="PUXJ580424HNLNXR04"/>
    <n v="2"/>
    <n v="8135962544"/>
    <x v="2"/>
    <n v="4813.6899999999996"/>
    <n v="617"/>
    <n v="1444.1069999999997"/>
    <n v="23.710000000000036"/>
    <d v="2027-04-01T00:00:00"/>
  </r>
  <r>
    <x v="36"/>
    <d v="2026-08-06T00:00:00"/>
    <x v="32"/>
    <s v="FAHGRE FALLAD CHAVEZ"/>
    <s v="04866406194"/>
    <s v="FACF640810HJCLHH04"/>
    <n v="2"/>
    <n v="3221903101"/>
    <x v="0"/>
    <n v="10636.54"/>
    <m/>
    <n v="3190.962"/>
    <n v="3190.962"/>
    <m/>
  </r>
  <r>
    <x v="36"/>
    <d v="2026-08-05T00:00:00"/>
    <x v="6"/>
    <s v="HUMBERTO FEDERICO VAZQUEZ DE LA ROSA "/>
    <n v="39886516853"/>
    <s v="VARH640513HDFZSM04"/>
    <n v="23412844"/>
    <n v="5219903878740"/>
    <x v="2"/>
    <n v="4813.6899999999996"/>
    <n v="476"/>
    <n v="1444.1069999999997"/>
    <n v="164.71000000000004"/>
    <d v="2026-11-01T00:00:00"/>
  </r>
  <r>
    <x v="36"/>
    <d v="2026-08-06T00:00:00"/>
    <x v="28"/>
    <s v="MARIA SALUSTIA HERNANDEZ BARRON"/>
    <s v="41846308942"/>
    <s v="HEBS630914MSPRRL07"/>
    <n v="23412980"/>
    <n v="5214443707879"/>
    <x v="3"/>
    <n v="7920.51"/>
    <n v="1860.04"/>
    <n v="2376.1529999999998"/>
    <n v="516.11299999999983"/>
    <d v="2027-12-01T00:00:00"/>
  </r>
  <r>
    <x v="36"/>
    <d v="2026-08-31T00:00:00"/>
    <x v="42"/>
    <s v="_x0009_EFRAIN _x0009_MORALES _x0009_VILLAMAR"/>
    <m/>
    <s v="MOVE611223HMNRLF02"/>
    <n v="23265498"/>
    <n v="5214271953998"/>
    <x v="0"/>
    <n v="19174.27"/>
    <n v="879"/>
    <n v="5752.2809999999999"/>
    <n v="4873.2809999999999"/>
    <m/>
  </r>
  <r>
    <x v="36"/>
    <d v="2026-08-06T00:00:00"/>
    <x v="45"/>
    <m/>
    <n v="90906408076"/>
    <m/>
    <n v="23419186"/>
    <n v="4426061728"/>
    <x v="0"/>
    <n v="9081.52"/>
    <m/>
    <n v="2724.4560000000001"/>
    <n v="2724.4560000000001"/>
    <m/>
  </r>
  <r>
    <x v="36"/>
    <d v="2026-08-06T00:00:00"/>
    <x v="28"/>
    <s v="ADELFO CORTES SANTIAGO"/>
    <s v="67796007580"/>
    <s v=" COSA600829HVZRND05"/>
    <n v="23412810"/>
    <n v="23412810"/>
    <x v="6"/>
    <n v="7448.15"/>
    <n v="2153.79"/>
    <n v="2234.4449999999997"/>
    <n v="80.654999999999745"/>
    <d v="2026-08-01T00:00:00"/>
  </r>
  <r>
    <x v="36"/>
    <d v="2026-08-06T00:00:00"/>
    <x v="18"/>
    <m/>
    <n v="49845906715"/>
    <m/>
    <n v="1"/>
    <n v="8992250044"/>
    <x v="0"/>
    <n v="7116.73"/>
    <m/>
    <n v="2135.0189999999998"/>
    <n v="2135.0189999999998"/>
    <m/>
  </r>
  <r>
    <x v="36"/>
    <d v="2026-08-06T00:00:00"/>
    <x v="45"/>
    <s v="Matias Izaguirre"/>
    <m/>
    <s v="IAMM590130HSPZRT09"/>
    <n v="23422730"/>
    <n v="8125935073"/>
    <x v="6"/>
    <n v="8995.2999999999993"/>
    <n v="2495.94"/>
    <n v="2698.5899999999997"/>
    <n v="202.64999999999964"/>
    <d v="2026-07-01T00:00:00"/>
  </r>
  <r>
    <x v="36"/>
    <d v="2026-08-06T00:00:00"/>
    <x v="18"/>
    <m/>
    <s v="09058551293"/>
    <m/>
    <n v="1"/>
    <n v="8948468879"/>
    <x v="1"/>
    <n v="2951.29"/>
    <m/>
    <n v="885.38699999999994"/>
    <n v="0"/>
    <m/>
  </r>
  <r>
    <x v="36"/>
    <d v="2026-08-04T00:00:00"/>
    <x v="20"/>
    <s v="bertha "/>
    <n v="11725575945"/>
    <s v="roob590204mchslr06"/>
    <n v="23407496"/>
    <n v="5215523551999"/>
    <x v="2"/>
    <n v="12945.46"/>
    <n v="3880.17"/>
    <n v="3883.6379999999995"/>
    <n v="3.4679999999993925"/>
    <d v="2026-10-01T00:00:00"/>
  </r>
  <r>
    <x v="36"/>
    <d v="2026-08-06T00:00:00"/>
    <x v="20"/>
    <s v="jorge "/>
    <n v="24766101521"/>
    <m/>
    <n v="23396242"/>
    <n v="5214425104693"/>
    <x v="2"/>
    <n v="6262.86"/>
    <n v="1811"/>
    <n v="1878.8579999999997"/>
    <n v="67.85799999999972"/>
    <d v="2027-04-01T00:00:00"/>
  </r>
  <r>
    <x v="36"/>
    <d v="2026-08-06T00:00:00"/>
    <x v="31"/>
    <s v="BERNARDINO ESPINOZA GODINEZ"/>
    <s v="01563825486"/>
    <s v="EIGB390520HDFSDR09"/>
    <n v="2"/>
    <n v="5519365082"/>
    <x v="7"/>
    <n v="20932.82"/>
    <n v="6277.52"/>
    <n v="6279.8459999999995"/>
    <n v="2.3259999999991123"/>
    <d v="2026-07-01T00:00:00"/>
  </r>
  <r>
    <x v="36"/>
    <d v="2026-08-06T00:00:00"/>
    <x v="45"/>
    <s v="Evangelina Dimas Ruvalcaba"/>
    <m/>
    <s v="DIRE690709MNTMVV02"/>
    <n v="23420092"/>
    <n v="3222056845"/>
    <x v="0"/>
    <n v="7135.6"/>
    <m/>
    <n v="2140.6799999999998"/>
    <n v="2140.6799999999998"/>
    <m/>
  </r>
  <r>
    <x v="36"/>
    <d v="2026-08-06T00:00:00"/>
    <x v="45"/>
    <s v="Juan Vargas"/>
    <n v="67907303092"/>
    <m/>
    <n v="23423534"/>
    <n v="6561577471"/>
    <x v="1"/>
    <n v="4172.99"/>
    <m/>
    <n v="1251.8969999999999"/>
    <n v="1.0000000000218279E-2"/>
    <m/>
  </r>
  <r>
    <x v="36"/>
    <d v="2026-08-05T00:00:00"/>
    <x v="6"/>
    <s v="JESUS RAMOS LOZADA"/>
    <m/>
    <s v="RALJ620702HMNMZS01"/>
    <n v="23410622"/>
    <n v="5214521277831"/>
    <x v="4"/>
    <m/>
    <m/>
    <n v="0"/>
    <n v="0"/>
    <m/>
  </r>
  <r>
    <x v="36"/>
    <d v="2026-08-05T00:00:00"/>
    <x v="0"/>
    <s v="LEANDRA LOPEZ MERCADO"/>
    <s v="03634406767"/>
    <s v="LOML450227MCLPRN07"/>
    <n v="23396248"/>
    <n v="5218447703715"/>
    <x v="1"/>
    <n v="4332.32"/>
    <n v="848"/>
    <n v="1299.6959999999999"/>
    <n v="-688.65999999999985"/>
    <m/>
  </r>
  <r>
    <x v="36"/>
    <d v="2026-08-04T00:00:00"/>
    <x v="20"/>
    <s v="czp"/>
    <n v="62876526831"/>
    <m/>
    <n v="23400314"/>
    <n v="5212214281285"/>
    <x v="2"/>
    <n v="9760.32"/>
    <n v="2823"/>
    <n v="2928.096"/>
    <n v="105.096"/>
    <d v="2027-11-01T00:00:00"/>
  </r>
  <r>
    <x v="36"/>
    <d v="2026-08-06T00:00:00"/>
    <x v="20"/>
    <s v="JULIO"/>
    <m/>
    <s v="RICJ560412HVZVRL02"/>
    <n v="23322648"/>
    <n v="5218332362216"/>
    <x v="2"/>
    <n v="9002.06"/>
    <n v="2604"/>
    <n v="2700.6179999999999"/>
    <n v="96.617999999999938"/>
    <d v="2027-09-01T00:00:00"/>
  </r>
  <r>
    <x v="36"/>
    <d v="2026-08-03T00:00:00"/>
    <x v="20"/>
    <s v="ELIAS ESCOBAR "/>
    <m/>
    <s v="EODE560130HOCSZL01"/>
    <n v="23334050"/>
    <n v="5215587052227"/>
    <x v="9"/>
    <n v="25093.83"/>
    <n v="6966.74"/>
    <n v="7528.1490000000003"/>
    <n v="561.40900000000056"/>
    <d v="2025-03-01T00:00:00"/>
  </r>
  <r>
    <x v="36"/>
    <d v="2026-08-05T00:00:00"/>
    <x v="13"/>
    <s v="ROCIO MORALES SANCHEZ"/>
    <n v="65916318705"/>
    <s v="MOSR630208MVZRNC04"/>
    <n v="23410120"/>
    <n v="5212293169261"/>
    <x v="2"/>
    <n v="23860.73"/>
    <n v="7143.15"/>
    <n v="7158.2190000000001"/>
    <n v="15.069000000000415"/>
    <d v="2028-07-01T00:00:00"/>
  </r>
  <r>
    <x v="36"/>
    <d v="2026-08-04T00:00:00"/>
    <x v="13"/>
    <s v="GERMAN BARRIENTOS VAZQUEZ"/>
    <m/>
    <s v="BAVG601106HGTRZR03"/>
    <n v="23353500"/>
    <n v="5214773043868"/>
    <x v="9"/>
    <n v="5317.63"/>
    <n v="1336.03"/>
    <n v="1595.289"/>
    <n v="-191.37999999999943"/>
    <d v="2026-08-01T00:00:00"/>
  </r>
  <r>
    <x v="36"/>
    <d v="2026-08-06T00:00:00"/>
    <x v="13"/>
    <s v="FELIPE REYES CRUZ"/>
    <m/>
    <s v="RECF720526HSPYRL03"/>
    <n v="23418248"/>
    <n v="5215620767693"/>
    <x v="1"/>
    <n v="2859.93"/>
    <m/>
    <n v="857.97899999999993"/>
    <n v="0"/>
    <m/>
  </r>
  <r>
    <x v="36"/>
    <d v="2026-08-05T00:00:00"/>
    <x v="6"/>
    <s v="JOAQUIN MARTINEZ COXCA"/>
    <m/>
    <s v="MACJ640405HPLRXQ01"/>
    <n v="23411706"/>
    <n v="5212212640141"/>
    <x v="0"/>
    <n v="33183.879999999997"/>
    <m/>
    <n v="9955.1639999999989"/>
    <n v="9955.1639999999989"/>
    <m/>
  </r>
  <r>
    <x v="36"/>
    <d v="2026-08-06T00:00:00"/>
    <x v="20"/>
    <s v="DANIEL "/>
    <m/>
    <s v="AAGD640408HDFLNN04"/>
    <n v="23424784"/>
    <n v="5215545328701"/>
    <x v="0"/>
    <n v="47033.56"/>
    <m/>
    <n v="14110.067999999999"/>
    <n v="14110.067999999999"/>
    <m/>
  </r>
  <r>
    <x v="36"/>
    <d v="2026-08-06T00:00:00"/>
    <x v="44"/>
    <s v="Rodolfo Misael Coria Jimenez"/>
    <m/>
    <s v="COJR571103HDFRMD00"/>
    <n v="23421958"/>
    <n v="5539338673"/>
    <x v="5"/>
    <m/>
    <m/>
    <n v="0"/>
    <n v="0"/>
    <m/>
  </r>
  <r>
    <x v="36"/>
    <d v="2026-08-06T00:00:00"/>
    <x v="45"/>
    <s v="Ricardo Ibarra Osuna"/>
    <m/>
    <s v="IAOR671027HSLBSC04"/>
    <n v="23425600"/>
    <n v="6692731535"/>
    <x v="2"/>
    <n v="8793.09"/>
    <n v="2544.0500000000002"/>
    <n v="2637.9270000000001"/>
    <n v="93.876999999999953"/>
    <d v="2027-10-01T00:00:00"/>
  </r>
  <r>
    <x v="36"/>
    <d v="2026-08-06T00:00:00"/>
    <x v="46"/>
    <s v="MAXIMO CANIZALES HERNANDEZ"/>
    <n v="43816374300"/>
    <s v="CAHM630511HNLNRX03"/>
    <n v="23423470"/>
    <n v="23423470"/>
    <x v="2"/>
    <n v="7920.51"/>
    <n v="2376.1"/>
    <n v="2376.1529999999998"/>
    <n v="5.2999999999883585E-2"/>
    <d v="2028-06-01T00:00:00"/>
  </r>
  <r>
    <x v="36"/>
    <d v="2026-08-06T00:00:00"/>
    <x v="31"/>
    <s v="ESTEBAN BENITO GONZALEZ ZAMORA"/>
    <s v="06695270931"/>
    <s v="GOZE521120HDFNMS05"/>
    <n v="2"/>
    <n v="5511793610"/>
    <x v="2"/>
    <n v="5677.71"/>
    <m/>
    <n v="1703.3129999999999"/>
    <n v="1504.7300000000005"/>
    <d v="2028-07-01T00:00:00"/>
  </r>
  <r>
    <x v="36"/>
    <d v="2026-08-04T00:00:00"/>
    <x v="41"/>
    <s v="Manuel Suárez Hernández"/>
    <n v="65835944995"/>
    <s v="SUHM580329HVZRRN04"/>
    <n v="23376080"/>
    <n v="5215520046644"/>
    <x v="0"/>
    <n v="9277.4"/>
    <m/>
    <n v="2783.22"/>
    <n v="2783.22"/>
    <m/>
  </r>
  <r>
    <x v="36"/>
    <d v="2026-08-06T00:00:00"/>
    <x v="45"/>
    <s v="Octavio Montero Rodriguez"/>
    <m/>
    <s v="MORO561016HSPNDC04"/>
    <n v="23423436"/>
    <n v="4441601010"/>
    <x v="2"/>
    <n v="10966.6"/>
    <n v="3289.27"/>
    <n v="3289.98"/>
    <n v="0.71000000000003638"/>
    <d v="2026-12-01T00:00:00"/>
  </r>
  <r>
    <x v="36"/>
    <d v="2026-08-06T00:00:00"/>
    <x v="34"/>
    <s v="NORBERTO CARRERA ALVARADO"/>
    <s v="01705009577"/>
    <s v="CAAN500606HPLRLR07"/>
    <n v="2"/>
    <n v="5215644541528"/>
    <x v="1"/>
    <n v="4342.43"/>
    <m/>
    <n v="1302.729"/>
    <n v="169.45000000000073"/>
    <m/>
  </r>
  <r>
    <x v="36"/>
    <d v="2026-08-06T00:00:00"/>
    <x v="11"/>
    <s v="Sergio Munguia mendoza"/>
    <s v="53765513493"/>
    <m/>
    <n v="23424352"/>
    <n v="5214521457130"/>
    <x v="1"/>
    <n v="2726.8"/>
    <n v="657"/>
    <n v="818.04000000000008"/>
    <n v="-657"/>
    <m/>
  </r>
  <r>
    <x v="36"/>
    <d v="2026-08-05T00:00:00"/>
    <x v="6"/>
    <s v="WILLIAMS LANZ FACUNDO"/>
    <m/>
    <s v="LAFW610614HVZNCL06"/>
    <n v="23410928"/>
    <n v="5219221227380"/>
    <x v="2"/>
    <n v="6262.86"/>
    <n v="1811.98"/>
    <n v="1878.8579999999997"/>
    <n v="66.877999999999702"/>
    <d v="2026-11-01T00:00:00"/>
  </r>
  <r>
    <x v="36"/>
    <d v="2026-08-06T00:00:00"/>
    <x v="31"/>
    <s v="RAMON CAUDILLO DELGADO"/>
    <s v="12694716478"/>
    <s v="CADR470322HASDLM03"/>
    <n v="2"/>
    <n v="4791467026"/>
    <x v="1"/>
    <n v="5066.57"/>
    <n v="879"/>
    <n v="1519.9709999999998"/>
    <n v="14.590000000000146"/>
    <m/>
  </r>
  <r>
    <x v="36"/>
    <d v="2026-08-06T00:00:00"/>
    <x v="18"/>
    <m/>
    <n v="82926502053"/>
    <m/>
    <n v="1"/>
    <n v="9984931933"/>
    <x v="5"/>
    <m/>
    <m/>
    <n v="0"/>
    <n v="0"/>
    <m/>
  </r>
  <r>
    <x v="36"/>
    <d v="2026-08-06T00:00:00"/>
    <x v="11"/>
    <s v="Fernando Ayala Rajz"/>
    <s v="43856410964"/>
    <m/>
    <n v="23427784"/>
    <n v="5218123360620"/>
    <x v="2"/>
    <n v="9081.52"/>
    <n v="2724.46"/>
    <n v="2724.4560000000001"/>
    <n v="-3.9999999999054126E-3"/>
    <d v="2028-05-01T00:00:00"/>
  </r>
  <r>
    <x v="36"/>
    <d v="2026-08-06T00:00:00"/>
    <x v="45"/>
    <s v="Luis Paul"/>
    <n v="53826331984"/>
    <m/>
    <n v="23427836"/>
    <n v="7531245234"/>
    <x v="2"/>
    <n v="48012.74"/>
    <n v="14401.82"/>
    <n v="14403.821999999998"/>
    <n v="2.0019999999985885"/>
    <d v="2027-02-01T00:00:00"/>
  </r>
  <r>
    <x v="36"/>
    <d v="2026-07-29T00:00:00"/>
    <x v="14"/>
    <s v="MARIA DE LOURDES BAEZA CAMPOS"/>
    <m/>
    <s v="BACL560210MDFZMR06"/>
    <n v="23202184"/>
    <n v="5215535553764"/>
    <x v="1"/>
    <n v="4315.12"/>
    <m/>
    <n v="1294.5359999999998"/>
    <n v="142.14000000000033"/>
    <m/>
  </r>
  <r>
    <x v="36"/>
    <d v="2026-08-06T00:00:00"/>
    <x v="11"/>
    <s v=" Enrique Gerardo Zaragoza Medina."/>
    <s v=" 55695111355"/>
    <m/>
    <n v="23427626"/>
    <n v="3111097423"/>
    <x v="2"/>
    <n v="37868.660000000003"/>
    <n v="11359.72"/>
    <n v="11360.598"/>
    <n v="0.87800000000061118"/>
    <d v="2027-02-01T00:00:00"/>
  </r>
  <r>
    <x v="36"/>
    <d v="2026-07-30T00:00:00"/>
    <x v="14"/>
    <s v="JUAN MARIO LOPEZ HERNANDEZ"/>
    <m/>
    <s v="LOHJ781227HVZPRN04"/>
    <n v="23229690"/>
    <n v="5214773603490"/>
    <x v="1"/>
    <n v="3912.1"/>
    <n v="848"/>
    <n v="1173.6299999999999"/>
    <n v="-848"/>
    <m/>
  </r>
  <r>
    <x v="36"/>
    <d v="2026-08-06T00:00:00"/>
    <x v="18"/>
    <s v="JUAN ORLANDO GUTIERREZ OCHOA"/>
    <n v="71846510916"/>
    <m/>
    <n v="1"/>
    <n v="9611918568"/>
    <x v="3"/>
    <n v="9759.42"/>
    <n v="2016.05"/>
    <n v="2927.826"/>
    <n v="911.77600000000007"/>
    <d v="2027-10-01T00:00:00"/>
  </r>
  <r>
    <x v="36"/>
    <d v="2026-08-06T00:00:00"/>
    <x v="31"/>
    <s v="PETRA DOMINGUEZ GARCIA"/>
    <n v="17816220762"/>
    <s v="DOGP620122MPLMRT00"/>
    <n v="2"/>
    <s v="55 3034 5735"/>
    <x v="9"/>
    <n v="7116.73"/>
    <n v="1781.49"/>
    <n v="2135.0189999999998"/>
    <n v="353.52899999999977"/>
    <d v="2025-04-01T00:00:00"/>
  </r>
  <r>
    <x v="36"/>
    <d v="2026-08-06T00:00:00"/>
    <x v="31"/>
    <s v="EVANGELINA DIMAS RUVALCABA"/>
    <n v="54896986590"/>
    <s v="DIRE690709MNTMVV02"/>
    <n v="2"/>
    <n v="3222056845"/>
    <x v="0"/>
    <n v="7135.6"/>
    <m/>
    <n v="2140.6799999999998"/>
    <n v="2140.6799999999998"/>
    <m/>
  </r>
  <r>
    <x v="36"/>
    <d v="2026-08-05T00:00:00"/>
    <x v="28"/>
    <s v="JOSE HILARIO RUGERIO PEREZ"/>
    <s v="65825127650"/>
    <s v="RUPH510228HPLGRL02"/>
    <n v="23412494"/>
    <n v="5212297806361"/>
    <x v="6"/>
    <n v="14096.82"/>
    <n v="4077.54"/>
    <n v="4229.0459999999994"/>
    <n v="151.5059999999994"/>
    <d v="2026-06-01T00:00:00"/>
  </r>
  <r>
    <x v="36"/>
    <d v="2026-07-31T00:00:00"/>
    <x v="28"/>
    <s v="MA. SOCORRO MERCADO CARDONA"/>
    <s v="4171540460_x000a_"/>
    <s v="MECS610409MSPRRC04"/>
    <n v="23267596"/>
    <n v="5214448653025"/>
    <x v="2"/>
    <n v="7920.51"/>
    <n v="2195.5700000000002"/>
    <n v="2376.1529999999998"/>
    <n v="180.58299999999963"/>
    <d v="2027-01-01T00:00:00"/>
  </r>
  <r>
    <x v="36"/>
    <d v="2026-08-06T00:00:00"/>
    <x v="44"/>
    <s v="Miguel Angel Marquez Flores"/>
    <s v="51735710181"/>
    <m/>
    <n v="23427692"/>
    <n v="4495429412"/>
    <x v="3"/>
    <n v="9185.5300000000007"/>
    <n v="2050"/>
    <n v="2755.6590000000001"/>
    <n v="705.65900000000011"/>
    <d v="2026-10-01T00:00:00"/>
  </r>
  <r>
    <x v="36"/>
    <d v="2026-08-06T00:00:00"/>
    <x v="0"/>
    <s v="ANA LIDIA"/>
    <n v="13846410176"/>
    <m/>
    <n v="23428258"/>
    <n v="5217712210473"/>
    <x v="2"/>
    <n v="9081.52"/>
    <n v="2623.72"/>
    <n v="2724.4560000000001"/>
    <n v="100.73600000000033"/>
    <d v="2027-02-01T00:00:00"/>
  </r>
  <r>
    <x v="36"/>
    <d v="2026-08-04T00:00:00"/>
    <x v="26"/>
    <s v="CARMELA MARTINEZ OLIVERA"/>
    <n v="78866415314"/>
    <s v="MAOC640105MOCRLR01"/>
    <n v="23367392"/>
    <n v="5219511779936"/>
    <x v="0"/>
    <n v="10636.34"/>
    <m/>
    <n v="3190.902"/>
    <n v="3190.902"/>
    <m/>
  </r>
  <r>
    <x v="36"/>
    <d v="2026-08-06T00:00:00"/>
    <x v="0"/>
    <s v="LUZ HERNANDEZ RODRIGUEZ"/>
    <s v="45917234929"/>
    <s v="HERL780829MDFRDZ05"/>
    <n v="23426794"/>
    <n v="5215549472369"/>
    <x v="4"/>
    <m/>
    <m/>
    <n v="0"/>
    <n v="0"/>
    <m/>
  </r>
  <r>
    <x v="36"/>
    <d v="2026-08-06T00:00:00"/>
    <x v="19"/>
    <s v="Victor"/>
    <m/>
    <s v="NUCV650716HCSCRC05"/>
    <n v="23427370"/>
    <n v="9625112525"/>
    <x v="2"/>
    <n v="9760.26"/>
    <n v="2716.5"/>
    <n v="2928.078"/>
    <n v="211.57799999999997"/>
    <d v="2028-01-01T00:00:00"/>
  </r>
  <r>
    <x v="36"/>
    <d v="2026-08-06T00:00:00"/>
    <x v="45"/>
    <s v="Maricela Zamudio Felix"/>
    <m/>
    <s v="ZAFM611203MBCMLR01"/>
    <n v="23428196"/>
    <n v="6679956031"/>
    <x v="2"/>
    <n v="8539.89"/>
    <n v="2445.17"/>
    <n v="2561.9669999999996"/>
    <n v="116.79699999999957"/>
    <d v="2027-06-01T00:00:00"/>
  </r>
  <r>
    <x v="36"/>
    <d v="2026-08-06T00:00:00"/>
    <x v="28"/>
    <s v="DAVID ROMERO AGUILAR"/>
    <s v="23776001143"/>
    <s v=" ROAD600531HSLMGV03"/>
    <n v="23429906"/>
    <n v="5216674982076"/>
    <x v="9"/>
    <n v="6262.86"/>
    <n v="1532.08"/>
    <n v="1878.8579999999997"/>
    <n v="346.77799999999979"/>
    <d v="2024-10-01T00:00:00"/>
  </r>
  <r>
    <x v="36"/>
    <d v="2026-08-06T00:00:00"/>
    <x v="45"/>
    <s v="Rogelio Antonio Gaona Lopez"/>
    <m/>
    <s v="GALR600804HCLNPG05"/>
    <n v="23425286"/>
    <n v="8112778709"/>
    <x v="2"/>
    <n v="10171.24"/>
    <n v="2941.58"/>
    <n v="3051.3719999999998"/>
    <n v="109.79199999999992"/>
    <d v="2027-03-01T00:00:00"/>
  </r>
  <r>
    <x v="36"/>
    <d v="2026-08-06T00:00:00"/>
    <x v="44"/>
    <s v="FERNANDO BENAVIDES DELGADO"/>
    <n v="52897126497"/>
    <s v="BEDF710130HCMNLR04"/>
    <n v="23426414"/>
    <n v="3310113134"/>
    <x v="2"/>
    <n v="5979.95"/>
    <n v="1782.72"/>
    <n v="1793.9849999999999"/>
    <n v="11.264999999999873"/>
    <d v="2028-07-01T00:00:00"/>
  </r>
  <r>
    <x v="36"/>
    <d v="2026-08-06T00:00:00"/>
    <x v="47"/>
    <s v="PEDRO MIGUEL LOPEZ"/>
    <n v="65654914582"/>
    <s v="MILP500701HVZGPD07"/>
    <n v="23423424"/>
    <n v="5216651138768"/>
    <x v="2"/>
    <n v="9190.26"/>
    <n v="2655"/>
    <n v="2757.078"/>
    <n v="102.07799999999997"/>
    <d v="2027-03-01T00:00:00"/>
  </r>
  <r>
    <x v="36"/>
    <d v="2026-08-05T00:00:00"/>
    <x v="13"/>
    <s v="SAMUEL CRUZ DE LA CRUZ"/>
    <s v="64856954549"/>
    <s v="CUCS690409HTCRRM08"/>
    <n v="23411740"/>
    <n v="5219211244326"/>
    <x v="0"/>
    <n v="9793.09"/>
    <m/>
    <n v="2937.9270000000001"/>
    <n v="2937.9270000000001"/>
    <m/>
  </r>
  <r>
    <x v="36"/>
    <d v="2026-08-06T00:00:00"/>
    <x v="38"/>
    <s v="NANCY EVELIA GARZA GARZA"/>
    <s v="03693811394"/>
    <s v="GAGN590604MNLRRN32"/>
    <n v="23430738"/>
    <n v="8131922339"/>
    <x v="2"/>
    <n v="7210.97"/>
    <n v="2154.9499999999998"/>
    <n v="2163.2910000000002"/>
    <n v="8.3410000000003492"/>
    <d v="2027-05-01T00:00:00"/>
  </r>
  <r>
    <x v="36"/>
    <d v="2026-08-04T00:00:00"/>
    <x v="26"/>
    <s v="JOSE LUIS DANZOS ROMERO"/>
    <n v="24826125874"/>
    <s v="DARL610616HSRNMS09"/>
    <n v="23360864"/>
    <n v="5216622297306"/>
    <x v="0"/>
    <n v="8113.78"/>
    <n v="848"/>
    <n v="2434.134"/>
    <n v="1586.134"/>
    <m/>
  </r>
  <r>
    <x v="36"/>
    <d v="2026-08-06T00:00:00"/>
    <x v="44"/>
    <s v="MARIO PALMA LOPEZ"/>
    <m/>
    <s v="PALM630603HPLLPR03"/>
    <n v="23427018"/>
    <n v="2224814943"/>
    <x v="2"/>
    <n v="7920.51"/>
    <n v="2266.16"/>
    <n v="2376.1529999999998"/>
    <n v="109.99299999999994"/>
    <d v="2026-09-01T00:00:00"/>
  </r>
  <r>
    <x v="36"/>
    <d v="2026-08-06T00:00:00"/>
    <x v="11"/>
    <s v="Rodrigo Navarro Rodríguez"/>
    <s v="49947801673"/>
    <m/>
    <n v="23429860"/>
    <n v="8140080523"/>
    <x v="0"/>
    <n v="9582.4699999999993"/>
    <m/>
    <n v="2874.7409999999995"/>
    <n v="2874.7409999999995"/>
    <m/>
  </r>
  <r>
    <x v="36"/>
    <d v="2026-08-01T00:00:00"/>
    <x v="45"/>
    <s v="Benigno Martiniano Ortega Osorio"/>
    <m/>
    <s v="OEOB580213HPLRSN05"/>
    <n v="23286080"/>
    <n v="2381223985"/>
    <x v="0"/>
    <n v="25151.41"/>
    <m/>
    <n v="7545.4229999999998"/>
    <n v="7545.4229999999998"/>
    <m/>
  </r>
  <r>
    <x v="36"/>
    <d v="2026-08-06T00:00:00"/>
    <x v="6"/>
    <s v="RENE VELASQUEZ CID "/>
    <n v="67865600596"/>
    <s v="VECR560914HVZLDN09"/>
    <n v="23414994"/>
    <n v="5212721304531"/>
    <x v="0"/>
    <n v="15964.740000000002"/>
    <n v="848"/>
    <n v="4789.4220000000005"/>
    <n v="3941.4220000000005"/>
    <m/>
  </r>
  <r>
    <x v="36"/>
    <d v="2026-08-06T00:00:00"/>
    <x v="11"/>
    <s v="MARIA MARCELA SANCHEZ MONTOYA"/>
    <s v="01694937432"/>
    <m/>
    <n v="23430870"/>
    <n v="23430870"/>
    <x v="1"/>
    <n v="3855.23"/>
    <m/>
    <n v="1156.569"/>
    <n v="0"/>
    <m/>
  </r>
  <r>
    <x v="36"/>
    <d v="2026-08-06T00:00:00"/>
    <x v="24"/>
    <s v="CUTBERTO RODRIGUEZ"/>
    <s v="54826583491"/>
    <s v="Rocc650320hjcdnt09"/>
    <n v="22149608"/>
    <n v="5213323535588"/>
    <x v="2"/>
    <n v="9760.32"/>
    <n v="2823.89"/>
    <n v="2928.096"/>
    <n v="104.20600000000013"/>
    <d v="2027-07-01T00:00:00"/>
  </r>
  <r>
    <x v="36"/>
    <d v="2026-08-03T00:00:00"/>
    <x v="39"/>
    <s v="Rosa Maria Tapia Marquez"/>
    <n v="42856614781"/>
    <m/>
    <n v="23317316"/>
    <n v="3319279330"/>
    <x v="4"/>
    <m/>
    <m/>
    <n v="0"/>
    <n v="0"/>
    <m/>
  </r>
  <r>
    <x v="36"/>
    <d v="2026-08-06T00:00:00"/>
    <x v="20"/>
    <s v="MARIA GUADALUPE"/>
    <n v="81927308379"/>
    <s v="MEJG730722MCCNMD06"/>
    <n v="23427276"/>
    <n v="5219381514955"/>
    <x v="2"/>
    <n v="9454.2199999999993"/>
    <n v="2746.34"/>
    <n v="2836.2659999999996"/>
    <n v="89.925999999999476"/>
    <d v="2028-03-01T00:00:00"/>
  </r>
  <r>
    <x v="36"/>
    <d v="2026-08-06T00:00:00"/>
    <x v="44"/>
    <s v="SERGIO MUNGUIA MENDOZA"/>
    <s v="53765513493"/>
    <s v="MUMS551209HMNNNR01"/>
    <n v="23424160"/>
    <n v="4521457130"/>
    <x v="1"/>
    <n v="2726.8"/>
    <n v="657"/>
    <n v="818.04000000000008"/>
    <n v="-657"/>
    <m/>
  </r>
  <r>
    <x v="36"/>
    <d v="2026-08-06T00:00:00"/>
    <x v="32"/>
    <s v="SALVADOR PATIÑO TRENADO"/>
    <n v="14836412362"/>
    <s v="PATS641225HQTTRL02"/>
    <n v="2"/>
    <n v="3311431760"/>
    <x v="2"/>
    <n v="7798.71"/>
    <n v="2249.1"/>
    <n v="2339.6129999999998"/>
    <n v="90.51299999999992"/>
    <d v="2027-09-01T00:00:00"/>
  </r>
  <r>
    <x v="36"/>
    <d v="2026-08-06T00:00:00"/>
    <x v="13"/>
    <s v="JOSE CELEDONIO MONTOYA SILVA"/>
    <m/>
    <s v="MOSC571121HSPNLL05"/>
    <n v="23430522"/>
    <n v="23430522"/>
    <x v="2"/>
    <n v="7920.51"/>
    <n v="2291.6"/>
    <n v="2376.1529999999998"/>
    <n v="84.552999999999884"/>
    <d v="2028-06-01T00:00:00"/>
  </r>
  <r>
    <x v="36"/>
    <d v="2026-08-06T00:00:00"/>
    <x v="20"/>
    <s v="HUMBERTO"/>
    <s v="06786031960"/>
    <m/>
    <n v="23431984"/>
    <n v="5215565390008"/>
    <x v="2"/>
    <n v="9760.32"/>
    <n v="2823"/>
    <n v="2928.096"/>
    <n v="105.096"/>
    <d v="2028-01-01T00:00:00"/>
  </r>
  <r>
    <x v="36"/>
    <d v="2026-08-06T00:00:00"/>
    <x v="6"/>
    <s v="ALEJANDRO JEREZANO CABRERA "/>
    <m/>
    <s v="JECA600430HVZRBL07"/>
    <n v="23431068"/>
    <n v="5212295289717"/>
    <x v="0"/>
    <n v="10171.24"/>
    <m/>
    <n v="3051.3719999999998"/>
    <n v="3051.3719999999998"/>
    <m/>
  </r>
  <r>
    <x v="36"/>
    <d v="2026-08-06T00:00:00"/>
    <x v="20"/>
    <s v="EDGAR"/>
    <n v="42876730948"/>
    <s v="MOGE670821HOCRZD05"/>
    <n v="23427624"/>
    <n v="5215648027182"/>
    <x v="1"/>
    <n v="3823.19"/>
    <m/>
    <n v="1146.9569999999999"/>
    <n v="0"/>
    <m/>
  </r>
  <r>
    <x v="36"/>
    <d v="2026-08-06T00:00:00"/>
    <x v="28"/>
    <s v="JORGE ALBERTO NOLASCO CANTON"/>
    <s v="75836000734_x000a_"/>
    <s v="NOCJ600113HDFLNR04"/>
    <n v="23432166"/>
    <n v="23432166"/>
    <x v="2"/>
    <n v="9081.52"/>
    <n v="2514.46"/>
    <n v="2724.4560000000001"/>
    <n v="209.99600000000009"/>
    <d v="2027-01-01T00:00:00"/>
  </r>
  <r>
    <x v="36"/>
    <d v="2026-08-06T00:00:00"/>
    <x v="20"/>
    <s v="GUILLERMO"/>
    <m/>
    <s v="HEGG601215HOCRRL09"/>
    <n v="23427870"/>
    <n v="5216462584638"/>
    <x v="7"/>
    <n v="6460.14"/>
    <n v="1793"/>
    <n v="1938.0419999999999"/>
    <n v="145.04199999999992"/>
    <d v="2026-04-01T00:00:00"/>
  </r>
  <r>
    <x v="36"/>
    <d v="2026-08-06T00:00:00"/>
    <x v="0"/>
    <s v="ARTURO CORTEZ ACUÑA"/>
    <m/>
    <s v="COAA650603HDFRCR08"/>
    <n v="23433190"/>
    <n v="5215554513383"/>
    <x v="0"/>
    <n v="9760.32"/>
    <m/>
    <n v="2928.096"/>
    <n v="2928.096"/>
    <m/>
  </r>
  <r>
    <x v="36"/>
    <d v="2026-08-06T00:00:00"/>
    <x v="16"/>
    <s v="ELENA GARCIA BALLADARES "/>
    <n v="4986652323"/>
    <m/>
    <n v="1"/>
    <n v="8687977666"/>
    <x v="1"/>
    <n v="3897.4"/>
    <m/>
    <n v="1169.22"/>
    <n v="0"/>
    <m/>
  </r>
  <r>
    <x v="36"/>
    <d v="2026-08-02T00:00:00"/>
    <x v="11"/>
    <s v="leopoldo "/>
    <s v="23725012019"/>
    <m/>
    <n v="23294420"/>
    <n v="5214251223179"/>
    <x v="2"/>
    <n v="10371.34"/>
    <n v="3000.68"/>
    <n v="3111.402"/>
    <n v="110.72200000000021"/>
    <d v="2027-01-01T00:00:00"/>
  </r>
  <r>
    <x v="36"/>
    <d v="2026-08-06T00:00:00"/>
    <x v="16"/>
    <m/>
    <s v="84846801995"/>
    <m/>
    <n v="1"/>
    <s v="84846801995"/>
    <x v="7"/>
    <n v="36122.81"/>
    <n v="10836.84"/>
    <n v="10836.842999999999"/>
    <n v="2.999999998792191E-3"/>
    <d v="2026-02-01T00:00:00"/>
  </r>
  <r>
    <x v="36"/>
    <d v="2026-08-06T00:00:00"/>
    <x v="35"/>
    <s v="ANTONIO MARQUEZ ARELLANO"/>
    <n v="13796500224"/>
    <s v="MAAA650520HTLRRN07"/>
    <n v="23433770"/>
    <s v="748 100 4130"/>
    <x v="10"/>
    <n v="11029.03"/>
    <m/>
    <n v="3308.7090000000003"/>
    <n v="3308.7090000000003"/>
    <m/>
  </r>
  <r>
    <x v="37"/>
    <d v="2026-08-07T00:00:00"/>
    <x v="16"/>
    <m/>
    <s v="19795829019"/>
    <m/>
    <n v="1"/>
    <s v="19795829019"/>
    <x v="2"/>
    <n v="6262.86"/>
    <n v="1738"/>
    <n v="1878.8579999999997"/>
    <n v="140.85799999999972"/>
    <d v="2026-10-01T00:00:00"/>
  </r>
  <r>
    <x v="37"/>
    <d v="2026-08-07T00:00:00"/>
    <x v="16"/>
    <m/>
    <n v="23634413969"/>
    <m/>
    <n v="1"/>
    <s v="669 447 9601"/>
    <x v="1"/>
    <n v="3941.1800000000003"/>
    <n v="848"/>
    <n v="1182.354"/>
    <n v="-848"/>
    <m/>
  </r>
  <r>
    <x v="37"/>
    <d v="2026-08-06T00:00:00"/>
    <x v="45"/>
    <s v="Eric Tec Ciau"/>
    <m/>
    <s v="TECE860304HYNCXR02"/>
    <n v="23420820"/>
    <n v="9981075118"/>
    <x v="5"/>
    <m/>
    <m/>
    <n v="0"/>
    <n v="0"/>
    <m/>
  </r>
  <r>
    <x v="37"/>
    <d v="2026-08-06T00:00:00"/>
    <x v="47"/>
    <s v="MARÍA DE JESUS MONCADA PICON"/>
    <n v="37785934152"/>
    <s v="MOPJ590605MCLNCS04"/>
    <n v="23421948"/>
    <n v="5218781119233"/>
    <x v="2"/>
    <n v="4813.6899999999996"/>
    <n v="616.53"/>
    <n v="1444.1069999999997"/>
    <n v="24.180000000000064"/>
    <d v="2027-02-01T00:00:00"/>
  </r>
  <r>
    <x v="37"/>
    <d v="2026-08-06T00:00:00"/>
    <x v="35"/>
    <s v="GERONIMO GARCIA GUISAMAN"/>
    <n v="65815838977"/>
    <s v="GAGG580930HVZRSR07"/>
    <n v="23432572"/>
    <n v="6641763733"/>
    <x v="2"/>
    <n v="9697.32"/>
    <n v="2690.05"/>
    <n v="2909.1959999999999"/>
    <n v="219.14599999999973"/>
    <d v="2027-02-01T00:00:00"/>
  </r>
  <r>
    <x v="37"/>
    <d v="2026-08-06T00:00:00"/>
    <x v="6"/>
    <s v="JUAN MANUEL CERVANTES MARTINEZ "/>
    <m/>
    <s v="CEMJ630707HTSRRN05"/>
    <n v="23434692"/>
    <n v="5218120067956"/>
    <x v="6"/>
    <n v="11079.2"/>
    <n v="2998.65"/>
    <n v="3323.76"/>
    <n v="325.11000000000013"/>
    <d v="2026-03-01T00:00:00"/>
  </r>
  <r>
    <x v="37"/>
    <d v="2026-08-02T00:00:00"/>
    <x v="40"/>
    <s v="Laura Elena Topete Sahaun"/>
    <n v="41907013512"/>
    <s v="TOSL700614MJCPHR03"/>
    <n v="23295316"/>
    <n v="5213334694439"/>
    <x v="9"/>
    <n v="6883.36"/>
    <n v="1820.02"/>
    <n v="2065.0079999999998"/>
    <n v="244.98799999999983"/>
    <d v="2026-07-01T00:00:00"/>
  </r>
  <r>
    <x v="37"/>
    <d v="2026-08-06T00:00:00"/>
    <x v="35"/>
    <s v="Rosa María villalvazo Olivares"/>
    <s v="04916401864"/>
    <m/>
    <n v="23432218"/>
    <n v="3310906874"/>
    <x v="2"/>
    <n v="9760.32"/>
    <n v="2823.89"/>
    <n v="2928.096"/>
    <n v="104.20600000000013"/>
    <d v="2027-06-01T00:00:00"/>
  </r>
  <r>
    <x v="37"/>
    <d v="2026-08-02T00:00:00"/>
    <x v="40"/>
    <s v="Gabriel cruz lira"/>
    <n v="12826463262"/>
    <m/>
    <n v="23297778"/>
    <n v="5214613411013"/>
    <x v="2"/>
    <n v="20412.68"/>
    <n v="6123.8"/>
    <n v="6123.8040000000001"/>
    <n v="3.9999999999054126E-3"/>
    <d v="2027-08-01T00:00:00"/>
  </r>
  <r>
    <x v="37"/>
    <d v="2026-08-07T00:00:00"/>
    <x v="34"/>
    <s v="TOMAS CEPEDA GONZALES"/>
    <s v="43846862225"/>
    <s v="CEGT680315HNLPNM03"/>
    <n v="2"/>
    <n v="5218116537351"/>
    <x v="2"/>
    <n v="7128.48"/>
    <n v="2138.54"/>
    <n v="2138.5439999999999"/>
    <n v="3.9999999999054126E-3"/>
    <d v="2028-04-01T00:00:00"/>
  </r>
  <r>
    <x v="37"/>
    <d v="2026-08-06T00:00:00"/>
    <x v="20"/>
    <s v="Luis Antonio"/>
    <m/>
    <s v="BERL490508HVZDSS07"/>
    <n v="23433210"/>
    <n v="5212299297887"/>
    <x v="0"/>
    <n v="22327.66"/>
    <m/>
    <n v="6698.2979999999998"/>
    <n v="6698.2979999999998"/>
    <m/>
  </r>
  <r>
    <x v="37"/>
    <d v="2026-08-07T00:00:00"/>
    <x v="28"/>
    <s v="JOSE FRANCISCO ZUÑIGA GONZALEZ"/>
    <s v="54795006847"/>
    <s v=" ZUGF500309HJCXNR03"/>
    <n v="23449412"/>
    <n v="5213330362318"/>
    <x v="1"/>
    <n v="5091.1000000000004"/>
    <n v="879"/>
    <n v="1527.3300000000002"/>
    <n v="39.1200000000008"/>
    <m/>
  </r>
  <r>
    <x v="37"/>
    <d v="2026-08-06T00:00:00"/>
    <x v="20"/>
    <s v="DAVID"/>
    <n v="78705010771"/>
    <m/>
    <n v="23429674"/>
    <n v="5219711596684"/>
    <x v="7"/>
    <n v="5406.58"/>
    <n v="1074.3399999999999"/>
    <n v="1621.9739999999999"/>
    <n v="159.26000000000045"/>
    <d v="2025-03-01T00:00:00"/>
  </r>
  <r>
    <x v="37"/>
    <d v="2026-08-06T00:00:00"/>
    <x v="19"/>
    <s v="Armando "/>
    <n v="83816031113"/>
    <m/>
    <n v="23425970"/>
    <n v="9381047915"/>
    <x v="2"/>
    <n v="5617.63"/>
    <n v="1443.43"/>
    <n v="1685.289"/>
    <n v="1.220000000000482"/>
    <d v="2027-11-01T00:00:00"/>
  </r>
  <r>
    <x v="37"/>
    <d v="2026-08-05T00:00:00"/>
    <x v="13"/>
    <s v="ROBERTO AGUIRRE OLVERA"/>
    <s v="16917007409"/>
    <s v="AVOR700607HMCGLB07"/>
    <n v="23411010"/>
    <n v="23111010"/>
    <x v="6"/>
    <n v="7621.29"/>
    <n v="2114.94"/>
    <n v="2286.3869999999997"/>
    <n v="171.44699999999966"/>
    <d v="2026-05-01T00:00:00"/>
  </r>
  <r>
    <x v="37"/>
    <d v="2026-08-02T00:00:00"/>
    <x v="13"/>
    <s v="ARMANDO GALLEGOS OLVERA"/>
    <n v="67775913543"/>
    <s v="GARA600503HTCLVR03"/>
    <n v="23300546"/>
    <n v="5219934030401"/>
    <x v="0"/>
    <n v="5617.63"/>
    <m/>
    <n v="1685.289"/>
    <n v="1444.6500000000005"/>
    <m/>
  </r>
  <r>
    <x v="37"/>
    <d v="2026-08-06T00:00:00"/>
    <x v="44"/>
    <s v="Manuel Lopez Ramirez"/>
    <n v="31977515989"/>
    <s v="LOLM750122uGo"/>
    <n v="23419272"/>
    <n v="8712776807"/>
    <x v="5"/>
    <m/>
    <m/>
    <n v="0"/>
    <n v="0"/>
    <m/>
  </r>
  <r>
    <x v="37"/>
    <d v="2026-08-07T00:00:00"/>
    <x v="16"/>
    <m/>
    <n v="67846530201"/>
    <m/>
    <n v="1"/>
    <n v="2282556628"/>
    <x v="1"/>
    <n v="3908.19"/>
    <m/>
    <n v="1172.4569999999999"/>
    <n v="0"/>
    <m/>
  </r>
  <r>
    <x v="37"/>
    <d v="2026-08-06T00:00:00"/>
    <x v="6"/>
    <s v="ANGEL RANGEL PADRON "/>
    <n v="11745742467"/>
    <s v="RAPA570514HDFNDN05"/>
    <n v="23439524"/>
    <n v="5215566929560"/>
    <x v="2"/>
    <n v="29509.62"/>
    <n v="8852.89"/>
    <n v="8852.8859999999986"/>
    <n v="-4.0000000008149073E-3"/>
    <d v="2027-07-01T00:00:00"/>
  </r>
  <r>
    <x v="37"/>
    <d v="2026-08-06T00:00:00"/>
    <x v="6"/>
    <s v="GUILLERMO AARON LUNA MONTELONGO"/>
    <s v="31825801059 "/>
    <s v="LUMG580923HDGNNL00"/>
    <n v="23435328"/>
    <n v="5216181693022"/>
    <x v="0"/>
    <n v="15408.12"/>
    <m/>
    <n v="4622.4359999999997"/>
    <n v="4622.4359999999997"/>
    <m/>
  </r>
  <r>
    <x v="37"/>
    <d v="2026-08-07T00:00:00"/>
    <x v="31"/>
    <s v="MARICELA ARCE RAMOS"/>
    <n v="43765505896"/>
    <s v="AERM591013MNLRMR03"/>
    <n v="2"/>
    <n v="8143677898"/>
    <x v="2"/>
    <n v="8784.2900000000009"/>
    <n v="2540.13"/>
    <n v="2635.2870000000003"/>
    <n v="95.157000000000153"/>
    <d v="2027-09-01T00:00:00"/>
  </r>
  <r>
    <x v="37"/>
    <d v="2026-08-06T00:00:00"/>
    <x v="6"/>
    <s v="ALMA ROSA ROSALES CARMONA "/>
    <m/>
    <s v="ROCA640512MCHSRL08"/>
    <n v="23435204"/>
    <n v="5216563530444"/>
    <x v="2"/>
    <n v="9760.32"/>
    <n v="2913.38"/>
    <n v="2928.096"/>
    <n v="14.715999999999894"/>
    <d v="2028-02-01T00:00:00"/>
  </r>
  <r>
    <x v="37"/>
    <d v="2026-07-31T00:00:00"/>
    <x v="11"/>
    <s v="ANGEL BRIONES ANTOPIA "/>
    <m/>
    <s v="BIAA531001HZSRNN03"/>
    <n v="23265594"/>
    <n v="19728362616"/>
    <x v="5"/>
    <m/>
    <m/>
    <n v="0"/>
    <n v="0"/>
    <m/>
  </r>
  <r>
    <x v="37"/>
    <d v="2026-08-07T00:00:00"/>
    <x v="6"/>
    <s v="JOSE MARIA AVALOS SILVA"/>
    <m/>
    <s v="AASM720820HMNVLR08"/>
    <n v="23445870"/>
    <n v="5213531033137"/>
    <x v="1"/>
    <n v="3939.75"/>
    <m/>
    <n v="1181.925"/>
    <n v="0"/>
    <m/>
  </r>
  <r>
    <x v="37"/>
    <d v="2026-08-03T00:00:00"/>
    <x v="20"/>
    <s v="JUAN CARLOS"/>
    <m/>
    <s v="HEPJ810115HSPRRN08"/>
    <n v="23333774"/>
    <n v="5214851118865"/>
    <x v="4"/>
    <m/>
    <m/>
    <n v="0"/>
    <n v="0"/>
    <m/>
  </r>
  <r>
    <x v="37"/>
    <d v="2026-07-19T00:00:00"/>
    <x v="11"/>
    <s v="RAUL CORTES ALAMILLO "/>
    <m/>
    <s v="COAR551103HTCRLL09"/>
    <n v="22839572"/>
    <n v="5219931277999"/>
    <x v="9"/>
    <n v="5617.63"/>
    <n v="1317.3"/>
    <n v="1685.289"/>
    <n v="127.35000000000059"/>
    <d v="2026-06-01T00:00:00"/>
  </r>
  <r>
    <x v="37"/>
    <d v="2026-08-06T00:00:00"/>
    <x v="6"/>
    <s v="LUZ DEL CARMEN LETICIA BERMUDEZ VELARDE "/>
    <s v="24796254217"/>
    <s v="BEVL620716MSRRLZ07"/>
    <n v="23435700"/>
    <n v="5216624104959"/>
    <x v="2"/>
    <n v="7920.51"/>
    <n v="2291"/>
    <n v="2376.1529999999998"/>
    <n v="85.152999999999793"/>
    <d v="2027-12-01T00:00:00"/>
  </r>
  <r>
    <x v="37"/>
    <d v="2026-08-06T00:00:00"/>
    <x v="13"/>
    <s v="MARCELO EBODIO DE LA CRUZ"/>
    <n v="65705010489"/>
    <s v="CUDM500506HVZRZR06"/>
    <n v="23433384"/>
    <n v="5212292168364"/>
    <x v="0"/>
    <n v="26874.31"/>
    <n v="6336.67"/>
    <n v="8062.2929999999997"/>
    <n v="1725.6229999999996"/>
    <d v="2028-05-01T00:00:00"/>
  </r>
  <r>
    <x v="37"/>
    <d v="2026-08-07T00:00:00"/>
    <x v="32"/>
    <s v="MARGARITA RAMIREZ ARMENTA"/>
    <s v=" 62806314324"/>
    <s v="RAAM631107MPLMRR07"/>
    <n v="2"/>
    <s v="221 418 5417"/>
    <x v="0"/>
    <n v="7920.51"/>
    <n v="879"/>
    <n v="2376.1529999999998"/>
    <n v="1497.1529999999998"/>
    <m/>
  </r>
  <r>
    <x v="37"/>
    <d v="2026-08-14T00:00:00"/>
    <x v="18"/>
    <s v="Valentín De Leon Jiménez "/>
    <n v="32806429422"/>
    <s v="LEJV640521HZSNML02"/>
    <n v="1"/>
    <n v="4291105523"/>
    <x v="2"/>
    <n v="9081.51"/>
    <n v="2724.45"/>
    <n v="2724.453"/>
    <n v="3.0000000001564331E-3"/>
    <d v="2028-04-01T00:00:00"/>
  </r>
  <r>
    <x v="37"/>
    <d v="2026-08-07T00:00:00"/>
    <x v="18"/>
    <s v="ROBERTO OYERVIDES GONZALEZ"/>
    <n v="366492375"/>
    <s v="OEGR490214HNLYNB02"/>
    <n v="1"/>
    <n v="8182032357"/>
    <x v="1"/>
    <n v="4253.6499999999996"/>
    <m/>
    <n v="1276.0949999999998"/>
    <n v="80.670000000000073"/>
    <m/>
  </r>
  <r>
    <x v="37"/>
    <d v="2026-07-29T00:00:00"/>
    <x v="40"/>
    <s v="Paz Juarez Hernandez"/>
    <n v="14806302684"/>
    <s v="JUHP650705MQTRRZ03"/>
    <n v="23210272"/>
    <n v="5214428202114"/>
    <x v="1"/>
    <n v="3506.21"/>
    <n v="879"/>
    <n v="1051.8630000000001"/>
    <n v="-879"/>
    <m/>
  </r>
  <r>
    <x v="37"/>
    <d v="2026-08-07T00:00:00"/>
    <x v="6"/>
    <s v="DORA PATRICIA CRIOLLO LOPEZ"/>
    <n v="23786100489"/>
    <s v="CILD610926MOCRPR06"/>
    <n v="23409944"/>
    <n v="23409944"/>
    <x v="2"/>
    <n v="9081.52"/>
    <n v="2515.2199999999998"/>
    <n v="2724.4560000000001"/>
    <n v="209.23600000000033"/>
    <d v="2026-10-01T00:00:00"/>
  </r>
  <r>
    <x v="37"/>
    <d v="2026-08-07T00:00:00"/>
    <x v="34"/>
    <s v="CARLOS ARRIOLA ESQUEDA"/>
    <s v="0480629231"/>
    <s v="AIEC620113HJCRSR01"/>
    <n v="2"/>
    <n v="5213326666536"/>
    <x v="2"/>
    <n v="15276.7"/>
    <n v="4405.6099999999997"/>
    <n v="4583.01"/>
    <n v="177.40000000000055"/>
    <d v="2026-09-01T00:00:00"/>
  </r>
  <r>
    <x v="37"/>
    <d v="2026-08-01T00:00:00"/>
    <x v="28"/>
    <s v="DONATO HERNANDEZ SANTIBAÑEZ"/>
    <s v="12643910693"/>
    <s v="HESD390916HGTRNN06"/>
    <n v="23276046"/>
    <n v="5214621413329"/>
    <x v="5"/>
    <n v="23913.360000000001"/>
    <m/>
    <n v="7174.0079999999998"/>
    <n v="7174.0079999999998"/>
    <m/>
  </r>
  <r>
    <x v="37"/>
    <d v="2026-08-06T00:00:00"/>
    <x v="28"/>
    <s v="LUZ MARIA ALMIRAY PINZON"/>
    <m/>
    <s v=" AIPL591120MMCLNZ06"/>
    <n v="23434434"/>
    <n v="5218441980835"/>
    <x v="0"/>
    <n v="5617.63"/>
    <m/>
    <n v="1685.289"/>
    <n v="1444.6500000000005"/>
    <m/>
  </r>
  <r>
    <x v="37"/>
    <d v="2026-07-19T00:00:00"/>
    <x v="11"/>
    <s v="Jorge luis luna guerrero "/>
    <s v="03927640775 "/>
    <m/>
    <n v="22833088"/>
    <n v="5218261690772"/>
    <x v="4"/>
    <m/>
    <m/>
    <n v="0"/>
    <n v="0"/>
    <m/>
  </r>
  <r>
    <x v="37"/>
    <d v="2026-08-06T00:00:00"/>
    <x v="6"/>
    <s v="GREGORIO GONZALEZ CARRIZALES "/>
    <m/>
    <s v="GOCG720426HTSNRR10"/>
    <n v="23435078"/>
    <n v="5214442147814"/>
    <x v="8"/>
    <m/>
    <m/>
    <n v="0"/>
    <n v="0"/>
    <m/>
  </r>
  <r>
    <x v="37"/>
    <d v="2026-08-06T00:00:00"/>
    <x v="44"/>
    <s v="CARLOS RAMIREZ CRUZ"/>
    <m/>
    <s v="RACC361016HGRMRR06"/>
    <n v="23428236"/>
    <n v="6671364022"/>
    <x v="1"/>
    <n v="3999.13"/>
    <n v="848"/>
    <n v="1199.739"/>
    <n v="-848"/>
    <m/>
  </r>
  <r>
    <x v="37"/>
    <d v="2026-08-07T00:00:00"/>
    <x v="31"/>
    <s v="ENRIQUE MONTAÑO ARTEAGA"/>
    <s v="06846522180"/>
    <s v="MOAE650208HDFNRN03"/>
    <n v="2"/>
    <n v="5636705608"/>
    <x v="2"/>
    <n v="30033.93"/>
    <n v="9009.5400000000009"/>
    <n v="9010.1790000000001"/>
    <n v="0.6389999999992142"/>
    <d v="2027-08-01T00:00:00"/>
  </r>
  <r>
    <x v="37"/>
    <d v="2026-08-07T00:00:00"/>
    <x v="34"/>
    <s v="JOSE MARIO MIGUEL GONZALES"/>
    <n v="62806217162"/>
    <s v="MIGM620819HPLGNR03"/>
    <n v="2"/>
    <n v="5212223465510"/>
    <x v="2"/>
    <n v="27875.55"/>
    <n v="8363.2099999999991"/>
    <n v="8362.6649999999991"/>
    <n v="-0.54500000000007276"/>
    <d v="2026-12-01T00:00:00"/>
  </r>
  <r>
    <x v="37"/>
    <d v="2026-08-07T00:00:00"/>
    <x v="11"/>
    <s v="ma. angelica Bustamante Parral"/>
    <m/>
    <s v="BUPA660714MMSSRN04"/>
    <n v="23456508"/>
    <n v="5217341566584"/>
    <x v="5"/>
    <m/>
    <m/>
    <n v="0"/>
    <n v="0"/>
    <m/>
  </r>
  <r>
    <x v="37"/>
    <d v="2026-08-07T00:00:00"/>
    <x v="32"/>
    <s v="PEDRO FEDERICO CHAVEZ PINEDA"/>
    <n v="20886100930"/>
    <s v="CAPP610502HDFHND05"/>
    <n v="2"/>
    <s v="771 607 5729"/>
    <x v="9"/>
    <n v="30255.48"/>
    <n v="9060.4699999999993"/>
    <n v="9076.6440000000002"/>
    <n v="16.174000000000888"/>
    <d v="2026-08-01T00:00:00"/>
  </r>
  <r>
    <x v="37"/>
    <d v="2026-08-07T00:00:00"/>
    <x v="18"/>
    <s v="JESUS FELIPE BORQUEZ HERNANDEZ"/>
    <m/>
    <s v="BOHJ570205HSLRRS08"/>
    <n v="1"/>
    <n v="9987565520"/>
    <x v="1"/>
    <n v="4481.3900000000003"/>
    <n v="251.76"/>
    <n v="1344.4170000000001"/>
    <n v="56.650000000000773"/>
    <m/>
  </r>
  <r>
    <x v="37"/>
    <d v="2026-08-07T00:00:00"/>
    <x v="6"/>
    <s v="JORGE RAMIRO ZARATE ALTAMIRANO "/>
    <m/>
    <s v="ZAAJ610304HOCRLR00"/>
    <n v="23448286"/>
    <n v="5219512212415"/>
    <x v="2"/>
    <n v="10636.54"/>
    <n v="3190.96"/>
    <n v="3190.962"/>
    <n v="1.9999999999527063E-3"/>
    <d v="2028-05-01T00:00:00"/>
  </r>
  <r>
    <x v="37"/>
    <d v="2026-08-07T00:00:00"/>
    <x v="6"/>
    <s v="CESAR LEAL RODRIGUEZ "/>
    <m/>
    <s v="LERC580225HTSLDS01"/>
    <n v="23448922"/>
    <n v="5218993412253"/>
    <x v="1"/>
    <n v="4342.43"/>
    <m/>
    <n v="1302.729"/>
    <n v="169.45000000000073"/>
    <m/>
  </r>
  <r>
    <x v="37"/>
    <d v="2026-08-06T00:00:00"/>
    <x v="13"/>
    <s v="JUAN FRANCISCO AVILA GONZALEZ"/>
    <n v="24785807660"/>
    <s v="AIGJ580616HNTVNN01"/>
    <n v="23436050"/>
    <n v="5216691960022"/>
    <x v="6"/>
    <n v="19606.330000000002"/>
    <n v="4551.87"/>
    <n v="5881.8990000000003"/>
    <n v="1330.0290000000005"/>
    <d v="2026-08-01T00:00:00"/>
  </r>
  <r>
    <x v="37"/>
    <d v="2026-08-07T00:00:00"/>
    <x v="13"/>
    <s v="JESUS DUARTE"/>
    <n v="41836606057"/>
    <s v="DUXJ660531HSPRXS06"/>
    <n v="23447402"/>
    <n v="5214444188276"/>
    <x v="2"/>
    <n v="10636.54"/>
    <n v="3190.63"/>
    <n v="3190.962"/>
    <n v="0.33199999999987995"/>
    <d v="2028-07-01T00:00:00"/>
  </r>
  <r>
    <x v="37"/>
    <d v="2026-08-07T00:00:00"/>
    <x v="13"/>
    <s v="MARIA CONCEPCION MORENO PADILLA"/>
    <n v="32886980302"/>
    <s v="MOPC840217MCLRDN07"/>
    <n v="23453614"/>
    <n v="5218446699339"/>
    <x v="2"/>
    <n v="9081.49"/>
    <n v="2617.0100000000002"/>
    <n v="2724.4469999999997"/>
    <n v="107.43699999999944"/>
    <d v="2027-04-01T00:00:00"/>
  </r>
  <r>
    <x v="37"/>
    <d v="2026-08-07T00:00:00"/>
    <x v="11"/>
    <s v="GERARDO GUERRERO ARREOLA "/>
    <s v="43816571178"/>
    <m/>
    <n v="23458484"/>
    <n v="5218114852631"/>
    <x v="0"/>
    <n v="19941.810000000001"/>
    <m/>
    <n v="5982.5430000000006"/>
    <n v="5982.5430000000006"/>
    <m/>
  </r>
  <r>
    <x v="37"/>
    <d v="2026-08-07T00:00:00"/>
    <x v="29"/>
    <s v="MARCO ANTONIO RODRIGUEZ MELGAREJO"/>
    <m/>
    <s v="ROMM621118HDFDLR04"/>
    <n v="23458774"/>
    <n v="5215547202472"/>
    <x v="0"/>
    <n v="9760.32"/>
    <m/>
    <n v="2928.096"/>
    <n v="2928.096"/>
    <m/>
  </r>
  <r>
    <x v="37"/>
    <d v="2026-08-07T00:00:00"/>
    <x v="13"/>
    <s v="ROBERTO MORALES CASTRO "/>
    <n v="96906512296"/>
    <s v="MOCR651121HMCRSB05"/>
    <n v="23446792"/>
    <n v="5215648592755"/>
    <x v="8"/>
    <m/>
    <m/>
    <n v="0"/>
    <n v="0"/>
    <m/>
  </r>
  <r>
    <x v="37"/>
    <d v="2026-08-07T00:00:00"/>
    <x v="20"/>
    <s v="modesta alfreda lopez lopez "/>
    <n v="78916903129"/>
    <m/>
    <n v="23374278"/>
    <n v="5219531140146"/>
    <x v="5"/>
    <m/>
    <m/>
    <n v="0"/>
    <n v="0"/>
    <m/>
  </r>
  <r>
    <x v="37"/>
    <d v="2026-08-07T00:00:00"/>
    <x v="28"/>
    <s v="AURELIO LOPEZ DE LA CRUZ"/>
    <m/>
    <s v="LXCA580926HVZPRR03"/>
    <n v="23454080"/>
    <n v="5219211295665"/>
    <x v="1"/>
    <n v="4342.43"/>
    <m/>
    <n v="1302.729"/>
    <n v="169.45000000000073"/>
    <m/>
  </r>
  <r>
    <x v="37"/>
    <d v="2026-08-07T00:00:00"/>
    <x v="11"/>
    <s v="Dula Hernández Baños"/>
    <s v="10795909349"/>
    <m/>
    <n v="23458922"/>
    <n v="5217713225069"/>
    <x v="0"/>
    <n v="10636.54"/>
    <m/>
    <n v="3190.962"/>
    <n v="3190.962"/>
    <m/>
  </r>
  <r>
    <x v="37"/>
    <d v="2026-07-30T00:00:00"/>
    <x v="41"/>
    <s v="NANCY RAMIREZ MARTINEZ"/>
    <n v="33846738376"/>
    <s v="RAMN820813MCHMRN03"/>
    <n v="23235692"/>
    <n v="5216562141753"/>
    <x v="2"/>
    <n v="7128.48"/>
    <n v="2060.92"/>
    <n v="2138.5439999999999"/>
    <n v="77.623999999999796"/>
    <d v="2027-12-01T00:00:00"/>
  </r>
  <r>
    <x v="37"/>
    <d v="2026-08-07T00:00:00"/>
    <x v="31"/>
    <s v="RAUL LOPEZ OLIVARES"/>
    <n v="43836578658"/>
    <s v="LOOR650318HDGPLL03"/>
    <n v="2"/>
    <s v="81 8168 9599"/>
    <x v="0"/>
    <n v="9760.32"/>
    <m/>
    <n v="2928.096"/>
    <n v="2928.096"/>
    <m/>
  </r>
  <r>
    <x v="37"/>
    <d v="2026-08-07T00:00:00"/>
    <x v="20"/>
    <s v="FERNANDO"/>
    <m/>
    <s v="MUHF621207HVZXRR01"/>
    <n v="23428638"/>
    <n v="5212841122714"/>
    <x v="2"/>
    <n v="9760.32"/>
    <n v="2823.89"/>
    <n v="2928.096"/>
    <n v="104.20600000000013"/>
    <d v="2027-12-01T00:00:00"/>
  </r>
  <r>
    <x v="37"/>
    <d v="2026-08-07T00:00:00"/>
    <x v="11"/>
    <s v="JOSE ALFREDO MARTINEZ RAMOS "/>
    <m/>
    <s v="MARA660720HNLRML03"/>
    <n v="23460048"/>
    <n v="8112030693"/>
    <x v="8"/>
    <m/>
    <m/>
    <n v="0"/>
    <n v="0"/>
    <m/>
  </r>
  <r>
    <x v="37"/>
    <d v="2026-08-07T00:00:00"/>
    <x v="11"/>
    <s v="Martin antonio rocha wilson"/>
    <s v="24936730861"/>
    <m/>
    <n v="23459094"/>
    <n v="5216311105834"/>
    <x v="5"/>
    <m/>
    <m/>
    <n v="0"/>
    <n v="0"/>
    <m/>
  </r>
  <r>
    <x v="37"/>
    <d v="2026-08-07T00:00:00"/>
    <x v="13"/>
    <s v="JOSE DE JESUS SOTO ALONSO"/>
    <m/>
    <s v="SOAJ610609HNLTLS00"/>
    <n v="23449740"/>
    <n v="5218134156368"/>
    <x v="2"/>
    <n v="10171.24"/>
    <n v="2843.36"/>
    <n v="3051.3719999999998"/>
    <n v="208.01199999999972"/>
    <d v="2027-06-01T00:00:00"/>
  </r>
  <r>
    <x v="37"/>
    <d v="2026-08-06T00:00:00"/>
    <x v="13"/>
    <s v="JORGE OCHOA TAPIA "/>
    <s v="06806128754"/>
    <s v="OOTJ610604HDFCPR06"/>
    <n v="23435926"/>
    <n v="23435926"/>
    <x v="2"/>
    <n v="9198.42"/>
    <n v="2648.19"/>
    <n v="2759.5259999999998"/>
    <n v="111.33599999999979"/>
    <d v="2027-08-01T00:00:00"/>
  </r>
  <r>
    <x v="37"/>
    <d v="2026-08-07T00:00:00"/>
    <x v="20"/>
    <s v="maxiliano"/>
    <n v="11796005244"/>
    <m/>
    <n v="23456194"/>
    <n v="5215521113393"/>
    <x v="2"/>
    <n v="7116.73"/>
    <n v="2059.04"/>
    <n v="2135.0189999999998"/>
    <n v="75.978999999999814"/>
    <d v="2027-05-01T00:00:00"/>
  </r>
  <r>
    <x v="37"/>
    <d v="2026-08-07T00:00:00"/>
    <x v="29"/>
    <s v="MIRIAM ESTHER VIRUES ARROYO"/>
    <m/>
    <s v="VIAM570401MVZRRR02"/>
    <n v="23459946"/>
    <n v="5212283601868"/>
    <x v="2"/>
    <n v="6380.19"/>
    <n v="1835.27"/>
    <n v="1914.0569999999998"/>
    <n v="78.786999999999807"/>
    <d v="2027-06-01T00:00:00"/>
  </r>
  <r>
    <x v="37"/>
    <d v="2026-08-07T00:00:00"/>
    <x v="20"/>
    <s v="maria"/>
    <n v="25947642184"/>
    <m/>
    <n v="23460044"/>
    <n v="5216647610662"/>
    <x v="0"/>
    <n v="9936.06"/>
    <m/>
    <n v="2980.8179999999998"/>
    <n v="2980.8179999999998"/>
    <m/>
  </r>
  <r>
    <x v="37"/>
    <d v="2026-08-07T00:00:00"/>
    <x v="29"/>
    <s v="MARIA DEL SOCORRO SALAZAR GARZA"/>
    <n v="43836426361"/>
    <m/>
    <n v="23460162"/>
    <n v="5218118498565"/>
    <x v="6"/>
    <n v="9081.52"/>
    <n v="2521"/>
    <n v="2724.4560000000001"/>
    <n v="203.45600000000013"/>
    <d v="2026-08-01T00:00:00"/>
  </r>
  <r>
    <x v="37"/>
    <d v="2026-08-07T00:00:00"/>
    <x v="11"/>
    <s v="MARIA MAGDALENA VALDEZ OROZCO "/>
    <m/>
    <s v="VAOM620113MBCLRG06"/>
    <n v="23461266"/>
    <n v="5216867270315"/>
    <x v="2"/>
    <n v="9081.52"/>
    <n v="2624.37"/>
    <n v="2724.4560000000001"/>
    <n v="100.08600000000024"/>
    <d v="2026-12-01T00:00:00"/>
  </r>
  <r>
    <x v="37"/>
    <d v="2026-08-07T00:00:00"/>
    <x v="16"/>
    <s v="Bernardo Reyes Ruiz"/>
    <m/>
    <s v="RERB490820HDGYZR08"/>
    <n v="1"/>
    <n v="6241777873"/>
    <x v="1"/>
    <n v="3818.93"/>
    <n v="848"/>
    <n v="1145.6789999999999"/>
    <n v="-848"/>
    <m/>
  </r>
  <r>
    <x v="37"/>
    <d v="2026-08-07T00:00:00"/>
    <x v="20"/>
    <s v="felipe"/>
    <n v="49734705525"/>
    <m/>
    <n v="23461178"/>
    <n v="5217838323209"/>
    <x v="2"/>
    <n v="19134.95"/>
    <n v="5729.15"/>
    <n v="5740.4849999999997"/>
    <n v="11.335000000000036"/>
    <d v="2027-06-01T00:00:00"/>
  </r>
  <r>
    <x v="37"/>
    <d v="2026-08-07T00:00:00"/>
    <x v="45"/>
    <s v="Beatriz Carlota Delgado Díaz "/>
    <n v="43755765476"/>
    <m/>
    <n v="23459940"/>
    <n v="8129070609"/>
    <x v="6"/>
    <n v="5055.87"/>
    <n v="1200.9100000000001"/>
    <n v="1516.761"/>
    <n v="-318.01999999999975"/>
    <d v="2026-08-01T00:00:00"/>
  </r>
  <r>
    <x v="38"/>
    <d v="2026-07-27T00:00:00"/>
    <x v="41"/>
    <s v="SANDRA CECILIA PAYANES CONTRERAS"/>
    <m/>
    <s v="PACS631120MSRYNN06"/>
    <n v="23149828"/>
    <n v="5216653936254"/>
    <x v="7"/>
    <n v="7920.51"/>
    <n v="2290.89"/>
    <n v="2376.1529999999998"/>
    <n v="85.26299999999992"/>
    <d v="2026-04-01T00:00:00"/>
  </r>
  <r>
    <x v="38"/>
    <d v="2026-08-07T00:00:00"/>
    <x v="6"/>
    <s v="CANDELARIO VAQUERA MUÑOZ"/>
    <n v="4375593802"/>
    <s v="VAMC590224HZSQXN05"/>
    <n v="23464020"/>
    <n v="5218128732968"/>
    <x v="0"/>
    <n v="11645.27"/>
    <n v="879"/>
    <n v="3493.5810000000001"/>
    <n v="2614.5810000000001"/>
    <m/>
  </r>
  <r>
    <x v="38"/>
    <d v="2026-08-08T00:00:00"/>
    <x v="28"/>
    <s v="TERESA MENDEZ RICO"/>
    <s v="1481622726_x000a_"/>
    <s v="MERT621016MGTNCR07"/>
    <n v="23465308"/>
    <n v="5214181347046"/>
    <x v="2"/>
    <n v="10636.54"/>
    <n v="3190.96"/>
    <n v="3190.962"/>
    <n v="1.9999999999527063E-3"/>
    <d v="2028-07-01T00:00:00"/>
  </r>
  <r>
    <x v="38"/>
    <d v="2026-08-08T00:00:00"/>
    <x v="38"/>
    <s v="MANUEL IDELFONSO ROQUE CASTILLO"/>
    <n v="81846704765"/>
    <m/>
    <n v="23469944"/>
    <n v="6221223669"/>
    <x v="4"/>
    <m/>
    <m/>
    <n v="0"/>
    <n v="0"/>
    <m/>
  </r>
  <r>
    <x v="38"/>
    <d v="2026-08-04T00:00:00"/>
    <x v="13"/>
    <s v="MARIA CRISTINA GUADALUPE PORRAS CASTORENA"/>
    <m/>
    <s v="POCC531011MPLRSR01"/>
    <n v="23356568"/>
    <n v="5214432248623"/>
    <x v="9"/>
    <n v="4813.6899999999996"/>
    <n v="480.95"/>
    <n v="1444.1069999999997"/>
    <n v="159.76000000000005"/>
    <d v="2024-01-01T00:00:00"/>
  </r>
  <r>
    <x v="38"/>
    <d v="2026-08-07T00:00:00"/>
    <x v="28"/>
    <s v="FERNANDO SAMPERIO RODRIGUEZ"/>
    <m/>
    <s v="SARF630705HMCMDR02"/>
    <n v="23463708"/>
    <n v="5215518230931"/>
    <x v="2"/>
    <n v="11368.26"/>
    <n v="3286.27"/>
    <n v="3410.4780000000001"/>
    <n v="124.20800000000008"/>
    <d v="2026-09-01T00:00:00"/>
  </r>
  <r>
    <x v="38"/>
    <d v="2026-08-05T00:00:00"/>
    <x v="40"/>
    <s v="Maria Tomasa Hernandez Mendez"/>
    <n v="33844802273"/>
    <s v="HEMT550922MVZRNM08"/>
    <n v="23403966"/>
    <n v="5216624266015"/>
    <x v="0"/>
    <n v="6422.04"/>
    <m/>
    <n v="1926.6119999999999"/>
    <n v="1926.6119999999999"/>
    <m/>
  </r>
  <r>
    <x v="38"/>
    <d v="2026-08-07T00:00:00"/>
    <x v="29"/>
    <s v="PEDRO LOPEZ VALDEZ"/>
    <s v="JUSL801223MDGRNC08"/>
    <s v="LOVP821130HDGPLD08"/>
    <n v="23455620"/>
    <n v="5218672221041"/>
    <x v="0"/>
    <n v="8624.2199999999993"/>
    <m/>
    <n v="2587.2659999999996"/>
    <n v="2587.2659999999996"/>
    <m/>
  </r>
  <r>
    <x v="38"/>
    <d v="2026-07-23T00:00:00"/>
    <x v="6"/>
    <s v="JAIME CASTRO CRUZ"/>
    <m/>
    <s v="CACJ580710HDFSRM06"/>
    <n v="23037468"/>
    <n v="5217207160172"/>
    <x v="3"/>
    <n v="9081.52"/>
    <n v="1777.73"/>
    <n v="2724.4560000000001"/>
    <n v="946.72600000000011"/>
    <d v="2027-08-01T00:00:00"/>
  </r>
  <r>
    <x v="38"/>
    <d v="2026-08-08T00:00:00"/>
    <x v="38"/>
    <s v="JORGE CHULIA ORTEGA"/>
    <n v="11735594351"/>
    <s v="CUOJ550626HDFHRR09"/>
    <n v="23469298"/>
    <n v="9515472453"/>
    <x v="3"/>
    <n v="6603.21"/>
    <n v="879"/>
    <n v="1980.963"/>
    <n v="1101.963"/>
    <m/>
  </r>
  <r>
    <x v="38"/>
    <d v="2026-08-06T00:00:00"/>
    <x v="45"/>
    <s v="Rosalba Bravo Hernandez"/>
    <m/>
    <s v="BAHR611213MOCRRS00"/>
    <n v="23460024"/>
    <n v="9531625281"/>
    <x v="0"/>
    <n v="6262.86"/>
    <m/>
    <n v="1878.8579999999997"/>
    <n v="1878.8579999999997"/>
    <m/>
  </r>
  <r>
    <x v="38"/>
    <d v="2026-08-08T00:00:00"/>
    <x v="13"/>
    <s v="MAURA SILVIA TAPIA RUIZ"/>
    <n v="24896664588"/>
    <s v="TARM650627MCHPZR04"/>
    <n v="23471942"/>
    <n v="5216311828966"/>
    <x v="0"/>
    <n v="9760.32"/>
    <m/>
    <n v="2928.096"/>
    <n v="2928.096"/>
    <m/>
  </r>
  <r>
    <x v="38"/>
    <d v="2026-08-01T00:00:00"/>
    <x v="0"/>
    <s v="HILDA EMMA MEDINA VALLES"/>
    <n v="24765821087"/>
    <s v="MEVH660330MSRDLL05"/>
    <n v="23282646"/>
    <n v="5216631197724"/>
    <x v="6"/>
    <n v="5055.87"/>
    <n v="1203"/>
    <n v="1516.761"/>
    <n v="-320.10999999999967"/>
    <d v="2026-08-01T00:00:00"/>
  </r>
  <r>
    <x v="38"/>
    <d v="2026-07-24T00:00:00"/>
    <x v="6"/>
    <s v="PEDRO ALVARADO MORENO"/>
    <m/>
    <s v="AAMP590914HGRLRD04"/>
    <n v="23089552"/>
    <n v="5217531287855"/>
    <x v="0"/>
    <n v="7920.51"/>
    <n v="848"/>
    <n v="2376.1529999999998"/>
    <n v="1528.1529999999998"/>
    <m/>
  </r>
  <r>
    <x v="38"/>
    <d v="2026-08-07T00:00:00"/>
    <x v="13"/>
    <s v="GREGORIO CRUZ PORTES"/>
    <n v="63846401741"/>
    <s v="CUPG640509HHGRRR02"/>
    <n v="23455144"/>
    <n v="5215512351916"/>
    <x v="2"/>
    <n v="9081.52"/>
    <n v="2626.81"/>
    <n v="2724.4560000000001"/>
    <n v="97.646000000000186"/>
    <d v="2027-12-01T00:00:00"/>
  </r>
  <r>
    <x v="38"/>
    <d v="2026-08-08T00:00:00"/>
    <x v="35"/>
    <s v="ELIGIO ORDUÑA HERNANDEZ"/>
    <m/>
    <s v="OUHE601018HVZRRL02"/>
    <n v="23472646"/>
    <n v="5548173178"/>
    <x v="2"/>
    <n v="17500.7"/>
    <n v="5248.98"/>
    <n v="5250.21"/>
    <n v="1.2300000000004729"/>
    <m/>
  </r>
  <r>
    <x v="38"/>
    <d v="2026-08-07T00:00:00"/>
    <x v="13"/>
    <s v="OSCAR ARMANDO ADAME TAVAREZ"/>
    <n v="33896456838"/>
    <s v="AATO640304HCHDVS08"/>
    <n v="23463774"/>
    <n v="5216261085232"/>
    <x v="2"/>
    <n v="9760.32"/>
    <n v="2927.47"/>
    <n v="2928.096"/>
    <n v="0.62600000000020373"/>
    <d v="2028-04-01T00:00:00"/>
  </r>
  <r>
    <x v="38"/>
    <d v="2026-08-08T00:00:00"/>
    <x v="38"/>
    <s v="VIRGINIA DEL CARMEN TIBURCIO CAMACHO"/>
    <n v="65826303896"/>
    <m/>
    <n v="23473342"/>
    <n v="2292120961"/>
    <x v="2"/>
    <n v="24943.94"/>
    <n v="7481.62"/>
    <n v="7483.1819999999989"/>
    <n v="1.5619999999989886"/>
    <d v="2027-02-01T00:00:00"/>
  </r>
  <r>
    <x v="38"/>
    <d v="2026-07-25T00:00:00"/>
    <x v="6"/>
    <s v="MARIA DEL CARMEN RODRIGUEZ VAZQUEZ "/>
    <m/>
    <s v="ROVC601030MMNDZR02"/>
    <n v="23104724"/>
    <n v="5215535817056"/>
    <x v="2"/>
    <n v="5617.63"/>
    <n v="1393.24"/>
    <n v="1685.289"/>
    <n v="51.410000000000537"/>
    <d v="2027-02-01T00:00:00"/>
  </r>
  <r>
    <x v="38"/>
    <d v="2026-08-08T00:00:00"/>
    <x v="28"/>
    <s v="ALEJANDRO REYES HERNANDEZ"/>
    <s v="67785607473"/>
    <s v="REHA560826HOCYRL03"/>
    <n v="23472872"/>
    <n v="5212871204145"/>
    <x v="7"/>
    <n v="60788.89"/>
    <n v="18236.310000000001"/>
    <n v="18236.666999999998"/>
    <n v="0.35699999999633292"/>
    <d v="2027-08-01T00:00:00"/>
  </r>
  <r>
    <x v="38"/>
    <d v="2026-08-08T00:00:00"/>
    <x v="44"/>
    <s v="VICTOR MANUEL REYES ALBERT"/>
    <m/>
    <s v="REAV550523HDFYLC09"/>
    <n v="23474698"/>
    <n v="9614711690"/>
    <x v="3"/>
    <n v="4813.6899999999996"/>
    <m/>
    <n v="1444.1069999999997"/>
    <n v="640.71"/>
    <m/>
  </r>
  <r>
    <x v="38"/>
    <d v="2026-08-08T00:00:00"/>
    <x v="6"/>
    <s v="CONSTANTINO HERNANDEZ MAVIL"/>
    <s v="65947620616"/>
    <s v="HEMC761220HvzRvN01"/>
    <n v="23473736"/>
    <n v="5212281162476"/>
    <x v="6"/>
    <n v="5642.22"/>
    <n v="1294.17"/>
    <n v="1692.6659999999999"/>
    <n v="175.07000000000062"/>
    <d v="2025-06-01T00:00:00"/>
  </r>
  <r>
    <x v="38"/>
    <d v="2026-08-08T00:00:00"/>
    <x v="44"/>
    <s v="ARNULFO MARQUEZ REYES"/>
    <m/>
    <s v="MARA641205HCHRYR05"/>
    <n v="23474094"/>
    <n v="23474094"/>
    <x v="2"/>
    <n v="10636.54"/>
    <n v="3189.2"/>
    <n v="3190.962"/>
    <n v="1.762000000000171"/>
    <d v="2028-07-01T00:00:00"/>
  </r>
  <r>
    <x v="38"/>
    <d v="2026-08-08T00:00:00"/>
    <x v="6"/>
    <s v="J. CLETO MONTOYA ZAMORA"/>
    <m/>
    <s v="MOZC500713HSPNML08"/>
    <n v="23467834"/>
    <n v="5219902913566"/>
    <x v="2"/>
    <n v="4813.6899999999996"/>
    <n v="616.53"/>
    <n v="1444.1069999999997"/>
    <n v="24.180000000000064"/>
    <d v="2027-05-01T00:00:00"/>
  </r>
  <r>
    <x v="38"/>
    <d v="2026-08-02T00:00:00"/>
    <x v="40"/>
    <s v="Juanita Alejandra Teja Camargo"/>
    <s v="01754916185"/>
    <s v="TECJ700523MDFJMN06"/>
    <n v="23295146"/>
    <n v="5214421685627"/>
    <x v="6"/>
    <n v="43264.06"/>
    <n v="11532.91"/>
    <n v="12979.217999999999"/>
    <n v="1446.3079999999991"/>
    <m/>
  </r>
  <r>
    <x v="38"/>
    <d v="2026-08-01T00:00:00"/>
    <x v="11"/>
    <s v="ULISES RAMOS BAUTISTA "/>
    <m/>
    <s v="RABU731214HTCMTL07"/>
    <n v="23475762"/>
    <n v="5219131116178"/>
    <x v="1"/>
    <n v="3783.67"/>
    <n v="879"/>
    <n v="1135.1009999999999"/>
    <n v="-879"/>
    <m/>
  </r>
  <r>
    <x v="38"/>
    <d v="2026-08-07T00:00:00"/>
    <x v="45"/>
    <s v="Jorge Andrade Cobos"/>
    <m/>
    <s v="AACJ690503HVZNBR01"/>
    <n v="23474750"/>
    <n v="2851157207"/>
    <x v="5"/>
    <m/>
    <m/>
    <n v="0"/>
    <n v="0"/>
    <m/>
  </r>
  <r>
    <x v="38"/>
    <d v="2026-08-08T00:00:00"/>
    <x v="44"/>
    <s v="MARTIN SANGABRIEL GARCIA"/>
    <m/>
    <s v="SAGM631111HVZNRR18"/>
    <n v="23475860"/>
    <n v="5571166346"/>
    <x v="2"/>
    <n v="9081.52"/>
    <n v="2754.46"/>
    <n v="2724.4560000000001"/>
    <n v="-30.003999999999905"/>
    <d v="2027-01-01T00:00:00"/>
  </r>
  <r>
    <x v="38"/>
    <d v="2026-08-07T00:00:00"/>
    <x v="28"/>
    <s v="ALBERTO REYES MARTINEZ"/>
    <s v="32765919900"/>
    <s v=" REMA600601HCLYRL01"/>
    <n v="23450772"/>
    <n v="5218713582632"/>
    <x v="6"/>
    <n v="24889.29"/>
    <n v="7198.5"/>
    <n v="7466.7870000000003"/>
    <n v="268.28700000000026"/>
    <d v="2026-07-01T00:00:00"/>
  </r>
  <r>
    <x v="38"/>
    <d v="2026-08-08T00:00:00"/>
    <x v="28"/>
    <s v="MIGUEL JUAREZ ESPINOZA"/>
    <s v="89826436068"/>
    <s v="JUEM650825HMCRSG09"/>
    <n v="22786636"/>
    <n v="5215513578840"/>
    <x v="1"/>
    <n v="4035.69"/>
    <m/>
    <n v="1210.7069999999999"/>
    <n v="0"/>
    <m/>
  </r>
  <r>
    <x v="38"/>
    <d v="2026-08-08T00:00:00"/>
    <x v="35"/>
    <s v="JOSE DOLORES FALCON"/>
    <m/>
    <s v="FAAD820403HGTLYL00"/>
    <n v="23475244"/>
    <n v="4773510547"/>
    <x v="8"/>
    <m/>
    <m/>
    <n v="0"/>
    <n v="0"/>
    <m/>
  </r>
  <r>
    <x v="38"/>
    <d v="2026-08-08T00:00:00"/>
    <x v="6"/>
    <s v="ARTURO RODRIGUEZ LOPEZ "/>
    <n v="53704710101"/>
    <s v="ROPA471030HMNDRR07"/>
    <n v="23474480"/>
    <n v="5213541253361"/>
    <x v="4"/>
    <m/>
    <m/>
    <n v="0"/>
    <n v="0"/>
    <m/>
  </r>
  <r>
    <x v="38"/>
    <d v="2026-08-08T00:00:00"/>
    <x v="11"/>
    <s v="carlos enrique gutierrez alvizo "/>
    <m/>
    <s v="GUAC620715HCLTLR09"/>
    <n v="23476428"/>
    <n v="5218444274791"/>
    <x v="2"/>
    <n v="9760.32"/>
    <n v="2916.17"/>
    <n v="2928.096"/>
    <n v="11.925999999999931"/>
    <d v="2028-05-01T00:00:00"/>
  </r>
  <r>
    <x v="38"/>
    <d v="2026-08-08T00:00:00"/>
    <x v="6"/>
    <s v="JUAN JOSE ALVARADO CHAVEZ "/>
    <m/>
    <s v="AACJ730403HZSLHN01"/>
    <n v="23467716"/>
    <n v="5214922648073"/>
    <x v="3"/>
    <n v="9051.89"/>
    <n v="2282.12"/>
    <n v="2715.5669999999996"/>
    <n v="433.44699999999966"/>
    <d v="2027-02-01T00:00:00"/>
  </r>
  <r>
    <x v="38"/>
    <d v="2026-08-05T00:00:00"/>
    <x v="13"/>
    <s v="Jorge Alonso Domínguez Ortiz."/>
    <s v=" 81825702814"/>
    <s v="_x0009_DOOJ570215HYNMRR03"/>
    <n v="23381776"/>
    <n v="23381776"/>
    <x v="2"/>
    <n v="12185.45"/>
    <n v="3524.54"/>
    <n v="3655.6350000000002"/>
    <n v="131.09500000000025"/>
    <d v="2027-04-01T00:00:00"/>
  </r>
  <r>
    <x v="38"/>
    <d v="2026-08-08T00:00:00"/>
    <x v="28"/>
    <s v="MAXIMINA RAMOS RUIZ"/>
    <s v="33956405435"/>
    <s v="RARM671025MDGMZX15"/>
    <n v="23462820"/>
    <n v="5216562966619"/>
    <x v="0"/>
    <n v="8784.2999999999993"/>
    <n v="848"/>
    <n v="2635.2899999999995"/>
    <n v="1787.2899999999995"/>
    <m/>
  </r>
  <r>
    <x v="38"/>
    <d v="2026-08-08T00:00:00"/>
    <x v="28"/>
    <s v="DOMINGA MARIA ELENA LOPEZ MONROY"/>
    <s v="75826523229"/>
    <s v="LOMD650804MDFPNM02"/>
    <n v="23471436"/>
    <n v="5215628157081"/>
    <x v="2"/>
    <n v="9760.32"/>
    <n v="2928.1"/>
    <n v="2928.096"/>
    <n v="-3.9999999999054126E-3"/>
    <d v="2028-02-01T00:00:00"/>
  </r>
  <r>
    <x v="38"/>
    <d v="2026-08-08T00:00:00"/>
    <x v="29"/>
    <s v="Crescencio Trejo hernandez"/>
    <m/>
    <s v="TEHC481229HDFRRR02"/>
    <n v="23477102"/>
    <n v="5215537394932"/>
    <x v="2"/>
    <n v="37772.26"/>
    <n v="11329.23"/>
    <n v="11331.678"/>
    <n v="2.4480000000003201"/>
    <d v="2027-04-01T00:00:00"/>
  </r>
  <r>
    <x v="38"/>
    <d v="2026-08-01T00:00:00"/>
    <x v="28"/>
    <s v="JOSE JESUS FLORES RAMIREZ"/>
    <s v="19786235267"/>
    <s v="FORJ620610HDFLMS09"/>
    <n v="23279634"/>
    <n v="5213314650171"/>
    <x v="2"/>
    <n v="8654.75"/>
    <n v="2300.5"/>
    <n v="2596.4249999999997"/>
    <n v="295.92499999999973"/>
    <d v="2027-05-01T00:00:00"/>
  </r>
  <r>
    <x v="38"/>
    <d v="2026-08-08T00:00:00"/>
    <x v="35"/>
    <s v="Ramon"/>
    <n v="23825810510"/>
    <m/>
    <n v="23478144"/>
    <n v="6681252796"/>
    <x v="0"/>
    <n v="37189.199999999997"/>
    <n v="848"/>
    <n v="11156.759999999998"/>
    <n v="10308.759999999998"/>
    <m/>
  </r>
  <r>
    <x v="39"/>
    <d v="2026-08-06T00:00:00"/>
    <x v="45"/>
    <s v="Francisco Espejel Y Hernandez"/>
    <m/>
    <s v="EEHF500916HPLSRR05"/>
    <n v="23425064"/>
    <n v="2221153362"/>
    <x v="2"/>
    <n v="8663.08"/>
    <n v="2596.38"/>
    <n v="2598.924"/>
    <n v="2.543999999999869"/>
    <d v="2028-07-01T00:00:00"/>
  </r>
  <r>
    <x v="39"/>
    <d v="2026-08-08T00:00:00"/>
    <x v="45"/>
    <s v="Victor Modesto Gervacio Diaz"/>
    <m/>
    <s v="GEDV580615HOCRZC08"/>
    <n v="23476804"/>
    <n v="9212033942"/>
    <x v="5"/>
    <m/>
    <m/>
    <n v="0"/>
    <n v="0"/>
    <m/>
  </r>
  <r>
    <x v="39"/>
    <d v="2026-08-09T00:00:00"/>
    <x v="45"/>
    <s v="Alejandro Adrian Vargas Millan"/>
    <m/>
    <s v="VAMA550731HMSRLL00"/>
    <n v="23484840"/>
    <n v="5554537019"/>
    <x v="1"/>
    <n v="4342.43"/>
    <n v="848"/>
    <n v="1302.729"/>
    <n v="-678.54999999999927"/>
    <m/>
  </r>
  <r>
    <x v="39"/>
    <d v="2026-08-09T00:00:00"/>
    <x v="20"/>
    <s v="VICTOR MANUEL"/>
    <m/>
    <s v="MECV541014HTSNDC01"/>
    <n v="23485454"/>
    <n v="5218683093269"/>
    <x v="2"/>
    <n v="34283.35"/>
    <n v="10282.530000000001"/>
    <n v="10285.004999999999"/>
    <n v="2.4749999999985448"/>
    <d v="2027-08-01T00:00:00"/>
  </r>
  <r>
    <x v="39"/>
    <d v="2026-08-09T00:00:00"/>
    <x v="44"/>
    <s v="GENOVEBA OCHOA CEBREROS"/>
    <n v="2182600359"/>
    <s v="OOCG601102MBCCBN00"/>
    <n v="23486310"/>
    <n v="6643184580"/>
    <x v="5"/>
    <m/>
    <m/>
    <n v="0"/>
    <n v="0"/>
    <m/>
  </r>
  <r>
    <x v="39"/>
    <d v="2026-08-06T00:00:00"/>
    <x v="20"/>
    <s v="MARIA MARTINEZ"/>
    <n v="1624307904"/>
    <s v="MAPM610119MDFRZR04"/>
    <n v="23460862"/>
    <n v="5215524115387"/>
    <x v="4"/>
    <m/>
    <m/>
    <n v="0"/>
    <n v="0"/>
    <m/>
  </r>
  <r>
    <x v="39"/>
    <d v="2026-08-07T00:00:00"/>
    <x v="45"/>
    <s v="Adriana Melendez Martinez"/>
    <n v="49846732300"/>
    <s v="MEMA660322MTSLRD05"/>
    <n v="23456680"/>
    <n v="8332854040"/>
    <x v="2"/>
    <n v="7967.29"/>
    <n v="2390"/>
    <n v="2390.1869999999999"/>
    <n v="0.18699999999989814"/>
    <d v="2028-03-01T00:00:00"/>
  </r>
  <r>
    <x v="39"/>
    <d v="2026-08-09T00:00:00"/>
    <x v="0"/>
    <s v="FERNANDO MORALES RASCON"/>
    <m/>
    <s v="MORF631002HSRRSR06"/>
    <n v="23485426"/>
    <n v="5216621697525"/>
    <x v="6"/>
    <n v="9081.52"/>
    <n v="2521.33"/>
    <n v="2724.4560000000001"/>
    <n v="203.1260000000002"/>
    <d v="2026-07-01T00:00:00"/>
  </r>
  <r>
    <x v="39"/>
    <d v="2026-08-09T00:00:00"/>
    <x v="11"/>
    <s v="BLANCA ESTELA CAMPOS RUIZ"/>
    <m/>
    <s v="CARB610827MDFMZL09"/>
    <n v="23485672"/>
    <n v="5213343835253"/>
    <x v="0"/>
    <n v="9081.52"/>
    <m/>
    <n v="2724.4560000000001"/>
    <n v="2724.4560000000001"/>
    <m/>
  </r>
  <r>
    <x v="39"/>
    <d v="2026-08-09T00:00:00"/>
    <x v="45"/>
    <s v="Rafael Perez Cruz"/>
    <m/>
    <s v="PECR730528HCSRRF07"/>
    <n v="23483520"/>
    <n v="5669170909"/>
    <x v="5"/>
    <m/>
    <m/>
    <n v="0"/>
    <n v="0"/>
    <m/>
  </r>
  <r>
    <x v="39"/>
    <d v="2026-08-09T00:00:00"/>
    <x v="40"/>
    <s v="MOGF640313HCLRRR18"/>
    <n v="31806412602"/>
    <s v="MOGF640313HCLRRR18"/>
    <n v="23484448"/>
    <n v="5218441427263"/>
    <x v="0"/>
    <n v="11833"/>
    <m/>
    <n v="3549.9"/>
    <n v="3549.9"/>
    <d v="2027-04-01T00:00:00"/>
  </r>
  <r>
    <x v="39"/>
    <d v="2026-08-08T00:00:00"/>
    <x v="40"/>
    <s v="Ofelia Cano Vega"/>
    <n v="23583714441"/>
    <s v="CAVO421222MSLNGF04"/>
    <n v="23480850"/>
    <n v="5213331181803"/>
    <x v="7"/>
    <n v="6893.27"/>
    <n v="1083.94"/>
    <n v="2067.9810000000002"/>
    <n v="984.04100000000017"/>
    <d v="2025-07-01T00:00:00"/>
  </r>
  <r>
    <x v="39"/>
    <d v="2026-08-09T00:00:00"/>
    <x v="11"/>
    <s v="GABRIEL MONTALVO AUDELO"/>
    <m/>
    <s v="MOAG650524HOCNDB06"/>
    <n v="23487352"/>
    <n v="5212871622811"/>
    <x v="0"/>
    <n v="10636.54"/>
    <m/>
    <n v="3190.962"/>
    <n v="3190.962"/>
    <m/>
  </r>
  <r>
    <x v="39"/>
    <d v="2026-08-07T00:00:00"/>
    <x v="45"/>
    <s v="Guillermo Jimenez Luna"/>
    <m/>
    <s v="JILG630109HTCMNL08"/>
    <n v="23460102"/>
    <n v="9932580821"/>
    <x v="0"/>
    <n v="7920.51"/>
    <m/>
    <n v="2376.1529999999998"/>
    <n v="2376.1529999999998"/>
    <m/>
  </r>
  <r>
    <x v="39"/>
    <d v="2026-08-09T00:00:00"/>
    <x v="40"/>
    <s v="Martha Olivia Ramirez Aragon"/>
    <n v="24886554807"/>
    <m/>
    <n v="23486948"/>
    <n v="5216312483486"/>
    <x v="2"/>
    <n v="11029.02"/>
    <n v="3308.71"/>
    <n v="3308.7060000000001"/>
    <n v="-3.9999999999054126E-3"/>
    <d v="2028-08-01T00:00:00"/>
  </r>
  <r>
    <x v="39"/>
    <d v="2026-08-08T00:00:00"/>
    <x v="11"/>
    <s v="MARTHA LYDIA RESENDIZ SOLANO "/>
    <m/>
    <s v="RESM640417MDFSLR01"/>
    <n v="23478070"/>
    <n v="5215554089704"/>
    <x v="0"/>
    <n v="27090"/>
    <n v="1842"/>
    <n v="8127"/>
    <n v="6285"/>
    <m/>
  </r>
  <r>
    <x v="39"/>
    <d v="2026-08-09T00:00:00"/>
    <x v="44"/>
    <s v="JOSE MARIA ORNELAS MARTINEZ"/>
    <m/>
    <s v="OEMM681227HJCRRR16"/>
    <n v="23485828"/>
    <n v="3781855195"/>
    <x v="1"/>
    <n v="4441.95"/>
    <n v="196.05"/>
    <n v="1332.5849999999998"/>
    <n v="72.920000000000243"/>
    <m/>
  </r>
  <r>
    <x v="39"/>
    <d v="2026-08-09T00:00:00"/>
    <x v="42"/>
    <s v="Mauricio Lazo Cuamatzi"/>
    <n v="65816420940"/>
    <m/>
    <n v="23483262"/>
    <n v="7734172747"/>
    <x v="2"/>
    <n v="9760.32"/>
    <n v="2928.1"/>
    <n v="2928.096"/>
    <n v="-3.9999999999054126E-3"/>
    <d v="2028-03-01T00:00:00"/>
  </r>
  <r>
    <x v="39"/>
    <d v="2026-08-09T00:00:00"/>
    <x v="44"/>
    <s v="Edilberto Asuncion pech"/>
    <n v="84856502780"/>
    <m/>
    <n v="23487668"/>
    <n v="9991694377"/>
    <x v="3"/>
    <n v="9760.32"/>
    <n v="2608.5700000000002"/>
    <n v="2928.096"/>
    <n v="319.52599999999984"/>
    <d v="2027-10-01T00:00:00"/>
  </r>
  <r>
    <x v="39"/>
    <d v="2026-08-09T00:00:00"/>
    <x v="18"/>
    <s v="NO PROPORCIONO"/>
    <n v="43886657998"/>
    <m/>
    <n v="1"/>
    <n v="8312823214"/>
    <x v="2"/>
    <n v="6366.25"/>
    <n v="1873.23"/>
    <n v="1909.875"/>
    <n v="36.644999999999982"/>
    <d v="2027-02-01T00:00:00"/>
  </r>
  <r>
    <x v="39"/>
    <d v="2026-08-09T00:00:00"/>
    <x v="45"/>
    <s v="Juan Bautista Flores"/>
    <m/>
    <s v="BAFJ541112HPLTLN07"/>
    <n v="23487774"/>
    <n v="5562877047"/>
    <x v="2"/>
    <n v="24559.42"/>
    <n v="7364.46"/>
    <n v="7367.8259999999991"/>
    <n v="3.365999999999076"/>
    <d v="2027-04-01T00:00:00"/>
  </r>
  <r>
    <x v="39"/>
    <d v="2026-08-09T00:00:00"/>
    <x v="29"/>
    <s v="GILBERTO ARMANDO RAMIREZ ENCINIA"/>
    <n v="43976808089"/>
    <m/>
    <n v="23489792"/>
    <n v="5218149598318"/>
    <x v="0"/>
    <n v="9936.0600000000013"/>
    <n v="848"/>
    <n v="2980.8180000000002"/>
    <n v="2132.8180000000002"/>
    <m/>
  </r>
  <r>
    <x v="39"/>
    <d v="2026-08-09T00:00:00"/>
    <x v="20"/>
    <s v="ISRAEL "/>
    <m/>
    <s v="ROCI741027HVZDNS04"/>
    <n v="23484960"/>
    <n v="5218991557787"/>
    <x v="5"/>
    <m/>
    <m/>
    <n v="0"/>
    <n v="0"/>
    <m/>
  </r>
  <r>
    <x v="39"/>
    <d v="2026-08-09T00:00:00"/>
    <x v="20"/>
    <s v="SERGIO"/>
    <n v="15785704659"/>
    <m/>
    <n v="23479242"/>
    <n v="5218771265641"/>
    <x v="6"/>
    <n v="19054.55"/>
    <n v="3680.8"/>
    <n v="5716.3649999999998"/>
    <n v="2035.5649999999996"/>
    <d v="2026-03-01T00:00:00"/>
  </r>
  <r>
    <x v="39"/>
    <d v="2026-08-09T00:00:00"/>
    <x v="0"/>
    <s v="LAURA ISABEL ALVARADO ARREDONDO"/>
    <s v="65825615084"/>
    <s v="AAAL520708MSPLRR04"/>
    <n v="23483792"/>
    <n v="5217822222992"/>
    <x v="6"/>
    <n v="17053.439999999999"/>
    <n v="4523.21"/>
    <n v="5116.0319999999992"/>
    <n v="592.82199999999921"/>
    <d v="2025-09-01T00:00:00"/>
  </r>
  <r>
    <x v="39"/>
    <d v="2026-08-09T00:00:00"/>
    <x v="40"/>
    <s v="Gustavo Leon Aispuro"/>
    <s v="23776002885"/>
    <m/>
    <n v="23489600"/>
    <n v="5216641981920"/>
    <x v="2"/>
    <n v="5617.63"/>
    <n v="1336.95"/>
    <n v="1685.289"/>
    <n v="107.7000000000005"/>
    <d v="2027-01-01T00:00:00"/>
  </r>
  <r>
    <x v="39"/>
    <d v="2026-08-09T00:00:00"/>
    <x v="0"/>
    <s v="FRANCISCO JAVIER AMEZCUA LOPEZ"/>
    <s v="04826623326"/>
    <s v="AELF660309HJCMPR06"/>
    <n v="23490180"/>
    <n v="5213345112148"/>
    <x v="2"/>
    <n v="10626.54"/>
    <n v="3189"/>
    <n v="3187.962"/>
    <n v="-1.0380000000000109"/>
    <d v="2028-06-01T00:00:00"/>
  </r>
  <r>
    <x v="39"/>
    <d v="2026-08-09T00:00:00"/>
    <x v="31"/>
    <s v="MARTHA SILVIA SIGALA OCHOA"/>
    <s v="047455203736"/>
    <s v="SIOM520113MJCGCR05"/>
    <n v="2"/>
    <n v="3334986090"/>
    <x v="1"/>
    <n v="3855.42"/>
    <n v="848"/>
    <n v="1156.626"/>
    <n v="-848"/>
    <m/>
  </r>
  <r>
    <x v="39"/>
    <d v="2026-08-08T00:00:00"/>
    <x v="11"/>
    <s v="Miguel Angel urquidez Rios"/>
    <m/>
    <s v="UURM720526HSLRSG05"/>
    <n v="23479866"/>
    <n v="5216688618062"/>
    <x v="1"/>
    <n v="3078.69"/>
    <n v="742"/>
    <n v="923.60699999999997"/>
    <n v="-742"/>
    <m/>
  </r>
  <r>
    <x v="39"/>
    <d v="2026-08-09T00:00:00"/>
    <x v="45"/>
    <s v="Juan Marcos Ortiz Sandoval"/>
    <m/>
    <s v="OISJ651122HDFRNN07"/>
    <n v="23487104"/>
    <n v="8994200500"/>
    <x v="0"/>
    <n v="10636.54"/>
    <m/>
    <n v="3190.962"/>
    <n v="3190.962"/>
    <m/>
  </r>
  <r>
    <x v="39"/>
    <d v="2026-08-08T00:00:00"/>
    <x v="40"/>
    <s v="Carlos Espinosa Reyes"/>
    <m/>
    <s v="EIRC560401HDFSYR07"/>
    <n v="23480002"/>
    <n v="5215528843730"/>
    <x v="2"/>
    <n v="11947.36"/>
    <n v="3456.06"/>
    <n v="3584.2080000000001"/>
    <n v="128.14800000000014"/>
    <d v="2027-10-01T00:00:00"/>
  </r>
  <r>
    <x v="39"/>
    <d v="2026-08-08T00:00:00"/>
    <x v="0"/>
    <s v="MAYNOR LEONEL PINEDA RAMOS"/>
    <s v="01785857176"/>
    <m/>
    <n v="23479236"/>
    <n v="5215541430784"/>
    <x v="0"/>
    <n v="65910.100000000006"/>
    <m/>
    <n v="19773.030000000002"/>
    <n v="19773.030000000002"/>
    <m/>
  </r>
  <r>
    <x v="39"/>
    <d v="2026-08-09T00:00:00"/>
    <x v="19"/>
    <m/>
    <m/>
    <s v="JIMJ641219HNLMRN00"/>
    <n v="23486478"/>
    <n v="8110352287"/>
    <x v="7"/>
    <n v="19256.38"/>
    <n v="5776.86"/>
    <n v="5776.9139999999998"/>
    <n v="5.4000000000087311E-2"/>
    <d v="2026-07-01T00:00:00"/>
  </r>
  <r>
    <x v="39"/>
    <d v="2026-08-09T00:00:00"/>
    <x v="31"/>
    <s v="HECTOR MANUEL MORALES OLIVARES"/>
    <n v="75806219228"/>
    <s v="MOOH620323HDFRLC07"/>
    <n v="2"/>
    <n v="5542844916"/>
    <x v="2"/>
    <n v="7731.75"/>
    <n v="2100"/>
    <n v="2319.5250000000001"/>
    <n v="219.52500000000009"/>
    <d v="2027-06-01T00:00:00"/>
  </r>
  <r>
    <x v="40"/>
    <d v="2026-08-10T00:00:00"/>
    <x v="32"/>
    <s v="MA TERESA AGUILAR SEVILLA"/>
    <n v="2227044837"/>
    <s v="AUST701003MJCGVR09"/>
    <n v="2"/>
    <s v="33 3451 3904"/>
    <x v="5"/>
    <m/>
    <m/>
    <n v="0"/>
    <n v="0"/>
    <m/>
  </r>
  <r>
    <x v="40"/>
    <d v="2026-08-10T00:00:00"/>
    <x v="32"/>
    <s v="FAUSTO TORIZ MARIN"/>
    <n v="11745569357"/>
    <s v="TOMF580906HDFRRS05"/>
    <n v="2"/>
    <n v="5521031652"/>
    <x v="0"/>
    <n v="9081.52"/>
    <m/>
    <n v="2724.4560000000001"/>
    <n v="2724.4560000000001"/>
    <m/>
  </r>
  <r>
    <x v="40"/>
    <d v="2026-08-10T00:00:00"/>
    <x v="34"/>
    <s v="FRANCISCO RAMIREZ BARRON"/>
    <n v="51825901401"/>
    <s v="BARF590519HGTRMR06"/>
    <n v="2"/>
    <n v="14494955563"/>
    <x v="2"/>
    <n v="29081.25"/>
    <n v="8724.3799999999992"/>
    <n v="8724.375"/>
    <n v="-4.9999999991996447E-3"/>
    <d v="2027-06-01T00:00:00"/>
  </r>
  <r>
    <x v="40"/>
    <d v="2026-08-10T00:00:00"/>
    <x v="31"/>
    <s v="JULIO CESAR TORRES PALACIOS"/>
    <n v="43765846555"/>
    <s v="TOPJ580913HNLRLL04"/>
    <n v="2"/>
    <n v="8123333653"/>
    <x v="2"/>
    <n v="8689.9599999999991"/>
    <n v="2359.2800000000002"/>
    <n v="2606.9879999999998"/>
    <n v="247.70799999999963"/>
    <d v="2027-09-01T00:00:00"/>
  </r>
  <r>
    <x v="40"/>
    <d v="2026-08-10T00:00:00"/>
    <x v="32"/>
    <s v="AMELIA LOURDES MARTINEZ HERNANDEZ"/>
    <s v="17826403473"/>
    <s v="MAHA640105MDFRRM05"/>
    <n v="2"/>
    <s v="55 2946 8858"/>
    <x v="6"/>
    <n v="9504.7000000000007"/>
    <n v="2638.84"/>
    <n v="2851.4100000000003"/>
    <n v="212.57000000000016"/>
    <d v="2026-07-01T00:00:00"/>
  </r>
  <r>
    <x v="40"/>
    <d v="2026-08-09T00:00:00"/>
    <x v="42"/>
    <s v="JULIO ENRIQUE BOBADILLA MOLINA"/>
    <m/>
    <s v="BOMJ610514HYNBLL01"/>
    <n v="23490418"/>
    <n v="9981965680"/>
    <x v="2"/>
    <n v="6262.86"/>
    <n v="1809.19"/>
    <n v="1878.8579999999997"/>
    <n v="69.667999999999665"/>
    <d v="2027-07-01T00:00:00"/>
  </r>
  <r>
    <x v="40"/>
    <d v="2026-08-10T00:00:00"/>
    <x v="34"/>
    <s v="COSME MANUEL HERNANDEZ CAMACHO"/>
    <s v="01685128835"/>
    <s v="HECC510927HDFRMS07"/>
    <n v="2"/>
    <n v="15561460168"/>
    <x v="2"/>
    <n v="34983.43"/>
    <n v="10495.03"/>
    <n v="10495.029"/>
    <n v="-1.0000000002037268E-3"/>
    <d v="2027-04-01T00:00:00"/>
  </r>
  <r>
    <x v="40"/>
    <d v="2026-08-10T00:00:00"/>
    <x v="31"/>
    <s v="FIDEL JESUS SILVA ANZALDUA"/>
    <n v="4376562079"/>
    <s v="SIAF560406HNLLND02"/>
    <n v="2"/>
    <s v="81 4180 3372"/>
    <x v="2"/>
    <n v="9760.32"/>
    <n v="2822.98"/>
    <n v="2928.096"/>
    <n v="105.11599999999999"/>
    <d v="2027-11-01T00:00:00"/>
  </r>
  <r>
    <x v="40"/>
    <d v="2026-08-09T00:00:00"/>
    <x v="42"/>
    <s v="APOLONIO NIEVES_x0009_RAMIREZ"/>
    <m/>
    <s v="NIRA790728HNTVMP05"/>
    <n v="23491194"/>
    <n v="3231014391"/>
    <x v="4"/>
    <m/>
    <m/>
    <n v="0"/>
    <n v="0"/>
    <m/>
  </r>
  <r>
    <x v="40"/>
    <d v="2026-08-09T00:00:00"/>
    <x v="44"/>
    <s v="JOSE ANTONIO LARA SEGURA"/>
    <m/>
    <s v="LASA801211HSPRGN05"/>
    <n v="23493012"/>
    <n v="4447021138"/>
    <x v="4"/>
    <m/>
    <m/>
    <n v="0"/>
    <n v="0"/>
    <m/>
  </r>
  <r>
    <x v="40"/>
    <d v="2026-08-10T00:00:00"/>
    <x v="16"/>
    <m/>
    <n v="10795976629"/>
    <m/>
    <n v="1"/>
    <s v="55 3766 8103"/>
    <x v="2"/>
    <n v="14283.59"/>
    <n v="4281.79"/>
    <n v="4285.0770000000002"/>
    <n v="3.2870000000002619"/>
    <d v="2027-04-01T00:00:00"/>
  </r>
  <r>
    <x v="40"/>
    <d v="2026-08-08T00:00:00"/>
    <x v="46"/>
    <s v="Gina margarita aviles aviles "/>
    <n v="84775903929"/>
    <s v="AIAG600123MYNVVN06"/>
    <n v="23478078"/>
    <n v="9831302318"/>
    <x v="1"/>
    <n v="3635.53"/>
    <m/>
    <n v="1090.6590000000001"/>
    <n v="0"/>
    <m/>
  </r>
  <r>
    <x v="40"/>
    <d v="2026-08-10T00:00:00"/>
    <x v="32"/>
    <s v="RUBEN RAMIREZ SALAZAR"/>
    <n v="32816517943"/>
    <s v="RASR650713HCLMLB06"/>
    <n v="2"/>
    <n v="8662124223"/>
    <x v="2"/>
    <n v="9760.32"/>
    <n v="2819.54"/>
    <n v="2928.096"/>
    <n v="108.55600000000004"/>
    <d v="2027-11-01T00:00:00"/>
  </r>
  <r>
    <x v="40"/>
    <d v="2026-08-08T00:00:00"/>
    <x v="38"/>
    <s v="ALEJANDRO GURROLA SIFUENTES"/>
    <m/>
    <s v="GUSA740725HCLRFL00"/>
    <n v="23478196"/>
    <n v="6561212401"/>
    <x v="4"/>
    <m/>
    <m/>
    <n v="0"/>
    <n v="0"/>
    <m/>
  </r>
  <r>
    <x v="40"/>
    <d v="2026-08-10T00:00:00"/>
    <x v="31"/>
    <s v="RODRIGO MEDEL HERNANDEZ"/>
    <n v="62957700354"/>
    <s v="MEHR770302HPLDRD04"/>
    <n v="2"/>
    <n v="5638828594"/>
    <x v="1"/>
    <n v="3759.51"/>
    <n v="848"/>
    <n v="1127.8530000000001"/>
    <n v="-848"/>
    <m/>
  </r>
  <r>
    <x v="40"/>
    <d v="2026-07-27T00:00:00"/>
    <x v="35"/>
    <s v="Isaías Sosa Lozano"/>
    <m/>
    <s v="SOLI610706HDFSZS06"/>
    <n v="23159854"/>
    <n v="5576649903"/>
    <x v="8"/>
    <m/>
    <m/>
    <n v="0"/>
    <n v="0"/>
    <m/>
  </r>
  <r>
    <x v="40"/>
    <d v="2026-08-09T00:00:00"/>
    <x v="20"/>
    <s v="ma rosario"/>
    <n v="33805709574"/>
    <m/>
    <n v="23490276"/>
    <n v="5216395493293"/>
    <x v="1"/>
    <n v="4199.87"/>
    <m/>
    <n v="1259.961"/>
    <n v="26.890000000000327"/>
    <m/>
  </r>
  <r>
    <x v="40"/>
    <d v="2026-08-10T00:00:00"/>
    <x v="34"/>
    <s v="ANDRES GUERRERO VELAZQUEZ"/>
    <s v="32826475967"/>
    <s v="GUVA641130HCLRLN05"/>
    <n v="2"/>
    <n v="8445299531"/>
    <x v="2"/>
    <n v="9081.52"/>
    <n v="2626.52"/>
    <n v="2724.4560000000001"/>
    <n v="97.936000000000149"/>
    <d v="2027-02-01T00:00:00"/>
  </r>
  <r>
    <x v="40"/>
    <d v="2026-08-10T00:00:00"/>
    <x v="31"/>
    <s v="ANDRES GUERRERO VELAZQUEZ"/>
    <n v="32826475967"/>
    <s v="GUVA641130HCLRLN05"/>
    <n v="2"/>
    <n v="8445299531"/>
    <x v="2"/>
    <n v="9081.52"/>
    <n v="2626.52"/>
    <n v="2724.4560000000001"/>
    <n v="97.936000000000149"/>
    <d v="2027-02-01T00:00:00"/>
  </r>
  <r>
    <x v="40"/>
    <d v="2026-08-10T00:00:00"/>
    <x v="28"/>
    <s v="GERMAN ALBARRAN PEREZ"/>
    <m/>
    <s v="AAPG510913HDFLRR07"/>
    <n v="23497654"/>
    <n v="5215585496465"/>
    <x v="2"/>
    <n v="25500.62"/>
    <n v="7377.48"/>
    <n v="7650.1859999999997"/>
    <n v="272.70600000000013"/>
    <d v="2027-01-01T00:00:00"/>
  </r>
  <r>
    <x v="40"/>
    <d v="2026-08-10T00:00:00"/>
    <x v="31"/>
    <s v="EDMUNDO DE JESUS CASTRO BARRAGAN"/>
    <s v="01634320889"/>
    <s v="CABE430512HDFSRD07"/>
    <n v="2"/>
    <n v="5575031167"/>
    <x v="2"/>
    <n v="9551.2099999999991"/>
    <n v="2865.99"/>
    <n v="2865.3629999999998"/>
    <n v="-0.62699999999995271"/>
    <d v="2028-01-01T00:00:00"/>
  </r>
  <r>
    <x v="40"/>
    <d v="2026-08-10T00:00:00"/>
    <x v="0"/>
    <s v="RAFAEL MARCELO"/>
    <s v="33796010180"/>
    <m/>
    <n v="23493052"/>
    <n v="5216145357756"/>
    <x v="6"/>
    <n v="7920.51"/>
    <n v="2084.7199999999998"/>
    <n v="2376.1529999999998"/>
    <n v="291.43299999999999"/>
    <d v="2025-10-01T00:00:00"/>
  </r>
  <r>
    <x v="40"/>
    <d v="2026-08-10T00:00:00"/>
    <x v="32"/>
    <s v="APOLINAR MANCILLA PASCACIO"/>
    <n v="53795903052"/>
    <s v="MAPA590920HGRNSP07"/>
    <n v="2"/>
    <n v="6641117353"/>
    <x v="0"/>
    <n v="15786.45"/>
    <m/>
    <n v="4735.9350000000004"/>
    <n v="4735.9350000000004"/>
    <m/>
  </r>
  <r>
    <x v="40"/>
    <d v="2026-08-07T00:00:00"/>
    <x v="28"/>
    <s v="GREGORIO ADRIAN ROMERO GARCIA"/>
    <m/>
    <s v="ROGG561117HOCMRR02"/>
    <n v="23462508"/>
    <n v="5215635317400"/>
    <x v="0"/>
    <n v="9760.32"/>
    <m/>
    <n v="2928.096"/>
    <n v="2928.096"/>
    <m/>
  </r>
  <r>
    <x v="40"/>
    <d v="2026-08-10T00:00:00"/>
    <x v="28"/>
    <s v="JUAN FRANCISCO BALBUENA VAZQUEZ"/>
    <s v="32796202375"/>
    <s v="BAVJ621110HCLLSN06"/>
    <n v="23504580"/>
    <n v="5218781081504"/>
    <x v="2"/>
    <n v="23192.12"/>
    <n v="6957.61"/>
    <n v="6957.6359999999995"/>
    <n v="2.5999999999839929E-2"/>
    <d v="2026-10-01T00:00:00"/>
  </r>
  <r>
    <x v="40"/>
    <d v="2026-08-06T00:00:00"/>
    <x v="13"/>
    <s v="JESUS DURAN CORONA"/>
    <n v="11675076209"/>
    <s v="_x0009_DUCJ500802HDFRRS00"/>
    <n v="23435174"/>
    <n v="5215611449736"/>
    <x v="1"/>
    <n v="3866.25"/>
    <n v="879"/>
    <n v="1159.875"/>
    <n v="-879"/>
    <m/>
  </r>
  <r>
    <x v="40"/>
    <d v="2026-08-09T00:00:00"/>
    <x v="6"/>
    <s v="JOSE HERNANDEZ RECILLAS"/>
    <m/>
    <s v="HERJ570501HMSRCS09"/>
    <n v="23495600"/>
    <n v="5217771526627"/>
    <x v="1"/>
    <n v="4199.87"/>
    <n v="848"/>
    <n v="1259.961"/>
    <n v="-821.10999999999967"/>
    <m/>
  </r>
  <r>
    <x v="40"/>
    <d v="2026-08-10T00:00:00"/>
    <x v="13"/>
    <s v=" JOEL VELAZQUEZ CALVO"/>
    <n v="75806238343"/>
    <s v="VECJ620713HMCLLL01"/>
    <n v="23498224"/>
    <n v="5215543693837"/>
    <x v="2"/>
    <n v="4866.88"/>
    <n v="692.99"/>
    <n v="1460.0640000000001"/>
    <n v="0.9100000000005366"/>
    <d v="2028-05-01T00:00:00"/>
  </r>
  <r>
    <x v="40"/>
    <d v="2026-08-10T00:00:00"/>
    <x v="28"/>
    <s v="PATRICIA JUAREZ SOTO"/>
    <s v="89826310578"/>
    <s v="JUSP630122MVZRTT09"/>
    <n v="23503014"/>
    <n v="5215636128453"/>
    <x v="2"/>
    <n v="9760.32"/>
    <n v="2823.8"/>
    <n v="2928.096"/>
    <n v="104.29599999999982"/>
    <d v="2027-10-01T00:00:00"/>
  </r>
  <r>
    <x v="40"/>
    <d v="2026-08-10T00:00:00"/>
    <x v="32"/>
    <s v="OCTAVIO CRUZ FLORES"/>
    <s v="04897265502"/>
    <m/>
    <n v="2"/>
    <n v="3334513904"/>
    <x v="2"/>
    <n v="6405.06"/>
    <n v="1921.52"/>
    <n v="1921.518"/>
    <n v="-1.9999999999527063E-3"/>
    <d v="2028-03-01T00:00:00"/>
  </r>
  <r>
    <x v="40"/>
    <d v="2026-08-10T00:00:00"/>
    <x v="6"/>
    <s v="RUBEN RODRIGUEZ ORTIZ"/>
    <m/>
    <s v="ROOR601008HDFDRB06"/>
    <n v="23498166"/>
    <n v="5215628030663"/>
    <x v="0"/>
    <n v="12261.82"/>
    <m/>
    <n v="3678.5459999999998"/>
    <n v="3678.5459999999998"/>
    <m/>
  </r>
  <r>
    <x v="40"/>
    <d v="2026-08-10T00:00:00"/>
    <x v="13"/>
    <s v="SILVESTRE SANCHEZ CAMACHO"/>
    <n v="82896606405"/>
    <s v="SACS691231HPLNML07"/>
    <n v="23500546"/>
    <n v="5219982019099"/>
    <x v="2"/>
    <n v="5260.79"/>
    <n v="1049.0899999999999"/>
    <n v="1578.2369999999999"/>
    <n v="38.720000000000482"/>
    <d v="2027-04-01T00:00:00"/>
  </r>
  <r>
    <x v="40"/>
    <d v="2026-08-10T00:00:00"/>
    <x v="32"/>
    <s v="JUAN MANUEL VEGA TAPIA"/>
    <n v="21936315288"/>
    <s v="VETJ630719HJCGPN06"/>
    <n v="2"/>
    <n v="3921277337"/>
    <x v="2"/>
    <n v="7920.51"/>
    <n v="2289.25"/>
    <n v="2376.1529999999998"/>
    <n v="86.902999999999793"/>
    <d v="2027-12-01T00:00:00"/>
  </r>
  <r>
    <x v="40"/>
    <d v="2026-08-10T00:00:00"/>
    <x v="18"/>
    <m/>
    <s v="49876949980"/>
    <m/>
    <n v="1"/>
    <n v="8688396629"/>
    <x v="2"/>
    <n v="8784.2900000000009"/>
    <n v="2538"/>
    <n v="2635.2870000000003"/>
    <n v="97.287000000000262"/>
    <d v="2027-09-01T00:00:00"/>
  </r>
  <r>
    <x v="40"/>
    <d v="2026-08-10T00:00:00"/>
    <x v="18"/>
    <m/>
    <s v="49885303641"/>
    <m/>
    <n v="1"/>
    <n v="8338512965"/>
    <x v="2"/>
    <n v="8018.98"/>
    <n v="2389.85"/>
    <n v="2405.694"/>
    <n v="15.844000000000051"/>
    <d v="2027-09-01T00:00:00"/>
  </r>
  <r>
    <x v="40"/>
    <d v="2026-08-09T00:00:00"/>
    <x v="28"/>
    <s v="JAVIER MOREIRA ANDRADE"/>
    <s v="62906650095"/>
    <s v="MOAJ660506HDFRNV08"/>
    <n v="23496962"/>
    <n v="5212481016346"/>
    <x v="0"/>
    <n v="10636.54"/>
    <m/>
    <n v="3190.962"/>
    <n v="3190.962"/>
    <m/>
  </r>
  <r>
    <x v="40"/>
    <d v="2026-08-10T00:00:00"/>
    <x v="6"/>
    <s v="JUSTINO GARCIA PINALES"/>
    <m/>
    <s v="GAPJ550414HCLRNS01"/>
    <n v="23506198"/>
    <n v="5216751154493"/>
    <x v="1"/>
    <n v="3961.31"/>
    <n v="848"/>
    <n v="1188.393"/>
    <n v="-848"/>
    <m/>
  </r>
  <r>
    <x v="40"/>
    <d v="2026-08-09T00:00:00"/>
    <x v="13"/>
    <s v=" MIGUEL MENDOZA GARCIA"/>
    <n v="14806225109"/>
    <s v="MEGM621005HDFNRG01"/>
    <n v="23497118"/>
    <n v="5214481505108"/>
    <x v="2"/>
    <n v="7920.51"/>
    <n v="2376.15"/>
    <n v="2376.1529999999998"/>
    <n v="2.9999999997016857E-3"/>
    <d v="2028-06-01T00:00:00"/>
  </r>
  <r>
    <x v="40"/>
    <d v="2026-08-10T00:00:00"/>
    <x v="18"/>
    <s v="J. SANTANA RAMOS ALVARADO"/>
    <n v="49796012497"/>
    <s v="RAAS600726HTSMLN03"/>
    <n v="1"/>
    <n v="8331019285"/>
    <x v="3"/>
    <n v="5617.63"/>
    <n v="848"/>
    <n v="1685.289"/>
    <n v="596.65000000000055"/>
    <m/>
  </r>
  <r>
    <x v="40"/>
    <d v="2026-08-10T00:00:00"/>
    <x v="6"/>
    <s v="JOSE LUIS TREJO MEJIA"/>
    <m/>
    <s v="TEML550409HDFRJS05"/>
    <n v="23508298"/>
    <n v="5215637087928"/>
    <x v="1"/>
    <n v="4199.87"/>
    <m/>
    <n v="1259.961"/>
    <n v="26.890000000000327"/>
    <m/>
  </r>
  <r>
    <x v="40"/>
    <d v="2026-08-10T00:00:00"/>
    <x v="31"/>
    <s v="FRANCISCO JAVIER CHAVEZ GONZALEZ"/>
    <n v="51916202982"/>
    <s v="CAGF620903HJCHNR05"/>
    <n v="2"/>
    <n v="3414305888"/>
    <x v="2"/>
    <n v="7116.73"/>
    <n v="2134.96"/>
    <n v="2135.0189999999998"/>
    <n v="5.8999999999741704E-2"/>
    <d v="2027-06-01T00:00:00"/>
  </r>
  <r>
    <x v="40"/>
    <d v="2026-08-10T00:00:00"/>
    <x v="31"/>
    <s v="ARTURO LANDEROS CADENA"/>
    <n v="40836300083"/>
    <s v="LACA631202HDFNDR07"/>
    <n v="2"/>
    <n v="5525622857"/>
    <x v="2"/>
    <n v="9081.52"/>
    <n v="2625"/>
    <n v="2724.4560000000001"/>
    <n v="99.456000000000131"/>
    <d v="2026-10-01T00:00:00"/>
  </r>
  <r>
    <x v="40"/>
    <d v="2026-08-10T00:00:00"/>
    <x v="34"/>
    <s v="Gerardo quiroz martinez"/>
    <n v="32725419660"/>
    <s v="QUMG540718HZSRRR06"/>
    <n v="2"/>
    <n v="8442891494"/>
    <x v="2"/>
    <n v="29527.24"/>
    <n v="8857.36"/>
    <n v="8858.1720000000005"/>
    <n v="0.81199999999989814"/>
    <d v="2026-12-01T00:00:00"/>
  </r>
  <r>
    <x v="40"/>
    <d v="2026-08-09T00:00:00"/>
    <x v="13"/>
    <s v="VICTOR ALBINO JIMENEZ"/>
    <s v="72935900737"/>
    <s v="AIJV591109HMCLMC08"/>
    <n v="23496002"/>
    <n v="5212223546965"/>
    <x v="2"/>
    <n v="17190.5"/>
    <n v="4967.53"/>
    <n v="5157.1499999999996"/>
    <n v="189.61999999999989"/>
    <d v="2028-01-01T00:00:00"/>
  </r>
  <r>
    <x v="40"/>
    <d v="2026-08-10T00:00:00"/>
    <x v="18"/>
    <m/>
    <s v="04694909708"/>
    <m/>
    <n v="1"/>
    <n v="4694909708"/>
    <x v="2"/>
    <n v="12756.44"/>
    <n v="3826.93"/>
    <n v="3826.9319999999998"/>
    <n v="1.9999999999527063E-3"/>
    <d v="2028-05-01T00:00:00"/>
  </r>
  <r>
    <x v="40"/>
    <d v="2026-07-02T00:00:00"/>
    <x v="13"/>
    <s v="MARIA ELENA VILLALBA ROSAS"/>
    <s v="07836830690"/>
    <s v="VIRE680822MDFLSL05"/>
    <n v="22256014"/>
    <n v="5215581951978"/>
    <x v="2"/>
    <n v="8173.07"/>
    <n v="2450.92"/>
    <n v="2451.9209999999998"/>
    <n v="1.000999999999749"/>
    <d v="2027-03-01T00:00:00"/>
  </r>
  <r>
    <x v="40"/>
    <d v="2026-08-10T00:00:00"/>
    <x v="11"/>
    <s v="gabriel avila tirado "/>
    <s v="23955604642"/>
    <s v="AITG560324HSLVRB07"/>
    <n v="23514158"/>
    <n v="5216692393684"/>
    <x v="6"/>
    <n v="15258.51"/>
    <n v="4405.66"/>
    <n v="4577.5529999999999"/>
    <n v="171.89300000000003"/>
    <d v="2026-03-01T00:00:00"/>
  </r>
  <r>
    <x v="40"/>
    <d v="2026-08-08T00:00:00"/>
    <x v="42"/>
    <s v="MARTIN AMAYA DE LEON "/>
    <m/>
    <s v="AALM581111HTSMNR02"/>
    <n v="23478654"/>
    <n v="5218343075914"/>
    <x v="4"/>
    <m/>
    <m/>
    <n v="0"/>
    <n v="0"/>
    <m/>
  </r>
  <r>
    <x v="40"/>
    <d v="2026-08-10T00:00:00"/>
    <x v="38"/>
    <s v="JUAN MARTIN JIMENEZ PERDOMO "/>
    <n v="65816252566"/>
    <s v="JIPJ630824HVZMRN07"/>
    <n v="23514450"/>
    <n v="5510616868"/>
    <x v="5"/>
    <m/>
    <m/>
    <n v="0"/>
    <n v="0"/>
    <m/>
  </r>
  <r>
    <x v="40"/>
    <d v="2026-08-10T00:00:00"/>
    <x v="32"/>
    <s v="PABLO SANTOS RESENDIZ RIVERA"/>
    <s v="06745733722"/>
    <s v="RERP571102HMCSVB00"/>
    <n v="2"/>
    <n v="5534664732"/>
    <x v="2"/>
    <n v="7920.51"/>
    <n v="2266.89"/>
    <n v="2376.1529999999998"/>
    <n v="109.26299999999992"/>
    <d v="2028-04-01T00:00:00"/>
  </r>
  <r>
    <x v="40"/>
    <d v="2026-08-09T00:00:00"/>
    <x v="19"/>
    <m/>
    <m/>
    <s v="AILR580216HDFRRB06"/>
    <n v="23488302"/>
    <n v="9984941259"/>
    <x v="6"/>
    <n v="22690.32"/>
    <n v="6564.85"/>
    <n v="6807.0959999999995"/>
    <n v="242.24599999999919"/>
    <d v="2026-08-01T00:00:00"/>
  </r>
  <r>
    <x v="40"/>
    <d v="2026-08-10T00:00:00"/>
    <x v="38"/>
    <s v="LUIS REY NOH QUINTANA"/>
    <m/>
    <s v="NOQL620825HCCHNS05"/>
    <n v="23515284"/>
    <n v="9817517684"/>
    <x v="2"/>
    <n v="7116.73"/>
    <n v="2059"/>
    <n v="2135.0189999999998"/>
    <n v="76.018999999999778"/>
    <d v="2027-11-01T00:00:00"/>
  </r>
  <r>
    <x v="40"/>
    <d v="2026-08-10T00:00:00"/>
    <x v="38"/>
    <s v="IRENE MORAN CONTRERAS"/>
    <n v="65846304021"/>
    <s v="MOCI610628MVZRNR00"/>
    <n v="23473050"/>
    <n v="2299136136"/>
    <x v="3"/>
    <n v="7398.95"/>
    <n v="1538.01"/>
    <n v="2219.6849999999999"/>
    <n v="681.67499999999995"/>
    <d v="2027-12-01T00:00:00"/>
  </r>
  <r>
    <x v="40"/>
    <d v="2026-08-10T00:00:00"/>
    <x v="42"/>
    <s v="Martín Miguel Herrera bocarando"/>
    <m/>
    <s v="_x0009_HEBM640410HVZRCR02"/>
    <n v="23515168"/>
    <n v="5216311919834"/>
    <x v="2"/>
    <n v="9081.52"/>
    <n v="2627.5"/>
    <n v="2724.4560000000001"/>
    <n v="96.956000000000131"/>
    <d v="2027-05-01T00:00:00"/>
  </r>
  <r>
    <x v="40"/>
    <d v="2026-08-10T00:00:00"/>
    <x v="42"/>
    <s v="Juan Carlos Celis Flores "/>
    <m/>
    <s v="_x0009_CEFJ621016HVZLLN01"/>
    <n v="23514284"/>
    <n v="5215540252206"/>
    <x v="2"/>
    <n v="9760.32"/>
    <n v="2823.89"/>
    <n v="2928.096"/>
    <n v="104.20600000000013"/>
    <d v="2027-06-01T00:00:00"/>
  </r>
  <r>
    <x v="40"/>
    <d v="2026-08-10T00:00:00"/>
    <x v="28"/>
    <s v="ALBERTA PIÑA IBARRA"/>
    <s v="23745604381_x000a_"/>
    <s v="PIIA560105MSLXBL02"/>
    <n v="23507640"/>
    <n v="5216671367652"/>
    <x v="6"/>
    <n v="18781.59"/>
    <n v="5633"/>
    <n v="5634.4769999999999"/>
    <n v="1.4769999999998618"/>
    <d v="2026-08-01T00:00:00"/>
  </r>
  <r>
    <x v="40"/>
    <d v="2026-08-10T00:00:00"/>
    <x v="16"/>
    <s v="IGNACIO REMES VELIZ"/>
    <n v="33796317049"/>
    <s v="REVI630201HCHMLG08"/>
    <n v="1"/>
    <n v="6143386498"/>
    <x v="0"/>
    <n v="7920.51"/>
    <n v="1095.3900000000001"/>
    <n v="2376.1529999999998"/>
    <n v="1280.7629999999997"/>
    <d v="2026-09-01T00:00:00"/>
  </r>
  <r>
    <x v="40"/>
    <d v="2026-08-10T00:00:00"/>
    <x v="28"/>
    <s v="ROGELIO TORRES BAZAN"/>
    <s v="72776003468_x000a_"/>
    <s v="TOBR600605HGRRZG06"/>
    <n v="23497322"/>
    <n v="5214426031760"/>
    <x v="3"/>
    <n v="6172.33"/>
    <n v="722.68"/>
    <n v="1851.6989999999998"/>
    <n v="1129.0189999999998"/>
    <d v="2026-06-01T00:00:00"/>
  </r>
  <r>
    <x v="40"/>
    <d v="2026-08-10T00:00:00"/>
    <x v="32"/>
    <s v="JOSE LUIS HERNANDEZ HERNANDEZ"/>
    <n v="3897322016"/>
    <s v="HEHL730522HNLRRS07"/>
    <n v="2"/>
    <s v="81 2358 7472"/>
    <x v="2"/>
    <n v="14143.62"/>
    <n v="4242.49"/>
    <n v="4243.0860000000002"/>
    <n v="0.59600000000045839"/>
    <d v="2027-11-01T00:00:00"/>
  </r>
  <r>
    <x v="40"/>
    <d v="2026-08-10T00:00:00"/>
    <x v="40"/>
    <s v="Juan Castañeda Morales"/>
    <s v="01796044715"/>
    <m/>
    <n v="23515712"/>
    <n v="5217361186477"/>
    <x v="2"/>
    <n v="5617.63"/>
    <n v="1393.24"/>
    <n v="1685.289"/>
    <n v="51.410000000000537"/>
    <d v="2027-06-01T00:00:00"/>
  </r>
  <r>
    <x v="40"/>
    <d v="2026-07-11T00:00:00"/>
    <x v="11"/>
    <s v="Hilaria Celestina Cabrera Rosas"/>
    <s v="01654603230"/>
    <m/>
    <n v="22561984"/>
    <n v="5215551557405"/>
    <x v="3"/>
    <n v="10981.51"/>
    <n v="2361.73"/>
    <n v="3294.453"/>
    <n v="932.72299999999996"/>
    <d v="2027-05-01T00:00:00"/>
  </r>
  <r>
    <x v="40"/>
    <d v="2026-08-10T00:00:00"/>
    <x v="16"/>
    <m/>
    <s v="54806161292"/>
    <m/>
    <n v="1"/>
    <s v="54806161292"/>
    <x v="2"/>
    <n v="5556.48"/>
    <n v="1604.22"/>
    <n v="1666.9439999999997"/>
    <n v="-220.72000000000003"/>
    <d v="2027-06-01T00:00:00"/>
  </r>
  <r>
    <x v="40"/>
    <d v="2026-08-10T00:00:00"/>
    <x v="38"/>
    <s v="JESUS DE LOS ANGELES PAVON"/>
    <s v="07835903332"/>
    <s v="AEPJ580110HGRNVS00"/>
    <n v="23516100"/>
    <n v="9981632295"/>
    <x v="2"/>
    <n v="8368.16"/>
    <n v="2420.8000000000002"/>
    <n v="2510.4479999999999"/>
    <n v="89.647999999999683"/>
    <d v="2027-04-01T00:00:00"/>
  </r>
  <r>
    <x v="40"/>
    <d v="2026-08-10T00:00:00"/>
    <x v="18"/>
    <s v="Julio Sergio Saavedra Daniel "/>
    <m/>
    <s v="SADJ460806HNLVNL01"/>
    <n v="1"/>
    <n v="8120085367"/>
    <x v="1"/>
    <n v="3900.89"/>
    <m/>
    <n v="1170.2669999999998"/>
    <n v="0"/>
    <m/>
  </r>
  <r>
    <x v="40"/>
    <d v="2026-07-17T00:00:00"/>
    <x v="28"/>
    <s v="MANUEL CASTRO ESCALANTE"/>
    <s v="21886863477_x000a_"/>
    <s v="CAEM680221HBCSSN06"/>
    <n v="22785624"/>
    <n v="5216861983175"/>
    <x v="3"/>
    <n v="8793.09"/>
    <n v="1676.75"/>
    <n v="2637.9270000000001"/>
    <n v="961.17700000000013"/>
    <d v="2027-07-01T00:00:00"/>
  </r>
  <r>
    <x v="40"/>
    <d v="2026-08-07T00:00:00"/>
    <x v="45"/>
    <s v="Jorge Alberto Aguilar Huerta"/>
    <m/>
    <s v="AUHJ550220HGTGRR05"/>
    <n v="23461568"/>
    <n v="4731039344"/>
    <x v="3"/>
    <n v="5260.8"/>
    <m/>
    <n v="1578.24"/>
    <n v="1087.8200000000006"/>
    <m/>
  </r>
  <r>
    <x v="40"/>
    <d v="2026-08-10T00:00:00"/>
    <x v="35"/>
    <s v="JESUS LEONARDO VEGA RUIZ"/>
    <n v="24796027910"/>
    <s v="VERJ601120HSRGZS08"/>
    <n v="23516842"/>
    <n v="6623267017"/>
    <x v="2"/>
    <n v="9081.52"/>
    <n v="2521.35"/>
    <n v="2724.4560000000001"/>
    <n v="203.10600000000022"/>
    <d v="2026-11-01T00:00:00"/>
  </r>
  <r>
    <x v="40"/>
    <d v="2026-08-10T00:00:00"/>
    <x v="46"/>
    <s v="Venancio Jimenez Nieto"/>
    <n v="21826425197"/>
    <s v="JINV640518HQTMTN07"/>
    <n v="23517332"/>
    <n v="6862453106"/>
    <x v="0"/>
    <n v="25206.78"/>
    <n v="879"/>
    <n v="7562.0339999999997"/>
    <n v="6683.0339999999997"/>
    <m/>
  </r>
  <r>
    <x v="40"/>
    <d v="2026-08-10T00:00:00"/>
    <x v="40"/>
    <s v="Daniel Silogonia Ramirez Bazan"/>
    <n v="62704915032"/>
    <m/>
    <n v="23517914"/>
    <n v="5212216503963"/>
    <x v="0"/>
    <n v="5904.42"/>
    <m/>
    <n v="1771.326"/>
    <n v="1731.4400000000005"/>
    <m/>
  </r>
  <r>
    <x v="40"/>
    <d v="2026-08-10T00:00:00"/>
    <x v="13"/>
    <s v="ESTEBAN SALVADOR VILLAREAL AGUAYO"/>
    <n v="43806321725"/>
    <s v="VIAE630623HNLLGS03"/>
    <n v="23509530"/>
    <n v="5218129299535"/>
    <x v="2"/>
    <n v="7890.51"/>
    <n v="2375"/>
    <n v="2367.1529999999998"/>
    <n v="-7.8470000000002074"/>
    <d v="2028-05-01T00:00:00"/>
  </r>
  <r>
    <x v="40"/>
    <d v="2026-08-10T00:00:00"/>
    <x v="28"/>
    <s v="REYNALDO JUAN PEREZ RUIZ"/>
    <m/>
    <s v="PERR600323HOCRZY00"/>
    <n v="23505086"/>
    <n v="5219511030797"/>
    <x v="0"/>
    <n v="5617.63"/>
    <m/>
    <n v="1685.289"/>
    <n v="1444.6500000000005"/>
    <m/>
  </r>
  <r>
    <x v="40"/>
    <d v="2026-08-09T00:00:00"/>
    <x v="13"/>
    <s v="SERGIO MARTINEZ GARCIA"/>
    <s v="01906408230"/>
    <s v="MAGS641113HMCRRR09"/>
    <n v="23495788"/>
    <n v="5215651953424"/>
    <x v="0"/>
    <n v="27563.040000000001"/>
    <n v="2916.08"/>
    <n v="8268.9120000000003"/>
    <n v="5352.8320000000003"/>
    <d v="2028-05-01T00:00:00"/>
  </r>
  <r>
    <x v="40"/>
    <d v="2026-08-10T00:00:00"/>
    <x v="13"/>
    <s v="RAQUEL ROMERO SALAZAR"/>
    <s v="01785985936"/>
    <s v="ROSR590130MDFMLQ07"/>
    <n v="23507206"/>
    <n v="5215543685910"/>
    <x v="3"/>
    <n v="4924.91"/>
    <m/>
    <n v="1477.473"/>
    <n v="751.93000000000029"/>
    <m/>
  </r>
  <r>
    <x v="40"/>
    <d v="2026-08-10T00:00:00"/>
    <x v="29"/>
    <s v="Hector Cigarroa gaeta"/>
    <m/>
    <s v="CIGH640430HCLGTC05"/>
    <n v="23511530"/>
    <n v="5218712428393"/>
    <x v="0"/>
    <n v="9081.52"/>
    <m/>
    <n v="2724.4560000000001"/>
    <n v="2724.4560000000001"/>
    <m/>
  </r>
  <r>
    <x v="40"/>
    <d v="2026-08-10T00:00:00"/>
    <x v="44"/>
    <s v="FRANCISCO MELENDEZ LOPEZ"/>
    <m/>
    <s v="MELF560426HOCLPR03"/>
    <n v="23483420"/>
    <n v="9381198998"/>
    <x v="1"/>
    <n v="4248.46"/>
    <n v="848"/>
    <n v="1274.538"/>
    <n v="-772.51999999999953"/>
    <m/>
  </r>
  <r>
    <x v="40"/>
    <d v="2026-08-10T00:00:00"/>
    <x v="20"/>
    <s v="veronica"/>
    <n v="60947607192"/>
    <s v="CADV750612MDGHVR09"/>
    <n v="23517776"/>
    <n v="5218714642814"/>
    <x v="2"/>
    <n v="6405.06"/>
    <n v="1836.8"/>
    <n v="1921.518"/>
    <n v="84.718000000000075"/>
    <d v="2028-01-01T00:00:00"/>
  </r>
  <r>
    <x v="40"/>
    <d v="2026-08-10T00:00:00"/>
    <x v="20"/>
    <s v="_x0009_BENJAMIN JAIME"/>
    <n v="67746407525"/>
    <s v="JURB640401HVZRMN06"/>
    <n v="23518072"/>
    <n v="5212721873197"/>
    <x v="0"/>
    <n v="9081.51"/>
    <m/>
    <n v="2724.453"/>
    <n v="2724.453"/>
    <m/>
  </r>
  <r>
    <x v="40"/>
    <d v="2026-08-10T00:00:00"/>
    <x v="40"/>
    <s v="MARCOS ANTONIO GONZALEZ NAJERA"/>
    <n v="24795711373"/>
    <s v="GONM570321HSRNJR04"/>
    <n v="23519006"/>
    <n v="5216622005028"/>
    <x v="1"/>
    <n v="3977.03"/>
    <n v="848"/>
    <n v="1193.1089999999999"/>
    <n v="-848"/>
    <m/>
  </r>
  <r>
    <x v="40"/>
    <d v="2026-08-10T00:00:00"/>
    <x v="11"/>
    <s v="MARIA TERESA FERNANDEZ ORTIZ "/>
    <m/>
    <s v="FEOT610619MJCRRR01"/>
    <n v="23518214"/>
    <n v="3321325248"/>
    <x v="2"/>
    <n v="6262.86"/>
    <n v="1811.75"/>
    <n v="1878.8579999999997"/>
    <n v="67.10799999999972"/>
    <d v="2026-11-01T00:00:00"/>
  </r>
  <r>
    <x v="40"/>
    <d v="2026-08-10T00:00:00"/>
    <x v="31"/>
    <s v="RAUL PALACIOS FLORES"/>
    <n v="64816131029"/>
    <s v="PAFR580721HDFLLL03"/>
    <n v="2"/>
    <n v="5577561288"/>
    <x v="4"/>
    <m/>
    <m/>
    <n v="0"/>
    <n v="0"/>
    <m/>
  </r>
  <r>
    <x v="40"/>
    <d v="2026-08-08T00:00:00"/>
    <x v="42"/>
    <s v="_x0009_JOSE MARTIN_x0009_PROA VAZQUEZ"/>
    <m/>
    <s v="POVM621204HGTRZR09"/>
    <n v="23480872"/>
    <n v="5214171209853"/>
    <x v="0"/>
    <n v="8539.89"/>
    <m/>
    <n v="2561.9669999999996"/>
    <n v="2561.9669999999996"/>
    <m/>
  </r>
  <r>
    <x v="40"/>
    <d v="2026-08-10T00:00:00"/>
    <x v="13"/>
    <s v="CAYETANO CABRIALES CORDOVA"/>
    <m/>
    <s v="CACC580807HTSBRY05"/>
    <n v="23505618"/>
    <s v="81 86013651"/>
    <x v="2"/>
    <n v="9421.18"/>
    <n v="2823.33"/>
    <n v="2826.3539999999998"/>
    <n v="3.0239999999998872"/>
    <d v="2026-11-01T00:00:00"/>
  </r>
  <r>
    <x v="40"/>
    <d v="2026-08-10T00:00:00"/>
    <x v="31"/>
    <s v="GUILLERMO SANCHEZ MENDEZ"/>
    <n v="14937624105"/>
    <s v="SAMG760928HQTNNL04"/>
    <n v="2"/>
    <n v="3339529192"/>
    <x v="4"/>
    <m/>
    <m/>
    <n v="0"/>
    <n v="0"/>
    <m/>
  </r>
  <r>
    <x v="40"/>
    <d v="2026-08-10T00:00:00"/>
    <x v="38"/>
    <s v="PERLA HERNANDEZ TENORIO"/>
    <n v="49816446469"/>
    <m/>
    <n v="23519906"/>
    <n v="8331823900"/>
    <x v="4"/>
    <m/>
    <m/>
    <n v="0"/>
    <n v="0"/>
    <m/>
  </r>
  <r>
    <x v="40"/>
    <d v="2026-08-09T00:00:00"/>
    <x v="42"/>
    <s v="_x0009_JOSE ANTONIO DE LA TORRE_x0009_REYES"/>
    <m/>
    <s v="TORA590319HCLRYN01"/>
    <n v="23484598"/>
    <n v="5218717978800"/>
    <x v="3"/>
    <n v="6262.86"/>
    <n v="848"/>
    <n v="1878.8579999999997"/>
    <n v="1030.8579999999997"/>
    <m/>
  </r>
  <r>
    <x v="40"/>
    <d v="2026-08-10T00:00:00"/>
    <x v="11"/>
    <s v="EUGENIA DEL CARMEN ORTIZ GRANADAS "/>
    <s v="33743903495"/>
    <s v="OIGE640615MCLRRG05"/>
    <n v="23510734"/>
    <n v="8661509709"/>
    <x v="1"/>
    <n v="3599.26"/>
    <n v="879"/>
    <n v="1079.778"/>
    <n v="-879"/>
    <m/>
  </r>
  <r>
    <x v="40"/>
    <d v="2026-08-10T00:00:00"/>
    <x v="6"/>
    <s v="JORGE SANTIAGO HERNANDEZ "/>
    <n v="49846439229"/>
    <s v="SAHJ640211HVZNRR07"/>
    <n v="23509316"/>
    <n v="5218991262740"/>
    <x v="2"/>
    <n v="19821.45"/>
    <n v="5723.32"/>
    <n v="5946.4350000000004"/>
    <n v="223.11500000000069"/>
    <d v="2028-08-01T00:00:00"/>
  </r>
  <r>
    <x v="40"/>
    <d v="2026-08-10T00:00:00"/>
    <x v="13"/>
    <s v="JOSE ANTONIO SANCHEZ TELLEZ"/>
    <s v="01796398095"/>
    <s v="SATA630320HDFNLN07"/>
    <n v="23507564"/>
    <n v="5215538039028"/>
    <x v="2"/>
    <n v="7890.51"/>
    <n v="2374.17"/>
    <n v="2367.1529999999998"/>
    <n v="-7.0170000000002801"/>
    <d v="2027-12-01T00:00:00"/>
  </r>
  <r>
    <x v="40"/>
    <d v="2026-08-09T00:00:00"/>
    <x v="18"/>
    <s v="NO PROPORCIONO"/>
    <s v="02238932194"/>
    <m/>
    <n v="1"/>
    <n v="6449973333"/>
    <x v="4"/>
    <m/>
    <m/>
    <n v="0"/>
    <n v="0"/>
    <m/>
  </r>
  <r>
    <x v="40"/>
    <d v="2026-08-10T00:00:00"/>
    <x v="0"/>
    <s v="MARISOL SALAS TOLANO"/>
    <n v="24957827355"/>
    <s v="SATM780906MSRLLR03"/>
    <n v="23520476"/>
    <n v="5216444800392"/>
    <x v="5"/>
    <m/>
    <m/>
    <n v="0"/>
    <n v="0"/>
    <m/>
  </r>
  <r>
    <x v="40"/>
    <d v="2026-08-10T00:00:00"/>
    <x v="6"/>
    <s v="REMEDIOS LIRA ESCOBEDO"/>
    <n v="1376610146"/>
    <s v="LIER610901MHGRSM04"/>
    <n v="23507880"/>
    <n v="23507880"/>
    <x v="2"/>
    <n v="6261.98"/>
    <n v="1877.58"/>
    <n v="1878.5939999999998"/>
    <n v="1.0139999999998963"/>
    <d v="2026-09-01T00:00:00"/>
  </r>
  <r>
    <x v="40"/>
    <d v="2026-08-02T00:00:00"/>
    <x v="13"/>
    <s v="ARTURO ARMENTA URIBE"/>
    <n v="4385656631"/>
    <s v="AEUA650213HDFRRR05"/>
    <n v="22256036"/>
    <n v="5218130521398"/>
    <x v="2"/>
    <n v="10283.969999999999"/>
    <n v="2968"/>
    <n v="3085.1909999999998"/>
    <n v="117.1909999999998"/>
    <d v="2027-09-01T00:00:00"/>
  </r>
  <r>
    <x v="40"/>
    <d v="2026-08-10T00:00:00"/>
    <x v="6"/>
    <s v="LANDY DEL SOCORRO MOGUEL ORDOÑEZ"/>
    <n v="84624711036"/>
    <s v="MOOL460718MYNGRN01"/>
    <n v="23503654"/>
    <n v="5219992430942"/>
    <x v="2"/>
    <n v="8173.37"/>
    <n v="2268.5300000000002"/>
    <n v="2452.011"/>
    <n v="183.48099999999977"/>
    <d v="2027-01-01T00:00:00"/>
  </r>
  <r>
    <x v="40"/>
    <d v="2026-08-10T00:00:00"/>
    <x v="31"/>
    <s v="JAIME RENE VALADEZ ORTEGA"/>
    <n v="10846447430"/>
    <s v="VAOJ640422HDFLRM01"/>
    <n v="2"/>
    <n v="5611792091"/>
    <x v="2"/>
    <n v="9081.52"/>
    <n v="2724.46"/>
    <n v="2724.4560000000001"/>
    <n v="-3.9999999999054126E-3"/>
    <d v="2028-01-01T00:00:00"/>
  </r>
  <r>
    <x v="40"/>
    <d v="2026-08-10T00:00:00"/>
    <x v="28"/>
    <s v="MARIA GUADALUPE ALMAGUER FLORES"/>
    <s v="3272471064_x000a_"/>
    <s v="AAFG510621MCLLLD08"/>
    <n v="23507912"/>
    <n v="5218661128650"/>
    <x v="1"/>
    <n v="3914.69"/>
    <m/>
    <n v="1174.4069999999999"/>
    <n v="0"/>
    <m/>
  </r>
  <r>
    <x v="40"/>
    <d v="2026-08-10T00:00:00"/>
    <x v="31"/>
    <s v="MARCO ANTONIO MARTINEZ VELASCO"/>
    <s v="06816515602"/>
    <s v="MAVM650301HDFRLR06"/>
    <n v="2"/>
    <n v="5515012093"/>
    <x v="2"/>
    <n v="9760.32"/>
    <n v="2928.1"/>
    <n v="2928.096"/>
    <n v="-3.9999999999054126E-3"/>
    <d v="2028-04-01T00:00:00"/>
  </r>
  <r>
    <x v="40"/>
    <d v="2026-08-10T00:00:00"/>
    <x v="16"/>
    <s v="FRANCISCO ARAGON"/>
    <n v="24633613807"/>
    <m/>
    <n v="1"/>
    <n v="24633613807"/>
    <x v="2"/>
    <n v="5077.9799999999996"/>
    <n v="1322"/>
    <n v="1523.3939999999998"/>
    <n v="-417"/>
    <d v="2028-02-01T00:00:00"/>
  </r>
  <r>
    <x v="40"/>
    <d v="2026-08-10T00:00:00"/>
    <x v="0"/>
    <s v="SERGIO RAMIREZ VILLEGAS"/>
    <s v="16766005876"/>
    <s v="RAVS601128HTSMLR02"/>
    <n v="23523750"/>
    <n v="5217227852352"/>
    <x v="7"/>
    <n v="39324.42"/>
    <n v="11377.41"/>
    <n v="11797.325999999999"/>
    <n v="419.91599999999926"/>
    <d v="2026-03-01T00:00:00"/>
  </r>
  <r>
    <x v="40"/>
    <d v="2026-08-10T00:00:00"/>
    <x v="0"/>
    <s v="CAMILO MARQUEZ VALLEJO"/>
    <m/>
    <s v="MAVC690718HGTRLM04"/>
    <n v="23521162"/>
    <n v="5214622567233"/>
    <x v="2"/>
    <n v="6411.47"/>
    <n v="1846.61"/>
    <n v="1923.441"/>
    <n v="76.831000000000131"/>
    <d v="2027-12-01T00:00:00"/>
  </r>
  <r>
    <x v="40"/>
    <d v="2026-08-10T00:00:00"/>
    <x v="20"/>
    <s v="ARMANDO CORTES"/>
    <m/>
    <s v="COGA600913HVZRRR01"/>
    <n v="23408570"/>
    <n v="5218682327285"/>
    <x v="2"/>
    <n v="8890.9700000000012"/>
    <n v="2665"/>
    <n v="2667.2910000000002"/>
    <n v="2.2910000000001673"/>
    <d v="2028-02-01T00:00:00"/>
  </r>
  <r>
    <x v="40"/>
    <d v="2026-08-10T00:00:00"/>
    <x v="16"/>
    <m/>
    <n v="32866915450"/>
    <m/>
    <n v="1"/>
    <n v="32866915450"/>
    <x v="2"/>
    <n v="9760.33"/>
    <n v="2878.85"/>
    <n v="2928.0989999999997"/>
    <n v="49.248999999999796"/>
    <d v="2028-02-01T00:00:00"/>
  </r>
  <r>
    <x v="41"/>
    <d v="2026-08-11T00:00:00"/>
    <x v="31"/>
    <s v="JESUS MENDOZA PELAYO"/>
    <s v="04845505611"/>
    <s v="MEPJ550808HJCNLS03"/>
    <n v="2"/>
    <n v="3331581095"/>
    <x v="1"/>
    <n v="3882.85"/>
    <m/>
    <n v="1164.855"/>
    <n v="0"/>
    <m/>
  </r>
  <r>
    <x v="41"/>
    <d v="2026-08-10T00:00:00"/>
    <x v="40"/>
    <s v="Arturo Carlos Acuña"/>
    <n v="43815807490"/>
    <m/>
    <n v="23519770"/>
    <n v="6441162536"/>
    <x v="2"/>
    <n v="35134.86"/>
    <n v="10539"/>
    <n v="10540.458000000001"/>
    <n v="1.4580000000005384"/>
    <d v="2028-04-01T00:00:00"/>
  </r>
  <r>
    <x v="41"/>
    <d v="2026-08-10T00:00:00"/>
    <x v="28"/>
    <s v="NOE CHAPARRO HERNANDEZ"/>
    <m/>
    <s v="CAHN640611HVZHRX01"/>
    <n v="23493934"/>
    <n v="5219983377505"/>
    <x v="1"/>
    <n v="3857.7"/>
    <n v="848"/>
    <n v="1157.31"/>
    <n v="-848"/>
    <m/>
  </r>
  <r>
    <x v="41"/>
    <d v="2026-08-10T00:00:00"/>
    <x v="6"/>
    <s v="HERMENEGILDO ESPINO RODRIGUEZ "/>
    <n v="62916306616"/>
    <s v="EIRH630413HPLSDR00"/>
    <n v="23528978"/>
    <n v="5212226561598"/>
    <x v="4"/>
    <m/>
    <m/>
    <n v="0"/>
    <n v="0"/>
    <m/>
  </r>
  <r>
    <x v="41"/>
    <d v="2026-08-11T00:00:00"/>
    <x v="16"/>
    <m/>
    <n v="75018445793"/>
    <m/>
    <n v="1"/>
    <n v="3317170475"/>
    <x v="8"/>
    <m/>
    <m/>
    <n v="0"/>
    <n v="0"/>
    <m/>
  </r>
  <r>
    <x v="41"/>
    <d v="2026-08-11T00:00:00"/>
    <x v="28"/>
    <s v="GERARDO ESPINOSA IBARRA"/>
    <s v="42816115986_x000a_"/>
    <s v="EIIG610322HMCSBR01"/>
    <n v="23536582"/>
    <n v="5215586121328"/>
    <x v="2"/>
    <n v="32039.86"/>
    <n v="9606.0400000000009"/>
    <n v="9611.9580000000005"/>
    <n v="5.9179999999996653"/>
    <d v="2028-06-01T00:00:00"/>
  </r>
  <r>
    <x v="41"/>
    <d v="2026-08-10T00:00:00"/>
    <x v="42"/>
    <s v="_x0009_EVERARDO RAMIREZ SEPULVEDA"/>
    <m/>
    <s v="RASE600718HDGMPV06"/>
    <n v="23521624"/>
    <n v="5218721098371"/>
    <x v="0"/>
    <n v="6262.86"/>
    <m/>
    <n v="1878.8579999999997"/>
    <n v="1878.8579999999997"/>
    <m/>
  </r>
  <r>
    <x v="41"/>
    <d v="2026-08-11T00:00:00"/>
    <x v="28"/>
    <s v="ZEFERINO MENESES OJEDA"/>
    <m/>
    <s v="MEOZ620211HTLNJF15"/>
    <n v="23538362"/>
    <n v="5215519788933"/>
    <x v="0"/>
    <n v="9053.3799999999992"/>
    <m/>
    <n v="2716.0139999999997"/>
    <n v="2716.0139999999997"/>
    <m/>
  </r>
  <r>
    <x v="41"/>
    <d v="2026-08-11T00:00:00"/>
    <x v="44"/>
    <s v="SANDRA MARTINEZ MERAZ"/>
    <n v="32805800458"/>
    <s v="MAMS580203MDGRRN00"/>
    <n v="23473234"/>
    <n v="6561122455"/>
    <x v="5"/>
    <m/>
    <m/>
    <n v="0"/>
    <n v="0"/>
    <m/>
  </r>
  <r>
    <x v="41"/>
    <d v="2026-08-11T00:00:00"/>
    <x v="28"/>
    <s v="RAMON HECTOR CALDERA AYALA"/>
    <s v="2380580708_x000a_"/>
    <s v="CAAR580414HSLLYM04"/>
    <n v="23537532"/>
    <n v="5216961021990"/>
    <x v="0"/>
    <n v="9760.32"/>
    <n v="900.61"/>
    <n v="2928.096"/>
    <n v="2027.4859999999999"/>
    <d v="2027-10-01T00:00:00"/>
  </r>
  <r>
    <x v="41"/>
    <d v="2026-08-11T00:00:00"/>
    <x v="28"/>
    <s v="MARIA SALUD VILLANUEVA CONTRERAS"/>
    <s v="14755800340_x000a_"/>
    <s v="VICS590608MGTLNL08"/>
    <n v="23539016"/>
    <n v="5214192044600"/>
    <x v="2"/>
    <n v="25164.38"/>
    <n v="7533.41"/>
    <n v="7549.3140000000003"/>
    <n v="15.904000000000451"/>
    <d v="2028-05-01T00:00:00"/>
  </r>
  <r>
    <x v="41"/>
    <d v="2026-08-11T00:00:00"/>
    <x v="32"/>
    <s v="JULIA PEREZ GARCIA"/>
    <n v="32783800686"/>
    <s v="PEGJ490423MCLRRL08"/>
    <n v="2"/>
    <s v="844 327 4846"/>
    <x v="7"/>
    <n v="4554.84"/>
    <n v="654.4"/>
    <n v="1366.452"/>
    <n v="-272.5399999999994"/>
    <d v="2025-01-01T00:00:00"/>
  </r>
  <r>
    <x v="41"/>
    <d v="2026-08-11T00:00:00"/>
    <x v="6"/>
    <s v="RAFAEL BANDA GARZA"/>
    <n v="43826580706"/>
    <s v="BAGR651018HNLNRF08"/>
    <n v="23532722"/>
    <n v="5218114689310"/>
    <x v="0"/>
    <n v="22147.689999999988"/>
    <m/>
    <n v="6644.3069999999962"/>
    <n v="6644.3069999999962"/>
    <m/>
  </r>
  <r>
    <x v="41"/>
    <d v="2026-08-09T00:00:00"/>
    <x v="28"/>
    <s v="JOSE LUIS QUIRINO HINOJOSA MAYORGA"/>
    <s v="13896510123_x000a_"/>
    <s v="HIML650604HHGNYS07"/>
    <n v="23494264"/>
    <n v="5215554547500"/>
    <x v="0"/>
    <n v="38642.899999999994"/>
    <m/>
    <n v="11592.869999999997"/>
    <n v="11592.869999999997"/>
    <m/>
  </r>
  <r>
    <x v="41"/>
    <d v="2026-08-11T00:00:00"/>
    <x v="31"/>
    <s v="GONZALO GARCIA Y JAEN"/>
    <n v="14785907719"/>
    <s v="GAJG590105HVZRNN08"/>
    <n v="2"/>
    <n v="2351015703"/>
    <x v="2"/>
    <n v="10303.709999999999"/>
    <n v="2980.11"/>
    <n v="3091.1129999999998"/>
    <n v="111.0029999999997"/>
    <d v="2027-09-01T00:00:00"/>
  </r>
  <r>
    <x v="41"/>
    <d v="2026-08-10T00:00:00"/>
    <x v="28"/>
    <s v="ABUNDIO CARLOS GIRON FERNANDEZ"/>
    <s v="11715233547_x000a_"/>
    <s v="GIFA520711HDFRRB02"/>
    <n v="23528678"/>
    <n v="5219983143731"/>
    <x v="0"/>
    <n v="11134.24"/>
    <m/>
    <n v="3340.2719999999999"/>
    <n v="3340.2719999999999"/>
    <m/>
  </r>
  <r>
    <x v="41"/>
    <d v="2026-08-11T00:00:00"/>
    <x v="32"/>
    <s v="JOSE ALEJANDRO BOCANEGRA"/>
    <n v="23806208726"/>
    <s v="BOMA620504HPLCNL05"/>
    <n v="2"/>
    <n v="5560961399"/>
    <x v="2"/>
    <n v="31761.21"/>
    <n v="9528.24"/>
    <n v="9528.3629999999994"/>
    <n v="0.12299999999959255"/>
    <d v="2027-09-01T00:00:00"/>
  </r>
  <r>
    <x v="41"/>
    <d v="2026-08-10T00:00:00"/>
    <x v="42"/>
    <s v="GABRIEL PRECIADO HERNANDEZ "/>
    <m/>
    <s v="PEHG800925HGTRRB03"/>
    <n v="23519798"/>
    <n v="5214772894263"/>
    <x v="0"/>
    <n v="12578.22"/>
    <m/>
    <n v="3773.4659999999994"/>
    <n v="3773.4659999999994"/>
    <m/>
  </r>
  <r>
    <x v="41"/>
    <d v="2026-08-11T00:00:00"/>
    <x v="28"/>
    <s v="VICTOR GABRIEL CAMPECHANO"/>
    <m/>
    <s v="GACV630728HJCBMC08"/>
    <n v="23540000"/>
    <n v="5213314456376"/>
    <x v="0"/>
    <n v="31060.29"/>
    <n v="2518.9899999999998"/>
    <n v="9318.0869999999995"/>
    <n v="6799.0969999999998"/>
    <d v="2027-08-01T00:00:00"/>
  </r>
  <r>
    <x v="41"/>
    <d v="2026-08-10T00:00:00"/>
    <x v="6"/>
    <s v="AURELIO SEGOVIA GUERRERO "/>
    <m/>
    <s v="SEGA590925HCLGRR01"/>
    <n v="23528794"/>
    <n v="521872026142"/>
    <x v="9"/>
    <n v="4813.6899999999996"/>
    <n v="748.85"/>
    <n v="1444.1069999999997"/>
    <n v="-108.13999999999999"/>
    <d v="2024-02-01T00:00:00"/>
  </r>
  <r>
    <x v="41"/>
    <d v="2026-08-11T00:00:00"/>
    <x v="31"/>
    <s v="JUVENAL BELTRAN CASTILLO"/>
    <n v="43937531077"/>
    <s v="BECJ750422HDGLSV02"/>
    <n v="2"/>
    <n v="8123798212"/>
    <x v="2"/>
    <n v="7294.73"/>
    <n v="2107.19"/>
    <n v="2188.4189999999999"/>
    <n v="81.228999999999814"/>
    <d v="2027-09-01T00:00:00"/>
  </r>
  <r>
    <x v="41"/>
    <d v="2026-08-11T00:00:00"/>
    <x v="32"/>
    <s v="SANTIAGO GARZA SALINAS"/>
    <n v="43796152114"/>
    <s v="GASS611222HNLRLN08"/>
    <n v="2"/>
    <s v="81 1177 7810"/>
    <x v="2"/>
    <n v="7920.51"/>
    <n v="2288.5"/>
    <n v="2376.1529999999998"/>
    <n v="87.652999999999793"/>
    <d v="2027-12-01T00:00:00"/>
  </r>
  <r>
    <x v="41"/>
    <d v="2026-08-08T00:00:00"/>
    <x v="13"/>
    <s v="AURORA OROZCO VILLALPANDO_x0009_"/>
    <n v="51867012356"/>
    <s v="OOVA700503MJCRLR04"/>
    <n v="23467590"/>
    <n v="5216144711527"/>
    <x v="1"/>
    <n v="3962.64"/>
    <n v="848"/>
    <n v="1188.7919999999999"/>
    <n v="-848"/>
    <m/>
  </r>
  <r>
    <x v="41"/>
    <d v="2026-07-29T00:00:00"/>
    <x v="6"/>
    <s v="MARIBEL CASTILLO MORALES "/>
    <n v="62907376610"/>
    <s v="CAMM730701MPLSRR04"/>
    <n v="23217040"/>
    <n v="5212224459139"/>
    <x v="5"/>
    <m/>
    <m/>
    <n v="0"/>
    <n v="0"/>
    <m/>
  </r>
  <r>
    <x v="41"/>
    <d v="2026-08-11T00:00:00"/>
    <x v="6"/>
    <s v="JESUS PIÑON FLORES"/>
    <m/>
    <s v="PIFJ650417HDFXLS07"/>
    <n v="23536536"/>
    <n v="5217206261528"/>
    <x v="2"/>
    <n v="9760.32"/>
    <n v="2911.22"/>
    <n v="2928.096"/>
    <n v="16.876000000000204"/>
    <d v="2027-11-01T00:00:00"/>
  </r>
  <r>
    <x v="41"/>
    <d v="2026-08-11T00:00:00"/>
    <x v="13"/>
    <s v=" JOSE HUGO OTERO LEDEZMA"/>
    <s v="07886601454_x000a_"/>
    <s v="OELH710211HMCTDG07"/>
    <n v="23539690"/>
    <n v="5215549275038"/>
    <x v="2"/>
    <n v="6422.04"/>
    <n v="1782.99"/>
    <n v="1926.6119999999999"/>
    <n v="143.62199999999984"/>
    <d v="2026-11-01T00:00:00"/>
  </r>
  <r>
    <x v="41"/>
    <d v="2026-08-10T00:00:00"/>
    <x v="13"/>
    <s v="ARNULFO CEDILLO MONTES"/>
    <s v="10826372384"/>
    <s v="CEMA631002HDFDNR03"/>
    <n v="23505280"/>
    <n v="5215537363040"/>
    <x v="2"/>
    <n v="10636.54"/>
    <n v="3188.97"/>
    <n v="3190.962"/>
    <n v="1.9920000000001892"/>
    <d v="2028-04-01T00:00:00"/>
  </r>
  <r>
    <x v="41"/>
    <d v="2026-08-11T00:00:00"/>
    <x v="18"/>
    <s v="ROBERTO LUNA HERNANDEZ"/>
    <m/>
    <s v="LUHR560120HDFNRB07"/>
    <n v="1"/>
    <n v="4402336077"/>
    <x v="0"/>
    <n v="7920.51"/>
    <n v="848"/>
    <n v="2376.1529999999998"/>
    <n v="1528.1529999999998"/>
    <m/>
  </r>
  <r>
    <x v="41"/>
    <d v="2026-08-10T00:00:00"/>
    <x v="13"/>
    <s v="MARIANO RAMIREZ SANCHEZ"/>
    <s v="01745563062"/>
    <s v="RASM550329HDFMNR00"/>
    <n v="23525574"/>
    <n v="5215533934740"/>
    <x v="0"/>
    <n v="5870.18"/>
    <m/>
    <n v="1761.0540000000001"/>
    <n v="1697.2000000000007"/>
    <m/>
  </r>
  <r>
    <x v="41"/>
    <d v="2026-08-11T00:00:00"/>
    <x v="18"/>
    <s v="SERGIO GARCIA LEAL"/>
    <m/>
    <s v="GALS570522HNLRLR06"/>
    <n v="1"/>
    <n v="8116847900"/>
    <x v="9"/>
    <n v="28683.45"/>
    <n v="8296.17"/>
    <n v="8605.0349999999999"/>
    <n v="308.86499999999978"/>
    <d v="2025-07-01T00:00:00"/>
  </r>
  <r>
    <x v="41"/>
    <d v="2026-08-10T00:00:00"/>
    <x v="29"/>
    <s v="Francisco Aguirre Álvarez"/>
    <m/>
    <s v="AUAF601208HSPGLR05"/>
    <n v="23524054"/>
    <n v="5218125624007"/>
    <x v="0"/>
    <n v="5588.95"/>
    <m/>
    <n v="1676.6849999999999"/>
    <n v="1415.9700000000003"/>
    <m/>
  </r>
  <r>
    <x v="41"/>
    <d v="2026-08-11T00:00:00"/>
    <x v="44"/>
    <s v="MARTHA CORDERO MANDUJANO"/>
    <m/>
    <s v="COMM531007MCSRNR03"/>
    <n v="23493500"/>
    <n v="9622559150"/>
    <x v="5"/>
    <m/>
    <m/>
    <n v="0"/>
    <n v="0"/>
    <m/>
  </r>
  <r>
    <x v="41"/>
    <d v="2026-08-11T00:00:00"/>
    <x v="44"/>
    <s v="JOSE GARCIA GUTIERREZ"/>
    <m/>
    <s v="GAGJ590616HCLRTS01"/>
    <n v="23544882"/>
    <n v="8662399007"/>
    <x v="0"/>
    <n v="5617.63"/>
    <m/>
    <n v="1685.289"/>
    <n v="1444.6500000000005"/>
    <m/>
  </r>
  <r>
    <x v="41"/>
    <d v="2026-08-11T00:00:00"/>
    <x v="35"/>
    <s v="ENRIQUE"/>
    <s v="01826217299"/>
    <m/>
    <n v="23543860"/>
    <n v="2228397728"/>
    <x v="2"/>
    <n v="28861.85"/>
    <n v="8658.32"/>
    <n v="8658.5549999999985"/>
    <n v="0.23499999999876309"/>
    <d v="2027-07-01T00:00:00"/>
  </r>
  <r>
    <x v="41"/>
    <d v="2026-08-11T00:00:00"/>
    <x v="46"/>
    <s v="MARTIN ALONSO GONZALEZ LOPEZ"/>
    <n v="43017108036"/>
    <s v="43897015939"/>
    <n v="23545116"/>
    <n v="8149833015"/>
    <x v="4"/>
    <m/>
    <m/>
    <n v="0"/>
    <n v="0"/>
    <m/>
  </r>
  <r>
    <x v="41"/>
    <d v="2026-08-04T00:00:00"/>
    <x v="20"/>
    <s v="RAUL CRUZ "/>
    <s v="14796122266 "/>
    <m/>
    <n v="23376270"/>
    <n v="5214423716101"/>
    <x v="3"/>
    <n v="11831.43"/>
    <n v="3000"/>
    <n v="3549.4290000000001"/>
    <n v="549.42900000000009"/>
    <d v="2027-03-01T00:00:00"/>
  </r>
  <r>
    <x v="41"/>
    <d v="2026-08-11T00:00:00"/>
    <x v="34"/>
    <s v="MARIA YOLANDA MOLINA QUEZADA"/>
    <n v="42806272961"/>
    <s v="MOQY621017MDFLZL08"/>
    <n v="2"/>
    <n v="5535784192"/>
    <x v="3"/>
    <n v="7920.51"/>
    <n v="1470.58"/>
    <n v="2376.1529999999998"/>
    <n v="905.57299999999987"/>
    <d v="2027-05-01T00:00:00"/>
  </r>
  <r>
    <x v="41"/>
    <d v="2026-08-11T00:00:00"/>
    <x v="6"/>
    <s v="ALFREDO OLMOS CONDE"/>
    <n v="65947410679"/>
    <s v="OOCA740111HVZLNL07"/>
    <n v="23531678"/>
    <n v="5212283252138"/>
    <x v="0"/>
    <n v="8672.5"/>
    <m/>
    <n v="2601.75"/>
    <n v="2601.75"/>
    <m/>
  </r>
  <r>
    <x v="41"/>
    <d v="2026-08-10T00:00:00"/>
    <x v="46"/>
    <s v="Fausto Garcia Yañez"/>
    <m/>
    <s v="GAYF580920HSPRXS06"/>
    <n v="23518306"/>
    <n v="4871457235"/>
    <x v="1"/>
    <n v="4342.43"/>
    <n v="879"/>
    <n v="1302.729"/>
    <n v="-709.54999999999927"/>
    <m/>
  </r>
  <r>
    <x v="41"/>
    <d v="2026-08-11T00:00:00"/>
    <x v="32"/>
    <s v="RANULFO MARTINEZ VILLALOBOS"/>
    <s v="54776130418"/>
    <s v="MAVR630327HJCRLN09"/>
    <n v="2"/>
    <n v="3329151999"/>
    <x v="3"/>
    <n v="7920.51"/>
    <n v="1406.47"/>
    <n v="2376.1529999999998"/>
    <n v="969.68299999999977"/>
    <d v="2027-12-01T00:00:00"/>
  </r>
  <r>
    <x v="41"/>
    <d v="2026-08-11T00:00:00"/>
    <x v="28"/>
    <s v="JOSE FEDERICO RAMIREZ LOPEZ"/>
    <m/>
    <s v="RALF710514HGTMPD02"/>
    <n v="23538050"/>
    <n v="5214621834087"/>
    <x v="1"/>
    <n v="4860.79"/>
    <n v="848"/>
    <n v="1458.2369999999999"/>
    <n v="-160.1899999999996"/>
    <m/>
  </r>
  <r>
    <x v="41"/>
    <d v="2026-08-11T00:00:00"/>
    <x v="6"/>
    <s v="JUAN ORTIZ CERVANTES "/>
    <m/>
    <s v="OICJ591124HOCRRN07"/>
    <n v="23540188"/>
    <n v="5214273045661"/>
    <x v="2"/>
    <n v="7116.73"/>
    <n v="2058.1799999999998"/>
    <n v="2135.0189999999998"/>
    <n v="76.838999999999942"/>
    <d v="2027-07-01T00:00:00"/>
  </r>
  <r>
    <x v="41"/>
    <d v="2026-08-11T00:00:00"/>
    <x v="38"/>
    <s v="RAFAEL RODRIGUEZ LOZANO"/>
    <m/>
    <s v="ROLR500723HJCDZF06"/>
    <n v="23544788"/>
    <n v="8681564786"/>
    <x v="0"/>
    <n v="22563.47"/>
    <n v="848"/>
    <n v="6769.0410000000002"/>
    <n v="5921.0410000000002"/>
    <m/>
  </r>
  <r>
    <x v="41"/>
    <d v="2026-08-11T00:00:00"/>
    <x v="31"/>
    <s v="EDUARDO FARFAN LOPEZ"/>
    <n v="11947719404"/>
    <s v="FALE771127HDFRPD09"/>
    <n v="2"/>
    <n v="5565149857"/>
    <x v="2"/>
    <n v="7135.6"/>
    <n v="2064.4899999999998"/>
    <n v="2140.6799999999998"/>
    <n v="76.190000000000055"/>
    <d v="2027-02-01T00:00:00"/>
  </r>
  <r>
    <x v="41"/>
    <d v="2026-08-11T00:00:00"/>
    <x v="44"/>
    <m/>
    <n v="11765747396"/>
    <m/>
    <n v="23547588"/>
    <n v="5568769910"/>
    <x v="0"/>
    <n v="7363.38"/>
    <n v="879"/>
    <n v="2209.0140000000001"/>
    <n v="1330.0140000000001"/>
    <m/>
  </r>
  <r>
    <x v="41"/>
    <d v="2026-08-11T00:00:00"/>
    <x v="42"/>
    <s v="Guadalupe roldan nava"/>
    <n v="12876901443"/>
    <m/>
    <n v="23547496"/>
    <n v="4776739014"/>
    <x v="4"/>
    <m/>
    <m/>
    <n v="0"/>
    <n v="0"/>
    <m/>
  </r>
  <r>
    <x v="41"/>
    <d v="2026-08-11T00:00:00"/>
    <x v="0"/>
    <s v="FERNANDO SOTO"/>
    <s v="72806313523"/>
    <m/>
    <n v="23547118"/>
    <n v="5213111586783"/>
    <x v="8"/>
    <m/>
    <m/>
    <n v="0"/>
    <n v="0"/>
    <m/>
  </r>
  <r>
    <x v="41"/>
    <d v="2026-08-11T00:00:00"/>
    <x v="31"/>
    <s v="ALFREDO HERNANDEZ GOMEZ"/>
    <s v="01623828520"/>
    <s v="HEGA381028HGTRML01"/>
    <n v="2"/>
    <n v="9841527409"/>
    <x v="2"/>
    <n v="7363.38"/>
    <n v="2126.75"/>
    <n v="2209.0140000000001"/>
    <n v="82.264000000000124"/>
    <d v="2027-07-01T00:00:00"/>
  </r>
  <r>
    <x v="41"/>
    <d v="2026-08-10T00:00:00"/>
    <x v="6"/>
    <s v="MARCO ANTONIO ESPINOZA INZUNZA "/>
    <s v="23755900018_x000a_"/>
    <s v="EIIM590110HSLSNR00"/>
    <n v="23528886"/>
    <n v="5216673896060"/>
    <x v="2"/>
    <n v="45294.28"/>
    <n v="13588.09"/>
    <n v="13588.284"/>
    <n v="0.19399999999950523"/>
    <d v="2026-12-01T00:00:00"/>
  </r>
  <r>
    <x v="41"/>
    <d v="2026-08-11T00:00:00"/>
    <x v="28"/>
    <s v="JUAN RAMON HERNANDEZ URIAS"/>
    <m/>
    <s v="HEUJ551107HSLRRN08"/>
    <n v="23529254"/>
    <n v="5216682337943"/>
    <x v="2"/>
    <n v="7400.19"/>
    <n v="1984.83"/>
    <n v="2220.0569999999998"/>
    <n v="235.22699999999986"/>
    <d v="2027-10-01T00:00:00"/>
  </r>
  <r>
    <x v="41"/>
    <d v="2026-08-11T00:00:00"/>
    <x v="31"/>
    <s v="EVANGELINA DE JESUS ABAD CONCHA"/>
    <s v="75816107793"/>
    <s v="AACE620324MDFBNV09"/>
    <n v="2"/>
    <s v="55 1780 0554"/>
    <x v="2"/>
    <n v="9081.52"/>
    <n v="2627.49"/>
    <n v="2724.4560000000001"/>
    <n v="96.966000000000349"/>
    <d v="2027-06-01T00:00:00"/>
  </r>
  <r>
    <x v="41"/>
    <d v="2026-08-11T00:00:00"/>
    <x v="29"/>
    <s v="SANDRA ANTONIA VILLAVICENCIO ARCE"/>
    <n v="22836100937"/>
    <s v="VIAS691125MBSLRN19"/>
    <n v="23548894"/>
    <n v="5216151167114"/>
    <x v="2"/>
    <n v="10745.59"/>
    <n v="3216.14"/>
    <n v="3223.6770000000001"/>
    <n v="7.5370000000002619"/>
    <d v="2028-04-01T00:00:00"/>
  </r>
  <r>
    <x v="41"/>
    <d v="2026-08-11T00:00:00"/>
    <x v="45"/>
    <s v="Benito Mateo Francisco"/>
    <m/>
    <s v="MAFB660213HVZTRN01"/>
    <n v="23545786"/>
    <n v="6566062251"/>
    <x v="2"/>
    <n v="11049.29"/>
    <n v="3187.35"/>
    <n v="3314.7870000000003"/>
    <n v="127.43700000000035"/>
    <d v="2028-05-01T00:00:00"/>
  </r>
  <r>
    <x v="41"/>
    <d v="2026-08-11T00:00:00"/>
    <x v="31"/>
    <s v="LEONARDO ALEJANDRO MENDEZ GURROLA"/>
    <n v="43947860573"/>
    <s v="MEGL780819HNLNRN05"/>
    <n v="2"/>
    <n v="8182106957"/>
    <x v="2"/>
    <n v="10731.19"/>
    <n v="3206.44"/>
    <n v="3219.357"/>
    <n v="12.916999999999916"/>
    <d v="2028-07-01T00:00:00"/>
  </r>
  <r>
    <x v="41"/>
    <d v="2026-08-11T00:00:00"/>
    <x v="13"/>
    <s v="ENRIQUE LONEL MARTINEZ VILLAGRAN"/>
    <s v=" 7183651099"/>
    <s v="MAVE650303HCSRLN06"/>
    <n v="23535838"/>
    <n v="5219983880061"/>
    <x v="6"/>
    <n v="9760.32"/>
    <m/>
    <n v="2928.096"/>
    <n v="2928.096"/>
    <m/>
  </r>
  <r>
    <x v="41"/>
    <d v="2026-08-11T00:00:00"/>
    <x v="31"/>
    <s v="FERNANDO SANTOS PLIEGO"/>
    <n v="20957724790"/>
    <s v="SAPF771025HDFNLR01"/>
    <n v="2"/>
    <n v="5610313180"/>
    <x v="2"/>
    <n v="5641.63"/>
    <n v="1413"/>
    <n v="1692.489"/>
    <n v="55.650000000000546"/>
    <d v="2027-07-01T00:00:00"/>
  </r>
  <r>
    <x v="41"/>
    <d v="2026-08-10T00:00:00"/>
    <x v="13"/>
    <s v="CIRILO JIMENEZ ADAME"/>
    <n v="21785303823"/>
    <s v="JIAC531126HMNMDR02"/>
    <n v="23528754"/>
    <n v="5216862823739"/>
    <x v="7"/>
    <n v="4342.43"/>
    <n v="356.5"/>
    <n v="1302.729"/>
    <n v="-187.04999999999927"/>
    <d v="2024-04-01T00:00:00"/>
  </r>
  <r>
    <x v="41"/>
    <d v="2026-08-11T00:00:00"/>
    <x v="44"/>
    <s v="ARTURO FLORES GUTIERREZ"/>
    <m/>
    <s v="FOGA841012HJCLTR05"/>
    <n v="23549328"/>
    <n v="3111390668"/>
    <x v="5"/>
    <m/>
    <m/>
    <n v="0"/>
    <n v="0"/>
    <m/>
  </r>
  <r>
    <x v="41"/>
    <d v="2026-08-11T00:00:00"/>
    <x v="28"/>
    <s v="JOSE EDUARDO GLORIA GARCIA"/>
    <m/>
    <s v="GOGE590424HCLLRD02"/>
    <n v="23535106"/>
    <n v="5218721822684"/>
    <x v="3"/>
    <n v="4813.6899999999996"/>
    <m/>
    <n v="1444.1069999999997"/>
    <n v="640.71"/>
    <m/>
  </r>
  <r>
    <x v="41"/>
    <d v="2026-08-07T00:00:00"/>
    <x v="45"/>
    <s v="Isidro Hernandez Serna"/>
    <m/>
    <s v="HESI650515HVZRRS08"/>
    <n v="23457912"/>
    <n v="5532372298"/>
    <x v="5"/>
    <m/>
    <m/>
    <n v="0"/>
    <n v="0"/>
    <m/>
  </r>
  <r>
    <x v="41"/>
    <d v="2026-08-11T00:00:00"/>
    <x v="44"/>
    <m/>
    <n v="6779623774"/>
    <m/>
    <n v="23548510"/>
    <n v="12712134168"/>
    <x v="3"/>
    <n v="7116.73"/>
    <n v="1028.29"/>
    <n v="2135.0189999999998"/>
    <n v="1106.7289999999998"/>
    <d v="2024-09-01T00:00:00"/>
  </r>
  <r>
    <x v="41"/>
    <d v="2026-08-11T00:00:00"/>
    <x v="0"/>
    <s v="EDUARDO BELTRAN GARCIA"/>
    <n v="25967919199"/>
    <s v="BEGE801013HNTLRD04"/>
    <n v="23545154"/>
    <n v="5216632102148"/>
    <x v="2"/>
    <n v="7135.6"/>
    <n v="2140.6799999999998"/>
    <n v="2140.6799999999998"/>
    <n v="0"/>
    <d v="2028-07-01T00:00:00"/>
  </r>
  <r>
    <x v="41"/>
    <d v="2026-08-11T00:00:00"/>
    <x v="13"/>
    <s v="MARIA ALICIA HERNANDEZ VERGARA"/>
    <s v="89806303270"/>
    <s v="HEBA630115MDFRRL03"/>
    <n v="23536704"/>
    <n v="5215666662553"/>
    <x v="2"/>
    <n v="9036.01"/>
    <n v="2611.94"/>
    <n v="2710.8029999999999"/>
    <n v="98.862999999999829"/>
    <d v="2026-11-01T00:00:00"/>
  </r>
  <r>
    <x v="41"/>
    <d v="2026-08-11T00:00:00"/>
    <x v="38"/>
    <s v="BENJAMIN RAMIREZ RIVERO"/>
    <m/>
    <s v="RARB810113HCCMVN01"/>
    <n v="23548408"/>
    <n v="9981578634"/>
    <x v="8"/>
    <m/>
    <m/>
    <n v="0"/>
    <n v="0"/>
    <m/>
  </r>
  <r>
    <x v="41"/>
    <d v="2026-08-11T00:00:00"/>
    <x v="13"/>
    <s v="HILARIA YOLANDA HERNANDEZ MUÑOZ"/>
    <s v=" 62805914140"/>
    <s v="HEMH590112MTLRXL02"/>
    <n v="23529438"/>
    <n v="5212461984266"/>
    <x v="2"/>
    <n v="9081.52"/>
    <n v="2627"/>
    <n v="2724.4560000000001"/>
    <n v="97.456000000000131"/>
    <d v="2028-01-01T00:00:00"/>
  </r>
  <r>
    <x v="41"/>
    <d v="2026-08-11T00:00:00"/>
    <x v="32"/>
    <s v="JOSE FRANCISCO POLINA VAZQUEZ"/>
    <s v="43896022621"/>
    <s v="POVF601005HNLLZR03"/>
    <n v="2"/>
    <n v="8121792482"/>
    <x v="7"/>
    <n v="5617.63"/>
    <n v="1171.81"/>
    <n v="1685.289"/>
    <n v="272.8400000000006"/>
    <d v="2025-01-01T00:00:00"/>
  </r>
  <r>
    <x v="41"/>
    <d v="2026-08-11T00:00:00"/>
    <x v="6"/>
    <s v="CARLOS SALVADOR KUNHAGEL SIERRA"/>
    <m/>
    <s v="KUSC630319HTSHRR01"/>
    <n v="23529228"/>
    <n v="5218688407658"/>
    <x v="2"/>
    <n v="59886.18"/>
    <n v="17963.47"/>
    <n v="17965.853999999999"/>
    <n v="2.3839999999981956"/>
    <d v="2027-06-01T00:00:00"/>
  </r>
  <r>
    <x v="41"/>
    <d v="2026-08-11T00:00:00"/>
    <x v="29"/>
    <s v="JUSTO HOMERO HERNANDEZ BAUTISTA"/>
    <m/>
    <s v="HEBJ610812HVZRTS09"/>
    <n v="23549878"/>
    <n v="5212722805028"/>
    <x v="0"/>
    <n v="61910.73"/>
    <n v="15759.68"/>
    <n v="18573.219000000001"/>
    <n v="2813.5390000000007"/>
    <d v="2027-06-01T00:00:00"/>
  </r>
  <r>
    <x v="41"/>
    <d v="2026-08-11T00:00:00"/>
    <x v="32"/>
    <s v="SARA ALICIA OCHOA VAZQUEZ"/>
    <n v="43765922109"/>
    <s v="OOVS630913MTSCZR01"/>
    <n v="2"/>
    <s v="81 1504 1640"/>
    <x v="3"/>
    <n v="5324.54"/>
    <n v="848"/>
    <n v="1597.3619999999999"/>
    <n v="303.5600000000004"/>
    <m/>
  </r>
  <r>
    <x v="42"/>
    <d v="2026-08-12T00:00:00"/>
    <x v="31"/>
    <s v="MANUEL DE JESUS ZAMARRIPA RIVERA"/>
    <n v="43755837234"/>
    <s v="ZARM580823HNLMVN05"/>
    <n v="2"/>
    <n v="3319907222"/>
    <x v="0"/>
    <n v="23163.84"/>
    <n v="4504.4500000000007"/>
    <n v="6949.152"/>
    <n v="2444.7019999999993"/>
    <d v="2028-05-01T00:00:00"/>
  </r>
  <r>
    <x v="42"/>
    <d v="2026-08-12T00:00:00"/>
    <x v="32"/>
    <s v="FLORENCIO FLORES QUIROZ"/>
    <n v="11796274874"/>
    <s v="FOQF621027HPLLRL09"/>
    <n v="2"/>
    <n v="5513326232"/>
    <x v="2"/>
    <n v="8288.52"/>
    <n v="2250.66"/>
    <n v="2486.556"/>
    <n v="235.89600000000019"/>
    <d v="2027-03-01T00:00:00"/>
  </r>
  <r>
    <x v="42"/>
    <d v="2026-08-12T00:00:00"/>
    <x v="32"/>
    <s v="FRANCISCO JAVIER VALENZUELA MARTINEZ"/>
    <n v="17806017368"/>
    <s v="VAMF601203HDFLRR04"/>
    <n v="2"/>
    <n v="5513211067"/>
    <x v="2"/>
    <n v="9760.32"/>
    <n v="2823.89"/>
    <n v="2928.096"/>
    <n v="104.20600000000013"/>
    <d v="2027-12-01T00:00:00"/>
  </r>
  <r>
    <x v="42"/>
    <d v="2026-08-12T00:00:00"/>
    <x v="31"/>
    <s v="CARLOS ESPINOSA REYES"/>
    <s v="01745644193"/>
    <s v="EIRC560401HDFSYR07"/>
    <n v="2"/>
    <n v="5528843730"/>
    <x v="2"/>
    <n v="11947.36"/>
    <n v="3456.06"/>
    <n v="3584.2080000000001"/>
    <n v="128.14800000000014"/>
    <d v="2027-10-01T00:00:00"/>
  </r>
  <r>
    <x v="42"/>
    <d v="2026-08-12T00:00:00"/>
    <x v="31"/>
    <s v="BLANCA FILOMENA JIMENEZ ALVARADO"/>
    <n v="4886526765"/>
    <s v="JIAB650404MJCMLL00"/>
    <n v="2"/>
    <n v="3325816861"/>
    <x v="2"/>
    <n v="9760.32"/>
    <n v="2823.89"/>
    <n v="2928.096"/>
    <n v="104.20600000000013"/>
    <d v="2028-01-01T00:00:00"/>
  </r>
  <r>
    <x v="42"/>
    <d v="2026-08-12T00:00:00"/>
    <x v="32"/>
    <s v="ROGELIO IZQUIERDA LARA"/>
    <s v="01765884976"/>
    <s v="IULR580226HDFZRG06"/>
    <n v="2"/>
    <n v="5516538006"/>
    <x v="2"/>
    <n v="11756.72"/>
    <n v="3402.08"/>
    <n v="3527.0159999999996"/>
    <n v="124.93599999999969"/>
    <d v="2027-07-01T00:00:00"/>
  </r>
  <r>
    <x v="42"/>
    <d v="2026-08-12T00:00:00"/>
    <x v="31"/>
    <s v="ROSALINDA LOPEZ MOSQUEDA"/>
    <n v="43885424226"/>
    <s v="LOMR541013MNLPSS08"/>
    <n v="2"/>
    <n v="8111975718"/>
    <x v="2"/>
    <n v="7116.73"/>
    <n v="2134.9699999999998"/>
    <n v="2135.0189999999998"/>
    <n v="4.8999999999978172E-2"/>
    <d v="2027-10-01T00:00:00"/>
  </r>
  <r>
    <x v="42"/>
    <d v="2026-08-10T00:00:00"/>
    <x v="46"/>
    <s v="Gregoria Garcia Cruz"/>
    <m/>
    <s v="GACG651117MMSRRR05"/>
    <n v="23519158"/>
    <n v="2224393668"/>
    <x v="0"/>
    <n v="10636.54"/>
    <m/>
    <n v="3190.962"/>
    <n v="3190.962"/>
    <m/>
  </r>
  <r>
    <x v="42"/>
    <d v="2026-05-13T00:00:00"/>
    <x v="28"/>
    <s v="BLANCA LUCIO LOPEZ"/>
    <s v="49604323490_x000a_"/>
    <s v="LULB680726MTSCPL08"/>
    <n v="20618364"/>
    <n v="5218341447990"/>
    <x v="2"/>
    <n v="13125.47"/>
    <n v="4161.83"/>
    <n v="3937.6409999999996"/>
    <n v="-224.18900000000031"/>
    <d v="2027-09-01T00:00:00"/>
  </r>
  <r>
    <x v="42"/>
    <d v="2026-08-12T00:00:00"/>
    <x v="31"/>
    <s v="BRAULIA SAGRARIO GARCIA ORTIZ"/>
    <n v="32947679562"/>
    <s v="GAOB760107MVZRRR05"/>
    <n v="2"/>
    <s v="844 668 1844"/>
    <x v="1"/>
    <n v="4125.4399999999996"/>
    <m/>
    <n v="1237.6319999999998"/>
    <n v="0"/>
    <m/>
  </r>
  <r>
    <x v="42"/>
    <d v="2026-08-12T00:00:00"/>
    <x v="31"/>
    <s v="OLGA CHAPARRO LOPEZ"/>
    <n v="33715103926"/>
    <s v="CALO510129MCHHPL04"/>
    <n v="2"/>
    <n v="6252068073"/>
    <x v="5"/>
    <m/>
    <m/>
    <n v="0"/>
    <n v="0"/>
    <m/>
  </r>
  <r>
    <x v="42"/>
    <d v="2026-08-12T00:00:00"/>
    <x v="31"/>
    <s v="DOMINGO PEREZ RESENDIZ"/>
    <n v="94896403758"/>
    <s v="PERD641025HDFRSM09"/>
    <n v="2"/>
    <n v="5527498556"/>
    <x v="2"/>
    <n v="9081.52"/>
    <n v="2626.84"/>
    <n v="2724.4560000000001"/>
    <n v="97.615999999999985"/>
    <d v="2027-05-01T00:00:00"/>
  </r>
  <r>
    <x v="42"/>
    <d v="2026-08-06T00:00:00"/>
    <x v="6"/>
    <s v="JOEL HERNANDEZ PUERTA "/>
    <n v="63856612955"/>
    <s v="HEPJ660427HDFRRL04"/>
    <n v="23436308"/>
    <n v="5214428355650"/>
    <x v="0"/>
    <n v="45384.75"/>
    <m/>
    <n v="13615.424999999999"/>
    <n v="13615.424999999999"/>
    <m/>
  </r>
  <r>
    <x v="42"/>
    <d v="2026-08-11T00:00:00"/>
    <x v="6"/>
    <s v="ROSA GUTIERREZ OLARTE "/>
    <n v="6581530708"/>
    <s v="GUOR531217MVZTLS02"/>
    <n v="23539190"/>
    <n v="5217822114130"/>
    <x v="1"/>
    <n v="3881.65"/>
    <m/>
    <n v="1164.4949999999999"/>
    <n v="0"/>
    <m/>
  </r>
  <r>
    <x v="42"/>
    <d v="2026-08-12T00:00:00"/>
    <x v="28"/>
    <s v="EMILIO MARTIN HERNANDEZ TAPIA"/>
    <s v="71796114479_x000a_"/>
    <s v="HETE640106HGTRPM07"/>
    <n v="23567958"/>
    <n v="5213221163140"/>
    <x v="2"/>
    <n v="9504.7000000000007"/>
    <n v="2622.26"/>
    <n v="2851.4100000000003"/>
    <n v="229.15000000000009"/>
    <d v="2027-05-01T00:00:00"/>
  </r>
  <r>
    <x v="42"/>
    <d v="2026-08-12T00:00:00"/>
    <x v="6"/>
    <s v="ERNESTO DE LA TORRE AGUILAR "/>
    <n v="34725401094"/>
    <s v="TOAE531107HZSRGR00"/>
    <n v="23568718"/>
    <n v="5214921170859"/>
    <x v="9"/>
    <n v="10741.17"/>
    <n v="2778.28"/>
    <n v="3222.3510000000001"/>
    <n v="444.07099999999991"/>
    <d v="2026-05-01T00:00:00"/>
  </r>
  <r>
    <x v="42"/>
    <d v="2026-08-12T00:00:00"/>
    <x v="18"/>
    <s v="NO PROPORCIONO "/>
    <s v="43897342945"/>
    <m/>
    <n v="1"/>
    <n v="8131034943"/>
    <x v="1"/>
    <n v="3809.18"/>
    <m/>
    <n v="1142.7539999999999"/>
    <n v="0"/>
    <m/>
  </r>
  <r>
    <x v="42"/>
    <d v="2026-08-12T00:00:00"/>
    <x v="28"/>
    <s v="CANDELARIA GUADALUPE CRUZ CHAY"/>
    <s v="8182660073_x000a_"/>
    <s v="CUCC690131MCCRHN05"/>
    <n v="23568740"/>
    <n v="5216862407129"/>
    <x v="1"/>
    <n v="3577.06"/>
    <n v="879"/>
    <n v="1073.1179999999999"/>
    <n v="-879"/>
    <m/>
  </r>
  <r>
    <x v="42"/>
    <d v="2026-08-12T00:00:00"/>
    <x v="31"/>
    <s v="SAMUEL ZAPATA REYES"/>
    <n v="43796360758"/>
    <s v="ZARS630714HNLPYM04"/>
    <n v="2"/>
    <n v="8129236561"/>
    <x v="2"/>
    <n v="7920.51"/>
    <n v="2375.42"/>
    <n v="2376.1529999999998"/>
    <n v="0.73299999999971988"/>
    <d v="2028-01-01T00:00:00"/>
  </r>
  <r>
    <x v="42"/>
    <d v="2026-08-12T00:00:00"/>
    <x v="6"/>
    <s v="CLAUDIO GRANIEL HERRERA"/>
    <n v="84715300335"/>
    <s v="GAHC530611HYNRRL02"/>
    <n v="23569442"/>
    <n v="5219982352865"/>
    <x v="2"/>
    <n v="5532.28"/>
    <n v="1359.28"/>
    <n v="1659.684"/>
    <n v="2.0000000000209184E-2"/>
    <d v="2026-12-01T00:00:00"/>
  </r>
  <r>
    <x v="42"/>
    <d v="2026-07-08T00:00:00"/>
    <x v="29"/>
    <s v="JOSE LUIS DOMINGUEZ MEDINA"/>
    <n v="11826415991"/>
    <s v="DOML640319HDFMDS08"/>
    <n v="22473260"/>
    <n v="5217771366852"/>
    <x v="0"/>
    <n v="19116.84"/>
    <m/>
    <n v="5735.0519999999997"/>
    <n v="5735.0519999999997"/>
    <m/>
  </r>
  <r>
    <x v="42"/>
    <d v="2026-08-11T00:00:00"/>
    <x v="0"/>
    <s v="CLAUDIO LUCAS HERNANDEZ"/>
    <s v="49846420104"/>
    <m/>
    <n v="23551290"/>
    <n v="5218991925883"/>
    <x v="0"/>
    <n v="10636.54"/>
    <m/>
    <n v="3190.962"/>
    <n v="3190.962"/>
    <m/>
  </r>
  <r>
    <x v="42"/>
    <d v="2026-08-12T00:00:00"/>
    <x v="31"/>
    <s v="JOSE ISABEL ELIAS CORDOBA"/>
    <n v="43816459655"/>
    <s v="EICI650708HNLLRS05"/>
    <n v="2"/>
    <n v="8131365331"/>
    <x v="2"/>
    <n v="11029.03"/>
    <n v="3306.28"/>
    <n v="3308.7090000000003"/>
    <n v="2.4290000000000873"/>
    <d v="2028-03-01T00:00:00"/>
  </r>
  <r>
    <x v="42"/>
    <d v="2026-07-05T00:00:00"/>
    <x v="0"/>
    <s v="MARIA LUNA ROSAS"/>
    <s v="04674603982"/>
    <s v="LURM480404MJCNSR01"/>
    <n v="22315416"/>
    <n v="5213329624090"/>
    <x v="5"/>
    <m/>
    <m/>
    <n v="0"/>
    <n v="0"/>
    <m/>
  </r>
  <r>
    <x v="42"/>
    <d v="2026-08-10T00:00:00"/>
    <x v="13"/>
    <s v="HECTOR MENDEZ NOVAK"/>
    <n v="11674861742"/>
    <s v="MENH500908HDFNVC06"/>
    <n v="23529016"/>
    <n v="5214481203112"/>
    <x v="2"/>
    <n v="5679.66"/>
    <n v="1344.54"/>
    <n v="1703.8979999999999"/>
    <n v="162.14000000000033"/>
    <d v="2026-11-01T00:00:00"/>
  </r>
  <r>
    <x v="42"/>
    <d v="2026-08-11T00:00:00"/>
    <x v="11"/>
    <s v="SAMUEL SANCHEZ PADILLA "/>
    <m/>
    <s v="SAPS580128HMNNDM09"/>
    <n v="23550658"/>
    <n v="5214521081753"/>
    <x v="1"/>
    <n v="4678.37"/>
    <n v="848"/>
    <n v="1403.511"/>
    <n v="-342.60999999999967"/>
    <m/>
  </r>
  <r>
    <x v="42"/>
    <d v="2026-08-12T00:00:00"/>
    <x v="31"/>
    <s v="VICTOR MANUEL CERVANTES GARCIA"/>
    <n v="17816127082"/>
    <s v="CEGV610506HDFRRC09"/>
    <n v="2"/>
    <n v="5521918138"/>
    <x v="2"/>
    <n v="7640.52"/>
    <n v="2291.4299999999998"/>
    <n v="2292.1559999999999"/>
    <n v="0.72600000000011278"/>
    <d v="2026-11-01T00:00:00"/>
  </r>
  <r>
    <x v="42"/>
    <d v="2026-08-11T00:00:00"/>
    <x v="11"/>
    <s v="LUIS ALFONSO ALVAREZ "/>
    <m/>
    <s v="AAXL650411HGTLXS03"/>
    <n v="23548272"/>
    <n v="5214775511938"/>
    <x v="0"/>
    <n v="9760.32"/>
    <n v="879"/>
    <n v="2928.096"/>
    <n v="2049.096"/>
    <m/>
  </r>
  <r>
    <x v="42"/>
    <d v="2026-08-11T00:00:00"/>
    <x v="38"/>
    <s v="ADELA LIZBETH JIMENEZ HERNANDEZ"/>
    <m/>
    <s v="JIHA931014MJCMRD05"/>
    <n v="23552266"/>
    <n v="3751301827"/>
    <x v="5"/>
    <m/>
    <m/>
    <n v="0"/>
    <n v="0"/>
    <m/>
  </r>
  <r>
    <x v="42"/>
    <d v="2026-08-12T00:00:00"/>
    <x v="6"/>
    <s v="BENJAMIN BUSTAMANTE"/>
    <n v="24786028803"/>
    <m/>
    <n v="23567036"/>
    <n v="5216621958265"/>
    <x v="6"/>
    <n v="5617.63"/>
    <n v="1336.93"/>
    <n v="1685.289"/>
    <n v="107.72000000000048"/>
    <d v="2026-04-01T00:00:00"/>
  </r>
  <r>
    <x v="42"/>
    <d v="2026-08-12T00:00:00"/>
    <x v="13"/>
    <s v="ARNOLDO AMBRIZ CHAVEZ"/>
    <n v="32846647140"/>
    <s v="AICA660917HCLMHR00"/>
    <n v="23569418"/>
    <n v="5218787889663"/>
    <x v="2"/>
    <n v="18121.55"/>
    <n v="5328.35"/>
    <n v="5436.4649999999992"/>
    <n v="108.11499999999887"/>
    <d v="2027-03-01T00:00:00"/>
  </r>
  <r>
    <x v="42"/>
    <d v="2026-08-12T00:00:00"/>
    <x v="28"/>
    <s v="JOSE MORENO CHAPAS"/>
    <m/>
    <s v="MOCJ620523HQTRHS00"/>
    <n v="23571420"/>
    <n v="5214426395189"/>
    <x v="0"/>
    <n v="29936.17"/>
    <n v="6445.43"/>
    <n v="8980.8509999999987"/>
    <n v="2535.4209999999985"/>
    <d v="2026-12-01T00:00:00"/>
  </r>
  <r>
    <x v="42"/>
    <d v="2026-08-12T00:00:00"/>
    <x v="6"/>
    <s v="MARICRUZ DE JESUS SALAZAR "/>
    <s v="62906885595_x000a_"/>
    <s v="JESM720419MPLSLR00"/>
    <n v="23571278"/>
    <n v="23571278"/>
    <x v="2"/>
    <n v="5636.59"/>
    <n v="1690.98"/>
    <n v="1690.9770000000001"/>
    <n v="-227.36999999999944"/>
    <d v="2028-02-01T00:00:00"/>
  </r>
  <r>
    <x v="42"/>
    <d v="2026-08-09T00:00:00"/>
    <x v="13"/>
    <s v="CARLOS BORBON GUTIERREZ"/>
    <n v="24906430228"/>
    <s v="BOGC640215HSRRTR07"/>
    <n v="23497366"/>
    <n v="5216622290718"/>
    <x v="0"/>
    <n v="20196.599999999999"/>
    <m/>
    <n v="6058.98"/>
    <n v="6058.98"/>
    <m/>
  </r>
  <r>
    <x v="42"/>
    <d v="2026-08-12T00:00:00"/>
    <x v="31"/>
    <s v="ROBERTO PADILLA"/>
    <s v="45896102006"/>
    <s v="PAXR610221HDFDXB09"/>
    <n v="2"/>
    <n v="5542470082"/>
    <x v="2"/>
    <n v="9514.7000000000007"/>
    <n v="2757.1"/>
    <n v="2854.4100000000003"/>
    <n v="97.3100000000004"/>
    <d v="2027-11-01T00:00:00"/>
  </r>
  <r>
    <x v="42"/>
    <d v="2026-08-12T00:00:00"/>
    <x v="31"/>
    <s v="EDER MARTINEZ JIMENEZ "/>
    <s v="19786316448"/>
    <s v="MAJE630731HOCRMD01"/>
    <n v="2"/>
    <n v="5524978169"/>
    <x v="2"/>
    <n v="7920.51"/>
    <n v="2376.15"/>
    <n v="2376.1529999999998"/>
    <n v="2.9999999997016857E-3"/>
    <d v="2028-07-01T00:00:00"/>
  </r>
  <r>
    <x v="42"/>
    <d v="2026-08-12T00:00:00"/>
    <x v="6"/>
    <s v="RUBEN VELAZQUEZ RODRIGUEZ"/>
    <m/>
    <s v="VERR480428HDFLDB05"/>
    <n v="23566042"/>
    <n v="5212222054207"/>
    <x v="2"/>
    <n v="6530.88"/>
    <n v="1889"/>
    <n v="1959.2639999999999"/>
    <n v="70.263999999999896"/>
    <d v="2027-01-01T00:00:00"/>
  </r>
  <r>
    <x v="42"/>
    <d v="2026-08-12T00:00:00"/>
    <x v="6"/>
    <s v="MIGUEL PEREZ HERNANDEZ "/>
    <s v="67816430614_x000a_"/>
    <s v="PEHM641102HVZRRG09"/>
    <n v="23571452"/>
    <n v="5212881132214"/>
    <x v="2"/>
    <n v="12880.16"/>
    <n v="3863.77"/>
    <n v="3864.0479999999998"/>
    <n v="0.27799999999979264"/>
    <d v="2027-02-01T00:00:00"/>
  </r>
  <r>
    <x v="42"/>
    <d v="2026-08-12T00:00:00"/>
    <x v="31"/>
    <s v="JOSE ANTONIO GARCIA HERNANDEZ"/>
    <s v="06776108687"/>
    <s v="GAHA610915HGRRRN02"/>
    <n v="2"/>
    <n v="5587469234"/>
    <x v="2"/>
    <n v="13782.73"/>
    <n v="4039.34"/>
    <n v="4134.8189999999995"/>
    <n v="95.47899999999936"/>
    <d v="2026-11-01T00:00:00"/>
  </r>
  <r>
    <x v="42"/>
    <d v="2026-08-11T00:00:00"/>
    <x v="11"/>
    <s v="JOSE ARMANDO AGUIRRE RUIZ "/>
    <m/>
    <s v="AURA601219HCLGZR02"/>
    <n v="23553282"/>
    <n v="5218787850545"/>
    <x v="5"/>
    <m/>
    <m/>
    <n v="0"/>
    <n v="0"/>
    <m/>
  </r>
  <r>
    <x v="42"/>
    <d v="2026-08-12T00:00:00"/>
    <x v="32"/>
    <s v="GILBERTO GARDUÑO GUTIEREZ"/>
    <n v="43816484679"/>
    <s v="GARG640204HNLRDL02"/>
    <n v="2"/>
    <s v="81 2717 5108"/>
    <x v="1"/>
    <n v="4035.69"/>
    <m/>
    <n v="1210.7069999999999"/>
    <n v="0"/>
    <m/>
  </r>
  <r>
    <x v="42"/>
    <d v="2026-08-12T00:00:00"/>
    <x v="32"/>
    <s v="VICTOR LOPEZ PEREZ"/>
    <n v="54936225017"/>
    <s v="LOPV620728HJCPRC03"/>
    <n v="2"/>
    <n v="3338301712"/>
    <x v="2"/>
    <n v="7920.53"/>
    <n v="2376.16"/>
    <n v="2376.1589999999997"/>
    <n v="-1.0000000002037268E-3"/>
    <d v="2028-07-01T00:00:00"/>
  </r>
  <r>
    <x v="42"/>
    <d v="2026-08-12T00:00:00"/>
    <x v="13"/>
    <s v="MA. SILVIA SOLANO RIOS"/>
    <s v="54775912295"/>
    <s v="SORS611231MJCLSL13"/>
    <n v="23562404"/>
    <n v="5213334659369"/>
    <x v="1"/>
    <n v="4633.7"/>
    <n v="848"/>
    <n v="1390.11"/>
    <n v="-387.27999999999975"/>
    <m/>
  </r>
  <r>
    <x v="42"/>
    <d v="2026-08-12T00:00:00"/>
    <x v="13"/>
    <s v="PEDRO GONZALEZ SEOANE"/>
    <n v="67795308187"/>
    <s v="GOSP530128HVZNND09"/>
    <n v="23570982"/>
    <n v="5212711131296"/>
    <x v="1"/>
    <n v="3961.31"/>
    <m/>
    <n v="1188.393"/>
    <n v="0"/>
    <m/>
  </r>
  <r>
    <x v="42"/>
    <d v="2026-08-11T00:00:00"/>
    <x v="28"/>
    <s v="CECILIA ETIENNE HERNANDEZ"/>
    <m/>
    <s v="EIHC671025HSPTRC05"/>
    <n v="23554814"/>
    <n v="5214811064452"/>
    <x v="1"/>
    <n v="4488.82"/>
    <n v="879"/>
    <n v="1346.646"/>
    <n v="-563.15999999999985"/>
    <m/>
  </r>
  <r>
    <x v="42"/>
    <d v="2026-08-12T00:00:00"/>
    <x v="13"/>
    <s v="MARIA ELENA MARIN ALVARADO"/>
    <n v="21734203934"/>
    <s v="MAAE570414MDGRLL03"/>
    <n v="23572800"/>
    <n v="5216461165016"/>
    <x v="4"/>
    <m/>
    <m/>
    <n v="0"/>
    <n v="0"/>
    <m/>
  </r>
  <r>
    <x v="42"/>
    <d v="2026-08-12T00:00:00"/>
    <x v="13"/>
    <s v="MARIA GABRIELA GONZALEZ MARIN"/>
    <n v="84755802919"/>
    <s v="GOMG570307MYNNRB09"/>
    <n v="23573096"/>
    <n v="5219991563182"/>
    <x v="1"/>
    <n v="4503.1000000000004"/>
    <n v="848"/>
    <n v="1350.93"/>
    <n v="-517.8799999999992"/>
    <m/>
  </r>
  <r>
    <x v="42"/>
    <d v="2026-08-11T00:00:00"/>
    <x v="6"/>
    <s v="PABLO REYES SUAREZ "/>
    <m/>
    <s v="RESP600115HMCYRB02"/>
    <n v="23539686"/>
    <n v="5219983955572"/>
    <x v="6"/>
    <n v="7200.89"/>
    <n v="1922.57"/>
    <n v="2160.2669999999998"/>
    <n v="237.69699999999989"/>
    <d v="2026-08-01T00:00:00"/>
  </r>
  <r>
    <x v="42"/>
    <d v="2026-08-12T00:00:00"/>
    <x v="31"/>
    <s v="ANGELICA LETICIA PEÑA MACIAS"/>
    <n v="75816351706"/>
    <s v="PEMA640802MDFXCN06"/>
    <n v="2"/>
    <s v="56 3302 2771"/>
    <x v="2"/>
    <n v="9760.32"/>
    <n v="2927.52"/>
    <n v="2928.096"/>
    <n v="0.57600000000002183"/>
    <d v="2028-05-01T00:00:00"/>
  </r>
  <r>
    <x v="42"/>
    <d v="2026-08-10T00:00:00"/>
    <x v="11"/>
    <s v="JESUS ALFREDO VALLES ROCHA "/>
    <n v="31735701987"/>
    <s v="VARJ570626HDGLCS07"/>
    <n v="23517202"/>
    <n v="6183048716"/>
    <x v="9"/>
    <n v="17897.150000000001"/>
    <n v="5177.95"/>
    <n v="5369.1450000000004"/>
    <n v="191.19500000000062"/>
    <d v="2025-10-01T00:00:00"/>
  </r>
  <r>
    <x v="42"/>
    <d v="2026-08-09T00:00:00"/>
    <x v="42"/>
    <s v="JUAN CARLOS GALVAN ZUÑIGA"/>
    <m/>
    <s v="GAZJ620913HCLLXN09"/>
    <n v="23488828"/>
    <n v="5218719476495"/>
    <x v="0"/>
    <n v="7147.87"/>
    <n v="848"/>
    <n v="2144.3609999999999"/>
    <n v="1296.3609999999999"/>
    <m/>
  </r>
  <r>
    <x v="42"/>
    <d v="2026-08-12T00:00:00"/>
    <x v="32"/>
    <s v="JUAN JOSE CARBAJAL UGARTE"/>
    <n v="53896302022"/>
    <s v="CAUJ630624HMNRGN07"/>
    <n v="2"/>
    <s v="443 416 4584"/>
    <x v="2"/>
    <n v="7920.51"/>
    <n v="2376.0300000000002"/>
    <n v="2376.1529999999998"/>
    <n v="0.12299999999959255"/>
    <d v="2028-03-01T00:00:00"/>
  </r>
  <r>
    <x v="42"/>
    <d v="2026-08-12T00:00:00"/>
    <x v="46"/>
    <s v="JORGE ARGUELLO  ACOSTA"/>
    <m/>
    <s v="AUAJ620419HZSRCR09"/>
    <n v="23575576"/>
    <n v="4443890162"/>
    <x v="2"/>
    <n v="14074.14"/>
    <n v="4221.5600000000004"/>
    <n v="4222.2419999999993"/>
    <n v="0.6819999999988795"/>
    <d v="2027-01-01T00:00:00"/>
  </r>
  <r>
    <x v="42"/>
    <d v="2026-08-12T00:00:00"/>
    <x v="46"/>
    <s v="AUAJ620419HZSRCR09"/>
    <m/>
    <s v="SOFM580425HSLLLN07"/>
    <n v="23575204"/>
    <n v="6878878063"/>
    <x v="1"/>
    <n v="4342.43"/>
    <n v="848"/>
    <n v="1302.729"/>
    <n v="-678.54999999999927"/>
    <m/>
  </r>
  <r>
    <x v="42"/>
    <d v="2026-08-12T00:00:00"/>
    <x v="31"/>
    <s v="ALEJANDRO ILUSTRE LOAIZA"/>
    <s v="01745685733"/>
    <s v="IULA560303HSLLZL08"/>
    <n v="2"/>
    <n v="3320291485"/>
    <x v="2"/>
    <n v="20568.63"/>
    <n v="6168.86"/>
    <n v="6170.5889999999999"/>
    <n v="1.7290000000002692"/>
    <d v="2027-02-01T00:00:00"/>
  </r>
  <r>
    <x v="42"/>
    <d v="2026-08-12T00:00:00"/>
    <x v="13"/>
    <s v="JUAN JOSE TORRES ALCARAZ"/>
    <m/>
    <s v="TOAJ590903HNLRLN01 "/>
    <n v="23571458"/>
    <n v="5218132440213"/>
    <x v="2"/>
    <n v="7116.73"/>
    <n v="2123.15"/>
    <n v="2135.0189999999998"/>
    <n v="11.868999999999687"/>
    <d v="2028-05-01T00:00:00"/>
  </r>
  <r>
    <x v="42"/>
    <d v="2026-08-12T00:00:00"/>
    <x v="13"/>
    <s v="MARTIN CARLOS SAMANIEGO OVIEDO"/>
    <n v="32776004890"/>
    <s v="SAOM601111HCLMVR04"/>
    <n v="23573934"/>
    <n v="23573934"/>
    <x v="2"/>
    <n v="9081.52"/>
    <n v="2624.14"/>
    <n v="2724.4560000000001"/>
    <n v="100.31600000000026"/>
    <d v="2027-04-01T00:00:00"/>
  </r>
  <r>
    <x v="42"/>
    <d v="2026-08-12T00:00:00"/>
    <x v="44"/>
    <s v="JAVIER ALEXIS ENRIQUEZ LOPEZ"/>
    <m/>
    <s v="EILJ921116HCSNPV03"/>
    <n v="23576776"/>
    <n v="8120519662"/>
    <x v="1"/>
    <n v="4172.99"/>
    <m/>
    <n v="1251.8969999999999"/>
    <n v="1.0000000000218279E-2"/>
    <m/>
  </r>
  <r>
    <x v="42"/>
    <d v="2026-08-12T00:00:00"/>
    <x v="13"/>
    <s v="JAIME CRUZ MARTINEZ"/>
    <m/>
    <s v="CUMJ730519HPLRRM05"/>
    <n v="23566000"/>
    <n v="5212213704142"/>
    <x v="6"/>
    <n v="5653.38"/>
    <n v="1369.02"/>
    <n v="1696.0139999999999"/>
    <n v="111.38000000000056"/>
    <d v="2026-07-01T00:00:00"/>
  </r>
  <r>
    <x v="42"/>
    <d v="2026-08-12T00:00:00"/>
    <x v="32"/>
    <s v="ALBERTO MANUEL GUTIERREZ GONZALEZ"/>
    <n v="43806013595"/>
    <s v="GUGA600217HNLTNL02"/>
    <n v="2"/>
    <s v=" 81 1244 4861"/>
    <x v="2"/>
    <n v="5617.63"/>
    <n v="1393"/>
    <n v="1685.289"/>
    <n v="51.650000000000546"/>
    <d v="2027-03-01T00:00:00"/>
  </r>
  <r>
    <x v="42"/>
    <d v="2026-08-11T00:00:00"/>
    <x v="45"/>
    <s v="Jesus Herbe Sosa Herrera "/>
    <m/>
    <s v="SOHJ651224HYNSRS04"/>
    <n v="23578358"/>
    <n v="19991135033"/>
    <x v="0"/>
    <n v="9760.320000000007"/>
    <m/>
    <n v="2928.0960000000018"/>
    <n v="2928.0960000000018"/>
    <m/>
  </r>
  <r>
    <x v="42"/>
    <d v="2026-08-03T00:00:00"/>
    <x v="45"/>
    <s v="Leticia Ordaz Aguayo"/>
    <n v="21977112909"/>
    <s v="RAXA770213HOCMXN06"/>
    <n v="23330746"/>
    <n v="6538495316"/>
    <x v="3"/>
    <n v="5055.87"/>
    <m/>
    <n v="1516.761"/>
    <n v="882.89000000000033"/>
    <m/>
  </r>
  <r>
    <x v="42"/>
    <d v="2026-08-12T00:00:00"/>
    <x v="13"/>
    <s v="RAFAEL MIRANDA CERON"/>
    <m/>
    <s v="MICR600909HPLRRF01"/>
    <n v="23572218"/>
    <n v="5212213955577"/>
    <x v="6"/>
    <n v="5617.63"/>
    <n v="1272.8800000000001"/>
    <n v="1685.289"/>
    <n v="171.77000000000044"/>
    <d v="2025-06-01T00:00:00"/>
  </r>
  <r>
    <x v="42"/>
    <d v="2026-08-12T00:00:00"/>
    <x v="6"/>
    <s v="LUCY BESO"/>
    <s v="43816330492"/>
    <m/>
    <n v="23574028"/>
    <n v="5218110684929"/>
    <x v="0"/>
    <n v="9081.52"/>
    <m/>
    <n v="2724.4560000000001"/>
    <n v="2724.4560000000001"/>
    <m/>
  </r>
  <r>
    <x v="42"/>
    <d v="2026-08-12T00:00:00"/>
    <x v="29"/>
    <s v="CONSTANTINO SEGURA CARDOSO"/>
    <m/>
    <s v="SECC570613HVZGRN07"/>
    <n v="23580090"/>
    <n v="5212461032102"/>
    <x v="0"/>
    <n v="33461.160000000003"/>
    <m/>
    <n v="10038.348"/>
    <n v="10038.348"/>
    <m/>
  </r>
  <r>
    <x v="42"/>
    <d v="2026-08-11T00:00:00"/>
    <x v="35"/>
    <s v="MARIO ESCOBEDO CORTEZ"/>
    <s v="31806324708"/>
    <m/>
    <n v="23547502"/>
    <s v="871 505 22 76"/>
    <x v="7"/>
    <n v="7920.51"/>
    <n v="2375.71"/>
    <n v="2376.1529999999998"/>
    <n v="0.44299999999975626"/>
    <d v="2026-08-01T00:00:00"/>
  </r>
  <r>
    <x v="42"/>
    <d v="2026-08-13T00:00:00"/>
    <x v="45"/>
    <s v="Jesús Rincon "/>
    <m/>
    <s v="RIXR590406HDFNXC07"/>
    <n v="23575176"/>
    <n v="6642341515"/>
    <x v="1"/>
    <n v="4813.6899999999996"/>
    <n v="848"/>
    <n v="1444.1069999999997"/>
    <n v="-207.28999999999996"/>
    <m/>
  </r>
  <r>
    <x v="42"/>
    <d v="2026-08-12T00:00:00"/>
    <x v="0"/>
    <s v="MARISELA CORONA GUARDADO"/>
    <s v="14926606014"/>
    <s v="COGM660201MQTRRR09"/>
    <n v="23581266"/>
    <n v="5214428110003"/>
    <x v="0"/>
    <n v="10636.54"/>
    <m/>
    <n v="3190.962"/>
    <n v="3190.962"/>
    <m/>
  </r>
  <r>
    <x v="42"/>
    <d v="2026-08-12T00:00:00"/>
    <x v="45"/>
    <m/>
    <n v="55624411991"/>
    <m/>
    <n v="23575452"/>
    <n v="3344537700"/>
    <x v="1"/>
    <n v="3941.18"/>
    <n v="879"/>
    <n v="1182.3539999999998"/>
    <n v="-879"/>
    <m/>
  </r>
  <r>
    <x v="42"/>
    <d v="2026-07-24T00:00:00"/>
    <x v="35"/>
    <s v="Matilde dolores vieyra hernandez"/>
    <n v="65936821621"/>
    <m/>
    <n v="23092342"/>
    <n v="2294112147"/>
    <x v="3"/>
    <n v="5642.22"/>
    <n v="568.95000000000005"/>
    <n v="1692.6659999999999"/>
    <n v="900.29000000000065"/>
    <d v="2027-05-01T00:00:00"/>
  </r>
  <r>
    <x v="42"/>
    <d v="2026-08-12T00:00:00"/>
    <x v="31"/>
    <s v="ALFONSO BRAVO TAPIA"/>
    <m/>
    <s v="BATA610820HDFRPL03"/>
    <n v="2"/>
    <n v="5544712217"/>
    <x v="0"/>
    <n v="13604.82"/>
    <m/>
    <n v="4081.4459999999999"/>
    <n v="4081.4459999999999"/>
    <m/>
  </r>
  <r>
    <x v="43"/>
    <d v="2026-08-13T00:00:00"/>
    <x v="31"/>
    <s v="IGNACIO MARIANO VAZQUEZ ROMO"/>
    <n v="6481634207"/>
    <s v="VARI630731HDFZMG04"/>
    <n v="2"/>
    <n v="5510132670"/>
    <x v="2"/>
    <n v="7920.51"/>
    <n v="2376.59"/>
    <n v="2376.1529999999998"/>
    <n v="-0.43700000000035288"/>
    <d v="2026-02-01T00:00:00"/>
  </r>
  <r>
    <x v="43"/>
    <d v="2026-08-13T00:00:00"/>
    <x v="31"/>
    <s v="SUSANO ARANA VALDIVIA"/>
    <s v="54786052982 "/>
    <s v="AAVS620809HJCRLS02"/>
    <n v="2"/>
    <n v="3781140907"/>
    <x v="9"/>
    <n v="5770.32"/>
    <n v="1601.44"/>
    <n v="1731.0959999999998"/>
    <n v="-4.0999999999999091"/>
    <d v="2026-08-01T00:00:00"/>
  </r>
  <r>
    <x v="43"/>
    <d v="2026-08-13T00:00:00"/>
    <x v="31"/>
    <s v="HUGO RODRIGUEZ REYES"/>
    <n v="64826508927"/>
    <s v="RORH650319HDFDYG05"/>
    <n v="2"/>
    <n v="5669375839"/>
    <x v="2"/>
    <n v="9760.32"/>
    <n v="2925.93"/>
    <n v="2928.096"/>
    <n v="2.1660000000001673"/>
    <d v="2027-07-01T00:00:00"/>
  </r>
  <r>
    <x v="43"/>
    <d v="2026-08-11T00:00:00"/>
    <x v="38"/>
    <s v="Marii"/>
    <n v="19846520609"/>
    <m/>
    <n v="23553026"/>
    <n v="5541034700"/>
    <x v="2"/>
    <n v="8181.55"/>
    <n v="2367.12"/>
    <n v="2454.4650000000001"/>
    <n v="87.345000000000255"/>
    <d v="2027-01-01T00:00:00"/>
  </r>
  <r>
    <x v="43"/>
    <d v="2026-08-13T00:00:00"/>
    <x v="34"/>
    <s v="SUSANO ARANA VALDIVIA"/>
    <s v="54786052982 "/>
    <s v="CAPC600123MJCBRN09"/>
    <n v="2"/>
    <n v="3781140907"/>
    <x v="9"/>
    <n v="5770.32"/>
    <n v="1601.44"/>
    <n v="1731.0959999999998"/>
    <n v="-4.0999999999999091"/>
    <d v="2026-08-01T00:00:00"/>
  </r>
  <r>
    <x v="43"/>
    <d v="2026-08-13T00:00:00"/>
    <x v="31"/>
    <s v="DIONISIO FLORES MONTAÑO"/>
    <s v="04886547282"/>
    <s v="FOMD650525HJCLNN02"/>
    <n v="2"/>
    <n v="3317229513"/>
    <x v="2"/>
    <n v="24223.67"/>
    <n v="7265.75"/>
    <n v="7267.1009999999997"/>
    <n v="1.350999999999658"/>
    <d v="2028-02-01T00:00:00"/>
  </r>
  <r>
    <x v="43"/>
    <d v="2026-08-13T00:00:00"/>
    <x v="31"/>
    <s v="VICTOR MARISCAL MUÑIZ"/>
    <s v="32755413187 "/>
    <s v="MAMV540805HCLRXC09"/>
    <n v="2"/>
    <n v="8116106760"/>
    <x v="2"/>
    <n v="5046.1899999999996"/>
    <n v="838.64"/>
    <n v="1513.8569999999997"/>
    <n v="34.57000000000005"/>
    <d v="2027-11-01T00:00:00"/>
  </r>
  <r>
    <x v="43"/>
    <d v="2026-08-13T00:00:00"/>
    <x v="32"/>
    <s v="VICTOR MANUEL PATIÑO CHAIRES"/>
    <n v="43796247674"/>
    <s v="PACV630227HNLTHC05"/>
    <n v="2"/>
    <s v="81 8684 2241"/>
    <x v="9"/>
    <n v="7920.5"/>
    <n v="2192.5300000000002"/>
    <n v="2376.15"/>
    <n v="183.61999999999989"/>
    <d v="2026-04-01T00:00:00"/>
  </r>
  <r>
    <x v="43"/>
    <d v="2026-08-13T00:00:00"/>
    <x v="44"/>
    <s v="Martha Leticia Magaña Hinojosa"/>
    <m/>
    <s v="_x0009_MAHM550615MJCGNR09"/>
    <n v="23487084"/>
    <n v="3418799292"/>
    <x v="3"/>
    <n v="5058.26"/>
    <m/>
    <n v="1517.4780000000001"/>
    <n v="885.28000000000065"/>
    <m/>
  </r>
  <r>
    <x v="43"/>
    <d v="2026-08-12T00:00:00"/>
    <x v="6"/>
    <s v="ROBERTO PADILLA "/>
    <s v="45896102006"/>
    <s v="PAXR610221HDFDXB09"/>
    <n v="23570992"/>
    <n v="5215542470082"/>
    <x v="2"/>
    <n v="9514.7000000000007"/>
    <n v="2757.1"/>
    <n v="2854.4100000000003"/>
    <n v="97.3100000000004"/>
    <d v="2027-11-01T00:00:00"/>
  </r>
  <r>
    <x v="43"/>
    <d v="2026-08-13T00:00:00"/>
    <x v="32"/>
    <s v="JOEL ORTIZ GARCIA"/>
    <s v="16826421782"/>
    <s v="OIGJ640713HMCRRL06"/>
    <n v="2"/>
    <s v="722 120 0919"/>
    <x v="2"/>
    <n v="9081.52"/>
    <n v="2723.2"/>
    <n v="2724.4560000000001"/>
    <n v="1.2560000000003129"/>
    <d v="2027-01-01T00:00:00"/>
  </r>
  <r>
    <x v="43"/>
    <d v="2026-08-11T00:00:00"/>
    <x v="28"/>
    <s v="LUIS ANTNIO FILOTEO SANDOVAL"/>
    <s v="12765100677"/>
    <s v="FISL510512HGTLNS07"/>
    <n v="23535694"/>
    <n v="5214621760125"/>
    <x v="0"/>
    <n v="16507.099999999999"/>
    <m/>
    <n v="4952.1299999999992"/>
    <n v="4952.1299999999992"/>
    <m/>
  </r>
  <r>
    <x v="43"/>
    <d v="2026-08-12T00:00:00"/>
    <x v="6"/>
    <s v="FRANCISCO ROSAS RODRIGUEZ "/>
    <s v="14806203742"/>
    <s v="RORF620630HGTSDR03"/>
    <n v="23583272"/>
    <n v="5214111101114"/>
    <x v="2"/>
    <n v="7116.73"/>
    <n v="1969.17"/>
    <n v="2135.0189999999998"/>
    <n v="165.84899999999971"/>
    <d v="2026-10-01T00:00:00"/>
  </r>
  <r>
    <x v="43"/>
    <d v="2026-08-13T00:00:00"/>
    <x v="32"/>
    <s v="HIPOLITO AGUILERA HERNANDEZ"/>
    <n v="43856786835"/>
    <s v="AUHH670326HNLGRP01"/>
    <n v="2"/>
    <s v="81 2505 3048"/>
    <x v="2"/>
    <n v="8422.67"/>
    <n v="2337.59"/>
    <n v="2526.8009999999999"/>
    <n v="189.21099999999979"/>
    <d v="2026-10-01T00:00:00"/>
  </r>
  <r>
    <x v="43"/>
    <d v="2026-08-13T00:00:00"/>
    <x v="31"/>
    <s v="ALMA ROSA HERNANDEZ CORONADO"/>
    <s v="32765812816"/>
    <s v="HECA580414MCLRRL09"/>
    <n v="2"/>
    <n v="8441086848"/>
    <x v="1"/>
    <n v="3879.3"/>
    <m/>
    <n v="1163.79"/>
    <n v="0"/>
    <m/>
  </r>
  <r>
    <x v="43"/>
    <d v="2026-08-13T00:00:00"/>
    <x v="31"/>
    <s v="JUAN JORGE BRAVO REYES"/>
    <m/>
    <s v="BARJ620120HDFRYN02"/>
    <n v="2"/>
    <s v="56 5314 2266"/>
    <x v="3"/>
    <n v="7919.64"/>
    <n v="1527"/>
    <n v="2375.8919999999998"/>
    <n v="848.89199999999983"/>
    <m/>
  </r>
  <r>
    <x v="43"/>
    <d v="2026-08-12T00:00:00"/>
    <x v="13"/>
    <s v="JULIAN VERDINES BECERRA"/>
    <n v="43776011686"/>
    <s v="VEBJ600412HTSRCL08"/>
    <n v="23584032"/>
    <n v="5216564093415"/>
    <x v="2"/>
    <n v="9081.52"/>
    <n v="2521.35"/>
    <n v="2724.4560000000001"/>
    <n v="203.10600000000022"/>
    <d v="2027-01-01T00:00:00"/>
  </r>
  <r>
    <x v="43"/>
    <d v="2026-08-13T00:00:00"/>
    <x v="32"/>
    <s v="JOSE ANTONIO ARIAS RODRIGUEZ "/>
    <n v="67754800836"/>
    <s v="AIRA480520HTCRDN02"/>
    <n v="2"/>
    <s v="844 383 0171"/>
    <x v="0"/>
    <n v="11029.03"/>
    <m/>
    <n v="3308.7090000000003"/>
    <n v="3308.7090000000003"/>
    <m/>
  </r>
  <r>
    <x v="43"/>
    <d v="2026-08-13T00:00:00"/>
    <x v="13"/>
    <s v="ALONSO TALAVERA ALVAREZ"/>
    <n v="53916420192"/>
    <s v="TAAA640901HMNLLL14"/>
    <n v="23599712"/>
    <n v="5216484652179"/>
    <x v="2"/>
    <n v="5617.63"/>
    <n v="1334.63"/>
    <n v="1685.289"/>
    <n v="110.02000000000044"/>
    <d v="2026-11-01T00:00:00"/>
  </r>
  <r>
    <x v="43"/>
    <d v="2026-08-13T00:00:00"/>
    <x v="13"/>
    <s v="RUBEN ARENAS ROJAS"/>
    <n v="21826229466"/>
    <s v="AERR620414HASRJB05"/>
    <n v="23595680"/>
    <n v="5214442762502"/>
    <x v="2"/>
    <n v="11675.7"/>
    <n v="3314.8"/>
    <n v="3502.71"/>
    <n v="187.90999999999985"/>
    <d v="2026-09-01T00:00:00"/>
  </r>
  <r>
    <x v="43"/>
    <d v="2026-08-13T00:00:00"/>
    <x v="11"/>
    <s v="MARTIN DE LA CRUZ GUTIERREZ"/>
    <n v="78866605492"/>
    <m/>
    <n v="23604738"/>
    <n v="5213141631373"/>
    <x v="2"/>
    <n v="10636.54"/>
    <n v="3190"/>
    <n v="3190.962"/>
    <n v="0.96199999999998909"/>
    <d v="2028-05-01T00:00:00"/>
  </r>
  <r>
    <x v="43"/>
    <d v="2026-08-13T00:00:00"/>
    <x v="32"/>
    <s v="JOSE LUIS ORTIZ PATIÑO"/>
    <n v="20906602725"/>
    <s v="OIPL660113HGRRTS00"/>
    <n v="2"/>
    <s v="55 4832 4263"/>
    <x v="2"/>
    <n v="11011.22"/>
    <n v="3302.71"/>
    <n v="3303.3659999999995"/>
    <n v="0.65599999999949432"/>
    <d v="2027-03-01T00:00:00"/>
  </r>
  <r>
    <x v="43"/>
    <d v="2026-08-12T00:00:00"/>
    <x v="13"/>
    <s v="ALDO ROMERO ESTRELLA"/>
    <n v="62867300576"/>
    <s v="ROEA730629HPLMSL00"/>
    <n v="23587188"/>
    <n v="5212224865412"/>
    <x v="2"/>
    <n v="38843.919999999998"/>
    <n v="11371.17"/>
    <n v="11653.175999999999"/>
    <n v="282.0059999999994"/>
    <d v="2027-01-01T00:00:00"/>
  </r>
  <r>
    <x v="43"/>
    <d v="2026-08-13T00:00:00"/>
    <x v="31"/>
    <s v="OSCAR SANCHEZ PULIDO"/>
    <s v="21765510132"/>
    <s v="SAPO560802HBCNLS02"/>
    <n v="2"/>
    <n v="3310763642"/>
    <x v="6"/>
    <n v="6262.86"/>
    <n v="1738.79"/>
    <n v="1878.8579999999997"/>
    <n v="140.06799999999976"/>
    <d v="2024-11-01T00:00:00"/>
  </r>
  <r>
    <x v="43"/>
    <d v="2026-08-13T00:00:00"/>
    <x v="34"/>
    <s v="NORA PATRICIA MENDEZ PEREZ"/>
    <s v="47907224858"/>
    <s v="MEPN721012MNLNRR07"/>
    <n v="2"/>
    <n v="8116932285"/>
    <x v="1"/>
    <n v="2236.34"/>
    <m/>
    <n v="670.90200000000004"/>
    <n v="0"/>
    <m/>
  </r>
  <r>
    <x v="43"/>
    <d v="2026-08-13T00:00:00"/>
    <x v="31"/>
    <s v="ANGEL CENICEROS MARTINEZ"/>
    <n v="32826433131"/>
    <s v="CEMA640318HCLNRN01"/>
    <n v="2"/>
    <n v="8664533844"/>
    <x v="2"/>
    <n v="9081.52"/>
    <n v="2519.69"/>
    <n v="2724.46"/>
    <n v="204.77"/>
    <d v="2026-01-09T00:00:00"/>
  </r>
  <r>
    <x v="43"/>
    <d v="2026-08-13T00:00:00"/>
    <x v="31"/>
    <s v="JUAN MARTIN HERNANDEZ CORONADO"/>
    <n v="32806379924"/>
    <s v="HECJ641008HCLRRN02"/>
    <n v="2"/>
    <n v="8442991397"/>
    <x v="2"/>
    <n v="4736.3900000000003"/>
    <n v="521.37"/>
    <n v="1420.9170000000001"/>
    <n v="42.040000000000759"/>
    <d v="2026-12-01T00:00:00"/>
  </r>
  <r>
    <x v="43"/>
    <d v="2026-08-13T00:00:00"/>
    <x v="6"/>
    <s v="ANA LUISA MORRUA DIAZ"/>
    <s v="43876904830"/>
    <s v="SAMF690817HSPCRR08"/>
    <n v="23582448"/>
    <n v="5218119929988"/>
    <x v="5"/>
    <m/>
    <m/>
    <n v="0"/>
    <n v="0"/>
    <m/>
  </r>
  <r>
    <x v="43"/>
    <d v="2026-08-13T00:00:00"/>
    <x v="19"/>
    <m/>
    <n v="82796302774"/>
    <m/>
    <n v="23608718"/>
    <n v="5219871038059"/>
    <x v="6"/>
    <n v="16348.47"/>
    <n v="4511.09"/>
    <n v="4904.5409999999993"/>
    <n v="393.45099999999911"/>
    <d v="2026-08-01T00:00:00"/>
  </r>
  <r>
    <x v="43"/>
    <d v="2026-08-13T00:00:00"/>
    <x v="6"/>
    <s v="CESAR VILLEGAS ROMERO "/>
    <m/>
    <s v="VIRC750524HZSLMS04"/>
    <n v="23600862"/>
    <n v="5214921218327"/>
    <x v="1"/>
    <n v="4172.99"/>
    <m/>
    <n v="1251.8969999999999"/>
    <n v="1.0000000000218279E-2"/>
    <m/>
  </r>
  <r>
    <x v="43"/>
    <d v="2026-08-13T00:00:00"/>
    <x v="11"/>
    <s v="julio cesar lagunes rosado"/>
    <m/>
    <s v="LARJ730929HVZGSL07"/>
    <n v="23606318"/>
    <n v="5212881062063"/>
    <x v="4"/>
    <m/>
    <m/>
    <n v="0"/>
    <n v="0"/>
    <m/>
  </r>
  <r>
    <x v="43"/>
    <d v="2026-08-13T00:00:00"/>
    <x v="20"/>
    <s v="jose pedro"/>
    <m/>
    <s v="TARP610101HCLPSD04"/>
    <n v="23609060"/>
    <n v="5218611026550"/>
    <x v="9"/>
    <n v="15288.48"/>
    <n v="3545.04"/>
    <n v="4586.5439999999999"/>
    <n v="1041.5039999999999"/>
    <d v="2026-05-01T00:00:00"/>
  </r>
  <r>
    <x v="43"/>
    <d v="2026-08-13T00:00:00"/>
    <x v="11"/>
    <s v="Victoria Elisa cruz Perez"/>
    <s v="03886902307"/>
    <m/>
    <n v="23609522"/>
    <n v="5218123840584"/>
    <x v="2"/>
    <n v="4832.78"/>
    <n v="628.62"/>
    <n v="1449.8339999999998"/>
    <n v="31.180000000000177"/>
    <d v="2027-12-01T00:00:00"/>
  </r>
  <r>
    <x v="43"/>
    <d v="2026-08-12T00:00:00"/>
    <x v="6"/>
    <s v="ISRAEL LOPEZ PALACIO "/>
    <m/>
    <s v="LOPI620324HOCPLS08"/>
    <n v="23583800"/>
    <n v="5219541292077"/>
    <x v="2"/>
    <n v="64010.239999999998"/>
    <n v="19163.18"/>
    <n v="19203.072"/>
    <n v="39.891999999999825"/>
    <d v="2028-05-01T00:00:00"/>
  </r>
  <r>
    <x v="43"/>
    <d v="2026-08-13T00:00:00"/>
    <x v="11"/>
    <s v="ROBERTO LIMON GONZALEZ "/>
    <s v="32826627831"/>
    <m/>
    <n v="23610848"/>
    <n v="5218445045329"/>
    <x v="0"/>
    <n v="10636.54"/>
    <m/>
    <n v="3190.962"/>
    <n v="3190.962"/>
    <m/>
  </r>
  <r>
    <x v="43"/>
    <d v="2026-08-13T00:00:00"/>
    <x v="13"/>
    <s v=" LUIS FERNANDO CUA COCOM"/>
    <n v="84836300404"/>
    <s v="CUCL621008HYNXCS02"/>
    <n v="23609404"/>
    <n v="5219981361185"/>
    <x v="0"/>
    <n v="14106.45"/>
    <m/>
    <n v="4231.9350000000004"/>
    <n v="4231.9350000000004"/>
    <m/>
  </r>
  <r>
    <x v="43"/>
    <d v="2026-08-13T00:00:00"/>
    <x v="11"/>
    <s v="OFELIA SOLEDAD HERNANDEZ FERNANDEZ "/>
    <m/>
    <s v="HEFO660402MOCRRF07"/>
    <n v="23608636"/>
    <n v="5219511619098"/>
    <x v="2"/>
    <n v="10636.54"/>
    <n v="3189.2"/>
    <n v="3190.962"/>
    <n v="1.762000000000171"/>
    <d v="2028-05-01T00:00:00"/>
  </r>
  <r>
    <x v="43"/>
    <d v="2026-08-13T00:00:00"/>
    <x v="32"/>
    <s v="ALEJANDRINA RAMIREZ RODRIGUEZ"/>
    <s v="04897150837"/>
    <s v="RARA710610MJCMDL05"/>
    <n v="2"/>
    <s v="33 1911 8413"/>
    <x v="3"/>
    <n v="7983.6"/>
    <n v="2039.53"/>
    <n v="2395.08"/>
    <n v="355.54999999999995"/>
    <d v="2028-07-01T00:00:00"/>
  </r>
  <r>
    <x v="43"/>
    <d v="2026-08-13T00:00:00"/>
    <x v="31"/>
    <s v="PATRICIA SANCHEZ LOPEZ"/>
    <s v="10735509506"/>
    <s v="SALP560426MDFNPT00"/>
    <n v="2"/>
    <n v="9997829274"/>
    <x v="2"/>
    <n v="34178.29"/>
    <n v="10253.49"/>
    <n v="10253.486999999999"/>
    <n v="-3.0000000006111804E-3"/>
    <d v="2027-03-01T00:00:00"/>
  </r>
  <r>
    <x v="43"/>
    <d v="2026-08-13T00:00:00"/>
    <x v="20"/>
    <s v="Martin solorio"/>
    <n v="53816320278"/>
    <m/>
    <n v="23611282"/>
    <n v="5213541061042"/>
    <x v="0"/>
    <n v="29342.57"/>
    <m/>
    <n v="8802.7709999999988"/>
    <n v="8802.7709999999988"/>
    <m/>
  </r>
  <r>
    <x v="43"/>
    <d v="2026-08-13T00:00:00"/>
    <x v="11"/>
    <s v="MARIBEL RODRIGUEZ EGUIA "/>
    <s v="43877165019"/>
    <s v="ROEM701220MNLDGR09"/>
    <n v="23611378"/>
    <n v="5218124226541"/>
    <x v="0"/>
    <n v="8784.27"/>
    <n v="879"/>
    <n v="2635.2809999999999"/>
    <n v="1756.2809999999999"/>
    <m/>
  </r>
  <r>
    <x v="43"/>
    <d v="2026-08-13T00:00:00"/>
    <x v="6"/>
    <s v="VERONICA AMARO ARENAS"/>
    <s v="67917301292"/>
    <s v="AAAV830422MVZMRR05"/>
    <n v="23599896"/>
    <n v="5212724421134"/>
    <x v="1"/>
    <n v="3488.34"/>
    <n v="848"/>
    <n v="1046.502"/>
    <n v="-848"/>
    <m/>
  </r>
  <r>
    <x v="43"/>
    <d v="2026-08-13T00:00:00"/>
    <x v="44"/>
    <s v="salvador lopez lopez"/>
    <m/>
    <s v="LOLS610716HJCPPL00"/>
    <n v="23610388"/>
    <n v="3322636458"/>
    <x v="0"/>
    <n v="45234.49"/>
    <n v="4474.13"/>
    <n v="13570.347"/>
    <n v="9096.2170000000006"/>
    <d v="2027-02-01T00:00:00"/>
  </r>
  <r>
    <x v="43"/>
    <d v="2026-08-13T00:00:00"/>
    <x v="6"/>
    <s v="CRUZ LOPEZ GARCIA "/>
    <m/>
    <s v="LOGC650502HDGPRR00"/>
    <n v="23602924"/>
    <n v="5218701500564"/>
    <x v="2"/>
    <n v="9760.32"/>
    <n v="2809.22"/>
    <n v="2928.096"/>
    <n v="118.8760000000002"/>
    <d v="2027-12-01T00:00:00"/>
  </r>
  <r>
    <x v="43"/>
    <d v="2026-08-13T00:00:00"/>
    <x v="19"/>
    <s v=" JORGE LUIS "/>
    <m/>
    <s v="CALJ640110HSLSVR04"/>
    <n v="23612002"/>
    <n v="5216671886378"/>
    <x v="3"/>
    <n v="9081.52"/>
    <n v="1795.79"/>
    <n v="2724.4560000000001"/>
    <n v="928.66600000000017"/>
    <d v="2027-12-01T00:00:00"/>
  </r>
  <r>
    <x v="43"/>
    <d v="2026-08-13T00:00:00"/>
    <x v="46"/>
    <s v="JOEL ESPINOZA YAUHTENTZI"/>
    <m/>
    <s v="EIYJ591109HDFSHL03"/>
    <n v="23611026"/>
    <n v="4423273435"/>
    <x v="3"/>
    <n v="38171.03"/>
    <n v="10254.42"/>
    <n v="11451.308999999999"/>
    <n v="1196.8889999999992"/>
    <d v="2027-07-01T00:00:00"/>
  </r>
  <r>
    <x v="43"/>
    <d v="2026-08-12T00:00:00"/>
    <x v="20"/>
    <s v="maria luisa "/>
    <n v="21876852167"/>
    <s v="ROVL710104MBCDLS05"/>
    <n v="23578580"/>
    <n v="5216658452760"/>
    <x v="6"/>
    <n v="36979.32"/>
    <n v="11077.78"/>
    <n v="11093.796"/>
    <n v="16.015999999999622"/>
    <d v="2024-10-01T00:00:00"/>
  </r>
  <r>
    <x v="43"/>
    <d v="2026-08-13T00:00:00"/>
    <x v="11"/>
    <s v="maria eugenia garcia andrade "/>
    <s v="24866639255"/>
    <m/>
    <n v="23611860"/>
    <n v="5216623277839"/>
    <x v="0"/>
    <n v="12280.93"/>
    <m/>
    <n v="3684.279"/>
    <n v="3684.279"/>
    <m/>
  </r>
  <r>
    <x v="43"/>
    <d v="2026-08-13T00:00:00"/>
    <x v="44"/>
    <s v="JOSE AGUSTIN MARTINEZ CHAVEZ"/>
    <m/>
    <s v="MACA590717HCHRHG07"/>
    <n v="23612062"/>
    <n v="8711388127"/>
    <x v="2"/>
    <n v="11029.03"/>
    <n v="3291.73"/>
    <n v="3308.7090000000003"/>
    <n v="16.979000000000269"/>
    <d v="2028-04-01T00:00:00"/>
  </r>
  <r>
    <x v="43"/>
    <d v="2026-08-13T00:00:00"/>
    <x v="31"/>
    <s v="GUILLERMO SANCHEZ JIMENEZ"/>
    <s v="06856504201"/>
    <s v="SAJG650602HDFNML08"/>
    <n v="2"/>
    <n v="5560989675"/>
    <x v="6"/>
    <n v="6121.17"/>
    <n v="1835.44"/>
    <n v="1836.3509999999999"/>
    <n v="0.91099999999983083"/>
    <d v="2026-07-01T00:00:00"/>
  </r>
  <r>
    <x v="43"/>
    <d v="2026-08-12T00:00:00"/>
    <x v="28"/>
    <s v="GALDINO GALINDO OLARTE"/>
    <s v="0680632919_x000a_"/>
    <s v="GAOG631128HVZLLL06"/>
    <n v="23588060"/>
    <n v="5212219944130"/>
    <x v="2"/>
    <n v="4636.43"/>
    <n v="446.87"/>
    <n v="1390.9290000000001"/>
    <n v="16.580000000000723"/>
    <d v="2027-05-01T00:00:00"/>
  </r>
  <r>
    <x v="43"/>
    <d v="2026-08-13T00:00:00"/>
    <x v="0"/>
    <s v="RAMON PEREZ RAMIREZ"/>
    <n v="65725403433"/>
    <m/>
    <n v="23613382"/>
    <n v="5212294949147"/>
    <x v="2"/>
    <n v="19463.59"/>
    <n v="5836.66"/>
    <n v="5839.0770000000002"/>
    <n v="2.4170000000003711"/>
    <d v="2026-09-01T00:00:00"/>
  </r>
  <r>
    <x v="43"/>
    <d v="2026-08-12T00:00:00"/>
    <x v="13"/>
    <s v="JOEL LOMELI SANCHEZ"/>
    <m/>
    <s v="LOSJ620501HGTMNL01"/>
    <n v="23585314"/>
    <n v="5214777936892"/>
    <x v="2"/>
    <n v="7116.73"/>
    <n v="2134"/>
    <n v="2135.0189999999998"/>
    <n v="1.0189999999997781"/>
    <d v="2028-05-01T00:00:00"/>
  </r>
  <r>
    <x v="43"/>
    <d v="2026-08-06T00:00:00"/>
    <x v="13"/>
    <s v="JUAN JOSE CUELLAR TORRES"/>
    <m/>
    <s v="CUTJ510127HCLLRN03"/>
    <n v="23435776"/>
    <n v="5218442586841"/>
    <x v="1"/>
    <n v="3468.82"/>
    <n v="848"/>
    <n v="1040.646"/>
    <n v="-848"/>
    <m/>
  </r>
  <r>
    <x v="43"/>
    <d v="2026-08-12T00:00:00"/>
    <x v="0"/>
    <s v="PATRICIA GARCIA MEDINA"/>
    <m/>
    <s v="GAMP560501MDFRDT09"/>
    <n v="23581964"/>
    <n v="5212221363320"/>
    <x v="1"/>
    <n v="3961.31"/>
    <m/>
    <n v="1188.393"/>
    <n v="0"/>
    <m/>
  </r>
  <r>
    <x v="43"/>
    <d v="2026-08-13T00:00:00"/>
    <x v="0"/>
    <s v="GLORIA CARRILLO"/>
    <m/>
    <s v="CAXG630215MJCRXL00"/>
    <n v="23614016"/>
    <n v="5213351211784"/>
    <x v="2"/>
    <n v="9081.52"/>
    <n v="2521.35"/>
    <n v="2724.4560000000001"/>
    <n v="203.10600000000022"/>
    <d v="2026-09-01T00:00:00"/>
  </r>
  <r>
    <x v="44"/>
    <d v="2026-08-14T00:00:00"/>
    <x v="18"/>
    <m/>
    <s v="09957757223"/>
    <m/>
    <n v="1"/>
    <n v="8941361230"/>
    <x v="4"/>
    <m/>
    <m/>
    <n v="0"/>
    <n v="0"/>
    <m/>
  </r>
  <r>
    <x v="44"/>
    <d v="2026-08-14T00:00:00"/>
    <x v="32"/>
    <s v="JUSTINO LOPEZ HERNANDEZ"/>
    <s v="06856500647"/>
    <s v="LOHJ650512HHGPRS08"/>
    <n v="2"/>
    <s v="55 9189 0370"/>
    <x v="2"/>
    <n v="9760.32"/>
    <n v="2813.71"/>
    <n v="2928.096"/>
    <n v="114.38599999999997"/>
    <d v="2027-12-01T00:00:00"/>
  </r>
  <r>
    <x v="44"/>
    <d v="2026-08-14T00:00:00"/>
    <x v="31"/>
    <s v="JOSE LUIS GOMEZ GONZALEZ"/>
    <n v="54796711735"/>
    <s v="GOGL570621HVZMNS05"/>
    <n v="2"/>
    <n v="3326553290"/>
    <x v="2"/>
    <n v="12881.6"/>
    <n v="3864"/>
    <n v="3864.48"/>
    <n v="0.48000000000001819"/>
    <d v="2028-04-01T00:00:00"/>
  </r>
  <r>
    <x v="44"/>
    <d v="2026-08-13T00:00:00"/>
    <x v="40"/>
    <s v="Santiago Puente frías"/>
    <n v="32835308472"/>
    <m/>
    <n v="23609982"/>
    <n v="8781087320"/>
    <x v="0"/>
    <n v="10636.54"/>
    <n v="1787.06"/>
    <n v="3190.962"/>
    <n v="1403.902"/>
    <d v="2028-07-01T00:00:00"/>
  </r>
  <r>
    <x v="44"/>
    <d v="2026-08-13T00:00:00"/>
    <x v="40"/>
    <s v="Maria del Carmen Flores Moreno"/>
    <n v="41825608333"/>
    <s v="FOMC561026MSPLRR03"/>
    <n v="23612184"/>
    <n v="4448606230"/>
    <x v="1"/>
    <n v="3866.25"/>
    <m/>
    <n v="1159.875"/>
    <n v="0"/>
    <m/>
  </r>
  <r>
    <x v="44"/>
    <d v="2026-08-13T00:00:00"/>
    <x v="0"/>
    <s v="ELEUTERIA JUAREZ ZENDEJAS"/>
    <m/>
    <s v="JUZE510220MGTRNL07"/>
    <n v="23614036"/>
    <n v="4773930492"/>
    <x v="1"/>
    <n v="3855.42"/>
    <m/>
    <n v="1156.626"/>
    <n v="0"/>
    <m/>
  </r>
  <r>
    <x v="44"/>
    <d v="2026-08-14T00:00:00"/>
    <x v="28"/>
    <s v="IGNACIO OLGUIN GUTIERREZ"/>
    <s v="24766200471"/>
    <s v="OUGI620124HSRLTG00"/>
    <n v="23625290"/>
    <n v="5216221386953"/>
    <x v="2"/>
    <n v="7116.73"/>
    <n v="2051.1799999999998"/>
    <n v="2135.0189999999998"/>
    <n v="83.838999999999942"/>
    <d v="2027-08-01T00:00:00"/>
  </r>
  <r>
    <x v="44"/>
    <d v="2026-08-13T00:00:00"/>
    <x v="6"/>
    <s v="JOSE CARLOS ENRIQUE ROJAS REYES"/>
    <n v="62816345417"/>
    <s v="RORC631211HPLJYR04"/>
    <n v="23617082"/>
    <n v="5217472093235"/>
    <x v="1"/>
    <n v="4035.69"/>
    <n v="848"/>
    <n v="1210.7069999999999"/>
    <n v="-848"/>
    <m/>
  </r>
  <r>
    <x v="44"/>
    <d v="2026-08-13T00:00:00"/>
    <x v="6"/>
    <s v="JAVIER REPER ALDANA"/>
    <m/>
    <s v="REAJ591022HHGPLV05"/>
    <n v="23606704"/>
    <n v="5215630957888"/>
    <x v="0"/>
    <n v="7920.51"/>
    <m/>
    <n v="2376.1529999999998"/>
    <n v="2376.1529999999998"/>
    <m/>
  </r>
  <r>
    <x v="44"/>
    <d v="2026-08-14T00:00:00"/>
    <x v="31"/>
    <s v="MARGARITO FELICIANO GONZALEZ"/>
    <n v="72786009315"/>
    <s v="FEGM600413HGRLNR04"/>
    <n v="2"/>
    <n v="8671619075"/>
    <x v="2"/>
    <n v="5617.63"/>
    <n v="1444.64"/>
    <n v="1685.289"/>
    <n v="1.0000000000445652E-2"/>
    <d v="2027-02-01T00:00:00"/>
  </r>
  <r>
    <x v="44"/>
    <d v="2026-08-14T00:00:00"/>
    <x v="13"/>
    <s v="MARIA INES SOSA VAZQUEZ"/>
    <n v="96907233041"/>
    <s v="SOVI770121MHGSZN03"/>
    <n v="23615990"/>
    <n v="5217751831462"/>
    <x v="1"/>
    <n v="3632.16"/>
    <n v="879"/>
    <n v="1089.6479999999999"/>
    <n v="-879"/>
    <m/>
  </r>
  <r>
    <x v="44"/>
    <d v="2026-08-14T00:00:00"/>
    <x v="46"/>
    <s v="EDUARDO FIGUEROA DOMINGUEZ"/>
    <m/>
    <s v="FIDE820816HNLGMD06"/>
    <n v="23634422"/>
    <n v="23634422"/>
    <x v="1"/>
    <n v="2290.64"/>
    <m/>
    <n v="687.19199999999989"/>
    <n v="0"/>
    <m/>
  </r>
  <r>
    <x v="44"/>
    <d v="2026-08-13T00:00:00"/>
    <x v="6"/>
    <s v="PATRICIA GONZALEZ JUAREZ "/>
    <m/>
    <s v="GOJP630318MPLNRT04"/>
    <n v="23617218"/>
    <n v="5212216522058"/>
    <x v="3"/>
    <n v="43265.1"/>
    <n v="12512.09"/>
    <n v="12979.529999999999"/>
    <n v="467.43999999999869"/>
    <d v="2027-04-01T00:00:00"/>
  </r>
  <r>
    <x v="44"/>
    <d v="2026-08-13T00:00:00"/>
    <x v="20"/>
    <s v="damian "/>
    <n v="65927159478"/>
    <m/>
    <n v="23607774"/>
    <n v="5217821122540"/>
    <x v="2"/>
    <n v="7920.51"/>
    <n v="2077.7399999999998"/>
    <n v="2376.1529999999998"/>
    <n v="298.41300000000001"/>
    <d v="2026-11-01T00:00:00"/>
  </r>
  <r>
    <x v="44"/>
    <d v="2026-08-13T00:00:00"/>
    <x v="19"/>
    <s v="MAGDALENA "/>
    <n v="67856725519"/>
    <s v="VALM740304MVZZRG03"/>
    <n v="23610174"/>
    <n v="5212741113843"/>
    <x v="1"/>
    <n v="3551.62"/>
    <n v="879"/>
    <n v="1065.4859999999999"/>
    <n v="-879"/>
    <m/>
  </r>
  <r>
    <x v="44"/>
    <d v="2026-08-12T00:00:00"/>
    <x v="29"/>
    <s v="J. JESUS CERNA HERNANDEZ"/>
    <m/>
    <s v="CEHJ621121HCMRRS06"/>
    <n v="23581466"/>
    <n v="5213121700271"/>
    <x v="0"/>
    <n v="7116.73"/>
    <m/>
    <n v="2135.0189999999998"/>
    <n v="2135.0189999999998"/>
    <m/>
  </r>
  <r>
    <x v="44"/>
    <d v="2026-08-13T00:00:00"/>
    <x v="13"/>
    <s v="HUMBERTO CARPIO HORTA"/>
    <s v="01907245995"/>
    <s v="CAHH720214HDFRRM00"/>
    <n v="23615574"/>
    <n v="5214432248200"/>
    <x v="8"/>
    <m/>
    <m/>
    <n v="0"/>
    <n v="0"/>
    <m/>
  </r>
  <r>
    <x v="44"/>
    <d v="2026-08-14T00:00:00"/>
    <x v="13"/>
    <s v="JOSE ALFREDO EGUINO URBINA"/>
    <n v="23755626613"/>
    <s v="EUUA561101HSLGRL05"/>
    <n v="23623720"/>
    <n v="5216738523452"/>
    <x v="0"/>
    <n v="29149.68"/>
    <n v="1949.39"/>
    <n v="8744.9040000000005"/>
    <n v="6795.5140000000001"/>
    <d v="2025-12-01T00:00:00"/>
  </r>
  <r>
    <x v="44"/>
    <d v="2026-08-14T00:00:00"/>
    <x v="13"/>
    <s v="JOSE RICARDO URROZ THOMPSON"/>
    <n v="54785201937"/>
    <s v="UOTR520924HSLRHC07"/>
    <n v="23630674"/>
    <n v="5213331901256"/>
    <x v="0"/>
    <n v="43659.64"/>
    <m/>
    <n v="13097.892"/>
    <n v="13097.892"/>
    <m/>
  </r>
  <r>
    <x v="44"/>
    <d v="2026-08-14T00:00:00"/>
    <x v="31"/>
    <s v="GRACIELA VELAZQUEZ PEREZ"/>
    <s v="90876905382"/>
    <s v="VEPG690621MDFLRR06"/>
    <n v="2"/>
    <n v="5518900715"/>
    <x v="1"/>
    <n v="2551.62"/>
    <n v="879"/>
    <n v="765.48599999999999"/>
    <n v="-879"/>
    <m/>
  </r>
  <r>
    <x v="44"/>
    <d v="2026-08-14T00:00:00"/>
    <x v="32"/>
    <s v="ROBERTO ULISES TOPETE GONZALEZ"/>
    <s v="04917402531"/>
    <s v="TOGR740425HJCPNB04"/>
    <n v="2"/>
    <s v="33 1418 8748"/>
    <x v="2"/>
    <n v="8181.55"/>
    <n v="2367.12"/>
    <n v="2454.4650000000001"/>
    <n v="87.345000000000255"/>
    <d v="2027-03-01T00:00:00"/>
  </r>
  <r>
    <x v="44"/>
    <d v="2026-08-13T00:00:00"/>
    <x v="48"/>
    <s v="LETICIA MARTINEZ ACEVEDO"/>
    <m/>
    <s v="MAAL610130MDFRCT06"/>
    <n v="23614174"/>
    <n v="7222309413"/>
    <x v="2"/>
    <n v="9760.32"/>
    <n v="2819.12"/>
    <n v="2928.096"/>
    <n v="108.97600000000011"/>
    <d v="2027-04-01T00:00:00"/>
  </r>
  <r>
    <x v="44"/>
    <d v="2026-08-14T00:00:00"/>
    <x v="6"/>
    <s v="JUAN FRANCISCO SOTO GOMEZ "/>
    <n v="1278612852"/>
    <s v="SOGJ611009HGTTMN07"/>
    <n v="23635512"/>
    <n v="4774040710"/>
    <x v="2"/>
    <n v="7640.52"/>
    <n v="2291.5"/>
    <n v="2292.1559999999999"/>
    <n v="0.65599999999994907"/>
    <d v="2027-07-01T00:00:00"/>
  </r>
  <r>
    <x v="44"/>
    <d v="2026-08-14T00:00:00"/>
    <x v="20"/>
    <s v="MARIA LOURDES "/>
    <m/>
    <s v="GABL611120MGRRHR03"/>
    <n v="23606270"/>
    <n v="5215540340074"/>
    <x v="2"/>
    <n v="7116.73"/>
    <n v="2058.83"/>
    <n v="2135.0189999999998"/>
    <n v="76.188999999999851"/>
    <d v="2027-12-01T00:00:00"/>
  </r>
  <r>
    <x v="44"/>
    <d v="2026-08-10T00:00:00"/>
    <x v="20"/>
    <s v="JOSE ISABEL "/>
    <n v="32685927272"/>
    <m/>
    <n v="23515440"/>
    <n v="5218617985305"/>
    <x v="2"/>
    <n v="4813.6899999999996"/>
    <n v="617.9"/>
    <n v="1444.1069999999997"/>
    <n v="22.810000000000059"/>
    <d v="2027-12-01T00:00:00"/>
  </r>
  <r>
    <x v="44"/>
    <d v="2026-08-13T00:00:00"/>
    <x v="28"/>
    <s v="FABRICIO TORIBIO FIGUEROA VEGA"/>
    <m/>
    <s v="FIVF630328HSRGGB05"/>
    <n v="23616702"/>
    <n v="5216444999093"/>
    <x v="0"/>
    <n v="9760.32"/>
    <m/>
    <n v="2928.096"/>
    <n v="2928.096"/>
    <m/>
  </r>
  <r>
    <x v="44"/>
    <d v="2026-08-14T00:00:00"/>
    <x v="31"/>
    <s v="SANDRA ORALIA LERMA MARIN"/>
    <n v="43936706076"/>
    <s v="LEMS710408MNLRRN06"/>
    <n v="2"/>
    <n v="8128998404"/>
    <x v="2"/>
    <n v="5639.62"/>
    <n v="1618.97"/>
    <n v="1691.886"/>
    <n v="-152.3299999999997"/>
    <d v="2027-08-01T00:00:00"/>
  </r>
  <r>
    <x v="44"/>
    <d v="2026-08-14T00:00:00"/>
    <x v="31"/>
    <s v="CARLOS ALEJANDRO BRETON VAZQUEZ"/>
    <n v="40856200429"/>
    <s v="BEVC620709HDFRZR09"/>
    <n v="2"/>
    <n v="5519497280"/>
    <x v="2"/>
    <n v="8422.91"/>
    <n v="2405.4"/>
    <n v="2526.873"/>
    <n v="121.47299999999996"/>
    <d v="2027-11-01T00:00:00"/>
  </r>
  <r>
    <x v="44"/>
    <d v="2026-08-14T00:00:00"/>
    <x v="32"/>
    <s v="JOSE OLEGARIO NAVA LOYOLA"/>
    <n v="6795702361"/>
    <s v="NANO571001HSPVYL03"/>
    <n v="2"/>
    <s v="868 182 3011"/>
    <x v="6"/>
    <n v="9081.52"/>
    <n v="2521.35"/>
    <n v="2724.4560000000001"/>
    <n v="203.10600000000022"/>
    <d v="2026-07-01T00:00:00"/>
  </r>
  <r>
    <x v="44"/>
    <d v="2026-08-14T00:00:00"/>
    <x v="32"/>
    <s v="MARCO ANTONIO LEON LOPEZ"/>
    <s v="06765510463"/>
    <s v="LELM550627HVZNPR05"/>
    <n v="2"/>
    <s v=" 899 480 0755"/>
    <x v="1"/>
    <n v="3961.31"/>
    <m/>
    <n v="1188.393"/>
    <n v="0"/>
    <m/>
  </r>
  <r>
    <x v="44"/>
    <d v="2026-08-14T00:00:00"/>
    <x v="13"/>
    <s v="ARTURO GUERRA BENITEZ"/>
    <m/>
    <s v="GUBA600131HDFRNR02"/>
    <n v="23626314"/>
    <n v="5215580671631"/>
    <x v="6"/>
    <n v="7920.51"/>
    <n v="2199.02"/>
    <n v="2376.1529999999998"/>
    <n v="177.13299999999981"/>
    <d v="2026-03-01T00:00:00"/>
  </r>
  <r>
    <x v="44"/>
    <d v="2026-08-14T00:00:00"/>
    <x v="31"/>
    <s v="MAURICIO SENTECAL GUERRERO"/>
    <n v="64836103875"/>
    <s v="SEGM610316HDFNRR02"/>
    <n v="2"/>
    <n v="5548785824"/>
    <x v="2"/>
    <n v="6262.86"/>
    <n v="1878.8"/>
    <n v="1878.8579999999997"/>
    <n v="5.799999999976535E-2"/>
    <d v="2028-05-01T00:00:00"/>
  </r>
  <r>
    <x v="44"/>
    <d v="2026-08-14T00:00:00"/>
    <x v="31"/>
    <s v="MARIA GUADALUPE ESPINOLA GLORIA"/>
    <n v="20876701432"/>
    <s v="EIGG670105MDFSLD00"/>
    <n v="2"/>
    <s v="55 8791 8442"/>
    <x v="5"/>
    <m/>
    <m/>
    <n v="0"/>
    <n v="0"/>
    <m/>
  </r>
  <r>
    <x v="44"/>
    <d v="2026-08-14T00:00:00"/>
    <x v="46"/>
    <s v="LOURDES CORONA AGUIRRE"/>
    <n v="62857008916"/>
    <s v="COAL710912MTLRGR06"/>
    <n v="23640946"/>
    <n v="2481106042"/>
    <x v="1"/>
    <n v="3908.19"/>
    <n v="848"/>
    <n v="1172.4569999999999"/>
    <n v="-848"/>
    <m/>
  </r>
  <r>
    <x v="44"/>
    <d v="2026-08-14T00:00:00"/>
    <x v="32"/>
    <s v="TOMAS AVALOS CASTOR"/>
    <n v="31846503337"/>
    <s v="AACT650307HCLVSM05"/>
    <n v="2"/>
    <s v="871 896 6695"/>
    <x v="2"/>
    <n v="9760.32"/>
    <n v="2823.89"/>
    <n v="2928.096"/>
    <n v="104.20600000000013"/>
    <d v="2027-05-01T00:00:00"/>
  </r>
  <r>
    <x v="44"/>
    <d v="2026-08-14T00:00:00"/>
    <x v="31"/>
    <s v="MIGUEL AGUSTIN NIETO ISUNZA"/>
    <n v="32815715845"/>
    <s v="NIIM570705HCLTSG09"/>
    <n v="2"/>
    <s v="877 191 1904"/>
    <x v="2"/>
    <n v="76011.12"/>
    <n v="22801.53"/>
    <n v="22803.335999999999"/>
    <n v="1.8060000000004948"/>
    <d v="2027-07-01T00:00:00"/>
  </r>
  <r>
    <x v="44"/>
    <d v="2026-08-14T00:00:00"/>
    <x v="46"/>
    <s v="EZEQUIEL ARTURO MENESES CARRO"/>
    <m/>
    <s v="MECE581011HDFNRZ07"/>
    <n v="23642152"/>
    <n v="5526896630"/>
    <x v="0"/>
    <n v="9760.32"/>
    <m/>
    <n v="2928.096"/>
    <n v="2928.096"/>
    <m/>
  </r>
  <r>
    <x v="44"/>
    <d v="2026-08-14T00:00:00"/>
    <x v="6"/>
    <s v="EVERARDO ONGAY SUMOHANO "/>
    <n v="83654500079"/>
    <m/>
    <n v="23632218"/>
    <n v="5219934026624"/>
    <x v="1"/>
    <n v="3881.65"/>
    <n v="879"/>
    <n v="1164.4949999999999"/>
    <n v="-879"/>
    <m/>
  </r>
  <r>
    <x v="44"/>
    <d v="2026-08-13T00:00:00"/>
    <x v="6"/>
    <s v="GABRIEL GUADALUPE VELUETA SOSA "/>
    <n v="62806015632"/>
    <s v="VESG600226HCCLSB06"/>
    <n v="23608038"/>
    <n v="5219982282392"/>
    <x v="2"/>
    <n v="6262.86"/>
    <n v="1878.86"/>
    <n v="1878.8579999999997"/>
    <n v="-2.00000000018008E-3"/>
    <d v="2027-12-01T00:00:00"/>
  </r>
  <r>
    <x v="44"/>
    <d v="2026-08-10T00:00:00"/>
    <x v="19"/>
    <s v="REYNALDO"/>
    <n v="24786215252"/>
    <m/>
    <n v="23516552"/>
    <n v="5216471278749"/>
    <x v="0"/>
    <n v="18495.57"/>
    <m/>
    <n v="5548.6709999999994"/>
    <n v="5548.6709999999994"/>
    <m/>
  </r>
  <r>
    <x v="44"/>
    <d v="2026-08-14T00:00:00"/>
    <x v="13"/>
    <s v="AIDA SOLEDAD TERAN BALLESTEROS"/>
    <s v=" 24775604853"/>
    <s v="TEBA560220MSRRLD06"/>
    <n v="23640602"/>
    <n v="5216643345747"/>
    <x v="0"/>
    <n v="9826.06"/>
    <m/>
    <n v="2947.8179999999998"/>
    <n v="2947.8179999999998"/>
    <m/>
  </r>
  <r>
    <x v="44"/>
    <d v="2026-08-12T00:00:00"/>
    <x v="29"/>
    <s v="EMMA GONZALEZ HERNANDEZ"/>
    <m/>
    <s v="GOHE580604MCLNRM00"/>
    <n v="23581682"/>
    <n v="5218121470128"/>
    <x v="0"/>
    <n v="9760.32"/>
    <m/>
    <n v="2928.096"/>
    <n v="2928.096"/>
    <m/>
  </r>
  <r>
    <x v="44"/>
    <d v="2026-08-13T00:00:00"/>
    <x v="13"/>
    <s v="ADOLFO GARCIA LARA"/>
    <m/>
    <s v="GALA560915HGTRRD05"/>
    <n v="23617140"/>
    <n v="5214661877504"/>
    <x v="2"/>
    <n v="9760.32"/>
    <n v="2927.17"/>
    <n v="2928.096"/>
    <n v="0.92599999999993088"/>
    <d v="2028-07-01T00:00:00"/>
  </r>
  <r>
    <x v="44"/>
    <d v="2026-08-14T00:00:00"/>
    <x v="6"/>
    <s v="EDUARDO RENE POLANCO BAAS "/>
    <m/>
    <s v="POBE521030HYNLSD04"/>
    <n v="23642136"/>
    <n v="5219991731853"/>
    <x v="1"/>
    <n v="3953.25"/>
    <m/>
    <n v="1185.9749999999999"/>
    <n v="0"/>
    <m/>
  </r>
  <r>
    <x v="44"/>
    <d v="2026-08-14T00:00:00"/>
    <x v="32"/>
    <s v="ENRIQUE MONTAÑO ARTEAGA"/>
    <n v="6846522180"/>
    <s v="MOAE650208HDFNRN03"/>
    <n v="2"/>
    <n v="5636705608"/>
    <x v="2"/>
    <n v="30033.93"/>
    <n v="9009.5400000000009"/>
    <n v="9010.1790000000001"/>
    <n v="0.6389999999992142"/>
    <d v="2027-08-01T00:00:00"/>
  </r>
  <r>
    <x v="44"/>
    <d v="2026-08-14T00:00:00"/>
    <x v="20"/>
    <s v="Javier Oriol"/>
    <m/>
    <s v="EILJ611209HSRSPV07"/>
    <n v="23644852"/>
    <n v="5216413211912"/>
    <x v="2"/>
    <n v="9760.32"/>
    <n v="2823.72"/>
    <n v="2928.096"/>
    <n v="104.3760000000002"/>
    <d v="2027-04-01T00:00:00"/>
  </r>
  <r>
    <x v="44"/>
    <d v="2026-08-06T00:00:00"/>
    <x v="11"/>
    <s v="JUAN FRANCISCO CHAVEZ AYALA "/>
    <s v="12856502336"/>
    <m/>
    <n v="23426032"/>
    <n v="4777273245"/>
    <x v="0"/>
    <n v="10003.799999999999"/>
    <m/>
    <n v="3001.14"/>
    <n v="3001.14"/>
    <m/>
  </r>
  <r>
    <x v="44"/>
    <d v="2026-07-30T00:00:00"/>
    <x v="41"/>
    <s v="IGNACIO ZAVALA LOPEZ"/>
    <m/>
    <s v="ZALI500801HGTVPG09"/>
    <n v="23233854"/>
    <n v="4121001079"/>
    <x v="3"/>
    <n v="5223.3100000000004"/>
    <m/>
    <n v="1566.9930000000002"/>
    <n v="1050.3300000000008"/>
    <m/>
  </r>
  <r>
    <x v="44"/>
    <d v="2026-08-13T00:00:00"/>
    <x v="19"/>
    <m/>
    <m/>
    <s v="MEPJ691129HSLDRS01"/>
    <n v="23614532"/>
    <n v="5216641907498"/>
    <x v="5"/>
    <m/>
    <m/>
    <n v="0"/>
    <n v="0"/>
    <m/>
  </r>
  <r>
    <x v="44"/>
    <d v="2026-08-14T00:00:00"/>
    <x v="20"/>
    <s v="maria magdalena"/>
    <m/>
    <s v="LOFM650804MCLPLG06"/>
    <n v="23645800"/>
    <n v="521871223913"/>
    <x v="2"/>
    <n v="9760.32"/>
    <n v="2812.94"/>
    <n v="2928.096"/>
    <n v="115.15599999999995"/>
    <d v="2027-12-01T00:00:00"/>
  </r>
  <r>
    <x v="44"/>
    <d v="2026-08-14T00:00:00"/>
    <x v="40"/>
    <s v="Celestino Martinez"/>
    <s v="01776024919"/>
    <m/>
    <n v="23643306"/>
    <n v="1776024919"/>
    <x v="0"/>
    <n v="10608.32"/>
    <n v="848"/>
    <n v="3182.4959999999996"/>
    <n v="2334.4959999999996"/>
    <m/>
  </r>
  <r>
    <x v="45"/>
    <d v="2026-08-15T00:00:00"/>
    <x v="32"/>
    <s v="MANUEL HUERTA GONZALEZ"/>
    <n v="18825900485"/>
    <s v="HUGM530913HPLRNN01"/>
    <n v="2"/>
    <s v="55 7729 3133"/>
    <x v="1"/>
    <n v="3879.3"/>
    <n v="848"/>
    <n v="1163.79"/>
    <n v="-848"/>
    <m/>
  </r>
  <r>
    <x v="45"/>
    <d v="2026-08-15T00:00:00"/>
    <x v="32"/>
    <s v="FILOMENO MEDINA LOPEZ"/>
    <n v="1178586393"/>
    <s v="MELF580705HDFDPL00"/>
    <n v="2"/>
    <n v="5533724042"/>
    <x v="2"/>
    <n v="6262.86"/>
    <n v="1800"/>
    <n v="1878.8579999999997"/>
    <n v="78.85799999999972"/>
    <d v="2027-04-01T00:00:00"/>
  </r>
  <r>
    <x v="45"/>
    <d v="2026-08-14T00:00:00"/>
    <x v="49"/>
    <s v="VICTOR MANUELSANCHEZ YAÑEZ"/>
    <n v="19786042317"/>
    <s v="SAYV600603HDFNXC07"/>
    <n v="23639068"/>
    <n v="6566441066"/>
    <x v="7"/>
    <n v="4813.6899999999996"/>
    <n v="745.71"/>
    <n v="1444.1069999999997"/>
    <n v="-105"/>
    <d v="2024-03-01T00:00:00"/>
  </r>
  <r>
    <x v="45"/>
    <d v="2026-08-15T00:00:00"/>
    <x v="44"/>
    <s v="RAYMUNDO ELOY ZARATE HERNANDEZ"/>
    <m/>
    <s v="ZAHR650704HOCRRY08"/>
    <n v="23654202"/>
    <n v="9511955382"/>
    <x v="0"/>
    <n v="9760.32"/>
    <m/>
    <n v="2928.096"/>
    <n v="2928.096"/>
    <m/>
  </r>
  <r>
    <x v="45"/>
    <d v="2026-08-13T00:00:00"/>
    <x v="49"/>
    <s v="JOSE MORALES OSORIO"/>
    <n v="62917111742"/>
    <s v="MOOJ710710hplrss09"/>
    <n v="23602710"/>
    <n v="2211568424"/>
    <x v="2"/>
    <n v="21903.95"/>
    <n v="6571.19"/>
    <n v="6571.1850000000004"/>
    <n v="-4.9999999991996447E-3"/>
    <d v="2027-02-01T00:00:00"/>
  </r>
  <r>
    <x v="45"/>
    <d v="2026-08-14T00:00:00"/>
    <x v="6"/>
    <s v="JOSE GUADALUPE HERNANDEZ TORRES "/>
    <m/>
    <s v="HETG650603HTSRRD03"/>
    <n v="23639912"/>
    <n v="5218991604023"/>
    <x v="2"/>
    <n v="9760.32"/>
    <n v="2806.88"/>
    <n v="2928.096"/>
    <n v="121.21599999999989"/>
    <d v="2027-09-01T00:00:00"/>
  </r>
  <r>
    <x v="45"/>
    <d v="2026-08-15T00:00:00"/>
    <x v="11"/>
    <s v="Alvaro villalobos avelino "/>
    <s v="31685117090"/>
    <m/>
    <n v="23654046"/>
    <n v="8718875940"/>
    <x v="3"/>
    <n v="7920.51"/>
    <n v="1441.51"/>
    <n v="2376.1529999999998"/>
    <n v="934.6429999999998"/>
    <m/>
  </r>
  <r>
    <x v="45"/>
    <d v="2026-08-03T00:00:00"/>
    <x v="44"/>
    <s v="juan jose jaramillo moreno"/>
    <m/>
    <s v="JAMJ540618HCLRRN04"/>
    <n v="23327768"/>
    <n v="8998994082"/>
    <x v="1"/>
    <n v="4007.18"/>
    <n v="848"/>
    <n v="1202.154"/>
    <n v="-848"/>
    <m/>
  </r>
  <r>
    <x v="45"/>
    <d v="2026-08-14T00:00:00"/>
    <x v="49"/>
    <s v="HECTOR ZUÑIGA SOLORIO"/>
    <s v="01765040090"/>
    <s v="ZUSH501019HMNXLC05"/>
    <n v="23643308"/>
    <n v="4428253564"/>
    <x v="1"/>
    <n v="3855.42"/>
    <m/>
    <n v="1156.626"/>
    <n v="0"/>
    <m/>
  </r>
  <r>
    <x v="45"/>
    <d v="2026-08-12T00:00:00"/>
    <x v="28"/>
    <s v="CARLOS MARTIN MEZA MORA"/>
    <m/>
    <s v="MEMC650407HNTZRR05"/>
    <n v="23582938"/>
    <n v="5213322576340"/>
    <x v="0"/>
    <n v="11029.03"/>
    <m/>
    <n v="3308.7090000000003"/>
    <n v="3308.7090000000003"/>
    <m/>
  </r>
  <r>
    <x v="45"/>
    <d v="2026-08-15T00:00:00"/>
    <x v="19"/>
    <m/>
    <n v="88856802611"/>
    <m/>
    <n v="23649164"/>
    <n v="5215512901848"/>
    <x v="0"/>
    <n v="7135.6"/>
    <n v="879"/>
    <n v="2140.6799999999998"/>
    <n v="1261.6799999999998"/>
    <m/>
  </r>
  <r>
    <x v="45"/>
    <d v="2026-08-15T00:00:00"/>
    <x v="49"/>
    <s v="PATRICIA OSEGUERA RAMIREZ"/>
    <m/>
    <s v="OERP610515MMNSMT06"/>
    <n v="23655368"/>
    <n v="3322692906"/>
    <x v="9"/>
    <n v="7116.73"/>
    <n v="1974.98"/>
    <n v="2135.0189999999998"/>
    <n v="160.03899999999976"/>
    <d v="2026-06-01T00:00:00"/>
  </r>
  <r>
    <x v="45"/>
    <d v="2026-08-14T00:00:00"/>
    <x v="46"/>
    <s v="IRASEMA CHELIUS FERREIRO"/>
    <m/>
    <s v="CEFI601126MSLHRR09"/>
    <n v="23642682"/>
    <n v="6692378325"/>
    <x v="0"/>
    <n v="5617.63"/>
    <m/>
    <n v="1685.289"/>
    <n v="1444.6500000000005"/>
    <m/>
  </r>
  <r>
    <x v="45"/>
    <d v="2026-08-13T00:00:00"/>
    <x v="13"/>
    <s v="LUCIANO RODRIGUEZ RAMOS "/>
    <m/>
    <s v="RORL490107HMCDMC00"/>
    <n v="23618202"/>
    <n v="5215564303042"/>
    <x v="0"/>
    <n v="20827.88"/>
    <m/>
    <n v="6248.3640000000005"/>
    <n v="6248.3640000000005"/>
    <m/>
  </r>
  <r>
    <x v="45"/>
    <d v="2026-08-15T00:00:00"/>
    <x v="11"/>
    <s v="arturo miraflores camacho "/>
    <s v="17805920141"/>
    <m/>
    <n v="23653400"/>
    <n v="5215548062565"/>
    <x v="0"/>
    <n v="11182.26"/>
    <m/>
    <n v="3354.6779999999999"/>
    <n v="3354.6779999999999"/>
    <m/>
  </r>
  <r>
    <x v="45"/>
    <d v="2026-07-27T00:00:00"/>
    <x v="6"/>
    <s v="SANDRA OLIVIA IBARRA COBOS "/>
    <n v="33867082656"/>
    <s v="IACS700218MCHBBN07"/>
    <n v="23135360"/>
    <n v="5216143544212"/>
    <x v="1"/>
    <n v="834.59"/>
    <m/>
    <n v="250.37700000000001"/>
    <n v="0"/>
    <m/>
  </r>
  <r>
    <x v="45"/>
    <d v="2026-08-13T00:00:00"/>
    <x v="0"/>
    <s v="ELEUTERIO JUAREZ ZENDEJAS"/>
    <m/>
    <s v="JUZE510220MGTRNL07"/>
    <n v="23614036"/>
    <n v="5214773930492"/>
    <x v="1"/>
    <n v="3855.42"/>
    <m/>
    <n v="1156.626"/>
    <n v="0"/>
    <m/>
  </r>
  <r>
    <x v="45"/>
    <d v="2026-08-14T00:00:00"/>
    <x v="0"/>
    <s v="FRANCISCO"/>
    <s v="43866827793_x000a_"/>
    <m/>
    <n v="23644964"/>
    <n v="5216644605312"/>
    <x v="1"/>
    <n v="2399.6"/>
    <m/>
    <n v="719.88"/>
    <n v="0"/>
    <m/>
  </r>
  <r>
    <x v="45"/>
    <d v="2026-08-14T00:00:00"/>
    <x v="0"/>
    <s v="JOSE LUIS RODRIGUEZ MORENO"/>
    <m/>
    <s v="ROML560512HCLDRS03"/>
    <n v="23646572"/>
    <n v="5218648092586"/>
    <x v="1"/>
    <n v="3568.75"/>
    <n v="879"/>
    <n v="1070.625"/>
    <n v="-879"/>
    <m/>
  </r>
  <r>
    <x v="45"/>
    <d v="2026-08-15T00:00:00"/>
    <x v="11"/>
    <s v="Amada Roxana Bernal Segundo"/>
    <s v="43805812120"/>
    <m/>
    <n v="23651074"/>
    <n v="5218181190717"/>
    <x v="1"/>
    <n v="4417.93"/>
    <n v="213.51"/>
    <n v="1325.3790000000001"/>
    <n v="31.440000000000737"/>
    <m/>
  </r>
  <r>
    <x v="45"/>
    <d v="2026-08-15T00:00:00"/>
    <x v="6"/>
    <s v="REBECA LLANAS OLMOS "/>
    <n v="32786220809"/>
    <s v="LAOR620217MCLLLB09"/>
    <n v="23655726"/>
    <n v="5218661123155"/>
    <x v="2"/>
    <n v="7116.73"/>
    <n v="2133.39"/>
    <n v="2135.0189999999998"/>
    <n v="1.6289999999999054"/>
    <d v="2028-04-01T00:00:00"/>
  </r>
  <r>
    <x v="45"/>
    <d v="2026-08-13T00:00:00"/>
    <x v="0"/>
    <s v="ANGEL DIAZ ROSADO"/>
    <m/>
    <s v="DIRA751031HOCZSN00"/>
    <n v="23614354"/>
    <n v="5216121077048"/>
    <x v="5"/>
    <m/>
    <m/>
    <n v="0"/>
    <n v="0"/>
    <m/>
  </r>
  <r>
    <x v="45"/>
    <d v="2026-08-11T00:00:00"/>
    <x v="45"/>
    <s v="Maria de Jesus Solís Hernandez"/>
    <n v="8169828475"/>
    <s v="SOHJ021017MDGLRSA8"/>
    <n v="23550938"/>
    <n v="8719236563"/>
    <x v="4"/>
    <m/>
    <m/>
    <n v="0"/>
    <n v="0"/>
    <m/>
  </r>
  <r>
    <x v="45"/>
    <d v="2026-08-15T00:00:00"/>
    <x v="13"/>
    <s v=" MAURICIO MARIO BUSTAMANTE MONTOYA"/>
    <s v="01755914171"/>
    <s v="BUMM590922HMCSNR06"/>
    <n v="23656784"/>
    <n v="5215566557997"/>
    <x v="2"/>
    <n v="7804.49"/>
    <n v="2255.75"/>
    <n v="2341.3469999999998"/>
    <n v="85.596999999999753"/>
    <d v="2026-09-01T00:00:00"/>
  </r>
  <r>
    <x v="45"/>
    <d v="2026-08-15T00:00:00"/>
    <x v="13"/>
    <s v="JOSE NARCIZO HERNANDEZ MORENO"/>
    <s v="15836501161 "/>
    <s v="HEMN650414HMSRRR00"/>
    <n v="23656032"/>
    <n v="5213228891351"/>
    <x v="2"/>
    <n v="9760.32"/>
    <n v="2925.63"/>
    <n v="2928.096"/>
    <n v="2.4659999999998945"/>
    <d v="2028-04-01T00:00:00"/>
  </r>
  <r>
    <x v="45"/>
    <d v="2026-08-14T00:00:00"/>
    <x v="49"/>
    <s v="MARIA DEL CARMEN GUTU SANTIAGO"/>
    <s v="11806216492"/>
    <s v="GUSC620109MDFTNR06"/>
    <n v="23641594"/>
    <n v="5548579013"/>
    <x v="0"/>
    <n v="7920.51"/>
    <m/>
    <n v="2376.1529999999998"/>
    <n v="2376.1529999999998"/>
    <m/>
  </r>
  <r>
    <x v="45"/>
    <d v="2026-08-15T00:00:00"/>
    <x v="44"/>
    <s v="SERGIO DURAN LOPEZ"/>
    <m/>
    <s v="DULS460923HGTRPR02"/>
    <n v="23657380"/>
    <n v="4422659996"/>
    <x v="0"/>
    <n v="13870"/>
    <m/>
    <n v="4161"/>
    <n v="4161"/>
    <m/>
  </r>
  <r>
    <x v="45"/>
    <d v="2026-08-15T00:00:00"/>
    <x v="40"/>
    <s v="Jose Ricardo Barron Mendez"/>
    <s v="01887041653"/>
    <m/>
    <n v="23658476"/>
    <n v="5539511754"/>
    <x v="1"/>
    <n v="3131.8"/>
    <n v="782"/>
    <n v="939.54"/>
    <n v="-782"/>
    <m/>
  </r>
  <r>
    <x v="45"/>
    <d v="2026-08-14T00:00:00"/>
    <x v="45"/>
    <s v="Leticia Gutierrez Partida"/>
    <m/>
    <s v="GUPL670315MJCTRT08"/>
    <n v="23657474"/>
    <n v="3333767643"/>
    <x v="3"/>
    <n v="5642.22"/>
    <n v="848"/>
    <n v="1692.6659999999999"/>
    <n v="621.24000000000069"/>
    <m/>
  </r>
  <r>
    <x v="45"/>
    <d v="2026-08-15T00:00:00"/>
    <x v="49"/>
    <s v="FIDENCIO CORTES HERNANDEZ "/>
    <m/>
    <s v="COHF690708HVZRRD05"/>
    <n v="23657116"/>
    <n v="5526930045"/>
    <x v="5"/>
    <m/>
    <m/>
    <n v="0"/>
    <n v="0"/>
    <m/>
  </r>
  <r>
    <x v="45"/>
    <d v="2026-08-14T00:00:00"/>
    <x v="45"/>
    <s v="Gilberto Vazquez Vega"/>
    <n v="37897043479"/>
    <s v="VAVG700722HDFZGL05"/>
    <n v="23655978"/>
    <n v="5564529006"/>
    <x v="3"/>
    <n v="24572.71"/>
    <n v="6286.5"/>
    <n v="7371.8129999999992"/>
    <n v="1085.3129999999992"/>
    <d v="2027-02-01T00:00:00"/>
  </r>
  <r>
    <x v="45"/>
    <d v="2026-08-15T00:00:00"/>
    <x v="44"/>
    <s v="AURORA TORRES AGUILAR"/>
    <m/>
    <s v="TOAA690813MDFRGR04"/>
    <n v="23658808"/>
    <n v="2225312270"/>
    <x v="5"/>
    <m/>
    <m/>
    <n v="0"/>
    <n v="0"/>
    <m/>
  </r>
  <r>
    <x v="45"/>
    <d v="2026-08-14T00:00:00"/>
    <x v="46"/>
    <s v="GUADALUPE SARA YAZMIN GARCIA JAIMES"/>
    <m/>
    <s v="GAJG630406MDFRMD03"/>
    <n v="23642152"/>
    <n v="5526896630"/>
    <x v="0"/>
    <n v="8427.4"/>
    <m/>
    <n v="2528.2199999999998"/>
    <n v="2528.2199999999998"/>
    <m/>
  </r>
  <r>
    <x v="45"/>
    <d v="2026-08-15T00:00:00"/>
    <x v="6"/>
    <s v="ELENA DEYANIRA FRANCO ALVARADO"/>
    <s v="32937675828"/>
    <s v="FAAE770312MCLRLL07"/>
    <n v="23658726"/>
    <n v="5218443403521"/>
    <x v="2"/>
    <n v="8181.55"/>
    <n v="2449.71"/>
    <n v="2454.4650000000001"/>
    <n v="4.7550000000001091"/>
    <d v="2027-07-01T00:00:00"/>
  </r>
  <r>
    <x v="45"/>
    <d v="2026-08-15T00:00:00"/>
    <x v="28"/>
    <s v="EFRAIN OLVERA RAMIREZ"/>
    <m/>
    <s v="OERE610713HQTLMF18"/>
    <n v="23655758"/>
    <n v="5214423533075"/>
    <x v="6"/>
    <n v="41759.47"/>
    <n v="11571"/>
    <n v="12527.841"/>
    <n v="956.84100000000035"/>
    <d v="2026-08-01T00:00:00"/>
  </r>
  <r>
    <x v="45"/>
    <d v="2026-08-14T00:00:00"/>
    <x v="45"/>
    <s v="MARTIN CUELLAR RODRIGUEZ"/>
    <m/>
    <s v="CURM641027HPLLDR03"/>
    <n v="23660426"/>
    <n v="2221645720"/>
    <x v="2"/>
    <n v="9760.32"/>
    <n v="2823.89"/>
    <n v="2928.096"/>
    <n v="104.20600000000013"/>
    <d v="2027-12-01T00:00:00"/>
  </r>
  <r>
    <x v="45"/>
    <d v="2026-08-15T00:00:00"/>
    <x v="50"/>
    <m/>
    <n v="64856524786"/>
    <m/>
    <n v="23659986"/>
    <n v="7721519113"/>
    <x v="5"/>
    <m/>
    <m/>
    <n v="0"/>
    <n v="0"/>
    <m/>
  </r>
  <r>
    <x v="45"/>
    <d v="2026-08-11T00:00:00"/>
    <x v="6"/>
    <s v="PATRICIA EVA LEONILA MORA RIVERA "/>
    <m/>
    <s v="MORP500313MDFRVT06"/>
    <n v="23538562"/>
    <n v="5215510948410"/>
    <x v="4"/>
    <m/>
    <m/>
    <n v="0"/>
    <n v="0"/>
    <m/>
  </r>
  <r>
    <x v="45"/>
    <d v="2026-08-15T00:00:00"/>
    <x v="40"/>
    <s v="JUAN PABLO RANGEL FISCAL"/>
    <m/>
    <s v="RAFJ941230HMNNSN01"/>
    <n v="23660998"/>
    <n v="4422725280"/>
    <x v="0"/>
    <n v="5887.44"/>
    <m/>
    <n v="1766.2319999999997"/>
    <n v="1714.46"/>
    <m/>
  </r>
  <r>
    <x v="45"/>
    <d v="2026-08-11T00:00:00"/>
    <x v="13"/>
    <s v="CARLOS ORTIZ HERNANDEZ"/>
    <m/>
    <s v="OIHC630909HGTRRR05"/>
    <n v="23554472"/>
    <n v="5214426546619"/>
    <x v="6"/>
    <n v="7920.51"/>
    <n v="2285.04"/>
    <n v="2376.1529999999998"/>
    <n v="91.112999999999829"/>
    <d v="2025-11-01T00:00:00"/>
  </r>
  <r>
    <x v="45"/>
    <d v="2026-08-15T00:00:00"/>
    <x v="46"/>
    <s v="JOSE MAURICIO CRUZ MARTINEZ"/>
    <m/>
    <s v="CUMM510922HVZRRR03"/>
    <n v="23657094"/>
    <n v="6648561730"/>
    <x v="0"/>
    <n v="9081.52"/>
    <n v="968.88"/>
    <n v="2724.4560000000001"/>
    <n v="1755.576"/>
    <d v="2027-02-01T00:00:00"/>
  </r>
  <r>
    <x v="45"/>
    <d v="2026-08-12T00:00:00"/>
    <x v="49"/>
    <s v="ROBERTO GAZCA ROBLES"/>
    <m/>
    <s v="GARR600118HJCZBB09"/>
    <n v="23578832"/>
    <n v="4888832501"/>
    <x v="0"/>
    <n v="22646.44"/>
    <m/>
    <n v="6793.9319999999998"/>
    <n v="6793.9319999999998"/>
    <m/>
  </r>
  <r>
    <x v="45"/>
    <d v="2026-08-14T00:00:00"/>
    <x v="11"/>
    <s v="Jesus antonio Islas de la Cruz"/>
    <s v="16846513196"/>
    <m/>
    <n v="23647128"/>
    <n v="5217227549900"/>
    <x v="2"/>
    <n v="14299.58"/>
    <n v="4289.87"/>
    <n v="4289.8739999999998"/>
    <n v="3.9999999999054126E-3"/>
    <d v="2026-11-01T00:00:00"/>
  </r>
  <r>
    <x v="45"/>
    <d v="2026-08-15T00:00:00"/>
    <x v="46"/>
    <s v="SILVIA ESPINOSA HERRERA"/>
    <s v="01907022477"/>
    <s v="EIHS680401MMCSRL02"/>
    <n v="23660920"/>
    <n v="7721854534"/>
    <x v="9"/>
    <n v="4558.76"/>
    <n v="1023.36"/>
    <n v="1367.6279999999999"/>
    <n v="-637.57999999999936"/>
    <d v="2022-11-01T00:00:00"/>
  </r>
  <r>
    <x v="45"/>
    <d v="2026-08-14T00:00:00"/>
    <x v="49"/>
    <s v="JOSE JACOBO BARBOSA"/>
    <m/>
    <s v="JABJ580917HZSCRS00"/>
    <n v="23640980"/>
    <n v="5569022312"/>
    <x v="2"/>
    <n v="7512.02"/>
    <n v="2172.98"/>
    <n v="2253.6060000000002"/>
    <n v="80.626000000000204"/>
    <d v="2027-05-01T00:00:00"/>
  </r>
  <r>
    <x v="45"/>
    <d v="2026-07-22T00:00:00"/>
    <x v="6"/>
    <s v="EDUWIGIS PEREZ SALAS"/>
    <m/>
    <s v="PESE550918MDFRLD04"/>
    <n v="23005634"/>
    <n v="5215580661604"/>
    <x v="1"/>
    <n v="3961.31"/>
    <m/>
    <n v="1188.393"/>
    <n v="0"/>
    <m/>
  </r>
  <r>
    <x v="45"/>
    <d v="2026-08-14T00:00:00"/>
    <x v="45"/>
    <s v="Carmen Gonzalez Perez"/>
    <m/>
    <s v="GOPC551230MTLNRR09"/>
    <n v="23661876"/>
    <n v="2412407657"/>
    <x v="2"/>
    <n v="9082.52"/>
    <n v="2718.54"/>
    <n v="2724.7559999999999"/>
    <n v="6.2159999999998945"/>
    <d v="2027-02-01T00:00:00"/>
  </r>
  <r>
    <x v="45"/>
    <d v="2026-08-15T00:00:00"/>
    <x v="11"/>
    <s v="Sandra Elizabeth calderilla Martinez"/>
    <s v="12968122338"/>
    <m/>
    <n v="23652622"/>
    <n v="5214622501897"/>
    <x v="9"/>
    <n v="5617.63"/>
    <n v="1487.97"/>
    <n v="1685.289"/>
    <n v="-43.319999999999482"/>
    <d v="2025-08-01T00:00:00"/>
  </r>
  <r>
    <x v="45"/>
    <d v="2026-08-15T00:00:00"/>
    <x v="13"/>
    <s v="PATRICIA RAMIREZ GUTIERREZ"/>
    <n v="41907120947"/>
    <s v="RAGP730317MDFMTT00"/>
    <n v="23654808"/>
    <n v="5214445105873"/>
    <x v="7"/>
    <n v="14500.95"/>
    <n v="4522.1499999999996"/>
    <n v="4350.2849999999999"/>
    <n v="-171.86499999999978"/>
    <d v="2025-03-01T00:00:00"/>
  </r>
  <r>
    <x v="45"/>
    <d v="2026-08-15T00:00:00"/>
    <x v="19"/>
    <m/>
    <n v="78826422129"/>
    <m/>
    <n v="23646818"/>
    <n v="9511185178"/>
    <x v="2"/>
    <n v="9081.52"/>
    <n v="2710.07"/>
    <n v="2724.4560000000001"/>
    <n v="14.385999999999967"/>
    <d v="2027-09-01T00:00:00"/>
  </r>
  <r>
    <x v="46"/>
    <d v="2026-08-15T00:00:00"/>
    <x v="44"/>
    <s v="Daniel reyes romero"/>
    <m/>
    <s v="RERD630412HOCYMN05"/>
    <n v="23661178"/>
    <n v="8116306459"/>
    <x v="5"/>
    <m/>
    <m/>
    <n v="0"/>
    <n v="0"/>
    <m/>
  </r>
  <r>
    <x v="46"/>
    <d v="2026-08-16T00:00:00"/>
    <x v="0"/>
    <s v="ROBERTO EUAN CANUL"/>
    <s v="84745706071"/>
    <m/>
    <n v="23670772"/>
    <n v="5219841207297"/>
    <x v="2"/>
    <n v="7920.51"/>
    <n v="2285.09"/>
    <n v="2376.1529999999998"/>
    <n v="91.062999999999647"/>
    <d v="2027-09-01T00:00:00"/>
  </r>
  <r>
    <x v="46"/>
    <d v="2026-08-15T00:00:00"/>
    <x v="44"/>
    <s v="CELESTINO GUADALIPE ALVARADO TAMEZ"/>
    <m/>
    <s v="AATC840418HNLLML01"/>
    <n v="23659406"/>
    <n v="8122917283"/>
    <x v="8"/>
    <m/>
    <m/>
    <n v="0"/>
    <n v="0"/>
    <m/>
  </r>
  <r>
    <x v="46"/>
    <d v="2026-08-12T00:00:00"/>
    <x v="20"/>
    <s v="Marco"/>
    <n v="10796047578"/>
    <m/>
    <n v="23577324"/>
    <n v="5216862024595"/>
    <x v="2"/>
    <n v="12053.23"/>
    <n v="3615.96"/>
    <n v="3615.9689999999996"/>
    <n v="8.9999999995598046E-3"/>
    <d v="2028-02-01T00:00:00"/>
  </r>
  <r>
    <x v="46"/>
    <d v="2026-08-15T00:00:00"/>
    <x v="29"/>
    <s v="FAUSTINO VELAZQUEZ CARRILLO"/>
    <m/>
    <s v="VECF570214HMCLRS04"/>
    <n v="23653720"/>
    <n v="5215523448337"/>
    <x v="2"/>
    <n v="5617.63"/>
    <n v="1393.24"/>
    <n v="1685.289"/>
    <n v="51.410000000000537"/>
    <d v="2027-08-01T00:00:00"/>
  </r>
  <r>
    <x v="46"/>
    <d v="2026-08-15T00:00:00"/>
    <x v="11"/>
    <s v="María Eugenia García Muñoz"/>
    <s v="89846527888"/>
    <m/>
    <n v="23664044"/>
    <n v="5551083249"/>
    <x v="2"/>
    <n v="47824.35"/>
    <n v="14337.49"/>
    <n v="14347.304999999998"/>
    <n v="9.8149999999986903"/>
    <d v="2027-07-01T00:00:00"/>
  </r>
  <r>
    <x v="46"/>
    <d v="2026-08-15T00:00:00"/>
    <x v="11"/>
    <s v="AMADEO PEREYDA PEREZ "/>
    <m/>
    <s v="PEPA590913HVZRRM01"/>
    <n v="23663264"/>
    <n v="9511894747"/>
    <x v="1"/>
    <n v="4813.6900000000005"/>
    <n v="879"/>
    <n v="1444.1070000000002"/>
    <n v="-238.28999999999905"/>
    <m/>
  </r>
  <r>
    <x v="46"/>
    <d v="2026-08-16T00:00:00"/>
    <x v="11"/>
    <s v="ALEJANDRO COTERO RUIZ "/>
    <m/>
    <s v="CORA581231HVZTZL01"/>
    <n v="23670170"/>
    <n v="6151126411"/>
    <x v="6"/>
    <n v="9081.52"/>
    <n v="2519.27"/>
    <n v="2724.4560000000001"/>
    <n v="205.18600000000015"/>
    <d v="2026-07-01T00:00:00"/>
  </r>
  <r>
    <x v="46"/>
    <d v="2026-08-15T00:00:00"/>
    <x v="20"/>
    <s v="gonzalo martinez"/>
    <n v="43776203770"/>
    <s v="MAMG620315HNLRDN18"/>
    <n v="23666070"/>
    <n v="5218127315181"/>
    <x v="2"/>
    <n v="9081.52"/>
    <n v="2696.2"/>
    <n v="2724.4560000000001"/>
    <n v="28.256000000000313"/>
    <d v="2028-02-01T00:00:00"/>
  </r>
  <r>
    <x v="46"/>
    <d v="2026-08-15T00:00:00"/>
    <x v="44"/>
    <s v="TEODORO GOMEZ ROJAS"/>
    <m/>
    <s v="GORT651228HDFMJD02"/>
    <n v="23661798"/>
    <n v="5663796050"/>
    <x v="0"/>
    <n v="10636.54"/>
    <m/>
    <n v="3190.962"/>
    <n v="3190.962"/>
    <m/>
  </r>
  <r>
    <x v="46"/>
    <d v="2026-08-16T00:00:00"/>
    <x v="40"/>
    <s v="VICTOR HUGO VALDEZ HERNANDEZ"/>
    <n v="49856314544"/>
    <m/>
    <n v="23671780"/>
    <n v="8671224667"/>
    <x v="0"/>
    <n v="11029.03"/>
    <m/>
    <n v="3308.7090000000003"/>
    <n v="3308.7090000000003"/>
    <m/>
  </r>
  <r>
    <x v="46"/>
    <d v="2026-08-16T00:00:00"/>
    <x v="20"/>
    <m/>
    <n v="10856703516"/>
    <m/>
    <n v="23672154"/>
    <n v="5215532400832"/>
    <x v="1"/>
    <n v="3871.36"/>
    <n v="848"/>
    <n v="1161.4079999999999"/>
    <n v="-848"/>
    <m/>
  </r>
  <r>
    <x v="46"/>
    <d v="2026-08-15T00:00:00"/>
    <x v="40"/>
    <s v="CARLOS MANUEL SEGURA LUGO"/>
    <n v="63846206850"/>
    <m/>
    <n v="23657908"/>
    <n v="5570709286"/>
    <x v="2"/>
    <n v="10713.07"/>
    <n v="3211.78"/>
    <n v="3213.9209999999998"/>
    <n v="2.1409999999996217"/>
    <d v="2028-04-01T00:00:00"/>
  </r>
  <r>
    <x v="46"/>
    <d v="2026-08-16T00:00:00"/>
    <x v="0"/>
    <s v="GAUDENCIO VIRGEN RUBIO"/>
    <n v="23945908947"/>
    <s v="VIRG590103HNTRBD05"/>
    <n v="23666210"/>
    <n v="5216692711957"/>
    <x v="5"/>
    <m/>
    <m/>
    <n v="0"/>
    <n v="0"/>
    <m/>
  </r>
  <r>
    <x v="46"/>
    <d v="2026-08-16T00:00:00"/>
    <x v="11"/>
    <s v="TEODULO MONTES "/>
    <s v="01775971425"/>
    <m/>
    <n v="23672790"/>
    <n v="5513998079"/>
    <x v="2"/>
    <n v="9760.32"/>
    <n v="2928.1"/>
    <n v="2928.096"/>
    <n v="-3.9999999999054126E-3"/>
    <d v="2028-06-01T00:00:00"/>
  </r>
  <r>
    <x v="46"/>
    <d v="2026-08-16T00:00:00"/>
    <x v="0"/>
    <s v="CIRILIO NEGRETE MARTINEZ"/>
    <m/>
    <s v="NEMC660209HPLGRR01"/>
    <n v="23666694"/>
    <n v="5217761082117"/>
    <x v="2"/>
    <n v="25727.64"/>
    <n v="7707.59"/>
    <n v="7718.2919999999995"/>
    <n v="10.701999999999316"/>
    <d v="2028-06-01T00:00:00"/>
  </r>
  <r>
    <x v="46"/>
    <d v="2026-08-16T00:00:00"/>
    <x v="44"/>
    <m/>
    <n v="30957520866"/>
    <m/>
    <n v="23672428"/>
    <n v="5563391095"/>
    <x v="1"/>
    <n v="3510.83"/>
    <n v="879"/>
    <n v="1053.249"/>
    <n v="-879"/>
    <m/>
  </r>
  <r>
    <x v="46"/>
    <d v="2026-08-16T00:00:00"/>
    <x v="44"/>
    <s v="ALBERTO RAMIREZ RENTERIA"/>
    <s v="43795714765 "/>
    <m/>
    <n v="23673478"/>
    <n v="8331101533"/>
    <x v="2"/>
    <n v="6262.86"/>
    <n v="1878.85"/>
    <n v="1878.8579999999997"/>
    <n v="7.9999999998108251E-3"/>
    <d v="2026-10-01T00:00:00"/>
  </r>
  <r>
    <x v="46"/>
    <d v="2026-08-16T00:00:00"/>
    <x v="0"/>
    <s v="VICENTA JIMENEZ ARA"/>
    <s v="78694110731"/>
    <s v="JIAV411022MTCMRC07"/>
    <n v="23672718"/>
    <n v="5219992289921"/>
    <x v="1"/>
    <n v="3565"/>
    <m/>
    <n v="1069.5"/>
    <n v="0"/>
    <m/>
  </r>
  <r>
    <x v="46"/>
    <d v="2026-08-16T00:00:00"/>
    <x v="44"/>
    <s v="JOSE ISIDRODOMINGUEZ ROSAS"/>
    <m/>
    <s v="DORI950810HDFMSS04"/>
    <n v="23672988"/>
    <n v="5561805347"/>
    <x v="5"/>
    <m/>
    <m/>
    <n v="0"/>
    <n v="0"/>
    <m/>
  </r>
  <r>
    <x v="46"/>
    <d v="2026-08-16T00:00:00"/>
    <x v="40"/>
    <s v="Mariano Cupul Ek"/>
    <m/>
    <s v="CUEM640430HYNPKR00"/>
    <n v="23473740"/>
    <n v="9851479963"/>
    <x v="0"/>
    <n v="10636.54"/>
    <m/>
    <n v="3190.962"/>
    <n v="3190.962"/>
    <m/>
  </r>
  <r>
    <x v="46"/>
    <d v="2026-08-16T00:00:00"/>
    <x v="29"/>
    <s v="ARMANDO URIBE ZAMORA"/>
    <n v="64846106348"/>
    <s v="UIZA611214HDFRMR04"/>
    <n v="23672772"/>
    <n v="5214491262220"/>
    <x v="2"/>
    <n v="46568.19"/>
    <n v="13969.85"/>
    <n v="13970.457"/>
    <n v="0.6069999999999709"/>
    <d v="2026-10-01T00:00:00"/>
  </r>
  <r>
    <x v="46"/>
    <d v="2026-08-16T00:00:00"/>
    <x v="29"/>
    <s v="ROSA IRENE OLIVO GARCIA"/>
    <m/>
    <s v="OIGR590409MCLLRS06"/>
    <n v="23672470"/>
    <n v="5218646174800"/>
    <x v="7"/>
    <n v="4813.6899999999996"/>
    <n v="523.98"/>
    <n v="1444.1069999999997"/>
    <n v="116.73000000000002"/>
    <d v="2024-08-01T00:00:00"/>
  </r>
  <r>
    <x v="46"/>
    <d v="2026-08-16T00:00:00"/>
    <x v="0"/>
    <s v="FILOMENO VALDEZ"/>
    <s v="23895408229"/>
    <m/>
    <n v="23671864"/>
    <n v="5216682251823"/>
    <x v="1"/>
    <n v="4218.38"/>
    <n v="848"/>
    <n v="1265.5139999999999"/>
    <n v="-802.59999999999945"/>
    <m/>
  </r>
  <r>
    <x v="46"/>
    <d v="2026-08-16T00:00:00"/>
    <x v="29"/>
    <s v="Rafael Froylan castellanos Arrazola"/>
    <m/>
    <s v="CAAR571003HOCSRF09"/>
    <n v="23674470"/>
    <n v="5219515856665"/>
    <x v="2"/>
    <n v="27157.7"/>
    <n v="8143.96"/>
    <n v="8147.3099999999995"/>
    <n v="3.3499999999994543"/>
    <d v="2026-12-01T00:00:00"/>
  </r>
  <r>
    <x v="46"/>
    <d v="2026-08-15T00:00:00"/>
    <x v="29"/>
    <s v="GUILLERMO FERMIN"/>
    <n v="11785886158"/>
    <m/>
    <n v="23665412"/>
    <n v="5212288569161"/>
    <x v="1"/>
    <n v="4342.43"/>
    <m/>
    <n v="1302.729"/>
    <n v="169.45000000000073"/>
    <m/>
  </r>
  <r>
    <x v="46"/>
    <d v="2026-08-16T00:00:00"/>
    <x v="11"/>
    <s v="MARTIN GOMEZ GONZALEZ "/>
    <m/>
    <s v="GOGM541224HZSMNR01"/>
    <n v="23672566"/>
    <n v="3321158597"/>
    <x v="1"/>
    <n v="5061.79"/>
    <n v="848"/>
    <n v="1518.537"/>
    <n v="40.8100000000004"/>
    <m/>
  </r>
  <r>
    <x v="46"/>
    <d v="2026-08-16T00:00:00"/>
    <x v="0"/>
    <s v="JUAN PABLO GALLARDO ROCHA"/>
    <m/>
    <s v="GARJ650629HDGLCN08"/>
    <n v="23675446"/>
    <n v="5216565924035"/>
    <x v="0"/>
    <n v="9760.32"/>
    <n v="879"/>
    <n v="2928.096"/>
    <n v="2049.096"/>
    <m/>
  </r>
  <r>
    <x v="46"/>
    <d v="2026-08-16T00:00:00"/>
    <x v="11"/>
    <s v="marisol rodriguez escamilla "/>
    <n v="45926103081"/>
    <m/>
    <n v="23670498"/>
    <n v="5215652008809"/>
    <x v="2"/>
    <n v="7549.43"/>
    <n v="2262.9299999999998"/>
    <n v="2264.8290000000002"/>
    <n v="1.899000000000342"/>
    <d v="2028-05-01T00:00:00"/>
  </r>
  <r>
    <x v="46"/>
    <d v="2026-08-16T00:00:00"/>
    <x v="0"/>
    <s v="JUAN SANTOS BERNAL"/>
    <m/>
    <s v="SABJ640113HGRNRN01"/>
    <n v="23674170"/>
    <n v="7443816337"/>
    <x v="2"/>
    <n v="9081.52"/>
    <n v="2724.46"/>
    <n v="2724.4560000000001"/>
    <n v="-3.9999999999054126E-3"/>
    <d v="2028-05-01T00:00:00"/>
  </r>
  <r>
    <x v="46"/>
    <d v="2026-08-16T00:00:00"/>
    <x v="11"/>
    <s v="Silvestre bustos linares"/>
    <m/>
    <s v="BULS531013HCLSNL00"/>
    <n v="23673684"/>
    <n v="5218641160613"/>
    <x v="6"/>
    <n v="6262.86"/>
    <n v="1626.58"/>
    <n v="1878.8579999999997"/>
    <n v="252.27799999999979"/>
    <d v="2025-08-01T00:00:00"/>
  </r>
  <r>
    <x v="46"/>
    <d v="2026-08-16T00:00:00"/>
    <x v="0"/>
    <s v="JOSE MAXIMILIANO SANDOVAL CASTAÑEDA"/>
    <m/>
    <s v="SACM610316HNTNSX02"/>
    <n v="23674830"/>
    <n v="5213112509405"/>
    <x v="2"/>
    <n v="19136.25"/>
    <n v="5669.96"/>
    <n v="5740.875"/>
    <n v="70.914999999999964"/>
    <d v="2027-07-01T00:00:00"/>
  </r>
  <r>
    <x v="46"/>
    <d v="2026-08-16T00:00:00"/>
    <x v="0"/>
    <s v="BRIGIDA RAMIREZ CASTILLO"/>
    <m/>
    <s v="RACB631008MPLMSR08"/>
    <n v="23671574"/>
    <n v="5212231051896"/>
    <x v="2"/>
    <n v="11297.08"/>
    <n v="3388.08"/>
    <n v="3389.1239999999998"/>
    <n v="1.043999999999869"/>
    <d v="2026-12-01T00:00:00"/>
  </r>
  <r>
    <x v="46"/>
    <d v="2026-08-16T00:00:00"/>
    <x v="40"/>
    <s v="ALBERTO BECERRIL ZAVALETA"/>
    <m/>
    <s v="BEZA630215HDFCVL00"/>
    <n v="23674414"/>
    <n v="5560708512"/>
    <x v="0"/>
    <n v="10636.54"/>
    <m/>
    <n v="3190.962"/>
    <n v="3190.962"/>
    <m/>
  </r>
  <r>
    <x v="46"/>
    <d v="2026-08-16T00:00:00"/>
    <x v="0"/>
    <s v="JORGE BENITO ARZILA GUERRERO"/>
    <n v="32947525401"/>
    <m/>
    <n v="23676194"/>
    <n v="5218661645884"/>
    <x v="1"/>
    <n v="2457.09"/>
    <m/>
    <n v="737.12700000000007"/>
    <n v="0"/>
    <m/>
  </r>
  <r>
    <x v="46"/>
    <d v="2026-08-15T00:00:00"/>
    <x v="19"/>
    <m/>
    <m/>
    <s v="CALG591106MCLMCD01"/>
    <n v="23663726"/>
    <n v="8448700302"/>
    <x v="7"/>
    <n v="6744.06"/>
    <n v="2019.12"/>
    <n v="2023.2180000000001"/>
    <n v="4.0980000000001837"/>
    <d v="2024-12-01T00:00:00"/>
  </r>
  <r>
    <x v="47"/>
    <d v="2026-08-17T00:00:00"/>
    <x v="32"/>
    <s v="SIMEON GALINDO PLUMA"/>
    <s v="19775404429"/>
    <s v="GAPS540218HTLLLM08"/>
    <n v="2"/>
    <n v="5625846104"/>
    <x v="2"/>
    <n v="4813.6899999999996"/>
    <n v="617.75"/>
    <n v="1444.1069999999997"/>
    <n v="22.960000000000036"/>
    <d v="2027-06-01T00:00:00"/>
  </r>
  <r>
    <x v="47"/>
    <d v="2026-08-17T00:00:00"/>
    <x v="32"/>
    <s v="LUIS TOMAS PEREZ VELAZQUEZ"/>
    <s v="01796133641"/>
    <s v="PEVL611110HDFRLS09"/>
    <n v="2"/>
    <s v="56 7126 7768"/>
    <x v="2"/>
    <n v="9760.32"/>
    <n v="2823.39"/>
    <n v="2928.096"/>
    <n v="104.70600000000013"/>
    <d v="2028-06-01T00:00:00"/>
  </r>
  <r>
    <x v="47"/>
    <d v="2026-08-17T00:00:00"/>
    <x v="31"/>
    <m/>
    <s v="75826212419"/>
    <s v="FODR620126HDFLVC06"/>
    <n v="2"/>
    <s v="55 4410 7574"/>
    <x v="6"/>
    <n v="7920.51"/>
    <n v="2199.0100000000002"/>
    <n v="2376.1529999999998"/>
    <n v="177.14299999999957"/>
    <d v="2026-07-01T00:00:00"/>
  </r>
  <r>
    <x v="47"/>
    <d v="2026-08-17T00:00:00"/>
    <x v="50"/>
    <s v="j. guadalupe vazquez martinez "/>
    <n v="64856524786"/>
    <s v="VAMG651116HHGZRD12"/>
    <n v="23659986"/>
    <n v="5217721519113"/>
    <x v="5"/>
    <m/>
    <m/>
    <n v="0"/>
    <n v="0"/>
    <m/>
  </r>
  <r>
    <x v="47"/>
    <d v="2026-08-17T00:00:00"/>
    <x v="32"/>
    <s v="OTILIO  MENDOZA LIRA"/>
    <n v="43796220598"/>
    <s v="MELO621017HCLNRT07"/>
    <n v="2"/>
    <n v="8123433912"/>
    <x v="2"/>
    <n v="9081.51"/>
    <n v="2521.11"/>
    <n v="2724.453"/>
    <n v="203.34299999999985"/>
    <d v="2027-07-01T00:00:00"/>
  </r>
  <r>
    <x v="47"/>
    <d v="2026-08-15T00:00:00"/>
    <x v="46"/>
    <s v="FERNANDO REYES MONTERO"/>
    <m/>
    <s v="REMF670126HDFYNR03"/>
    <n v="23658860"/>
    <n v="5521382319"/>
    <x v="5"/>
    <m/>
    <m/>
    <n v="0"/>
    <n v="0"/>
    <m/>
  </r>
  <r>
    <x v="47"/>
    <d v="2026-08-17T00:00:00"/>
    <x v="32"/>
    <s v="DANIEL CAMACHO GALVAN"/>
    <n v="16816439778"/>
    <s v="CAGD640722HMCMLN07"/>
    <n v="2"/>
    <n v="7293439303"/>
    <x v="2"/>
    <n v="20626.04"/>
    <n v="6187.4"/>
    <n v="6187.8119999999999"/>
    <n v="0.41200000000026193"/>
    <d v="2027-01-01T00:00:00"/>
  </r>
  <r>
    <x v="47"/>
    <d v="2026-08-17T00:00:00"/>
    <x v="31"/>
    <s v="JUAN ZALDIVAR M"/>
    <s v="014776008097"/>
    <s v="ZAMJ600721HQTLRN04"/>
    <n v="2"/>
    <n v="4271667508"/>
    <x v="3"/>
    <n v="5617.64"/>
    <n v="1103"/>
    <n v="1685.2920000000001"/>
    <n v="341.66000000000076"/>
    <d v="2027-09-01T00:00:00"/>
  </r>
  <r>
    <x v="47"/>
    <d v="2026-08-17T00:00:00"/>
    <x v="28"/>
    <s v="NOELIA MELENDEZ LIZCANO"/>
    <s v="49806346125"/>
    <s v="MELN630615MTSLZH01"/>
    <n v="23694676"/>
    <n v="5218993552652"/>
    <x v="2"/>
    <n v="11733.83"/>
    <n v="3382.65"/>
    <n v="3520.1489999999999"/>
    <n v="137.4989999999998"/>
    <d v="2027-08-01T00:00:00"/>
  </r>
  <r>
    <x v="47"/>
    <d v="2026-08-17T00:00:00"/>
    <x v="18"/>
    <s v="KARLA FABIOLA IBARRA TORRES"/>
    <s v="32988227040"/>
    <s v="IATK820531MCLBRR07"/>
    <n v="1"/>
    <n v="8121494674"/>
    <x v="5"/>
    <m/>
    <m/>
    <n v="0"/>
    <n v="0"/>
    <m/>
  </r>
  <r>
    <x v="47"/>
    <d v="2026-08-16T00:00:00"/>
    <x v="20"/>
    <s v="Daniel "/>
    <n v="92907363870"/>
    <s v="CAGM730913HDFSLR05"/>
    <n v="23676876"/>
    <n v="5215580186832"/>
    <x v="5"/>
    <m/>
    <m/>
    <n v="0"/>
    <n v="0"/>
    <m/>
  </r>
  <r>
    <x v="47"/>
    <d v="2026-08-17T00:00:00"/>
    <x v="28"/>
    <s v="LORENZO ZARATE TEPOS"/>
    <s v="67806141791"/>
    <s v="ZATL610507HPLRPR00"/>
    <n v="23695134"/>
    <n v="5212721490105"/>
    <x v="9"/>
    <n v="10193.799999999999"/>
    <n v="2694.02"/>
    <n v="3058.14"/>
    <n v="364.11999999999989"/>
    <d v="2025-10-01T00:00:00"/>
  </r>
  <r>
    <x v="47"/>
    <d v="2026-07-25T00:00:00"/>
    <x v="13"/>
    <s v="CECILIO BALLESTEROS MOHA"/>
    <n v="81957102080"/>
    <s v="BAMC691001HCCLHC07"/>
    <n v="23100716"/>
    <n v="5219131039682"/>
    <x v="0"/>
    <n v="6038.94"/>
    <m/>
    <n v="1811.6819999999998"/>
    <n v="1811.6819999999998"/>
    <m/>
  </r>
  <r>
    <x v="47"/>
    <d v="2026-08-17T00:00:00"/>
    <x v="28"/>
    <s v="ADY CECILIA PECH BEH"/>
    <s v="84876311188"/>
    <s v=" PEBA631122MYNCHD08"/>
    <n v="23679606"/>
    <n v="5219902491947"/>
    <x v="5"/>
    <m/>
    <m/>
    <n v="0"/>
    <n v="0"/>
    <m/>
  </r>
  <r>
    <x v="47"/>
    <d v="2026-08-10T00:00:00"/>
    <x v="28"/>
    <s v="ESTEBAN DANIEL RANGEL TORRES"/>
    <m/>
    <s v="RATE660725HDFNRS01"/>
    <n v="23497578"/>
    <n v="5215548948356"/>
    <x v="0"/>
    <n v="10636.54"/>
    <m/>
    <n v="3190.962"/>
    <n v="3190.962"/>
    <m/>
  </r>
  <r>
    <x v="47"/>
    <d v="2026-08-16T00:00:00"/>
    <x v="44"/>
    <s v="FRANCISCO VALENZUELA BARNETH"/>
    <m/>
    <s v="VABF600507HSRLRR03"/>
    <n v="23676916"/>
    <n v="6311916373"/>
    <x v="2"/>
    <n v="9081.52"/>
    <n v="2724.46"/>
    <n v="2724.4560000000001"/>
    <n v="-3.9999999999054126E-3"/>
    <d v="2026-12-01T00:00:00"/>
  </r>
  <r>
    <x v="47"/>
    <d v="2026-08-17T00:00:00"/>
    <x v="32"/>
    <s v="ROGELIO MATA ACOSTA"/>
    <n v="43775832017"/>
    <s v="MAAR580128HNLTCG08"/>
    <n v="2"/>
    <s v=" 81 2570 0768"/>
    <x v="3"/>
    <n v="39214.29"/>
    <n v="11344.29"/>
    <n v="11764.287"/>
    <n v="419.99699999999939"/>
    <d v="2027-10-01T00:00:00"/>
  </r>
  <r>
    <x v="47"/>
    <d v="2026-08-17T00:00:00"/>
    <x v="18"/>
    <m/>
    <n v="21876503729"/>
    <m/>
    <n v="1"/>
    <n v="4435498338"/>
    <x v="2"/>
    <n v="6009.34"/>
    <n v="1729.01"/>
    <n v="1802.8019999999999"/>
    <n v="73.791999999999916"/>
    <d v="2027-02-01T00:00:00"/>
  </r>
  <r>
    <x v="47"/>
    <d v="2026-08-12T00:00:00"/>
    <x v="44"/>
    <s v="Hugo"/>
    <n v="12786025978"/>
    <m/>
    <n v="23574928"/>
    <n v="4772198807"/>
    <x v="6"/>
    <n v="7920.51"/>
    <n v="2199.02"/>
    <n v="2376.1529999999998"/>
    <n v="177.13299999999981"/>
    <d v="2026-07-01T00:00:00"/>
  </r>
  <r>
    <x v="47"/>
    <d v="2026-08-14T00:00:00"/>
    <x v="6"/>
    <s v="PABLO PEREZ ESTRADA "/>
    <n v="14735607724"/>
    <s v="PEEP560915HQTRSB04"/>
    <n v="23638860"/>
    <n v="5214424654260"/>
    <x v="2"/>
    <n v="14765.95"/>
    <n v="4424.66"/>
    <n v="4429.7849999999999"/>
    <n v="5.125"/>
    <d v="2028-03-01T00:00:00"/>
  </r>
  <r>
    <x v="47"/>
    <d v="2026-08-17T00:00:00"/>
    <x v="28"/>
    <s v="ROSA"/>
    <s v="33867024768"/>
    <s v="CARO700929HCHRZS00"/>
    <n v="23694426"/>
    <n v="5216566388204"/>
    <x v="0"/>
    <n v="7685.91"/>
    <m/>
    <n v="2305.7729999999997"/>
    <n v="2305.7729999999997"/>
    <m/>
  </r>
  <r>
    <x v="47"/>
    <d v="2026-08-16T00:00:00"/>
    <x v="29"/>
    <s v="Lucina Esperanza Huerta Avila"/>
    <n v="6280540211"/>
    <s v="CAOL540313HPLRCS08"/>
    <n v="23671132"/>
    <n v="5212222784148"/>
    <x v="4"/>
    <m/>
    <m/>
    <n v="0"/>
    <n v="0"/>
    <m/>
  </r>
  <r>
    <x v="47"/>
    <d v="2026-08-17T00:00:00"/>
    <x v="28"/>
    <s v="ERNESTO VALDES LEON"/>
    <s v="11906508988"/>
    <s v="VALE651020HMCLNR04"/>
    <n v="23680770"/>
    <n v="5215535217984"/>
    <x v="2"/>
    <n v="6262.86"/>
    <n v="1810.99"/>
    <n v="1878.8579999999997"/>
    <n v="67.867999999999711"/>
    <d v="2026-09-01T00:00:00"/>
  </r>
  <r>
    <x v="47"/>
    <d v="2026-08-17T00:00:00"/>
    <x v="28"/>
    <s v="FRANCISCO JAVIER GAMA LOPEZ"/>
    <m/>
    <s v="GALF601110HDFMPR09"/>
    <n v="23693236"/>
    <n v="5216241373122"/>
    <x v="9"/>
    <n v="35789.74"/>
    <n v="8799.17"/>
    <n v="10736.921999999999"/>
    <n v="1937.7519999999986"/>
    <d v="2024-05-01T00:00:00"/>
  </r>
  <r>
    <x v="47"/>
    <d v="2026-08-16T00:00:00"/>
    <x v="29"/>
    <s v="CARLOS ROJAS OLANO"/>
    <m/>
    <s v="ROOC550313HVZJLR07"/>
    <n v="23676852"/>
    <n v="5212283635199"/>
    <x v="0"/>
    <n v="14411.63"/>
    <n v="2950.41"/>
    <n v="4323.4889999999996"/>
    <n v="1373.0789999999997"/>
    <d v="2028-05-01T00:00:00"/>
  </r>
  <r>
    <x v="47"/>
    <d v="2026-08-16T00:00:00"/>
    <x v="28"/>
    <s v="ANTONIO MORALES LEGGS"/>
    <m/>
    <s v="MOLA761018HNLRGN07"/>
    <n v="23679308"/>
    <n v="5218120947727"/>
    <x v="0"/>
    <n v="9582.4700000000012"/>
    <m/>
    <n v="2874.7410000000004"/>
    <n v="2874.7410000000004"/>
    <m/>
  </r>
  <r>
    <x v="47"/>
    <d v="2026-08-17T00:00:00"/>
    <x v="6"/>
    <s v="GRACIELA TELLEZ HERNANDEZ "/>
    <m/>
    <s v="TEHG590330MNELRR08"/>
    <n v="23698666"/>
    <n v="5212226717237"/>
    <x v="2"/>
    <n v="18132.21"/>
    <n v="5438.26"/>
    <n v="5439.6629999999996"/>
    <n v="1.4029999999993379"/>
    <d v="2026-09-01T00:00:00"/>
  </r>
  <r>
    <x v="47"/>
    <d v="2026-08-17T00:00:00"/>
    <x v="6"/>
    <s v="JESUS NORIEGA MUÑOZ"/>
    <n v="24816423230"/>
    <s v="NOMJ640709HSRRXS00"/>
    <n v="23694590"/>
    <n v="5216622910191"/>
    <x v="0"/>
    <n v="10636.54"/>
    <m/>
    <n v="3190.962"/>
    <n v="3190.962"/>
    <m/>
  </r>
  <r>
    <x v="47"/>
    <d v="2026-08-17T00:00:00"/>
    <x v="32"/>
    <s v="CONCEPCION LOPEZ GEL"/>
    <n v="32796108820"/>
    <s v="LOGC611208MCLPLN09"/>
    <n v="2"/>
    <s v="844 674 2502"/>
    <x v="2"/>
    <n v="7116.73"/>
    <n v="2058.69"/>
    <n v="2135.0189999999998"/>
    <n v="76.328999999999724"/>
    <d v="2027-05-01T00:00:00"/>
  </r>
  <r>
    <x v="47"/>
    <d v="2026-08-14T00:00:00"/>
    <x v="29"/>
    <s v="MANUEL CORTEZ NAVARRO"/>
    <s v="54786117629"/>
    <m/>
    <n v="23647342"/>
    <n v="5213331433558"/>
    <x v="6"/>
    <n v="6262.86"/>
    <n v="1657.43"/>
    <n v="1878.8579999999997"/>
    <n v="221.42799999999966"/>
    <d v="2025-10-01T00:00:00"/>
  </r>
  <r>
    <x v="47"/>
    <d v="2026-08-17T00:00:00"/>
    <x v="31"/>
    <s v="LEON HERNANDEZ CARAMELO"/>
    <n v="65846362047"/>
    <s v="LEHC631114HVZNRR03"/>
    <n v="2"/>
    <n v="22849366718"/>
    <x v="2"/>
    <n v="8541.41"/>
    <n v="2562.1799999999998"/>
    <n v="2562.4229999999998"/>
    <n v="0.24299999999993815"/>
    <d v="2028-05-01T00:00:00"/>
  </r>
  <r>
    <x v="47"/>
    <d v="2026-08-16T00:00:00"/>
    <x v="28"/>
    <s v="ARTURO REYES SALGADO"/>
    <s v="88816317643_x000a_"/>
    <s v="RESA630502HDFYLR08"/>
    <n v="23679494"/>
    <n v="5217223102441"/>
    <x v="0"/>
    <n v="10636.54"/>
    <m/>
    <n v="3190.962"/>
    <n v="3190.962"/>
    <m/>
  </r>
  <r>
    <x v="47"/>
    <d v="2026-08-17T00:00:00"/>
    <x v="32"/>
    <s v="SANDRA ORALIA LERMA MARIN"/>
    <n v="43936706076"/>
    <s v="LEMS710408MNLRRN06"/>
    <n v="2"/>
    <n v="8128998404"/>
    <x v="2"/>
    <n v="5639.62"/>
    <n v="1618.97"/>
    <n v="1691.886"/>
    <n v="-152.3299999999997"/>
    <d v="2027-08-01T00:00:00"/>
  </r>
  <r>
    <x v="47"/>
    <d v="2026-08-17T00:00:00"/>
    <x v="49"/>
    <s v="JULIO SERRANO PEREZ"/>
    <m/>
    <s v="SEPJ640109HDFRRL09"/>
    <n v="23700312"/>
    <n v="2207555678"/>
    <x v="2"/>
    <n v="9884.5499999999993"/>
    <n v="2859.84"/>
    <n v="2965.3649999999998"/>
    <n v="105.52499999999964"/>
    <d v="2027-11-01T00:00:00"/>
  </r>
  <r>
    <x v="47"/>
    <d v="2026-08-17T00:00:00"/>
    <x v="50"/>
    <m/>
    <m/>
    <s v="HEME810410MCMRRR07"/>
    <n v="23699038"/>
    <n v="5214444394646"/>
    <x v="5"/>
    <m/>
    <m/>
    <n v="0"/>
    <n v="0"/>
    <m/>
  </r>
  <r>
    <x v="47"/>
    <d v="2026-08-16T00:00:00"/>
    <x v="44"/>
    <s v="CARLOS ROCHA CAMARENA"/>
    <m/>
    <s v="ROCC540506HJCCMR05"/>
    <n v="23675374"/>
    <n v="6642229293"/>
    <x v="2"/>
    <n v="7116.73"/>
    <n v="2128.12"/>
    <n v="2135.0189999999998"/>
    <n v="6.8989999999998872"/>
    <d v="2027-07-01T00:00:00"/>
  </r>
  <r>
    <x v="47"/>
    <d v="2026-07-31T00:00:00"/>
    <x v="39"/>
    <s v="Gustavo Solano Vázquez"/>
    <s v="15694613827"/>
    <m/>
    <n v="23264504"/>
    <n v="5578145819"/>
    <x v="3"/>
    <n v="5207.29"/>
    <m/>
    <n v="1562.1869999999999"/>
    <n v="1034.3100000000004"/>
    <m/>
  </r>
  <r>
    <x v="47"/>
    <d v="2026-08-17T00:00:00"/>
    <x v="18"/>
    <m/>
    <n v="43866916646"/>
    <m/>
    <n v="1"/>
    <n v="8140122297"/>
    <x v="0"/>
    <n v="8909.0400000000009"/>
    <m/>
    <n v="2672.712"/>
    <n v="2672.712"/>
    <m/>
  </r>
  <r>
    <x v="47"/>
    <d v="2026-08-08T00:00:00"/>
    <x v="45"/>
    <s v="MARIA DE JESUS SANTOS LOPEZ"/>
    <m/>
    <s v="SALJ600920MOCNPS05"/>
    <n v="23480198"/>
    <n v="3334128834"/>
    <x v="4"/>
    <m/>
    <m/>
    <n v="0"/>
    <n v="0"/>
    <m/>
  </r>
  <r>
    <x v="47"/>
    <d v="2026-08-17T00:00:00"/>
    <x v="19"/>
    <m/>
    <n v="49806005127"/>
    <s v="nalf600929htsprr05"/>
    <n v="23701380"/>
    <n v="8681912638"/>
    <x v="0"/>
    <n v="6262.86"/>
    <m/>
    <n v="1878.8579999999997"/>
    <n v="1878.8579999999997"/>
    <m/>
  </r>
  <r>
    <x v="47"/>
    <d v="2026-08-17T00:00:00"/>
    <x v="50"/>
    <m/>
    <s v="82806102305"/>
    <m/>
    <n v="23701282"/>
    <n v="5213341834284"/>
    <x v="1"/>
    <n v="3121.9"/>
    <m/>
    <n v="936.56999999999994"/>
    <n v="0"/>
    <m/>
  </r>
  <r>
    <x v="47"/>
    <d v="2026-08-17T00:00:00"/>
    <x v="46"/>
    <s v="MARTIN CANDANOSA LERMA"/>
    <m/>
    <s v="CALM630219HNLNRR08"/>
    <n v="23702208"/>
    <n v="8124256017"/>
    <x v="2"/>
    <n v="7920.51"/>
    <n v="2290.0100000000002"/>
    <n v="2376.1529999999998"/>
    <n v="86.142999999999574"/>
    <d v="2027-06-01T00:00:00"/>
  </r>
  <r>
    <x v="47"/>
    <d v="2026-08-14T00:00:00"/>
    <x v="49"/>
    <s v="MARIO ALBERTO CASILLAS MUÑOZ"/>
    <m/>
    <s v="CAMM620912HNLSXR07"/>
    <n v="23643230"/>
    <n v="8112113188"/>
    <x v="2"/>
    <n v="39870.42"/>
    <n v="11960.8"/>
    <n v="11961.125999999998"/>
    <n v="0.32599999999911233"/>
    <d v="2027-02-01T00:00:00"/>
  </r>
  <r>
    <x v="47"/>
    <d v="2026-08-17T00:00:00"/>
    <x v="6"/>
    <s v="MARIA ROSALBA FLORES GRANADOS "/>
    <s v="30916304600_x000a_"/>
    <s v="FOGR790920MGTLRS03"/>
    <n v="23696566"/>
    <n v="5214721807169"/>
    <x v="2"/>
    <n v="4332.32"/>
    <n v="576"/>
    <n v="1299.6959999999999"/>
    <n v="-416.65999999999985"/>
    <d v="2028-02-01T00:00:00"/>
  </r>
  <r>
    <x v="47"/>
    <d v="2026-08-15T00:00:00"/>
    <x v="11"/>
    <s v="GUILLERMINA CRUZ LOPEZ LOPEZ"/>
    <s v="11765319295 "/>
    <s v="VAGL530509HTSLTS06"/>
    <n v="23663686"/>
    <n v="5215563314224"/>
    <x v="4"/>
    <m/>
    <m/>
    <n v="0"/>
    <n v="0"/>
    <m/>
  </r>
  <r>
    <x v="47"/>
    <d v="2026-08-15T00:00:00"/>
    <x v="45"/>
    <s v="Maritza Ramirez Ramos"/>
    <n v="83927500492"/>
    <s v="RARM760727MTCMMR02"/>
    <n v="23654228"/>
    <n v="9933753056"/>
    <x v="4"/>
    <m/>
    <m/>
    <n v="0"/>
    <n v="0"/>
    <m/>
  </r>
  <r>
    <x v="47"/>
    <d v="2026-08-17T00:00:00"/>
    <x v="6"/>
    <s v="ELIAS MONTOYA SUAREZ "/>
    <n v="30917344282"/>
    <s v="MOSE730410HDFNRL07"/>
    <n v="23698340"/>
    <n v="5215544761121"/>
    <x v="0"/>
    <n v="6411.47"/>
    <m/>
    <n v="1923.441"/>
    <n v="1923.441"/>
    <m/>
  </r>
  <r>
    <x v="47"/>
    <d v="2026-08-17T00:00:00"/>
    <x v="28"/>
    <s v="DODANY EDALI CABRERA MONTES"/>
    <m/>
    <s v="CAMD611002MCSBND18"/>
    <n v="23693630"/>
    <n v="5216634320413"/>
    <x v="2"/>
    <n v="7920.51"/>
    <n v="2284.42"/>
    <n v="2376.1529999999998"/>
    <n v="91.73299999999972"/>
    <d v="2027-12-01T00:00:00"/>
  </r>
  <r>
    <x v="47"/>
    <d v="2026-08-17T00:00:00"/>
    <x v="32"/>
    <s v="OSCAR DIAZ AGUILAR"/>
    <s v="0184621185"/>
    <s v="DIAO620807HVZZGS07"/>
    <n v="2"/>
    <s v="56 1626 7330"/>
    <x v="2"/>
    <n v="7116.73"/>
    <n v="2131.89"/>
    <n v="2135.0189999999998"/>
    <n v="3.1289999999999054"/>
    <d v="2026-12-01T00:00:00"/>
  </r>
  <r>
    <x v="47"/>
    <d v="2026-08-17T00:00:00"/>
    <x v="31"/>
    <s v="ALFONSO ANGEL ZENTENO"/>
    <s v="04755302389"/>
    <s v="AECA520801HJCNNL06"/>
    <n v="2"/>
    <s v="33 1635 0067"/>
    <x v="5"/>
    <m/>
    <m/>
    <n v="0"/>
    <n v="0"/>
    <m/>
  </r>
  <r>
    <x v="47"/>
    <d v="2026-08-17T00:00:00"/>
    <x v="6"/>
    <s v="ADRIAN LOZOYA GAMEZ "/>
    <m/>
    <s v="LOGA590824HSLZMD08"/>
    <n v="23697788"/>
    <n v="5216871471685"/>
    <x v="3"/>
    <n v="4813.6899999999996"/>
    <m/>
    <n v="1444.1069999999997"/>
    <n v="640.71"/>
    <m/>
  </r>
  <r>
    <x v="47"/>
    <d v="2026-08-17T00:00:00"/>
    <x v="13"/>
    <s v="ANGELA MARIA RAMIREZ SANTIAGO"/>
    <n v="39906610280"/>
    <s v="RASA671001MDFMNN08"/>
    <n v="23692872"/>
    <n v="5215530263520"/>
    <x v="2"/>
    <n v="8173.37"/>
    <n v="2362.25"/>
    <n v="2452.011"/>
    <n v="89.760999999999967"/>
    <d v="2027-12-01T00:00:00"/>
  </r>
  <r>
    <x v="47"/>
    <d v="2026-08-16T00:00:00"/>
    <x v="6"/>
    <s v="ARACELI RODRIGURZ BARRAGAN"/>
    <m/>
    <s v="RXBA611227MJCDRR06"/>
    <n v="23681694"/>
    <n v="5213320544460"/>
    <x v="6"/>
    <n v="17395.919999999998"/>
    <n v="4827.99"/>
    <n v="5218.7759999999989"/>
    <n v="390.78599999999915"/>
    <d v="2026-08-01T00:00:00"/>
  </r>
  <r>
    <x v="47"/>
    <d v="2026-08-16T00:00:00"/>
    <x v="28"/>
    <s v="VICTOR JAVIER SOTO AGUIRRE"/>
    <s v="23886405630_x000a_"/>
    <s v="SOAV580927HBCTGC02"/>
    <n v="23680286"/>
    <n v="5216672540645"/>
    <x v="2"/>
    <n v="22323.69"/>
    <n v="6697.11"/>
    <n v="6697.1069999999991"/>
    <n v="-3.0000000006111804E-3"/>
    <d v="2028-05-01T00:00:00"/>
  </r>
  <r>
    <x v="47"/>
    <d v="2026-08-17T00:00:00"/>
    <x v="11"/>
    <s v="gabriel Román palma"/>
    <s v="11765839474 "/>
    <m/>
    <n v="23699552"/>
    <n v="5554577708"/>
    <x v="2"/>
    <n v="38989.26"/>
    <n v="11696.77"/>
    <n v="11696.778"/>
    <n v="7.9999999998108251E-3"/>
    <d v="2027-04-01T00:00:00"/>
  </r>
  <r>
    <x v="47"/>
    <d v="2026-08-16T00:00:00"/>
    <x v="6"/>
    <s v="LAURA INES CABRERA DE LEON "/>
    <n v="3484560169"/>
    <s v="CALL540110MZSBNR07"/>
    <n v="23679300"/>
    <n v="5214924513118"/>
    <x v="2"/>
    <n v="14664.62"/>
    <n v="4398.46"/>
    <n v="4399.3860000000004"/>
    <n v="0.92600000000038563"/>
    <d v="2026-12-01T00:00:00"/>
  </r>
  <r>
    <x v="47"/>
    <d v="2026-08-17T00:00:00"/>
    <x v="13"/>
    <s v="JOSE SANTOS HERNANDEZ GOMEZ"/>
    <n v="32826304431"/>
    <s v="HEGS631201HDGRMN09"/>
    <n v="23695202"/>
    <n v="5218714818868"/>
    <x v="2"/>
    <n v="14743.31"/>
    <n v="4258.0200000000004"/>
    <n v="4422.9929999999995"/>
    <n v="164.97299999999905"/>
    <d v="2027-12-01T00:00:00"/>
  </r>
  <r>
    <x v="47"/>
    <d v="2026-08-17T00:00:00"/>
    <x v="13"/>
    <s v="SANTIAGO MARTINEZ RIVAS"/>
    <n v="24755812054"/>
    <s v="MARS600726HSRRVN02"/>
    <n v="23688562"/>
    <n v="5216868188649"/>
    <x v="2"/>
    <n v="6036.9"/>
    <n v="1200"/>
    <n v="1811.07"/>
    <n v="611.06999999999994"/>
    <d v="2028-07-01T00:00:00"/>
  </r>
  <r>
    <x v="47"/>
    <d v="2026-08-17T00:00:00"/>
    <x v="46"/>
    <s v="JOSE ERUBIEL PABLOS ARISPURO"/>
    <n v="24805930344"/>
    <s v="PAAE590825HSRBRR04"/>
    <n v="23704876"/>
    <n v="6221456232"/>
    <x v="0"/>
    <n v="6474.79"/>
    <m/>
    <n v="1942.4369999999999"/>
    <n v="1942.4369999999999"/>
    <m/>
  </r>
  <r>
    <x v="47"/>
    <d v="2026-08-17T00:00:00"/>
    <x v="51"/>
    <s v="GUADALUPE PERALTA PADILLA "/>
    <m/>
    <s v="PEPG760402MDFRDD02"/>
    <n v="23704290"/>
    <n v="5215521986974"/>
    <x v="3"/>
    <n v="5050.42"/>
    <m/>
    <n v="1515.126"/>
    <n v="877.44000000000051"/>
    <m/>
  </r>
  <r>
    <x v="47"/>
    <d v="2026-08-17T00:00:00"/>
    <x v="28"/>
    <s v="JOSE OMAR ROBLES MARTINEZ"/>
    <s v="31927541073_x000a_"/>
    <s v="ROMO771220HDGBRM05"/>
    <n v="23688832"/>
    <n v="5216563067638"/>
    <x v="1"/>
    <n v="2018"/>
    <m/>
    <n v="605.4"/>
    <n v="0"/>
    <m/>
  </r>
  <r>
    <x v="47"/>
    <d v="2026-08-14T00:00:00"/>
    <x v="29"/>
    <s v="JOSE LUIS GONZALEZ ARIZAGA"/>
    <m/>
    <s v="GOAL540513HSLNRS09"/>
    <n v="23649114"/>
    <n v="5216677956460"/>
    <x v="2"/>
    <n v="7920.51"/>
    <n v="2282.4499999999998"/>
    <n v="2376.1529999999998"/>
    <n v="93.702999999999975"/>
    <d v="2027-08-01T00:00:00"/>
  </r>
  <r>
    <x v="47"/>
    <d v="2026-08-17T00:00:00"/>
    <x v="32"/>
    <s v="GUADALUPE ALVAREZ RODRIGUEZ"/>
    <n v="41765706936"/>
    <s v="AARG570122MSPLDD01"/>
    <n v="2"/>
    <s v="444 728 3386"/>
    <x v="2"/>
    <n v="5226.41"/>
    <n v="1015"/>
    <n v="1567.923"/>
    <n v="38.430000000000291"/>
    <d v="2027-03-01T00:00:00"/>
  </r>
  <r>
    <x v="47"/>
    <d v="2026-08-17T00:00:00"/>
    <x v="49"/>
    <s v="JOSE ALEJANDRO MENDEZ MIRANDA"/>
    <m/>
    <s v="MEMA571115HDFNRL08"/>
    <n v="23705598"/>
    <n v="5537899369"/>
    <x v="0"/>
    <n v="29598.57"/>
    <m/>
    <n v="8879.5709999999999"/>
    <n v="8879.5709999999999"/>
    <m/>
  </r>
  <r>
    <x v="47"/>
    <d v="2026-08-17T00:00:00"/>
    <x v="13"/>
    <s v="ALBA SARMIENTO"/>
    <n v="7191620296"/>
    <m/>
    <n v="23697692"/>
    <n v="5219613668464"/>
    <x v="5"/>
    <m/>
    <m/>
    <n v="0"/>
    <n v="0"/>
    <m/>
  </r>
  <r>
    <x v="47"/>
    <d v="2026-08-16T00:00:00"/>
    <x v="28"/>
    <s v="NICOLAS SOTO RIVERA"/>
    <m/>
    <s v="SORN581206HPLTVC00"/>
    <n v="23681874"/>
    <n v="5212271002869"/>
    <x v="0"/>
    <n v="38751.760000000002"/>
    <m/>
    <n v="11625.528"/>
    <n v="11625.528"/>
    <m/>
  </r>
  <r>
    <x v="47"/>
    <d v="2026-08-17T00:00:00"/>
    <x v="11"/>
    <s v=" José Guadalupe cabeza Muño"/>
    <s v="78916685023_x000a__x000a_"/>
    <m/>
    <n v="23702418"/>
    <n v="5212741421808"/>
    <x v="1"/>
    <n v="4336.66"/>
    <m/>
    <n v="1300.9979999999998"/>
    <n v="163.68000000000029"/>
    <m/>
  </r>
  <r>
    <x v="47"/>
    <d v="2026-08-16T00:00:00"/>
    <x v="6"/>
    <s v="LIOVA SEBASTIAN LOPEZ "/>
    <m/>
    <s v="SELL550928MHGBPV07"/>
    <n v="23680450"/>
    <n v="5217731331695"/>
    <x v="2"/>
    <n v="20802.43"/>
    <n v="6240"/>
    <n v="6240.7290000000003"/>
    <n v="0.72900000000026921"/>
    <d v="2027-04-01T00:00:00"/>
  </r>
  <r>
    <x v="47"/>
    <d v="2026-08-17T00:00:00"/>
    <x v="29"/>
    <s v="VERONICA Esperanza López macliz"/>
    <n v="21866749985"/>
    <m/>
    <n v="23704022"/>
    <n v="5216651114959"/>
    <x v="2"/>
    <n v="5060.93"/>
    <n v="856"/>
    <n v="1518.279"/>
    <n v="31.950000000000728"/>
    <d v="2027-05-01T00:00:00"/>
  </r>
  <r>
    <x v="47"/>
    <d v="2026-08-17T00:00:00"/>
    <x v="0"/>
    <s v="ADOLFO ALONSO"/>
    <s v="02685104065"/>
    <m/>
    <n v="23707686"/>
    <n v="5212212605298"/>
    <x v="2"/>
    <n v="6851.99"/>
    <n v="1979.59"/>
    <n v="2055.5969999999998"/>
    <n v="76.006999999999834"/>
    <d v="2027-04-01T00:00:00"/>
  </r>
  <r>
    <x v="47"/>
    <d v="2026-08-17T00:00:00"/>
    <x v="20"/>
    <s v="veronica alvarado"/>
    <n v="43816333959"/>
    <s v="AAAV701013MNLLLR07"/>
    <n v="23708378"/>
    <n v="5218110366848"/>
    <x v="6"/>
    <n v="8173.36"/>
    <n v="2263.38"/>
    <n v="2452.0079999999998"/>
    <n v="188.6279999999997"/>
    <d v="2026-07-01T00:00:00"/>
  </r>
  <r>
    <x v="47"/>
    <d v="2026-08-17T00:00:00"/>
    <x v="19"/>
    <m/>
    <m/>
    <s v="GURS641101MTSVDN03"/>
    <n v="23699744"/>
    <n v="8125974555"/>
    <x v="0"/>
    <n v="10636.54"/>
    <m/>
    <n v="3190.962"/>
    <n v="3190.962"/>
    <m/>
  </r>
  <r>
    <x v="47"/>
    <d v="2026-08-17T00:00:00"/>
    <x v="34"/>
    <s v="JOSÉ LUIS AZBELL ARELLANO "/>
    <s v="01916901992"/>
    <s v="AEAL690829HDFZRS01"/>
    <n v="2"/>
    <s v="‪5540586773‬"/>
    <x v="2"/>
    <n v="27003.82"/>
    <n v="8101.16"/>
    <n v="8101.1459999999997"/>
    <n v="-1.4000000000123691E-2"/>
    <d v="2026-11-01T00:00:00"/>
  </r>
  <r>
    <x v="47"/>
    <d v="2026-08-18T00:00:00"/>
    <x v="50"/>
    <s v="jose"/>
    <n v="62785715277"/>
    <m/>
    <n v="23703996"/>
    <n v="5212226568105"/>
    <x v="2"/>
    <n v="11343.45"/>
    <n v="3280.1"/>
    <n v="3403.0350000000003"/>
    <n v="122.9350000000004"/>
    <d v="2027-05-01T00:00:00"/>
  </r>
  <r>
    <x v="48"/>
    <d v="2026-08-18T00:00:00"/>
    <x v="32"/>
    <s v="CONSUELO HERNANDEZ VAZQUEZ"/>
    <n v="43906107800"/>
    <s v="HEVC610903MSPRZN03"/>
    <n v="2"/>
    <s v="81 1566 5824"/>
    <x v="4"/>
    <m/>
    <m/>
    <n v="0"/>
    <n v="0"/>
    <m/>
  </r>
  <r>
    <x v="48"/>
    <d v="2026-08-18T00:00:00"/>
    <x v="32"/>
    <s v="JUAN JERONIMO RAMOS SOSA"/>
    <n v="42806229623"/>
    <s v="RASJ620726HDFMSN04"/>
    <n v="2"/>
    <n v="3141987512"/>
    <x v="2"/>
    <n v="39486.94"/>
    <n v="11845.99"/>
    <n v="11846.082"/>
    <n v="9.2000000000552973E-2"/>
    <d v="2027-03-01T00:00:00"/>
  </r>
  <r>
    <x v="48"/>
    <d v="2026-08-17T00:00:00"/>
    <x v="46"/>
    <s v="GUADALUPE CRUZ PANTALEON"/>
    <n v="11715461957"/>
    <s v="CUPG680920MDFRND06"/>
    <n v="23705540"/>
    <n v="5563208868"/>
    <x v="2"/>
    <n v="11554.42"/>
    <n v="3466.01"/>
    <n v="3466.326"/>
    <n v="0.31599999999980355"/>
    <d v="2026-10-01T00:00:00"/>
  </r>
  <r>
    <x v="48"/>
    <d v="2026-08-18T00:00:00"/>
    <x v="31"/>
    <s v="CLEMENTE RAMOS RODRIGUEZ"/>
    <n v="11725261849"/>
    <s v="RARC521123HTCMDL09"/>
    <n v="2"/>
    <n v="5568717125"/>
    <x v="1"/>
    <n v="3882.85"/>
    <m/>
    <n v="1164.855"/>
    <n v="0"/>
    <m/>
  </r>
  <r>
    <x v="48"/>
    <d v="2026-08-17T00:00:00"/>
    <x v="6"/>
    <s v="RAQUEL MAR RAMIREZ "/>
    <n v="49806411903"/>
    <s v="MARR731210MTSRMQ06"/>
    <n v="23712414"/>
    <n v="5218335320263"/>
    <x v="1"/>
    <n v="3513.79"/>
    <m/>
    <n v="1054.1369999999999"/>
    <n v="0"/>
    <m/>
  </r>
  <r>
    <x v="48"/>
    <d v="2026-08-18T00:00:00"/>
    <x v="34"/>
    <s v="FRANCISCO CONSTANTINO REYNA SALAZAR "/>
    <n v="47937670876"/>
    <s v="RESF760613HNLYLR04"/>
    <n v="2"/>
    <n v="8111271029"/>
    <x v="4"/>
    <m/>
    <m/>
    <n v="0"/>
    <n v="0"/>
    <m/>
  </r>
  <r>
    <x v="48"/>
    <d v="2026-08-18T00:00:00"/>
    <x v="34"/>
    <s v="DORA ELIA SALAS RODRIGUEZ"/>
    <n v="32896897314"/>
    <s v="SARD681114MCLLDR01"/>
    <n v="2"/>
    <n v="8442983433"/>
    <x v="2"/>
    <n v="3628.28"/>
    <n v="224.7"/>
    <n v="1088.4839999999999"/>
    <n v="-224.7"/>
    <d v="2027-10-01T00:00:00"/>
  </r>
  <r>
    <x v="48"/>
    <d v="2026-08-18T00:00:00"/>
    <x v="31"/>
    <s v="JOSE ANTONIO ORTIZ MUÑOZ"/>
    <n v="43926216102"/>
    <s v="OIMA620321HTSRXN05"/>
    <n v="2"/>
    <s v="81 8472 2420"/>
    <x v="2"/>
    <n v="15546.64"/>
    <n v="4498.0200000000004"/>
    <n v="4663.9919999999993"/>
    <n v="165.97199999999884"/>
    <d v="2027-10-01T00:00:00"/>
  </r>
  <r>
    <x v="48"/>
    <d v="2026-08-17T00:00:00"/>
    <x v="0"/>
    <s v="JUAN CARLOS GONZALEZ HERNANDEZ"/>
    <s v="06826413566"/>
    <m/>
    <n v="23709064"/>
    <n v="5215519349190"/>
    <x v="0"/>
    <n v="9760.32"/>
    <m/>
    <n v="2928.096"/>
    <n v="2928.096"/>
    <m/>
  </r>
  <r>
    <x v="48"/>
    <d v="2026-08-17T00:00:00"/>
    <x v="46"/>
    <s v="ARTURO MATEO VELAZQUEZ"/>
    <m/>
    <s v="MAVA651224HVZTLR17"/>
    <n v="23707024"/>
    <n v="9212509009"/>
    <x v="0"/>
    <n v="11029.03"/>
    <m/>
    <n v="3308.7090000000003"/>
    <n v="3308.7090000000003"/>
    <m/>
  </r>
  <r>
    <x v="48"/>
    <d v="2026-08-18T00:00:00"/>
    <x v="13"/>
    <s v="Ramon Rodea Rodriguez"/>
    <n v="17816136695"/>
    <s v="RORR611106HDFDDM09"/>
    <n v="23717952"/>
    <n v="5215527230013"/>
    <x v="2"/>
    <n v="12868.32"/>
    <n v="3860.59"/>
    <n v="3860.4959999999996"/>
    <n v="-9.4000000000505679E-2"/>
    <d v="2027-10-01T00:00:00"/>
  </r>
  <r>
    <x v="48"/>
    <d v="2026-08-19T00:00:00"/>
    <x v="6"/>
    <s v="JAVIER HERNANDEZ RODRIGUEZ "/>
    <s v="07877106307"/>
    <s v="HERJ710821HDFRDV00"/>
    <n v="23713888"/>
    <n v="5215613841177"/>
    <x v="2"/>
    <n v="8562.7999999999993"/>
    <n v="2568.84"/>
    <n v="2568.8399999999997"/>
    <n v="0"/>
    <d v="2028-08-01T00:00:00"/>
  </r>
  <r>
    <x v="48"/>
    <d v="2026-08-18T00:00:00"/>
    <x v="13"/>
    <s v="ERNESTO MEDINA NAJERA"/>
    <n v="92886204921"/>
    <s v="MENE621204HDFDJR06"/>
    <n v="23714052"/>
    <n v="5215583495383"/>
    <x v="0"/>
    <n v="13829.67"/>
    <n v="879"/>
    <n v="4148.9009999999998"/>
    <n v="3269.9009999999998"/>
    <m/>
  </r>
  <r>
    <x v="48"/>
    <d v="2026-08-17T00:00:00"/>
    <x v="11"/>
    <s v="SANTIAGO RODRIGUEZ RODRIGUEZ "/>
    <s v="32796247750"/>
    <s v="RORS520822HCLDDN04"/>
    <n v="23703120"/>
    <n v="5218661398219"/>
    <x v="1"/>
    <n v="3485.91"/>
    <m/>
    <n v="1045.7729999999999"/>
    <n v="0"/>
    <m/>
  </r>
  <r>
    <x v="48"/>
    <d v="2026-08-18T00:00:00"/>
    <x v="6"/>
    <s v="JOSE ADRIAN PARRA MENDOZA "/>
    <s v="24846808566"/>
    <s v="PAMA680305HSRRND06"/>
    <n v="23726616"/>
    <n v="5216621283762"/>
    <x v="2"/>
    <n v="10351.23"/>
    <n v="2870.74"/>
    <n v="3105.3689999999997"/>
    <n v="234.62899999999991"/>
    <d v="2026-09-01T00:00:00"/>
  </r>
  <r>
    <x v="48"/>
    <d v="2026-08-18T00:00:00"/>
    <x v="31"/>
    <s v="EUSEBIO GARZA GARZA"/>
    <n v="43806450821"/>
    <s v="GAGE640328HNLRRS03"/>
    <n v="2"/>
    <n v="18110595393"/>
    <x v="2"/>
    <n v="9081.52"/>
    <n v="2694.4"/>
    <n v="2724.4560000000001"/>
    <n v="30.05600000000004"/>
    <d v="2028-07-01T00:00:00"/>
  </r>
  <r>
    <x v="48"/>
    <d v="2026-08-18T00:00:00"/>
    <x v="13"/>
    <s v="NOE GARCIA ANGULO "/>
    <n v="42927324329"/>
    <s v="GAAN731205HDFRNX00"/>
    <n v="23722742"/>
    <n v="5215560834381"/>
    <x v="2"/>
    <n v="13471.3"/>
    <n v="4040.39"/>
    <n v="4041.3899999999994"/>
    <n v="0.99999999999954525"/>
    <d v="2026-10-01T00:00:00"/>
  </r>
  <r>
    <x v="48"/>
    <d v="2026-08-18T00:00:00"/>
    <x v="31"/>
    <s v="MARIA JOSEFINA MURILLO MATA"/>
    <n v="32926075550"/>
    <s v="MUMJ600329MCLRTS09"/>
    <n v="2"/>
    <n v="18442598307"/>
    <x v="1"/>
    <n v="2706.38"/>
    <m/>
    <n v="811.91399999999999"/>
    <n v="0"/>
    <m/>
  </r>
  <r>
    <x v="48"/>
    <d v="2026-08-18T00:00:00"/>
    <x v="6"/>
    <s v="RAUL FABIAN SANCHEZ BEATRIZ"/>
    <s v="04816433611"/>
    <s v="SABR640911HJCNTL09"/>
    <n v="23716974"/>
    <n v="5213318779660"/>
    <x v="4"/>
    <m/>
    <m/>
    <n v="0"/>
    <n v="0"/>
    <m/>
  </r>
  <r>
    <x v="48"/>
    <d v="2026-08-18T00:00:00"/>
    <x v="32"/>
    <s v="JESUS GUEVARA LUJAN"/>
    <s v="43775911167"/>
    <s v="GULJ590131HDGVJS01"/>
    <n v="2"/>
    <s v="81 1273 7319"/>
    <x v="2"/>
    <n v="25371.43"/>
    <n v="7340.55"/>
    <n v="7611.4290000000001"/>
    <n v="270.87899999999991"/>
    <d v="2026-12-01T00:00:00"/>
  </r>
  <r>
    <x v="48"/>
    <d v="2026-08-18T00:00:00"/>
    <x v="13"/>
    <s v="RAFAEL RODRIGUEZ VALDES"/>
    <n v="43805831803"/>
    <s v="ROVR581028HCLDLF01"/>
    <n v="23714976"/>
    <n v="5218448841093"/>
    <x v="0"/>
    <n v="31516.93"/>
    <m/>
    <n v="9455.0789999999997"/>
    <n v="9455.0789999999997"/>
    <m/>
  </r>
  <r>
    <x v="48"/>
    <d v="2026-08-17T00:00:00"/>
    <x v="13"/>
    <s v="NOEMI GRACIELA CASTRO BRISEÑO"/>
    <n v="32816483039"/>
    <s v="CABN651126MCLSRM08"/>
    <n v="23710586"/>
    <n v="5218662344094"/>
    <x v="2"/>
    <n v="11029.03"/>
    <n v="3305.46"/>
    <n v="3308.7090000000003"/>
    <n v="3.249000000000251"/>
    <d v="2028-06-01T00:00:00"/>
  </r>
  <r>
    <x v="48"/>
    <d v="2026-08-18T00:00:00"/>
    <x v="31"/>
    <s v="MARIA ANTONIETA ENDIA HERNANDEZ"/>
    <m/>
    <s v="EIHA530117MJCNRN00"/>
    <n v="2"/>
    <s v="33 1635 0067"/>
    <x v="5"/>
    <m/>
    <m/>
    <n v="0"/>
    <n v="0"/>
    <m/>
  </r>
  <r>
    <x v="48"/>
    <d v="2026-08-17T00:00:00"/>
    <x v="28"/>
    <s v="LUIS GONZALEZ LOPEZ"/>
    <m/>
    <s v="GOLL451222HMNNPS09"/>
    <n v="23696858"/>
    <n v="5213541283464"/>
    <x v="1"/>
    <n v="3855.42"/>
    <m/>
    <n v="1156.626"/>
    <n v="0"/>
    <m/>
  </r>
  <r>
    <x v="48"/>
    <d v="2026-08-18T00:00:00"/>
    <x v="6"/>
    <s v="MIGUEL ANGEL PAVON MELENDEZ "/>
    <n v="78785507159"/>
    <s v="PAMM551220HOCVLG06"/>
    <n v="23729052"/>
    <n v="5219513157195"/>
    <x v="1"/>
    <n v="3959.6"/>
    <m/>
    <n v="1187.8799999999999"/>
    <n v="0"/>
    <m/>
  </r>
  <r>
    <x v="48"/>
    <d v="2026-08-18T00:00:00"/>
    <x v="31"/>
    <s v="SOCORRO VELASCO CERNA"/>
    <s v="54796344528"/>
    <s v="VECS630304MJCLRC03"/>
    <n v="2"/>
    <n v="544796344528"/>
    <x v="2"/>
    <n v="7920.51"/>
    <n v="2375.0700000000002"/>
    <n v="2376.1529999999998"/>
    <n v="1.0829999999996289"/>
    <d v="2027-05-01T00:00:00"/>
  </r>
  <r>
    <x v="48"/>
    <d v="2026-08-18T00:00:00"/>
    <x v="13"/>
    <s v="JULIAN MONJARAS RAMIREZ"/>
    <m/>
    <s v="MORJ560621HDFNML00"/>
    <n v="23727956"/>
    <n v="5215523247999"/>
    <x v="9"/>
    <n v="5041.03"/>
    <n v="654.16999999999996"/>
    <n v="1512.309"/>
    <n v="213.88000000000022"/>
    <d v="2024-01-01T00:00:00"/>
  </r>
  <r>
    <x v="48"/>
    <d v="2026-08-18T00:00:00"/>
    <x v="31"/>
    <s v="ANDRES GUERRERO VELAZQUEZ "/>
    <n v="32826475967"/>
    <s v="GUVA641130HCLRLN05"/>
    <n v="2"/>
    <n v="18445299531"/>
    <x v="2"/>
    <n v="9081.52"/>
    <n v="2626.52"/>
    <n v="2724.4560000000001"/>
    <n v="97.936000000000149"/>
    <d v="2027-02-01T00:00:00"/>
  </r>
  <r>
    <x v="48"/>
    <d v="2026-08-18T00:00:00"/>
    <x v="31"/>
    <s v="LUIS ENRIQUE COROY "/>
    <s v="8981631684441"/>
    <s v="ROCL631115HMCDRS07"/>
    <n v="2"/>
    <n v="15559648509"/>
    <x v="2"/>
    <n v="11407.83"/>
    <n v="3422.35"/>
    <n v="3422.3489999999997"/>
    <n v="-1.0000000002037268E-3"/>
    <d v="2027-05-01T00:00:00"/>
  </r>
  <r>
    <x v="48"/>
    <d v="2026-08-18T00:00:00"/>
    <x v="32"/>
    <s v="PEDRO SANTOS ANGELINA"/>
    <n v="49885605102"/>
    <s v="SAAP570109HSPNND04"/>
    <n v="2"/>
    <n v="8332831139"/>
    <x v="2"/>
    <n v="10553.58"/>
    <n v="3053.41"/>
    <n v="3166.0740000000001"/>
    <n v="112.66400000000021"/>
    <d v="2026-12-01T00:00:00"/>
  </r>
  <r>
    <x v="48"/>
    <d v="2026-08-18T00:00:00"/>
    <x v="34"/>
    <s v="JOSE LUIS CORTES PRECIADO"/>
    <s v="04856226230"/>
    <s v="COPL620901HJCRRS00"/>
    <n v="2"/>
    <n v="3330360282"/>
    <x v="2"/>
    <n v="9081.52"/>
    <n v="2723.43"/>
    <n v="2724.4560000000001"/>
    <n v="1.0260000000002947"/>
    <d v="2028-03-01T00:00:00"/>
  </r>
  <r>
    <x v="48"/>
    <d v="2026-08-16T00:00:00"/>
    <x v="49"/>
    <s v="ALBERTO JORGE CRUZ GARCIA"/>
    <m/>
    <s v="CUGA790818HDFRRL04"/>
    <n v="23701730"/>
    <n v="5523252095"/>
    <x v="4"/>
    <m/>
    <m/>
    <n v="0"/>
    <n v="0"/>
    <m/>
  </r>
  <r>
    <x v="48"/>
    <d v="2026-08-18T00:00:00"/>
    <x v="0"/>
    <s v="HECTOR MANUEL JARAMILLO DAVILA"/>
    <n v="34937702032"/>
    <m/>
    <n v="23731480"/>
    <n v="5214924278340"/>
    <x v="2"/>
    <n v="16382.7"/>
    <n v="4737.26"/>
    <n v="4914.8100000000004"/>
    <n v="177.55000000000018"/>
    <d v="2027-11-01T00:00:00"/>
  </r>
  <r>
    <x v="48"/>
    <d v="2026-08-17T00:00:00"/>
    <x v="13"/>
    <s v="NICOLAS HUERTA BATRES"/>
    <n v="31947020991"/>
    <s v="HUBN700127HDGRTC05"/>
    <n v="23711354"/>
    <n v="5216565533770"/>
    <x v="0"/>
    <n v="8793.09"/>
    <m/>
    <n v="2637.9270000000001"/>
    <n v="2637.9270000000001"/>
    <m/>
  </r>
  <r>
    <x v="48"/>
    <d v="2026-08-18T00:00:00"/>
    <x v="32"/>
    <s v="FELIPE DE JESUS PANTOJA MARTINEZ"/>
    <s v="54795728127"/>
    <s v="PAMF570823HDFNRL02"/>
    <n v="2"/>
    <s v="322 150 1820"/>
    <x v="1"/>
    <n v="4342.43"/>
    <m/>
    <n v="1302.729"/>
    <n v="169.45000000000073"/>
    <m/>
  </r>
  <r>
    <x v="48"/>
    <d v="2026-08-18T00:00:00"/>
    <x v="31"/>
    <s v="JUAN MANUEL VASQUEZ ESQUIVEL"/>
    <n v="32906476596"/>
    <s v="VAEJ620729HCLSSN01"/>
    <n v="2"/>
    <n v="18443585167"/>
    <x v="3"/>
    <n v="10535.19"/>
    <n v="2393.9899999999998"/>
    <n v="3160.5570000000002"/>
    <n v="766.56700000000046"/>
    <d v="2028-08-01T00:00:00"/>
  </r>
  <r>
    <x v="48"/>
    <d v="2026-08-18T00:00:00"/>
    <x v="31"/>
    <s v="MARIA DEL CARMEN MORALES TELLEZ"/>
    <n v="64806002461"/>
    <s v="MOTC600826MDFRLR08"/>
    <n v="2"/>
    <n v="5529374325"/>
    <x v="0"/>
    <n v="13466.29"/>
    <n v="879"/>
    <n v="4039.8870000000002"/>
    <n v="3160.8870000000002"/>
    <m/>
  </r>
  <r>
    <x v="48"/>
    <d v="2026-08-18T00:00:00"/>
    <x v="50"/>
    <s v="RICARDO ARRIAGA LOPEZ "/>
    <m/>
    <s v="AILR540317HMNRPC02"/>
    <n v="23703414"/>
    <n v="5214612655962"/>
    <x v="0"/>
    <n v="40155.72"/>
    <m/>
    <n v="12046.716"/>
    <n v="12046.716"/>
    <m/>
  </r>
  <r>
    <x v="48"/>
    <d v="2026-08-18T00:00:00"/>
    <x v="34"/>
    <s v="GILBERTO GOMEZ FLORES"/>
    <n v="19745202853"/>
    <s v="GOFG511123HCSMLL03"/>
    <n v="2"/>
    <n v="9661170147"/>
    <x v="2"/>
    <n v="15673.9"/>
    <n v="4687.03"/>
    <n v="4702.17"/>
    <n v="15.140000000000327"/>
    <d v="2027-12-01T00:00:00"/>
  </r>
  <r>
    <x v="48"/>
    <d v="2026-08-18T00:00:00"/>
    <x v="40"/>
    <s v="JOSE SANTOS MORALES GARCIA"/>
    <n v="32886270043"/>
    <m/>
    <n v="23731068"/>
    <n v="8641167795"/>
    <x v="2"/>
    <n v="8458.68"/>
    <n v="2447"/>
    <n v="2537.6039999999998"/>
    <n v="90.603999999999814"/>
    <d v="2028-01-01T00:00:00"/>
  </r>
  <r>
    <x v="48"/>
    <d v="2026-08-17T00:00:00"/>
    <x v="13"/>
    <s v="Diego Domínguez alarcon"/>
    <n v="43755918745"/>
    <s v="DOAD591026HNLMLG08"/>
    <n v="23711818"/>
    <n v="5218129239521"/>
    <x v="2"/>
    <n v="5706.98"/>
    <n v="1533.9"/>
    <n v="1712.0939999999998"/>
    <n v="9.9999999999909051E-2"/>
    <d v="2028-04-01T00:00:00"/>
  </r>
  <r>
    <x v="48"/>
    <d v="2026-08-18T00:00:00"/>
    <x v="45"/>
    <s v="Abraham Montes Platas"/>
    <m/>
    <s v="MOPA651016HVZNLB00"/>
    <n v="23730808"/>
    <n v="2961011851"/>
    <x v="0"/>
    <n v="11029.03"/>
    <m/>
    <n v="3308.7090000000003"/>
    <n v="3308.7090000000003"/>
    <m/>
  </r>
  <r>
    <x v="48"/>
    <d v="2026-08-18T00:00:00"/>
    <x v="45"/>
    <s v="J. Isabel Garcia Puente"/>
    <m/>
    <s v="GAPI640130HZSRNS08"/>
    <n v="23731332"/>
    <n v="8421188397"/>
    <x v="2"/>
    <n v="9504.7000000000007"/>
    <n v="2637.91"/>
    <n v="2851.4100000000003"/>
    <n v="213.50000000000045"/>
    <d v="2026-11-01T00:00:00"/>
  </r>
  <r>
    <x v="48"/>
    <d v="2026-08-18T00:00:00"/>
    <x v="40"/>
    <s v="ALFONSO"/>
    <n v="11745662939"/>
    <m/>
    <n v="23732352"/>
    <n v="6681633420"/>
    <x v="2"/>
    <n v="9760.32"/>
    <n v="2926.76"/>
    <n v="2928.096"/>
    <n v="1.3359999999997854"/>
    <d v="2027-09-01T00:00:00"/>
  </r>
  <r>
    <x v="48"/>
    <d v="2026-08-18T00:00:00"/>
    <x v="34"/>
    <s v="NICOLAS MARES GOMEZ"/>
    <n v="49816345539"/>
    <s v="MAGN630820HTSRMC08"/>
    <n v="2"/>
    <n v="8119040615"/>
    <x v="5"/>
    <m/>
    <m/>
    <n v="0"/>
    <n v="0"/>
    <m/>
  </r>
  <r>
    <x v="48"/>
    <d v="2026-08-18T00:00:00"/>
    <x v="13"/>
    <s v="Ricardo Garcia Davalos "/>
    <s v="12755914111"/>
    <s v="GADR591103HTSRVC03"/>
    <n v="23730024"/>
    <n v="5218142081645"/>
    <x v="2"/>
    <n v="6262.86"/>
    <n v="1808"/>
    <n v="1878.8579999999997"/>
    <n v="70.85799999999972"/>
    <d v="2027-01-01T00:00:00"/>
  </r>
  <r>
    <x v="48"/>
    <d v="2026-08-18T00:00:00"/>
    <x v="31"/>
    <s v="CARLOS GAYTAN MORALES"/>
    <n v="328163"/>
    <s v="GAMC63102H9CLYRR09"/>
    <n v="2"/>
    <n v="18128798044"/>
    <x v="5"/>
    <m/>
    <m/>
    <n v="0"/>
    <n v="0"/>
    <m/>
  </r>
  <r>
    <x v="48"/>
    <d v="2026-08-15T00:00:00"/>
    <x v="49"/>
    <s v="MERCEDES ALFONSO HERNANDEZ"/>
    <m/>
    <s v="AOHM560412MVZLRR06"/>
    <n v="23658888"/>
    <n v="9211539001"/>
    <x v="5"/>
    <m/>
    <m/>
    <n v="0"/>
    <n v="0"/>
    <m/>
  </r>
  <r>
    <x v="48"/>
    <d v="2026-08-18T00:00:00"/>
    <x v="11"/>
    <s v="ADRIANA FRANCISCO "/>
    <m/>
    <s v="FAFA841119MVZRLD03"/>
    <n v="23731954"/>
    <n v="2721523034"/>
    <x v="4"/>
    <m/>
    <m/>
    <n v="0"/>
    <n v="0"/>
    <m/>
  </r>
  <r>
    <x v="48"/>
    <d v="2026-08-18T00:00:00"/>
    <x v="40"/>
    <s v="JORGE GUADALUPE CASILLAS CALCAGNO"/>
    <m/>
    <s v="CACJ580303HSRSLR03"/>
    <n v="23732864"/>
    <n v="6311793323"/>
    <x v="1"/>
    <n v="4342.43"/>
    <n v="848"/>
    <n v="1302.729"/>
    <n v="-678.54999999999927"/>
    <m/>
  </r>
  <r>
    <x v="48"/>
    <d v="2026-08-18T00:00:00"/>
    <x v="6"/>
    <s v="MARIA ESTHER VARGAS JUAREZ "/>
    <m/>
    <s v="VAJE631007MDFRRS06"/>
    <n v="23718112"/>
    <n v="5214493912933"/>
    <x v="2"/>
    <n v="9760.32"/>
    <n v="2823.61"/>
    <n v="2928.096"/>
    <n v="104.48599999999988"/>
    <d v="2027-04-01T00:00:00"/>
  </r>
  <r>
    <x v="48"/>
    <d v="2026-08-18T00:00:00"/>
    <x v="11"/>
    <s v="CECILIA LETICIA DIAZ RIVAS"/>
    <n v="1796153193"/>
    <m/>
    <n v="23733244"/>
    <n v="9981158838"/>
    <x v="2"/>
    <n v="6262.86"/>
    <n v="1811.99"/>
    <n v="1878.8579999999997"/>
    <n v="66.867999999999711"/>
    <d v="2027-03-01T00:00:00"/>
  </r>
  <r>
    <x v="48"/>
    <d v="2026-08-18T00:00:00"/>
    <x v="6"/>
    <s v="BALBINA FELIX SOTELO SOTELO"/>
    <m/>
    <s v="SOSB620217MMCTTL04"/>
    <n v="23721728"/>
    <n v="5217226793415"/>
    <x v="4"/>
    <m/>
    <m/>
    <n v="0"/>
    <n v="0"/>
    <m/>
  </r>
  <r>
    <x v="48"/>
    <d v="2026-08-16T00:00:00"/>
    <x v="6"/>
    <s v="PEDRO MARTINEZ VALDES "/>
    <n v="16826347078"/>
    <s v="MAVP630518HMCRLD07"/>
    <n v="23682266"/>
    <n v="5217227959197"/>
    <x v="2"/>
    <n v="7920.51"/>
    <n v="2274.33"/>
    <n v="2376.1529999999998"/>
    <n v="101.82299999999987"/>
    <d v="2027-09-01T00:00:00"/>
  </r>
  <r>
    <x v="48"/>
    <d v="2026-08-18T00:00:00"/>
    <x v="0"/>
    <s v="JOSE HERRERA"/>
    <n v="23796010736"/>
    <m/>
    <n v="23733834"/>
    <n v="5216678292908"/>
    <x v="3"/>
    <n v="48407.81"/>
    <n v="13998.01"/>
    <n v="14522.342999999999"/>
    <n v="524.33299999999872"/>
    <d v="2027-08-01T00:00:00"/>
  </r>
  <r>
    <x v="48"/>
    <d v="2026-08-18T00:00:00"/>
    <x v="40"/>
    <s v="RAUL PACHECO SAENZ"/>
    <m/>
    <s v="PASR531213HCHCNL01"/>
    <n v="23734246"/>
    <n v="6141913909"/>
    <x v="0"/>
    <n v="14385.63"/>
    <m/>
    <n v="4315.6889999999994"/>
    <n v="4315.6889999999994"/>
    <m/>
  </r>
  <r>
    <x v="48"/>
    <d v="2026-08-18T00:00:00"/>
    <x v="11"/>
    <s v="aaron hernandez lozano "/>
    <s v="32816214335"/>
    <m/>
    <n v="23734516"/>
    <n v="8712354791"/>
    <x v="0"/>
    <n v="23444.02"/>
    <m/>
    <n v="7033.2060000000001"/>
    <n v="7033.2060000000001"/>
    <m/>
  </r>
  <r>
    <x v="48"/>
    <d v="2026-08-17T00:00:00"/>
    <x v="13"/>
    <s v="FABIOLA SOLORZANO CONCEPCION"/>
    <n v="92917392208"/>
    <s v="SOCF780227MDFLNB02"/>
    <n v="23711882"/>
    <n v="5215615043450"/>
    <x v="0"/>
    <n v="7128.48"/>
    <n v="827.86"/>
    <n v="2138.5439999999999"/>
    <n v="1310.6839999999997"/>
    <d v="2026-07-01T00:00:00"/>
  </r>
  <r>
    <x v="48"/>
    <d v="2026-08-18T00:00:00"/>
    <x v="45"/>
    <s v="GUSTAVO CABRERA MORALES"/>
    <m/>
    <s v="CAMG630630HVZBRS03"/>
    <n v="23735326"/>
    <n v="2295481156"/>
    <x v="2"/>
    <n v="7920.51"/>
    <n v="2289.4499999999998"/>
    <n v="2376.1529999999998"/>
    <n v="86.702999999999975"/>
    <d v="2027-12-01T00:00:00"/>
  </r>
  <r>
    <x v="48"/>
    <d v="2026-08-18T00:00:00"/>
    <x v="32"/>
    <s v="ANDRES GALICIA OLIVARES"/>
    <s v="10806130414"/>
    <s v="GAOA610512HDFLLN07"/>
    <n v="2"/>
    <n v="5545434388"/>
    <x v="2"/>
    <n v="10171.24"/>
    <n v="2814.46"/>
    <n v="3051.3719999999998"/>
    <n v="236.91199999999981"/>
    <d v="2027-02-01T00:00:00"/>
  </r>
  <r>
    <x v="48"/>
    <d v="2026-08-18T00:00:00"/>
    <x v="50"/>
    <s v="nath"/>
    <m/>
    <s v="RIRC580512HBCVBN07"/>
    <n v="23702326"/>
    <n v="5216623504606"/>
    <x v="9"/>
    <n v="7920.51"/>
    <n v="2291.6"/>
    <n v="2376.1529999999998"/>
    <n v="84.552999999999884"/>
    <d v="2026-02-01T00:00:00"/>
  </r>
  <r>
    <x v="48"/>
    <d v="2026-08-18T00:00:00"/>
    <x v="13"/>
    <s v="JOSE CHIGO BUSTAMANTE"/>
    <m/>
    <s v="CIBJ560224HVZHSS07"/>
    <n v="23729512"/>
    <n v="5212941519831"/>
    <x v="0"/>
    <n v="7920.53"/>
    <m/>
    <n v="2376.1589999999997"/>
    <n v="2376.1589999999997"/>
    <m/>
  </r>
  <r>
    <x v="48"/>
    <d v="2026-08-18T00:00:00"/>
    <x v="6"/>
    <s v="MA. CECILIA GALLARDO CORTEZ "/>
    <n v="49836453180"/>
    <s v="GACC640816MTSLRC17"/>
    <n v="23726066"/>
    <n v="23726066"/>
    <x v="2"/>
    <n v="9760.32"/>
    <n v="2739.96"/>
    <n v="2928.096"/>
    <n v="188.13599999999997"/>
    <d v="2028-04-01T00:00:00"/>
  </r>
  <r>
    <x v="48"/>
    <d v="2026-08-18T00:00:00"/>
    <x v="40"/>
    <s v="MARIA ESTELA CLARA DAVALOS MARTINEZ"/>
    <n v="10815807945"/>
    <s v="DAME580812MMCVRS03"/>
    <n v="23735536"/>
    <n v="9841432522"/>
    <x v="2"/>
    <n v="5814.62"/>
    <n v="1565.37"/>
    <n v="1744.386"/>
    <n v="76.270000000000437"/>
    <d v="2027-04-01T00:00:00"/>
  </r>
  <r>
    <x v="48"/>
    <d v="2026-08-18T00:00:00"/>
    <x v="40"/>
    <s v="ISAURA PAGAZA SANCHEZ"/>
    <s v="01695394682"/>
    <m/>
    <n v="23735300"/>
    <n v="5537313083"/>
    <x v="3"/>
    <n v="30795.51"/>
    <n v="8899.33"/>
    <n v="9238.6529999999984"/>
    <n v="339.3229999999985"/>
    <d v="2027-02-01T00:00:00"/>
  </r>
  <r>
    <x v="48"/>
    <d v="2026-08-18T00:00:00"/>
    <x v="13"/>
    <s v="VICTORIA PEREZ ACOSTA"/>
    <m/>
    <s v="PEAV651117MHGRCC04"/>
    <n v="23729040"/>
    <n v="5217717624320"/>
    <x v="0"/>
    <n v="9760.32"/>
    <m/>
    <n v="2928.096"/>
    <n v="2928.096"/>
    <m/>
  </r>
  <r>
    <x v="48"/>
    <d v="2026-08-18T00:00:00"/>
    <x v="31"/>
    <s v="JUAN LUIS CANTO GOMEZ"/>
    <n v="47927640186"/>
    <s v="CAGJ760103HNLNMN04"/>
    <n v="2"/>
    <n v="8110820198"/>
    <x v="2"/>
    <n v="8181.55"/>
    <n v="2248.06"/>
    <n v="2454.4650000000001"/>
    <n v="206.4050000000002"/>
    <d v="2027-09-01T00:00:00"/>
  </r>
  <r>
    <x v="48"/>
    <d v="2026-08-18T00:00:00"/>
    <x v="52"/>
    <s v="bernardo fernandez"/>
    <s v="19836803387"/>
    <m/>
    <n v="23736572"/>
    <n v="5219981311710"/>
    <x v="0"/>
    <n v="9582.4699999999993"/>
    <m/>
    <n v="2874.7409999999995"/>
    <n v="2874.7409999999995"/>
    <m/>
  </r>
  <r>
    <x v="48"/>
    <d v="2026-08-18T00:00:00"/>
    <x v="0"/>
    <s v="JUAN FIDENCIO MORENO JIMENEZ"/>
    <m/>
    <s v="MOJJ631231HNLRMN04"/>
    <n v="23733188"/>
    <n v="5218123200080"/>
    <x v="0"/>
    <n v="40908.589999999997"/>
    <m/>
    <n v="12272.576999999999"/>
    <n v="12272.576999999999"/>
    <m/>
  </r>
  <r>
    <x v="48"/>
    <d v="2026-08-18T00:00:00"/>
    <x v="52"/>
    <s v="eligio juarez perez "/>
    <m/>
    <s v="JUPE631201HMCRRL10"/>
    <n v="23737222"/>
    <n v="5215523676283"/>
    <x v="0"/>
    <n v="9760.32"/>
    <m/>
    <n v="2928.096"/>
    <n v="2928.096"/>
    <m/>
  </r>
  <r>
    <x v="49"/>
    <d v="2026-08-19T00:00:00"/>
    <x v="32"/>
    <s v="IRMA NELLY FLORES PEREZ"/>
    <n v="43786103093"/>
    <s v="FOPI610125MNLLRR02"/>
    <n v="2"/>
    <s v="81 3596 5991"/>
    <x v="2"/>
    <n v="6488.55"/>
    <n v="1811.82"/>
    <n v="1946.5650000000001"/>
    <n v="134.74500000000012"/>
    <d v="2027-04-01T00:00:00"/>
  </r>
  <r>
    <x v="49"/>
    <d v="2026-08-19T00:00:00"/>
    <x v="32"/>
    <s v="VICTOR HUGO IBARRA MOLINA"/>
    <n v="32967881122"/>
    <s v="IAMV780913HCLBLC05"/>
    <n v="2"/>
    <s v="844 202 7834"/>
    <x v="3"/>
    <n v="9063.16"/>
    <n v="2412.4"/>
    <n v="2718.9479999999999"/>
    <n v="306.54799999999977"/>
    <d v="2026-12-01T00:00:00"/>
  </r>
  <r>
    <x v="49"/>
    <d v="2026-08-19T00:00:00"/>
    <x v="32"/>
    <s v="FRANCISCO LUCIANO MARTINEZ LLANAS"/>
    <s v="43876791666"/>
    <s v="MALF670107HNLRLR03"/>
    <n v="2"/>
    <s v="81 2903 7617"/>
    <x v="1"/>
    <n v="3789.49"/>
    <n v="848"/>
    <n v="1136.847"/>
    <n v="-848"/>
    <m/>
  </r>
  <r>
    <x v="49"/>
    <d v="2026-08-19T00:00:00"/>
    <x v="31"/>
    <s v="luiz enrique coroy"/>
    <s v="898163168441"/>
    <s v="ROCL63111HMCDRS07"/>
    <n v="2"/>
    <n v="155596648509"/>
    <x v="5"/>
    <m/>
    <m/>
    <n v="0"/>
    <n v="0"/>
    <m/>
  </r>
  <r>
    <x v="49"/>
    <d v="2026-08-18T00:00:00"/>
    <x v="28"/>
    <s v="MARTIN GERMAN TEJEDA DIAZ"/>
    <m/>
    <s v="TEDM650703HBCJZR03"/>
    <n v="23743121"/>
    <n v="5216645749617"/>
    <x v="2"/>
    <n v="9760.32"/>
    <n v="2926.53"/>
    <n v="2928.096"/>
    <n v="1.5659999999998035"/>
    <d v="2028-03-01T00:00:00"/>
  </r>
  <r>
    <x v="49"/>
    <d v="2026-08-19T00:00:00"/>
    <x v="31"/>
    <s v="ROSENDO URBANO CORTES CORONA"/>
    <n v="1685022301"/>
    <s v="COCR500525HPLRRS04"/>
    <n v="2"/>
    <n v="5629089900"/>
    <x v="2"/>
    <n v="4649.8900000000003"/>
    <n v="458.93"/>
    <n v="1394.9670000000001"/>
    <n v="17.980000000000757"/>
    <d v="2027-03-01T00:00:00"/>
  </r>
  <r>
    <x v="49"/>
    <d v="2026-08-19T00:00:00"/>
    <x v="31"/>
    <s v="JOSE VICTOR ELEAZAR"/>
    <n v="43916865546"/>
    <s v="CECV670925HNLRSC00"/>
    <n v="2"/>
    <n v="18124487621"/>
    <x v="2"/>
    <n v="6405.06"/>
    <n v="1921.04"/>
    <n v="1921.518"/>
    <n v="0.47800000000006548"/>
    <d v="2027-05-01T00:00:00"/>
  </r>
  <r>
    <x v="49"/>
    <d v="2026-08-18T00:00:00"/>
    <x v="40"/>
    <s v="JOSE LUIS GARCIA OROZCO "/>
    <m/>
    <s v="GAOL581003HJCRRS04"/>
    <n v="23733548"/>
    <n v="3482494854"/>
    <x v="0"/>
    <n v="7920.51"/>
    <m/>
    <n v="2376.1529999999998"/>
    <n v="2376.1529999999998"/>
    <m/>
  </r>
  <r>
    <x v="49"/>
    <d v="2026-08-19T00:00:00"/>
    <x v="31"/>
    <s v="LUIS ALBERTO SALAS DIAZ"/>
    <n v="43795940956"/>
    <s v="SADL590407HNLLZS02"/>
    <n v="2"/>
    <n v="18135544559"/>
    <x v="3"/>
    <n v="4990.99"/>
    <m/>
    <n v="1497.2969999999998"/>
    <n v="818.01000000000022"/>
    <m/>
  </r>
  <r>
    <x v="49"/>
    <d v="2026-08-19T00:00:00"/>
    <x v="31"/>
    <s v="EFRAIN MIRANDA GARCIA"/>
    <n v="4856527298"/>
    <s v="MIGE650615HJCRRF04"/>
    <n v="2"/>
    <n v="13313536832"/>
    <x v="2"/>
    <n v="10636.54"/>
    <n v="3178.72"/>
    <n v="3190.962"/>
    <n v="12.242000000000189"/>
    <d v="2028-08-01T00:00:00"/>
  </r>
  <r>
    <x v="49"/>
    <d v="2026-08-18T00:00:00"/>
    <x v="6"/>
    <s v="FERNANDO ISMAEL MORENO GONZALEZ "/>
    <s v="06765218604"/>
    <s v="MOGF520527HDFRNR01"/>
    <n v="23726144"/>
    <n v="5219541548449"/>
    <x v="3"/>
    <n v="15280.15"/>
    <n v="4046.08"/>
    <n v="4584.0450000000001"/>
    <n v="537.96500000000015"/>
    <m/>
  </r>
  <r>
    <x v="49"/>
    <d v="2026-08-19T00:00:00"/>
    <x v="34"/>
    <s v="MARTIN NICOLAS NORIEGA NAVOR"/>
    <s v="0400690560"/>
    <s v="NONM691127HJCRVR03"/>
    <n v="2"/>
    <s v="33 1825 9593"/>
    <x v="4"/>
    <m/>
    <m/>
    <n v="0"/>
    <n v="0"/>
    <m/>
  </r>
  <r>
    <x v="49"/>
    <d v="2026-08-19T00:00:00"/>
    <x v="53"/>
    <s v="ROSALBA SANCHEZ GARCIA"/>
    <s v="32796155649"/>
    <s v="SAGR681027MCLNRS09"/>
    <n v="23760649"/>
    <n v="8448703557"/>
    <x v="2"/>
    <n v="9926.1299999999992"/>
    <n v="2953.74"/>
    <n v="2977.8389999999995"/>
    <n v="24.098999999999705"/>
    <d v="2028-05-01T00:00:00"/>
  </r>
  <r>
    <x v="49"/>
    <d v="2026-08-19T00:00:00"/>
    <x v="32"/>
    <s v="AMBROSIO CRUZ PEREZ"/>
    <n v="1978610368"/>
    <s v="CUPA611016HHGRRM09"/>
    <n v="2"/>
    <n v="5545603967"/>
    <x v="2"/>
    <n v="7920.51"/>
    <n v="2291.6"/>
    <n v="2376.1529999999998"/>
    <n v="84.552999999999884"/>
    <d v="2027-10-01T00:00:00"/>
  </r>
  <r>
    <x v="49"/>
    <d v="2026-08-19T00:00:00"/>
    <x v="28"/>
    <s v="LUIS GUTIERREZ AVIÑA"/>
    <m/>
    <s v="GUAL640320HGTTVS08"/>
    <n v="23756661"/>
    <n v="5214776735685"/>
    <x v="0"/>
    <n v="9290.75"/>
    <m/>
    <n v="2787.2249999999999"/>
    <n v="2787.2249999999999"/>
    <m/>
  </r>
  <r>
    <x v="49"/>
    <d v="2026-08-19T00:00:00"/>
    <x v="33"/>
    <s v="CARLOS GAYTAN MORALES"/>
    <n v="32816374634"/>
    <s v="GAMC631021HCLYRR09"/>
    <n v="2"/>
    <n v="18128798044"/>
    <x v="2"/>
    <n v="7920.51"/>
    <n v="2376.14"/>
    <n v="2376.1529999999998"/>
    <n v="1.2999999999919964E-2"/>
    <d v="2028-06-01T00:00:00"/>
  </r>
  <r>
    <x v="49"/>
    <d v="2026-08-19T00:00:00"/>
    <x v="28"/>
    <s v="EMILIO MARTINEZ PEREZ"/>
    <m/>
    <s v="MAPE700301HNLRRM07"/>
    <n v="23741092"/>
    <n v="5218111372546"/>
    <x v="1"/>
    <n v="4108.09"/>
    <m/>
    <n v="1232.4269999999999"/>
    <n v="0"/>
    <m/>
  </r>
  <r>
    <x v="49"/>
    <d v="2026-08-19T00:00:00"/>
    <x v="28"/>
    <s v="DAVID LUCENA FLORES"/>
    <s v="67816063522"/>
    <s v="LUFD581229HGRCLV05"/>
    <n v="23740678"/>
    <n v="5216632002507"/>
    <x v="2"/>
    <n v="6186.05"/>
    <n v="1715.11"/>
    <n v="1855.8150000000001"/>
    <n v="140.70500000000015"/>
    <d v="2026-10-01T00:00:00"/>
  </r>
  <r>
    <x v="49"/>
    <d v="2026-08-17T00:00:00"/>
    <x v="54"/>
    <s v="ISRAEL GUILLEN BALDERRAMA"/>
    <m/>
    <s v="GUBI660308HSRLLS09"/>
    <n v="23706370"/>
    <n v="6444470845"/>
    <x v="0"/>
    <n v="9760.32"/>
    <m/>
    <n v="2928.096"/>
    <n v="2928.096"/>
    <m/>
  </r>
  <r>
    <x v="49"/>
    <d v="2026-08-19T00:00:00"/>
    <x v="54"/>
    <s v="JOSE GUADALUPE RIVAS GONZALEZ"/>
    <m/>
    <s v="RIGG620320HCLVND04"/>
    <n v="23761287"/>
    <n v="8124440400"/>
    <x v="6"/>
    <n v="8592.73"/>
    <n v="2385.73"/>
    <n v="2577.819"/>
    <n v="192.08899999999994"/>
    <d v="2026-08-01T00:00:00"/>
  </r>
  <r>
    <x v="49"/>
    <d v="2026-08-19T00:00:00"/>
    <x v="33"/>
    <s v="LUIS ENRIQUE RODRIGUEZ COROY"/>
    <n v="89816316841"/>
    <s v="ROCL63115HMCDRS07"/>
    <n v="2"/>
    <n v="15559648509"/>
    <x v="2"/>
    <n v="11407.83"/>
    <n v="3422.35"/>
    <n v="3422.3489999999997"/>
    <n v="-1.0000000002037268E-3"/>
    <d v="2027-05-01T00:00:00"/>
  </r>
  <r>
    <x v="49"/>
    <d v="2026-08-19T00:00:00"/>
    <x v="55"/>
    <s v="ANDRES MORALES "/>
    <n v="62856000708"/>
    <s v="MOLA601228HVZRYN08"/>
    <n v="23762769"/>
    <n v="5212221625726"/>
    <x v="0"/>
    <n v="21036.47"/>
    <n v="1533.09"/>
    <n v="6310.9409999999998"/>
    <n v="4777.8509999999997"/>
    <d v="2027-03-01T00:00:00"/>
  </r>
  <r>
    <x v="49"/>
    <d v="2026-08-19T00:00:00"/>
    <x v="33"/>
    <s v="JUAN LUIS CANTU GOMEZ"/>
    <n v="47927640186"/>
    <s v="CAGJ760103HNLNMN04"/>
    <n v="2"/>
    <n v="18110820198"/>
    <x v="10"/>
    <m/>
    <m/>
    <n v="0"/>
    <n v="0"/>
    <m/>
  </r>
  <r>
    <x v="49"/>
    <d v="2026-08-19T00:00:00"/>
    <x v="53"/>
    <s v="ALFONSO HERNANDEZ MELENDEZ"/>
    <m/>
    <s v="HEMA601030HVZRLL05"/>
    <n v="23762447"/>
    <n v="2881358339"/>
    <x v="2"/>
    <n v="5617.63"/>
    <n v="1429.29"/>
    <n v="1685.289"/>
    <n v="15.360000000000582"/>
    <d v="2028-06-01T00:00:00"/>
  </r>
  <r>
    <x v="49"/>
    <d v="2026-08-19T00:00:00"/>
    <x v="13"/>
    <s v="RAUL GUEVARA CEDILLO"/>
    <n v="92967829364"/>
    <s v="GUCR780729HMCVDL06"/>
    <n v="23755183"/>
    <n v="5215568558693"/>
    <x v="1"/>
    <n v="3108.99"/>
    <m/>
    <n v="932.69699999999989"/>
    <n v="0"/>
    <m/>
  </r>
  <r>
    <x v="49"/>
    <d v="2026-08-17T00:00:00"/>
    <x v="6"/>
    <s v="ANTONIO HERNANDEZ HERRERA "/>
    <s v="06816312521"/>
    <s v="HEHA631024HDFRRN05 "/>
    <n v="23712454"/>
    <n v="5215539220345"/>
    <x v="2"/>
    <n v="9081.52"/>
    <n v="2724.29"/>
    <n v="2724.4560000000001"/>
    <n v="0.16600000000016735"/>
    <d v="2027-08-01T00:00:00"/>
  </r>
  <r>
    <x v="49"/>
    <d v="2026-08-19T00:00:00"/>
    <x v="56"/>
    <s v="Fernando Alejandro Ramos Aranda"/>
    <n v="53886934016"/>
    <s v="RAAF700331HMNMRR07"/>
    <n v="23751017"/>
    <n v="521452523411319"/>
    <x v="2"/>
    <n v="10994.17"/>
    <n v="3296.77"/>
    <n v="3298.2509999999997"/>
    <n v="1.4809999999997672"/>
    <d v="2027-09-01T00:00:00"/>
  </r>
  <r>
    <x v="49"/>
    <d v="2026-08-19T00:00:00"/>
    <x v="33"/>
    <s v="JESUS ROCHA AMEZCUA"/>
    <n v="54766413147"/>
    <s v="ROAJ640704HJCCMS01"/>
    <n v="2"/>
    <n v="3313536832"/>
    <x v="2"/>
    <n v="9081.52"/>
    <n v="2518.37"/>
    <n v="2724.4560000000001"/>
    <n v="206.08600000000024"/>
    <d v="2026-12-01T00:00:00"/>
  </r>
  <r>
    <x v="49"/>
    <d v="2026-08-19T00:00:00"/>
    <x v="6"/>
    <s v="JOSE LUIS VALENCIA HERMIDA "/>
    <n v="65735108428"/>
    <s v="VAHL510113HVZLRS06 "/>
    <n v="23758635"/>
    <n v="5219992591417"/>
    <x v="2"/>
    <n v="8944.83"/>
    <n v="2670.78"/>
    <n v="2683.4490000000001"/>
    <n v="12.668999999999869"/>
    <d v="2028-03-01T00:00:00"/>
  </r>
  <r>
    <x v="49"/>
    <d v="2026-08-18T00:00:00"/>
    <x v="56"/>
    <s v="José Luis Aciano Domínguez "/>
    <n v="13978040858"/>
    <s v="AIDL800724HCLCMS05"/>
    <n v="23742131"/>
    <n v="5216145090575"/>
    <x v="0"/>
    <n v="7700.2000000000116"/>
    <m/>
    <n v="2310.0600000000036"/>
    <n v="2310.0600000000036"/>
    <m/>
  </r>
  <r>
    <x v="49"/>
    <d v="2026-08-19T00:00:00"/>
    <x v="57"/>
    <s v="JOSE ADOLFO RUIZ MARTINEZ "/>
    <m/>
    <s v="RUMA600928HPLZRD07"/>
    <n v="23757641"/>
    <n v="5212225682011"/>
    <x v="0"/>
    <n v="9760.32"/>
    <m/>
    <n v="2928.096"/>
    <n v="2928.096"/>
    <m/>
  </r>
  <r>
    <x v="49"/>
    <d v="2026-08-19T00:00:00"/>
    <x v="33"/>
    <s v="MARGARITO FELICIANO GONZALEZ"/>
    <n v="72786009315"/>
    <s v="FEGM600413HGRLNR04"/>
    <n v="2"/>
    <n v="8671619075"/>
    <x v="2"/>
    <n v="5617.63"/>
    <n v="1444.64"/>
    <n v="1685.289"/>
    <n v="1.0000000000445652E-2"/>
    <d v="2027-02-01T00:00:00"/>
  </r>
  <r>
    <x v="49"/>
    <d v="2026-08-19T00:00:00"/>
    <x v="31"/>
    <s v="HERMELINDA GUADALUPE RODRIGUEZ GANDARA"/>
    <s v="04896030675"/>
    <s v="ROGH601028MNLDNR08"/>
    <n v="2"/>
    <n v="3319038120"/>
    <x v="2"/>
    <n v="10024.790000000001"/>
    <n v="2896.27"/>
    <n v="3007.4370000000004"/>
    <n v="111.16700000000037"/>
    <d v="2027-02-01T00:00:00"/>
  </r>
  <r>
    <x v="49"/>
    <d v="2026-08-19T00:00:00"/>
    <x v="54"/>
    <s v="LILIA MALDONADO VELAZQUEZ"/>
    <m/>
    <s v="MAVL590115MVZLLL06"/>
    <n v="23766780"/>
    <n v="2721532069"/>
    <x v="3"/>
    <n v="5617.63"/>
    <n v="1000"/>
    <n v="1685.289"/>
    <n v="444.65000000000055"/>
    <d v="2027-12-01T00:00:00"/>
  </r>
  <r>
    <x v="49"/>
    <d v="2026-08-19T00:00:00"/>
    <x v="6"/>
    <s v="MANUELA GONZALEZ GUERECA "/>
    <s v="33937039122_x000a_"/>
    <s v="GOGM701028MCHNRN01"/>
    <n v="23759301"/>
    <n v="5216142835291"/>
    <x v="2"/>
    <n v="6411.47"/>
    <n v="1854.88"/>
    <n v="1923.441"/>
    <n v="68.560999999999922"/>
    <d v="2027-06-01T00:00:00"/>
  </r>
  <r>
    <x v="49"/>
    <d v="2026-08-19T00:00:00"/>
    <x v="13"/>
    <s v="SIMONA FRANCISCA RANGEL GONZALEZ"/>
    <n v="43795933001"/>
    <s v="RAGS690129MNLNNM06"/>
    <n v="23763509"/>
    <n v="5213312837635"/>
    <x v="9"/>
    <n v="4172.53"/>
    <n v="375"/>
    <n v="1251.7589999999998"/>
    <n v="-375"/>
    <d v="2026-07-01T00:00:00"/>
  </r>
  <r>
    <x v="49"/>
    <d v="2026-08-19T00:00:00"/>
    <x v="13"/>
    <s v="MANUELA CELAYA MORENO"/>
    <s v="01734744541"/>
    <s v="CEMM500408MSRLRN05"/>
    <n v="23760667"/>
    <n v="5216413217948"/>
    <x v="4"/>
    <m/>
    <m/>
    <n v="0"/>
    <n v="0"/>
    <m/>
  </r>
  <r>
    <x v="49"/>
    <d v="2026-08-19T00:00:00"/>
    <x v="54"/>
    <s v="UBALDO FLORES TOMAS"/>
    <m/>
    <s v="FOTU620516HOCLMB02"/>
    <n v="23765987"/>
    <n v="5514959212"/>
    <x v="2"/>
    <n v="7116.73"/>
    <n v="2135"/>
    <n v="2135.0189999999998"/>
    <n v="1.8999999999778083E-2"/>
    <d v="2028-06-01T00:00:00"/>
  </r>
  <r>
    <x v="49"/>
    <d v="2026-08-17T00:00:00"/>
    <x v="58"/>
    <s v="MARTIN DIAZ GOMEZ"/>
    <m/>
    <s v="DIGM600223HMCZMR07"/>
    <n v="23708942"/>
    <n v="5215511319744"/>
    <x v="2"/>
    <n v="5617.63"/>
    <n v="1390.67"/>
    <n v="1685.289"/>
    <n v="53.980000000000473"/>
    <d v="2027-10-01T00:00:00"/>
  </r>
  <r>
    <x v="49"/>
    <d v="2026-08-19T00:00:00"/>
    <x v="58"/>
    <s v="ARNULFO SANTILLAN ORTIZ"/>
    <m/>
    <s v="SAOA610415HJCNRR00"/>
    <n v="23770102"/>
    <n v="5213320114300"/>
    <x v="0"/>
    <n v="13720.49"/>
    <m/>
    <n v="4116.1469999999999"/>
    <n v="4116.1469999999999"/>
    <m/>
  </r>
  <r>
    <x v="49"/>
    <d v="2026-08-18T00:00:00"/>
    <x v="13"/>
    <s v="MARTHA INES RESENDEZ ALVAREZ"/>
    <n v="49866870857"/>
    <s v="REAM680124MTSSLR00"/>
    <n v="23741176"/>
    <n v="5218683665342"/>
    <x v="2"/>
    <n v="4961.96"/>
    <n v="788"/>
    <n v="1488.588"/>
    <n v="0.98000000000047294"/>
    <d v="2028-06-01T00:00:00"/>
  </r>
  <r>
    <x v="49"/>
    <d v="2026-08-19T00:00:00"/>
    <x v="54"/>
    <s v="ARNOLDO LOPEZ BARBOSA"/>
    <m/>
    <s v="LOBA590301HCMPRR04"/>
    <n v="23769606"/>
    <n v="3122727690"/>
    <x v="7"/>
    <n v="4813.6899999999996"/>
    <n v="592.94000000000005"/>
    <n v="1444.1069999999997"/>
    <n v="47.769999999999982"/>
    <d v="2026-06-01T00:00:00"/>
  </r>
  <r>
    <x v="49"/>
    <d v="2026-08-19T00:00:00"/>
    <x v="34"/>
    <s v="ELBA RUELAS SANTOS"/>
    <n v="54765947566"/>
    <s v="RUSE600603MJCLNL07"/>
    <n v="2"/>
    <s v="33 1324 6410"/>
    <x v="3"/>
    <n v="9760.32"/>
    <n v="2291.92"/>
    <n v="2928.096"/>
    <n v="636.17599999999993"/>
    <d v="2028-05-01T00:00:00"/>
  </r>
  <r>
    <x v="49"/>
    <d v="2026-08-19T00:00:00"/>
    <x v="58"/>
    <s v="HORTENCIA CASTILLO ZAPATA"/>
    <m/>
    <s v="CAZH540211MGRSPR01"/>
    <n v="23772894"/>
    <n v="5217441786998"/>
    <x v="9"/>
    <n v="10266.120000000001"/>
    <n v="2516.6799999999998"/>
    <n v="3079.8360000000002"/>
    <n v="563.1560000000004"/>
    <d v="2024-08-01T00:00:00"/>
  </r>
  <r>
    <x v="49"/>
    <d v="2026-08-16T00:00:00"/>
    <x v="40"/>
    <s v="ALBERTO CARO GARCIA"/>
    <m/>
    <s v="CXGA510807HNTRRL04"/>
    <n v="23672984"/>
    <n v="3221070302"/>
    <x v="1"/>
    <n v="3961.31"/>
    <n v="848"/>
    <n v="1188.393"/>
    <n v="-848"/>
    <m/>
  </r>
  <r>
    <x v="49"/>
    <d v="2026-08-19T00:00:00"/>
    <x v="54"/>
    <s v="SALVADOR FLORES ALVARADO"/>
    <s v="O4755744051"/>
    <s v="FOAS570525HJCLLL06"/>
    <n v="23760627"/>
    <n v="3312602707"/>
    <x v="3"/>
    <n v="4938.1899999999996"/>
    <m/>
    <n v="1481.4569999999999"/>
    <n v="765.21"/>
    <m/>
  </r>
  <r>
    <x v="49"/>
    <d v="2026-08-19T00:00:00"/>
    <x v="55"/>
    <s v="juan martin "/>
    <m/>
    <s v="DEHJ640130HJCLRN07"/>
    <n v="23773702"/>
    <n v="5213314427428"/>
    <x v="2"/>
    <n v="9081.52"/>
    <n v="2627"/>
    <n v="2724.4560000000001"/>
    <n v="97.456000000000131"/>
    <d v="2027-05-01T00:00:00"/>
  </r>
  <r>
    <x v="49"/>
    <d v="2026-08-19T00:00:00"/>
    <x v="13"/>
    <s v="FRANCISCO LOPEZ SALAZAR"/>
    <n v="55866117561"/>
    <m/>
    <n v="23767870"/>
    <n v="5213231431293"/>
    <x v="2"/>
    <n v="6262.86"/>
    <n v="1786.26"/>
    <n v="1878.8579999999997"/>
    <n v="92.597999999999729"/>
    <d v="2027-10-01T00:00:00"/>
  </r>
  <r>
    <x v="49"/>
    <d v="2026-08-19T00:00:00"/>
    <x v="13"/>
    <s v="MIGUEL ANGEL MACIAS HERNANDEZ"/>
    <n v="31967941696"/>
    <s v="MAHM790914HNLCRG09"/>
    <n v="23756483"/>
    <n v="5218715269982"/>
    <x v="1"/>
    <n v="4110.91"/>
    <m/>
    <n v="1233.2729999999999"/>
    <n v="0"/>
    <m/>
  </r>
  <r>
    <x v="49"/>
    <d v="2026-08-19T00:00:00"/>
    <x v="32"/>
    <s v="CONSUELO CASTILLO SOTO "/>
    <s v="21876444445"/>
    <s v="CASC640416MBCSTN07"/>
    <n v="2"/>
    <n v="6862155559"/>
    <x v="2"/>
    <n v="9081.52"/>
    <n v="2521.35"/>
    <n v="2724.4560000000001"/>
    <n v="203.10600000000022"/>
    <d v="2026-09-01T00:00:00"/>
  </r>
  <r>
    <x v="49"/>
    <d v="2026-08-19T00:00:00"/>
    <x v="51"/>
    <s v="MARTIN LASTR ALVAREZ"/>
    <n v="24806266417"/>
    <s v="LAAM630509HSRSLR03"/>
    <n v="23773976"/>
    <n v="5216622285779"/>
    <x v="6"/>
    <n v="7920.51"/>
    <n v="2198.9699999999998"/>
    <n v="2376.1529999999998"/>
    <n v="177.18299999999999"/>
    <d v="2026-05-01T00:00:00"/>
  </r>
  <r>
    <x v="49"/>
    <d v="2026-08-19T00:00:00"/>
    <x v="31"/>
    <s v=" LAURA SOLORZANO BALBUENA"/>
    <s v="04826349120"/>
    <s v="SOBL630903MJCLLR09"/>
    <n v="2"/>
    <s v="33 2814 1207"/>
    <x v="0"/>
    <n v="11811.47"/>
    <m/>
    <n v="3543.4409999999998"/>
    <n v="3543.4409999999998"/>
    <m/>
  </r>
  <r>
    <x v="49"/>
    <d v="2026-08-19T00:00:00"/>
    <x v="54"/>
    <s v=" JORGE RAFAEL ARAUJO CARMONA"/>
    <m/>
    <s v="AACJ640326HTSRRR04"/>
    <n v="23768850"/>
    <n v="8281003166"/>
    <x v="5"/>
    <m/>
    <m/>
    <n v="0"/>
    <n v="0"/>
    <m/>
  </r>
  <r>
    <x v="49"/>
    <d v="2026-08-17T00:00:00"/>
    <x v="28"/>
    <s v="JOSE VITALIANO MARTINEZ MARTINEZ"/>
    <s v="65796201187_x000a_"/>
    <s v="MAMV620216HVZRRT08"/>
    <n v="23698706"/>
    <n v="5212711537189"/>
    <x v="3"/>
    <n v="15982.23"/>
    <n v="3917.65"/>
    <n v="4794.6689999999999"/>
    <n v="877.01899999999978"/>
    <d v="2026-09-01T00:00:00"/>
  </r>
  <r>
    <x v="49"/>
    <d v="2026-08-19T00:00:00"/>
    <x v="6"/>
    <s v="GUADALUPE ISABEL ALBARRAN GUZMAN "/>
    <n v="10695121870"/>
    <s v="AAGG520708MDFLD04"/>
    <n v="23768542"/>
    <n v="5215514983214"/>
    <x v="2"/>
    <n v="15307.83"/>
    <n v="4592"/>
    <n v="4592.3490000000002"/>
    <n v="0.34900000000016007"/>
    <d v="2027-04-01T00:00:00"/>
  </r>
  <r>
    <x v="49"/>
    <d v="2026-08-19T00:00:00"/>
    <x v="13"/>
    <s v="RITO FRANCISCO BERNAL VALDIVIEZO"/>
    <m/>
    <s v="BEVR600522HCHRLT09"/>
    <n v="23747301"/>
    <n v="5216141988426"/>
    <x v="2"/>
    <n v="8000.44"/>
    <n v="2310.02"/>
    <n v="2400.1319999999996"/>
    <n v="90.111999999999625"/>
    <d v="2027-04-01T00:00:00"/>
  </r>
  <r>
    <x v="49"/>
    <d v="2026-08-19T00:00:00"/>
    <x v="6"/>
    <s v="JOSE JUAN ORTEGA ORTEGA "/>
    <m/>
    <s v="OEOJ600514HNLRRN08"/>
    <n v="23754111"/>
    <n v="5218122090253"/>
    <x v="2"/>
    <n v="6262.86"/>
    <n v="1876.18"/>
    <n v="1878.8579999999997"/>
    <n v="2.6779999999996562"/>
    <d v="2028-07-01T00:00:00"/>
  </r>
  <r>
    <x v="49"/>
    <d v="2026-08-19T00:00:00"/>
    <x v="32"/>
    <s v="JOSE CABRIALES PATIÑO"/>
    <n v="41765103084"/>
    <s v="CAPJ510319HTSBTS04"/>
    <n v="2"/>
    <s v="831 102 8879"/>
    <x v="2"/>
    <n v="4813.6899999999996"/>
    <n v="617.9"/>
    <n v="1444.1069999999997"/>
    <n v="22.810000000000059"/>
    <d v="2027-05-01T00:00:00"/>
  </r>
  <r>
    <x v="49"/>
    <d v="2026-08-19T00:00:00"/>
    <x v="51"/>
    <s v="AMELIA PARTIDA VAZQUEZ"/>
    <n v="52836404450"/>
    <s v="PAVA700311MCMRZM08"/>
    <n v="23774524"/>
    <n v="5213141504450"/>
    <x v="0"/>
    <n v="7128.48"/>
    <m/>
    <n v="2138.5439999999999"/>
    <n v="2138.5439999999999"/>
    <m/>
  </r>
  <r>
    <x v="49"/>
    <d v="2026-08-19T00:00:00"/>
    <x v="32"/>
    <s v="ALEJANDRO ARIAS LOPEZ"/>
    <n v="60917577482"/>
    <s v="AILA760730HCLRPL02"/>
    <n v="2"/>
    <s v="844 139 7146"/>
    <x v="3"/>
    <n v="9160.74"/>
    <n v="2428.6799999999998"/>
    <n v="2748.2219999999998"/>
    <n v="319.54199999999992"/>
    <d v="2028-01-01T00:00:00"/>
  </r>
  <r>
    <x v="49"/>
    <d v="2026-08-19T00:00:00"/>
    <x v="13"/>
    <s v="OSCAR SANDOVAL PEÑA"/>
    <n v="33796248129"/>
    <s v="SAPO610415HCHNXS01"/>
    <n v="23756631"/>
    <n v="5216146108218"/>
    <x v="6"/>
    <n v="7116.73"/>
    <n v="1298.8399999999999"/>
    <n v="2135.0189999999998"/>
    <n v="836.17899999999986"/>
    <d v="2025-04-01T00:00:00"/>
  </r>
  <r>
    <x v="49"/>
    <d v="2026-08-18T00:00:00"/>
    <x v="54"/>
    <s v="JOSE DE JESUS MIRELES RUBIO"/>
    <m/>
    <s v="MIRJ650802HNLRBS06"/>
    <n v="23766352"/>
    <n v="8120062139"/>
    <x v="0"/>
    <n v="10810.94"/>
    <n v="486"/>
    <n v="3243.2820000000002"/>
    <n v="2757.2820000000002"/>
    <m/>
  </r>
  <r>
    <x v="50"/>
    <d v="2026-08-20T00:00:00"/>
    <x v="32"/>
    <s v="MARIA CRISTINA ESPINOZA LOPEZ"/>
    <n v="30886206603"/>
    <s v="EILC620907MCLSPR05"/>
    <n v="2"/>
    <s v="55 1380 3464"/>
    <x v="0"/>
    <n v="10636.54"/>
    <m/>
    <n v="3190.962"/>
    <n v="3190.962"/>
    <m/>
  </r>
  <r>
    <x v="50"/>
    <d v="2026-08-20T00:00:00"/>
    <x v="55"/>
    <s v="REBECA LOPEZ "/>
    <m/>
    <s v="LOMR621003MDGPRB08"/>
    <n v="23794972"/>
    <n v="5216681207363"/>
    <x v="2"/>
    <n v="17265.16"/>
    <n v="4995.22"/>
    <n v="5179.5479999999998"/>
    <n v="184.32799999999952"/>
    <d v="2026-09-01T00:00:00"/>
  </r>
  <r>
    <x v="50"/>
    <d v="2026-08-20T00:00:00"/>
    <x v="32"/>
    <s v="FRANCISCO GUILLERMO VARGAS HERNANDEZ"/>
    <s v="01745854685"/>
    <s v="VAHF580208HDFRRR06"/>
    <n v="2"/>
    <s v="777 260 6251"/>
    <x v="1"/>
    <n v="4342.43"/>
    <m/>
    <n v="1302.729"/>
    <n v="169.45000000000073"/>
    <m/>
  </r>
  <r>
    <x v="50"/>
    <d v="2026-08-19T00:00:00"/>
    <x v="28"/>
    <s v="ADRIAN EUGENIO VARGAS VARGAS"/>
    <m/>
    <s v="VAVA660708HMCRRD08"/>
    <n v="23778600"/>
    <n v="5217223205864"/>
    <x v="5"/>
    <m/>
    <m/>
    <n v="0"/>
    <n v="0"/>
    <m/>
  </r>
  <r>
    <x v="50"/>
    <d v="2026-08-20T00:00:00"/>
    <x v="55"/>
    <s v="AULISES CRUZ PEÑA "/>
    <m/>
    <s v="CUPA590711HCSRXL05"/>
    <n v="23783720"/>
    <n v="5219613628662"/>
    <x v="4"/>
    <m/>
    <m/>
    <n v="0"/>
    <n v="0"/>
    <m/>
  </r>
  <r>
    <x v="50"/>
    <d v="2026-08-19T00:00:00"/>
    <x v="54"/>
    <s v="JESUS MANUEL BARREIRO RODRIGUEZ"/>
    <s v="0176571699 "/>
    <s v="BARJ570628HDFRDS04"/>
    <n v="23775160"/>
    <n v="5519838341"/>
    <x v="0"/>
    <n v="9408.02"/>
    <m/>
    <n v="2822.4059999999999"/>
    <n v="2822.4059999999999"/>
    <m/>
  </r>
  <r>
    <x v="50"/>
    <d v="2026-08-20T00:00:00"/>
    <x v="55"/>
    <s v="carlos baez "/>
    <m/>
    <s v="BALC591024HCHZPR01"/>
    <n v="23791512"/>
    <n v="5213318695387"/>
    <x v="2"/>
    <n v="9081.52"/>
    <n v="2722.59"/>
    <n v="2724.4560000000001"/>
    <n v="1.8659999999999854"/>
    <d v="2027-01-01T00:00:00"/>
  </r>
  <r>
    <x v="50"/>
    <d v="2026-07-24T00:00:00"/>
    <x v="39"/>
    <s v="Victor Manuel Negrete Hernandez"/>
    <n v="51856402543"/>
    <s v="NEHV641122HDFGRC04"/>
    <n v="23064204"/>
    <n v="7225720606"/>
    <x v="0"/>
    <n v="10951.74"/>
    <m/>
    <n v="3285.5219999999999"/>
    <n v="3285.5219999999999"/>
    <m/>
  </r>
  <r>
    <x v="50"/>
    <d v="2026-08-20T00:00:00"/>
    <x v="6"/>
    <s v="FRANCISCO ZAMORA ROSAS "/>
    <m/>
    <s v="ZARF610129HVZMSR04"/>
    <n v="23796098"/>
    <n v="5219241072867"/>
    <x v="2"/>
    <n v="6460.14"/>
    <n v="1936.03"/>
    <n v="1938.0419999999999"/>
    <n v="2.0119999999999436"/>
    <d v="2028-02-01T00:00:00"/>
  </r>
  <r>
    <x v="50"/>
    <d v="2026-08-12T00:00:00"/>
    <x v="59"/>
    <s v="JORGE ALBERTO GUTIERREZ FIGUEROA"/>
    <n v="24785101346"/>
    <s v="GUFJ510422HSRTGR00"/>
    <n v="23582176"/>
    <n v="5216221442577"/>
    <x v="1"/>
    <n v="3869.36"/>
    <m/>
    <n v="1160.808"/>
    <n v="0"/>
    <m/>
  </r>
  <r>
    <x v="50"/>
    <d v="2026-08-19T00:00:00"/>
    <x v="54"/>
    <s v="RAYMUNDO EDUARDO CISNEROS GONZALEZ  "/>
    <m/>
    <s v="CIGR560315HDFSNY07"/>
    <n v="23770976"/>
    <n v="5587461070"/>
    <x v="2"/>
    <n v="10171.24"/>
    <n v="3047.15"/>
    <n v="3051.3719999999998"/>
    <n v="4.2219999999997526"/>
    <d v="2027-09-01T00:00:00"/>
  </r>
  <r>
    <x v="50"/>
    <d v="2026-08-20T00:00:00"/>
    <x v="58"/>
    <s v="MARIA TERESA CORONA LOPEZ"/>
    <m/>
    <s v="COLT571015MDFRDR00"/>
    <n v="23795218"/>
    <n v="5215582731311"/>
    <x v="5"/>
    <m/>
    <m/>
    <n v="0"/>
    <n v="0"/>
    <m/>
  </r>
  <r>
    <x v="50"/>
    <d v="2026-08-20T00:00:00"/>
    <x v="33"/>
    <s v="JOSE BASILLO GUALITO AMADOR"/>
    <n v="1796147351"/>
    <s v="GUAB610420HDFLMS02"/>
    <n v="2"/>
    <n v="5625840320"/>
    <x v="2"/>
    <n v="9760.32"/>
    <n v="2823.89"/>
    <n v="2928.096"/>
    <n v="104.20600000000013"/>
    <d v="2027-10-01T00:00:00"/>
  </r>
  <r>
    <x v="50"/>
    <d v="2026-08-19T00:00:00"/>
    <x v="54"/>
    <s v="ANA MARIA GUADALUPE DEL SOCORRO TREJO PEÑA"/>
    <m/>
    <s v="TEPA660727MYNRXN00"/>
    <n v="23773246"/>
    <n v="9995021954"/>
    <x v="5"/>
    <m/>
    <m/>
    <n v="0"/>
    <n v="0"/>
    <m/>
  </r>
  <r>
    <x v="50"/>
    <d v="2026-08-20T00:00:00"/>
    <x v="54"/>
    <s v="MA. DE LA LUZ ISASSI CAMACHO"/>
    <n v="14705310432"/>
    <s v="IACL580120MQTSMZ08"/>
    <n v="23795416"/>
    <n v="4427120557"/>
    <x v="1"/>
    <n v="3565.21"/>
    <n v="848"/>
    <n v="1069.5629999999999"/>
    <n v="-848"/>
    <m/>
  </r>
  <r>
    <x v="50"/>
    <d v="2026-07-07T00:00:00"/>
    <x v="13"/>
    <s v="JUAN CARLOS SOTO LARA"/>
    <m/>
    <s v="SOLJ660421HVZTRN00"/>
    <n v="22415544"/>
    <n v="5219982044341"/>
    <x v="2"/>
    <n v="10636.54"/>
    <n v="3158.12"/>
    <n v="3190.962"/>
    <n v="32.842000000000098"/>
    <d v="2028-08-01T00:00:00"/>
  </r>
  <r>
    <x v="50"/>
    <d v="2026-08-20T00:00:00"/>
    <x v="54"/>
    <s v="JESUS MANZANO Y ROMO"/>
    <n v="1724851017"/>
    <s v="MARJ480709HPLNMS09"/>
    <n v="23791756"/>
    <n v="5639505623"/>
    <x v="2"/>
    <n v="8126.35"/>
    <n v="2435.5500000000002"/>
    <n v="2437.9050000000002"/>
    <n v="2.3550000000000182"/>
    <d v="2027-06-01T00:00:00"/>
  </r>
  <r>
    <x v="50"/>
    <d v="2026-08-19T00:00:00"/>
    <x v="52"/>
    <s v="JOSE OSCAR PEREZ HERNANDEZ "/>
    <m/>
    <s v="PEHO650409HTCRRS06"/>
    <n v="23798888"/>
    <n v="5219933973963"/>
    <x v="2"/>
    <n v="9760.32"/>
    <n v="2928.05"/>
    <n v="2928.096"/>
    <n v="4.5999999999821739E-2"/>
    <d v="2027-12-01T00:00:00"/>
  </r>
  <r>
    <x v="50"/>
    <d v="2026-08-17T00:00:00"/>
    <x v="6"/>
    <s v="JUAN PEREZ ZARAGOZA "/>
    <s v=" 6570513051"/>
    <s v="PEZJ510312HPLRRN04"/>
    <n v="23712776"/>
    <n v="5217821128722"/>
    <x v="2"/>
    <n v="8114.47"/>
    <n v="2339.0700000000002"/>
    <n v="2434.3409999999999"/>
    <n v="95.270999999999731"/>
    <d v="2028-01-01T00:00:00"/>
  </r>
  <r>
    <x v="50"/>
    <d v="2026-08-20T00:00:00"/>
    <x v="6"/>
    <s v="MANUEL RIGOBERTO RODRIGUEZ ORTEGA "/>
    <m/>
    <s v="ROOM530119HPLDRN00"/>
    <n v="23798624"/>
    <n v="5214871162058"/>
    <x v="0"/>
    <n v="5760.79"/>
    <m/>
    <n v="1728.2369999999999"/>
    <n v="1587.8100000000004"/>
    <m/>
  </r>
  <r>
    <x v="50"/>
    <d v="2026-08-17T00:00:00"/>
    <x v="59"/>
    <s v="HERIBERTO ALFONSO VALLEJO REYES"/>
    <s v="63826700096"/>
    <s v="VARH570316HDFLYR07"/>
    <n v="23694574"/>
    <n v="5215513904730"/>
    <x v="0"/>
    <n v="25806.09"/>
    <m/>
    <n v="7741.8269999999993"/>
    <n v="7741.8269999999993"/>
    <m/>
  </r>
  <r>
    <x v="50"/>
    <d v="2026-08-18T00:00:00"/>
    <x v="52"/>
    <m/>
    <m/>
    <s v="VERC691208HMCNDN03"/>
    <n v="23737774"/>
    <n v="5215639724910"/>
    <x v="5"/>
    <m/>
    <m/>
    <n v="0"/>
    <n v="0"/>
    <m/>
  </r>
  <r>
    <x v="50"/>
    <d v="2026-08-07T00:00:00"/>
    <x v="6"/>
    <s v="MIGUEL ANGEL SALAZAR BECERRA "/>
    <m/>
    <s v="SABM561014HCMLCG11"/>
    <n v="23442758"/>
    <n v="5213310976530"/>
    <x v="2"/>
    <n v="9232.5300000000007"/>
    <n v="2768.48"/>
    <n v="2769.759"/>
    <n v="1.2789999999999964"/>
    <d v="2027-08-01T00:00:00"/>
  </r>
  <r>
    <x v="50"/>
    <d v="2026-08-18T00:00:00"/>
    <x v="6"/>
    <s v="MARIA ANGELICA GONZALEZ MEDINA"/>
    <n v="21907064675"/>
    <s v="GOMA671014MSLNDN01"/>
    <n v="23729930"/>
    <n v="5216673885168"/>
    <x v="7"/>
    <n v="5055.87"/>
    <n v="1234.26"/>
    <n v="1516.761"/>
    <n v="-351.36999999999966"/>
    <d v="2026-03-01T00:00:00"/>
  </r>
  <r>
    <x v="50"/>
    <d v="2026-08-20T00:00:00"/>
    <x v="13"/>
    <s v="MARICRUZ CALVILLO HERRERA"/>
    <n v="33725601844"/>
    <s v="CAHM560503MCHLRR09"/>
    <n v="23795136"/>
    <n v="5216562872773"/>
    <x v="0"/>
    <n v="7920.51"/>
    <m/>
    <n v="2376.1529999999998"/>
    <n v="2376.1529999999998"/>
    <m/>
  </r>
  <r>
    <x v="50"/>
    <d v="2026-08-20T00:00:00"/>
    <x v="55"/>
    <s v="abad chavez "/>
    <m/>
    <s v="CARA660820HOCHMB07"/>
    <n v="23795674"/>
    <n v="5219985720990"/>
    <x v="0"/>
    <n v="25398.43"/>
    <m/>
    <n v="7619.5289999999995"/>
    <n v="7619.5289999999995"/>
    <m/>
  </r>
  <r>
    <x v="50"/>
    <d v="2026-08-20T00:00:00"/>
    <x v="33"/>
    <m/>
    <n v="1866621376"/>
    <s v="GOCA660118HDFNRL03"/>
    <n v="2"/>
    <n v="5541571071"/>
    <x v="2"/>
    <n v="10636.54"/>
    <n v="3189.2"/>
    <n v="3190.962"/>
    <n v="1.762000000000171"/>
    <d v="2028-05-01T00:00:00"/>
  </r>
  <r>
    <x v="50"/>
    <d v="2026-08-20T00:00:00"/>
    <x v="33"/>
    <m/>
    <n v="10795976629"/>
    <s v="EIMC690611MDFSNN01"/>
    <n v="2"/>
    <n v="5537668103"/>
    <x v="2"/>
    <n v="14282.97"/>
    <n v="4281.79"/>
    <n v="4284.8909999999996"/>
    <n v="3.100999999999658"/>
    <d v="2027-04-01T00:00:00"/>
  </r>
  <r>
    <x v="50"/>
    <d v="2026-08-19T00:00:00"/>
    <x v="13"/>
    <s v="SARA ROSALES FERNANDEZ"/>
    <n v="31695117221"/>
    <s v="ROFS540807MDGSRR09"/>
    <n v="23781250"/>
    <n v="5216181460656"/>
    <x v="1"/>
    <n v="4064.88"/>
    <m/>
    <n v="1219.4639999999999"/>
    <n v="0"/>
    <m/>
  </r>
  <r>
    <x v="50"/>
    <d v="2026-08-20T00:00:00"/>
    <x v="6"/>
    <s v="FRANCISCA MARES BALDERAS"/>
    <m/>
    <s v="MABF620106MNLRLR15"/>
    <n v="23783214"/>
    <n v="5218441791346"/>
    <x v="2"/>
    <n v="7920.51"/>
    <n v="2374.98"/>
    <n v="2376.1529999999998"/>
    <n v="1.1729999999997744"/>
    <d v="2028-02-01T00:00:00"/>
  </r>
  <r>
    <x v="50"/>
    <d v="2026-08-20T00:00:00"/>
    <x v="54"/>
    <s v=" JUAN CARLOS MARTINEZ PEREZ"/>
    <n v="64815913112"/>
    <s v="MAPJ590126HDFRRN03"/>
    <n v="23799212"/>
    <n v="8110693461"/>
    <x v="0"/>
    <n v="12454"/>
    <m/>
    <n v="3736.2"/>
    <n v="3736.2"/>
    <m/>
  </r>
  <r>
    <x v="50"/>
    <d v="2026-08-19T00:00:00"/>
    <x v="52"/>
    <s v="MARTIN MIRANDA OAXACA "/>
    <m/>
    <s v="MIOM610130HCHRXR08"/>
    <n v="23805606"/>
    <n v="5216561052620"/>
    <x v="2"/>
    <n v="8082.67"/>
    <n v="2424.39"/>
    <n v="2424.8009999999999"/>
    <n v="0.41100000000005821"/>
    <d v="2027-01-01T00:00:00"/>
  </r>
  <r>
    <x v="50"/>
    <d v="2026-08-04T00:00:00"/>
    <x v="6"/>
    <s v="IRMA YOLANDA LARA LEDEZMA "/>
    <m/>
    <s v="LALI620113MCHRDR00"/>
    <n v="23361468"/>
    <n v="5216142761965"/>
    <x v="2"/>
    <n v="7640.52"/>
    <n v="2120.2199999999998"/>
    <n v="2292.1559999999999"/>
    <n v="171.93600000000015"/>
    <d v="2026-09-01T00:00:00"/>
  </r>
  <r>
    <x v="50"/>
    <d v="2026-08-20T00:00:00"/>
    <x v="13"/>
    <s v="EVODIO ALEJANDRO MARTINEZ TORRES"/>
    <m/>
    <s v="MATE660506HDFRRV08"/>
    <n v="23803036"/>
    <n v="5215545386691"/>
    <x v="0"/>
    <n v="10636.54"/>
    <m/>
    <n v="3190.962"/>
    <n v="3190.962"/>
    <m/>
  </r>
  <r>
    <x v="50"/>
    <d v="2026-08-19T00:00:00"/>
    <x v="54"/>
    <s v="YOLANDA NANDUCA TOLEDO"/>
    <m/>
    <s v="NATY600526MCSNLL02"/>
    <n v="23773002"/>
    <n v="8994499174"/>
    <x v="0"/>
    <n v="5983.25"/>
    <m/>
    <n v="1794.9749999999999"/>
    <n v="1794.9749999999999"/>
    <m/>
  </r>
  <r>
    <x v="50"/>
    <d v="2026-08-20T00:00:00"/>
    <x v="0"/>
    <s v="GUSTAVO GARCIA TREJO"/>
    <n v="13947105055"/>
    <m/>
    <n v="22903402"/>
    <n v="5217717412056"/>
    <x v="0"/>
    <n v="28690.84"/>
    <n v="6156.82"/>
    <n v="8607.2520000000004"/>
    <n v="2450.4320000000007"/>
    <d v="2027-08-01T00:00:00"/>
  </r>
  <r>
    <x v="50"/>
    <d v="2026-08-20T00:00:00"/>
    <x v="58"/>
    <s v="AACF620216HSLLHR05"/>
    <m/>
    <s v="AACF620216HSLLHR05"/>
    <n v="23803550"/>
    <n v="5216633303115"/>
    <x v="2"/>
    <n v="21272.99"/>
    <n v="6153.54"/>
    <n v="6381.8969999999999"/>
    <n v="228.35699999999997"/>
    <d v="2027-10-01T00:00:00"/>
  </r>
  <r>
    <x v="50"/>
    <d v="2026-08-20T00:00:00"/>
    <x v="32"/>
    <s v="DOLORES ORTEGA MALANCO"/>
    <n v="10816122245"/>
    <s v="OEMD610221MDFRLL03"/>
    <n v="2"/>
    <n v="5554044409"/>
    <x v="6"/>
    <n v="6262.86"/>
    <n v="1738.79"/>
    <n v="1878.8579999999997"/>
    <n v="140.06799999999976"/>
    <d v="2026-08-01T00:00:00"/>
  </r>
  <r>
    <x v="50"/>
    <d v="2026-08-20T00:00:00"/>
    <x v="54"/>
    <s v="FRANCISCO MALACARA CASTAÑEDA"/>
    <m/>
    <s v="MACF590115HCLLSR03"/>
    <n v="23809056"/>
    <n v="8443562001"/>
    <x v="0"/>
    <n v="10229.02"/>
    <m/>
    <n v="3068.7060000000001"/>
    <n v="3068.7060000000001"/>
    <m/>
  </r>
  <r>
    <x v="50"/>
    <d v="2026-08-20T00:00:00"/>
    <x v="60"/>
    <s v="Adalberto Guevara Montes"/>
    <s v="35866820356"/>
    <m/>
    <n v="23808738"/>
    <n v="5216391213745"/>
    <x v="2"/>
    <n v="6777.8"/>
    <n v="1959.98"/>
    <n v="2033.34"/>
    <n v="73.3599999999999"/>
    <d v="2027-02-01T00:00:00"/>
  </r>
  <r>
    <x v="50"/>
    <d v="2026-08-20T00:00:00"/>
    <x v="59"/>
    <s v="FRANCISCO JAVIER AYALA CARRILLO"/>
    <s v="33816437082_x000a_"/>
    <m/>
    <n v="23807862"/>
    <n v="5216566753842"/>
    <x v="0"/>
    <n v="16470.3"/>
    <n v="1794"/>
    <n v="4941.0899999999992"/>
    <n v="3147.0899999999992"/>
    <d v="2027-04-01T00:00:00"/>
  </r>
  <r>
    <x v="50"/>
    <d v="2026-08-18T00:00:00"/>
    <x v="52"/>
    <s v="ROBERTO CASTILLO GONZALEZ"/>
    <s v="15796400032_x000a_"/>
    <m/>
    <n v="23737248"/>
    <n v="5217772869346"/>
    <x v="5"/>
    <m/>
    <m/>
    <n v="0"/>
    <n v="0"/>
    <m/>
  </r>
  <r>
    <x v="50"/>
    <d v="2026-08-20T00:00:00"/>
    <x v="32"/>
    <s v="JOSE LUIS DURAN URTIZ"/>
    <n v="53826331984"/>
    <s v="DUUL630731HMNRRS02"/>
    <n v="2"/>
    <s v="753 124 5234"/>
    <x v="2"/>
    <n v="26241.65"/>
    <n v="14401.82"/>
    <n v="7872.4949999999999"/>
    <n v="-6529.3249999999998"/>
    <d v="2027-02-01T00:00:00"/>
  </r>
  <r>
    <x v="50"/>
    <d v="2026-08-20T00:00:00"/>
    <x v="56"/>
    <s v="RODOLFO RAMOS PACHECO "/>
    <s v="658064353807"/>
    <s v="RAPR640520HVZMCD06"/>
    <n v="23808822"/>
    <n v="5216568157139"/>
    <x v="6"/>
    <n v="9081.52"/>
    <n v="2521.35"/>
    <n v="2724.4560000000001"/>
    <n v="203.10600000000022"/>
    <d v="2026-07-01T00:00:00"/>
  </r>
  <r>
    <x v="50"/>
    <d v="2026-08-20T00:00:00"/>
    <x v="57"/>
    <s v="Jose Rosario Cuevas Silva "/>
    <s v="54806058019"/>
    <s v="CUSR601216HJCVLS09"/>
    <n v="23810928"/>
    <n v="5213310976472"/>
    <x v="2"/>
    <n v="6262.86"/>
    <n v="1878.49"/>
    <n v="1878.8579999999997"/>
    <n v="0.36799999999971078"/>
    <d v="2028-08-01T00:00:00"/>
  </r>
  <r>
    <x v="50"/>
    <d v="2026-08-02T00:00:00"/>
    <x v="58"/>
    <s v="SERGIO AYUP SILVETI"/>
    <m/>
    <s v="AUSS591216HCLYLR00"/>
    <n v="23296752"/>
    <n v="5218712359494"/>
    <x v="5"/>
    <m/>
    <m/>
    <n v="0"/>
    <n v="0"/>
    <m/>
  </r>
  <r>
    <x v="51"/>
    <d v="2026-08-21T00:00:00"/>
    <x v="32"/>
    <s v="ANGELICA MEJIA MATEOS"/>
    <n v="11684924215"/>
    <s v="MEMA490516MDFJTN01"/>
    <n v="2"/>
    <s v=" 55 8142 8718"/>
    <x v="3"/>
    <n v="4657.96"/>
    <m/>
    <n v="1397.3879999999999"/>
    <n v="484.98000000000047"/>
    <m/>
  </r>
  <r>
    <x v="51"/>
    <d v="2026-08-18T00:00:00"/>
    <x v="52"/>
    <s v="Benito Anguiano Gutierrez"/>
    <s v="39917366021_x000a_"/>
    <m/>
    <n v="23737228"/>
    <n v="5218442806796"/>
    <x v="0"/>
    <n v="9277.0499999999993"/>
    <m/>
    <n v="2783.1149999999998"/>
    <n v="2783.1149999999998"/>
    <m/>
  </r>
  <r>
    <x v="51"/>
    <d v="2026-08-19T00:00:00"/>
    <x v="53"/>
    <s v="BERTHA SANCHEZ SEGURA"/>
    <m/>
    <s v="SASB441115MSPNGR05"/>
    <n v="23764735"/>
    <n v="4441467983"/>
    <x v="5"/>
    <m/>
    <m/>
    <n v="0"/>
    <n v="0"/>
    <m/>
  </r>
  <r>
    <x v="51"/>
    <d v="2026-08-18T00:00:00"/>
    <x v="28"/>
    <s v="RUBEN SUSTAITA CASTRO"/>
    <n v="32897131259"/>
    <s v="SUCR710814HCLSSB04"/>
    <n v="23741136"/>
    <n v="5218661370882"/>
    <x v="1"/>
    <n v="1610.93"/>
    <n v="402"/>
    <n v="483.279"/>
    <n v="-402"/>
    <m/>
  </r>
  <r>
    <x v="51"/>
    <d v="2026-08-20T00:00:00"/>
    <x v="6"/>
    <s v="MARIO ZAMUDIO ZAMUDIO"/>
    <n v="53765730535"/>
    <s v="ZAZM570830HMNMMR07"/>
    <n v="23815346"/>
    <n v="5214434971822"/>
    <x v="2"/>
    <n v="11158.07"/>
    <n v="3095.64"/>
    <n v="3347.4209999999998"/>
    <n v="251.78099999999995"/>
    <d v="2027-01-01T00:00:00"/>
  </r>
  <r>
    <x v="51"/>
    <d v="2026-08-21T00:00:00"/>
    <x v="34"/>
    <s v="J CRUZ MEDELES CONTRERAS"/>
    <n v="32826473533"/>
    <s v="MECC640503HCLDNR09"/>
    <n v="2"/>
    <n v="8442180083"/>
    <x v="2"/>
    <n v="13217.85"/>
    <n v="3965.07"/>
    <n v="3965.355"/>
    <n v="0.28499999999985448"/>
    <d v="2026-11-01T00:00:00"/>
  </r>
  <r>
    <x v="51"/>
    <d v="2026-08-21T00:00:00"/>
    <x v="32"/>
    <s v="JOSE MAGALLON GUDIÑO"/>
    <s v="54765527723"/>
    <s v="MAGL550612HJCGDS04"/>
    <n v="2"/>
    <n v="3343839436"/>
    <x v="1"/>
    <n v="4451.3100000000004"/>
    <m/>
    <n v="1335.393"/>
    <n v="278.33000000000084"/>
    <m/>
  </r>
  <r>
    <x v="51"/>
    <d v="2026-08-19T00:00:00"/>
    <x v="58"/>
    <s v="JOSE TRINIDAD CARRANCO GONZALEZ"/>
    <m/>
    <s v="CAGT640706HGTRNR07"/>
    <n v="23774532"/>
    <n v="5214772736540"/>
    <x v="0"/>
    <n v="10636.54"/>
    <m/>
    <n v="3190.962"/>
    <n v="3190.962"/>
    <m/>
  </r>
  <r>
    <x v="51"/>
    <d v="2026-08-21T00:00:00"/>
    <x v="32"/>
    <s v="ORALIA GARCIA SILVA"/>
    <n v="7836202171"/>
    <s v="GASO620427MMNRLR00"/>
    <n v="2"/>
    <s v="55 1350 2867"/>
    <x v="2"/>
    <n v="7116.73"/>
    <n v="2045.91"/>
    <n v="2135.0189999999998"/>
    <n v="89.108999999999696"/>
    <d v="2027-07-01T00:00:00"/>
  </r>
  <r>
    <x v="51"/>
    <d v="2026-08-21T00:00:00"/>
    <x v="32"/>
    <s v="JAVIER JESUS CAHUICH CERON"/>
    <s v="82966102855"/>
    <s v="CACJ610701HYNHRV02"/>
    <n v="2"/>
    <s v="998 228 9948"/>
    <x v="2"/>
    <n v="12119.6"/>
    <n v="3635.88"/>
    <n v="3635.88"/>
    <n v="0"/>
    <d v="2028-04-01T00:00:00"/>
  </r>
  <r>
    <x v="51"/>
    <d v="2026-08-20T00:00:00"/>
    <x v="13"/>
    <s v="SERGIO SAID GOMEZ"/>
    <s v=" 75866107685"/>
    <s v="SAGS610429HDFDMR01"/>
    <n v="23814286"/>
    <n v="5215623903699"/>
    <x v="2"/>
    <n v="23950.92"/>
    <n v="7184.49"/>
    <n v="7185.2759999999989"/>
    <n v="0.78599999999914871"/>
    <d v="2027-08-01T00:00:00"/>
  </r>
  <r>
    <x v="51"/>
    <d v="2026-08-21T00:00:00"/>
    <x v="6"/>
    <s v="ELEUTERIA HERNANDEZ HERNANDEZ "/>
    <n v="65836223076"/>
    <s v="HEHE730220MVZRRL04"/>
    <n v="23812418"/>
    <n v="5217831512097"/>
    <x v="2"/>
    <n v="9154.02"/>
    <n v="2744.96"/>
    <n v="2746.2060000000001"/>
    <n v="1.2460000000000946"/>
    <d v="2027-04-01T00:00:00"/>
  </r>
  <r>
    <x v="51"/>
    <d v="2026-08-21T00:00:00"/>
    <x v="18"/>
    <m/>
    <n v="49826522002"/>
    <m/>
    <n v="1"/>
    <n v="8124248926"/>
    <x v="2"/>
    <n v="9760.32"/>
    <n v="2927.85"/>
    <n v="2928.096"/>
    <n v="0.24600000000009459"/>
    <d v="2028-03-01T00:00:00"/>
  </r>
  <r>
    <x v="51"/>
    <d v="2026-08-18T00:00:00"/>
    <x v="13"/>
    <s v="RUBEN MARTIN GOMEZ"/>
    <n v="3379590313"/>
    <s v="GOXR590428HCHMXB09"/>
    <n v="23728574"/>
    <n v="5216561338446"/>
    <x v="4"/>
    <m/>
    <m/>
    <n v="0"/>
    <n v="0"/>
    <m/>
  </r>
  <r>
    <x v="51"/>
    <d v="2026-08-21T00:00:00"/>
    <x v="6"/>
    <s v="MELESIO SANCHEZ CARRERA "/>
    <s v="06715307697"/>
    <s v="SACM560212HVZNRL02"/>
    <n v="23831856"/>
    <n v="5212722795841"/>
    <x v="2"/>
    <n v="7383.37"/>
    <n v="2132.9699999999998"/>
    <n v="2215.011"/>
    <n v="82.041000000000167"/>
    <d v="2027-12-01T00:00:00"/>
  </r>
  <r>
    <x v="51"/>
    <d v="2026-08-20T00:00:00"/>
    <x v="6"/>
    <s v="RANULFO TREVIÑO HERNANDEZ "/>
    <n v="43755854395"/>
    <s v="TEHR580318HNLRRN07"/>
    <n v="23812786"/>
    <n v="5218211177914"/>
    <x v="1"/>
    <n v="4342.43"/>
    <n v="848"/>
    <n v="1302.729"/>
    <n v="-678.54999999999927"/>
    <m/>
  </r>
  <r>
    <x v="51"/>
    <d v="2026-08-21T00:00:00"/>
    <x v="18"/>
    <m/>
    <s v="01775914508"/>
    <m/>
    <n v="1"/>
    <n v="5577159770"/>
    <x v="2"/>
    <n v="9081.52"/>
    <n v="2520.96"/>
    <n v="2724.4560000000001"/>
    <n v="203.49600000000009"/>
    <d v="2026-12-01T00:00:00"/>
  </r>
  <r>
    <x v="51"/>
    <d v="2026-08-21T00:00:00"/>
    <x v="34"/>
    <s v="LUIS DAVID ZAVALA MEDINA"/>
    <n v="30846701354"/>
    <s v="ZAML670312HDFVDS03"/>
    <n v="2"/>
    <n v="5631196633"/>
    <x v="2"/>
    <n v="8181.55"/>
    <n v="2352.73"/>
    <n v="2454.4650000000001"/>
    <n v="101.73500000000013"/>
    <d v="2027-08-01T00:00:00"/>
  </r>
  <r>
    <x v="51"/>
    <d v="2026-08-21T00:00:00"/>
    <x v="31"/>
    <s v="FERNANDO DIAZ CASTILLO"/>
    <s v="06796194105"/>
    <s v="DICF610309HDFZSR05"/>
    <n v="2"/>
    <n v="5527448778"/>
    <x v="0"/>
    <n v="57234.18"/>
    <m/>
    <n v="17170.254000000001"/>
    <n v="17170.254000000001"/>
    <m/>
  </r>
  <r>
    <x v="51"/>
    <d v="2026-08-15T00:00:00"/>
    <x v="58"/>
    <s v="CRUZ RUFINO JUAREZ BALCAZAR"/>
    <n v="83796006605"/>
    <s v="JUMC600503HTCRLR03"/>
    <n v="23662598"/>
    <n v="5219371543936"/>
    <x v="7"/>
    <n v="5617.63"/>
    <n v="1178.06"/>
    <n v="1685.289"/>
    <n v="266.5900000000006"/>
    <d v="2024-07-01T00:00:00"/>
  </r>
  <r>
    <x v="51"/>
    <d v="2026-08-21T00:00:00"/>
    <x v="34"/>
    <s v="RUMUALDO RAMIREZ MUÑIZ"/>
    <n v="32755514737"/>
    <s v="RAMR560207HCLMXM03"/>
    <n v="2"/>
    <n v="8443112867"/>
    <x v="0"/>
    <n v="8980.3700000000008"/>
    <m/>
    <n v="2694.1110000000003"/>
    <n v="2694.1110000000003"/>
    <m/>
  </r>
  <r>
    <x v="51"/>
    <d v="2026-08-21T00:00:00"/>
    <x v="13"/>
    <s v="VALENTIN MACIAS SANCHEZ"/>
    <m/>
    <s v="MASV591103HSPCNL03"/>
    <n v="23819870"/>
    <n v="5218180158985"/>
    <x v="9"/>
    <n v="7116.73"/>
    <n v="1750.44"/>
    <n v="2135.0189999999998"/>
    <n v="384.57899999999972"/>
    <d v="2024-12-01T00:00:00"/>
  </r>
  <r>
    <x v="51"/>
    <d v="2026-08-21T00:00:00"/>
    <x v="32"/>
    <s v="JESUS JOSE CHAVEZ BOLAÑOS"/>
    <n v="57877104380"/>
    <s v="CABJ710901HSRHLS01"/>
    <n v="2"/>
    <s v="644 486 4627"/>
    <x v="1"/>
    <n v="3112.01"/>
    <m/>
    <n v="933.60300000000007"/>
    <n v="0"/>
    <m/>
  </r>
  <r>
    <x v="51"/>
    <d v="2026-08-21T00:00:00"/>
    <x v="18"/>
    <s v="JUAN MANUEL GONZALEZ GARCIA"/>
    <m/>
    <s v="GOGJ651215HTSNRN02"/>
    <n v="1"/>
    <n v="8992041432"/>
    <x v="0"/>
    <n v="10636.540000000005"/>
    <m/>
    <n v="3190.9620000000014"/>
    <n v="3190.9620000000014"/>
    <m/>
  </r>
  <r>
    <x v="51"/>
    <d v="2026-08-20T00:00:00"/>
    <x v="13"/>
    <s v="DALIA GUADALUPE ESCALANTE RUELAS"/>
    <n v="23927626699"/>
    <s v="EARD870411MSLSLL02"/>
    <n v="23813562"/>
    <n v="5216682470717"/>
    <x v="0"/>
    <n v="5636.59"/>
    <m/>
    <n v="1690.9770000000001"/>
    <n v="1463.6100000000006"/>
    <m/>
  </r>
  <r>
    <x v="51"/>
    <d v="2026-07-30T00:00:00"/>
    <x v="37"/>
    <s v="VERONICA GONZALEZ LAURIAN"/>
    <s v="14877016148"/>
    <s v="GOLV730518MQTNRR01"/>
    <n v="23234242"/>
    <n v="4423195126"/>
    <x v="2"/>
    <n v="7116.73"/>
    <n v="2138.54"/>
    <n v="2135.0189999999998"/>
    <n v="-3.5210000000001855"/>
    <d v="2028-06-01T00:00:00"/>
  </r>
  <r>
    <x v="52"/>
    <d v="2026-08-20T00:00:00"/>
    <x v="58"/>
    <s v="JUAN GABRIEL VERDUZCO MORALES"/>
    <m/>
    <s v="VEMJ631124HSLRRN01"/>
    <n v="23792118"/>
    <n v="5216866088375"/>
    <x v="1"/>
    <n v="2357.87"/>
    <m/>
    <n v="707.36099999999999"/>
    <n v="0"/>
    <m/>
  </r>
  <r>
    <x v="52"/>
    <d v="2026-08-19T00:00:00"/>
    <x v="54"/>
    <s v="AARON CUETO CARRERA "/>
    <m/>
    <s v="CUCA630731HVZTRR04"/>
    <n v="23780504"/>
    <n v="2226336902"/>
    <x v="2"/>
    <n v="42701.11"/>
    <n v="12810.22"/>
    <n v="12810.333000000001"/>
    <n v="0.11300000000119326"/>
    <d v="2028-01-01T00:00:00"/>
  </r>
  <r>
    <x v="52"/>
    <d v="2026-08-18T00:00:00"/>
    <x v="13"/>
    <s v="ORELY ROLON VARGAS"/>
    <n v="71967660888"/>
    <s v="ROVO730321MVZLRR08"/>
    <n v="23741132"/>
    <n v="5219987661581"/>
    <x v="2"/>
    <n v="8173.37"/>
    <n v="2364.75"/>
    <n v="2452.011"/>
    <n v="87.260999999999967"/>
    <d v="2026-10-01T00:00:00"/>
  </r>
  <r>
    <x v="52"/>
    <d v="2026-08-16T00:00:00"/>
    <x v="58"/>
    <s v="Manuel Federico Sandoval"/>
    <n v="22824500403"/>
    <m/>
    <n v="23673046"/>
    <n v="5216692740045"/>
    <x v="3"/>
    <n v="4813.6899999999996"/>
    <m/>
    <n v="1444.1069999999997"/>
    <n v="640.71"/>
    <m/>
  </r>
  <r>
    <x v="52"/>
    <d v="2026-08-19T00:00:00"/>
    <x v="54"/>
    <s v="RIGOBERTO GUZMAN SERRANO "/>
    <m/>
    <s v="GUSR561114HJCZRG03"/>
    <n v="23774644"/>
    <n v="6862629072"/>
    <x v="2"/>
    <n v="62741.49"/>
    <n v="18814.28"/>
    <n v="18822.447"/>
    <n v="8.1670000000012806"/>
    <d v="2027-09-01T00:00:00"/>
  </r>
  <r>
    <x v="53"/>
    <d v="2026-08-19T00:00:00"/>
    <x v="54"/>
    <s v="EDUARDO TORRES CANALES"/>
    <n v="43795716919"/>
    <s v="TOCE571013HDGRND09"/>
    <n v="23770112"/>
    <n v="8110413796"/>
    <x v="2"/>
    <n v="6994.55"/>
    <n v="2008.04"/>
    <n v="2098.3649999999998"/>
    <n v="90.324999999999818"/>
    <d v="2027-05-01T00:00:00"/>
  </r>
  <r>
    <x v="53"/>
    <d v="2026-08-19T00:00:00"/>
    <x v="54"/>
    <s v=" MARTHA YOLANDA LIZARRAGA LIZARRAGA"/>
    <m/>
    <s v="LILM641221MSLZZR08"/>
    <n v="23775610"/>
    <n v="6691555567"/>
    <x v="2"/>
    <n v="9760.32"/>
    <n v="2815.64"/>
    <n v="2928.096"/>
    <n v="112.45600000000013"/>
    <d v="2027-07-01T00:00:00"/>
  </r>
  <r>
    <x v="53"/>
    <d v="2026-08-20T00:00:00"/>
    <x v="58"/>
    <s v="ANGEL TEOFILO GOMEZ"/>
    <n v="65735103437"/>
    <s v="GOXA510206HVZMXN03"/>
    <n v="23812196"/>
    <n v="5212281205645"/>
    <x v="0"/>
    <n v="20215.53"/>
    <m/>
    <n v="6064.6589999999997"/>
    <n v="6064.6589999999997"/>
    <m/>
  </r>
  <r>
    <x v="54"/>
    <d v="2026-08-14T00:00:00"/>
    <x v="58"/>
    <s v="PATRICIA DOLORES BARBOZAN LARES"/>
    <s v="43735566648"/>
    <s v="BALP580329MNLRRT03"/>
    <n v="23646906"/>
    <n v="5218126853933"/>
    <x v="2"/>
    <n v="8657.0499999999993"/>
    <n v="2501.9699999999998"/>
    <n v="2597.1149999999998"/>
    <n v="95.144999999999982"/>
    <d v="2027-06-01T00:00:00"/>
  </r>
  <r>
    <x v="54"/>
    <d v="2026-08-20T00:00:00"/>
    <x v="54"/>
    <s v=" JESUS GARCIA ROMERO"/>
    <m/>
    <s v="GARJ680307HZSRMS08"/>
    <n v="23804754"/>
    <n v="3339486504"/>
    <x v="1"/>
    <n v="2252.13"/>
    <m/>
    <n v="675.63900000000001"/>
    <n v="0"/>
    <m/>
  </r>
  <r>
    <x v="54"/>
    <d v="2026-08-24T00:00:00"/>
    <x v="31"/>
    <s v="PORFIRIO CERVANTES HERNANDEZ"/>
    <n v="43786063511"/>
    <s v="CEHP600922HNLRRR04"/>
    <n v="2"/>
    <n v="8134752896"/>
    <x v="2"/>
    <n v="6460.14"/>
    <n v="1791.2"/>
    <n v="1938.0419999999999"/>
    <n v="146.84199999999987"/>
    <d v="2026-11-01T00:00:00"/>
  </r>
  <r>
    <x v="54"/>
    <d v="2026-08-17T00:00:00"/>
    <x v="54"/>
    <s v="JOSE LUIS GONZALEZ PORRAS"/>
    <m/>
    <s v="GOPL511109HDFNRS16"/>
    <n v="23699632"/>
    <n v="2228011035"/>
    <x v="1"/>
    <n v="3882.85"/>
    <m/>
    <n v="1164.855"/>
    <n v="0"/>
    <m/>
  </r>
  <r>
    <x v="54"/>
    <d v="2026-08-19T00:00:00"/>
    <x v="54"/>
    <s v="JORGE RAFAEL ARAUJO CARMONA"/>
    <s v="43886852128"/>
    <s v="AACJ640326HTSRRR04"/>
    <n v="23768850"/>
    <n v="8281003166"/>
    <x v="5"/>
    <m/>
    <m/>
    <n v="0"/>
    <n v="0"/>
    <m/>
  </r>
  <r>
    <x v="54"/>
    <d v="2026-08-24T00:00:00"/>
    <x v="33"/>
    <s v="IRVING DARIO TORRES CARRILLO"/>
    <n v="26250601056"/>
    <s v="TOCI060919HJCRRRA8"/>
    <n v="2"/>
    <n v="8145388648"/>
    <x v="5"/>
    <m/>
    <m/>
    <n v="0"/>
    <n v="0"/>
    <m/>
  </r>
  <r>
    <x v="54"/>
    <d v="2026-08-24T00:00:00"/>
    <x v="31"/>
    <s v="ANA ISABEL CUELLAR MIRANDA"/>
    <s v="06786017779"/>
    <s v="CUMA601211MDFLRN05"/>
    <n v="2"/>
    <n v="5657477554"/>
    <x v="2"/>
    <n v="5617.63"/>
    <n v="1443"/>
    <n v="1685.289"/>
    <n v="1.6500000000005457"/>
    <d v="2028-03-01T00:00:00"/>
  </r>
  <r>
    <x v="54"/>
    <d v="2026-08-24T00:00:00"/>
    <x v="31"/>
    <s v="NETZAHUALCOYOTL ALVAREZ CARMONA"/>
    <n v="92936300448"/>
    <s v="AACN630418HGRLRT19"/>
    <n v="2"/>
    <s v="81 2824 7289"/>
    <x v="2"/>
    <n v="9081.52"/>
    <n v="2693.06"/>
    <n v="2724.4560000000001"/>
    <n v="31.396000000000186"/>
    <d v="2028-02-01T00:00:00"/>
  </r>
  <r>
    <x v="54"/>
    <d v="2026-08-24T00:00:00"/>
    <x v="32"/>
    <s v="CARLOS FILIBERTO ARMENTA GAMEZ"/>
    <s v="23816333316"/>
    <s v="AEGC630822HSLRMR00"/>
    <n v="2"/>
    <s v="668 499 4557"/>
    <x v="6"/>
    <n v="7920.51"/>
    <n v="2099.96"/>
    <n v="2376.1529999999998"/>
    <n v="276.19299999999976"/>
    <d v="2025-11-01T00:00:00"/>
  </r>
  <r>
    <x v="54"/>
    <d v="2026-08-24T00:00:00"/>
    <x v="33"/>
    <s v="RICARDO FLORES DAVILA"/>
    <n v="75826212419"/>
    <s v="FODR620126HDFLVC06"/>
    <n v="2"/>
    <n v="5544107574"/>
    <x v="6"/>
    <n v="7920.51"/>
    <n v="2199.0100000000002"/>
    <n v="2376.1529999999998"/>
    <n v="177.14299999999957"/>
    <d v="2026-07-01T00:00:00"/>
  </r>
  <r>
    <x v="54"/>
    <d v="2026-08-24T00:00:00"/>
    <x v="33"/>
    <s v="OSCAR ALEJANDRO CHAVEZ JASSO"/>
    <s v="66159626150"/>
    <s v="_x0009_CAJO960422HGTHSS03"/>
    <n v="2"/>
    <n v="4793195626"/>
    <x v="5"/>
    <m/>
    <m/>
    <n v="0"/>
    <n v="0"/>
    <m/>
  </r>
  <r>
    <x v="54"/>
    <d v="2026-08-24T00:00:00"/>
    <x v="31"/>
    <s v="ALFONZO BAEZ BALCAZAR"/>
    <s v="01624376552"/>
    <s v="BABA431117HMCZLL06"/>
    <n v="2"/>
    <n v="5520038585"/>
    <x v="0"/>
    <n v="8784.2900000000009"/>
    <m/>
    <n v="2635.2870000000003"/>
    <n v="2635.2870000000003"/>
    <m/>
  </r>
  <r>
    <x v="54"/>
    <d v="2026-08-24T00:00:00"/>
    <x v="31"/>
    <s v="CARLOS GUTIERREZ HERNANDEZ"/>
    <n v="54775951293"/>
    <s v="GUHC590314HJCTRR00"/>
    <n v="2"/>
    <n v="3312611425"/>
    <x v="2"/>
    <n v="21444.78"/>
    <n v="6433"/>
    <n v="6433.4339999999993"/>
    <n v="0.43399999999928696"/>
    <d v="2028-06-01T00:00:00"/>
  </r>
  <r>
    <x v="54"/>
    <d v="2026-08-19T00:00:00"/>
    <x v="54"/>
    <s v="MARTHA YOLANDA LIZARRAGA LIZARRAGA"/>
    <n v="2390727612"/>
    <s v="LILM641221MSLZZR08"/>
    <n v="23775610"/>
    <n v="6691555567"/>
    <x v="2"/>
    <n v="8784.2900000000009"/>
    <n v="2541.5"/>
    <n v="2635.2870000000003"/>
    <n v="93.787000000000262"/>
    <d v="2028-01-01T00:00:00"/>
  </r>
  <r>
    <x v="54"/>
    <d v="2026-08-24T00:00:00"/>
    <x v="32"/>
    <s v="JUAN MARTIN HERNANDEZ CORONADO"/>
    <n v="32806379924"/>
    <s v="HECJ641008HCLRRN02"/>
    <n v="2"/>
    <n v="8441086848"/>
    <x v="2"/>
    <n v="4736.3900000000003"/>
    <n v="521.37"/>
    <n v="1420.9170000000001"/>
    <n v="42.040000000000759"/>
    <d v="2026-12-01T00:00:00"/>
  </r>
  <r>
    <x v="54"/>
    <d v="2026-08-24T00:00:00"/>
    <x v="32"/>
    <s v="MARIO MOYA JIMENEZ"/>
    <s v="45917146065"/>
    <s v="MOJM710722HDFYMR05"/>
    <n v="2"/>
    <s v=" 55 7150 5568"/>
    <x v="1"/>
    <n v="3568.75"/>
    <m/>
    <n v="1070.625"/>
    <n v="0"/>
    <m/>
  </r>
  <r>
    <x v="54"/>
    <d v="2026-08-24T00:00:00"/>
    <x v="32"/>
    <s v="SAMUEL DE JESUS ROCHA LOPEZ"/>
    <n v="43846505790"/>
    <s v="ROLS650512HNLCPM05"/>
    <n v="2"/>
    <s v="81 1785 5567"/>
    <x v="0"/>
    <n v="10636.54"/>
    <m/>
    <n v="3190.962"/>
    <n v="3190.962"/>
    <m/>
  </r>
  <r>
    <x v="54"/>
    <d v="2026-08-24T00:00:00"/>
    <x v="31"/>
    <s v="ADOLFO LUNA IZUNZA"/>
    <n v="55805802018"/>
    <s v="LUIA580620HNTNND04"/>
    <n v="2"/>
    <n v="3112474147"/>
    <x v="2"/>
    <n v="24234.17"/>
    <n v="7268.37"/>
    <n v="7270.2509999999993"/>
    <n v="1.8809999999994034"/>
    <d v="2027-04-01T00:00:00"/>
  </r>
  <r>
    <x v="54"/>
    <d v="2026-08-24T00:00:00"/>
    <x v="33"/>
    <s v="CRISTOBVAL SALAS PARRA "/>
    <n v="55744110556"/>
    <s v="SAPC410710HNTLRR08"/>
    <n v="2"/>
    <n v="3114403126"/>
    <x v="2"/>
    <n v="7913.78"/>
    <n v="2374.13"/>
    <n v="2374.134"/>
    <n v="3.9999999999054126E-3"/>
    <d v="2028-07-01T00:00:00"/>
  </r>
  <r>
    <x v="54"/>
    <d v="2026-08-24T00:00:00"/>
    <x v="32"/>
    <s v="ALBERTO DOMINGO ORTIZ GUEVARA"/>
    <n v="32876276430"/>
    <s v="OIGA620927HCLRVL09"/>
    <n v="2"/>
    <s v="844 673 5646"/>
    <x v="5"/>
    <m/>
    <m/>
    <n v="0"/>
    <n v="0"/>
    <m/>
  </r>
  <r>
    <x v="55"/>
    <d v="2026-08-25T00:00:00"/>
    <x v="18"/>
    <s v="LORENZO DOMINGO PATIÑO VILLAMIL"/>
    <n v="8182580347"/>
    <s v="PAVL580320HCCTLR08"/>
    <n v="1"/>
    <n v="9995281098"/>
    <x v="2"/>
    <n v="9081.52"/>
    <n v="2627.49"/>
    <n v="2724.4560000000001"/>
    <n v="96.966000000000349"/>
    <d v="2027-11-01T00:00:00"/>
  </r>
  <r>
    <x v="55"/>
    <d v="2026-08-25T00:00:00"/>
    <x v="32"/>
    <s v="LUIS DIAZ SOZA"/>
    <s v="42826441026"/>
    <s v="DISL640907HMCZZS00"/>
    <n v="2"/>
    <s v="55 1076 6575"/>
    <x v="2"/>
    <n v="10636.54"/>
    <n v="3189.99"/>
    <n v="3190.962"/>
    <n v="0.97200000000020736"/>
    <d v="2028-08-01T00:00:00"/>
  </r>
  <r>
    <x v="55"/>
    <d v="2026-08-25T00:00:00"/>
    <x v="32"/>
    <s v="MARIA ALICIA BUENTELLO VILLARREAL "/>
    <n v="43886115948"/>
    <s v="BUVA610805MNLNLL08"/>
    <n v="2"/>
    <s v="81 8087 4668"/>
    <x v="2"/>
    <n v="27051.439999999999"/>
    <n v="8104.57"/>
    <n v="8115.4319999999989"/>
    <n v="10.861999999999171"/>
    <d v="2028-06-01T00:00:00"/>
  </r>
  <r>
    <x v="55"/>
    <d v="2026-08-25T00:00:00"/>
    <x v="32"/>
    <s v="ROSAURA MONTELONGO DE LOS SANTOS"/>
    <s v="04725631586"/>
    <s v="MOSR550910MJCNNS06"/>
    <n v="2"/>
    <s v="33 3820 0696"/>
    <x v="3"/>
    <n v="5310.46"/>
    <n v="283"/>
    <n v="1593.1379999999999"/>
    <n v="854.48000000000047"/>
    <m/>
  </r>
  <r>
    <x v="55"/>
    <d v="2026-08-25T00:00:00"/>
    <x v="32"/>
    <s v="REGINO CASTRO VERA"/>
    <n v="33866416895"/>
    <s v="CAVR640907HVZSRG03"/>
    <n v="2"/>
    <n v="8135501748"/>
    <x v="2"/>
    <n v="9081.52"/>
    <n v="2723.46"/>
    <n v="2724.4560000000001"/>
    <n v="0.99600000000009459"/>
    <d v="2026-11-01T00:00:00"/>
  </r>
  <r>
    <x v="55"/>
    <d v="2026-08-25T00:00:00"/>
    <x v="31"/>
    <s v="ELVIRA ORTIZ RODRIGUEZ"/>
    <n v="43946304144"/>
    <s v="OIRE630210MGTRDL08"/>
    <n v="2"/>
    <n v="8129185118"/>
    <x v="2"/>
    <n v="9760.32"/>
    <n v="2823"/>
    <n v="2928.096"/>
    <n v="105.096"/>
    <d v="2027-12-01T00:00:00"/>
  </r>
  <r>
    <x v="55"/>
    <d v="2026-08-25T00:00:00"/>
    <x v="32"/>
    <s v="ESTEBAN SALVADOR VILLARREAL AGUAYO"/>
    <n v="43806321725"/>
    <s v="VIAE630623HNLLGS03"/>
    <n v="2"/>
    <s v=" 81 2929 9535"/>
    <x v="2"/>
    <n v="7890.51"/>
    <n v="2375"/>
    <n v="2367.1529999999998"/>
    <n v="-7.8470000000002074"/>
    <d v="2028-05-01T00:00:00"/>
  </r>
  <r>
    <x v="55"/>
    <d v="2026-08-25T00:00:00"/>
    <x v="32"/>
    <s v="JOSE LUIS VALADEZ CAMPOS"/>
    <s v="01725094161"/>
    <s v="VACL501009HZSLMS02"/>
    <n v="2"/>
    <s v="772 144 1424"/>
    <x v="0"/>
    <n v="5458.2"/>
    <m/>
    <n v="1637.4599999999998"/>
    <n v="1285.2200000000003"/>
    <m/>
  </r>
  <r>
    <x v="55"/>
    <d v="2026-08-25T00:00:00"/>
    <x v="32"/>
    <s v="FIDENCIO MURILLO RIVAS"/>
    <n v="33907253760"/>
    <s v="MURF720918HDGRVD09"/>
    <n v="2"/>
    <n v="8443413188"/>
    <x v="2"/>
    <n v="7128.48"/>
    <n v="2138.52"/>
    <n v="2138.5439999999999"/>
    <n v="2.3999999999887223E-2"/>
    <d v="2028-08-01T00:00:00"/>
  </r>
  <r>
    <x v="55"/>
    <d v="2026-08-25T00:00:00"/>
    <x v="31"/>
    <s v="EVODIO CARDENAS ALVARADO"/>
    <n v="3796213597"/>
    <s v="CAAE620506HNLRLV02"/>
    <n v="2"/>
    <s v="81 1964 5710"/>
    <x v="0"/>
    <n v="25374.639999999999"/>
    <m/>
    <n v="7612.3919999999998"/>
    <n v="7612.3919999999998"/>
    <m/>
  </r>
  <r>
    <x v="56"/>
    <d v="2026-08-26T00:00:00"/>
    <x v="31"/>
    <s v="GABRIEL TEZCATLIPOCA NORIEGA CANO"/>
    <n v="75816513537"/>
    <s v="NOCG650205HDFRNB01"/>
    <n v="2"/>
    <s v="56 2606 3887"/>
    <x v="2"/>
    <n v="9760.32"/>
    <n v="2823.41"/>
    <n v="2928.096"/>
    <n v="104.68600000000015"/>
    <d v="2027-12-01T00:00:00"/>
  </r>
  <r>
    <x v="56"/>
    <d v="2026-07-20T00:00:00"/>
    <x v="58"/>
    <s v="MARIANA ROSTRO MEDINA"/>
    <s v="21906428715"/>
    <s v="ROMM630123MMCSDR052"/>
    <n v="22859380"/>
    <n v="5215648786055"/>
    <x v="1"/>
    <n v="3565.2"/>
    <m/>
    <n v="1069.56"/>
    <n v="0"/>
    <m/>
  </r>
  <r>
    <x v="56"/>
    <d v="2026-08-26T00:00:00"/>
    <x v="31"/>
    <s v="ALEX MEDINA GONZALEZ"/>
    <s v="04755848860"/>
    <s v="MEGA581005HJCDNL08"/>
    <n v="2"/>
    <n v="3322488759"/>
    <x v="1"/>
    <n v="4342.43"/>
    <m/>
    <n v="1302.729"/>
    <n v="169.45000000000073"/>
    <m/>
  </r>
  <r>
    <x v="22"/>
    <d v="2026-08-23T00:00:00"/>
    <x v="58"/>
    <s v="JORGE HERNANDEZ PEREZ"/>
    <n v="3907401461"/>
    <s v="HEPJ760525HNLRRR00"/>
    <n v="23036098"/>
    <n v="5218187770489"/>
    <x v="2"/>
    <n v="6411.47"/>
    <n v="1922.97"/>
    <n v="1923.441"/>
    <n v="0.47100000000000364"/>
    <d v="2028-06-01T00:00:00"/>
  </r>
  <r>
    <x v="56"/>
    <d v="2026-07-25T00:00:00"/>
    <x v="53"/>
    <s v="MA. SOCORRO GARCIA DE LA ROSA"/>
    <m/>
    <s v="GARS570627MGTRSC09"/>
    <n v="23092932"/>
    <n v="4771331278"/>
    <x v="5"/>
    <m/>
    <m/>
    <n v="0"/>
    <n v="0"/>
    <m/>
  </r>
  <r>
    <x v="56"/>
    <d v="2026-08-26T00:00:00"/>
    <x v="31"/>
    <s v="JUAN JOSE GUTIERREZ MARTINEZ"/>
    <n v="41816506996"/>
    <s v="GUMJ650403HSPTRN02"/>
    <n v="2"/>
    <n v="4441361489"/>
    <x v="2"/>
    <n v="9760.32"/>
    <n v="2820.61"/>
    <n v="2928.096"/>
    <n v="107.48599999999988"/>
    <d v="2027-07-01T00:00:00"/>
  </r>
  <r>
    <x v="56"/>
    <d v="2026-08-26T00:00:00"/>
    <x v="31"/>
    <s v="JUAN ANTONIO BUSTOS ARREOLA"/>
    <n v="32796128471"/>
    <s v="BUAJ610705HDGSRN02"/>
    <n v="2"/>
    <s v="844 679 6252"/>
    <x v="7"/>
    <n v="4332.32"/>
    <n v="472.72"/>
    <n v="1299.6959999999999"/>
    <n v="-313.37999999999988"/>
    <d v="2025-02-01T00:00:00"/>
  </r>
  <r>
    <x v="56"/>
    <d v="2026-08-26T00:00:00"/>
    <x v="31"/>
    <s v="LUIS RAMIREZ GUZMAN"/>
    <s v="01644846865"/>
    <s v="RAGL480523HDFMZS05"/>
    <n v="2"/>
    <n v="5548471031"/>
    <x v="2"/>
    <n v="20620.580000000002"/>
    <n v="6185.78"/>
    <n v="6186.174"/>
    <n v="0.39400000000023283"/>
    <d v="2027-07-01T00:00:00"/>
  </r>
  <r>
    <x v="56"/>
    <d v="2026-07-19T00:00:00"/>
    <x v="58"/>
    <s v="CRESCENCIO GUTIERREZ HERNANDEZ"/>
    <n v="32826372024"/>
    <s v="GUHC630505HZSTRR02"/>
    <n v="22829318"/>
    <n v="5214464953092"/>
    <x v="2"/>
    <n v="9081.52"/>
    <n v="2724.46"/>
    <n v="2724.4560000000001"/>
    <n v="-3.9999999999054126E-3"/>
    <d v="2026-08-01T00:00:00"/>
  </r>
  <r>
    <x v="56"/>
    <d v="2026-07-22T00:00:00"/>
    <x v="53"/>
    <s v="TOMAS DELGADO MORENO"/>
    <m/>
    <s v="DEMT710124HMNLRM07"/>
    <n v="23026134"/>
    <n v="4438206983"/>
    <x v="1"/>
    <n v="1222.1400000000001"/>
    <m/>
    <n v="366.642"/>
    <n v="0"/>
    <m/>
  </r>
  <r>
    <x v="57"/>
    <d v="2026-08-27T00:00:00"/>
    <x v="31"/>
    <s v="JUAN CARLOS MONTES RAMIREZ"/>
    <s v="01775913138"/>
    <s v="MORJ591106HDFNMN03"/>
    <n v="2"/>
    <n v="5533406783"/>
    <x v="2"/>
    <n v="5756.54"/>
    <n v="1444.75"/>
    <n v="1726.962"/>
    <n v="138.8100000000004"/>
    <d v="2026-09-01T00:00:00"/>
  </r>
  <r>
    <x v="57"/>
    <d v="2026-08-27T00:00:00"/>
    <x v="31"/>
    <s v="GERMAN OROS ALARCON"/>
    <s v="06816336298"/>
    <s v="OOAG630709HDFRLR09"/>
    <n v="2"/>
    <n v="4443323434"/>
    <x v="2"/>
    <n v="10636.54"/>
    <n v="3190.06"/>
    <n v="3190.962"/>
    <n v="0.90200000000004366"/>
    <d v="2028-07-01T00:00:00"/>
  </r>
  <r>
    <x v="57"/>
    <d v="2026-07-23T00:00:00"/>
    <x v="54"/>
    <s v="JOSE DE JESUS ALGARIN DURAN"/>
    <m/>
    <s v="AADJ610117HVZLRS06"/>
    <n v="23036638"/>
    <n v="2711848623"/>
    <x v="7"/>
    <n v="6779.25"/>
    <n v="2033.77"/>
    <n v="2033.7749999999999"/>
    <n v="4.9999999998817657E-3"/>
    <d v="2026-08-01T00:00:00"/>
  </r>
  <r>
    <x v="57"/>
    <d v="2026-08-27T00:00:00"/>
    <x v="31"/>
    <s v="JUVENAL VEGA CORREA"/>
    <n v="88826603123"/>
    <s v="VECJ660211HDFGRV01"/>
    <n v="2"/>
    <n v="6644920389"/>
    <x v="2"/>
    <n v="10639.54"/>
    <n v="3182.35"/>
    <n v="3191.8620000000001"/>
    <n v="9.512000000000171"/>
    <d v="2028-04-01T00:00:00"/>
  </r>
  <r>
    <x v="57"/>
    <d v="2026-08-27T00:00:00"/>
    <x v="31"/>
    <s v="AGUSTIN PEREZ GARCIA"/>
    <n v="3280614341"/>
    <s v="PEGA620606HCLRRG02"/>
    <n v="2"/>
    <n v="8445874390"/>
    <x v="2"/>
    <n v="7116.73"/>
    <n v="2132.7600000000002"/>
    <n v="2135.0189999999998"/>
    <n v="2.2589999999995598"/>
    <d v="2027-01-01T00:00:00"/>
  </r>
  <r>
    <x v="24"/>
    <d v="2026-08-26T00:00:00"/>
    <x v="53"/>
    <s v="MA. SOCORRO GARCIA DE LA ROSA"/>
    <s v="12945002496"/>
    <s v="GARS570627MGTRSC09"/>
    <n v="23092932"/>
    <n v="4771331278"/>
    <x v="4"/>
    <m/>
    <m/>
    <n v="0"/>
    <n v="0"/>
    <m/>
  </r>
  <r>
    <x v="57"/>
    <d v="2026-08-27T00:00:00"/>
    <x v="31"/>
    <s v="JESUS PIÑON FLORES"/>
    <s v="01856524788"/>
    <s v="PIFJ650417HDFXLS07"/>
    <n v="2"/>
    <s v="720 626 1528"/>
    <x v="2"/>
    <n v="9760.32"/>
    <n v="2911.22"/>
    <n v="2928.096"/>
    <n v="16.876000000000204"/>
    <d v="2027-11-01T00:00:00"/>
  </r>
  <r>
    <x v="57"/>
    <d v="2026-08-27T00:00:00"/>
    <x v="31"/>
    <s v="JOSE PABLO CASTELLANOS BARAJAS"/>
    <n v="5481590085"/>
    <s v="CABP590811HJCSRB03"/>
    <n v="2"/>
    <n v="3343345270"/>
    <x v="1"/>
    <n v="3755.45"/>
    <n v="848"/>
    <n v="1126.635"/>
    <n v="-848"/>
    <m/>
  </r>
  <r>
    <x v="57"/>
    <d v="2026-08-27T00:00:00"/>
    <x v="31"/>
    <s v="VIDAL RAMOS RAMIREZ"/>
    <n v="12836721089"/>
    <s v="RARV670710HGTMMD01"/>
    <n v="2"/>
    <s v="614 839 2486"/>
    <x v="0"/>
    <n v="7135.6"/>
    <n v="879"/>
    <n v="2140.6799999999998"/>
    <n v="1261.6799999999998"/>
    <m/>
  </r>
  <r>
    <x v="57"/>
    <d v="2026-08-27T00:00:00"/>
    <x v="31"/>
    <s v="ROBERTO GONZALEZ LARIOS"/>
    <n v="5469491154"/>
    <s v="GOLR490818HJCNRB07"/>
    <n v="2"/>
    <n v="3330346222"/>
    <x v="1"/>
    <n v="3855.42"/>
    <m/>
    <n v="1156.626"/>
    <n v="0"/>
    <m/>
  </r>
  <r>
    <x v="57"/>
    <d v="2026-08-27T00:00:00"/>
    <x v="31"/>
    <s v="JOSE LUIS DURAN ORTIZ"/>
    <n v="53826331984"/>
    <s v="DUUL630731HMNRRS02"/>
    <n v="2"/>
    <s v=" 753 124 5234"/>
    <x v="2"/>
    <n v="26241.65"/>
    <n v="14401.82"/>
    <n v="7872.4949999999999"/>
    <n v="-6529.3249999999998"/>
    <d v="2027-02-01T00:00:00"/>
  </r>
  <r>
    <x v="57"/>
    <d v="2026-08-27T00:00:00"/>
    <x v="31"/>
    <s v="FRANCISCO LOERA BELTRAN"/>
    <n v="43816481394"/>
    <s v="LOBF640405MNLRLR00"/>
    <n v="2"/>
    <s v="81 8111 8938"/>
    <x v="2"/>
    <n v="13452.92"/>
    <n v="3882.85"/>
    <n v="4035.8759999999997"/>
    <n v="153.02599999999984"/>
    <d v="2028-01-01T00:00:00"/>
  </r>
  <r>
    <x v="57"/>
    <d v="2026-08-27T00:00:00"/>
    <x v="31"/>
    <s v="IGNACIO SANCHEZ ZACARIAS"/>
    <n v="76796300168"/>
    <s v="SAZI630201HMCNCG05"/>
    <n v="2"/>
    <n v="5542155268"/>
    <x v="2"/>
    <n v="12892.85"/>
    <n v="3866.49"/>
    <n v="3867.855"/>
    <n v="1.3650000000002365"/>
    <d v="2026-12-01T00:00:00"/>
  </r>
  <r>
    <x v="57"/>
    <d v="2026-08-27T00:00:00"/>
    <x v="31"/>
    <s v="JUAN MANUEL VEGA TAPIA"/>
    <s v="2193631528-8"/>
    <s v="VETJ630719HJCGPNO6"/>
    <n v="2"/>
    <s v="392 127 7337"/>
    <x v="2"/>
    <n v="7920.51"/>
    <n v="2289.25"/>
    <n v="2376.1529999999998"/>
    <n v="86.902999999999793"/>
    <d v="2027-12-01T00:00:00"/>
  </r>
  <r>
    <x v="58"/>
    <d v="2026-08-28T00:00:00"/>
    <x v="31"/>
    <s v="JUAN MANUEL RODRIGUEZ PIZANO"/>
    <n v="74917522232"/>
    <s v="ROPJ750814HJCDZN04"/>
    <n v="2"/>
    <n v="3313500609"/>
    <x v="2"/>
    <n v="12871.4"/>
    <n v="3723.61"/>
    <n v="3861.4199999999996"/>
    <n v="137.80999999999949"/>
    <d v="2027-05-01T00:00:00"/>
  </r>
  <r>
    <x v="58"/>
    <d v="2026-08-28T00:00:00"/>
    <x v="31"/>
    <s v="ALEJANDRO RUIZ LOPEZ"/>
    <s v="1084642707 7"/>
    <s v="RULA640701HDFZPL07"/>
    <n v="2"/>
    <s v="56 1393 3231"/>
    <x v="2"/>
    <n v="9081.52"/>
    <n v="2723"/>
    <n v="2724.4560000000001"/>
    <n v="1.456000000000131"/>
    <d v="2026-10-01T00:00:00"/>
  </r>
  <r>
    <x v="58"/>
    <d v="2026-08-28T00:00:00"/>
    <x v="31"/>
    <s v="FRANCISCO JAVIER CONTRERAS MEDINA"/>
    <n v="81775903545"/>
    <s v="COMF591203HCCNDR01"/>
    <n v="2"/>
    <n v="9381402438"/>
    <x v="2"/>
    <n v="12777.55"/>
    <n v="3832.13"/>
    <n v="3833.2649999999994"/>
    <n v="1.1349999999993088"/>
    <d v="2026-12-01T00:00:00"/>
  </r>
  <r>
    <x v="58"/>
    <d v="2026-08-28T00:00:00"/>
    <x v="31"/>
    <s v="SERGIO SANCHEZ JUAREZ"/>
    <n v="19846520609"/>
    <s v="SAJS641021HDFNRR04"/>
    <n v="2"/>
    <s v="55 4103 4700"/>
    <x v="3"/>
    <n v="8181.55"/>
    <n v="1420.02"/>
    <n v="2454.4650000000001"/>
    <n v="1034.4450000000002"/>
    <d v="2027-05-01T00:00:00"/>
  </r>
  <r>
    <x v="58"/>
    <d v="2026-08-28T00:00:00"/>
    <x v="31"/>
    <s v="ALFREDO DE LA CRUZ PUENTE"/>
    <n v="43755811379"/>
    <s v="CUPA580112HNLRNL00"/>
    <n v="2"/>
    <n v="8114833869"/>
    <x v="2"/>
    <n v="7920.51"/>
    <n v="2291"/>
    <n v="2376.1529999999998"/>
    <n v="85.152999999999793"/>
    <d v="2028-01-01T00:00:00"/>
  </r>
  <r>
    <x v="58"/>
    <d v="2026-08-28T00:00:00"/>
    <x v="31"/>
    <s v="ALFREDO MATADAMAS DOMINGUES"/>
    <n v="78856518622"/>
    <s v="MADA651208HOCTML07"/>
    <n v="2"/>
    <n v="9513770541"/>
    <x v="2"/>
    <n v="9760.32"/>
    <n v="2926.65"/>
    <n v="2928.096"/>
    <n v="1.4459999999999127"/>
    <d v="2028-05-01T00:00:00"/>
  </r>
  <r>
    <x v="58"/>
    <d v="2026-08-28T00:00:00"/>
    <x v="31"/>
    <s v="ENRIQUE RAMON RUIZ HERNANDEZ"/>
    <n v="54786028677"/>
    <s v="RUHE600618HJCZRN03"/>
    <n v="2"/>
    <s v="33 2391 8062"/>
    <x v="2"/>
    <n v="9081.51"/>
    <n v="2521.34"/>
    <n v="2724.453"/>
    <n v="203.11299999999983"/>
    <d v="2026-10-01T00:00:00"/>
  </r>
  <r>
    <x v="58"/>
    <d v="2026-08-28T00:00:00"/>
    <x v="31"/>
    <s v="JORGE ABEL VILLALOBOS DAVALOS"/>
    <n v="54796329784"/>
    <s v="VIDJ630109HCMLVR01"/>
    <n v="2"/>
    <s v="33 1173 8778"/>
    <x v="2"/>
    <n v="7920.51"/>
    <n v="2371.92"/>
    <n v="2376.1529999999998"/>
    <n v="4.2329999999997199"/>
    <d v="2028-03-01T00:00:00"/>
  </r>
  <r>
    <x v="59"/>
    <d v="2026-08-29T00:00:00"/>
    <x v="31"/>
    <s v="FERNANDO RODRIGUEZ HERNANDEZ"/>
    <n v="12926311635"/>
    <s v="ROHF631007HGTDRR07"/>
    <n v="2"/>
    <n v="4321455819"/>
    <x v="0"/>
    <n v="9760.32"/>
    <m/>
    <n v="2928.096"/>
    <n v="2928.096"/>
    <m/>
  </r>
  <r>
    <x v="59"/>
    <d v="2026-08-07T00:00:00"/>
    <x v="20"/>
    <s v="MARIA DE JESUS HUERTA CEDANO"/>
    <n v="25947642184"/>
    <m/>
    <n v="23460044"/>
    <n v="5216647610662"/>
    <x v="3"/>
    <n v="9936.06"/>
    <n v="2100"/>
    <n v="2980.8179999999998"/>
    <n v="880.81799999999976"/>
    <d v="2026-09-01T00:00:00"/>
  </r>
  <r>
    <x v="59"/>
    <d v="2026-08-29T00:00:00"/>
    <x v="31"/>
    <s v="SABINO ADAME GOMEZ"/>
    <n v="42835501042"/>
    <s v="AAGS551204HGRDMB02"/>
    <n v="2"/>
    <s v="55 3222 1579"/>
    <x v="2"/>
    <n v="45074.25"/>
    <n v="13522.28"/>
    <n v="13522.275"/>
    <n v="-5.0000000010186341E-3"/>
    <d v="2027-08-01T00:00:00"/>
  </r>
  <r>
    <x v="59"/>
    <d v="2026-06-21T00:00:00"/>
    <x v="53"/>
    <s v="TRINIDAD ALVARO CONDE ALVAREZ"/>
    <m/>
    <s v="COAT560527HPLNLR06"/>
    <n v="21876970"/>
    <n v="2761274528"/>
    <x v="1"/>
    <n v="3788.43"/>
    <n v="848"/>
    <n v="1136.529"/>
    <n v="-848"/>
    <m/>
  </r>
  <r>
    <x v="60"/>
    <d v="2026-08-07T00:00:00"/>
    <x v="58"/>
    <s v="ANA ROSA VELOZ AMADOR"/>
    <n v="54815615163"/>
    <s v="VEAA670313MJCLMN08"/>
    <n v="23449412"/>
    <n v="523339097533"/>
    <x v="2"/>
    <n v="7363.38"/>
    <n v="2130.41"/>
    <n v="2209.0140000000001"/>
    <n v="78.604000000000269"/>
    <d v="2027-09-01T00:00:00"/>
  </r>
  <r>
    <x v="60"/>
    <d v="2026-08-31T00:00:00"/>
    <x v="28"/>
    <s v="NESTOR MARIO VEGA RAMOS"/>
    <s v="10765504641_x000a_"/>
    <s v="VERN550409HDFGMS01"/>
    <n v="24117438"/>
    <n v="5212283666861"/>
    <x v="0"/>
    <n v="37235.910000000003"/>
    <m/>
    <n v="11170.773000000001"/>
    <n v="11170.773000000001"/>
    <m/>
  </r>
  <r>
    <x v="60"/>
    <d v="2026-08-31T00:00:00"/>
    <x v="28"/>
    <s v="PABLO QUEZADA DIAZ"/>
    <s v="04907427316_x000a_"/>
    <s v="QUDP750629HJCZZB01"/>
    <n v="24114292"/>
    <n v="5213329398133"/>
    <x v="1"/>
    <n v="4336.66"/>
    <n v="848"/>
    <n v="1300.9979999999998"/>
    <n v="-684.31999999999971"/>
    <m/>
  </r>
  <r>
    <x v="60"/>
    <d v="2026-08-31T00:00:00"/>
    <x v="31"/>
    <s v="FERNANDO RENDON PADILLA"/>
    <n v="4380642432"/>
    <s v="REPF640530HTSNDR05"/>
    <n v="2"/>
    <n v="8120095557"/>
    <x v="2"/>
    <n v="11703.96"/>
    <n v="3233.47"/>
    <n v="3511.1879999999996"/>
    <n v="277.71799999999985"/>
    <d v="2026-11-01T00:00:00"/>
  </r>
  <r>
    <x v="60"/>
    <d v="2026-08-30T00:00:00"/>
    <x v="13"/>
    <s v="RAUL FELIX APOLINAR"/>
    <n v="88855701012"/>
    <s v="FEAR561202HMCLPL08"/>
    <n v="24113284"/>
    <n v="5215585508677"/>
    <x v="2"/>
    <n v="7920.51"/>
    <n v="2275.67"/>
    <n v="2376.1529999999998"/>
    <n v="100.48299999999972"/>
    <d v="2027-07-01T00:00:00"/>
  </r>
  <r>
    <x v="60"/>
    <d v="2026-08-31T00:00:00"/>
    <x v="31"/>
    <s v="PEDRO MEZO AMAZAR"/>
    <n v="17856524594"/>
    <s v="MEAP650629HVZZZD01"/>
    <n v="2"/>
    <n v="3310889433"/>
    <x v="2"/>
    <n v="9760.32"/>
    <n v="2792.71"/>
    <n v="2928.096"/>
    <n v="135.38599999999997"/>
    <d v="2027-12-01T00:00:00"/>
  </r>
  <r>
    <x v="60"/>
    <d v="2026-08-31T00:00:00"/>
    <x v="31"/>
    <s v="DARWIN MARTIN RODRIGUEZ FLORES"/>
    <n v="81806309225"/>
    <s v="ROFD631111HYNDLR09"/>
    <n v="2"/>
    <n v="9821213288"/>
    <x v="2"/>
    <n v="20259.759999999998"/>
    <n v="6074.03"/>
    <n v="6077.927999999999"/>
    <n v="3.8979999999992287"/>
    <d v="2027-02-01T00:00:00"/>
  </r>
  <r>
    <x v="60"/>
    <d v="2026-08-31T00:00:00"/>
    <x v="31"/>
    <s v="MARTHA ALICIA ORSUA SANTOS"/>
    <n v="21106700103"/>
    <s v="OUSM670516MCLRNR03"/>
    <n v="2"/>
    <n v="21106700103"/>
    <x v="4"/>
    <m/>
    <m/>
    <n v="0"/>
    <n v="0"/>
    <m/>
  </r>
  <r>
    <x v="60"/>
    <d v="2026-08-31T00:00:00"/>
    <x v="31"/>
    <s v="JOSE MORALES MORALES"/>
    <s v="03584201580"/>
    <s v="MOMJ420807HNLRRS07"/>
    <n v="2"/>
    <n v="8130897208"/>
    <x v="6"/>
    <n v="18191.53"/>
    <n v="5456.5"/>
    <n v="5457.4589999999998"/>
    <n v="0.95899999999983265"/>
    <d v="2026-09-01T00:00:00"/>
  </r>
  <r>
    <x v="60"/>
    <d v="2026-08-30T00:00:00"/>
    <x v="6"/>
    <s v="JUAN MARTIN OLMOS MUÑOZ "/>
    <m/>
    <s v="OOMJ660130HCLLXN09"/>
    <n v="24113760"/>
    <n v="5218715471033"/>
    <x v="2"/>
    <n v="10636.54"/>
    <n v="3190.96"/>
    <n v="3190.962"/>
    <n v="1.9999999999527063E-3"/>
    <d v="2028-06-01T00:00:00"/>
  </r>
  <r>
    <x v="60"/>
    <d v="2026-08-30T00:00:00"/>
    <x v="6"/>
    <s v="JULIO MARCIAL DZUL COLLI"/>
    <s v=" 84816111276"/>
    <s v="DUCJ610522HYNZLL06"/>
    <n v="24114178"/>
    <n v="5219994215990"/>
    <x v="6"/>
    <n v="7921.51"/>
    <n v="2188.77"/>
    <n v="2376.453"/>
    <n v="187.68299999999999"/>
    <d v="2026-05-01T00:00:00"/>
  </r>
  <r>
    <x v="60"/>
    <d v="2026-08-30T00:00:00"/>
    <x v="6"/>
    <s v="ALEJANDRO VALDEZ SANCHEZ"/>
    <m/>
    <s v="AASA640209HVZLNL01"/>
    <n v="24115106"/>
    <n v="5218112056285"/>
    <x v="0"/>
    <n v="10636.54"/>
    <m/>
    <n v="3190.962"/>
    <n v="3190.962"/>
    <m/>
  </r>
  <r>
    <x v="60"/>
    <d v="2026-08-30T00:00:00"/>
    <x v="6"/>
    <s v="JUAN GERARDO FRIZZI PEREZ "/>
    <n v="43896619707"/>
    <s v="FIPJ660418HDFRRN07"/>
    <n v="24117976"/>
    <n v="5218110477727"/>
    <x v="2"/>
    <n v="10636.54"/>
    <n v="3187.8"/>
    <n v="3190.962"/>
    <n v="3.1619999999998072"/>
    <d v="2028-07-01T00:00:00"/>
  </r>
  <r>
    <x v="60"/>
    <d v="2026-08-31T00:00:00"/>
    <x v="31"/>
    <s v="JUAN CHAVEZ PEQUEÑO"/>
    <n v="49804704853"/>
    <s v="CAPJ470624HTSHQN02"/>
    <n v="2"/>
    <n v="8991912210"/>
    <x v="2"/>
    <n v="8784.2900000000009"/>
    <n v="2541.5"/>
    <n v="2635.2870000000003"/>
    <n v="93.787000000000262"/>
    <d v="2027-05-01T00:00:00"/>
  </r>
  <r>
    <x v="60"/>
    <d v="2026-08-31T00:00:00"/>
    <x v="61"/>
    <s v="GLORIA ESTELA TREJO ORTIZ "/>
    <n v="32765934099"/>
    <s v="TEOG610401MDGRRL04 "/>
    <n v="24131566"/>
    <n v="5218715855558"/>
    <x v="5"/>
    <m/>
    <m/>
    <n v="0"/>
    <n v="0"/>
    <m/>
  </r>
  <r>
    <x v="60"/>
    <d v="2026-08-31T00:00:00"/>
    <x v="28"/>
    <s v="PATRICIA CARDIEL AVILA"/>
    <s v="33906012688"/>
    <s v="CAAP651106MCHRVT08"/>
    <n v="24112678"/>
    <n v="5216566594903"/>
    <x v="4"/>
    <m/>
    <m/>
    <n v="0"/>
    <n v="0"/>
    <m/>
  </r>
  <r>
    <x v="60"/>
    <d v="2026-08-19T00:00:00"/>
    <x v="53"/>
    <s v="MAXIMILIANO HERNANDEZ PEREZ"/>
    <m/>
    <s v="HEPM660126HDFRRX02"/>
    <n v="23768092"/>
    <n v="5542201925"/>
    <x v="8"/>
    <m/>
    <m/>
    <n v="0"/>
    <n v="0"/>
    <m/>
  </r>
  <r>
    <x v="60"/>
    <d v="2026-08-31T00:00:00"/>
    <x v="6"/>
    <s v="FRANCISCO HERRERA JUAREZ "/>
    <s v="72917207143"/>
    <s v="HEJF720908HGRRRR00"/>
    <n v="24118172"/>
    <n v="5217444734971"/>
    <x v="0"/>
    <n v="5642.22"/>
    <m/>
    <n v="1692.6659999999999"/>
    <n v="1469.2400000000007"/>
    <m/>
  </r>
  <r>
    <x v="60"/>
    <d v="2026-08-31T00:00:00"/>
    <x v="6"/>
    <s v="BENJAMIN SANCHEZ ODRIOZOLA"/>
    <m/>
    <s v="SAOB650219HDFNDN08"/>
    <n v="24120922"/>
    <n v="5217221642447"/>
    <x v="0"/>
    <n v="10636.54"/>
    <m/>
    <n v="3190.962"/>
    <n v="3190.962"/>
    <m/>
  </r>
  <r>
    <x v="60"/>
    <d v="2026-08-31T00:00:00"/>
    <x v="6"/>
    <s v="NCOLAS PACHECO LOPEZ "/>
    <n v="78856502915"/>
    <s v="PALN651206HOCCPC01"/>
    <n v="24127530"/>
    <n v="5216635229713"/>
    <x v="2"/>
    <n v="11029.03"/>
    <n v="3306.28"/>
    <n v="3308.7090000000003"/>
    <n v="2.4290000000000873"/>
    <d v="2028-04-01T00:00:00"/>
  </r>
  <r>
    <x v="60"/>
    <d v="2026-08-31T00:00:00"/>
    <x v="13"/>
    <s v="MARIA DE JESUS TORRES GARCIA"/>
    <s v="04674715331"/>
    <s v="TOGJ521010MJCRRS06"/>
    <n v="24127410"/>
    <n v="5213751217411"/>
    <x v="1"/>
    <n v="4332.32"/>
    <m/>
    <n v="1299.6959999999999"/>
    <n v="159.34000000000015"/>
    <m/>
  </r>
  <r>
    <x v="60"/>
    <d v="2026-08-31T00:00:00"/>
    <x v="28"/>
    <s v="MARIA FILOMENA ASELA GARCIA MONTALVO"/>
    <m/>
    <s v="GAMF570622MTLRNL11"/>
    <n v="24112100"/>
    <n v="5212462966441"/>
    <x v="3"/>
    <n v="4931.3599999999997"/>
    <m/>
    <n v="1479.4079999999999"/>
    <n v="758.38000000000011"/>
    <m/>
  </r>
  <r>
    <x v="60"/>
    <d v="2026-08-31T00:00:00"/>
    <x v="13"/>
    <s v="JOSE LUIS JAIME IRIGOYEN RIVERA"/>
    <n v="82795302338"/>
    <s v="IIRL530125HDFRVS00"/>
    <n v="24123358"/>
    <n v="5219871058155"/>
    <x v="0"/>
    <n v="19872.09"/>
    <m/>
    <n v="5961.6269999999995"/>
    <n v="5961.6269999999995"/>
    <m/>
  </r>
  <r>
    <x v="60"/>
    <d v="2026-08-31T00:00:00"/>
    <x v="6"/>
    <s v="MIGUEL ANGEL NAVARRO SANCHEZ "/>
    <n v="34816503907"/>
    <s v="NASM651001HZSVNG00"/>
    <n v="24126400"/>
    <n v="5216563492054"/>
    <x v="2"/>
    <n v="36087.370000000003"/>
    <n v="10826.05"/>
    <n v="10826.211000000001"/>
    <n v="0.1610000000018772"/>
    <d v="2028-06-01T00:00:00"/>
  </r>
  <r>
    <x v="60"/>
    <d v="2026-08-31T00:00:00"/>
    <x v="13"/>
    <s v="J. GUADALUPE MEDINA ESPARZA"/>
    <n v="34745200484"/>
    <s v="MEEG520415HASDSD07"/>
    <n v="24126774"/>
    <n v="5214491852402"/>
    <x v="1"/>
    <n v="3869.36"/>
    <m/>
    <n v="1160.808"/>
    <n v="0"/>
    <m/>
  </r>
  <r>
    <x v="60"/>
    <d v="2026-08-31T00:00:00"/>
    <x v="13"/>
    <s v="MARIA DE JESUS TORRES GARCIA"/>
    <n v="5480522424"/>
    <s v="TOGJ521010MJCRRS06"/>
    <n v="24127410"/>
    <n v="5213751217411"/>
    <x v="1"/>
    <n v="3869.36"/>
    <m/>
    <n v="1160.808"/>
    <n v="0"/>
    <m/>
  </r>
  <r>
    <x v="60"/>
    <d v="2026-08-31T00:00:00"/>
    <x v="28"/>
    <s v="MARCO ANTONIO HERNANDEZ RAMIREZ"/>
    <s v="42806124360"/>
    <s v="HERM610408HDFRMR06"/>
    <n v="24118148"/>
    <n v="5212292254903"/>
    <x v="6"/>
    <n v="13805.41"/>
    <n v="3832.87"/>
    <n v="4141.6229999999996"/>
    <n v="308.7529999999997"/>
    <d v="2026-09-01T00:00:00"/>
  </r>
  <r>
    <x v="60"/>
    <d v="2026-08-31T00:00:00"/>
    <x v="6"/>
    <s v="ARMANDO OROPEZA MORALES "/>
    <m/>
    <s v="OOMA650927HDFRRR09"/>
    <n v="24123336"/>
    <n v="5215582909700"/>
    <x v="5"/>
    <m/>
    <m/>
    <n v="0"/>
    <n v="0"/>
    <m/>
  </r>
  <r>
    <x v="60"/>
    <d v="2026-08-30T00:00:00"/>
    <x v="6"/>
    <s v="HUGO MARTINEZ LOPEZ"/>
    <n v="11836411527"/>
    <s v="MALH640112HDFRPG09"/>
    <n v="24117474"/>
    <n v="5216142705588"/>
    <x v="0"/>
    <n v="26742.560000000001"/>
    <n v="4057.65"/>
    <n v="8022.768"/>
    <n v="3965.1179999999999"/>
    <d v="2027-02-01T00:00:00"/>
  </r>
  <r>
    <x v="60"/>
    <d v="2026-08-31T00:00:00"/>
    <x v="6"/>
    <s v="ISMAEL MORENO AGUILAR "/>
    <m/>
    <s v="MOAI610401HJCRGS07"/>
    <n v="24129994"/>
    <n v="5214498985165"/>
    <x v="2"/>
    <n v="6962.69"/>
    <n v="2011.72"/>
    <n v="2088.8069999999998"/>
    <n v="77.086999999999762"/>
    <d v="2027-03-01T00:00:00"/>
  </r>
  <r>
    <x v="60"/>
    <d v="2026-08-31T00:00:00"/>
    <x v="61"/>
    <s v="Clara Sánchez blanco "/>
    <s v="49815813156 "/>
    <s v="SARA581002HVZNML04"/>
    <n v="24134424"/>
    <n v="5218332616906"/>
    <x v="2"/>
    <n v="23412.799999999999"/>
    <n v="7021.57"/>
    <n v="7023.8399999999992"/>
    <n v="2.2699999999995271"/>
    <d v="2027-08-01T00:00:00"/>
  </r>
  <r>
    <x v="60"/>
    <d v="2026-08-31T00:00:00"/>
    <x v="61"/>
    <s v="Naybe Orozco Montoya "/>
    <n v="2483656995"/>
    <s v="OOMN650510HCLRNY01"/>
    <n v="24131178"/>
    <n v="5218671988164"/>
    <x v="0"/>
    <n v="11029.03"/>
    <m/>
    <n v="3308.7090000000003"/>
    <n v="3308.7090000000003"/>
    <m/>
  </r>
  <r>
    <x v="60"/>
    <d v="2026-08-31T00:00:00"/>
    <x v="28"/>
    <s v="RAUL LEOPOLDO RAMIREZ MORENO"/>
    <s v="11786021219_x000a_"/>
    <s v="RAMR600615HDFMRL07"/>
    <n v="24123274"/>
    <n v="5215522749941"/>
    <x v="2"/>
    <n v="5617.63"/>
    <n v="1334.17"/>
    <n v="1685.289"/>
    <n v="110.48000000000047"/>
    <d v="2026-12-01T00:00:00"/>
  </r>
  <r>
    <x v="60"/>
    <d v="2026-08-31T00:00:00"/>
    <x v="28"/>
    <s v="ENRIQUE FLORES AGUILAR"/>
    <s v="43725236269_x000a_"/>
    <s v="FOAE520715HTSLGN09"/>
    <n v="24127866"/>
    <n v="5218342687555"/>
    <x v="7"/>
    <n v="4813.1000000000004"/>
    <n v="565.59"/>
    <n v="1443.93"/>
    <n v="74.530000000000769"/>
    <d v="2025-10-01T00:00:00"/>
  </r>
  <r>
    <x v="60"/>
    <d v="2026-08-31T00:00:00"/>
    <x v="28"/>
    <s v="JOSE RUIZ SILVA"/>
    <s v="04745711715"/>
    <s v="RUSJ580421HJCZLS01"/>
    <n v="24128704"/>
    <n v="5213318797099"/>
    <x v="2"/>
    <n v="7270.12"/>
    <n v="2018.44"/>
    <n v="2181.0360000000001"/>
    <n v="162.596"/>
    <d v="2026-10-01T00:00:00"/>
  </r>
  <r>
    <x v="60"/>
    <d v="2026-08-31T00:00:00"/>
    <x v="31"/>
    <s v="BLANCA LETICIA TORRES HERNANDEZ"/>
    <s v="0-3816461044"/>
    <s v="TOHB640912MNLRRL07"/>
    <n v="2"/>
    <n v="8116731142"/>
    <x v="2"/>
    <n v="10636.54"/>
    <n v="3187.8"/>
    <n v="3190.962"/>
    <n v="3.1619999999998072"/>
    <d v="2028-08-01T00:00:00"/>
  </r>
  <r>
    <x v="61"/>
    <d v="2026-09-01T00:00:00"/>
    <x v="31"/>
    <s v="JULIO GARCIA VIERA"/>
    <n v="32856670255"/>
    <s v="GAVJ660619HCLRRL05"/>
    <n v="2"/>
    <s v="877 131 3136"/>
    <x v="2"/>
    <n v="9760.32"/>
    <n v="2926.58"/>
    <n v="2928.096"/>
    <n v="1.5160000000000764"/>
    <d v="2027-05-01T00:00:00"/>
  </r>
  <r>
    <x v="61"/>
    <d v="2026-08-31T00:00:00"/>
    <x v="58"/>
    <s v="RAYMUNDO VALDES"/>
    <s v="06795905360"/>
    <m/>
    <n v="24136674"/>
    <n v="5214611462487"/>
    <x v="2"/>
    <n v="9081.52"/>
    <n v="2696.2"/>
    <n v="2724.4560000000001"/>
    <n v="28.256000000000313"/>
    <d v="2028-06-01T00:00:00"/>
  </r>
  <r>
    <x v="61"/>
    <d v="2026-09-01T00:00:00"/>
    <x v="58"/>
    <s v="JUAN TREJO GALVAN"/>
    <s v="32846678228"/>
    <m/>
    <n v="24153432"/>
    <n v="5218441100397"/>
    <x v="0"/>
    <n v="29895.68"/>
    <m/>
    <n v="8968.7039999999997"/>
    <n v="8968.7039999999997"/>
    <m/>
  </r>
  <r>
    <x v="61"/>
    <d v="2026-09-01T00:00:00"/>
    <x v="31"/>
    <s v="ANTONIO AGUILAR ZEPEDA"/>
    <s v="01674449622"/>
    <s v="AUZA450830HDFGPN08"/>
    <n v="2"/>
    <s v="55 4135 7549"/>
    <x v="2"/>
    <n v="5656.49"/>
    <n v="1429"/>
    <n v="1696.9469999999999"/>
    <n v="54.510000000000218"/>
    <d v="2027-02-01T00:00:00"/>
  </r>
  <r>
    <x v="61"/>
    <d v="2026-09-01T00:00:00"/>
    <x v="54"/>
    <s v="MIGUEL BAENA LOERA"/>
    <m/>
    <s v="BALM601108HCLNRG06"/>
    <n v="24153904"/>
    <n v="8777885360"/>
    <x v="2"/>
    <n v="11108.37"/>
    <n v="3332.13"/>
    <n v="3332.511"/>
    <n v="0.38099999999985812"/>
    <d v="2027-01-01T00:00:00"/>
  </r>
  <r>
    <x v="61"/>
    <d v="2026-08-11T00:00:00"/>
    <x v="0"/>
    <s v="FERNANDO SOTO MENDOZA "/>
    <s v="72806313523"/>
    <m/>
    <n v="23547118"/>
    <n v="5213111586783"/>
    <x v="0"/>
    <n v="10636.54"/>
    <m/>
    <n v="3190.962"/>
    <n v="3190.962"/>
    <m/>
  </r>
  <r>
    <x v="61"/>
    <d v="2026-07-31T00:00:00"/>
    <x v="44"/>
    <s v="Humberto Arias Lopez"/>
    <s v="83806230237"/>
    <s v="AILH620423HTCRPM04"/>
    <n v="23236642"/>
    <n v="9932137178"/>
    <x v="0"/>
    <n v="7116.73"/>
    <m/>
    <n v="2135.0189999999998"/>
    <n v="2135.0189999999998"/>
    <m/>
  </r>
  <r>
    <x v="61"/>
    <d v="2026-08-31T00:00:00"/>
    <x v="6"/>
    <s v="ZENAIDA IMPERIAL DURAN "/>
    <s v="23855104669"/>
    <s v="IEDZ500127MCHMRN03"/>
    <n v="24141062"/>
    <n v="5216681837067"/>
    <x v="1"/>
    <n v="3491.37"/>
    <m/>
    <n v="1047.4109999999998"/>
    <n v="0"/>
    <m/>
  </r>
  <r>
    <x v="61"/>
    <d v="2026-09-01T00:00:00"/>
    <x v="6"/>
    <s v="ARMANDO ELESVAN CHEVEZ GOMEZ "/>
    <n v="13816410263"/>
    <s v="CXGA641027HHGHMR01"/>
    <n v="24151192"/>
    <n v="5217731841593"/>
    <x v="2"/>
    <n v="10590.5"/>
    <n v="3112.54"/>
    <n v="3177.15"/>
    <n v="64.610000000000127"/>
    <d v="2028-02-01T00:00:00"/>
  </r>
  <r>
    <x v="61"/>
    <d v="2026-08-31T00:00:00"/>
    <x v="58"/>
    <s v="MIRIAM GABRIELA SANCHEZ NAVARRO"/>
    <m/>
    <s v="VAOF721116HSLLRD07"/>
    <n v="24135908"/>
    <n v="5216681995205"/>
    <x v="1"/>
    <n v="3565.21"/>
    <n v="848"/>
    <n v="1069.5629999999999"/>
    <n v="-848"/>
    <m/>
  </r>
  <r>
    <x v="61"/>
    <d v="2026-08-13T00:00:00"/>
    <x v="53"/>
    <s v="FELIPE DE JESUS RAMOS GASTELUM"/>
    <m/>
    <s v="RAGF570206HSRMSL02"/>
    <n v="23608934"/>
    <n v="6675765220"/>
    <x v="2"/>
    <n v="6262.86"/>
    <n v="1811.99"/>
    <n v="1878.8579999999997"/>
    <n v="66.867999999999711"/>
    <d v="2028-02-01T00:00:00"/>
  </r>
  <r>
    <x v="61"/>
    <d v="2026-09-01T00:00:00"/>
    <x v="58"/>
    <s v="JUAN CUEVAS POLANCO"/>
    <m/>
    <s v="CUPJ580624HSLVLN02"/>
    <n v="24153960"/>
    <n v="5213311597124"/>
    <x v="2"/>
    <n v="9881.5"/>
    <n v="3529.85"/>
    <n v="2964.45"/>
    <n v="-565.40000000000009"/>
    <d v="2027-03-01T00:00:00"/>
  </r>
  <r>
    <x v="61"/>
    <d v="2026-09-01T00:00:00"/>
    <x v="58"/>
    <s v="ADRIANA DEL ROSARIO MARTINEZ MELENDEZ"/>
    <s v=" 41957716446"/>
    <s v="MAMA770530MSPRLD00"/>
    <n v="24154322"/>
    <n v="5214442872266"/>
    <x v="4"/>
    <m/>
    <m/>
    <n v="0"/>
    <n v="0"/>
    <m/>
  </r>
  <r>
    <x v="61"/>
    <d v="2026-09-01T00:00:00"/>
    <x v="31"/>
    <s v="DANIEL MARTINEZ GARZA"/>
    <n v="43876201518"/>
    <s v="MAGD621226HNLRRN01"/>
    <n v="2"/>
    <n v="8112599564"/>
    <x v="2"/>
    <n v="8539.89"/>
    <n v="2470.77"/>
    <n v="2561.9669999999996"/>
    <n v="91.196999999999662"/>
    <d v="2027-06-01T00:00:00"/>
  </r>
  <r>
    <x v="61"/>
    <d v="2026-09-01T00:00:00"/>
    <x v="28"/>
    <s v="JOSE ACENSION RODRIGUEZ GONZALEZ"/>
    <m/>
    <s v="ROGA64640825HSRDNC06"/>
    <n v="24117498"/>
    <n v="5216623657775"/>
    <x v="2"/>
    <n v="13273.31"/>
    <n v="3977.21"/>
    <n v="3981.9929999999995"/>
    <n v="4.782999999999447"/>
    <d v="2027-04-01T00:00:00"/>
  </r>
  <r>
    <x v="61"/>
    <d v="2026-08-31T00:00:00"/>
    <x v="61"/>
    <s v="EFRAIN CAUICH BASTO"/>
    <m/>
    <s v="CABE590117HYNCSF07 "/>
    <n v="24130534"/>
    <n v="5219992333696"/>
    <x v="0"/>
    <n v="31212.5"/>
    <m/>
    <n v="9363.75"/>
    <n v="9363.75"/>
    <m/>
  </r>
  <r>
    <x v="61"/>
    <d v="2026-09-01T00:00:00"/>
    <x v="28"/>
    <s v="JOSE LUIS RAMOS RAMIREZ"/>
    <s v="01745512788"/>
    <s v="RARL550105HVZMMS01"/>
    <n v="24150794"/>
    <n v="5215562550018"/>
    <x v="9"/>
    <n v="12155.49"/>
    <n v="3216.2"/>
    <n v="3646.6469999999999"/>
    <n v="430.44700000000012"/>
    <d v="2025-04-01T00:00:00"/>
  </r>
  <r>
    <x v="61"/>
    <d v="2026-08-14T00:00:00"/>
    <x v="53"/>
    <s v="FABIOLA YUDID GONZALEZ RUIZ"/>
    <m/>
    <s v="GORF831221MMNNZB00"/>
    <n v="23637202"/>
    <n v="4524803866"/>
    <x v="3"/>
    <n v="4785.93"/>
    <m/>
    <n v="1435.779"/>
    <n v="612.95000000000073"/>
    <m/>
  </r>
  <r>
    <x v="61"/>
    <d v="2026-08-31T00:00:00"/>
    <x v="13"/>
    <s v="FRANCISCO MORALES LIMON"/>
    <n v="41684810728"/>
    <s v="MOLF481228HSPRMR05"/>
    <n v="24143760"/>
    <n v="5214444819100"/>
    <x v="1"/>
    <n v="4813.6900000000005"/>
    <n v="848"/>
    <n v="1444.1070000000002"/>
    <n v="-207.28999999999905"/>
    <m/>
  </r>
  <r>
    <x v="61"/>
    <d v="2026-08-31T00:00:00"/>
    <x v="6"/>
    <s v="ENRIQUE EFREN VEGA RAMIREZ"/>
    <s v="78835500972"/>
    <s v="VERE550618HPLGMN04"/>
    <n v="24143202"/>
    <n v="5212271118624"/>
    <x v="2"/>
    <n v="9250.59"/>
    <n v="2676.41"/>
    <n v="2775.1770000000001"/>
    <n v="98.76700000000028"/>
    <d v="2027-02-01T00:00:00"/>
  </r>
  <r>
    <x v="61"/>
    <d v="2026-09-01T00:00:00"/>
    <x v="31"/>
    <s v="MARIA DEL SOL ALVARADO PAULIN"/>
    <n v="94018011604"/>
    <s v="AAPS800308MDFLLL03"/>
    <n v="2"/>
    <n v="5514577458"/>
    <x v="4"/>
    <m/>
    <m/>
    <n v="0"/>
    <n v="0"/>
    <m/>
  </r>
  <r>
    <x v="61"/>
    <d v="2026-09-01T00:00:00"/>
    <x v="28"/>
    <s v="JESUS ALBERTO JARA RODARTE"/>
    <s v="23967845902"/>
    <s v="JARJ780903HSLRDS03"/>
    <n v="24144690"/>
    <n v="5216942746935"/>
    <x v="1"/>
    <n v="3635.76"/>
    <m/>
    <n v="1090.7280000000001"/>
    <n v="0"/>
    <m/>
  </r>
  <r>
    <x v="61"/>
    <d v="2026-09-01T00:00:00"/>
    <x v="58"/>
    <s v="Arturo saul Vergara Vázquez"/>
    <m/>
    <s v="VEVA640927HPLRZR04"/>
    <n v="24157156"/>
    <n v="5212219833633"/>
    <x v="2"/>
    <n v="9760.32"/>
    <n v="2927.71"/>
    <n v="2928.096"/>
    <n v="0.38599999999996726"/>
    <d v="2028-08-01T00:00:00"/>
  </r>
  <r>
    <x v="61"/>
    <d v="2026-09-01T00:00:00"/>
    <x v="28"/>
    <s v="JOSE ALFREDO GUTIERREZ SANTOS"/>
    <m/>
    <s v="GUSA750112HCLTNL08"/>
    <n v="24144072"/>
    <n v="5218771174848"/>
    <x v="1"/>
    <n v="4346.2"/>
    <m/>
    <n v="1303.8599999999999"/>
    <n v="173.22000000000025"/>
    <m/>
  </r>
  <r>
    <x v="61"/>
    <d v="2026-09-01T00:00:00"/>
    <x v="54"/>
    <s v="TRINIDAD FAVELA NAVAR"/>
    <n v="31745601976"/>
    <s v="FANT641004MDGVVR03"/>
    <n v="24157424"/>
    <n v="6182464156"/>
    <x v="1"/>
    <n v="3542.29"/>
    <n v="848"/>
    <n v="1062.6869999999999"/>
    <n v="-848"/>
    <m/>
  </r>
  <r>
    <x v="61"/>
    <d v="2026-08-31T00:00:00"/>
    <x v="61"/>
    <s v="Gumersindo Estevez Cruz "/>
    <s v="6567501004"/>
    <s v="EECG491014HVZSRM08"/>
    <n v="24134456"/>
    <n v="5212292259441"/>
    <x v="1"/>
    <n v="3147.87"/>
    <m/>
    <n v="944.36099999999988"/>
    <n v="0"/>
    <m/>
  </r>
  <r>
    <x v="61"/>
    <d v="2026-09-01T00:00:00"/>
    <x v="54"/>
    <s v="DANIEL GARMA MORENO"/>
    <m/>
    <s v="GAMD620719HVZRRN00"/>
    <n v="24156484"/>
    <n v="9983006973"/>
    <x v="2"/>
    <n v="27060.42"/>
    <n v="7829.23"/>
    <n v="8118.1259999999993"/>
    <n v="288.89599999999973"/>
    <d v="2027-12-01T00:00:00"/>
  </r>
  <r>
    <x v="61"/>
    <d v="2026-08-31T00:00:00"/>
    <x v="61"/>
    <s v="Alicia Reyes Castellanos "/>
    <s v="15805102454 "/>
    <s v="RECA720616MPLYSL04 "/>
    <n v="24133002"/>
    <n v="5217776221672"/>
    <x v="4"/>
    <m/>
    <m/>
    <n v="0"/>
    <n v="0"/>
    <m/>
  </r>
  <r>
    <x v="61"/>
    <d v="2026-08-31T00:00:00"/>
    <x v="28"/>
    <s v="RAQUEL REYES FERNANDEZ"/>
    <m/>
    <s v="REFR480802HCSYRQ00"/>
    <n v="24143132"/>
    <n v="5219616551965"/>
    <x v="5"/>
    <m/>
    <m/>
    <n v="0"/>
    <n v="0"/>
    <m/>
  </r>
  <r>
    <x v="61"/>
    <d v="2026-08-31T00:00:00"/>
    <x v="61"/>
    <s v="Rogelio Estrada Garcia"/>
    <s v="3624700450"/>
    <s v="EAGR470901HNLSRG17 "/>
    <n v="24134366"/>
    <n v="5218129172160"/>
    <x v="1"/>
    <n v="5216.58"/>
    <n v="848"/>
    <n v="1564.9739999999999"/>
    <n v="195.60000000000036"/>
    <m/>
  </r>
  <r>
    <x v="61"/>
    <d v="2026-08-31T00:00:00"/>
    <x v="13"/>
    <s v="ALFONSO GARCIA GONZALEZ"/>
    <n v="49735730753"/>
    <s v="GAGA570123HTSRNL02"/>
    <n v="24143942"/>
    <n v="5218332936862"/>
    <x v="6"/>
    <n v="18405.73"/>
    <n v="5317.06"/>
    <n v="5521.7190000000001"/>
    <n v="204.65899999999965"/>
    <d v="2026-02-01T00:00:00"/>
  </r>
  <r>
    <x v="61"/>
    <d v="2026-09-01T00:00:00"/>
    <x v="18"/>
    <s v="NO PROPORCIONO "/>
    <n v="49715425952"/>
    <m/>
    <n v="1"/>
    <n v="8672528546"/>
    <x v="2"/>
    <n v="24981.96"/>
    <n v="7227.88"/>
    <n v="7494.5879999999997"/>
    <n v="266.70799999999963"/>
    <d v="2027-10-01T00:00:00"/>
  </r>
  <r>
    <x v="61"/>
    <d v="2026-08-31T00:00:00"/>
    <x v="58"/>
    <s v="ALFREDO SIERRA LOPEZ"/>
    <n v="53825306573"/>
    <s v="SILA530404HGTRPL02 "/>
    <n v="24137568"/>
    <n v="4521770393"/>
    <x v="2"/>
    <n v="6570.84"/>
    <n v="1822.71"/>
    <n v="1971.252"/>
    <n v="148.54199999999992"/>
    <d v="2027-01-01T00:00:00"/>
  </r>
  <r>
    <x v="61"/>
    <d v="2026-09-01T00:00:00"/>
    <x v="54"/>
    <s v="JOSE MORENO PATRICIO"/>
    <n v="10816004815"/>
    <s v="MOPJ600801HHGRTS09"/>
    <n v="24155416"/>
    <n v="7713397243"/>
    <x v="0"/>
    <n v="5617.63"/>
    <m/>
    <n v="1685.289"/>
    <n v="1444.6500000000005"/>
    <m/>
  </r>
  <r>
    <x v="61"/>
    <d v="2026-09-01T00:00:00"/>
    <x v="13"/>
    <s v="GERARDO FLORES TAPIA"/>
    <m/>
    <s v="FOTG701005HDFLPR00"/>
    <n v="24150934"/>
    <n v="5215512866419"/>
    <x v="3"/>
    <n v="5060.93"/>
    <m/>
    <n v="1518.279"/>
    <n v="887.95000000000073"/>
    <m/>
  </r>
  <r>
    <x v="61"/>
    <d v="2026-09-01T00:00:00"/>
    <x v="6"/>
    <s v="BERTHA SUSANA THOMAS TORRES "/>
    <s v="21644612513"/>
    <s v="TOTB461016MBCHRR04"/>
    <n v="24143988"/>
    <n v="5216641204200"/>
    <x v="0"/>
    <n v="39970.82"/>
    <m/>
    <n v="11991.245999999999"/>
    <n v="11991.245999999999"/>
    <m/>
  </r>
  <r>
    <x v="61"/>
    <d v="2026-09-01T00:00:00"/>
    <x v="6"/>
    <s v="GABRIELA ROSA CASTILLO SANCHEZ "/>
    <s v="10836720507_x000a_"/>
    <s v="CASG700929MDFSNB05"/>
    <n v="24147582"/>
    <n v="5215548439985"/>
    <x v="2"/>
    <n v="5037.79"/>
    <n v="1230"/>
    <n v="1511.337"/>
    <n v="-365.1899999999996"/>
    <d v="2027-03-01T00:00:00"/>
  </r>
  <r>
    <x v="61"/>
    <d v="2026-08-31T00:00:00"/>
    <x v="6"/>
    <s v="LUCIANO NUÑEZ ZAVALETA"/>
    <s v="62917333049_x000a_"/>
    <s v="NUZL630408HVZXVC09"/>
    <n v="24143752"/>
    <n v="5212216276417"/>
    <x v="2"/>
    <n v="14335.34"/>
    <n v="4297.59"/>
    <n v="4300.6019999999999"/>
    <n v="3.0119999999997162"/>
    <d v="2028-02-01T00:00:00"/>
  </r>
  <r>
    <x v="61"/>
    <d v="2026-09-01T00:00:00"/>
    <x v="13"/>
    <s v="JOSE ALFREDO DE LARA PUEBLA"/>
    <n v="31876512984"/>
    <s v="LAPA650108HDGRBL04"/>
    <n v="24153144"/>
    <n v="5216183290969"/>
    <x v="0"/>
    <n v="10636.54"/>
    <m/>
    <n v="3190.962"/>
    <n v="3190.962"/>
    <m/>
  </r>
  <r>
    <x v="61"/>
    <d v="2026-09-01T00:00:00"/>
    <x v="54"/>
    <s v=" JESUS PRISCILIANO MARTINEZ RIVERA"/>
    <n v="43865804306"/>
    <s v="MARJ580104HNLRVS02"/>
    <n v="24156254"/>
    <n v="8110393719"/>
    <x v="3"/>
    <n v="19103.169999999998"/>
    <n v="5303.27"/>
    <n v="5730.9509999999991"/>
    <n v="427.68099999999868"/>
    <d v="2026-11-01T00:00:00"/>
  </r>
  <r>
    <x v="61"/>
    <d v="2026-08-31T00:00:00"/>
    <x v="61"/>
    <s v="BEATRIZ CARBALLO COTA"/>
    <n v="22786203392"/>
    <s v="CACB620412MBSRTT08 "/>
    <n v="24133218"/>
    <n v="5216122046141"/>
    <x v="0"/>
    <n v="9760.320000000007"/>
    <m/>
    <n v="2928.0960000000018"/>
    <n v="2928.0960000000018"/>
    <m/>
  </r>
  <r>
    <x v="61"/>
    <d v="2026-09-01T00:00:00"/>
    <x v="58"/>
    <s v="FELIPE DE JESUS RODRIGUEZ"/>
    <n v="84906917061"/>
    <m/>
    <n v="24166848"/>
    <n v="5219845200715"/>
    <x v="1"/>
    <n v="3781.44"/>
    <m/>
    <n v="1134.432"/>
    <n v="0"/>
    <m/>
  </r>
  <r>
    <x v="61"/>
    <d v="2026-08-31T00:00:00"/>
    <x v="53"/>
    <s v="J. JAIME CHAVEZ LOPEZ"/>
    <m/>
    <s v="CALJ600919HJCHPM03"/>
    <n v="24167800"/>
    <n v="7551027655"/>
    <x v="0"/>
    <n v="22537.38"/>
    <m/>
    <n v="6761.2139999999999"/>
    <n v="6761.2139999999999"/>
    <m/>
  </r>
  <r>
    <x v="61"/>
    <d v="2026-09-01T00:00:00"/>
    <x v="58"/>
    <s v="FILIBERTO HERRERA VIDAL"/>
    <m/>
    <s v="HEVF600606HPLRDL06"/>
    <n v="24162118"/>
    <n v="5212431089626"/>
    <x v="0"/>
    <n v="10636.54"/>
    <m/>
    <n v="3190.962"/>
    <n v="3190.962"/>
    <m/>
  </r>
  <r>
    <x v="61"/>
    <d v="2026-09-01T00:00:00"/>
    <x v="13"/>
    <s v="PATRICIA VEGA GUTIERREZ"/>
    <m/>
    <s v="VEGP631111MDFGTT08"/>
    <n v="24150606"/>
    <n v="5215522615493"/>
    <x v="2"/>
    <n v="7920.51"/>
    <n v="2373.56"/>
    <n v="2376.1529999999998"/>
    <n v="2.5929999999998472"/>
    <d v="2027-10-01T00:00:00"/>
  </r>
  <r>
    <x v="61"/>
    <d v="2026-08-31T00:00:00"/>
    <x v="53"/>
    <s v="Gilberto Gonzalez pacheco"/>
    <n v="24705416899"/>
    <m/>
    <n v="24157472"/>
    <n v="6462266843"/>
    <x v="3"/>
    <n v="42004.43"/>
    <n v="12138.33"/>
    <n v="12601.329"/>
    <n v="462.9989999999998"/>
    <d v="2027-08-01T00:00:00"/>
  </r>
  <r>
    <x v="61"/>
    <d v="2026-09-01T00:00:00"/>
    <x v="31"/>
    <s v="JOSE LUIS SANCHEZ RAMIREZ"/>
    <n v="32816305323"/>
    <s v="SARL640428HDGNMS00"/>
    <n v="2"/>
    <n v="8129094803"/>
    <x v="2"/>
    <n v="5055.87"/>
    <n v="1202"/>
    <n v="1516.761"/>
    <n v="-319.10999999999967"/>
    <d v="2027-02-01T00:00:00"/>
  </r>
  <r>
    <x v="61"/>
    <d v="2026-09-01T00:00:00"/>
    <x v="54"/>
    <s v="DARIO FERNANDO LOPEZ TREJO"/>
    <m/>
    <s v="LOTD541219HDFPRR10"/>
    <n v="24158392"/>
    <n v="5582197233"/>
    <x v="1"/>
    <n v="3879.3"/>
    <n v="879"/>
    <n v="1163.79"/>
    <n v="-879"/>
    <m/>
  </r>
  <r>
    <x v="61"/>
    <d v="2026-09-01T00:00:00"/>
    <x v="28"/>
    <s v="MA. DEL ROCIO ALVAREZ VELEZ"/>
    <s v="12816005966_x000a_"/>
    <s v="AAVR710529MGTLLC08"/>
    <n v="24152474"/>
    <n v="5214774085467"/>
    <x v="2"/>
    <n v="6422.04"/>
    <n v="1922.51"/>
    <n v="1926.6119999999999"/>
    <n v="4.1019999999998618"/>
    <d v="2028-08-01T00:00:00"/>
  </r>
  <r>
    <x v="61"/>
    <d v="2026-08-31T00:00:00"/>
    <x v="61"/>
    <s v="Fracisco Castro Garcia"/>
    <m/>
    <s v="CAGF510723HDFSRR08 "/>
    <n v="24133440"/>
    <n v="5217551312885"/>
    <x v="2"/>
    <n v="49321.94"/>
    <n v="14796.41"/>
    <n v="14796.582"/>
    <n v="0.17200000000048021"/>
    <d v="2027-01-01T00:00:00"/>
  </r>
  <r>
    <x v="61"/>
    <d v="2026-09-01T00:00:00"/>
    <x v="31"/>
    <s v="JAIME RAMIREZ CANALES"/>
    <s v="01775666643"/>
    <s v="RACJ560426HDFMNM08"/>
    <n v="2"/>
    <n v="7451578735"/>
    <x v="1"/>
    <n v="3961.31"/>
    <n v="879"/>
    <n v="1188.393"/>
    <n v="-879"/>
    <m/>
  </r>
  <r>
    <x v="62"/>
    <d v="2026-09-02T00:00:00"/>
    <x v="18"/>
    <s v="NO PROPORCIONO "/>
    <n v="49786004819"/>
    <m/>
    <n v="1"/>
    <n v="8331859864"/>
    <x v="5"/>
    <m/>
    <m/>
    <n v="0"/>
    <n v="0"/>
    <m/>
  </r>
  <r>
    <x v="62"/>
    <d v="2026-09-02T00:00:00"/>
    <x v="31"/>
    <s v="LUZ DEL CARMEN VALADEZ GONZALEZ"/>
    <n v="7087720551"/>
    <s v="VAGL721021MDFLNZ06"/>
    <n v="2"/>
    <s v="55 8564 8614"/>
    <x v="3"/>
    <n v="5642.22"/>
    <n v="621.23"/>
    <n v="1692.6659999999999"/>
    <n v="848.01000000000067"/>
    <d v="2028-08-01T00:00:00"/>
  </r>
  <r>
    <x v="62"/>
    <d v="2026-09-02T00:00:00"/>
    <x v="31"/>
    <s v="NOE FLORES GALVAN"/>
    <n v="43826478547"/>
    <s v="FOGN641210HNLLLX00"/>
    <n v="2"/>
    <n v="8184671699"/>
    <x v="2"/>
    <n v="16209.71"/>
    <n v="4862.91"/>
    <n v="4862.9129999999996"/>
    <n v="2.9999999997016857E-3"/>
    <d v="2027-07-01T00:00:00"/>
  </r>
  <r>
    <x v="62"/>
    <d v="2026-09-01T00:00:00"/>
    <x v="28"/>
    <s v="MA. DEL PILAR HERNANDEZ RAMIREZ"/>
    <s v="41926400041"/>
    <s v="HERP721012MSPRML08"/>
    <n v="24151366"/>
    <n v="5214442855532"/>
    <x v="0"/>
    <n v="8173.36"/>
    <m/>
    <n v="2452.0079999999998"/>
    <n v="2452.0079999999998"/>
    <m/>
  </r>
  <r>
    <x v="62"/>
    <d v="2026-09-01T00:00:00"/>
    <x v="28"/>
    <s v="SONIA"/>
    <s v="24796029460"/>
    <m/>
    <n v="24179268"/>
    <n v="5216624248987"/>
    <x v="2"/>
    <n v="5617.63"/>
    <n v="1383.22"/>
    <n v="1685.289"/>
    <n v="61.430000000000518"/>
    <d v="2027-07-01T00:00:00"/>
  </r>
  <r>
    <x v="62"/>
    <d v="2026-08-30T00:00:00"/>
    <x v="53"/>
    <s v="FRANCISCO JAVIER SAENZ"/>
    <m/>
    <s v="SAXF590531HCHNXR01"/>
    <n v="24156070"/>
    <n v="6561768376"/>
    <x v="2"/>
    <n v="12730.34"/>
    <n v="3680.15"/>
    <n v="3819.1019999999999"/>
    <n v="138.95199999999977"/>
    <d v="2027-05-01T00:00:00"/>
  </r>
  <r>
    <x v="62"/>
    <d v="2026-07-30T00:00:00"/>
    <x v="58"/>
    <s v="ESTEBAN PECH MEX"/>
    <n v="84816402501"/>
    <s v="PEME631226HYNCXS09"/>
    <n v="23261044"/>
    <n v="5219889679408"/>
    <x v="9"/>
    <n v="9504.7000000000007"/>
    <n v="2622.91"/>
    <n v="2851.4100000000003"/>
    <n v="228.50000000000045"/>
    <d v="2026-09-01T00:00:00"/>
  </r>
  <r>
    <x v="62"/>
    <d v="2026-09-01T00:00:00"/>
    <x v="28"/>
    <s v="AARON NORATO GARCIA"/>
    <s v="67887301868"/>
    <s v="NOGA730701HVZRRR00"/>
    <n v="24179372"/>
    <n v="5216643034108"/>
    <x v="7"/>
    <n v="5121.62"/>
    <n v="761.39"/>
    <n v="1536.4859999999999"/>
    <n v="187.25000000000034"/>
    <d v="2024-09-01T00:00:00"/>
  </r>
  <r>
    <x v="62"/>
    <d v="2026-09-02T00:00:00"/>
    <x v="54"/>
    <s v="JESUS PEREZ ARTEAGA"/>
    <m/>
    <s v="PEAJ781016HVZRRS06"/>
    <n v="24191050"/>
    <n v="8337295437"/>
    <x v="2"/>
    <n v="5060.93"/>
    <n v="885.23"/>
    <n v="1518.279"/>
    <n v="2.7200000000007094"/>
    <d v="2027-04-01T00:00:00"/>
  </r>
  <r>
    <x v="62"/>
    <d v="2026-09-02T00:00:00"/>
    <x v="31"/>
    <s v="ENRIQUE MARTINEZ RAMIREZ"/>
    <s v="03816313021"/>
    <s v="MARE630830HNLRMN05"/>
    <n v="2"/>
    <n v="8119945530"/>
    <x v="6"/>
    <n v="7920.51"/>
    <n v="2197.7199999999998"/>
    <n v="2376.1529999999998"/>
    <n v="178.43299999999999"/>
    <d v="2026-07-01T00:00:00"/>
  </r>
  <r>
    <x v="62"/>
    <d v="2026-09-01T00:00:00"/>
    <x v="28"/>
    <s v="JESUS URQUIETA CONTRERAS"/>
    <s v="04826307649"/>
    <s v="UUCJ630527HJCRNS07"/>
    <n v="24174758"/>
    <n v="5215623571098"/>
    <x v="0"/>
    <n v="20668.52"/>
    <m/>
    <n v="6200.5559999999996"/>
    <n v="6200.5559999999996"/>
    <m/>
  </r>
  <r>
    <x v="62"/>
    <d v="2026-08-31T00:00:00"/>
    <x v="53"/>
    <s v="NOEMI GUILLEN CHAVEZ"/>
    <m/>
    <s v="GUCN571117MNTLHM05"/>
    <n v="24135746"/>
    <n v="3113965877"/>
    <x v="0"/>
    <n v="6443.71"/>
    <m/>
    <n v="1933.1129999999998"/>
    <n v="1933.1129999999998"/>
    <m/>
  </r>
  <r>
    <x v="62"/>
    <d v="2026-09-02T00:00:00"/>
    <x v="6"/>
    <s v="MARIBEL AGUILAR LOREDO"/>
    <n v="88836313986"/>
    <s v="AULM630715MSPGRR01"/>
    <n v="24189214"/>
    <n v="5214443485459"/>
    <x v="0"/>
    <n v="12234.97"/>
    <m/>
    <n v="3670.4909999999995"/>
    <n v="3670.4909999999995"/>
    <m/>
  </r>
  <r>
    <x v="62"/>
    <d v="2026-09-02T00:00:00"/>
    <x v="18"/>
    <s v="David Aquino Guerrero"/>
    <m/>
    <s v="AUGD770324HTSQRV01"/>
    <n v="1"/>
    <n v="8682177899"/>
    <x v="0"/>
    <n v="6411.47"/>
    <m/>
    <n v="1923.441"/>
    <n v="1923.441"/>
    <m/>
  </r>
  <r>
    <x v="62"/>
    <d v="2026-08-31T00:00:00"/>
    <x v="53"/>
    <s v="BARTOLO GALLARDO GARCIA"/>
    <m/>
    <s v="GAGB630327HGRLRR05"/>
    <n v="24136262"/>
    <n v="7441769538"/>
    <x v="2"/>
    <n v="7920.51"/>
    <n v="2376.0300000000002"/>
    <n v="2376.1529999999998"/>
    <n v="0.12299999999959255"/>
    <d v="2028-02-01T00:00:00"/>
  </r>
  <r>
    <x v="62"/>
    <d v="2026-09-01T00:00:00"/>
    <x v="54"/>
    <s v="GUILLERMO JIMENEZ SOBERANES"/>
    <n v="1725706483"/>
    <s v="JISG570317HDFMBL07"/>
    <n v="24175378"/>
    <n v="7294799449"/>
    <x v="3"/>
    <n v="24667.47"/>
    <n v="6724.99"/>
    <n v="7400.241"/>
    <n v="675.2510000000002"/>
    <d v="2026-10-01T00:00:00"/>
  </r>
  <r>
    <x v="62"/>
    <d v="2026-09-02T00:00:00"/>
    <x v="54"/>
    <s v="ANGELICA MARIA ACUÑA MARTINEZ"/>
    <n v="81896400116"/>
    <s v="AUMA641124MCCCRN03"/>
    <n v="24190126"/>
    <n v="9812001388"/>
    <x v="2"/>
    <n v="15697.51"/>
    <n v="4541"/>
    <n v="4709.2529999999997"/>
    <n v="168.2529999999997"/>
    <d v="2027-03-01T00:00:00"/>
  </r>
  <r>
    <x v="62"/>
    <d v="2026-09-01T00:00:00"/>
    <x v="6"/>
    <s v="J. JESUS SANTANA SAUCEDO"/>
    <n v="12825916666"/>
    <s v="SASJ590906HGTNCS01"/>
    <n v="24179344"/>
    <n v="5214778801259"/>
    <x v="0"/>
    <n v="9760.32"/>
    <n v="879"/>
    <n v="2928.096"/>
    <n v="2049.096"/>
    <m/>
  </r>
  <r>
    <x v="62"/>
    <d v="2026-09-01T00:00:00"/>
    <x v="6"/>
    <s v="J. JESUS SANTANA SAUCEDO"/>
    <n v="12816421106"/>
    <s v="SASJ590906HGTNCS01"/>
    <n v="24179344"/>
    <n v="5214778801259"/>
    <x v="5"/>
    <m/>
    <m/>
    <n v="0"/>
    <n v="0"/>
    <m/>
  </r>
  <r>
    <x v="62"/>
    <d v="2026-09-02T00:00:00"/>
    <x v="6"/>
    <s v="ARMANDO DE LEON MARTINEZ"/>
    <m/>
    <s v="LEMA640827HTSNRR04"/>
    <n v="24191320"/>
    <n v="5214521085137"/>
    <x v="2"/>
    <n v="9081.52"/>
    <n v="2724.46"/>
    <n v="2724.4560000000001"/>
    <n v="-3.9999999999054126E-3"/>
    <d v="2028-06-01T00:00:00"/>
  </r>
  <r>
    <x v="62"/>
    <d v="2026-09-02T00:00:00"/>
    <x v="61"/>
    <s v="Francisco Gonzalez Gutierrez"/>
    <s v="52786107061_x000a_"/>
    <s v="GOGF610805HCMNTR13"/>
    <n v="24189738"/>
    <n v="5213123193951"/>
    <x v="0"/>
    <n v="48451.72"/>
    <m/>
    <n v="14535.516"/>
    <n v="14535.516"/>
    <m/>
  </r>
  <r>
    <x v="62"/>
    <d v="2026-09-02T00:00:00"/>
    <x v="54"/>
    <s v="CARLOS BARBOZA MORALES"/>
    <m/>
    <s v="BAMC631103HDGRRR08"/>
    <n v="24187756"/>
    <n v="6145150396"/>
    <x v="6"/>
    <n v="60231.26"/>
    <n v="14306.98"/>
    <n v="18069.378000000001"/>
    <n v="3762.398000000001"/>
    <d v="2026-08-01T00:00:00"/>
  </r>
  <r>
    <x v="62"/>
    <d v="2026-09-01T00:00:00"/>
    <x v="54"/>
    <s v="FRANCISCO VALENCIA VEGA"/>
    <n v="11654837373"/>
    <s v="VAVF480229HDFLGR04"/>
    <n v="24178818"/>
    <n v="5569673223"/>
    <x v="2"/>
    <n v="90436.35"/>
    <n v="27130.52"/>
    <n v="27130.905000000002"/>
    <n v="0.38500000000203727"/>
    <d v="2027-03-01T00:00:00"/>
  </r>
  <r>
    <x v="62"/>
    <d v="2026-09-02T00:00:00"/>
    <x v="61"/>
    <s v="Ricardo Sierra Garcia"/>
    <s v="33836661000"/>
    <s v="SIGR660306HCHRRC07"/>
    <n v="24186972"/>
    <n v="5216566587216"/>
    <x v="2"/>
    <n v="10636.54"/>
    <n v="3187.4"/>
    <n v="3190.962"/>
    <n v="3.5619999999998981"/>
    <d v="2028-05-01T00:00:00"/>
  </r>
  <r>
    <x v="62"/>
    <d v="2026-09-02T00:00:00"/>
    <x v="13"/>
    <s v="JOSE LUIS RODRIGUEZ TADEO"/>
    <n v="23816502985"/>
    <s v="ROTL650319HNTDDS02"/>
    <n v="24194052"/>
    <n v="5216671396727"/>
    <x v="2"/>
    <n v="9760.32"/>
    <n v="2810.29"/>
    <n v="2928.096"/>
    <n v="117.80600000000004"/>
    <d v="2027-12-01T00:00:00"/>
  </r>
  <r>
    <x v="62"/>
    <d v="2026-09-01T00:00:00"/>
    <x v="53"/>
    <s v="JUAN ANDRES LOPEZ GOMEZ"/>
    <n v="10210587316"/>
    <s v="LOGJ050815HCSPMNA7"/>
    <n v="24181010"/>
    <n v="9191739043"/>
    <x v="5"/>
    <m/>
    <m/>
    <n v="0"/>
    <n v="0"/>
    <m/>
  </r>
  <r>
    <x v="62"/>
    <d v="2026-09-01T00:00:00"/>
    <x v="6"/>
    <s v="VALENTIN CRUZ SANTIAGO"/>
    <m/>
    <s v="CUSV620214HVZRNL04"/>
    <n v="24177214"/>
    <n v="5217821062062"/>
    <x v="3"/>
    <n v="7116.73"/>
    <n v="1637.96"/>
    <n v="2135.0189999999998"/>
    <n v="497.05899999999974"/>
    <d v="2027-05-01T00:00:00"/>
  </r>
  <r>
    <x v="62"/>
    <d v="2026-09-01T00:00:00"/>
    <x v="54"/>
    <s v="Aaron Roldán Franco"/>
    <n v="3394778685"/>
    <s v="ROFA770701HCLLRR17"/>
    <n v="24153964"/>
    <n v="6562977477"/>
    <x v="1"/>
    <n v="4072.58"/>
    <m/>
    <n v="1221.7739999999999"/>
    <n v="0"/>
    <m/>
  </r>
  <r>
    <x v="62"/>
    <d v="2026-09-02T00:00:00"/>
    <x v="53"/>
    <s v="GABRIELA GONZALES SANTILLAN"/>
    <m/>
    <s v="GOSG700205MDFNNB01"/>
    <n v="24183770"/>
    <n v="7341414783"/>
    <x v="5"/>
    <m/>
    <m/>
    <n v="0"/>
    <n v="0"/>
    <m/>
  </r>
  <r>
    <x v="62"/>
    <d v="2026-09-01T00:00:00"/>
    <x v="13"/>
    <s v="MARTIN RODRIGUEZ MEDINA"/>
    <n v="43826634792"/>
    <s v="ROMM660202HCLDDR00"/>
    <n v="24173800"/>
    <n v="5218119598052"/>
    <x v="2"/>
    <n v="10718.75"/>
    <n v="3211.25"/>
    <n v="3215.625"/>
    <n v="4.375"/>
    <d v="2027-02-01T00:00:00"/>
  </r>
  <r>
    <x v="62"/>
    <d v="2026-09-02T00:00:00"/>
    <x v="61"/>
    <s v="Francisco Moran Marquez"/>
    <m/>
    <s v="MOMF630308HDFRRR01"/>
    <n v="24174738"/>
    <n v="5215574797916"/>
    <x v="6"/>
    <n v="7920.51"/>
    <n v="2196.71"/>
    <n v="2376.1529999999998"/>
    <n v="179.44299999999976"/>
    <d v="2026-05-01T00:00:00"/>
  </r>
  <r>
    <x v="62"/>
    <d v="2026-09-01T00:00:00"/>
    <x v="54"/>
    <s v="CESAR ALEJANDRO MANRIQUEZ CERVANTES"/>
    <m/>
    <s v="MACC770514HCLNRS02"/>
    <n v="24167074"/>
    <n v="8445917860"/>
    <x v="3"/>
    <n v="5803.64"/>
    <n v="614.97"/>
    <n v="1741.0920000000001"/>
    <n v="1015.6900000000007"/>
    <d v="2024-09-01T00:00:00"/>
  </r>
  <r>
    <x v="62"/>
    <d v="2026-09-02T00:00:00"/>
    <x v="53"/>
    <s v="ESTELA DE JESUS MALDONADO"/>
    <m/>
    <s v="JEME451115MQTSLS08"/>
    <n v="24193648"/>
    <n v="4421524039"/>
    <x v="0"/>
    <n v="9019.81"/>
    <m/>
    <n v="2705.9429999999998"/>
    <n v="2705.9429999999998"/>
    <m/>
  </r>
  <r>
    <x v="62"/>
    <d v="2026-09-02T00:00:00"/>
    <x v="54"/>
    <s v="MANUEL RIVERA"/>
    <s v="01765156169"/>
    <s v="RIXM510527HDFVXN03"/>
    <n v="24193692"/>
    <n v="5573664805"/>
    <x v="2"/>
    <n v="4773.68"/>
    <n v="555.91999999999996"/>
    <n v="1432.104"/>
    <n v="44.780000000000769"/>
    <d v="2027-01-01T00:00:00"/>
  </r>
  <r>
    <x v="62"/>
    <d v="2026-09-02T00:00:00"/>
    <x v="54"/>
    <s v="RENE MUÑOZ SILVA"/>
    <m/>
    <s v="MUSR520826HJCXLN01"/>
    <n v="24195976"/>
    <n v="3310809090"/>
    <x v="2"/>
    <n v="9081.52"/>
    <n v="2721.39"/>
    <n v="2724.4560000000001"/>
    <n v="3.0660000000002583"/>
    <d v="2027-01-01T00:00:00"/>
  </r>
  <r>
    <x v="62"/>
    <d v="2026-08-31T00:00:00"/>
    <x v="61"/>
    <s v="Ma. Alejandra de fatima delgadillo ricalde"/>
    <s v="96875802629_x000a_"/>
    <s v="DERA581014MDFLCL05"/>
    <n v="24133360"/>
    <n v="5217721290979"/>
    <x v="2"/>
    <n v="9760.32"/>
    <n v="2928.1"/>
    <n v="2928.096"/>
    <n v="-3.9999999999054126E-3"/>
    <d v="2028-02-01T00:00:00"/>
  </r>
  <r>
    <x v="62"/>
    <d v="2026-09-02T00:00:00"/>
    <x v="31"/>
    <s v="J JESUS HERNANDEZ MENDOZA"/>
    <n v="54804202387"/>
    <s v="HEMJ420417HJCRNS00"/>
    <n v="2"/>
    <s v="33 6059 4489"/>
    <x v="2"/>
    <n v="7128.48"/>
    <n v="2136.14"/>
    <n v="2138.5439999999999"/>
    <n v="2.4039999999999964"/>
    <d v="2028-04-01T00:00:00"/>
  </r>
  <r>
    <x v="62"/>
    <d v="2026-09-02T00:00:00"/>
    <x v="59"/>
    <s v="RAFAELA ADELA TAPIA OSNAYA"/>
    <m/>
    <s v="TAOR521024MDFPSF08"/>
    <n v="24188100"/>
    <n v="5215527573546"/>
    <x v="1"/>
    <n v="4217.46"/>
    <n v="848"/>
    <n v="1265.2380000000001"/>
    <n v="-803.51999999999953"/>
    <m/>
  </r>
  <r>
    <x v="62"/>
    <d v="2026-09-02T00:00:00"/>
    <x v="13"/>
    <s v="MARTIN HERNANDEZ GODINEZ"/>
    <m/>
    <s v="HEGM620130HDFRDR06"/>
    <n v="24194850"/>
    <n v="5213322147621"/>
    <x v="8"/>
    <m/>
    <m/>
    <n v="0"/>
    <n v="0"/>
    <m/>
  </r>
  <r>
    <x v="62"/>
    <d v="2026-06-28T00:00:00"/>
    <x v="58"/>
    <s v="MARIA DEL CARMEN CASTILLO CORDOVA "/>
    <s v="12917118791"/>
    <s v="CACC791120MGTSRR05"/>
    <n v="22072404"/>
    <n v="5214779102181"/>
    <x v="1"/>
    <n v="3505.89"/>
    <m/>
    <n v="1051.7669999999998"/>
    <n v="0"/>
    <m/>
  </r>
  <r>
    <x v="62"/>
    <d v="2026-08-31T00:00:00"/>
    <x v="13"/>
    <s v="DOLORES DEL CARMEN SALDIVAR SANTINI"/>
    <n v="33715318219"/>
    <s v="SASD530929MCHLNL08"/>
    <n v="24124174"/>
    <n v="5216561109764"/>
    <x v="2"/>
    <n v="5617.63"/>
    <n v="1393.24"/>
    <n v="1685.289"/>
    <n v="51.410000000000537"/>
    <d v="2027-08-01T00:00:00"/>
  </r>
  <r>
    <x v="62"/>
    <d v="2026-09-02T00:00:00"/>
    <x v="61"/>
    <s v="Ma de la luz martinez vazquez"/>
    <s v="49895700083"/>
    <s v="MAVL570107MTSRZZ00"/>
    <n v="24199240"/>
    <n v="5214441420044"/>
    <x v="1"/>
    <n v="3961.31"/>
    <m/>
    <n v="1188.393"/>
    <n v="0"/>
    <m/>
  </r>
  <r>
    <x v="62"/>
    <d v="2026-09-02T00:00:00"/>
    <x v="61"/>
    <s v="Jose Carrion Ramos"/>
    <s v="33725006846_x000a_"/>
    <s v="CARJ501217HDGRMS06"/>
    <n v="24199686"/>
    <n v="5216394651328"/>
    <x v="2"/>
    <n v="58828.58"/>
    <n v="17635.419999999998"/>
    <n v="17648.574000000001"/>
    <n v="13.15400000000227"/>
    <d v="2028-07-01T00:00:00"/>
  </r>
  <r>
    <x v="62"/>
    <d v="2026-09-01T00:00:00"/>
    <x v="28"/>
    <s v="SANDRA PACHECO ACOSTA"/>
    <s v="24735304271_x000a_"/>
    <s v="PAAS531015MSRCCN07"/>
    <n v="24169488"/>
    <n v="24169488"/>
    <x v="9"/>
    <n v="20147.39"/>
    <n v="5585.07"/>
    <n v="6044.2169999999996"/>
    <n v="459.14699999999993"/>
    <d v="2026-09-01T00:00:00"/>
  </r>
  <r>
    <x v="62"/>
    <d v="2026-09-01T00:00:00"/>
    <x v="53"/>
    <s v="FEDERICO GONZALEZ GONZALEZ"/>
    <n v="67786104892"/>
    <s v="GOGF610302HVZNND06"/>
    <n v="24174910"/>
    <n v="9221959217"/>
    <x v="2"/>
    <n v="10636.54"/>
    <n v="3190.63"/>
    <n v="3190.962"/>
    <n v="0.33199999999987995"/>
    <d v="2028-08-01T00:00:00"/>
  </r>
  <r>
    <x v="62"/>
    <d v="2026-09-02T00:00:00"/>
    <x v="54"/>
    <s v="JOSE JAVIER RIOS DEL TORO"/>
    <m/>
    <s v="RITJ630927HSRSRV00"/>
    <n v="24199942"/>
    <n v="6221226147"/>
    <x v="0"/>
    <n v="7920.51"/>
    <m/>
    <n v="2376.1529999999998"/>
    <n v="2376.1529999999998"/>
    <m/>
  </r>
  <r>
    <x v="62"/>
    <d v="2026-09-02T00:00:00"/>
    <x v="18"/>
    <s v="SERGIO ORTIZ GUZMÁN "/>
    <n v="11795912788"/>
    <s v="OIGS621018HDFRZR00"/>
    <n v="1"/>
    <n v="5634039297"/>
    <x v="5"/>
    <m/>
    <m/>
    <n v="0"/>
    <n v="0"/>
    <m/>
  </r>
  <r>
    <x v="62"/>
    <d v="2026-09-01T00:00:00"/>
    <x v="6"/>
    <s v="MARGARITA RONZON RUIZ "/>
    <n v="65926704019"/>
    <s v="RORM720221MVZNZR09"/>
    <n v="24173754"/>
    <n v="5212282950872"/>
    <x v="1"/>
    <n v="3437.04"/>
    <n v="848"/>
    <n v="1031.1119999999999"/>
    <n v="-848"/>
    <m/>
  </r>
  <r>
    <x v="62"/>
    <d v="2026-09-02T00:00:00"/>
    <x v="6"/>
    <s v="MANUEL JESUS MATU SULU"/>
    <m/>
    <s v="MASM630905HYNTLN01"/>
    <n v="24197900"/>
    <n v="5219993342589"/>
    <x v="0"/>
    <n v="7920.51"/>
    <n v="848"/>
    <n v="2376.1529999999998"/>
    <n v="1528.1529999999998"/>
    <m/>
  </r>
  <r>
    <x v="62"/>
    <d v="2026-09-02T00:00:00"/>
    <x v="54"/>
    <s v="SERGIO CASTILLO LOPEZ"/>
    <m/>
    <s v="CALS650123HMSSPR09"/>
    <n v="24197002"/>
    <n v="5538148958"/>
    <x v="2"/>
    <n v="9760.32"/>
    <n v="2923.41"/>
    <n v="2928.096"/>
    <n v="4.6860000000001492"/>
    <d v="2028-06-01T00:00:00"/>
  </r>
  <r>
    <x v="62"/>
    <d v="2026-09-01T00:00:00"/>
    <x v="53"/>
    <s v="YANCARLOS SAENZ RAMIREZ"/>
    <m/>
    <s v="SARY890813HCHNMN07"/>
    <n v="24177034"/>
    <n v="6323246051"/>
    <x v="5"/>
    <m/>
    <m/>
    <n v="0"/>
    <n v="0"/>
    <m/>
  </r>
  <r>
    <x v="62"/>
    <d v="2026-09-01T00:00:00"/>
    <x v="54"/>
    <s v="LUIS ALBERTO RAMIREZ LOPEZ"/>
    <n v="8304570648"/>
    <s v="RALL870805HTCMPS00"/>
    <n v="24156672"/>
    <n v="9331642692"/>
    <x v="8"/>
    <m/>
    <m/>
    <n v="0"/>
    <n v="0"/>
    <m/>
  </r>
  <r>
    <x v="62"/>
    <d v="2026-09-01T00:00:00"/>
    <x v="28"/>
    <s v="OLANDO REYES TORRES"/>
    <m/>
    <s v="RETO590815HVZYRL07"/>
    <n v="24170802"/>
    <n v="5219212386788"/>
    <x v="1"/>
    <n v="4817.6900000000005"/>
    <n v="848"/>
    <n v="1445.307"/>
    <n v="-203.28999999999905"/>
    <m/>
  </r>
  <r>
    <x v="62"/>
    <d v="2026-09-01T00:00:00"/>
    <x v="53"/>
    <s v="XOCHITL LIZETTE ORTIZ VAZQUEZ"/>
    <n v="4916677968"/>
    <s v="OIVX730224MJCRZC06"/>
    <n v="24180874"/>
    <n v="3122195059"/>
    <x v="5"/>
    <m/>
    <m/>
    <n v="0"/>
    <n v="0"/>
    <m/>
  </r>
  <r>
    <x v="62"/>
    <d v="2026-09-02T00:00:00"/>
    <x v="53"/>
    <s v="Peña Vázquez Eduardo"/>
    <n v="11947435985"/>
    <m/>
    <n v="24202146"/>
    <n v="5544987803"/>
    <x v="5"/>
    <m/>
    <m/>
    <n v="0"/>
    <n v="0"/>
    <m/>
  </r>
  <r>
    <x v="62"/>
    <d v="2026-09-02T00:00:00"/>
    <x v="6"/>
    <s v="JAIME RAMOS MONTEJO "/>
    <m/>
    <s v="RAMJ620219HTCMNM00"/>
    <n v="24199964"/>
    <n v="5219321258048"/>
    <x v="2"/>
    <n v="9081.52"/>
    <n v="2521.35"/>
    <n v="2724.4560000000001"/>
    <n v="203.10600000000022"/>
    <d v="2026-10-01T00:00:00"/>
  </r>
  <r>
    <x v="62"/>
    <d v="2026-09-02T00:00:00"/>
    <x v="28"/>
    <s v="MARIA ANTONIA REYES MONTALVO"/>
    <s v="6585680682_x000a_"/>
    <s v="REMA690203MVZYNN04"/>
    <n v="24201258"/>
    <n v="5212841079710"/>
    <x v="2"/>
    <n v="5947.08"/>
    <n v="1784.11"/>
    <n v="1784.124"/>
    <n v="-10.009999999999536"/>
    <d v="2027-06-01T00:00:00"/>
  </r>
  <r>
    <x v="62"/>
    <d v="2026-09-03T00:00:00"/>
    <x v="6"/>
    <s v="ROSA MARIA PINEDA GONZALEZ "/>
    <s v="06715257322"/>
    <s v="PIGR480827MDFNNS08"/>
    <n v="24201862"/>
    <n v="5216562000884"/>
    <x v="0"/>
    <n v="41608.58"/>
    <m/>
    <n v="12482.574000000001"/>
    <n v="12482.574000000001"/>
    <m/>
  </r>
  <r>
    <x v="62"/>
    <d v="2026-09-02T00:00:00"/>
    <x v="31"/>
    <s v="NORBERTO OLVERA RUBIO"/>
    <s v="01806407738"/>
    <s v="OERN640502HGTLBR09"/>
    <n v="2"/>
    <n v="5520661727"/>
    <x v="2"/>
    <n v="22336.13"/>
    <n v="6699.49"/>
    <n v="6700.8389999999999"/>
    <n v="1.3490000000001601"/>
    <d v="2027-06-01T00:00:00"/>
  </r>
  <r>
    <x v="62"/>
    <d v="2026-09-02T00:00:00"/>
    <x v="31"/>
    <s v="JOSE LUIS BARROSO MARTINEZ"/>
    <s v="01715128755"/>
    <s v="BAML511005HDFRRS09"/>
    <n v="2"/>
    <s v="33 4248 7603"/>
    <x v="1"/>
    <n v="3855.42"/>
    <m/>
    <n v="1156.626"/>
    <n v="0"/>
    <m/>
  </r>
  <r>
    <x v="62"/>
    <d v="2026-09-02T00:00:00"/>
    <x v="54"/>
    <s v="OSCAR FIDEL VILLANUEVA HERNANDEZ"/>
    <n v="41947417253"/>
    <s v="VIHO740203HTSLRS08"/>
    <n v="24200828"/>
    <n v="8341145738"/>
    <x v="5"/>
    <m/>
    <m/>
    <n v="0"/>
    <n v="0"/>
    <m/>
  </r>
  <r>
    <x v="62"/>
    <d v="2026-09-02T00:00:00"/>
    <x v="6"/>
    <s v="HECTOR IBARGUEN CARMONA "/>
    <m/>
    <s v="IACH540928HZSBRC01"/>
    <n v="24202032"/>
    <n v="5213511017007"/>
    <x v="0"/>
    <n v="32632.39"/>
    <m/>
    <n v="9789.7169999999987"/>
    <n v="9789.7169999999987"/>
    <m/>
  </r>
  <r>
    <x v="62"/>
    <d v="2026-09-01T00:00:00"/>
    <x v="61"/>
    <s v="René Herrera nava"/>
    <s v="1385691364_x000a_"/>
    <s v="HENR721106HMSRVN06"/>
    <n v="24170650"/>
    <n v="5215524084221"/>
    <x v="2"/>
    <n v="6411.47"/>
    <n v="1854"/>
    <n v="1923.441"/>
    <n v="69.441000000000031"/>
    <d v="2027-11-01T00:00:00"/>
  </r>
  <r>
    <x v="63"/>
    <d v="2026-09-03T00:00:00"/>
    <x v="31"/>
    <s v="JOSE EMILIO REYES RODRIGUEZ"/>
    <s v="0-178512264"/>
    <s v="RERE570805HDFYDM06"/>
    <n v="2"/>
    <n v="5582555487"/>
    <x v="4"/>
    <m/>
    <m/>
    <n v="0"/>
    <n v="0"/>
    <m/>
  </r>
  <r>
    <x v="63"/>
    <d v="2026-09-03T00:00:00"/>
    <x v="31"/>
    <s v="JUANA MARTINEZ GONZALEZ"/>
    <s v="0-3695264600"/>
    <s v="MAGJ520827MNLRNN02"/>
    <n v="2"/>
    <n v="8112292269"/>
    <x v="1"/>
    <n v="3900.89"/>
    <n v="848"/>
    <n v="1170.2669999999998"/>
    <n v="-848"/>
    <m/>
  </r>
  <r>
    <x v="63"/>
    <d v="2026-09-03T00:00:00"/>
    <x v="53"/>
    <s v="CARLOS GARCIA LUNA"/>
    <s v="0-2975260023"/>
    <s v="GALC521104HPLRNR01"/>
    <n v="24209568"/>
    <n v="2441095528"/>
    <x v="1"/>
    <n v="3869.36"/>
    <m/>
    <n v="1160.808"/>
    <n v="0"/>
    <m/>
  </r>
  <r>
    <x v="63"/>
    <d v="2026-09-03T00:00:00"/>
    <x v="54"/>
    <s v="ERNESTO GUADALUPE SERNA GARCIA"/>
    <m/>
    <s v="SEGE601107HZSRRR06"/>
    <n v="24209764"/>
    <n v="8184707021"/>
    <x v="6"/>
    <n v="6116.76"/>
    <n v="1696.24"/>
    <n v="1835.028"/>
    <n v="138.78800000000001"/>
    <d v="2026-09-01T00:00:00"/>
  </r>
  <r>
    <x v="63"/>
    <d v="2026-09-03T00:00:00"/>
    <x v="6"/>
    <s v="RANULFO GUZMAN TERESO "/>
    <n v="16886411947"/>
    <s v="GUTR640527HMCZRN08 "/>
    <n v="24215758"/>
    <n v="5217293087206"/>
    <x v="0"/>
    <n v="9081.52"/>
    <n v="1499.56"/>
    <n v="2724.4560000000001"/>
    <n v="1224.8960000000002"/>
    <d v="2027-09-01T00:00:00"/>
  </r>
  <r>
    <x v="63"/>
    <d v="2026-09-02T00:00:00"/>
    <x v="53"/>
    <s v="GILBERTO AGUILAR FLORES"/>
    <s v="2378610244 4"/>
    <m/>
    <n v="29204910"/>
    <n v="6681056978"/>
    <x v="2"/>
    <n v="12585.73"/>
    <n v="3641.11"/>
    <n v="3775.7189999999996"/>
    <n v="134.60899999999947"/>
    <d v="2026-12-01T00:00:00"/>
  </r>
  <r>
    <x v="63"/>
    <d v="2026-09-02T00:00:00"/>
    <x v="13"/>
    <s v="LILIA MIRANDA SALINAS"/>
    <n v="30855900038"/>
    <s v="MISL640719MDFRLL01"/>
    <n v="24204264"/>
    <n v="5218128788208"/>
    <x v="2"/>
    <n v="8784.2900000000009"/>
    <n v="2501.41"/>
    <n v="2635.2870000000003"/>
    <n v="133.87700000000041"/>
    <d v="2027-09-01T00:00:00"/>
  </r>
  <r>
    <x v="63"/>
    <d v="2026-09-03T00:00:00"/>
    <x v="6"/>
    <s v="ADRIANA POBLANO TAMEZ"/>
    <n v="43786087494"/>
    <s v="POTA600207MNLBMD03"/>
    <n v="24207198"/>
    <n v="5218119837244"/>
    <x v="2"/>
    <n v="5617.63"/>
    <n v="1421.43"/>
    <n v="1685.289"/>
    <n v="23.220000000000482"/>
    <d v="2028-07-01T00:00:00"/>
  </r>
  <r>
    <x v="63"/>
    <d v="2026-09-03T00:00:00"/>
    <x v="6"/>
    <s v="ALFREDO MEDINA SILVA"/>
    <m/>
    <s v="MESA610102HVZDLL08"/>
    <n v="24217048"/>
    <n v="5215580401192"/>
    <x v="3"/>
    <n v="43945.88"/>
    <n v="12698.78"/>
    <n v="13183.763999999999"/>
    <n v="484.98399999999856"/>
    <d v="2027-02-01T00:00:00"/>
  </r>
  <r>
    <x v="63"/>
    <d v="2026-09-03T00:00:00"/>
    <x v="31"/>
    <s v="JESUS PALACIO ESTEVEZ"/>
    <n v="92886408373"/>
    <s v="PAEJ640529HDFLSS06"/>
    <n v="2"/>
    <n v="5544794862"/>
    <x v="0"/>
    <n v="9760.32"/>
    <m/>
    <n v="2928.096"/>
    <n v="2928.096"/>
    <m/>
  </r>
  <r>
    <x v="63"/>
    <d v="2026-09-03T00:00:00"/>
    <x v="53"/>
    <s v="FELIPE BAEZ VELAZQUEZ"/>
    <m/>
    <s v="BAVF590205HPLZLL00"/>
    <n v="24215592"/>
    <n v="2211894184"/>
    <x v="2"/>
    <n v="7920.51"/>
    <n v="2291.0700000000002"/>
    <n v="2376.1529999999998"/>
    <n v="85.082999999999629"/>
    <d v="2027-04-01T00:00:00"/>
  </r>
  <r>
    <x v="63"/>
    <d v="2026-09-01T00:00:00"/>
    <x v="53"/>
    <s v="MIGUEL ECLICERIO SOTO ALVAREZ"/>
    <m/>
    <s v="SOAM600404HMNTLG09"/>
    <n v="24157854"/>
    <n v="3511201363"/>
    <x v="5"/>
    <m/>
    <m/>
    <n v="0"/>
    <n v="0"/>
    <m/>
  </r>
  <r>
    <x v="63"/>
    <d v="2026-09-01T00:00:00"/>
    <x v="54"/>
    <s v="BELISARIO SANCRISTOBAL LOPEZ"/>
    <n v="71834900475"/>
    <s v="SALB491216HCSNPL00"/>
    <n v="24162504"/>
    <n v="9641374403"/>
    <x v="1"/>
    <n v="3568.75"/>
    <m/>
    <n v="1070.625"/>
    <n v="0"/>
    <m/>
  </r>
  <r>
    <x v="63"/>
    <d v="2026-09-03T00:00:00"/>
    <x v="31"/>
    <s v="JORGE LUIS ARAUJO GOMEZ"/>
    <n v="41927501514"/>
    <s v="AAGJ750913HSPRMR03"/>
    <n v="2"/>
    <s v="481 113 2890"/>
    <x v="1"/>
    <n v="3491.37"/>
    <n v="848"/>
    <n v="1047.4109999999998"/>
    <n v="-848"/>
    <m/>
  </r>
  <r>
    <x v="63"/>
    <d v="2026-09-01T00:00:00"/>
    <x v="54"/>
    <s v=" JOSE VENTURA DE LA PAZ MACEDO"/>
    <m/>
    <s v="PAMV620714HMNZCN02"/>
    <n v="24156074"/>
    <n v="4439378925"/>
    <x v="0"/>
    <n v="7116.73"/>
    <m/>
    <n v="2135.0189999999998"/>
    <n v="2135.0189999999998"/>
    <m/>
  </r>
  <r>
    <x v="63"/>
    <d v="2026-09-02T00:00:00"/>
    <x v="61"/>
    <s v="CRUZ JANETH ZAZUETA DORADO"/>
    <s v="23917426001"/>
    <s v="ZADC820215MCLZRR08"/>
    <n v="24203890"/>
    <n v="5216673474464"/>
    <x v="2"/>
    <n v="8784.68"/>
    <n v="2540.59"/>
    <n v="2635.404"/>
    <n v="94.813999999999851"/>
    <d v="2028-02-01T00:00:00"/>
  </r>
  <r>
    <x v="63"/>
    <d v="2026-09-02T00:00:00"/>
    <x v="59"/>
    <s v="SANTIAGO ESQUIVEL MORENO"/>
    <m/>
    <s v="EUMS620725HMCSRN04"/>
    <n v="24194094"/>
    <n v="5217293488555"/>
    <x v="0"/>
    <n v="7144.18"/>
    <m/>
    <n v="2143.2539999999999"/>
    <n v="2143.2539999999999"/>
    <m/>
  </r>
  <r>
    <x v="63"/>
    <d v="2026-09-01T00:00:00"/>
    <x v="53"/>
    <s v="JOSE FERNANDO MURILLO VALDEZ"/>
    <m/>
    <s v="MUVF650427HSLRLR01"/>
    <n v="24156734"/>
    <n v="4495466909"/>
    <x v="0"/>
    <n v="10636.54"/>
    <m/>
    <n v="3190.962"/>
    <n v="3190.962"/>
    <m/>
  </r>
  <r>
    <x v="63"/>
    <d v="2026-09-03T00:00:00"/>
    <x v="6"/>
    <s v="ROBERTO GONZALEZ LARIOS "/>
    <n v="54694911593"/>
    <s v="GOLR490818HJCNRB07"/>
    <n v="24217636"/>
    <n v="5213330346222"/>
    <x v="1"/>
    <n v="3855.42"/>
    <m/>
    <n v="1156.626"/>
    <n v="0"/>
    <m/>
  </r>
  <r>
    <x v="63"/>
    <d v="2026-08-13T00:00:00"/>
    <x v="28"/>
    <s v="ARTURO MEZA"/>
    <s v="12856506352_x000a_"/>
    <s v="MEXA650101HGTZXR05"/>
    <n v="23617548"/>
    <n v="5214774091654"/>
    <x v="0"/>
    <n v="10171.24"/>
    <m/>
    <n v="3051.3719999999998"/>
    <n v="3051.3719999999998"/>
    <m/>
  </r>
  <r>
    <x v="63"/>
    <d v="2026-09-03T00:00:00"/>
    <x v="54"/>
    <s v="MICAELA ESTELA GARCIA MORALES"/>
    <n v="17806022384"/>
    <s v="GAMM600929MDFRRC01"/>
    <n v="24219558"/>
    <n v="5519533249"/>
    <x v="1"/>
    <n v="1327"/>
    <m/>
    <n v="398.09999999999997"/>
    <n v="0"/>
    <m/>
  </r>
  <r>
    <x v="63"/>
    <d v="2026-09-03T00:00:00"/>
    <x v="13"/>
    <s v="FELICIANA SALAZAR SANCHEZ"/>
    <n v="49856411845"/>
    <s v="SASF640225MSPLNL01"/>
    <n v="24216452"/>
    <n v="5218681617679"/>
    <x v="2"/>
    <n v="9760.32"/>
    <n v="2817.36"/>
    <n v="2928.096"/>
    <n v="110.73599999999988"/>
    <d v="2027-11-01T00:00:00"/>
  </r>
  <r>
    <x v="63"/>
    <d v="2026-09-03T00:00:00"/>
    <x v="59"/>
    <s v="JOSE GUADALUPE AVILA OLVERA"/>
    <m/>
    <s v="AIOG611212HMSVLD08"/>
    <n v="24207466"/>
    <n v="5217773012399"/>
    <x v="0"/>
    <n v="7640.52"/>
    <n v="848"/>
    <n v="2292.1559999999999"/>
    <n v="1444.1559999999999"/>
    <m/>
  </r>
  <r>
    <x v="63"/>
    <d v="2026-09-03T00:00:00"/>
    <x v="54"/>
    <s v="LUCIA FIDELIA RUELAS SOLIS"/>
    <n v="23723702587"/>
    <s v="RUSL791213MSLLLC04"/>
    <n v="24220560"/>
    <n v="6674115975"/>
    <x v="1"/>
    <n v="3632.17"/>
    <m/>
    <n v="1089.6510000000001"/>
    <n v="0"/>
    <m/>
  </r>
  <r>
    <x v="63"/>
    <d v="2026-09-02T00:00:00"/>
    <x v="54"/>
    <s v="ERNESTINA ZAMORA VEGA"/>
    <m/>
    <s v="ZAVE660606MSLMGR05"/>
    <n v="24204480"/>
    <n v="6672088433"/>
    <x v="0"/>
    <n v="10636.54"/>
    <m/>
    <n v="3190.962"/>
    <n v="3190.962"/>
    <m/>
  </r>
  <r>
    <x v="63"/>
    <d v="2026-09-03T00:00:00"/>
    <x v="16"/>
    <m/>
    <s v="09907208483"/>
    <m/>
    <n v="1"/>
    <m/>
    <x v="2"/>
    <n v="13496"/>
    <n v="4048"/>
    <n v="4048.7999999999997"/>
    <n v="0.79999999999972715"/>
    <d v="2028-06-01T00:00:00"/>
  </r>
  <r>
    <x v="63"/>
    <d v="2026-09-02T00:00:00"/>
    <x v="53"/>
    <s v="JOSE DE JESUS PEREZ GUTIERREZ"/>
    <m/>
    <s v="PEGJ640723HGTRTS08"/>
    <n v="24206450"/>
    <n v="4771327985"/>
    <x v="0"/>
    <n v="37113.620000000003"/>
    <n v="6190.84"/>
    <n v="11134.086000000001"/>
    <n v="4943.246000000001"/>
    <d v="2028-07-01T00:00:00"/>
  </r>
  <r>
    <x v="63"/>
    <d v="2026-09-03T00:00:00"/>
    <x v="53"/>
    <s v="LORENZO TORRES DELGADO"/>
    <m/>
    <s v="TODL591110HGTRLR06"/>
    <n v="24222812"/>
    <n v="4771064528"/>
    <x v="5"/>
    <m/>
    <m/>
    <n v="0"/>
    <n v="0"/>
    <m/>
  </r>
  <r>
    <x v="63"/>
    <d v="2026-09-03T00:00:00"/>
    <x v="31"/>
    <s v="MACARIA BALDERAS LOPEZ"/>
    <n v="44956509894"/>
    <s v="BALM650118MTSLPC09"/>
    <n v="2"/>
    <n v="8995470249"/>
    <x v="2"/>
    <n v="9760.32"/>
    <n v="2823.89"/>
    <n v="2928.096"/>
    <n v="104.20600000000013"/>
    <d v="2027-11-01T00:00:00"/>
  </r>
  <r>
    <x v="63"/>
    <d v="2026-09-03T00:00:00"/>
    <x v="61"/>
    <s v="Ramona Martinez Carrillo"/>
    <s v="32866909057"/>
    <s v="MACR710420MTSRRM09"/>
    <n v="24223072"/>
    <n v="5218711277976"/>
    <x v="4"/>
    <m/>
    <m/>
    <n v="0"/>
    <n v="0"/>
    <m/>
  </r>
  <r>
    <x v="63"/>
    <d v="2026-09-02T00:00:00"/>
    <x v="61"/>
    <s v="Enrique Ruiz Abarca"/>
    <s v="78796110779_x000a_"/>
    <s v="RUAE630715HCSZBN07"/>
    <n v="24207116"/>
    <n v="5219626990257"/>
    <x v="0"/>
    <n v="11556.65"/>
    <m/>
    <n v="3466.9949999999999"/>
    <n v="3466.9949999999999"/>
    <m/>
  </r>
  <r>
    <x v="63"/>
    <d v="2026-09-03T00:00:00"/>
    <x v="31"/>
    <s v="ADRIAN LOPEZ PEREZ"/>
    <n v="64816201327"/>
    <s v="LOPA630707HDFPRD00"/>
    <n v="2"/>
    <n v="5569751284"/>
    <x v="2"/>
    <n v="9760.32"/>
    <n v="2822.99"/>
    <n v="2928.096"/>
    <n v="105.10600000000022"/>
    <d v="2027-09-01T00:00:00"/>
  </r>
  <r>
    <x v="63"/>
    <d v="2026-09-03T00:00:00"/>
    <x v="31"/>
    <s v="FAUSTINO SAUCEDO MEDINA"/>
    <n v="4375574912"/>
    <s v="SAMF570101HZSCDS17"/>
    <n v="2"/>
    <n v="8110603213"/>
    <x v="2"/>
    <n v="4813.6899999999996"/>
    <n v="587.71"/>
    <n v="1444.1069999999997"/>
    <n v="53"/>
    <d v="2026-10-01T00:00:00"/>
  </r>
  <r>
    <x v="63"/>
    <d v="2026-09-03T00:00:00"/>
    <x v="53"/>
    <s v="MARIA MINERVA ROJAS ZUÑIGA"/>
    <s v="41927417141"/>
    <m/>
    <n v="24224292"/>
    <n v="4447029317"/>
    <x v="2"/>
    <n v="6405.06"/>
    <n v="1844.57"/>
    <n v="1921.518"/>
    <n v="76.948000000000093"/>
    <d v="2027-11-01T00:00:00"/>
  </r>
  <r>
    <x v="63"/>
    <d v="2026-09-03T00:00:00"/>
    <x v="31"/>
    <s v="FLORENTINO MARTINEZ CID"/>
    <n v="34836104496"/>
    <s v="MACF611027HZSRDL08"/>
    <n v="2"/>
    <n v="4931253796"/>
    <x v="2"/>
    <n v="7116.73"/>
    <n v="2055.12"/>
    <n v="2135.0189999999998"/>
    <n v="79.898999999999887"/>
    <d v="2027-07-01T00:00:00"/>
  </r>
  <r>
    <x v="63"/>
    <d v="2026-09-03T00:00:00"/>
    <x v="6"/>
    <s v="JESUS GUERRERO MORALES "/>
    <n v="72675111222"/>
    <s v="GUMJ520301HGRRRS05"/>
    <n v="24203946"/>
    <n v="5217441794727"/>
    <x v="0"/>
    <n v="20631.71"/>
    <m/>
    <n v="6189.5129999999999"/>
    <n v="6189.5129999999999"/>
    <m/>
  </r>
  <r>
    <x v="63"/>
    <d v="2026-09-03T00:00:00"/>
    <x v="6"/>
    <s v="ISAI VALDEZ MADRID "/>
    <n v="71745003146"/>
    <s v="VAMI500915HCSLDS00"/>
    <n v="24205176"/>
    <n v="5219621098352"/>
    <x v="1"/>
    <n v="3882.85"/>
    <m/>
    <n v="1164.855"/>
    <n v="0"/>
    <m/>
  </r>
  <r>
    <x v="63"/>
    <d v="2026-09-03T00:00:00"/>
    <x v="53"/>
    <s v="ALFREDO ARROYO ESTRELLA"/>
    <m/>
    <s v="AOEA740621HGTRSL09"/>
    <n v="24227018"/>
    <n v="4611268683"/>
    <x v="0"/>
    <n v="10611.5"/>
    <m/>
    <n v="3183.45"/>
    <n v="3183.45"/>
    <m/>
  </r>
  <r>
    <x v="63"/>
    <d v="2026-09-03T00:00:00"/>
    <x v="54"/>
    <s v="GUILLERMO RAMOS LIMON"/>
    <m/>
    <s v="RALG520625HVZMML06"/>
    <n v="24216990"/>
    <n v="2722625235"/>
    <x v="2"/>
    <n v="5204.43"/>
    <n v="992.14"/>
    <n v="1561.329"/>
    <n v="39.310000000000741"/>
    <d v="2027-06-01T00:00:00"/>
  </r>
  <r>
    <x v="63"/>
    <d v="2026-09-03T00:00:00"/>
    <x v="13"/>
    <s v="JOSE LUIS LOPEZ CANALES"/>
    <s v="0185651973"/>
    <s v="LOCL650412HPLPNS06"/>
    <n v="24223352"/>
    <n v="215513966942"/>
    <x v="2"/>
    <n v="9760.32"/>
    <n v="2823.85"/>
    <n v="2928.096"/>
    <n v="104.24600000000009"/>
    <d v="2027-10-01T00:00:00"/>
  </r>
  <r>
    <x v="63"/>
    <d v="2026-09-03T00:00:00"/>
    <x v="59"/>
    <s v="MARIA ESTHER DIAZ YAÑEZ"/>
    <n v="65965911590"/>
    <s v="DIYE591109MVZZXS00"/>
    <n v="24227606"/>
    <n v="5217821183727"/>
    <x v="3"/>
    <n v="4813.6899999999996"/>
    <m/>
    <n v="1444.1069999999997"/>
    <n v="640.71"/>
    <m/>
  </r>
  <r>
    <x v="63"/>
    <d v="2026-09-03T00:00:00"/>
    <x v="6"/>
    <s v="ROMUALDO CHACON PERALES"/>
    <m/>
    <s v="CAPR600207HNLHRM03"/>
    <n v="24226576"/>
    <n v="5218113875060"/>
    <x v="6"/>
    <n v="27772.47"/>
    <n v="8032.26"/>
    <n v="8331.741"/>
    <n v="299.48099999999977"/>
    <d v="2026-09-01T00:00:00"/>
  </r>
  <r>
    <x v="63"/>
    <d v="2026-09-02T00:00:00"/>
    <x v="53"/>
    <s v="ABELARDO VALDIVIA SANDOVAL "/>
    <m/>
    <s v="VASA630107HNLLNB00"/>
    <n v="24200218"/>
    <n v="8180918862"/>
    <x v="3"/>
    <n v="41653.39"/>
    <n v="11584.38"/>
    <n v="12496.017"/>
    <n v="911.63700000000063"/>
    <d v="2027-01-01T00:00:00"/>
  </r>
  <r>
    <x v="63"/>
    <d v="2026-09-01T00:00:00"/>
    <x v="53"/>
    <s v="VICENTE BELTRAN SERRANO"/>
    <m/>
    <s v="BESV631202HDFLRC05"/>
    <n v="24158100"/>
    <n v="5518459927"/>
    <x v="0"/>
    <n v="15349.3"/>
    <m/>
    <n v="4604.79"/>
    <n v="4604.79"/>
    <m/>
  </r>
  <r>
    <x v="63"/>
    <d v="2026-09-03T00:00:00"/>
    <x v="28"/>
    <s v="VICTOR MARTIN VELEZ HERNANDEZ"/>
    <m/>
    <s v="VEHV641229HDFLRC03"/>
    <n v="24220810"/>
    <n v="5212292683184"/>
    <x v="3"/>
    <n v="4655.9799999999996"/>
    <m/>
    <n v="1396.7939999999999"/>
    <n v="483"/>
    <m/>
  </r>
  <r>
    <x v="63"/>
    <d v="2026-09-03T00:00:00"/>
    <x v="13"/>
    <s v="MARIA ESTHER GARCIA ZAMUDIO"/>
    <m/>
    <s v="GAZE480228MVZRMS01"/>
    <n v="24220776"/>
    <n v="5218112604700"/>
    <x v="1"/>
    <n v="4335.13"/>
    <n v="848"/>
    <n v="1300.539"/>
    <n v="-685.84999999999945"/>
    <m/>
  </r>
  <r>
    <x v="63"/>
    <d v="2026-09-03T00:00:00"/>
    <x v="53"/>
    <s v="JESUS CALDERON RODRIGUEZ"/>
    <m/>
    <s v="CARJ550903HNLLDS03"/>
    <n v="24216146"/>
    <n v="8135566297"/>
    <x v="2"/>
    <n v="10636.54"/>
    <n v="3190"/>
    <n v="3190.962"/>
    <n v="0.96199999999998909"/>
    <d v="2026-08-01T00:00:00"/>
  </r>
  <r>
    <x v="63"/>
    <d v="2026-09-03T00:00:00"/>
    <x v="31"/>
    <s v="EDUARDO ACEVEDO PORTILLA"/>
    <n v="67806237359"/>
    <s v="AEPE620318HVZCRD04"/>
    <n v="2"/>
    <s v="81 3418 4962"/>
    <x v="6"/>
    <n v="7116.73"/>
    <n v="2135.02"/>
    <n v="2135.0189999999998"/>
    <n v="-1.0000000002037268E-3"/>
    <d v="2026-09-01T00:00:00"/>
  </r>
  <r>
    <x v="63"/>
    <d v="2026-09-03T00:00:00"/>
    <x v="28"/>
    <s v="CARLOS SANCHEZ FERRO"/>
    <s v="49866869446_x000a_"/>
    <s v="SAFC680313HTSNRR09"/>
    <n v="24228128"/>
    <n v="5218991198526"/>
    <x v="0"/>
    <n v="14761.91"/>
    <m/>
    <n v="4428.5729999999994"/>
    <n v="4428.5729999999994"/>
    <m/>
  </r>
  <r>
    <x v="63"/>
    <d v="2026-09-03T00:00:00"/>
    <x v="59"/>
    <s v="DELFINA CORDOVA QUINTANA "/>
    <s v="01744211119"/>
    <s v="COQD521119MGRRNL01"/>
    <n v="24228252"/>
    <n v="5215521815425"/>
    <x v="2"/>
    <n v="7913.78"/>
    <n v="2289.64"/>
    <n v="2374.134"/>
    <n v="84.494000000000142"/>
    <d v="2027-12-01T00:00:00"/>
  </r>
  <r>
    <x v="63"/>
    <d v="2026-09-03T00:00:00"/>
    <x v="59"/>
    <s v="SERGIO ROJAS CASTAÑEDA"/>
    <m/>
    <s v="ROCS610915HGRJSR02"/>
    <n v="24227570"/>
    <n v="5217531714304"/>
    <x v="0"/>
    <n v="10636.54"/>
    <m/>
    <n v="3190.962"/>
    <n v="3190.962"/>
    <m/>
  </r>
  <r>
    <x v="64"/>
    <d v="2026-09-03T00:00:00"/>
    <x v="6"/>
    <s v="LORENA ZUÑIGA JERONIMO "/>
    <n v="49816437963"/>
    <s v="ZUJL680401MTSXRR17"/>
    <n v="24223350"/>
    <n v="5218342451655"/>
    <x v="7"/>
    <n v="8867.99"/>
    <n v="2565.4299999999998"/>
    <n v="2660.3969999999999"/>
    <n v="94.967000000000098"/>
    <d v="2026-04-01T00:00:00"/>
  </r>
  <r>
    <x v="64"/>
    <d v="2026-09-04T00:00:00"/>
    <x v="31"/>
    <s v="ROGELIO ZUÑIGA MARTINEZ"/>
    <n v="75806123339"/>
    <s v="ZUMR611211HHGXRG02"/>
    <n v="2"/>
    <n v="7411033644"/>
    <x v="2"/>
    <n v="6262.86"/>
    <n v="1826.64"/>
    <n v="1878.8579999999997"/>
    <n v="52.21799999999962"/>
    <d v="2028-03-01T00:00:00"/>
  </r>
  <r>
    <x v="64"/>
    <d v="2026-09-04T00:00:00"/>
    <x v="31"/>
    <s v="JOSE JUAN MIRANDA HERNANDEZ"/>
    <n v="43906121454"/>
    <s v="MIHJ610227HNLRRN05"/>
    <n v="2"/>
    <n v="8135539837"/>
    <x v="2"/>
    <n v="6459.7"/>
    <n v="1937.1"/>
    <n v="1937.9099999999999"/>
    <n v="0.80999999999994543"/>
    <d v="2027-04-01T00:00:00"/>
  </r>
  <r>
    <x v="64"/>
    <d v="2026-09-03T00:00:00"/>
    <x v="28"/>
    <s v="VICENTE ROMAN PALOMO"/>
    <s v="43795726058_x000a_"/>
    <s v="ROPV570719HNLMLC03"/>
    <n v="24230346"/>
    <n v="5218140070510"/>
    <x v="6"/>
    <n v="9081.52"/>
    <n v="2521.35"/>
    <n v="2724.4560000000001"/>
    <n v="203.10600000000022"/>
    <d v="2026-07-01T00:00:00"/>
  </r>
  <r>
    <x v="64"/>
    <d v="2026-09-03T00:00:00"/>
    <x v="28"/>
    <s v="MA. ANGELICA TREVIÑO LEGASPI"/>
    <s v="43745110411_x000a_"/>
    <s v="TELA680615MNLRGN01"/>
    <n v="24232388"/>
    <n v="5218125773751"/>
    <x v="2"/>
    <n v="26786.22"/>
    <n v="8033.24"/>
    <n v="8035.866"/>
    <n v="2.6260000000002037"/>
    <d v="2027-09-01T00:00:00"/>
  </r>
  <r>
    <x v="64"/>
    <d v="2026-07-27T00:00:00"/>
    <x v="28"/>
    <s v="JOSE JESUS DAMIAN"/>
    <m/>
    <s v="DAXJ540506HGTMXS05"/>
    <n v="23125936"/>
    <n v="5214561276585"/>
    <x v="0"/>
    <n v="7920.51"/>
    <m/>
    <n v="2376.1529999999998"/>
    <n v="2376.1529999999998"/>
    <m/>
  </r>
  <r>
    <x v="64"/>
    <d v="2026-09-02T00:00:00"/>
    <x v="53"/>
    <s v="LETICIA GABRIELA CHAVEZ GUTIERREZ"/>
    <n v="62886431477"/>
    <s v="CAGL700909MDFHTT03"/>
    <n v="24214946"/>
    <n v="2214102702"/>
    <x v="3"/>
    <n v="5055.87"/>
    <m/>
    <n v="1516.761"/>
    <n v="882.89000000000033"/>
    <m/>
  </r>
  <r>
    <x v="64"/>
    <d v="2026-09-03T00:00:00"/>
    <x v="61"/>
    <s v=" Eleuterio Saldaña Rochel"/>
    <m/>
    <s v="SARE780220HCLLCL04"/>
    <n v="24230414"/>
    <n v="5218711000057"/>
    <x v="2"/>
    <n v="5642.22"/>
    <n v="1399.12"/>
    <n v="1692.6659999999999"/>
    <n v="70.1200000000008"/>
    <d v="2027-08-01T00:00:00"/>
  </r>
  <r>
    <x v="64"/>
    <d v="2026-09-04T00:00:00"/>
    <x v="34"/>
    <s v="EDUARDO CANALES BUSTAMANTE"/>
    <s v="43786169219"/>
    <s v="CABE610206HNLNSD02"/>
    <n v="2"/>
    <n v="8117996514"/>
    <x v="2"/>
    <n v="9087.66"/>
    <n v="2605.84"/>
    <n v="2726.2979999999998"/>
    <n v="120.45799999999963"/>
    <d v="2027-01-01T00:00:00"/>
  </r>
  <r>
    <x v="64"/>
    <d v="2026-09-04T00:00:00"/>
    <x v="28"/>
    <s v="GUILLERMO LOPEZ DEL RIVERO"/>
    <s v="04796200832_x000a_"/>
    <s v="LORG620828HVZPVL02"/>
    <n v="24244078"/>
    <n v="5213141986768"/>
    <x v="2"/>
    <n v="7920.51"/>
    <n v="2376"/>
    <n v="2376.1529999999998"/>
    <n v="0.15299999999979264"/>
    <d v="2028-08-01T00:00:00"/>
  </r>
  <r>
    <x v="64"/>
    <d v="2026-09-04T00:00:00"/>
    <x v="59"/>
    <s v="FLAVIO VILLARREAL CEPEDA"/>
    <m/>
    <s v="VICF531117HNLLPL01"/>
    <n v="24244176"/>
    <n v="5218123546867"/>
    <x v="0"/>
    <n v="53488.78"/>
    <n v="9330.6299999999992"/>
    <n v="16046.633999999998"/>
    <n v="6716.003999999999"/>
    <d v="2026-09-01T00:00:00"/>
  </r>
  <r>
    <x v="64"/>
    <d v="2026-09-04T00:00:00"/>
    <x v="31"/>
    <s v="ROSENDO CRUZ ANGELINA"/>
    <n v="92936310165"/>
    <s v="CUAR630301HVZRNS07"/>
    <n v="2"/>
    <n v="5511957899"/>
    <x v="2"/>
    <n v="7920.51"/>
    <n v="2376.14"/>
    <n v="2376.1529999999998"/>
    <n v="1.2999999999919964E-2"/>
    <d v="2026-10-01T00:00:00"/>
  </r>
  <r>
    <x v="64"/>
    <d v="2026-09-04T00:00:00"/>
    <x v="61"/>
    <s v="Pablo Manuel Pérez Aguilar"/>
    <s v="6755834311_x000a_"/>
    <s v="PEAP580605HDFRGB05"/>
    <n v="24241580"/>
    <n v="5215543611667"/>
    <x v="2"/>
    <n v="34774.03"/>
    <n v="10431.36"/>
    <n v="10432.208999999999"/>
    <n v="0.84899999999834108"/>
    <d v="2027-01-01T00:00:00"/>
  </r>
  <r>
    <x v="64"/>
    <d v="2026-09-04T00:00:00"/>
    <x v="28"/>
    <s v="MARCO ANTONIO FLORES NIEBLAS"/>
    <s v="54786102423_x000a_"/>
    <s v="FONM610716HJCLBR05"/>
    <n v="24244458"/>
    <n v="5217711597802"/>
    <x v="0"/>
    <n v="9081.52"/>
    <m/>
    <n v="2724.4560000000001"/>
    <n v="2724.4560000000001"/>
    <m/>
  </r>
  <r>
    <x v="64"/>
    <d v="2026-09-02T00:00:00"/>
    <x v="53"/>
    <s v="CONSTANTINO JOAQUIN SEVERIANO"/>
    <m/>
    <s v="JOSC591231HOCQVN04"/>
    <n v="24206152"/>
    <n v="6562784920"/>
    <x v="9"/>
    <n v="7130.14"/>
    <n v="1889.44"/>
    <n v="2139.0419999999999"/>
    <n v="249.60199999999986"/>
    <d v="2025-04-01T00:00:00"/>
  </r>
  <r>
    <x v="64"/>
    <d v="2026-09-03T00:00:00"/>
    <x v="59"/>
    <s v="JESUS ROLANDO RAMIREZ PINEDO"/>
    <n v="11795816559"/>
    <s v="RAPJ581121HZSMNS08"/>
    <n v="24229608"/>
    <n v="5214441242126"/>
    <x v="2"/>
    <n v="26377.57"/>
    <n v="7630.47"/>
    <n v="7913.2709999999997"/>
    <n v="282.80099999999948"/>
    <d v="2027-03-01T00:00:00"/>
  </r>
  <r>
    <x v="64"/>
    <d v="2026-09-04T00:00:00"/>
    <x v="61"/>
    <s v="Alberto Villalobos García"/>
    <m/>
    <s v="VIGA610209HZSLRL00"/>
    <n v="24243322"/>
    <n v="5214921605973"/>
    <x v="0"/>
    <n v="9760.32"/>
    <n v="848"/>
    <n v="2928.096"/>
    <n v="2080.096"/>
    <m/>
  </r>
  <r>
    <x v="64"/>
    <d v="2026-09-04T00:00:00"/>
    <x v="6"/>
    <s v="ERNESTINA DEL CARMEN PIÑA ORTEGA"/>
    <n v="84856207273"/>
    <s v="PIOE661128MYNXRR04"/>
    <n v="24245006"/>
    <n v="5219992633274"/>
    <x v="3"/>
    <n v="6597.97"/>
    <n v="879"/>
    <n v="1979.3910000000001"/>
    <n v="1100.3910000000001"/>
    <m/>
  </r>
  <r>
    <x v="64"/>
    <d v="2026-09-04T00:00:00"/>
    <x v="31"/>
    <s v="JOSE LUIS BARROSO MARTINEZ"/>
    <s v="01715128755"/>
    <s v="BAML511005HDFRRS09"/>
    <n v="2"/>
    <n v="3342487603"/>
    <x v="1"/>
    <n v="3855.42"/>
    <m/>
    <n v="1156.626"/>
    <n v="0"/>
    <m/>
  </r>
  <r>
    <x v="64"/>
    <d v="2026-09-03T00:00:00"/>
    <x v="54"/>
    <s v="JOSE CRUZ ALEJANDRO SANCHEZ DELGADO"/>
    <n v="61816400958"/>
    <s v="SADC640503HTLNLR07"/>
    <n v="24226786"/>
    <n v="2462621079"/>
    <x v="6"/>
    <n v="15296.62"/>
    <n v="4233.8500000000004"/>
    <n v="4588.9859999999999"/>
    <n v="355.13599999999951"/>
    <d v="2026-09-01T00:00:00"/>
  </r>
  <r>
    <x v="64"/>
    <d v="2026-09-02T00:00:00"/>
    <x v="54"/>
    <s v="SALVADORA CRUZ VALDEZ"/>
    <n v="54764003239"/>
    <s v="CUVS631109MJCRLL05"/>
    <n v="24188530"/>
    <n v="3221711370"/>
    <x v="1"/>
    <n v="3632.17"/>
    <n v="848"/>
    <n v="1089.6510000000001"/>
    <n v="-848"/>
    <m/>
  </r>
  <r>
    <x v="64"/>
    <d v="2026-09-03T00:00:00"/>
    <x v="53"/>
    <s v="RODOLFO MENDOZA KANAGUSICO"/>
    <n v="32906734580"/>
    <s v="MEKR670926HCLNND06"/>
    <n v="24245182"/>
    <n v="8663302952"/>
    <x v="1"/>
    <n v="2140.6799999999998"/>
    <m/>
    <n v="642.20399999999995"/>
    <n v="0"/>
    <m/>
  </r>
  <r>
    <x v="64"/>
    <d v="2026-09-01T00:00:00"/>
    <x v="61"/>
    <s v="Alejandra Teran Mendoza"/>
    <m/>
    <s v="TEMA691008MDFRNL03"/>
    <n v="24174338"/>
    <n v="5215532109007"/>
    <x v="5"/>
    <m/>
    <m/>
    <n v="0"/>
    <n v="0"/>
    <m/>
  </r>
  <r>
    <x v="64"/>
    <d v="2026-09-04T00:00:00"/>
    <x v="59"/>
    <s v="RAUL VELAZQUEZ SEGURA"/>
    <s v="04856542180"/>
    <s v="VESR650319HJCLGL06"/>
    <n v="24246344"/>
    <n v="5213348123651"/>
    <x v="1"/>
    <n v="4465.47"/>
    <m/>
    <n v="1339.6410000000001"/>
    <n v="292.49000000000069"/>
    <m/>
  </r>
  <r>
    <x v="64"/>
    <d v="2026-09-01T00:00:00"/>
    <x v="28"/>
    <s v="MARIA DE LOURDES LOPEZ CARRASCO"/>
    <s v="05523501954_x000a_"/>
    <s v=" LOCL461220MPLPRR02"/>
    <n v="24176964"/>
    <n v="5215568856619"/>
    <x v="7"/>
    <n v="19894.73"/>
    <n v="5587.79"/>
    <n v="5968.4189999999999"/>
    <n v="380.62899999999991"/>
    <d v="2025-02-01T00:00:00"/>
  </r>
  <r>
    <x v="64"/>
    <d v="2026-09-03T00:00:00"/>
    <x v="13"/>
    <s v="ANGEL PABLO GARFIO OGAZ"/>
    <n v="33826608698"/>
    <s v="GAOA660601HCHRGN00"/>
    <n v="24225990"/>
    <n v="5216141724550"/>
    <x v="0"/>
    <n v="10636.54"/>
    <m/>
    <n v="3190.962"/>
    <n v="3190.962"/>
    <m/>
  </r>
  <r>
    <x v="64"/>
    <d v="2026-09-04T00:00:00"/>
    <x v="28"/>
    <s v="INES MENDEZ NUÑEZ"/>
    <s v="72926404905"/>
    <s v="MENI640221HGRNXN05"/>
    <n v="24245812"/>
    <n v="5213412624054"/>
    <x v="2"/>
    <n v="9081.52"/>
    <n v="2724.13"/>
    <n v="2724.4560000000001"/>
    <n v="0.32600000000002183"/>
    <d v="2028-07-01T00:00:00"/>
  </r>
  <r>
    <x v="64"/>
    <d v="2026-09-03T00:00:00"/>
    <x v="6"/>
    <s v="MARIA ISABEL FONSECA ALVAREZ "/>
    <n v="14816507348"/>
    <s v="FOAI650516MJCNLS00"/>
    <n v="24228012"/>
    <n v="5214424473350"/>
    <x v="2"/>
    <n v="9760.32"/>
    <n v="2809.95"/>
    <n v="2928.096"/>
    <n v="118.14600000000019"/>
    <d v="2027-11-01T00:00:00"/>
  </r>
  <r>
    <x v="64"/>
    <d v="2026-09-04T00:00:00"/>
    <x v="13"/>
    <s v="CARLOS GUERRA GUERRA"/>
    <s v="01675097677"/>
    <s v="GUGC500307HDFRRR00"/>
    <n v="24244374"/>
    <n v="5214443030485"/>
    <x v="3"/>
    <n v="35760.720000000001"/>
    <n v="9897.2900000000009"/>
    <n v="10728.216"/>
    <n v="830.92599999999948"/>
    <d v="2027-01-01T00:00:00"/>
  </r>
  <r>
    <x v="64"/>
    <d v="2026-09-04T00:00:00"/>
    <x v="28"/>
    <s v="JOSE ALFONSO BURGOS ROJAS"/>
    <s v="62816406649"/>
    <s v="BURA640415HPLRJL09"/>
    <n v="24249284"/>
    <n v="5212223303622"/>
    <x v="9"/>
    <n v="48861.279999999999"/>
    <n v="14648.88"/>
    <n v="14658.384"/>
    <n v="9.5040000000008149"/>
    <d v="2026-09-01T00:00:00"/>
  </r>
  <r>
    <x v="64"/>
    <d v="2026-09-04T00:00:00"/>
    <x v="6"/>
    <s v="ROBERTO LUCARIO ALVAREZ "/>
    <m/>
    <s v="LUAR630512HHGCLB01"/>
    <n v="24249576"/>
    <n v="5214434847427"/>
    <x v="0"/>
    <n v="15040.24"/>
    <m/>
    <n v="4512.0720000000001"/>
    <n v="4512.0720000000001"/>
    <m/>
  </r>
  <r>
    <x v="64"/>
    <d v="2026-09-03T00:00:00"/>
    <x v="53"/>
    <s v="GERADO ORTIZ TORRES"/>
    <m/>
    <s v="OITG601113HZSRRR02"/>
    <n v="24250350"/>
    <n v="4961422856"/>
    <x v="2"/>
    <n v="9871.9500000000007"/>
    <n v="2856"/>
    <n v="2961.585"/>
    <n v="105.58500000000004"/>
    <d v="2027-08-01T00:00:00"/>
  </r>
  <r>
    <x v="64"/>
    <d v="2026-07-23T00:00:00"/>
    <x v="28"/>
    <s v="ALONSO SOLARES MEDINA"/>
    <s v="16785911088"/>
    <s v="SOMA590416HDFLDL09"/>
    <n v="23025172"/>
    <n v="5217291270011"/>
    <x v="2"/>
    <n v="5617.63"/>
    <n v="1421.31"/>
    <n v="1685.289"/>
    <n v="23.3400000000006"/>
    <d v="2028-05-01T00:00:00"/>
  </r>
  <r>
    <x v="64"/>
    <d v="2026-09-04T00:00:00"/>
    <x v="59"/>
    <s v="JOSE ALEJANDRO ALVAREZ CASTAÑEDA"/>
    <m/>
    <s v="AACA660120HDFLSL04"/>
    <n v="24234396"/>
    <n v="5215536432694"/>
    <x v="0"/>
    <n v="10636.54"/>
    <m/>
    <n v="3190.962"/>
    <n v="3190.962"/>
    <m/>
  </r>
  <r>
    <x v="64"/>
    <d v="2026-09-02T00:00:00"/>
    <x v="61"/>
    <s v="Juana Ma Mendoza Faz"/>
    <s v="4380630940"/>
    <s v="MEFJ630727MSPNZN05"/>
    <n v="24205614"/>
    <n v="5218123901987"/>
    <x v="2"/>
    <n v="9081.52"/>
    <n v="2717.41"/>
    <n v="2724.4560000000001"/>
    <n v="7.0460000000002765"/>
    <d v="2028-07-01T00:00:00"/>
  </r>
  <r>
    <x v="64"/>
    <d v="2026-09-04T00:00:00"/>
    <x v="59"/>
    <s v="CARMEN HERNANDEZ BLANCARTE"/>
    <m/>
    <s v="HEBC650716MSRRLR05"/>
    <n v="24244968"/>
    <n v="5216444611461"/>
    <x v="0"/>
    <n v="10636.54"/>
    <n v="1838.87"/>
    <n v="3190.962"/>
    <n v="1352.0920000000001"/>
    <d v="2028-06-01T00:00:00"/>
  </r>
  <r>
    <x v="64"/>
    <d v="2026-09-02T00:00:00"/>
    <x v="6"/>
    <s v="NICOLASA SAUCEDO ESPINOSA"/>
    <n v="34905700042"/>
    <s v="SAEN580707MZSCSC01"/>
    <n v="24201508"/>
    <n v="5214923818277"/>
    <x v="2"/>
    <n v="11062.61"/>
    <n v="3318.29"/>
    <n v="3318.7829999999999"/>
    <n v="0.49299999999993815"/>
    <d v="2026-10-01T00:00:00"/>
  </r>
  <r>
    <x v="64"/>
    <d v="2026-09-03T00:00:00"/>
    <x v="53"/>
    <s v="ARACELI CRUZ LOPEZ"/>
    <m/>
    <s v="CULA650909MCLRPR08"/>
    <n v="24247884"/>
    <n v="8715016732"/>
    <x v="0"/>
    <n v="9760.32"/>
    <m/>
    <n v="2928.096"/>
    <n v="2928.096"/>
    <m/>
  </r>
  <r>
    <x v="64"/>
    <d v="2026-09-04T00:00:00"/>
    <x v="59"/>
    <s v="POLICARPO TEJEDA VARGAS"/>
    <s v=" 23724800794"/>
    <s v="TEVP480619HSLJRL08"/>
    <n v="24245900"/>
    <n v="5216866048273"/>
    <x v="1"/>
    <n v="3904.19"/>
    <m/>
    <n v="1171.2570000000001"/>
    <n v="0"/>
    <m/>
  </r>
  <r>
    <x v="64"/>
    <d v="2026-09-04T00:00:00"/>
    <x v="61"/>
    <s v="Petronilo Calva Valdelamar"/>
    <s v="1384590349"/>
    <s v="CAVP590531HHGLLT01"/>
    <n v="24251174"/>
    <n v="5217721643716"/>
    <x v="1"/>
    <n v="821.1"/>
    <m/>
    <n v="246.32999999999998"/>
    <n v="0"/>
    <m/>
  </r>
  <r>
    <x v="64"/>
    <d v="2026-09-04T00:00:00"/>
    <x v="31"/>
    <s v="MARCOS BAXIN FONSECA"/>
    <n v="65846040247"/>
    <s v="BAFM600114HVZXNR09"/>
    <n v="2"/>
    <n v="4437310778"/>
    <x v="2"/>
    <n v="9081.52"/>
    <n v="2627.5"/>
    <n v="2724.4560000000001"/>
    <n v="96.956000000000131"/>
    <d v="2027-03-01T00:00:00"/>
  </r>
  <r>
    <x v="64"/>
    <d v="2026-09-04T00:00:00"/>
    <x v="13"/>
    <s v="JOSE AGUSTIN PADRON CASTILLO"/>
    <n v="41826503785"/>
    <s v="PACA650829HSPDSG08"/>
    <n v="24247082"/>
    <n v="5214422847086"/>
    <x v="2"/>
    <n v="10636.54"/>
    <n v="3190.96"/>
    <n v="3190.962"/>
    <n v="1.9999999999527063E-3"/>
    <d v="2028-06-01T00:00:00"/>
  </r>
  <r>
    <x v="64"/>
    <d v="2026-09-04T00:00:00"/>
    <x v="13"/>
    <s v="JUAN CARLOS LOPEZ ORTEGA"/>
    <n v="43735622813"/>
    <s v="LOOJ561103HNLPM00"/>
    <n v="24245454"/>
    <n v="5218126291327"/>
    <x v="2"/>
    <n v="40600.03"/>
    <n v="12192.81"/>
    <n v="12180.009"/>
    <n v="-12.800999999999476"/>
    <d v="2027-07-01T00:00:00"/>
  </r>
  <r>
    <x v="64"/>
    <d v="2026-09-02T00:00:00"/>
    <x v="53"/>
    <s v="TOMAS RUBEN BUENDIA XIU"/>
    <m/>
    <s v="BUXT600922HYNNXM04"/>
    <n v="24188300"/>
    <n v="9994168549"/>
    <x v="3"/>
    <n v="57164.22"/>
    <n v="16537.990000000002"/>
    <n v="17149.266"/>
    <n v="611.27599999999802"/>
    <d v="2027-10-01T00:00:00"/>
  </r>
  <r>
    <x v="64"/>
    <d v="2026-09-04T00:00:00"/>
    <x v="31"/>
    <s v="JUAN CARLOS HERNANDEZ  LUCIO"/>
    <n v="43765727177"/>
    <s v="HELJ570804HTSRCN11"/>
    <n v="2"/>
    <n v="8110159797"/>
    <x v="2"/>
    <n v="13454.28"/>
    <n v="3888.79"/>
    <n v="4036.2840000000001"/>
    <n v="147.49400000000014"/>
    <d v="2027-04-01T00:00:00"/>
  </r>
  <r>
    <x v="64"/>
    <d v="2026-09-04T00:00:00"/>
    <x v="31"/>
    <s v="MARTINA BUSTAMANTE TOVAR"/>
    <n v="14866306385"/>
    <s v="BUTM630925MGTSVR03"/>
    <n v="2"/>
    <n v="4423648678"/>
    <x v="2"/>
    <n v="10171.24"/>
    <n v="2942.69"/>
    <n v="3051.3719999999998"/>
    <n v="108.68199999999979"/>
    <d v="2028-01-01T00:00:00"/>
  </r>
  <r>
    <x v="64"/>
    <d v="2026-09-04T00:00:00"/>
    <x v="13"/>
    <s v="CUAUHTEMOC VILLEGAS LICONA"/>
    <m/>
    <s v="VILC630803HVZLCH04"/>
    <n v="24241280"/>
    <n v="5217822088561"/>
    <x v="6"/>
    <n v="7920.51"/>
    <n v="2047.45"/>
    <n v="2376.1529999999998"/>
    <n v="328.70299999999975"/>
    <d v="2026-07-01T00:00:00"/>
  </r>
  <r>
    <x v="64"/>
    <d v="2026-09-04T00:00:00"/>
    <x v="31"/>
    <m/>
    <s v="01796009593"/>
    <s v="CUMJ600421HDFRRN05"/>
    <n v="2"/>
    <n v="5619383590"/>
    <x v="2"/>
    <n v="7116.73"/>
    <n v="2049.67"/>
    <n v="2135.0189999999998"/>
    <n v="85.348999999999705"/>
    <d v="2027-08-01T00:00:00"/>
  </r>
  <r>
    <x v="64"/>
    <d v="2026-09-02T00:00:00"/>
    <x v="61"/>
    <s v="Rosalia Candia Rubio"/>
    <m/>
    <s v="CARR620722MDFNBS08"/>
    <n v="24206890"/>
    <n v="5215630248168"/>
    <x v="2"/>
    <n v="9760.32"/>
    <n v="2823.89"/>
    <n v="2928.096"/>
    <n v="104.20600000000013"/>
    <d v="2027-08-01T00:00:00"/>
  </r>
  <r>
    <x v="64"/>
    <d v="2026-08-12T00:00:00"/>
    <x v="28"/>
    <s v="RAMON FLORES ESTEBAN"/>
    <m/>
    <s v="FOER690930HJCLSM03"/>
    <n v="23572932"/>
    <n v="5213171120099"/>
    <x v="0"/>
    <n v="17504.68"/>
    <m/>
    <n v="5251.4039999999995"/>
    <n v="5251.4039999999995"/>
    <m/>
  </r>
  <r>
    <x v="64"/>
    <d v="2026-09-04T00:00:00"/>
    <x v="31"/>
    <s v="MIGUEL ALVARADO HERNANDEZ"/>
    <n v="12735615374"/>
    <s v="AAHM560929HGTLRG07"/>
    <n v="2"/>
    <n v="4776706121"/>
    <x v="1"/>
    <n v="4342.43"/>
    <m/>
    <n v="1302.729"/>
    <n v="169.45000000000073"/>
    <m/>
  </r>
  <r>
    <x v="64"/>
    <d v="2026-09-04T00:00:00"/>
    <x v="6"/>
    <s v="ROSALINDA VILLEGAS GARZA "/>
    <m/>
    <s v="VIGR591029MNLLRS05"/>
    <n v="24245696"/>
    <n v="5218117034287"/>
    <x v="2"/>
    <n v="7920.51"/>
    <n v="2275.54"/>
    <n v="2376.1529999999998"/>
    <n v="100.61299999999983"/>
    <d v="2027-05-01T00:00:00"/>
  </r>
  <r>
    <x v="64"/>
    <d v="2026-09-04T00:00:00"/>
    <x v="6"/>
    <s v="JACINTO JIMENEZ DOMINGUEZ "/>
    <m/>
    <s v="JIDJ640911HCHMMC09"/>
    <n v="24252748"/>
    <n v="5216391331440"/>
    <x v="2"/>
    <n v="8131.77"/>
    <n v="2439.5300000000002"/>
    <n v="2439.5309999999999"/>
    <n v="9.9999999974897946E-4"/>
    <d v="2027-06-01T00:00:00"/>
  </r>
  <r>
    <x v="64"/>
    <d v="2026-09-04T00:00:00"/>
    <x v="13"/>
    <s v="JOSE CRUZ GUTIERREZ BARRAGAN"/>
    <m/>
    <s v="GUBC650503HJCTRR01"/>
    <n v="24250102"/>
    <n v="5213421078956"/>
    <x v="0"/>
    <n v="10636.54"/>
    <m/>
    <n v="3190.962"/>
    <n v="3190.962"/>
    <m/>
  </r>
  <r>
    <x v="64"/>
    <d v="2026-09-04T00:00:00"/>
    <x v="53"/>
    <s v="LUIS GAUDENCIO JUAREZ NAVARRETE"/>
    <m/>
    <s v="JUNL520317HTLRVS17"/>
    <n v="24247520"/>
    <n v="4423811799"/>
    <x v="2"/>
    <n v="10391.23"/>
    <n v="3103.01"/>
    <n v="3117.3689999999997"/>
    <n v="14.358999999999469"/>
    <d v="2028-02-01T00:00:00"/>
  </r>
  <r>
    <x v="64"/>
    <d v="2026-09-04T00:00:00"/>
    <x v="13"/>
    <s v="FERMIN GARCIA UGALDE"/>
    <s v="06806123185"/>
    <s v="GAUF610923HMCRGR08"/>
    <n v="24246006"/>
    <n v="5215586056792"/>
    <x v="2"/>
    <n v="23047.83"/>
    <n v="6914.35"/>
    <n v="6914.3490000000002"/>
    <n v="-1.0000000002037268E-3"/>
    <d v="2027-07-01T00:00:00"/>
  </r>
  <r>
    <x v="64"/>
    <d v="2026-09-04T00:00:00"/>
    <x v="28"/>
    <s v="JOSE ALFREDO LARES GRANO"/>
    <m/>
    <s v="LAGA601213HJCRRL05"/>
    <n v="24241450"/>
    <n v="5213323949104"/>
    <x v="0"/>
    <n v="7116.73"/>
    <n v="879"/>
    <n v="2135.0189999999998"/>
    <n v="1256.0189999999998"/>
    <m/>
  </r>
  <r>
    <x v="64"/>
    <d v="2026-09-04T00:00:00"/>
    <x v="6"/>
    <s v="JOSE LUIS ROCHA RAMIREZ"/>
    <m/>
    <s v="RORL441009HVZCMS06"/>
    <n v="24251922"/>
    <n v="5212222082900"/>
    <x v="0"/>
    <n v="41038.49"/>
    <m/>
    <n v="12311.546999999999"/>
    <n v="12311.546999999999"/>
    <m/>
  </r>
  <r>
    <x v="64"/>
    <d v="2026-09-03T00:00:00"/>
    <x v="28"/>
    <s v="ROBERTO MARIN GARCIA"/>
    <s v="01886310422"/>
    <s v="MAGR631227HVZRRB07"/>
    <n v="24233618"/>
    <n v="5215527702203"/>
    <x v="0"/>
    <n v="40117.99"/>
    <m/>
    <n v="12035.396999999999"/>
    <n v="12035.396999999999"/>
    <m/>
  </r>
  <r>
    <x v="64"/>
    <d v="2026-09-03T00:00:00"/>
    <x v="6"/>
    <s v="ARMANDO PAREDEZ CRUZ "/>
    <n v="11755890321"/>
    <s v="PACA590313HDFRRR00 "/>
    <n v="24229610"/>
    <n v="5215523227383"/>
    <x v="6"/>
    <n v="23587.89"/>
    <n v="6548.63"/>
    <n v="7076.3669999999993"/>
    <n v="527.73699999999917"/>
    <d v="2026-06-01T00:00:00"/>
  </r>
  <r>
    <x v="64"/>
    <d v="2026-09-04T00:00:00"/>
    <x v="13"/>
    <s v="MARIA LUISA RODRIGUEZ PEREZ"/>
    <m/>
    <s v="ROPL610810MGRDRS05"/>
    <n v="24243294"/>
    <n v="5217331258213"/>
    <x v="0"/>
    <n v="7920.51"/>
    <m/>
    <n v="2376.1529999999998"/>
    <n v="2376.1529999999998"/>
    <m/>
  </r>
  <r>
    <x v="64"/>
    <d v="2026-09-04T00:00:00"/>
    <x v="61"/>
    <s v="Macario Velasquez Villegas"/>
    <s v="78806014722"/>
    <m/>
    <n v="24253972"/>
    <n v="19189516729"/>
    <x v="2"/>
    <n v="6371.71"/>
    <n v="1623.69"/>
    <n v="1911.5129999999999"/>
    <n v="287.82299999999987"/>
    <d v="2027-09-01T00:00:00"/>
  </r>
  <r>
    <x v="64"/>
    <d v="2026-09-04T00:00:00"/>
    <x v="53"/>
    <s v="MARTHA EVELIA SAINZ FLORES"/>
    <m/>
    <s v="SAFM640711MSRNLR06"/>
    <n v="24234766"/>
    <n v="6313578911"/>
    <x v="8"/>
    <m/>
    <m/>
    <n v="0"/>
    <n v="0"/>
    <m/>
  </r>
  <r>
    <x v="64"/>
    <d v="2026-09-04T00:00:00"/>
    <x v="61"/>
    <s v="Adolfo Jacobo Sanchez"/>
    <m/>
    <s v="JASA650829HSPCND00"/>
    <n v="24254260"/>
    <n v="5214443320591"/>
    <x v="0"/>
    <n v="9760.32"/>
    <m/>
    <n v="2928.096"/>
    <n v="2928.096"/>
    <m/>
  </r>
  <r>
    <x v="64"/>
    <d v="2026-09-03T00:00:00"/>
    <x v="28"/>
    <s v="ALEJANDRO MARTINEZ HERRERA"/>
    <n v="49947047665"/>
    <s v="MAHA700422HVZRRL01"/>
    <n v="24229404"/>
    <n v="5218332065281"/>
    <x v="0"/>
    <n v="10215.049999999999"/>
    <n v="774.44"/>
    <n v="3064.5149999999999"/>
    <n v="2290.0749999999998"/>
    <d v="2027-07-01T00:00:00"/>
  </r>
  <r>
    <x v="65"/>
    <d v="2026-09-04T00:00:00"/>
    <x v="59"/>
    <s v="BERNARDO OLVERA UBALDO"/>
    <s v="11735226810"/>
    <s v="OEUB521224HDFLBR05"/>
    <n v="24252158"/>
    <n v="5215573622536"/>
    <x v="2"/>
    <n v="5365.53"/>
    <n v="1150.1099999999999"/>
    <n v="1609.6589999999999"/>
    <n v="42.440000000000282"/>
    <d v="2027-10-01T00:00:00"/>
  </r>
  <r>
    <x v="65"/>
    <d v="2026-09-05T00:00:00"/>
    <x v="28"/>
    <s v="DELIO FERNANDO AKE TAMAYO"/>
    <s v="84806314609"/>
    <s v="AETD630125HYNKML08"/>
    <n v="24258376"/>
    <n v="5219984843231"/>
    <x v="2"/>
    <n v="8539.89"/>
    <n v="2561.0100000000002"/>
    <n v="2561.9669999999996"/>
    <n v="0.9569999999994252"/>
    <d v="2026-10-01T00:00:00"/>
  </r>
  <r>
    <x v="65"/>
    <d v="2026-09-05T00:00:00"/>
    <x v="31"/>
    <s v="RAMON HERNANDEZ ANGELES"/>
    <n v="64856904632"/>
    <s v="HEAR690831HDFRNM03"/>
    <n v="2"/>
    <n v="7294573939"/>
    <x v="2"/>
    <n v="5636.59"/>
    <n v="1684.48"/>
    <n v="1690.9770000000001"/>
    <n v="-220.86999999999944"/>
    <d v="2028-06-01T00:00:00"/>
  </r>
  <r>
    <x v="65"/>
    <d v="2026-09-04T00:00:00"/>
    <x v="28"/>
    <s v="MA. DOLORES RAMIREZ LOERA"/>
    <s v="43806086765"/>
    <s v="RALD591010MNLMRL08"/>
    <n v="24256578"/>
    <n v="5218211413811"/>
    <x v="1"/>
    <n v="3779.88"/>
    <m/>
    <n v="1133.9639999999999"/>
    <n v="0"/>
    <m/>
  </r>
  <r>
    <x v="65"/>
    <d v="2026-09-04T00:00:00"/>
    <x v="54"/>
    <s v="FANI AURORA ROMERO ROSAS"/>
    <m/>
    <s v="RORF680813MGRMSN04"/>
    <n v="24258068"/>
    <n v="3328001154"/>
    <x v="1"/>
    <n v="3635.76"/>
    <m/>
    <n v="1090.7280000000001"/>
    <n v="0"/>
    <m/>
  </r>
  <r>
    <x v="65"/>
    <d v="2026-09-04T00:00:00"/>
    <x v="28"/>
    <s v="JESUS PEREZ"/>
    <s v="43796147411"/>
    <m/>
    <n v="24255814"/>
    <n v="5218124236801"/>
    <x v="0"/>
    <n v="10636.54"/>
    <m/>
    <n v="3190.962"/>
    <n v="3190.962"/>
    <m/>
  </r>
  <r>
    <x v="65"/>
    <d v="2026-09-03T00:00:00"/>
    <x v="28"/>
    <s v="SONIA PEREZ ARAUJO"/>
    <s v="92906511115"/>
    <s v="LOAS630915MHGPRN03"/>
    <n v="24230042"/>
    <n v="5215525390194"/>
    <x v="0"/>
    <n v="11029.03"/>
    <m/>
    <n v="3308.7090000000003"/>
    <n v="3308.7090000000003"/>
    <m/>
  </r>
  <r>
    <x v="65"/>
    <d v="2026-04-05T00:00:00"/>
    <x v="28"/>
    <s v="JOSE LUIS CORTES RAMIREZ"/>
    <s v="16816419531"/>
    <s v="CORL640611HDFRMS03"/>
    <n v="19289310"/>
    <n v="5213340952437"/>
    <x v="3"/>
    <n v="9081.5300000000007"/>
    <n v="2380.7600000000002"/>
    <n v="2724.4590000000003"/>
    <n v="343.69900000000007"/>
    <d v="2028-02-01T00:00:00"/>
  </r>
  <r>
    <x v="65"/>
    <d v="2026-09-04T00:00:00"/>
    <x v="59"/>
    <s v="SANTA INES MEDINA RAMIREZ"/>
    <n v="21612910303"/>
    <s v="MERS790121MSLDMN01"/>
    <n v="24245236"/>
    <n v="5216971109304"/>
    <x v="2"/>
    <n v="5055.88"/>
    <n v="1300"/>
    <n v="1516.7639999999999"/>
    <n v="-417.09999999999945"/>
    <d v="2026-07-01T00:00:00"/>
  </r>
  <r>
    <x v="65"/>
    <d v="2026-09-04T00:00:00"/>
    <x v="59"/>
    <s v="CESAR GUMARO OSUNA ATONDO"/>
    <m/>
    <s v="OUAC520415HSLSTS01"/>
    <n v="24245236"/>
    <n v="5216971109304"/>
    <x v="1"/>
    <n v="3869.36"/>
    <n v="848"/>
    <n v="1160.808"/>
    <n v="-848"/>
    <m/>
  </r>
  <r>
    <x v="65"/>
    <d v="2026-09-05T00:00:00"/>
    <x v="31"/>
    <s v="HUGO DAVID DE ALBA IBARRA"/>
    <n v="54836430899"/>
    <s v="AAIH640210HJCLBG01"/>
    <n v="2"/>
    <n v="3329915838"/>
    <x v="2"/>
    <n v="9760.32"/>
    <n v="2926.9"/>
    <n v="2928.096"/>
    <n v="1.1959999999999127"/>
    <d v="2028-03-01T00:00:00"/>
  </r>
  <r>
    <x v="65"/>
    <d v="2026-09-05T00:00:00"/>
    <x v="28"/>
    <s v="RUBEN GAUDENCIO SUAREZ SUAREZ"/>
    <s v="03816506616"/>
    <s v="SUSR650122HNLRRB01"/>
    <n v="24263922"/>
    <n v="5218143015040"/>
    <x v="2"/>
    <n v="10171.24"/>
    <n v="2942.53"/>
    <n v="3051.3719999999998"/>
    <n v="108.84199999999964"/>
    <d v="2027-08-01T00:00:00"/>
  </r>
  <r>
    <x v="65"/>
    <d v="2026-09-05T00:00:00"/>
    <x v="54"/>
    <s v="PABLO LUNA MARTINEZ"/>
    <s v="06765872988"/>
    <s v="LUMP581030HDFNRB00"/>
    <n v="24258488"/>
    <n v="6641842705"/>
    <x v="9"/>
    <n v="5608.61"/>
    <n v="1379.06"/>
    <n v="1682.5829999999999"/>
    <n v="56.570000000000164"/>
    <d v="2024-03-01T00:00:00"/>
  </r>
  <r>
    <x v="65"/>
    <d v="2026-09-05T00:00:00"/>
    <x v="13"/>
    <s v="CLAUDIO SALVADOR HERNANDEZ"/>
    <s v="6791692516"/>
    <s v="SAHC691203HVZLRL08"/>
    <n v="24263240"/>
    <n v="5213340897364"/>
    <x v="1"/>
    <n v="4281.4000000000015"/>
    <m/>
    <n v="1284.4200000000003"/>
    <n v="108.42000000000189"/>
    <m/>
  </r>
  <r>
    <x v="65"/>
    <d v="2026-09-05T00:00:00"/>
    <x v="28"/>
    <s v="VENTURA PEREZ ROBLES"/>
    <s v="01816432999"/>
    <s v="PERV640714HGTRBN06"/>
    <n v="24259562"/>
    <n v="5215545064181"/>
    <x v="3"/>
    <n v="25970.240000000002"/>
    <n v="6950.85"/>
    <n v="7791.0720000000001"/>
    <n v="840.22199999999975"/>
    <d v="2026-11-01T00:00:00"/>
  </r>
  <r>
    <x v="65"/>
    <d v="2026-09-04T00:00:00"/>
    <x v="28"/>
    <s v="DANIEL FILIBERTO MARES VALDEZ"/>
    <s v="43786149062"/>
    <s v="MAVD610807HNLRLN03"/>
    <n v="24258060"/>
    <n v="5218115042012"/>
    <x v="2"/>
    <n v="9760.32"/>
    <n v="2923.83"/>
    <n v="2928.096"/>
    <n v="4.2660000000000764"/>
    <d v="2028-05-01T00:00:00"/>
  </r>
  <r>
    <x v="65"/>
    <d v="2026-09-04T00:00:00"/>
    <x v="59"/>
    <s v="ROBERTO NAVARRETE SARABIA"/>
    <n v="2374502335"/>
    <s v="NASR720719HSLVRB00"/>
    <n v="24257908"/>
    <n v="5216671061614"/>
    <x v="1"/>
    <n v="3880.85"/>
    <m/>
    <n v="1164.2549999999999"/>
    <n v="0"/>
    <m/>
  </r>
  <r>
    <x v="65"/>
    <d v="2026-09-05T00:00:00"/>
    <x v="54"/>
    <s v="ROSENDO CRUZ GOMEZ"/>
    <n v="8380620113"/>
    <s v="CUGR620511HCSRMS08"/>
    <n v="24263942"/>
    <n v="9618254040"/>
    <x v="4"/>
    <m/>
    <m/>
    <n v="0"/>
    <n v="0"/>
    <m/>
  </r>
  <r>
    <x v="65"/>
    <d v="2026-09-05T00:00:00"/>
    <x v="59"/>
    <s v="J. JESUS VILLARRUEL HERNANDEZ "/>
    <n v="54887132436"/>
    <s v="VIHJ710816HJCLRS03"/>
    <n v="24262416"/>
    <n v="5213921597416"/>
    <x v="3"/>
    <n v="6411.47"/>
    <n v="1288.28"/>
    <n v="1923.441"/>
    <n v="635.16100000000006"/>
    <d v="2027-05-01T00:00:00"/>
  </r>
  <r>
    <x v="65"/>
    <d v="2026-09-04T00:00:00"/>
    <x v="54"/>
    <s v="FERNANDO HERNANDEZ HERMOSILLO"/>
    <m/>
    <s v="HEHF580530HVZRRR08"/>
    <n v="24256820"/>
    <n v="9211413639"/>
    <x v="1"/>
    <n v="4342.43"/>
    <n v="848"/>
    <n v="1302.729"/>
    <n v="-678.54999999999927"/>
    <m/>
  </r>
  <r>
    <x v="65"/>
    <d v="2026-09-04T00:00:00"/>
    <x v="28"/>
    <s v="MANUEL DE JESUS BARRON VALENCIA"/>
    <m/>
    <s v="BAVM600701HSRRLN00"/>
    <n v="24258240"/>
    <n v="5216444616096"/>
    <x v="0"/>
    <n v="60491.66"/>
    <m/>
    <n v="18147.498"/>
    <n v="18147.498"/>
    <m/>
  </r>
  <r>
    <x v="65"/>
    <d v="2026-09-04T00:00:00"/>
    <x v="59"/>
    <s v="JUANA LETICIA ESTRADA AGUIRRE"/>
    <n v="43715436317"/>
    <s v="EAAJ600210MNLSGN06"/>
    <n v="24256098"/>
    <n v="5218123507464"/>
    <x v="2"/>
    <n v="6056.66"/>
    <n v="1799.28"/>
    <n v="1816.9979999999998"/>
    <n v="17.717999999999847"/>
    <d v="2028-04-01T00:00:00"/>
  </r>
  <r>
    <x v="65"/>
    <d v="2026-09-05T00:00:00"/>
    <x v="28"/>
    <s v="JAVIER OSORIO DOMINGUEZ"/>
    <m/>
    <s v="OODJ631120HOCSMV04"/>
    <n v="24264720"/>
    <n v="5219989328276"/>
    <x v="7"/>
    <n v="9081.52"/>
    <n v="2504.6999999999998"/>
    <n v="2724.4560000000001"/>
    <n v="219.75600000000031"/>
    <d v="2026-08-01T00:00:00"/>
  </r>
  <r>
    <x v="65"/>
    <d v="2026-09-05T00:00:00"/>
    <x v="59"/>
    <s v="ROBERTO GREGORIO CAZARES JUAREZ "/>
    <n v="47917432446"/>
    <m/>
    <n v="24261406"/>
    <n v="5218132806335"/>
    <x v="5"/>
    <m/>
    <m/>
    <n v="0"/>
    <n v="0"/>
    <m/>
  </r>
  <r>
    <x v="65"/>
    <d v="2026-09-04T00:00:00"/>
    <x v="28"/>
    <s v="JUAN PASTOR MONROY VELASQUEZ"/>
    <s v="06755600300"/>
    <s v=" MOVJ560521HDFNLN05"/>
    <n v="24257060"/>
    <n v="5215638945077"/>
    <x v="4"/>
    <m/>
    <m/>
    <n v="0"/>
    <n v="0"/>
    <m/>
  </r>
  <r>
    <x v="65"/>
    <d v="2026-09-05T00:00:00"/>
    <x v="13"/>
    <s v="FERNANDO MARTINEZ ANGUIANO"/>
    <n v="21927448072"/>
    <s v="MAAF740207HJCRNR07"/>
    <n v="24266422"/>
    <n v="5216572896967"/>
    <x v="2"/>
    <n v="8528.15"/>
    <n v="2557.5500000000002"/>
    <n v="2558.4449999999997"/>
    <n v="0.89499999999952706"/>
    <d v="2026-12-01T00:00:00"/>
  </r>
  <r>
    <x v="65"/>
    <d v="2026-09-05T00:00:00"/>
    <x v="59"/>
    <s v="FRANCISCO JAVIER ESCALERA HERNANDEZ"/>
    <n v="12826421146"/>
    <s v="EAHF641008HGTSRR02"/>
    <n v="24268170"/>
    <n v="5214622356721"/>
    <x v="0"/>
    <n v="9081.52"/>
    <n v="706.77"/>
    <n v="2724.4560000000001"/>
    <n v="2017.6860000000001"/>
    <d v="2027-08-01T00:00:00"/>
  </r>
  <r>
    <x v="65"/>
    <d v="2026-09-04T00:00:00"/>
    <x v="13"/>
    <s v="REYNA DEL CARMEN PINTO VERA"/>
    <m/>
    <s v="PIVR580105MCSNRY08"/>
    <n v="24254170"/>
    <n v="5219611777400"/>
    <x v="6"/>
    <n v="10841.91"/>
    <n v="2876"/>
    <n v="3252.5729999999999"/>
    <n v="376.57299999999987"/>
    <d v="2025-06-01T00:00:00"/>
  </r>
  <r>
    <x v="65"/>
    <d v="2026-09-05T00:00:00"/>
    <x v="59"/>
    <s v="ARMANDO NAVA JIMENEZ"/>
    <n v="52806009842"/>
    <s v="NAJA600627HCMVMR13"/>
    <n v="24268034"/>
    <n v="5213122988767"/>
    <x v="6"/>
    <n v="16760.2"/>
    <n v="4848.95"/>
    <n v="5028.0600000000004"/>
    <n v="179.11000000000058"/>
    <d v="2026-08-01T00:00:00"/>
  </r>
  <r>
    <x v="65"/>
    <d v="2026-09-05T00:00:00"/>
    <x v="28"/>
    <s v="JOSE JAVIER JUAREZ RIVERA"/>
    <m/>
    <s v="JURJ611128HPLRVV08"/>
    <n v="24266598"/>
    <n v="5212225933844"/>
    <x v="0"/>
    <n v="7920.51"/>
    <m/>
    <n v="2376.1529999999998"/>
    <n v="2376.1529999999998"/>
    <m/>
  </r>
  <r>
    <x v="65"/>
    <d v="2026-09-05T00:00:00"/>
    <x v="54"/>
    <s v="JAVIER MIGUEL GONZALEZ"/>
    <m/>
    <s v="MIGJ661120HPLGNV00"/>
    <n v="24268566"/>
    <n v="2211902860"/>
    <x v="2"/>
    <n v="26372.65"/>
    <n v="7277.89"/>
    <n v="7911.7950000000001"/>
    <n v="633.90499999999975"/>
    <d v="2027-02-01T00:00:00"/>
  </r>
  <r>
    <x v="65"/>
    <d v="2026-09-05T00:00:00"/>
    <x v="28"/>
    <s v="LEANDRO VELEZ LOPEZ"/>
    <s v="32725211059"/>
    <s v="VELL520409HCLLPN00"/>
    <n v="24265438"/>
    <n v="5218661641656"/>
    <x v="6"/>
    <n v="40834.019999999997"/>
    <n v="11814.26"/>
    <n v="12250.205999999998"/>
    <n v="435.94599999999809"/>
    <d v="2026-06-01T00:00:00"/>
  </r>
  <r>
    <x v="65"/>
    <d v="2026-09-05T00:00:00"/>
    <x v="54"/>
    <s v="JOSE LUIS VALADEZ CEBALLOS"/>
    <n v="34925400185"/>
    <s v="VACL540707HZSLBS07"/>
    <n v="24267112"/>
    <n v="4922232774"/>
    <x v="7"/>
    <n v="17975.75"/>
    <n v="5391.73"/>
    <n v="5392.7249999999995"/>
    <n v="0.99499999999989086"/>
    <d v="2026-09-01T00:00:00"/>
  </r>
  <r>
    <x v="65"/>
    <d v="2026-09-04T00:00:00"/>
    <x v="28"/>
    <s v="LUCIANO CHIO VELASQUEZ"/>
    <s v="11755713192"/>
    <m/>
    <n v="24257676"/>
    <n v="5218116132861"/>
    <x v="2"/>
    <n v="21547.25"/>
    <n v="6296.02"/>
    <n v="6464.1750000000002"/>
    <n v="168.15499999999975"/>
    <d v="2027-03-01T00:00:00"/>
  </r>
  <r>
    <x v="65"/>
    <d v="2026-09-04T00:00:00"/>
    <x v="28"/>
    <s v="JOSE JUAN AGUILAR RIVERA"/>
    <m/>
    <s v="AURJ620307HCLGVN01"/>
    <n v="24269314"/>
    <n v="5218442891043"/>
    <x v="0"/>
    <n v="26539.88"/>
    <m/>
    <n v="7961.9639999999999"/>
    <n v="7961.9639999999999"/>
    <m/>
  </r>
  <r>
    <x v="65"/>
    <d v="2026-09-04T00:00:00"/>
    <x v="59"/>
    <s v="JORGE LEONARDO ANGULO ROBLES"/>
    <s v="07866604023"/>
    <s v="AURJ660814HDFNBR04"/>
    <n v="24253448"/>
    <n v="5215637487644"/>
    <x v="1"/>
    <n v="1387"/>
    <m/>
    <n v="416.09999999999997"/>
    <n v="0"/>
    <m/>
  </r>
  <r>
    <x v="65"/>
    <d v="2026-09-04T00:00:00"/>
    <x v="28"/>
    <s v="RUBEN HERNANDEZ MORALES"/>
    <m/>
    <s v="HEMR560216HSRRRB08"/>
    <n v="24257334"/>
    <n v="5216333507207"/>
    <x v="1"/>
    <n v="4247.59"/>
    <m/>
    <n v="1274.277"/>
    <n v="74.610000000000582"/>
    <m/>
  </r>
  <r>
    <x v="65"/>
    <d v="2026-09-05T00:00:00"/>
    <x v="13"/>
    <s v="ROSAURO ALVARADO VAZQUEZ"/>
    <m/>
    <s v="AAVR471018HDGLZS16"/>
    <n v="24268436"/>
    <n v="5216565861016"/>
    <x v="1"/>
    <n v="4083.1"/>
    <m/>
    <n v="1224.9299999999998"/>
    <n v="0"/>
    <m/>
  </r>
  <r>
    <x v="65"/>
    <d v="2026-09-05T00:00:00"/>
    <x v="54"/>
    <s v="MARIA MONICA LETICIA PURECO ESQUIVEL"/>
    <n v="16785808235"/>
    <s v="PUEM611008MDFRSN08"/>
    <n v="24266566"/>
    <n v="7293241991"/>
    <x v="1"/>
    <n v="3584.39"/>
    <m/>
    <n v="1075.317"/>
    <n v="0"/>
    <m/>
  </r>
  <r>
    <x v="65"/>
    <d v="2026-09-04T00:00:00"/>
    <x v="28"/>
    <s v="SERGIO GONZALEZ BARRA"/>
    <m/>
    <s v="GOBS570214HVZNRR00"/>
    <n v="24257186"/>
    <n v="5212294367273"/>
    <x v="9"/>
    <n v="6262.86"/>
    <n v="1811.2"/>
    <n v="1878.8579999999997"/>
    <n v="67.657999999999674"/>
    <d v="2023-12-01T00:00:00"/>
  </r>
  <r>
    <x v="65"/>
    <d v="2026-09-05T00:00:00"/>
    <x v="13"/>
    <s v="PEDRO HUGO REYES BARRADAS"/>
    <m/>
    <s v="REBP431121HVZYRD03"/>
    <n v="24268054"/>
    <n v="5212293566862"/>
    <x v="1"/>
    <n v="4011.48"/>
    <m/>
    <n v="1203.444"/>
    <n v="0"/>
    <m/>
  </r>
  <r>
    <x v="65"/>
    <d v="2026-09-04T00:00:00"/>
    <x v="59"/>
    <s v="GUADALUPE BACA ALVIDREZ"/>
    <s v="33684900211"/>
    <s v="BAAG491212MCHCLD02"/>
    <n v="24254326"/>
    <n v="5216271178674"/>
    <x v="1"/>
    <n v="4414.09"/>
    <m/>
    <n v="1324.2270000000001"/>
    <n v="241.11000000000058"/>
    <m/>
  </r>
  <r>
    <x v="65"/>
    <d v="2026-09-05T00:00:00"/>
    <x v="13"/>
    <s v="ISIDRO FLORES RAMIREZ"/>
    <m/>
    <s v="FORI630315HDFLMS09"/>
    <n v="24266906"/>
    <n v="5215543045000"/>
    <x v="2"/>
    <n v="7920.51"/>
    <n v="2284.27"/>
    <n v="2376.1529999999998"/>
    <n v="91.882999999999811"/>
    <d v="2027-02-01T00:00:00"/>
  </r>
  <r>
    <x v="65"/>
    <d v="2026-09-05T00:00:00"/>
    <x v="28"/>
    <s v="ANA LUISA ACOSTA ESCOBAR"/>
    <s v="39927485894"/>
    <s v="AOEA750426MDFCSN08"/>
    <n v="24269954"/>
    <n v="5212225051260"/>
    <x v="1"/>
    <n v="4244.67"/>
    <m/>
    <n v="1273.4010000000001"/>
    <n v="71.690000000000509"/>
    <m/>
  </r>
  <r>
    <x v="65"/>
    <d v="2026-09-05T00:00:00"/>
    <x v="13"/>
    <s v="MERCEDES FERREIRA GUIDO"/>
    <m/>
    <s v="FEGM590917MDFRDR04"/>
    <n v="24263394"/>
    <n v="5215582745017"/>
    <x v="2"/>
    <n v="9081.52"/>
    <n v="2627.36"/>
    <n v="2724.4560000000001"/>
    <n v="97.096000000000004"/>
    <d v="2027-02-01T00:00:00"/>
  </r>
  <r>
    <x v="65"/>
    <d v="2026-09-05T00:00:00"/>
    <x v="54"/>
    <s v="SANDRA JULIETA GUERRERO RUIZ"/>
    <m/>
    <s v="GURS750730MGTRZN01"/>
    <n v="24269258"/>
    <n v="4622889366"/>
    <x v="1"/>
    <n v="2791.4"/>
    <n v="697"/>
    <n v="837.42"/>
    <n v="-697"/>
    <m/>
  </r>
  <r>
    <x v="65"/>
    <d v="2026-09-05T00:00:00"/>
    <x v="54"/>
    <s v="BERTHA MARTINEZ MONTALVO"/>
    <m/>
    <s v="MAMB580429MCLRNR06"/>
    <n v="24270200"/>
    <n v="8721307002"/>
    <x v="1"/>
    <n v="4342.43"/>
    <n v="848"/>
    <n v="1302.729"/>
    <n v="-678.54999999999927"/>
    <m/>
  </r>
  <r>
    <x v="65"/>
    <d v="2026-09-05T00:00:00"/>
    <x v="28"/>
    <m/>
    <s v="65856103299"/>
    <m/>
    <n v="24269688"/>
    <n v="5213343271263"/>
    <x v="2"/>
    <n v="21672.74"/>
    <n v="6269.58"/>
    <n v="6501.8220000000001"/>
    <n v="232.24200000000019"/>
    <d v="2027-04-01T00:00:00"/>
  </r>
  <r>
    <x v="65"/>
    <d v="2026-09-05T00:00:00"/>
    <x v="28"/>
    <s v="MARIBEL ARROYO HERNANDEZ"/>
    <s v="11614324959"/>
    <s v="AOHM730907MPLRRR04"/>
    <n v="24269856"/>
    <n v="5215587035620"/>
    <x v="2"/>
    <n v="4992.5"/>
    <n v="1136.81"/>
    <n v="1497.75"/>
    <n v="-317.28999999999951"/>
    <d v="2028-08-01T00:00:00"/>
  </r>
  <r>
    <x v="66"/>
    <d v="2026-09-05T00:00:00"/>
    <x v="54"/>
    <s v="GEORGINA CASTELA ORDUÑA"/>
    <m/>
    <s v="CAOG740711MDFSRR00"/>
    <n v="24274372"/>
    <n v="5666121131"/>
    <x v="1"/>
    <n v="3494.14"/>
    <n v="848"/>
    <n v="1048.242"/>
    <n v="-848"/>
    <m/>
  </r>
  <r>
    <x v="66"/>
    <d v="2026-09-05T00:00:00"/>
    <x v="53"/>
    <s v="JUAN MANUEL PEDRERO ACOSTA "/>
    <s v="83795916515"/>
    <s v="PEAJ590501HTCDCN08"/>
    <n v="24274398"/>
    <n v="9931010266"/>
    <x v="9"/>
    <n v="6262.86"/>
    <n v="1810.47"/>
    <n v="1878.8579999999997"/>
    <n v="68.387999999999693"/>
    <d v="2023-10-01T00:00:00"/>
  </r>
  <r>
    <x v="66"/>
    <d v="2026-09-06T00:00:00"/>
    <x v="61"/>
    <s v="Jesús Cifuentes reyes"/>
    <s v="45907100601"/>
    <m/>
    <n v="24249834"/>
    <n v="5215514186854"/>
    <x v="1"/>
    <n v="3521.62"/>
    <m/>
    <n v="1056.4859999999999"/>
    <n v="0"/>
    <m/>
  </r>
  <r>
    <x v="66"/>
    <d v="2026-09-06T00:00:00"/>
    <x v="61"/>
    <s v="Manuel Esteban Cosme Ortuño"/>
    <s v="62796317196"/>
    <m/>
    <n v="24270732"/>
    <n v="5212212106530"/>
    <x v="2"/>
    <n v="7920.51"/>
    <n v="2291.5"/>
    <n v="2376.1529999999998"/>
    <n v="84.652999999999793"/>
    <d v="2028-01-01T00:00:00"/>
  </r>
  <r>
    <x v="66"/>
    <d v="2026-09-06T00:00:00"/>
    <x v="61"/>
    <s v="Jose Ibarra Valdez"/>
    <m/>
    <s v="IAVJ741102HSRBLS05"/>
    <n v="24245024"/>
    <n v="5216623728731"/>
    <x v="0"/>
    <n v="7363.4"/>
    <m/>
    <n v="2209.02"/>
    <n v="2209.02"/>
    <m/>
  </r>
  <r>
    <x v="66"/>
    <d v="2026-09-05T00:00:00"/>
    <x v="61"/>
    <s v="Ignacion Perez Rosales"/>
    <n v="65825944385"/>
    <s v="PERI590201HVZRSG08"/>
    <n v="24270962"/>
    <n v="5212721804899"/>
    <x v="5"/>
    <m/>
    <m/>
    <n v="0"/>
    <n v="0"/>
    <m/>
  </r>
  <r>
    <x v="66"/>
    <d v="2026-09-03T00:00:00"/>
    <x v="53"/>
    <s v="CRECENCIANO HIPOLITO HERNANDEZ RODRIGUEZ"/>
    <m/>
    <s v="HERC500914HPLRDR03"/>
    <n v="24233252"/>
    <n v="5639772395"/>
    <x v="6"/>
    <n v="8186.09"/>
    <n v="1498.74"/>
    <n v="2455.8269999999998"/>
    <n v="957.08699999999976"/>
    <d v="2026-05-01T00:00:00"/>
  </r>
  <r>
    <x v="66"/>
    <d v="2026-09-05T00:00:00"/>
    <x v="61"/>
    <s v="Carmela Leos Gutierrez"/>
    <s v="43897342945"/>
    <s v="LEGC810705MNLSTR09"/>
    <n v="24271516"/>
    <n v="5218131034943"/>
    <x v="1"/>
    <n v="3809.18"/>
    <m/>
    <n v="1142.7539999999999"/>
    <n v="0"/>
    <m/>
  </r>
  <r>
    <x v="66"/>
    <d v="2026-09-05T00:00:00"/>
    <x v="61"/>
    <s v="Elia Marquez Moctezuma"/>
    <s v="65654819310"/>
    <s v="MXME480311MVZRCL05"/>
    <n v="24272816"/>
    <n v="5212291631407"/>
    <x v="3"/>
    <n v="4661.47"/>
    <m/>
    <n v="1398.441"/>
    <n v="488.49000000000069"/>
    <m/>
  </r>
  <r>
    <x v="66"/>
    <d v="2026-09-05T00:00:00"/>
    <x v="61"/>
    <s v="Fabiola Tapia Ramirez"/>
    <n v="4379632386"/>
    <s v="TARF800529MJCPMB07"/>
    <n v="24274088"/>
    <n v="5218111811897"/>
    <x v="2"/>
    <n v="6565.89"/>
    <n v="1969.77"/>
    <n v="1969.7670000000001"/>
    <n v="-2.9999999999290594E-3"/>
    <d v="2026-10-01T00:00:00"/>
  </r>
  <r>
    <x v="66"/>
    <d v="2026-09-06T00:00:00"/>
    <x v="53"/>
    <s v="HUGO OLIVARES JIMENEZ"/>
    <m/>
    <s v="OIJH630304HDFLMG05"/>
    <n v="24279264"/>
    <n v="5617906866"/>
    <x v="2"/>
    <n v="7920.51"/>
    <n v="2375.5"/>
    <n v="2376.1529999999998"/>
    <n v="0.65299999999979264"/>
    <d v="2028-01-01T00:00:00"/>
  </r>
  <r>
    <x v="66"/>
    <d v="2026-09-05T00:00:00"/>
    <x v="54"/>
    <s v="MARCO ANTONIO URBINA DE LA CRUZ"/>
    <m/>
    <s v="UICM700425HVZRRR05"/>
    <n v="24274062"/>
    <n v="6461302220"/>
    <x v="1"/>
    <n v="3999.78"/>
    <m/>
    <n v="1199.934"/>
    <n v="0"/>
    <m/>
  </r>
  <r>
    <x v="66"/>
    <d v="2026-09-06T00:00:00"/>
    <x v="61"/>
    <s v="Armando Cruz Calderon"/>
    <n v="83856300971"/>
    <s v="CUCA630214HOCRLR03"/>
    <n v="24274362"/>
    <n v="5212871313145"/>
    <x v="2"/>
    <n v="9081.52"/>
    <n v="2453.87"/>
    <n v="2724.4560000000001"/>
    <n v="270.58600000000024"/>
    <d v="2026-11-01T00:00:00"/>
  </r>
  <r>
    <x v="66"/>
    <d v="2026-09-05T00:00:00"/>
    <x v="54"/>
    <s v="FRANCISCO MARTIN GUTIERREZ SOSA_x0009_"/>
    <n v="64816344713"/>
    <s v="GUSF630918HDFTSR05"/>
    <n v="24274236"/>
    <n v="5570599351"/>
    <x v="2"/>
    <n v="9081.52"/>
    <n v="2514.25"/>
    <n v="2724.4560000000001"/>
    <n v="210.20600000000013"/>
    <d v="2026-10-01T00:00:00"/>
  </r>
  <r>
    <x v="66"/>
    <d v="2026-09-05T00:00:00"/>
    <x v="53"/>
    <s v="IGNACIO RIOS CARDENAS"/>
    <n v="33966019755"/>
    <s v="RICI600912HMNSRG04"/>
    <n v="24272850"/>
    <n v="3515007659"/>
    <x v="3"/>
    <n v="5617.63"/>
    <n v="1088.49"/>
    <n v="1685.289"/>
    <n v="356.16000000000054"/>
    <d v="2028-09-01T00:00:00"/>
  </r>
  <r>
    <x v="66"/>
    <d v="2026-09-06T00:00:00"/>
    <x v="53"/>
    <s v="LUCIA BAROLA QUEZADA"/>
    <n v="16056600840"/>
    <s v="BAQL711116MMCRZC05"/>
    <n v="24280086"/>
    <n v="5659784286"/>
    <x v="4"/>
    <m/>
    <m/>
    <n v="0"/>
    <n v="0"/>
    <m/>
  </r>
  <r>
    <x v="66"/>
    <d v="2026-09-06T00:00:00"/>
    <x v="61"/>
    <s v="Alfredo Dominguez Reyna"/>
    <m/>
    <s v="DORA630117HPLMYL09"/>
    <n v="24280542"/>
    <n v="5217531192220"/>
    <x v="2"/>
    <n v="9081.52"/>
    <n v="2723.66"/>
    <n v="2724.4560000000001"/>
    <n v="0.79600000000027649"/>
    <d v="2028-02-01T00:00:00"/>
  </r>
  <r>
    <x v="66"/>
    <d v="2026-09-06T00:00:00"/>
    <x v="61"/>
    <s v="Rene Broca Lopez"/>
    <m/>
    <s v="BOLR660314HTCRPN09"/>
    <n v="24281378"/>
    <n v="5219372710570"/>
    <x v="0"/>
    <n v="10636.54"/>
    <m/>
    <n v="3190.962"/>
    <n v="3190.962"/>
    <m/>
  </r>
  <r>
    <x v="66"/>
    <d v="2026-09-06T00:00:00"/>
    <x v="53"/>
    <s v="REYES GARCIA ESCUDERO"/>
    <n v="83916306109"/>
    <s v="GAER630106HPLRSY05"/>
    <n v="24282246"/>
    <n v="9371038924"/>
    <x v="2"/>
    <n v="7920.51"/>
    <n v="2291.56"/>
    <n v="2376.1529999999998"/>
    <n v="84.592999999999847"/>
    <d v="2027-07-01T00:00:00"/>
  </r>
  <r>
    <x v="66"/>
    <d v="2026-09-06T00:00:00"/>
    <x v="54"/>
    <s v="JOSE DE JESUS CALIXTO JACOBO"/>
    <m/>
    <s v="CAJJ590319HMCLCS02"/>
    <n v="24275524"/>
    <n v="5657507518"/>
    <x v="2"/>
    <n v="10636.54"/>
    <n v="3189.2"/>
    <n v="3190.962"/>
    <n v="1.762000000000171"/>
    <d v="2028-07-01T00:00:00"/>
  </r>
  <r>
    <x v="66"/>
    <d v="2026-09-06T00:00:00"/>
    <x v="54"/>
    <s v="JUAN FELIPE TORRES MEZA"/>
    <m/>
    <s v="TOMJ540205HSPRZN01"/>
    <n v="24278828"/>
    <n v="4811443281"/>
    <x v="3"/>
    <n v="24266.61"/>
    <n v="6455.03"/>
    <n v="7279.9830000000002"/>
    <n v="824.95300000000043"/>
    <d v="2028-03-01T00:00:00"/>
  </r>
  <r>
    <x v="66"/>
    <d v="2026-09-06T00:00:00"/>
    <x v="53"/>
    <s v="RAUL VALLADARES CRUZ"/>
    <m/>
    <s v="VACR580914HTSLRL03"/>
    <n v="24282484"/>
    <n v="8331470411"/>
    <x v="3"/>
    <n v="6056.98"/>
    <n v="879"/>
    <n v="1817.0939999999998"/>
    <n v="938.09399999999982"/>
    <m/>
  </r>
  <r>
    <x v="66"/>
    <d v="2026-09-05T00:00:00"/>
    <x v="53"/>
    <s v="JOEL GARCÍA MONTIEL"/>
    <n v="67786100320"/>
    <s v="GAMJ610911HVZRNL09"/>
    <n v="24272416"/>
    <n v="9211624300"/>
    <x v="2"/>
    <n v="10416.27"/>
    <n v="3124.88"/>
    <n v="3124.8809999999999"/>
    <n v="9.9999999974897946E-4"/>
    <d v="2027-06-01T00:00:00"/>
  </r>
  <r>
    <x v="66"/>
    <d v="2026-09-06T00:00:00"/>
    <x v="54"/>
    <s v="FILOGONIO RODRIGUEZ ALVARADO"/>
    <m/>
    <s v="ROAF440120HGTDLL07"/>
    <n v="24282456"/>
    <n v="4794138593"/>
    <x v="0"/>
    <n v="13124.95"/>
    <m/>
    <n v="3937.4850000000001"/>
    <n v="3937.4850000000001"/>
    <m/>
  </r>
  <r>
    <x v="66"/>
    <d v="2026-09-04T00:00:00"/>
    <x v="61"/>
    <s v="Ruth herendida Najera Rocha"/>
    <s v="47947307345"/>
    <s v="NARR750715MNLJC07"/>
    <n v="24248096"/>
    <n v="5216151141600"/>
    <x v="3"/>
    <n v="6664.74"/>
    <n v="879"/>
    <n v="1999.4219999999998"/>
    <n v="1120.4219999999998"/>
    <m/>
  </r>
  <r>
    <x v="66"/>
    <d v="2026-09-05T00:00:00"/>
    <x v="54"/>
    <s v="JOSE PEREZ NAVARRO"/>
    <m/>
    <s v="PENJ620309HMNRVS04"/>
    <n v="24272720"/>
    <n v="6221141654"/>
    <x v="6"/>
    <n v="9081.52"/>
    <n v="2353.61"/>
    <n v="2724.4560000000001"/>
    <n v="370.846"/>
    <d v="2026-09-01T00:00:00"/>
  </r>
  <r>
    <x v="66"/>
    <d v="2026-09-06T00:00:00"/>
    <x v="53"/>
    <s v="Miguel Angel Sánchez Juárez"/>
    <n v="42976600835"/>
    <s v="SAJM660124HDFNRG03"/>
    <n v="24282944"/>
    <n v="7298240074"/>
    <x v="0"/>
    <n v="11029.03"/>
    <m/>
    <n v="3308.7090000000003"/>
    <n v="3308.7090000000003"/>
    <m/>
  </r>
  <r>
    <x v="67"/>
    <d v="2026-09-07T00:00:00"/>
    <x v="31"/>
    <s v="ROBERTO MACIAS BELECHE"/>
    <n v="54796176987"/>
    <s v="MABR631201HJCCLB04"/>
    <n v="2"/>
    <s v="33 1958 6690"/>
    <x v="2"/>
    <n v="19529.240000000002"/>
    <n v="5855.03"/>
    <n v="5858.7719999999999"/>
    <n v="3.7420000000001892"/>
    <d v="2026-11-01T00:00:00"/>
  </r>
  <r>
    <x v="67"/>
    <d v="2026-09-07T00:00:00"/>
    <x v="31"/>
    <s v="JUAN ARMANDO LOPEZ CORONADO"/>
    <n v="43806427639"/>
    <s v="LOCJ640914HNLPRN05"/>
    <n v="2"/>
    <s v="836 115 0800"/>
    <x v="2"/>
    <n v="9081.52"/>
    <n v="2590.75"/>
    <n v="2724.4560000000001"/>
    <n v="133.70600000000013"/>
    <d v="2028-08-01T00:00:00"/>
  </r>
  <r>
    <x v="67"/>
    <d v="2026-09-07T00:00:00"/>
    <x v="31"/>
    <s v="FERNANDO LLANES HURTADO"/>
    <n v="43796249621"/>
    <s v="LAHF620702HNLLRR06"/>
    <n v="2"/>
    <s v="81 2595 2467"/>
    <x v="2"/>
    <n v="8184.23"/>
    <n v="2367.1"/>
    <n v="2455.2689999999998"/>
    <n v="88.168999999999869"/>
    <d v="2026-10-01T00:00:00"/>
  </r>
  <r>
    <x v="67"/>
    <d v="2026-09-07T00:00:00"/>
    <x v="31"/>
    <s v="RODRIGO JAVIER MATA HERNANDEZ"/>
    <n v="43876693946"/>
    <s v="MAHR660206HNLTRD00"/>
    <n v="2"/>
    <n v="8130827314"/>
    <x v="2"/>
    <n v="10636.54"/>
    <n v="3190.95"/>
    <n v="3190.962"/>
    <n v="1.2000000000170985E-2"/>
    <d v="2028-07-01T00:00:00"/>
  </r>
  <r>
    <x v="67"/>
    <d v="2026-09-07T00:00:00"/>
    <x v="31"/>
    <s v="JOSE SOLIS RODRIGUEZ"/>
    <s v="03695325823"/>
    <s v="SORJ530221HTSLDS06"/>
    <n v="2"/>
    <n v="8120054370"/>
    <x v="1"/>
    <n v="3963.51"/>
    <n v="848"/>
    <n v="1189.0530000000001"/>
    <n v="-848"/>
    <m/>
  </r>
  <r>
    <x v="67"/>
    <d v="2026-09-07T00:00:00"/>
    <x v="31"/>
    <s v="GILBERTO ENCISO ALVARADO"/>
    <s v="04705300582"/>
    <s v="EIAG530325HJCNLL02"/>
    <n v="2"/>
    <s v="33 3127 4113"/>
    <x v="2"/>
    <n v="11339.07"/>
    <n v="3397.36"/>
    <n v="3401.721"/>
    <n v="4.3609999999998763"/>
    <d v="2027-09-01T00:00:00"/>
  </r>
  <r>
    <x v="67"/>
    <d v="2026-09-07T00:00:00"/>
    <x v="31"/>
    <s v="JORGE CARRILLO MEDINA"/>
    <s v="04906911138"/>
    <s v="CAMJ690816HJCRDR07"/>
    <n v="2"/>
    <s v="33 1739 6017"/>
    <x v="2"/>
    <n v="19420.36"/>
    <n v="5618.77"/>
    <n v="5826.1080000000002"/>
    <n v="207.33799999999974"/>
    <d v="2026-11-01T00:00:00"/>
  </r>
  <r>
    <x v="67"/>
    <d v="2026-09-06T00:00:00"/>
    <x v="53"/>
    <s v="MA. ANTONIA CRUZ PRESA"/>
    <s v="09957922249"/>
    <s v="CUPA790613MTSRRN02"/>
    <n v="25284520"/>
    <n v="8681549312"/>
    <x v="2"/>
    <n v="8793.09"/>
    <n v="2634.35"/>
    <n v="2637.9270000000001"/>
    <n v="3.5770000000002256"/>
    <d v="2028-03-01T00:00:00"/>
  </r>
  <r>
    <x v="67"/>
    <d v="2026-09-06T00:00:00"/>
    <x v="53"/>
    <s v="AMADO MONTES MADRIGAL"/>
    <s v="55735524568"/>
    <s v="MOMA490913HNTNDM08"/>
    <n v="24288538"/>
    <n v="3111171997"/>
    <x v="0"/>
    <n v="9081.52"/>
    <m/>
    <n v="2724.4560000000001"/>
    <n v="2724.4560000000001"/>
    <m/>
  </r>
  <r>
    <x v="67"/>
    <d v="2026-09-06T00:00:00"/>
    <x v="61"/>
    <s v="Maria Veronica Alcantara Paz"/>
    <s v="01735597427"/>
    <s v="AAPV590202MDFLZR07"/>
    <n v="24275508"/>
    <n v="5215586042537"/>
    <x v="4"/>
    <m/>
    <m/>
    <n v="0"/>
    <n v="0"/>
    <m/>
  </r>
  <r>
    <x v="67"/>
    <d v="2026-09-07T00:00:00"/>
    <x v="28"/>
    <s v="ANALAURA HERNANDEZ CAMPOS"/>
    <s v="72796018389"/>
    <s v="HECA641127MGRRMN09"/>
    <n v="24292442"/>
    <n v="5217551067335"/>
    <x v="0"/>
    <n v="9760.32"/>
    <m/>
    <n v="2928.096"/>
    <n v="2928.096"/>
    <m/>
  </r>
  <r>
    <x v="67"/>
    <d v="2026-09-06T00:00:00"/>
    <x v="61"/>
    <s v="Juan Manuel García Sánchez"/>
    <n v="53886404952"/>
    <s v="GASJ611224HMNRNN07"/>
    <n v="24283696"/>
    <n v="5214434902932"/>
    <x v="2"/>
    <n v="6262.86"/>
    <n v="1811.99"/>
    <n v="1878.8579999999997"/>
    <n v="66.867999999999711"/>
    <d v="2027-08-01T00:00:00"/>
  </r>
  <r>
    <x v="67"/>
    <d v="2026-09-07T00:00:00"/>
    <x v="59"/>
    <s v="JUAN CAMPOS GOMEZ"/>
    <s v="32796203548"/>
    <s v="CAGJ621225HCLMMN01"/>
    <n v="24295476"/>
    <n v="5218781558704"/>
    <x v="9"/>
    <n v="8539.89"/>
    <n v="2261.88"/>
    <n v="2561.9669999999996"/>
    <n v="300.08699999999953"/>
    <d v="2025-03-01T00:00:00"/>
  </r>
  <r>
    <x v="67"/>
    <d v="2026-09-07T00:00:00"/>
    <x v="31"/>
    <s v="MIGUEL ANGEL PESTAÑA QUINTO"/>
    <n v="67826371881"/>
    <s v="PEQM630414HVZSNG08"/>
    <n v="2"/>
    <n v="2222177947"/>
    <x v="2"/>
    <n v="7890.93"/>
    <n v="2261.88"/>
    <n v="2367.279"/>
    <n v="105.39899999999989"/>
    <d v="2027-11-01T00:00:00"/>
  </r>
  <r>
    <x v="67"/>
    <d v="2026-09-06T00:00:00"/>
    <x v="54"/>
    <s v="MARIA DEL TRANSITO ZUÑIGA PAREDES"/>
    <m/>
    <s v="ZUPT580912MDGXRR09"/>
    <n v="24283404"/>
    <n v="6678726796"/>
    <x v="7"/>
    <n v="6556.41"/>
    <n v="2097.29"/>
    <n v="1966.9229999999998"/>
    <n v="-130.36700000000019"/>
    <d v="2026-09-01T00:00:00"/>
  </r>
  <r>
    <x v="67"/>
    <d v="2026-09-07T00:00:00"/>
    <x v="28"/>
    <s v="BERTHA ROJAS DEVALOS"/>
    <s v="06825000398"/>
    <s v="RODB501125MGTJVR05"/>
    <n v="24294612"/>
    <n v="5215613377354"/>
    <x v="4"/>
    <m/>
    <m/>
    <n v="0"/>
    <n v="0"/>
    <m/>
  </r>
  <r>
    <x v="67"/>
    <d v="2026-09-05T00:00:00"/>
    <x v="54"/>
    <s v="FERNANDO JESUS CALDERON PECH "/>
    <n v="84836207716"/>
    <s v="CAPF620518HYNLCR00"/>
    <n v="24264752"/>
    <n v="9995531562"/>
    <x v="2"/>
    <n v="7116.73"/>
    <n v="2058.71"/>
    <n v="2135.0189999999998"/>
    <n v="76.308999999999742"/>
    <d v="2027-03-01T00:00:00"/>
  </r>
  <r>
    <x v="67"/>
    <d v="2026-09-07T00:00:00"/>
    <x v="59"/>
    <s v="RAUL BERNAL DIAZ"/>
    <m/>
    <s v="BEDR630801HNTRZL02"/>
    <n v="24296284"/>
    <n v="5213112248306"/>
    <x v="2"/>
    <n v="9760.32"/>
    <n v="2918.58"/>
    <n v="2928.096"/>
    <n v="9.5160000000000764"/>
    <d v="2027-08-01T00:00:00"/>
  </r>
  <r>
    <x v="67"/>
    <d v="2026-09-06T00:00:00"/>
    <x v="13"/>
    <s v="JULIA ROSALES CANDELARIO"/>
    <n v="65755814350"/>
    <s v="ROCJ580626MVZSNL04"/>
    <n v="24287014"/>
    <n v="5212292447347"/>
    <x v="2"/>
    <n v="9081.52"/>
    <n v="2623.92"/>
    <n v="2724.4560000000001"/>
    <n v="100.53600000000006"/>
    <d v="2027-01-01T00:00:00"/>
  </r>
  <r>
    <x v="67"/>
    <d v="2026-09-07T00:00:00"/>
    <x v="13"/>
    <s v="ARTEMIO CRUZ XOLO"/>
    <m/>
    <s v="CUXA521019HVZRLR00"/>
    <n v="24296254"/>
    <n v="5213223809905"/>
    <x v="1"/>
    <n v="3869.36"/>
    <m/>
    <n v="1160.808"/>
    <n v="0"/>
    <m/>
  </r>
  <r>
    <x v="67"/>
    <d v="2026-09-07T00:00:00"/>
    <x v="31"/>
    <s v="RAYMUNDO MOSIVAIS ALVAREZ"/>
    <n v="43745838235"/>
    <s v="MOAR580910HNLNLY09"/>
    <n v="2"/>
    <n v="8124135054"/>
    <x v="2"/>
    <n v="6312.86"/>
    <n v="1738.79"/>
    <n v="1893.8579999999997"/>
    <n v="155.06799999999976"/>
    <d v="2026-10-01T00:00:00"/>
  </r>
  <r>
    <x v="67"/>
    <d v="2026-09-06T00:00:00"/>
    <x v="61"/>
    <s v="Ramon Geronimo Flores"/>
    <m/>
    <s v="GEFR590917HJCRLM04"/>
    <n v="24283124"/>
    <n v="5213312940712"/>
    <x v="0"/>
    <n v="10636.54"/>
    <m/>
    <n v="3190.962"/>
    <n v="3190.962"/>
    <m/>
  </r>
  <r>
    <x v="67"/>
    <d v="2026-09-06T00:00:00"/>
    <x v="61"/>
    <s v="maria jesus castro murillo"/>
    <s v="22826507265"/>
    <m/>
    <n v="24289704"/>
    <n v="5216121571454"/>
    <x v="2"/>
    <n v="9081.52"/>
    <n v="2521.35"/>
    <n v="2724.4560000000001"/>
    <n v="203.10600000000022"/>
    <d v="2026-12-01T00:00:00"/>
  </r>
  <r>
    <x v="67"/>
    <d v="2026-09-04T00:00:00"/>
    <x v="6"/>
    <s v="LUIS MIGUEL HIDALGO MANZO "/>
    <s v="06805800759"/>
    <s v="HIML580513HDFDNS04"/>
    <n v="24254398"/>
    <n v="5215545889699"/>
    <x v="3"/>
    <n v="40143.839999999997"/>
    <n v="11605.36"/>
    <n v="12043.151999999998"/>
    <n v="437.79199999999764"/>
    <d v="2027-10-01T00:00:00"/>
  </r>
  <r>
    <x v="67"/>
    <d v="2026-09-05T00:00:00"/>
    <x v="61"/>
    <m/>
    <s v="11775941880"/>
    <s v="LOPE590517HDFPLD06"/>
    <n v="24274632"/>
    <n v="5215568781978"/>
    <x v="3"/>
    <n v="4813.6899999999996"/>
    <m/>
    <n v="1444.1069999999997"/>
    <n v="640.71"/>
    <m/>
  </r>
  <r>
    <x v="67"/>
    <d v="2026-09-04T00:00:00"/>
    <x v="6"/>
    <s v="SERGIO SOTERO GUERRERO SANCHEZ"/>
    <n v="49846614151"/>
    <s v="GUSS660321HTSRNR06"/>
    <n v="24256894"/>
    <n v="5218674109946"/>
    <x v="2"/>
    <n v="10636.54"/>
    <n v="3189.94"/>
    <n v="3190.962"/>
    <n v="1.0219999999999345"/>
    <d v="2028-05-01T00:00:00"/>
  </r>
  <r>
    <x v="67"/>
    <d v="2026-09-07T00:00:00"/>
    <x v="59"/>
    <s v="ALEJANDRO PULE SUAREZ"/>
    <n v="21907001289"/>
    <s v="PUSA700805HBCLRL05"/>
    <n v="24297354"/>
    <n v="5216463404500"/>
    <x v="1"/>
    <n v="3483.11"/>
    <n v="848"/>
    <n v="1044.933"/>
    <n v="-848"/>
    <m/>
  </r>
  <r>
    <x v="67"/>
    <d v="2026-09-07T00:00:00"/>
    <x v="13"/>
    <s v="JORGE ALBERTO ARENAS ESPINOZA"/>
    <n v="42866516729"/>
    <s v="AEEJ650505HDFRSR07"/>
    <n v="24296596"/>
    <n v="5215619433361"/>
    <x v="2"/>
    <n v="9760.32"/>
    <n v="2870.92"/>
    <n v="2928.096"/>
    <n v="57.175999999999931"/>
    <d v="2028-06-01T00:00:00"/>
  </r>
  <r>
    <x v="67"/>
    <d v="2026-09-05T00:00:00"/>
    <x v="53"/>
    <s v="ANGEL LUCIANO ESPINOSA CABALLERO"/>
    <s v="11796212634"/>
    <s v="EICA630905HDFSBN08"/>
    <n v="24272784"/>
    <n v="5574316749"/>
    <x v="2"/>
    <n v="20707.12"/>
    <n v="6212.14"/>
    <n v="6212.1359999999995"/>
    <n v="-4.0000000008149073E-3"/>
    <d v="2026-10-01T00:00:00"/>
  </r>
  <r>
    <x v="67"/>
    <d v="2026-09-07T00:00:00"/>
    <x v="6"/>
    <s v="CESAR DE JESUS SERRANO GARDUÑO"/>
    <n v="14816222401"/>
    <s v="SEGC620623HQTRRS07"/>
    <n v="24298222"/>
    <n v="5214421607574"/>
    <x v="2"/>
    <n v="12351.29"/>
    <n v="3426.22"/>
    <n v="3705.3870000000002"/>
    <n v="279.16700000000037"/>
    <d v="2026-11-01T00:00:00"/>
  </r>
  <r>
    <x v="67"/>
    <d v="2026-09-07T00:00:00"/>
    <x v="31"/>
    <s v="GERARDO TREVIÑO TOVAR"/>
    <n v="43886701408"/>
    <s v="TETG670421HNLRVR09"/>
    <n v="2"/>
    <s v="81 2179 3890"/>
    <x v="2"/>
    <n v="4505.32"/>
    <n v="722.96"/>
    <n v="1351.5959999999998"/>
    <n v="-390.61999999999989"/>
    <d v="2027-08-01T00:00:00"/>
  </r>
  <r>
    <x v="67"/>
    <d v="2026-09-07T00:00:00"/>
    <x v="31"/>
    <s v="JOSE ANTONIO CASTILLO LOPEZ"/>
    <n v="1978603709"/>
    <s v="CALA600221HDFSPN08"/>
    <n v="2"/>
    <s v="55 8446 1277"/>
    <x v="2"/>
    <n v="7116.74"/>
    <n v="2123.9299999999998"/>
    <n v="2135.0219999999999"/>
    <n v="11.092000000000098"/>
    <d v="2027-02-01T00:00:00"/>
  </r>
  <r>
    <x v="67"/>
    <d v="2026-09-07T00:00:00"/>
    <x v="13"/>
    <s v="JUAN MANUEL ORTIZ"/>
    <n v="49916645747"/>
    <s v="OIXJ620912HTSRXN03"/>
    <n v="24297602"/>
    <n v="5218682101491"/>
    <x v="2"/>
    <n v="4608.3500000000004"/>
    <n v="410.79"/>
    <n v="1382.5050000000001"/>
    <n v="24.58000000000078"/>
    <d v="2027-11-01T00:00:00"/>
  </r>
  <r>
    <x v="67"/>
    <d v="2026-09-05T00:00:00"/>
    <x v="61"/>
    <s v="Felipe de Jesús Chávez Ochoa"/>
    <s v="53856010615"/>
    <s v="CAOF601017MJCHCL03"/>
    <n v="24274536"/>
    <n v="5217531182124"/>
    <x v="2"/>
    <n v="52854.87"/>
    <n v="15789.84"/>
    <n v="15856.460999999999"/>
    <n v="66.620999999999185"/>
    <d v="2027-02-01T00:00:00"/>
  </r>
  <r>
    <x v="67"/>
    <d v="2026-09-07T00:00:00"/>
    <x v="53"/>
    <s v="ELIAZAR MURILLO PEREZ"/>
    <m/>
    <s v="MUPE641202HSPRRL03"/>
    <n v="24297332"/>
    <n v="4492907341"/>
    <x v="3"/>
    <n v="9760.32"/>
    <n v="1794.15"/>
    <n v="2928.096"/>
    <n v="1133.9459999999999"/>
    <d v="2028-04-01T00:00:00"/>
  </r>
  <r>
    <x v="67"/>
    <d v="2026-09-05T00:00:00"/>
    <x v="54"/>
    <s v="JOSE DE JESUS ANGELES ARAIZA"/>
    <m/>
    <s v="AEAJ571211HDFNRS02"/>
    <n v="24258382"/>
    <n v="5582870035"/>
    <x v="0"/>
    <n v="6508.25"/>
    <m/>
    <n v="1952.4749999999999"/>
    <n v="1952.4749999999999"/>
    <m/>
  </r>
  <r>
    <x v="67"/>
    <d v="2026-09-07T00:00:00"/>
    <x v="53"/>
    <s v="BIBIANO ROQUE REYES"/>
    <m/>
    <s v="RORB511202HVZQYB09"/>
    <n v="24294128"/>
    <n v="5540155545"/>
    <x v="1"/>
    <n v="3879.3"/>
    <n v="879"/>
    <n v="1163.79"/>
    <n v="-879"/>
    <m/>
  </r>
  <r>
    <x v="67"/>
    <d v="2026-09-07T00:00:00"/>
    <x v="28"/>
    <s v="GERARDO DAVID MIER TRUJILLO"/>
    <s v="32815909000_x000a_"/>
    <s v="MITG591229HDGRRR07"/>
    <n v="24295750"/>
    <n v="5218715208206"/>
    <x v="0"/>
    <n v="5617.63"/>
    <m/>
    <n v="1685.289"/>
    <n v="1444.6500000000005"/>
    <m/>
  </r>
  <r>
    <x v="67"/>
    <d v="2026-09-07T00:00:00"/>
    <x v="54"/>
    <s v="JESUS EDEN  SANCHEZ TORRES"/>
    <m/>
    <s v="SATJ660102HVZNRS02"/>
    <n v="24297288"/>
    <n v="2292258905"/>
    <x v="0"/>
    <n v="10636.36"/>
    <m/>
    <n v="3190.9079999999999"/>
    <n v="3190.9079999999999"/>
    <m/>
  </r>
  <r>
    <x v="67"/>
    <d v="2026-09-07T00:00:00"/>
    <x v="6"/>
    <s v="ANTONIO REYES VELAZQUEZ "/>
    <n v="24806351797"/>
    <s v="REVA630325HSRYLN00"/>
    <n v="24298508"/>
    <n v="5216441162053"/>
    <x v="2"/>
    <n v="7920.51"/>
    <n v="2291.6"/>
    <n v="2376.1529999999998"/>
    <n v="84.552999999999884"/>
    <d v="2027-01-01T00:00:00"/>
  </r>
  <r>
    <x v="67"/>
    <d v="2026-09-06T00:00:00"/>
    <x v="59"/>
    <s v="JESUS PELATOS MARQUEZ"/>
    <n v="21755818313"/>
    <s v="PEMJ580724HBCLRS01"/>
    <n v="24287256"/>
    <n v="5216461369551"/>
    <x v="2"/>
    <n v="7920.51"/>
    <n v="2374.7600000000002"/>
    <n v="2376.1529999999998"/>
    <n v="1.3929999999995744"/>
    <d v="2028-06-01T00:00:00"/>
  </r>
  <r>
    <x v="67"/>
    <d v="2026-09-06T00:00:00"/>
    <x v="59"/>
    <s v="FRANCISCO CERON"/>
    <n v="10786035583"/>
    <s v="CEXF611004HDFRXR05"/>
    <n v="24287632"/>
    <n v="5215534164563"/>
    <x v="0"/>
    <n v="35969.39"/>
    <m/>
    <n v="10790.816999999999"/>
    <n v="10790.816999999999"/>
    <m/>
  </r>
  <r>
    <x v="67"/>
    <d v="2026-09-06T00:00:00"/>
    <x v="13"/>
    <s v="EVELIA PERALTA ORTEGA"/>
    <m/>
    <s v="PEOE600705MDFRRV03"/>
    <n v="24289344"/>
    <n v="5215527709409"/>
    <x v="3"/>
    <n v="6262.86"/>
    <n v="879"/>
    <n v="1878.8579999999997"/>
    <n v="999.85799999999972"/>
    <m/>
  </r>
  <r>
    <x v="67"/>
    <d v="2026-09-07T00:00:00"/>
    <x v="28"/>
    <s v="JUAN SANCHEZ PEREZ"/>
    <s v="65826222138_x000a_"/>
    <m/>
    <n v="24298926"/>
    <n v="5218991597540"/>
    <x v="2"/>
    <n v="11078.99"/>
    <n v="3058.38"/>
    <n v="3323.6969999999997"/>
    <n v="265.31699999999955"/>
    <d v="2026-10-01T00:00:00"/>
  </r>
  <r>
    <x v="67"/>
    <d v="2026-09-07T00:00:00"/>
    <x v="54"/>
    <s v="JOSE ANGEL NIÑO MORIN"/>
    <m/>
    <s v="NIMA640412HSPXRN04"/>
    <n v="24292658"/>
    <n v="8124006060"/>
    <x v="6"/>
    <n v="9081.52"/>
    <n v="2516.75"/>
    <n v="2724.4560000000001"/>
    <n v="207.70600000000013"/>
    <d v="2026-07-01T00:00:00"/>
  </r>
  <r>
    <x v="67"/>
    <d v="2026-09-07T00:00:00"/>
    <x v="53"/>
    <s v="LEONILA ROMERO CASTRO"/>
    <n v="23815715828"/>
    <s v="ROCL571009MBSMSN08"/>
    <n v="24297568"/>
    <n v="6121112441"/>
    <x v="2"/>
    <n v="32425.85"/>
    <n v="9724.59"/>
    <n v="9727.7549999999992"/>
    <n v="3.1649999999990541"/>
    <d v="2027-12-01T00:00:00"/>
  </r>
  <r>
    <x v="67"/>
    <d v="2026-09-07T00:00:00"/>
    <x v="53"/>
    <s v="LEONILA ROMERO CASTRO"/>
    <n v="22755701293"/>
    <s v="ROCL571009MBSMSN08"/>
    <n v="24297568"/>
    <n v="6121112441"/>
    <x v="1"/>
    <n v="4342.43"/>
    <m/>
    <n v="1302.729"/>
    <n v="169.45000000000073"/>
    <m/>
  </r>
  <r>
    <x v="67"/>
    <d v="2026-09-06T00:00:00"/>
    <x v="13"/>
    <s v="OLEGARIO ARCE VILLEGAS"/>
    <m/>
    <s v="AEVO710702HBSRLL05"/>
    <n v="24288606"/>
    <n v="5216151599764"/>
    <x v="0"/>
    <n v="96277.41"/>
    <n v="13700.2"/>
    <n v="28883.223000000002"/>
    <n v="15183.023000000001"/>
    <d v="2026-01-01T00:00:00"/>
  </r>
  <r>
    <x v="67"/>
    <d v="2026-09-07T00:00:00"/>
    <x v="53"/>
    <s v="MAURICIO DOMINGUEZ ORTIZ"/>
    <m/>
    <s v="DOOM510922HVZMRR09"/>
    <n v="24295824"/>
    <n v="2292578554"/>
    <x v="1"/>
    <n v="3855.42"/>
    <n v="848"/>
    <n v="1156.626"/>
    <n v="-848"/>
    <m/>
  </r>
  <r>
    <x v="67"/>
    <d v="2026-09-07T00:00:00"/>
    <x v="13"/>
    <s v="RAUL ANTONIO GONZALEZ DURAN"/>
    <n v="67856570576"/>
    <s v="GODR651108HVZNRL09"/>
    <n v="24299364"/>
    <n v="5218122055931"/>
    <x v="0"/>
    <n v="10636.54"/>
    <m/>
    <n v="3190.962"/>
    <n v="3190.962"/>
    <m/>
  </r>
  <r>
    <x v="67"/>
    <d v="2026-09-06T00:00:00"/>
    <x v="54"/>
    <s v="MARIA JULIETA ESPARZA ROMAN"/>
    <m/>
    <s v="EARJ770730MMCSML19"/>
    <n v="24286872"/>
    <n v="7861043271"/>
    <x v="5"/>
    <m/>
    <m/>
    <n v="0"/>
    <n v="0"/>
    <m/>
  </r>
  <r>
    <x v="67"/>
    <d v="2026-09-07T00:00:00"/>
    <x v="28"/>
    <s v="REYNALDO FELIPE GONZALEZ FLORES"/>
    <m/>
    <s v="GOFR640314HNLNLY05"/>
    <n v="24300162"/>
    <n v="24300162"/>
    <x v="3"/>
    <n v="29304.58"/>
    <n v="8128.52"/>
    <n v="8791.3739999999998"/>
    <n v="662.85399999999936"/>
    <d v="2026-10-01T00:00:00"/>
  </r>
  <r>
    <x v="67"/>
    <d v="2026-09-07T00:00:00"/>
    <x v="6"/>
    <s v="EDUARDO LOPEZ PEREZ "/>
    <m/>
    <s v="LOPE640115HCSPRD04"/>
    <n v="24301476"/>
    <n v="5219622950657"/>
    <x v="2"/>
    <n v="9081.52"/>
    <n v="2724.46"/>
    <n v="2724.4560000000001"/>
    <n v="-3.9999999999054126E-3"/>
    <d v="2028-04-01T00:00:00"/>
  </r>
  <r>
    <x v="67"/>
    <d v="2026-09-07T00:00:00"/>
    <x v="31"/>
    <s v="SARA SANCHEZ GARCIA"/>
    <n v="43816344279"/>
    <s v="SAGS640929MNLNRR07"/>
    <n v="2"/>
    <s v="81 2122 4649"/>
    <x v="2"/>
    <n v="9081.52"/>
    <n v="2624.9"/>
    <n v="2724.4560000000001"/>
    <n v="99.55600000000004"/>
    <d v="2027-09-01T00:00:00"/>
  </r>
  <r>
    <x v="67"/>
    <d v="2026-09-07T00:00:00"/>
    <x v="31"/>
    <s v="JOSE LUIS ORTIZ PATIÑO"/>
    <n v="20906602725"/>
    <s v="OIPL660113HGRRTS00"/>
    <n v="2"/>
    <n v="5548324263"/>
    <x v="2"/>
    <n v="11012.15"/>
    <n v="3303.64"/>
    <n v="3303.645"/>
    <n v="5.0000000001091394E-3"/>
    <d v="2027-03-01T00:00:00"/>
  </r>
  <r>
    <x v="67"/>
    <d v="2026-09-07T00:00:00"/>
    <x v="31"/>
    <s v="CRISTOBAL LUNA LARA"/>
    <n v="11805202147"/>
    <s v="LULC510709HDFNRR00"/>
    <n v="2"/>
    <n v="5562178734"/>
    <x v="1"/>
    <n v="4116.29"/>
    <n v="879"/>
    <n v="1234.8869999999999"/>
    <n v="-879"/>
    <m/>
  </r>
  <r>
    <x v="67"/>
    <d v="2026-09-07T00:00:00"/>
    <x v="54"/>
    <s v="MARTIN CRUZ"/>
    <m/>
    <s v="CUXM650918HSLRXR08"/>
    <n v="24295790"/>
    <n v="6694809567"/>
    <x v="2"/>
    <n v="9760.32"/>
    <n v="2924.46"/>
    <n v="2928.096"/>
    <n v="3.6359999999999673"/>
    <d v="2028-05-01T00:00:00"/>
  </r>
  <r>
    <x v="67"/>
    <d v="2026-09-07T00:00:00"/>
    <x v="31"/>
    <s v="LUIS MANUEL JIMENEZ SALGADO "/>
    <n v="72917341660"/>
    <s v="JISL730621HGRMLS04"/>
    <n v="2"/>
    <n v="4623038485"/>
    <x v="1"/>
    <n v="3526.31"/>
    <m/>
    <n v="1057.893"/>
    <n v="0"/>
    <m/>
  </r>
  <r>
    <x v="67"/>
    <d v="2026-09-07T00:00:00"/>
    <x v="31"/>
    <s v="MARTIN RODRIGUEZ MEDINA"/>
    <n v="43826634792"/>
    <s v="ROMM660202HCLDDR00"/>
    <n v="2"/>
    <n v="8119598052"/>
    <x v="2"/>
    <n v="10718.75"/>
    <n v="3211.25"/>
    <n v="3215.625"/>
    <n v="4.375"/>
    <d v="2027-02-01T00:00:00"/>
  </r>
  <r>
    <x v="67"/>
    <d v="2026-09-07T00:00:00"/>
    <x v="31"/>
    <s v="JUAN JOSE PATLAX PERALTA"/>
    <n v="10785802066"/>
    <s v="PAPJ581027HVZTRNO5"/>
    <n v="2"/>
    <n v="5560920406"/>
    <x v="2"/>
    <n v="6262.86"/>
    <n v="1799.28"/>
    <n v="1878.8579999999997"/>
    <n v="79.577999999999747"/>
    <d v="2027-07-01T00:00:00"/>
  </r>
  <r>
    <x v="67"/>
    <d v="2026-09-07T00:00:00"/>
    <x v="6"/>
    <s v="ROSA ELVA"/>
    <n v="23785612385"/>
    <m/>
    <n v="24302184"/>
    <n v="5216871299700"/>
    <x v="0"/>
    <n v="7128.48"/>
    <m/>
    <n v="2138.5439999999999"/>
    <n v="2138.5439999999999"/>
    <m/>
  </r>
  <r>
    <x v="67"/>
    <d v="2026-09-07T00:00:00"/>
    <x v="13"/>
    <s v="ELOY LEYVA DELGADO "/>
    <s v="01896201462"/>
    <s v=" LEDE621011HDFYLL06"/>
    <n v="24293446"/>
    <n v="5215515049507"/>
    <x v="0"/>
    <n v="37107.230000000003"/>
    <n v="879"/>
    <n v="11132.169"/>
    <n v="10253.169"/>
    <m/>
  </r>
  <r>
    <x v="67"/>
    <d v="2026-09-07T00:00:00"/>
    <x v="53"/>
    <s v="LAURA GARCIA ALVAREZ"/>
    <s v="23795204785"/>
    <s v="GAAL600624MDGRLR00"/>
    <n v="24289786"/>
    <n v="6871599750"/>
    <x v="2"/>
    <n v="8173.37"/>
    <n v="2451.38"/>
    <n v="2452.011"/>
    <n v="0.63099999999985812"/>
    <d v="2027-05-01T00:00:00"/>
  </r>
  <r>
    <x v="67"/>
    <d v="2026-09-07T00:00:00"/>
    <x v="54"/>
    <s v="MARIO VICUÑA AVILES"/>
    <m/>
    <s v="VIAM500101HDFCVR09"/>
    <n v="24289718"/>
    <n v="7777877917"/>
    <x v="3"/>
    <n v="12541.61"/>
    <n v="3084.9"/>
    <n v="3762.4830000000002"/>
    <n v="677.58300000000008"/>
    <d v="2027-05-01T00:00:00"/>
  </r>
  <r>
    <x v="67"/>
    <d v="2026-09-07T00:00:00"/>
    <x v="61"/>
    <s v="José Guadalupe Martinez Aguilar"/>
    <n v="43826629701"/>
    <m/>
    <n v="24302618"/>
    <n v="5214271277825"/>
    <x v="0"/>
    <n v="10636.54"/>
    <m/>
    <n v="3190.962"/>
    <n v="3190.962"/>
    <m/>
  </r>
  <r>
    <x v="67"/>
    <d v="2026-09-07T00:00:00"/>
    <x v="6"/>
    <s v="ERNESTO HERRERA GONZALEZ"/>
    <n v="43776203010"/>
    <s v="HEGE610815HNLRNR01"/>
    <n v="24298686"/>
    <n v="5218112762436"/>
    <x v="1"/>
    <n v="4035.7"/>
    <m/>
    <n v="1210.7099999999998"/>
    <n v="0"/>
    <m/>
  </r>
  <r>
    <x v="67"/>
    <d v="2026-09-07T00:00:00"/>
    <x v="31"/>
    <s v="RAMON RUIZ DE LA CRUZ"/>
    <n v="19725506208"/>
    <s v="RUCR560831HDFZRM07"/>
    <n v="2"/>
    <n v="5561009641"/>
    <x v="2"/>
    <n v="18272.75"/>
    <n v="5284.32"/>
    <n v="5481.8249999999998"/>
    <n v="197.50500000000011"/>
    <d v="2026-12-01T00:00:00"/>
  </r>
  <r>
    <x v="67"/>
    <d v="2026-09-07T00:00:00"/>
    <x v="59"/>
    <s v="ANTONIO SANCHEZ ALCANTARA"/>
    <n v="72745206010"/>
    <m/>
    <n v="24292814"/>
    <n v="5217131059737"/>
    <x v="2"/>
    <n v="5617.63"/>
    <n v="1393.24"/>
    <n v="1685.289"/>
    <n v="51.410000000000537"/>
    <d v="2027-07-01T00:00:00"/>
  </r>
  <r>
    <x v="67"/>
    <d v="2026-09-06T00:00:00"/>
    <x v="53"/>
    <s v="MIGUEL ANGEL HERNANDEZ LIRA"/>
    <m/>
    <s v="HELM660105HJCRRG01"/>
    <n v="24284696"/>
    <n v="3114454831"/>
    <x v="3"/>
    <n v="11029.03"/>
    <n v="2410.62"/>
    <n v="3308.7090000000003"/>
    <n v="898.0890000000004"/>
    <d v="2028-08-01T00:00:00"/>
  </r>
  <r>
    <x v="67"/>
    <d v="2026-09-07T00:00:00"/>
    <x v="54"/>
    <s v="LINO GUERRERO TORRES"/>
    <m/>
    <s v="GUTL630826HCLRRN08"/>
    <n v="24302664"/>
    <n v="8714689811"/>
    <x v="0"/>
    <n v="10636.54"/>
    <m/>
    <n v="3190.962"/>
    <n v="3190.962"/>
    <m/>
  </r>
  <r>
    <x v="67"/>
    <d v="2026-09-07T00:00:00"/>
    <x v="61"/>
    <s v="Pedro Manuel Zazueta Ramos"/>
    <m/>
    <s v="ZARP630311HSLZMD07"/>
    <n v="24302978"/>
    <n v="5216677914857"/>
    <x v="9"/>
    <n v="18141.43"/>
    <n v="4809.04"/>
    <n v="5442.4290000000001"/>
    <n v="633.38900000000012"/>
    <d v="2026-02-01T00:00:00"/>
  </r>
  <r>
    <x v="68"/>
    <d v="2026-09-08T00:00:00"/>
    <x v="6"/>
    <s v="MARTHA YADIRA MEDINA VAZQUEZ "/>
    <n v="52765701298"/>
    <s v="MEVM721116MCMDZR08"/>
    <n v="24314542"/>
    <n v="5213141658160"/>
    <x v="3"/>
    <n v="4820.03"/>
    <m/>
    <n v="1446.0089999999998"/>
    <n v="647.05000000000018"/>
    <m/>
  </r>
  <r>
    <x v="68"/>
    <d v="2026-09-07T00:00:00"/>
    <x v="28"/>
    <s v="FRANCISCO DE ASIS LOPEZ BAREA"/>
    <s v="85724723912"/>
    <s v="LOBF471004HYNPRR06"/>
    <n v="24303880"/>
    <n v="5219911337021"/>
    <x v="0"/>
    <n v="11128.02"/>
    <m/>
    <n v="3338.4059999999999"/>
    <n v="3338.4059999999999"/>
    <m/>
  </r>
  <r>
    <x v="68"/>
    <d v="2026-09-08T00:00:00"/>
    <x v="31"/>
    <s v="DARIO RODRIGUEZ LOPEZ"/>
    <n v="12684921955"/>
    <s v="ROLD491219HGTDPR01"/>
    <n v="2"/>
    <s v="464 102 6592"/>
    <x v="3"/>
    <n v="5279.63"/>
    <m/>
    <n v="1583.8889999999999"/>
    <n v="1106.6500000000005"/>
    <m/>
  </r>
  <r>
    <x v="68"/>
    <d v="2026-09-08T00:00:00"/>
    <x v="6"/>
    <s v="BENIGNO JAIME BUENRROSTRO "/>
    <s v="04816404299"/>
    <s v="JABB641216HJCMNN01"/>
    <n v="24312436"/>
    <n v="5213921661483"/>
    <x v="2"/>
    <n v="9760.32"/>
    <n v="2823.89"/>
    <n v="2928.096"/>
    <n v="104.20600000000013"/>
    <d v="2028-02-01T00:00:00"/>
  </r>
  <r>
    <x v="68"/>
    <d v="2026-09-08T00:00:00"/>
    <x v="31"/>
    <s v="GRACIELA SORIANO ROMERO"/>
    <n v="11926504595"/>
    <s v="SORG640625MOCRMR03"/>
    <n v="2"/>
    <n v="5529013142"/>
    <x v="2"/>
    <n v="9081.52"/>
    <n v="2721.88"/>
    <n v="2724.4560000000001"/>
    <n v="2.5760000000000218"/>
    <d v="2028-07-01T00:00:00"/>
  </r>
  <r>
    <x v="68"/>
    <d v="2026-09-08T00:00:00"/>
    <x v="18"/>
    <s v="Fidel López Martínez "/>
    <m/>
    <s v="LOMF500323HDGPRD06"/>
    <n v="1"/>
    <n v="8714380309"/>
    <x v="0"/>
    <n v="7111.89"/>
    <m/>
    <n v="2133.567"/>
    <n v="2133.567"/>
    <m/>
  </r>
  <r>
    <x v="68"/>
    <d v="2026-09-06T00:00:00"/>
    <x v="53"/>
    <m/>
    <s v="06705024187"/>
    <s v="VERL500111HSRLMP05"/>
    <n v="24306106"/>
    <n v="5591007340"/>
    <x v="6"/>
    <n v="30327.4"/>
    <n v="8076.3"/>
    <n v="9098.2199999999993"/>
    <n v="1021.9199999999992"/>
    <d v="2025-02-01T00:00:00"/>
  </r>
  <r>
    <x v="68"/>
    <d v="2026-09-07T00:00:00"/>
    <x v="6"/>
    <s v="RODRIGO CAMPA GARCIA "/>
    <n v="24765708292"/>
    <s v="CAGR560411HSRMRD09"/>
    <n v="24307906"/>
    <n v="5216623047925"/>
    <x v="2"/>
    <n v="6262.86"/>
    <n v="1811"/>
    <n v="1878.8579999999997"/>
    <n v="67.85799999999972"/>
    <d v="2027-05-01T00:00:00"/>
  </r>
  <r>
    <x v="68"/>
    <d v="2026-09-04T00:00:00"/>
    <x v="54"/>
    <s v="MARIO CERVERA MARTINEZ"/>
    <m/>
    <s v="CEMM520923HGTRRR08"/>
    <n v="24257878"/>
    <n v="4773526227"/>
    <x v="2"/>
    <n v="10002.299999999999"/>
    <n v="2776.73"/>
    <n v="3000.6899999999996"/>
    <n v="223.95999999999958"/>
    <d v="2026-11-01T00:00:00"/>
  </r>
  <r>
    <x v="68"/>
    <d v="2026-07-07T00:00:00"/>
    <x v="58"/>
    <s v="MARCO ANTONIO NOVELI BUENFIL"/>
    <n v="82846500427"/>
    <s v="NOBM661107HQRVNR08"/>
    <n v="22442836"/>
    <n v="5219833328426"/>
    <x v="6"/>
    <n v="5500.02"/>
    <n v="1227.94"/>
    <n v="1650.0060000000001"/>
    <n v="99.100000000000819"/>
    <d v="2026-09-01T00:00:00"/>
  </r>
  <r>
    <x v="68"/>
    <d v="2026-09-07T00:00:00"/>
    <x v="53"/>
    <s v="DEMETRIO CRUZ RAMIREZ"/>
    <s v="67058217943"/>
    <s v="CURD821222HVZRMM04"/>
    <n v="24315206"/>
    <n v="9519055791"/>
    <x v="5"/>
    <m/>
    <m/>
    <n v="0"/>
    <n v="0"/>
    <m/>
  </r>
  <r>
    <x v="68"/>
    <d v="2026-09-08T00:00:00"/>
    <x v="28"/>
    <s v="SANTIAGO DELGADO VALTIERRA"/>
    <s v="51705013863"/>
    <s v="DEVS500724HASLLN00"/>
    <n v="24309416"/>
    <n v="5214491056379"/>
    <x v="1"/>
    <n v="3855.42"/>
    <n v="848"/>
    <n v="1156.626"/>
    <n v="-848"/>
    <m/>
  </r>
  <r>
    <x v="68"/>
    <d v="2026-09-06T00:00:00"/>
    <x v="53"/>
    <s v="José Luis Armando de la Garza Sánchez"/>
    <n v="32856442432"/>
    <s v="GASL640426HCLRNS04"/>
    <n v="24282658"/>
    <n v="8781353824"/>
    <x v="0"/>
    <n v="11029.03"/>
    <n v="879"/>
    <n v="3308.7090000000003"/>
    <n v="2429.7090000000003"/>
    <m/>
  </r>
  <r>
    <x v="68"/>
    <d v="2026-09-08T00:00:00"/>
    <x v="53"/>
    <s v="José Rodríguez Tellez "/>
    <m/>
    <s v="ROTJ640319HPLDLS06"/>
    <n v="24310118"/>
    <n v="5539600231"/>
    <x v="2"/>
    <n v="9081.52"/>
    <n v="2499.8000000000002"/>
    <n v="2724.4560000000001"/>
    <n v="224.65599999999995"/>
    <d v="2027-01-01T00:00:00"/>
  </r>
  <r>
    <x v="68"/>
    <d v="2026-09-06T00:00:00"/>
    <x v="61"/>
    <s v="Rodrigo Lopez Diaz"/>
    <n v="78826104610"/>
    <s v="LODR610817HOCPZD05"/>
    <n v="24285520"/>
    <n v="5219513046786"/>
    <x v="7"/>
    <n v="5055.87"/>
    <n v="1063.3499999999999"/>
    <n v="1516.761"/>
    <n v="-180.45999999999958"/>
    <d v="2024-07-01T00:00:00"/>
  </r>
  <r>
    <x v="68"/>
    <d v="2026-09-07T00:00:00"/>
    <x v="6"/>
    <s v="ALFONSO MORALES "/>
    <n v="64836325791"/>
    <m/>
    <n v="24306348"/>
    <n v="5217771352346"/>
    <x v="3"/>
    <n v="58238.879999999997"/>
    <n v="16831.599999999999"/>
    <n v="17471.663999999997"/>
    <n v="640.06399999999849"/>
    <d v="2027-03-01T00:00:00"/>
  </r>
  <r>
    <x v="68"/>
    <d v="2026-09-07T00:00:00"/>
    <x v="61"/>
    <s v="Dino Estrada Solorio"/>
    <s v="53867014655"/>
    <s v="EASD720807HMNSLN08"/>
    <n v="24297356"/>
    <n v="5214434375123"/>
    <x v="2"/>
    <n v="7235.36"/>
    <n v="2170.61"/>
    <n v="2170.6079999999997"/>
    <n v="-2.0000000004074536E-3"/>
    <d v="2027-07-01T00:00:00"/>
  </r>
  <r>
    <x v="68"/>
    <d v="2026-09-05T00:00:00"/>
    <x v="59"/>
    <s v="RAQUEL GASPAR SANTANA"/>
    <s v="94886712507 "/>
    <s v="GASR660516MMNSNQ01"/>
    <n v="24266222"/>
    <n v="5215569053197"/>
    <x v="2"/>
    <n v="10636.54"/>
    <n v="3189.94"/>
    <n v="3190.962"/>
    <n v="1.0219999999999345"/>
    <d v="2028-07-01T00:00:00"/>
  </r>
  <r>
    <x v="68"/>
    <d v="2026-09-07T00:00:00"/>
    <x v="13"/>
    <s v="MANUEL LOYA OJEDA"/>
    <m/>
    <s v="LOOM620621HCHYJN00"/>
    <n v="24302606"/>
    <n v="5218713967006"/>
    <x v="2"/>
    <n v="7116.73"/>
    <n v="2058.04"/>
    <n v="2135.0189999999998"/>
    <n v="76.978999999999814"/>
    <d v="2027-01-01T00:00:00"/>
  </r>
  <r>
    <x v="68"/>
    <d v="2026-09-07T00:00:00"/>
    <x v="61"/>
    <s v="juan gonzalez hernandez"/>
    <m/>
    <s v="GOHJ660314HTLNRN01"/>
    <n v="24305176"/>
    <n v="5215654791021"/>
    <x v="0"/>
    <n v="10636.54"/>
    <m/>
    <n v="3190.962"/>
    <n v="3190.962"/>
    <m/>
  </r>
  <r>
    <x v="68"/>
    <d v="2026-09-07T00:00:00"/>
    <x v="6"/>
    <s v="ALICIA ISABEL FUENTES ORTEGA "/>
    <s v="96937002994"/>
    <s v="FUOA770508MDFNRL00"/>
    <n v="24307352"/>
    <n v="5215613021491"/>
    <x v="0"/>
    <n v="9098.57"/>
    <m/>
    <n v="2729.5709999999999"/>
    <n v="2729.5709999999999"/>
    <m/>
  </r>
  <r>
    <x v="68"/>
    <d v="2026-09-07T00:00:00"/>
    <x v="59"/>
    <s v="FELIPE HURTADO GARCIA"/>
    <s v="04816209128"/>
    <s v="HUGF620415HJCRRL01"/>
    <n v="24302186"/>
    <n v="5213334629433"/>
    <x v="2"/>
    <n v="7116.73"/>
    <n v="1974.86"/>
    <n v="2135.0189999999998"/>
    <n v="160.15899999999988"/>
    <d v="2027-01-01T00:00:00"/>
  </r>
  <r>
    <x v="68"/>
    <d v="2026-09-07T00:00:00"/>
    <x v="61"/>
    <s v="Boris Mauricio Reynolds Chávez"/>
    <s v="65926618573"/>
    <m/>
    <n v="24298956"/>
    <n v="5212292417134"/>
    <x v="0"/>
    <n v="10636.54"/>
    <m/>
    <n v="3190.962"/>
    <n v="3190.962"/>
    <m/>
  </r>
  <r>
    <x v="68"/>
    <d v="2026-09-07T00:00:00"/>
    <x v="13"/>
    <s v="MARIA DEL CARMEN CASTREJON RAMIREZ"/>
    <n v="23856762663"/>
    <s v="CARC671230MSLSMR05"/>
    <n v="24307434"/>
    <n v="5218701449860"/>
    <x v="2"/>
    <n v="8181.55"/>
    <n v="2453.9899999999998"/>
    <n v="2454.4650000000001"/>
    <n v="0.4750000000003638"/>
    <d v="2026-10-01T00:00:00"/>
  </r>
  <r>
    <x v="68"/>
    <d v="2026-09-08T00:00:00"/>
    <x v="54"/>
    <s v="TOMAS EDUARDO SOSA RIOS"/>
    <n v="43755823754"/>
    <s v="SORT581208HNLSSM05"/>
    <n v="24314330"/>
    <n v="8117465753"/>
    <x v="2"/>
    <n v="9318.7999999999993"/>
    <n v="2793.17"/>
    <n v="2795.64"/>
    <n v="2.4699999999997999"/>
    <d v="2028-03-01T00:00:00"/>
  </r>
  <r>
    <x v="68"/>
    <d v="2026-09-06T00:00:00"/>
    <x v="61"/>
    <s v="LEOPOLDO RAUL GOMEZ GARCIA"/>
    <s v="01755771902"/>
    <s v="GOGL571212HDFMRP06"/>
    <n v="24286836"/>
    <n v="5216121573006"/>
    <x v="0"/>
    <n v="9738.67"/>
    <m/>
    <n v="2921.6010000000001"/>
    <n v="2921.6010000000001"/>
    <m/>
  </r>
  <r>
    <x v="68"/>
    <d v="2026-09-08T00:00:00"/>
    <x v="31"/>
    <s v="ANTONIO HUERTA ESPINOZA"/>
    <n v="83745200945"/>
    <s v="HUEA520613HVZRSN03"/>
    <n v="2"/>
    <n v="3325909383"/>
    <x v="2"/>
    <n v="27438.44"/>
    <n v="8231.5300000000007"/>
    <n v="8231.5319999999992"/>
    <n v="1.9999999985884642E-3"/>
    <d v="2027-02-01T00:00:00"/>
  </r>
  <r>
    <x v="68"/>
    <d v="2026-09-07T00:00:00"/>
    <x v="59"/>
    <s v="JUAN ANSELMO HERNANDEZ SILVA"/>
    <s v="06796264353"/>
    <s v="HESJ630421HDFRLN01"/>
    <n v="24304574"/>
    <n v="5215547237093"/>
    <x v="2"/>
    <n v="10636.54"/>
    <n v="3190"/>
    <n v="3190.962"/>
    <n v="0.96199999999998909"/>
    <d v="2028-07-01T00:00:00"/>
  </r>
  <r>
    <x v="68"/>
    <d v="2026-09-08T00:00:00"/>
    <x v="13"/>
    <s v="EMILIO ZARCO FUENTES"/>
    <s v="0179615732"/>
    <s v="ZAFE620813HMNRNM01"/>
    <n v="24312558"/>
    <n v="5215567727821"/>
    <x v="2"/>
    <n v="7116.73"/>
    <n v="2135.02"/>
    <n v="2135.0189999999998"/>
    <n v="-1.0000000002037268E-3"/>
    <d v="2028-06-01T00:00:00"/>
  </r>
  <r>
    <x v="68"/>
    <d v="2026-09-08T00:00:00"/>
    <x v="61"/>
    <s v="Manuel Vazquez Gonzalez"/>
    <n v="83745801049"/>
    <s v="VAGM591207HTCZNN05"/>
    <n v="24322630"/>
    <n v="5219372710871"/>
    <x v="2"/>
    <n v="23081.93"/>
    <n v="6912.63"/>
    <n v="6924.5789999999997"/>
    <n v="11.948999999999614"/>
    <d v="2028-07-01T00:00:00"/>
  </r>
  <r>
    <x v="68"/>
    <d v="2026-09-08T00:00:00"/>
    <x v="59"/>
    <s v="J.CARMEN VALERO ALVARADO"/>
    <m/>
    <s v="VAAC650110HSPLLR14"/>
    <n v="24318326"/>
    <n v="5214446716481"/>
    <x v="2"/>
    <n v="17484.990000000002"/>
    <n v="5233.54"/>
    <n v="5245.4970000000003"/>
    <n v="11.957000000000335"/>
    <d v="2027-10-01T00:00:00"/>
  </r>
  <r>
    <x v="68"/>
    <d v="2026-09-08T00:00:00"/>
    <x v="31"/>
    <s v="JAVIER RIVERA TORRES"/>
    <n v="43796400208"/>
    <s v="RITJ640214HNLVRV00"/>
    <n v="2"/>
    <s v="81 2911 6742"/>
    <x v="7"/>
    <n v="7920.51"/>
    <n v="2266.25"/>
    <n v="2376.1529999999998"/>
    <n v="109.90299999999979"/>
    <d v="2026-09-01T00:00:00"/>
  </r>
  <r>
    <x v="68"/>
    <d v="2026-09-08T00:00:00"/>
    <x v="54"/>
    <s v="OSCAR CONTRERAS RIVERA"/>
    <m/>
    <s v="CORO660308HSPNVS04"/>
    <n v="24323194"/>
    <n v="4443905966"/>
    <x v="2"/>
    <n v="10636.54"/>
    <n v="3190.96"/>
    <n v="3190.962"/>
    <n v="1.9999999999527063E-3"/>
    <d v="2028-08-01T00:00:00"/>
  </r>
  <r>
    <x v="68"/>
    <d v="2026-09-08T00:00:00"/>
    <x v="59"/>
    <s v="ISAIAS SANCHEZ PONCE"/>
    <s v="43826314494_x000a_"/>
    <s v="SAPI630706HNLNNS01"/>
    <n v="24323240"/>
    <n v="5218115567613"/>
    <x v="3"/>
    <n v="9081.52"/>
    <n v="2053.5700000000002"/>
    <n v="2724.4560000000001"/>
    <n v="670.88599999999997"/>
    <d v="2027-01-01T00:00:00"/>
  </r>
  <r>
    <x v="68"/>
    <d v="2026-09-08T00:00:00"/>
    <x v="31"/>
    <s v="JOSE LUIS TARACO REYES"/>
    <n v="43776022709"/>
    <s v="TARL600621HNLRYS08"/>
    <n v="2"/>
    <n v="8118992267"/>
    <x v="2"/>
    <n v="36669.1"/>
    <n v="11000.52"/>
    <n v="11000.73"/>
    <n v="0.20999999999912689"/>
    <d v="2027-08-01T00:00:00"/>
  </r>
  <r>
    <x v="68"/>
    <d v="2026-09-08T00:00:00"/>
    <x v="53"/>
    <s v="FELIPE MARTIN GONZALEZ RAMIREZ"/>
    <m/>
    <s v="GORF630518HDFNML01"/>
    <n v="24324380"/>
    <n v="5562321757"/>
    <x v="6"/>
    <n v="9081.52"/>
    <n v="2510.52"/>
    <n v="2724.4560000000001"/>
    <n v="213.93600000000015"/>
    <d v="2026-06-01T00:00:00"/>
  </r>
  <r>
    <x v="68"/>
    <d v="2026-09-07T00:00:00"/>
    <x v="13"/>
    <s v="TERESA CRUZ ORTIZ"/>
    <n v="78856306671"/>
    <s v="CUOT630930MOCRRR06"/>
    <n v="24295858"/>
    <n v="5216566013537"/>
    <x v="2"/>
    <n v="7920.51"/>
    <n v="2291.6"/>
    <n v="2376.1529999999998"/>
    <n v="84.552999999999884"/>
    <d v="2028-02-01T00:00:00"/>
  </r>
  <r>
    <x v="68"/>
    <d v="2026-09-05T00:00:00"/>
    <x v="53"/>
    <s v="PABLO MACIAS TORRES"/>
    <m/>
    <s v="MATP730104HJCCRB04"/>
    <n v="24274508"/>
    <n v="3322590028"/>
    <x v="2"/>
    <n v="4962.2"/>
    <n v="730"/>
    <n v="1488.6599999999999"/>
    <n v="59.220000000000255"/>
    <d v="2027-01-01T00:00:00"/>
  </r>
  <r>
    <x v="68"/>
    <d v="2026-09-08T00:00:00"/>
    <x v="31"/>
    <s v="JOSE ROMAN CARDENAS PRECIADO"/>
    <s v="04876536527"/>
    <s v="CAPR650715HJCRRM08"/>
    <n v="2"/>
    <n v="3313424383"/>
    <x v="2"/>
    <n v="9760.32"/>
    <n v="2928.1"/>
    <n v="2928.096"/>
    <n v="-3.9999999999054126E-3"/>
    <d v="2028-03-01T00:00:00"/>
  </r>
  <r>
    <x v="68"/>
    <d v="2026-09-08T00:00:00"/>
    <x v="61"/>
    <s v="oscar enrique zazueta gonzalez"/>
    <s v="23826407209"/>
    <s v="ZAGO640310HSLZNS08"/>
    <n v="24324246"/>
    <n v="5216634055440"/>
    <x v="2"/>
    <n v="9081.52"/>
    <n v="2724"/>
    <n v="2724.4560000000001"/>
    <n v="0.45600000000013097"/>
    <d v="2028-06-01T00:00:00"/>
  </r>
  <r>
    <x v="68"/>
    <d v="2026-09-06T00:00:00"/>
    <x v="53"/>
    <s v="ANA MARIA JIMENEZ SIFUENTES"/>
    <m/>
    <s v="JISA621230MDFMFN08"/>
    <n v="24280874"/>
    <n v="5515977066"/>
    <x v="2"/>
    <n v="9760.32"/>
    <n v="2927.91"/>
    <n v="2928.096"/>
    <n v="0.18600000000014916"/>
    <d v="2027-08-01T00:00:00"/>
  </r>
  <r>
    <x v="68"/>
    <d v="2026-09-08T00:00:00"/>
    <x v="54"/>
    <s v="MARIA TERESA JASSO ESTEVEZ"/>
    <n v="1665032387"/>
    <s v="JAET531112MDFSSR02"/>
    <n v="24326482"/>
    <n v="7773635757"/>
    <x v="0"/>
    <n v="13022.67"/>
    <n v="848"/>
    <n v="3906.8009999999999"/>
    <n v="3058.8009999999999"/>
    <m/>
  </r>
  <r>
    <x v="68"/>
    <d v="2026-09-03T00:00:00"/>
    <x v="6"/>
    <m/>
    <n v="43825204985"/>
    <m/>
    <n v="24230292"/>
    <n v="5218123390821"/>
    <x v="2"/>
    <n v="5617.63"/>
    <n v="1392.91"/>
    <n v="1685.289"/>
    <n v="51.740000000000464"/>
    <d v="2027-06-01T00:00:00"/>
  </r>
  <r>
    <x v="68"/>
    <d v="2026-09-08T00:00:00"/>
    <x v="53"/>
    <s v="GILBERTO CASTRO ANGULO"/>
    <m/>
    <s v="CAAG650904HSLSNL05"/>
    <n v="24327170"/>
    <n v="6731183381"/>
    <x v="0"/>
    <n v="34118.07"/>
    <n v="8819.91"/>
    <n v="10235.421"/>
    <n v="1415.5110000000004"/>
    <d v="2026-08-01T00:00:00"/>
  </r>
  <r>
    <x v="68"/>
    <d v="2026-09-08T00:00:00"/>
    <x v="6"/>
    <s v="CRUZ PEÑUELAS MERCADO "/>
    <n v="24796045144"/>
    <s v="PEMC600506HSLXRR08"/>
    <n v="24326964"/>
    <n v="5216621893174"/>
    <x v="2"/>
    <n v="9081.52"/>
    <n v="2709.3"/>
    <n v="2724.4560000000001"/>
    <n v="15.155999999999949"/>
    <d v="2028-08-01T00:00:00"/>
  </r>
  <r>
    <x v="68"/>
    <d v="2026-09-03T00:00:00"/>
    <x v="6"/>
    <s v="ADOLFO GARZA ABARCA "/>
    <m/>
    <s v="GAAA660113HCSRBD05"/>
    <n v="24228424"/>
    <n v="5216644739218"/>
    <x v="2"/>
    <n v="11029.03"/>
    <n v="3300.1"/>
    <n v="3308.7090000000003"/>
    <n v="8.6090000000003783"/>
    <d v="2028-04-01T00:00:00"/>
  </r>
  <r>
    <x v="68"/>
    <d v="2026-09-08T00:00:00"/>
    <x v="28"/>
    <s v="JOSE MANUEL VAZQUEZ HERNADEZ"/>
    <s v="62826017501_x000a_"/>
    <s v="VAHM600315HPLZRN13"/>
    <n v="24314556"/>
    <n v="5212227875193"/>
    <x v="6"/>
    <n v="5617.63"/>
    <n v="1336"/>
    <n v="1685.289"/>
    <n v="108.65000000000055"/>
    <d v="2026-08-01T00:00:00"/>
  </r>
  <r>
    <x v="68"/>
    <d v="2026-09-08T00:00:00"/>
    <x v="13"/>
    <s v="GERARDO SALVADOR HERRERA MURILLO"/>
    <m/>
    <s v="HEMG660505HNLRRR03"/>
    <n v="24325512"/>
    <n v="5218121553212"/>
    <x v="0"/>
    <n v="10636.54"/>
    <n v="0"/>
    <n v="3190.962"/>
    <n v="3190.962"/>
    <m/>
  </r>
  <r>
    <x v="68"/>
    <d v="2026-09-08T00:00:00"/>
    <x v="61"/>
    <s v="ERIC FRANCISCO MONTERO AVILA"/>
    <m/>
    <s v="MOAE640705HDFNVR07"/>
    <n v="24328262"/>
    <n v="5219992334759"/>
    <x v="0"/>
    <n v="40466.639999999999"/>
    <m/>
    <n v="12139.992"/>
    <n v="12139.992"/>
    <m/>
  </r>
  <r>
    <x v="69"/>
    <d v="2026-09-08T00:00:00"/>
    <x v="54"/>
    <s v="MARISELA LOZANO ABELINO"/>
    <n v="65927474653"/>
    <s v="LOAM730907MVZZBR04"/>
    <n v="24329110"/>
    <n v="7821475644"/>
    <x v="1"/>
    <m/>
    <m/>
    <n v="0"/>
    <n v="0"/>
    <m/>
  </r>
  <r>
    <x v="69"/>
    <d v="2026-09-09T00:00:00"/>
    <x v="31"/>
    <s v="JOEL ZAMORA LEON"/>
    <s v="50816000454"/>
    <s v="ZALJ600713HDFMNL01"/>
    <n v="2"/>
    <s v="56 3000 6120"/>
    <x v="2"/>
    <n v="7560.68"/>
    <n v="2268.1999999999998"/>
    <n v="2268.2040000000002"/>
    <n v="4.0000000003601599E-3"/>
    <d v="2028-07-01T00:00:00"/>
  </r>
  <r>
    <x v="69"/>
    <d v="2026-09-08T00:00:00"/>
    <x v="54"/>
    <s v="JOSE DE JESUS TALAVERA RAMOS"/>
    <m/>
    <s v="TARJ610730HJCLMS02"/>
    <n v="24332524"/>
    <n v="3321896844"/>
    <x v="0"/>
    <n v="12344"/>
    <m/>
    <n v="3703.2"/>
    <n v="3703.2"/>
    <m/>
  </r>
  <r>
    <x v="69"/>
    <d v="2026-09-05T00:00:00"/>
    <x v="54"/>
    <s v="JUAN TINAJERO PEREZ"/>
    <n v="1665076426"/>
    <s v="TIPJ500624HMNNRN07"/>
    <n v="24272588"/>
    <n v="8112848627"/>
    <x v="2"/>
    <n v="6913.48"/>
    <n v="2072.12"/>
    <n v="2074.0439999999999"/>
    <n v="1.9239999999999782"/>
    <d v="2028-08-01T00:00:00"/>
  </r>
  <r>
    <x v="69"/>
    <d v="2026-09-01T00:00:00"/>
    <x v="6"/>
    <s v="JAVIER CASTILLO"/>
    <n v="43796076248"/>
    <m/>
    <n v="24175472"/>
    <n v="5218123293987"/>
    <x v="2"/>
    <n v="20527.96"/>
    <n v="5938.54"/>
    <n v="6158.3879999999999"/>
    <n v="219.84799999999996"/>
    <d v="2027-02-01T00:00:00"/>
  </r>
  <r>
    <x v="69"/>
    <d v="2026-09-08T00:00:00"/>
    <x v="59"/>
    <s v="MARIO ALBERTO CAZARES DEL TORO"/>
    <n v="43856579636"/>
    <s v="CATM650301HNLZRR04"/>
    <n v="24324502"/>
    <n v="5218123491198"/>
    <x v="0"/>
    <n v="33780.519999999997"/>
    <n v="4668.6899999999996"/>
    <n v="10134.155999999999"/>
    <n v="5465.4659999999994"/>
    <d v="2028-06-01T00:00:00"/>
  </r>
  <r>
    <x v="69"/>
    <d v="2026-09-09T00:00:00"/>
    <x v="31"/>
    <s v="PATRICIA YOLANDA NIÑO HERNANDEZ"/>
    <n v="32846826140"/>
    <s v="NIHP680220MCLXRT00"/>
    <n v="2"/>
    <s v="81 3090 4269"/>
    <x v="2"/>
    <n v="7135.6"/>
    <n v="2140.6799999999998"/>
    <n v="2140.6799999999998"/>
    <n v="0"/>
    <d v="2027-08-01T00:00:00"/>
  </r>
  <r>
    <x v="69"/>
    <d v="2026-09-09T00:00:00"/>
    <x v="59"/>
    <s v="ROSA ELIA ZARATE VELAZQUEZ"/>
    <m/>
    <s v="ZAVR660117MJCRLS02"/>
    <n v="24342784"/>
    <n v="5213171311958"/>
    <x v="5"/>
    <m/>
    <m/>
    <n v="0"/>
    <n v="0"/>
    <m/>
  </r>
  <r>
    <x v="69"/>
    <d v="2026-09-09T00:00:00"/>
    <x v="28"/>
    <s v="JUAN ALBERTO BERISTAIN ROJAS"/>
    <m/>
    <s v="BERJ651025HPLRJN06"/>
    <n v="24346560"/>
    <n v="5214421240922"/>
    <x v="0"/>
    <n v="10636.54"/>
    <m/>
    <n v="3190.962"/>
    <n v="3190.962"/>
    <m/>
  </r>
  <r>
    <x v="69"/>
    <d v="2026-09-09T00:00:00"/>
    <x v="61"/>
    <s v="CAB EK AGUSTIN"/>
    <n v="82098815978"/>
    <s v="CAEA880910HYNBKG03"/>
    <n v="24342282"/>
    <n v="5219995121256"/>
    <x v="5"/>
    <m/>
    <m/>
    <n v="0"/>
    <n v="0"/>
    <m/>
  </r>
  <r>
    <x v="69"/>
    <d v="2026-09-09T00:00:00"/>
    <x v="31"/>
    <s v="RAQUEL MARIN GONZALEZ"/>
    <n v="40816205401"/>
    <s v="MAGR621117MMCRNQ07"/>
    <n v="2"/>
    <n v="5564635457"/>
    <x v="2"/>
    <n v="9760.32"/>
    <n v="2911.13"/>
    <n v="2928.096"/>
    <n v="16.965999999999894"/>
    <d v="2028-01-01T00:00:00"/>
  </r>
  <r>
    <x v="69"/>
    <d v="2026-09-09T00:00:00"/>
    <x v="59"/>
    <s v="VICTOR MANZANITA REYES"/>
    <m/>
    <s v="MARV550406HDFNYC05"/>
    <n v="24341216"/>
    <n v="5215636915522"/>
    <x v="0"/>
    <n v="25169.454000000002"/>
    <m/>
    <n v="7550.8361999999997"/>
    <n v="7550.8361999999997"/>
    <m/>
  </r>
  <r>
    <x v="69"/>
    <d v="2026-09-09T00:00:00"/>
    <x v="6"/>
    <s v="JUAN ANTONIO SUSTAITA PUENTE "/>
    <n v="25907387564"/>
    <s v="SUPJ730424HSPSNN02"/>
    <n v="24347146"/>
    <n v="5214961072185"/>
    <x v="1"/>
    <n v="2933.95"/>
    <m/>
    <n v="880.18499999999995"/>
    <n v="0"/>
    <m/>
  </r>
  <r>
    <x v="69"/>
    <d v="2026-09-09T00:00:00"/>
    <x v="13"/>
    <s v="SOCORRO CASTRO HUERTA"/>
    <m/>
    <s v="CAHS591012MPLSRC03"/>
    <n v="24342088"/>
    <n v="5212214044150"/>
    <x v="0"/>
    <n v="10636.54"/>
    <m/>
    <n v="3190.962"/>
    <n v="3190.962"/>
    <m/>
  </r>
  <r>
    <x v="69"/>
    <d v="2026-09-09T00:00:00"/>
    <x v="13"/>
    <s v="MARISOL PATRICIA SERRANO RODRIGUEZ"/>
    <n v="54846518196"/>
    <s v="SERM650426MBCRDR12"/>
    <n v="24346820"/>
    <n v="5216642032811"/>
    <x v="0"/>
    <n v="9760.32"/>
    <m/>
    <n v="2928.096"/>
    <n v="2928.096"/>
    <m/>
  </r>
  <r>
    <x v="69"/>
    <d v="2026-09-09T00:00:00"/>
    <x v="61"/>
    <s v="RIGOBERTO MUÑOZ PERALTA"/>
    <s v="2188700469 1"/>
    <s v="MUPR701018HBCXRG04"/>
    <n v="24334756"/>
    <n v="5216463830788"/>
    <x v="6"/>
    <n v="17722.169999999998"/>
    <n v="4359"/>
    <n v="5316.6509999999989"/>
    <n v="957.65099999999893"/>
    <d v="2024-06-01T00:00:00"/>
  </r>
  <r>
    <x v="69"/>
    <d v="2026-09-09T00:00:00"/>
    <x v="31"/>
    <s v="JESUS MARTINEZ MARMOLEJO"/>
    <n v="30886407532"/>
    <s v="MAMJ640531HGTRRS00"/>
    <n v="2"/>
    <n v="7223584371"/>
    <x v="2"/>
    <n v="9760.32"/>
    <n v="2928.1"/>
    <n v="2928.096"/>
    <n v="-3.9999999999054126E-3"/>
    <d v="2027-07-01T00:00:00"/>
  </r>
  <r>
    <x v="69"/>
    <d v="2026-09-09T00:00:00"/>
    <x v="59"/>
    <s v="JULIO CESAR CASTELLANOS ALVAREZ"/>
    <n v="49826459601"/>
    <s v="CAAJ651209HTSSLL03"/>
    <n v="24344264"/>
    <n v="5218334436801"/>
    <x v="0"/>
    <n v="10636.54"/>
    <m/>
    <n v="3190.962"/>
    <n v="3190.962"/>
    <m/>
  </r>
  <r>
    <x v="69"/>
    <d v="2026-09-09T00:00:00"/>
    <x v="6"/>
    <s v="JOSE IGNACIO GUTIERREZ LEAL"/>
    <m/>
    <s v="GULI600924HPLTLG04"/>
    <n v="24347364"/>
    <n v="5212211911443"/>
    <x v="0"/>
    <n v="5617.63"/>
    <m/>
    <n v="1685.289"/>
    <n v="1444.6500000000005"/>
    <m/>
  </r>
  <r>
    <x v="69"/>
    <d v="2026-09-09T00:00:00"/>
    <x v="6"/>
    <s v="ANTONIO VAZQUEZ OBANDO "/>
    <m/>
    <s v="VAOA580123HPLZBN05"/>
    <n v="24341518"/>
    <n v="5212211928770"/>
    <x v="0"/>
    <n v="6797.51"/>
    <m/>
    <n v="2039.2529999999999"/>
    <n v="2039.2529999999999"/>
    <m/>
  </r>
  <r>
    <x v="69"/>
    <d v="2026-09-09T00:00:00"/>
    <x v="54"/>
    <s v="LEONARDO VILCHIS MAR"/>
    <n v="11876503902"/>
    <m/>
    <n v="24347266"/>
    <n v="5545081978"/>
    <x v="2"/>
    <n v="10636.54"/>
    <n v="3190.96"/>
    <n v="3190.962"/>
    <n v="1.9999999999527063E-3"/>
    <d v="2028-06-01T00:00:00"/>
  </r>
  <r>
    <x v="69"/>
    <d v="2026-09-09T00:00:00"/>
    <x v="61"/>
    <s v="JUAN MANUEL MONTAÑEZ GONZALEZ"/>
    <m/>
    <s v="MOGJ571105HASNNN03"/>
    <n v="24252610"/>
    <n v="5214494029708"/>
    <x v="2"/>
    <n v="5617.63"/>
    <n v="1389.94"/>
    <n v="1685.289"/>
    <n v="54.710000000000491"/>
    <d v="2027-03-01T00:00:00"/>
  </r>
  <r>
    <x v="69"/>
    <d v="2026-09-08T00:00:00"/>
    <x v="6"/>
    <s v="ANTONIO RAYMUNDO LUMBRERAS GARAY"/>
    <n v="4985610418"/>
    <s v="LUGA610119HTSMRN09"/>
    <n v="24333038"/>
    <n v="5218132746854"/>
    <x v="2"/>
    <n v="9081.52"/>
    <n v="2720.9"/>
    <n v="2724.4560000000001"/>
    <n v="3.55600000000004"/>
    <d v="2027-01-01T00:00:00"/>
  </r>
  <r>
    <x v="69"/>
    <d v="2026-09-09T00:00:00"/>
    <x v="31"/>
    <s v="FEDERICO MUÑOZ MOLINA"/>
    <n v="16795913108"/>
    <s v="MUMF590809HMCXLD09"/>
    <n v="2"/>
    <n v="7223584371"/>
    <x v="2"/>
    <n v="17182.79"/>
    <n v="4969"/>
    <n v="5154.8370000000004"/>
    <n v="185.83700000000044"/>
    <d v="2027-04-01T00:00:00"/>
  </r>
  <r>
    <x v="69"/>
    <d v="2026-09-09T00:00:00"/>
    <x v="31"/>
    <s v="FLORA GAYOSSO MENENDEZ"/>
    <s v="43806019832"/>
    <s v="GAMF600105MVZYNL09"/>
    <n v="2"/>
    <s v="81 2506 2852"/>
    <x v="2"/>
    <n v="5617.63"/>
    <n v="1335"/>
    <n v="1685.289"/>
    <n v="109.65000000000055"/>
    <d v="2026-10-01T00:00:00"/>
  </r>
  <r>
    <x v="69"/>
    <d v="2026-09-08T00:00:00"/>
    <x v="61"/>
    <s v="Raymundo Bravo Huerta"/>
    <m/>
    <s v="BAHR651025HPLRRY03"/>
    <n v="24330892"/>
    <n v="5212221356482"/>
    <x v="0"/>
    <n v="11886.95"/>
    <m/>
    <n v="3566.085"/>
    <n v="3566.085"/>
    <m/>
  </r>
  <r>
    <x v="69"/>
    <d v="2026-09-09T00:00:00"/>
    <x v="6"/>
    <s v="CATALINA NERI GUEVARA "/>
    <s v="47937602812"/>
    <s v="NEGC760119MNLRVT03"/>
    <n v="24348568"/>
    <n v="5218110111098"/>
    <x v="2"/>
    <n v="9582.4699999999993"/>
    <n v="2871.76"/>
    <n v="2874.7409999999995"/>
    <n v="2.9809999999993124"/>
    <d v="2028-07-01T00:00:00"/>
  </r>
  <r>
    <x v="69"/>
    <d v="2026-09-09T00:00:00"/>
    <x v="54"/>
    <s v="JUAN MARTIN IBARRA BANDA"/>
    <m/>
    <s v="IABJ630414HCHBNN04"/>
    <n v="24348382"/>
    <n v="8715063035"/>
    <x v="0"/>
    <n v="10636.54"/>
    <n v="0"/>
    <n v="3190.962"/>
    <n v="3190.962"/>
    <m/>
  </r>
  <r>
    <x v="69"/>
    <d v="2026-09-09T00:00:00"/>
    <x v="13"/>
    <s v="MARIA DEL CARMEN ARAGON DELGADO"/>
    <n v="33796154688"/>
    <s v="AADC610709MCHRLR07"/>
    <n v="24347770"/>
    <n v="5216278890111"/>
    <x v="2"/>
    <n v="7116.73"/>
    <n v="2058.33"/>
    <n v="2135.0189999999998"/>
    <n v="76.688999999999851"/>
    <d v="2027-08-01T00:00:00"/>
  </r>
  <r>
    <x v="69"/>
    <d v="2026-09-09T00:00:00"/>
    <x v="61"/>
    <s v="Rogelio Rodríguez Rojas"/>
    <n v="32796125402"/>
    <m/>
    <n v="24347928"/>
    <n v="5218777931979"/>
    <x v="6"/>
    <n v="7116.73"/>
    <n v="1936.88"/>
    <n v="2135.0189999999998"/>
    <n v="198.13899999999967"/>
    <d v="2026-03-01T00:00:00"/>
  </r>
  <r>
    <x v="69"/>
    <d v="2026-09-08T00:00:00"/>
    <x v="13"/>
    <s v="MARIA LUISA MORALES HERNANDEZ"/>
    <n v="76916500432"/>
    <s v="MOHL650308MDFRRS02"/>
    <n v="24331142"/>
    <n v="5215561180848"/>
    <x v="2"/>
    <n v="9760.32"/>
    <n v="2920.14"/>
    <n v="2928.096"/>
    <n v="7.956000000000131"/>
    <d v="2028-06-01T00:00:00"/>
  </r>
  <r>
    <x v="69"/>
    <d v="2026-09-09T00:00:00"/>
    <x v="54"/>
    <s v="LINO LARA IZAGUIRRE"/>
    <m/>
    <s v="LAIL520923HSPRZN09"/>
    <n v="24347962"/>
    <n v="4401220516"/>
    <x v="2"/>
    <n v="7367.46"/>
    <n v="2210.2399999999998"/>
    <n v="2210.2379999999998"/>
    <n v="-1.9999999999527063E-3"/>
    <d v="2028-08-01T00:00:00"/>
  </r>
  <r>
    <x v="69"/>
    <d v="2026-09-09T00:00:00"/>
    <x v="61"/>
    <s v="Martin Llamas Vega"/>
    <n v="41816407971"/>
    <s v="LAVM640516HSPLGR07"/>
    <n v="24349260"/>
    <n v="5214441587284"/>
    <x v="2"/>
    <n v="29706.9"/>
    <n v="8898.4699999999993"/>
    <n v="8912.07"/>
    <n v="13.600000000000364"/>
    <d v="2028-05-01T00:00:00"/>
  </r>
  <r>
    <x v="69"/>
    <d v="2026-09-09T00:00:00"/>
    <x v="31"/>
    <s v="MA. GUADALUPE GARCIA BRIONES"/>
    <n v="32856276608"/>
    <s v="GABG621102MZSRRD02"/>
    <n v="2"/>
    <s v="842 112 4196"/>
    <x v="2"/>
    <n v="10592.47"/>
    <n v="3166.26"/>
    <n v="3177.7409999999995"/>
    <n v="11.480999999999312"/>
    <d v="2027-05-01T00:00:00"/>
  </r>
  <r>
    <x v="69"/>
    <d v="2026-09-09T00:00:00"/>
    <x v="31"/>
    <s v="J. CRUZ MEDELES CONTRERAS"/>
    <n v="32826473533"/>
    <s v="MECC640503HCLDNR09"/>
    <n v="2"/>
    <s v="844 218 0083"/>
    <x v="2"/>
    <n v="13216.85"/>
    <n v="3964.07"/>
    <n v="3965.0549999999998"/>
    <n v="0.98499999999967258"/>
    <d v="2026-11-01T00:00:00"/>
  </r>
  <r>
    <x v="69"/>
    <d v="2026-09-09T00:00:00"/>
    <x v="54"/>
    <s v="JAVIER HERNANDEZ LOPEZ"/>
    <m/>
    <s v="HELJ621012HJCRPV04"/>
    <n v="24349552"/>
    <n v="3841070054"/>
    <x v="2"/>
    <n v="19756.400000000001"/>
    <n v="5925.64"/>
    <n v="5926.92"/>
    <n v="1.2799999999997453"/>
    <d v="2028-02-01T00:00:00"/>
  </r>
  <r>
    <x v="69"/>
    <d v="2026-09-09T00:00:00"/>
    <x v="61"/>
    <s v="Sergio sauceda Rodriguez"/>
    <n v="43886622216"/>
    <s v="SARS660201HNLCDR03"/>
    <n v="24347264"/>
    <n v="5218128925673"/>
    <x v="2"/>
    <n v="10793.18"/>
    <n v="2947.23"/>
    <n v="3237.9540000000002"/>
    <n v="290.72400000000016"/>
    <d v="2028-04-01T00:00:00"/>
  </r>
  <r>
    <x v="69"/>
    <d v="2026-09-09T00:00:00"/>
    <x v="28"/>
    <s v="JAVIER TREJO GARCIA"/>
    <m/>
    <s v="TEGJ460122HSPRRV05"/>
    <n v="24347144"/>
    <n v="5218116061013"/>
    <x v="2"/>
    <n v="7620.38"/>
    <n v="2203.8200000000002"/>
    <n v="2286.114"/>
    <n v="82.293999999999869"/>
    <d v="2027-05-01T00:00:00"/>
  </r>
  <r>
    <x v="69"/>
    <d v="2026-09-08T00:00:00"/>
    <x v="6"/>
    <s v="EUMENO SALINAS LINARES "/>
    <n v="71825001721"/>
    <s v="SALE501110HDFLNM09"/>
    <n v="24331012"/>
    <n v="5214433513079"/>
    <x v="5"/>
    <m/>
    <m/>
    <n v="0"/>
    <n v="0"/>
    <m/>
  </r>
  <r>
    <x v="69"/>
    <d v="2026-09-09T00:00:00"/>
    <x v="13"/>
    <s v="MANUEL ANTONIO REYES LOPEZ"/>
    <m/>
    <s v="RELM650615HNTYPN07"/>
    <n v="24333672"/>
    <n v="5213171320056"/>
    <x v="0"/>
    <n v="32173.540000000008"/>
    <m/>
    <n v="9652.0620000000017"/>
    <n v="9652.0620000000017"/>
    <m/>
  </r>
  <r>
    <x v="69"/>
    <d v="2026-09-09T00:00:00"/>
    <x v="28"/>
    <s v="CELSO CHAVEZ CRUZ"/>
    <s v="19796106763"/>
    <s v="CACC610406HMCHRL05"/>
    <n v="24350400"/>
    <n v="5215574098165"/>
    <x v="6"/>
    <n v="8497.74"/>
    <n v="2346.96"/>
    <n v="2549.3219999999997"/>
    <n v="202.36199999999963"/>
    <d v="2026-04-01T00:00:00"/>
  </r>
  <r>
    <x v="69"/>
    <d v="2026-09-08T00:00:00"/>
    <x v="54"/>
    <s v="SANTOS EDUARDO RAMIREZ BALLESTEROS"/>
    <s v="24846716074 "/>
    <s v="RABS670323HSRMLN00"/>
    <n v="24328762"/>
    <n v="6313045530"/>
    <x v="6"/>
    <n v="8734.23"/>
    <n v="2316.9299999999998"/>
    <n v="2620.2689999999998"/>
    <n v="303.33899999999994"/>
    <d v="2025-08-01T00:00:00"/>
  </r>
  <r>
    <x v="69"/>
    <d v="2026-09-09T00:00:00"/>
    <x v="61"/>
    <s v="Virginia Martínez Valadéz"/>
    <n v="90008222458"/>
    <s v="MAVV810423MDFRLR01"/>
    <n v="24350534"/>
    <n v="5215614829802"/>
    <x v="4"/>
    <m/>
    <m/>
    <n v="0"/>
    <n v="0"/>
    <m/>
  </r>
  <r>
    <x v="69"/>
    <d v="2026-09-08T00:00:00"/>
    <x v="61"/>
    <s v="Ma. Guillermina Hernandez Robles"/>
    <s v="21866600550"/>
    <s v="HERG670619MCMRBL07"/>
    <n v="24330288"/>
    <n v="5216645465341"/>
    <x v="0"/>
    <n v="11554.81"/>
    <n v="848"/>
    <n v="3466.4429999999998"/>
    <n v="2618.4429999999998"/>
    <m/>
  </r>
  <r>
    <x v="69"/>
    <d v="2026-09-09T00:00:00"/>
    <x v="31"/>
    <s v="SAUL GARCIA ROCHA"/>
    <n v="43725638027"/>
    <s v="GARS561107HZSRCL02"/>
    <n v="2"/>
    <n v="8181871365"/>
    <x v="1"/>
    <n v="4035.69"/>
    <m/>
    <n v="1210.7069999999999"/>
    <n v="0"/>
    <m/>
  </r>
  <r>
    <x v="69"/>
    <d v="2026-09-09T00:00:00"/>
    <x v="31"/>
    <s v="MIGUEL ANGEL GARCIA TREVIÑO"/>
    <n v="32846175860"/>
    <s v="GATM610818HCLRRG09"/>
    <n v="2"/>
    <n v="8130904269"/>
    <x v="2"/>
    <n v="6262.86"/>
    <n v="1811.5"/>
    <n v="1878.8579999999997"/>
    <n v="67.35799999999972"/>
    <d v="2027-05-01T00:00:00"/>
  </r>
  <r>
    <x v="69"/>
    <d v="2026-09-09T00:00:00"/>
    <x v="31"/>
    <s v="JOSE DE JESUS CASTILLO OCHOA"/>
    <s v="52765701298"/>
    <s v="CAOJ570623HCMSCS03"/>
    <n v="2"/>
    <n v="3141658160"/>
    <x v="3"/>
    <n v="4820.03"/>
    <m/>
    <n v="1446.0089999999998"/>
    <n v="647.05000000000018"/>
    <m/>
  </r>
  <r>
    <x v="69"/>
    <d v="2026-09-09T00:00:00"/>
    <x v="28"/>
    <s v="ALEJANDRO"/>
    <s v="81866805526"/>
    <m/>
    <n v="24348548"/>
    <n v="5219371716219"/>
    <x v="5"/>
    <m/>
    <m/>
    <n v="0"/>
    <n v="0"/>
    <m/>
  </r>
  <r>
    <x v="69"/>
    <d v="2026-09-03T00:00:00"/>
    <x v="54"/>
    <s v="ALFREDO ESPINOSA MARTINEZ"/>
    <n v="1875902312"/>
    <s v="EIMA591027HDFSRL01"/>
    <n v="24222924"/>
    <n v="5564977654"/>
    <x v="2"/>
    <n v="5617.63"/>
    <n v="1300"/>
    <n v="1685.289"/>
    <n v="144.65000000000055"/>
    <d v="2027-11-01T00:00:00"/>
  </r>
  <r>
    <x v="69"/>
    <d v="2026-09-05T00:00:00"/>
    <x v="59"/>
    <s v="MIGUEL BRUNO ESPARZA QUIÑONES"/>
    <m/>
    <s v="EAQM640929HDGSXG08"/>
    <n v="24265608"/>
    <n v="5218711997426"/>
    <x v="3"/>
    <n v="58681.03"/>
    <n v="16650"/>
    <n v="17604.308999999997"/>
    <n v="954.30899999999747"/>
    <d v="2028-08-01T00:00:00"/>
  </r>
  <r>
    <x v="69"/>
    <d v="2026-09-08T00:00:00"/>
    <x v="6"/>
    <s v="JESUS ROSAS CONCHAS "/>
    <m/>
    <s v="ROCJ650828HJCSNS00"/>
    <n v="24330234"/>
    <n v="5213322316763"/>
    <x v="2"/>
    <n v="9760.32"/>
    <n v="2821.91"/>
    <n v="2928.096"/>
    <n v="106.18600000000015"/>
    <d v="2027-11-01T00:00:00"/>
  </r>
  <r>
    <x v="69"/>
    <d v="2026-09-09T00:00:00"/>
    <x v="13"/>
    <s v="JOSE NAPOLEON LOPEZ MONTUFAR"/>
    <n v="17826306700"/>
    <s v="LOMN630207HDFPNP05"/>
    <n v="24349016"/>
    <n v="5215519050336"/>
    <x v="2"/>
    <n v="9760.33"/>
    <n v="2920"/>
    <n v="2928.0989999999997"/>
    <n v="8.0989999999997053"/>
    <d v="2028-05-01T00:00:00"/>
  </r>
  <r>
    <x v="69"/>
    <d v="2026-09-09T00:00:00"/>
    <x v="59"/>
    <s v="MARCOS EMILIO AGUAYO MONTAÑO"/>
    <m/>
    <s v="AUMM651206HDFGNR01"/>
    <n v="24354330"/>
    <n v="5215611909736"/>
    <x v="2"/>
    <n v="34287.449999999997"/>
    <n v="10224.82"/>
    <n v="10286.234999999999"/>
    <n v="61.414999999999054"/>
    <d v="2026-10-01T00:00:00"/>
  </r>
  <r>
    <x v="69"/>
    <d v="2026-09-09T00:00:00"/>
    <x v="28"/>
    <s v="MARGARITO CARRERA MEDORIO"/>
    <s v="67715404025_x000a_"/>
    <s v="CAMM540222HVZRDR08"/>
    <n v="24354070"/>
    <n v="5212714101417"/>
    <x v="3"/>
    <n v="15190.53"/>
    <n v="4065.51"/>
    <n v="4557.1589999999997"/>
    <n v="491.64899999999943"/>
    <d v="2026-11-01T00:00:00"/>
  </r>
  <r>
    <x v="69"/>
    <d v="2026-09-09T00:00:00"/>
    <x v="28"/>
    <s v="PEDRO ANTONIO VIDAL LANESTOSA"/>
    <s v="83694911540"/>
    <s v="VILP500124HTCDND01"/>
    <n v="24350800"/>
    <n v="5219384056352"/>
    <x v="2"/>
    <n v="4720.8999999999996"/>
    <n v="528"/>
    <n v="1416.2699999999998"/>
    <n v="19.920000000000073"/>
    <d v="2027-10-01T00:00:00"/>
  </r>
  <r>
    <x v="69"/>
    <d v="2026-09-09T00:00:00"/>
    <x v="6"/>
    <s v="ANDRES SANCHEZ QUIROZ "/>
    <m/>
    <s v="SAQA641130HNLNRN08"/>
    <n v="24354690"/>
    <n v="5218125717335"/>
    <x v="3"/>
    <n v="22622.9"/>
    <n v="5757.7"/>
    <n v="6786.87"/>
    <n v="1029.17"/>
    <d v="2028-07-01T00:00:00"/>
  </r>
  <r>
    <x v="69"/>
    <d v="2026-09-09T00:00:00"/>
    <x v="6"/>
    <s v="MARIA LUISA PALACIOS MORA "/>
    <s v="0193771419"/>
    <s v="PAML850312MMCLRS01"/>
    <n v="24354472"/>
    <n v="5215575566654"/>
    <x v="5"/>
    <m/>
    <m/>
    <n v="0"/>
    <n v="0"/>
    <m/>
  </r>
  <r>
    <x v="69"/>
    <d v="2026-09-09T00:00:00"/>
    <x v="13"/>
    <s v="FELIPA GARCIA RODRIGUEZ"/>
    <s v="02694601630"/>
    <s v="GARF490526MTLRDL00"/>
    <n v="24350856"/>
    <n v="5212229053247"/>
    <x v="2"/>
    <n v="6172.41"/>
    <n v="1713"/>
    <n v="1851.723"/>
    <n v="138.72299999999996"/>
    <d v="2027-02-01T00:00:00"/>
  </r>
  <r>
    <x v="69"/>
    <d v="2026-09-09T00:00:00"/>
    <x v="13"/>
    <s v="VALENTIN NOYOLA SOSA"/>
    <m/>
    <s v="NOSV660214HGRYSL07"/>
    <n v="24351256"/>
    <n v="5216121396071"/>
    <x v="0"/>
    <n v="10636.54"/>
    <m/>
    <n v="3190.962"/>
    <n v="3190.962"/>
    <m/>
  </r>
  <r>
    <x v="69"/>
    <d v="2026-09-08T00:00:00"/>
    <x v="6"/>
    <s v="DIEGO JUAN CARLOS HERNANDEZ ROMO"/>
    <m/>
    <s v="HERD581113HJCRMG02"/>
    <n v="24326098"/>
    <n v="5214445033341"/>
    <x v="7"/>
    <n v="4664.38"/>
    <n v="392.1"/>
    <n v="1399.3140000000001"/>
    <n v="99.300000000000523"/>
    <d v="2025-01-01T00:00:00"/>
  </r>
  <r>
    <x v="69"/>
    <d v="2026-09-09T00:00:00"/>
    <x v="61"/>
    <s v="Eleazar Razo Rodríguez"/>
    <s v="01826207498"/>
    <m/>
    <n v="24354776"/>
    <n v="5217772597497"/>
    <x v="2"/>
    <n v="9081.52"/>
    <n v="2714.59"/>
    <n v="2724.4560000000001"/>
    <n v="9.8659999999999854"/>
    <d v="2027-04-01T00:00:00"/>
  </r>
  <r>
    <x v="69"/>
    <d v="2026-09-09T00:00:00"/>
    <x v="13"/>
    <s v="EDUARDO LOPEZ FONSECA"/>
    <n v="12877045000"/>
    <s v="LOFE700320HGTPND07"/>
    <n v="24352398"/>
    <n v="5214641590653"/>
    <x v="6"/>
    <n v="7391.72"/>
    <n v="1957.2"/>
    <n v="2217.5160000000001"/>
    <n v="260.31600000000003"/>
    <d v="2025-04-01T00:00:00"/>
  </r>
  <r>
    <x v="69"/>
    <d v="2026-09-09T00:00:00"/>
    <x v="59"/>
    <s v="HECTOR MARQUEZ RODRIGUEZ"/>
    <m/>
    <s v="MARH590426HDFRDC01"/>
    <n v="24352634"/>
    <n v="5217291085374"/>
    <x v="3"/>
    <n v="4813.6899999999996"/>
    <m/>
    <n v="1444.1069999999997"/>
    <n v="640.71"/>
    <m/>
  </r>
  <r>
    <x v="69"/>
    <d v="2026-09-04T00:00:00"/>
    <x v="6"/>
    <s v="HILDA ACOSTA JIEMENEZ"/>
    <n v="1574520300"/>
    <s v="AOJH551203MMSCML13"/>
    <n v="24253574"/>
    <n v="5217771946002"/>
    <x v="2"/>
    <n v="5055.88"/>
    <n v="1221.6300000000001"/>
    <n v="1516.7639999999999"/>
    <n v="-338.72999999999956"/>
    <d v="2027-10-01T00:00:00"/>
  </r>
  <r>
    <x v="69"/>
    <d v="2026-09-08T00:00:00"/>
    <x v="6"/>
    <s v="MERCEDES DE JESUS BARRERA MENDEZ "/>
    <n v="6569513128"/>
    <s v="BAMM600924MYNRNR06"/>
    <n v="24329456"/>
    <n v="5219811814199"/>
    <x v="2"/>
    <n v="14303.57"/>
    <n v="4266.1400000000003"/>
    <n v="4291.0709999999999"/>
    <n v="24.930999999999585"/>
    <d v="2028-06-01T00:00:00"/>
  </r>
  <r>
    <x v="69"/>
    <d v="2026-09-09T00:00:00"/>
    <x v="54"/>
    <s v="HERCULANO TREJO RIVERA"/>
    <m/>
    <s v="TERH610809HNLRVR08"/>
    <n v="24356246"/>
    <n v="8180169985"/>
    <x v="2"/>
    <n v="12374.24"/>
    <n v="3708.35"/>
    <n v="3712.2719999999999"/>
    <n v="3.9220000000000255"/>
    <d v="2026-10-01T00:00:00"/>
  </r>
  <r>
    <x v="69"/>
    <d v="2026-09-09T00:00:00"/>
    <x v="31"/>
    <s v="SEBASTIAN ACOSTA BLAS"/>
    <n v="11735346238"/>
    <s v="AOBS530121HDFCLB01"/>
    <n v="2"/>
    <n v="5638176525"/>
    <x v="1"/>
    <n v="4124.62"/>
    <n v="848"/>
    <n v="1237.386"/>
    <n v="-848"/>
    <m/>
  </r>
  <r>
    <x v="69"/>
    <d v="2026-09-09T00:00:00"/>
    <x v="13"/>
    <s v="FRANCISCO ELENO CORRALES CARRILLO"/>
    <m/>
    <s v="COCF630810HSLRRR00"/>
    <n v="24350406"/>
    <n v="5216645421908"/>
    <x v="2"/>
    <n v="9081.52"/>
    <n v="2714.73"/>
    <n v="2724.4560000000001"/>
    <n v="9.7260000000001128"/>
    <d v="2026-10-01T00:00:00"/>
  </r>
  <r>
    <x v="69"/>
    <d v="2026-09-09T00:00:00"/>
    <x v="6"/>
    <s v="PEDRO CERVANTES GARCIA "/>
    <n v="65705120114"/>
    <m/>
    <n v="24351132"/>
    <n v="5212299194763"/>
    <x v="2"/>
    <n v="9760.32"/>
    <n v="2735.16"/>
    <n v="2928.096"/>
    <n v="192.93600000000015"/>
    <d v="2027-08-01T00:00:00"/>
  </r>
  <r>
    <x v="69"/>
    <d v="2026-09-09T00:00:00"/>
    <x v="13"/>
    <s v="JUAN SANCHEZ"/>
    <n v="55935601272"/>
    <s v="SAXJ560405HSLNXN07"/>
    <n v="24356106"/>
    <n v="5216671017758"/>
    <x v="1"/>
    <n v="4199.87"/>
    <n v="848"/>
    <n v="1259.961"/>
    <n v="-821.10999999999967"/>
    <m/>
  </r>
  <r>
    <x v="69"/>
    <d v="2026-09-09T00:00:00"/>
    <x v="31"/>
    <s v="SALVADOR BARBOZA SORIANO"/>
    <n v="53967562280"/>
    <s v="BASS750902HMNRRL00"/>
    <n v="2"/>
    <s v="452 100 1857"/>
    <x v="1"/>
    <n v="4482.5600000000004"/>
    <n v="848"/>
    <n v="1344.768"/>
    <n v="-538.41999999999916"/>
    <m/>
  </r>
  <r>
    <x v="69"/>
    <d v="2026-09-08T00:00:00"/>
    <x v="28"/>
    <s v="GABRIEL PEREZ IBARRA"/>
    <m/>
    <s v="PEIG630324HJCRBB06"/>
    <n v="24330248"/>
    <n v="5213318452357"/>
    <x v="0"/>
    <n v="9760.32"/>
    <m/>
    <n v="2928.096"/>
    <n v="2928.096"/>
    <m/>
  </r>
  <r>
    <x v="69"/>
    <d v="2026-09-08T00:00:00"/>
    <x v="28"/>
    <s v="JORGE MARTINEZ LOPEZ"/>
    <m/>
    <s v="MALJ520423HSPRPR03"/>
    <n v="24329484"/>
    <n v="5214402035045"/>
    <x v="1"/>
    <n v="3882.85"/>
    <n v="848"/>
    <n v="1164.855"/>
    <n v="-848"/>
    <m/>
  </r>
  <r>
    <x v="69"/>
    <d v="2026-09-09T00:00:00"/>
    <x v="51"/>
    <s v="JAVIER GARCIA SUSUNAGA"/>
    <n v="78875902062"/>
    <s v="GASJ590227HOCRSV06"/>
    <n v="24355848"/>
    <n v="5214432665699"/>
    <x v="2"/>
    <n v="6262.86"/>
    <n v="1811"/>
    <n v="1878.8579999999997"/>
    <n v="67.85799999999972"/>
    <d v="2027-02-01T00:00:00"/>
  </r>
  <r>
    <x v="69"/>
    <d v="2026-09-09T00:00:00"/>
    <x v="31"/>
    <s v="AMALIA ARAGON FLORES"/>
    <s v="63816222713"/>
    <s v="AAFA620617MDGRLM08"/>
    <n v="2"/>
    <s v="81 1788 1437"/>
    <x v="6"/>
    <n v="7920.51"/>
    <n v="1228.47"/>
    <n v="2376.1529999999998"/>
    <n v="1147.6829999999998"/>
    <d v="2026-07-01T00:00:00"/>
  </r>
  <r>
    <x v="69"/>
    <d v="2026-09-05T00:00:00"/>
    <x v="59"/>
    <s v="JOSE LUIS PEREZ PEREZ "/>
    <m/>
    <s v="PEPL600214HDFRRS05"/>
    <n v="24263358"/>
    <n v="5215582945144"/>
    <x v="0"/>
    <n v="6262.86"/>
    <m/>
    <n v="1878.8579999999997"/>
    <n v="1878.8579999999997"/>
    <m/>
  </r>
  <r>
    <x v="69"/>
    <d v="2026-09-09T00:00:00"/>
    <x v="61"/>
    <s v="Guillermo Muñoz Ávila"/>
    <n v="43866620206"/>
    <s v="MUAG660620HNLXVLO5"/>
    <n v="24351770"/>
    <n v="8131218568"/>
    <x v="3"/>
    <n v="12329.54"/>
    <n v="2975.95"/>
    <n v="3698.8620000000001"/>
    <n v="722.91200000000026"/>
    <d v="2028-08-01T00:00:00"/>
  </r>
  <r>
    <x v="69"/>
    <d v="2026-09-09T00:00:00"/>
    <x v="13"/>
    <s v="JOSE LUIS LEDESMA JUAREZ"/>
    <m/>
    <s v="LEJL640820HDFDRS00"/>
    <n v="24356560"/>
    <n v="5215560251836"/>
    <x v="0"/>
    <n v="9081.52"/>
    <n v="848"/>
    <n v="2724.4560000000001"/>
    <n v="1876.4560000000001"/>
    <m/>
  </r>
  <r>
    <x v="69"/>
    <d v="2026-09-09T00:00:00"/>
    <x v="54"/>
    <s v="JOSE NESTOR VIMBELA SANDOVAL"/>
    <m/>
    <s v="VISN620226HJCMNS03"/>
    <n v="24335868"/>
    <n v="3331969855"/>
    <x v="2"/>
    <n v="8539.89"/>
    <n v="2469.8200000000002"/>
    <n v="2561.9669999999996"/>
    <n v="92.14699999999948"/>
    <d v="2027-05-01T00:00:00"/>
  </r>
  <r>
    <x v="69"/>
    <d v="2026-09-09T00:00:00"/>
    <x v="51"/>
    <s v="JERONIMO RAMOS VARGAS "/>
    <m/>
    <s v="RAVJ590720HGTMRR01"/>
    <n v="24356750"/>
    <n v="5214191181526"/>
    <x v="2"/>
    <n v="5772.28"/>
    <n v="1534.26"/>
    <n v="1731.684"/>
    <n v="65.040000000000191"/>
    <d v="2027-09-01T00:00:00"/>
  </r>
  <r>
    <x v="70"/>
    <d v="2026-09-09T00:00:00"/>
    <x v="54"/>
    <s v="ANTONIO SUAREZ MUJICA"/>
    <m/>
    <s v="SUMA590425HMCRJN06"/>
    <n v="24354170"/>
    <n v="5668019703"/>
    <x v="2"/>
    <n v="7120.4"/>
    <n v="1975.87"/>
    <n v="2136.12"/>
    <n v="160.25"/>
    <d v="2026-10-01T00:00:00"/>
  </r>
  <r>
    <x v="70"/>
    <d v="2026-09-02T00:00:00"/>
    <x v="54"/>
    <s v="JOSE MANUEL CENICEROS ORTEGA"/>
    <m/>
    <s v="CEOM621007HCLNRN09"/>
    <n v="24204336"/>
    <n v="8721369020"/>
    <x v="2"/>
    <n v="9760.32"/>
    <n v="2927.86"/>
    <n v="2928.096"/>
    <n v="0.23599999999987631"/>
    <d v="2028-06-01T00:00:00"/>
  </r>
  <r>
    <x v="70"/>
    <d v="2026-09-10T00:00:00"/>
    <x v="31"/>
    <s v="JORGE LAREDO LEYVA"/>
    <n v="72806328588"/>
    <s v="LALJ630623HGRRYR05"/>
    <n v="2"/>
    <n v="5614485087"/>
    <x v="2"/>
    <n v="7920.51"/>
    <n v="2291.6"/>
    <n v="2376.1529999999998"/>
    <n v="84.552999999999884"/>
    <d v="2027-06-01T00:00:00"/>
  </r>
  <r>
    <x v="70"/>
    <d v="2026-09-09T00:00:00"/>
    <x v="28"/>
    <s v="JESUS URBINA SANDOVAL"/>
    <s v="32664816918"/>
    <s v="UISJ480604HCLRNS00"/>
    <n v="24359342"/>
    <n v="5218715718807"/>
    <x v="2"/>
    <n v="24083.74"/>
    <n v="6967.69"/>
    <n v="7225.1220000000003"/>
    <n v="257.4320000000007"/>
    <d v="2027-02-01T00:00:00"/>
  </r>
  <r>
    <x v="70"/>
    <d v="2026-09-10T00:00:00"/>
    <x v="31"/>
    <s v="RAUL VELAZQUEZ SEGURO"/>
    <n v="4856542180"/>
    <s v="VESR650319HJCLGL06"/>
    <n v="2"/>
    <n v="3348123651"/>
    <x v="1"/>
    <n v="4465.47"/>
    <m/>
    <n v="1339.6410000000001"/>
    <n v="292.49000000000069"/>
    <m/>
  </r>
  <r>
    <x v="70"/>
    <d v="2026-09-10T00:00:00"/>
    <x v="31"/>
    <s v="JOSE JAVIER GARCIA JIMENEZ"/>
    <n v="32897183656"/>
    <s v="GAJJ720524HCLRMV08"/>
    <n v="2"/>
    <n v="8443325879"/>
    <x v="2"/>
    <n v="8107.76"/>
    <n v="2345.77"/>
    <n v="2432.328"/>
    <n v="86.557999999999993"/>
    <d v="2027-11-01T00:00:00"/>
  </r>
  <r>
    <x v="70"/>
    <d v="2026-09-10T00:00:00"/>
    <x v="31"/>
    <s v="ROSALINDA GUAJARDO ROBLEDO"/>
    <s v="03816407948"/>
    <s v="GURR640830MNLJBS04"/>
    <n v="2"/>
    <n v="8126034085"/>
    <x v="3"/>
    <n v="9081.5499999999993"/>
    <n v="1813"/>
    <n v="2724.4649999999997"/>
    <n v="911.46499999999969"/>
    <d v="2027-06-01T00:00:00"/>
  </r>
  <r>
    <x v="70"/>
    <d v="2026-09-09T00:00:00"/>
    <x v="28"/>
    <s v="RICARDO PEREZ TREJO"/>
    <m/>
    <s v="PETR591112HGTRRC00"/>
    <n v="24328874"/>
    <n v="5215587282445"/>
    <x v="0"/>
    <n v="15576.26"/>
    <n v="848"/>
    <n v="4672.8779999999997"/>
    <n v="3824.8779999999997"/>
    <m/>
  </r>
  <r>
    <x v="70"/>
    <d v="2026-09-10T00:00:00"/>
    <x v="28"/>
    <s v="MIGUEL ANGEL GARCEZ BECERRIL"/>
    <s v="11826220417"/>
    <s v="GABM640410HDFRCG03"/>
    <n v="24362654"/>
    <n v="5215524059451"/>
    <x v="5"/>
    <m/>
    <m/>
    <n v="0"/>
    <n v="0"/>
    <m/>
  </r>
  <r>
    <x v="70"/>
    <d v="2026-09-10T00:00:00"/>
    <x v="13"/>
    <s v="SERGIO SANTIAGO GARCIA"/>
    <m/>
    <s v="SAGS620429HTCNRR03"/>
    <n v="24369176"/>
    <n v="5219373692227"/>
    <x v="2"/>
    <n v="7116.73"/>
    <n v="2058.38"/>
    <n v="2135.0189999999998"/>
    <n v="76.638999999999669"/>
    <d v="2027-06-01T00:00:00"/>
  </r>
  <r>
    <x v="70"/>
    <d v="2026-09-09T00:00:00"/>
    <x v="28"/>
    <s v="BEATRIZ GUTIERREZ LOPEZ"/>
    <s v="1193753114"/>
    <s v="GULB750228MDFTPT06"/>
    <n v="24358028"/>
    <n v="5217209143365"/>
    <x v="2"/>
    <n v="7693.6"/>
    <n v="2308.08"/>
    <n v="2308.08"/>
    <n v="0"/>
    <d v="2027-08-01T00:00:00"/>
  </r>
  <r>
    <x v="70"/>
    <d v="2026-09-10T00:00:00"/>
    <x v="6"/>
    <s v="BERTHA ACUÑA GALLAGA "/>
    <n v="75866206123"/>
    <s v="AUGB590513MDFCLR08"/>
    <n v="24372336"/>
    <n v="5215527391861"/>
    <x v="6"/>
    <n v="7920.51"/>
    <n v="2198.9899999999998"/>
    <n v="2376.1529999999998"/>
    <n v="177.16300000000001"/>
    <d v="2026-09-01T00:00:00"/>
  </r>
  <r>
    <x v="70"/>
    <d v="2026-09-09T00:00:00"/>
    <x v="28"/>
    <s v="PETRA JACOBO RAMIREZ"/>
    <s v="15856605199"/>
    <s v="JARP670629MMSCMT06"/>
    <n v="24356424"/>
    <n v="5217772491455"/>
    <x v="4"/>
    <m/>
    <m/>
    <n v="0"/>
    <n v="0"/>
    <m/>
  </r>
  <r>
    <x v="70"/>
    <d v="2026-09-03T00:00:00"/>
    <x v="53"/>
    <s v="ELENA HERNANDEZ MALDONADO"/>
    <s v="16816304667"/>
    <s v="HEME730721MDFRLL07"/>
    <n v="24217552"/>
    <n v="4181185289"/>
    <x v="1"/>
    <n v="3482.44"/>
    <n v="848"/>
    <n v="1044.732"/>
    <n v="-848"/>
    <m/>
  </r>
  <r>
    <x v="70"/>
    <d v="2026-09-09T00:00:00"/>
    <x v="28"/>
    <s v="PABLO BUSTILLOS LINO"/>
    <s v="33877272683"/>
    <s v="BULP710422HCHSNB04"/>
    <n v="24359278"/>
    <n v="5216144019313"/>
    <x v="5"/>
    <m/>
    <m/>
    <n v="0"/>
    <n v="0"/>
    <m/>
  </r>
  <r>
    <x v="70"/>
    <d v="2026-09-10T00:00:00"/>
    <x v="59"/>
    <s v="SALVADOR HERRERA LARES"/>
    <n v="31816700160"/>
    <s v="HELS661224HDGRRL05"/>
    <n v="24365298"/>
    <n v="5216181222825"/>
    <x v="5"/>
    <m/>
    <m/>
    <n v="0"/>
    <n v="0"/>
    <m/>
  </r>
  <r>
    <x v="70"/>
    <d v="2026-09-09T00:00:00"/>
    <x v="6"/>
    <s v="JAVIER GARCIA HERNANDEZ "/>
    <m/>
    <s v="GAHJ630622HVZRRV04"/>
    <n v="24359330"/>
    <n v="5218334424088"/>
    <x v="0"/>
    <n v="10636.54"/>
    <m/>
    <n v="3190.962"/>
    <n v="3190.962"/>
    <m/>
  </r>
  <r>
    <x v="70"/>
    <d v="2026-09-09T00:00:00"/>
    <x v="28"/>
    <s v="ALONSO AVILA MARTINEZ"/>
    <s v="67735611922"/>
    <m/>
    <n v="24355132"/>
    <n v="5212881132125"/>
    <x v="2"/>
    <n v="9838.66"/>
    <n v="2834.34"/>
    <n v="2951.598"/>
    <n v="117.25799999999981"/>
    <d v="2027-07-01T00:00:00"/>
  </r>
  <r>
    <x v="70"/>
    <d v="2026-09-10T00:00:00"/>
    <x v="6"/>
    <s v="RAFAEL GONZALEZ CORNELIO"/>
    <m/>
    <s v="GOCR621026HJCNRF06"/>
    <n v="24362592"/>
    <n v="5213314591143"/>
    <x v="2"/>
    <n v="16072.16"/>
    <n v="4821.6499999999996"/>
    <n v="4821.6480000000001"/>
    <n v="-1.9999999994979589E-3"/>
    <d v="2028-08-01T00:00:00"/>
  </r>
  <r>
    <x v="70"/>
    <d v="2026-09-08T00:00:00"/>
    <x v="61"/>
    <s v="Efrain Montiel Santiago"/>
    <n v="65856525756"/>
    <m/>
    <n v="24315204"/>
    <n v="5217822553921"/>
    <x v="0"/>
    <n v="9760.32"/>
    <m/>
    <n v="2928.096"/>
    <n v="2928.096"/>
    <m/>
  </r>
  <r>
    <x v="70"/>
    <d v="2026-09-09T00:00:00"/>
    <x v="28"/>
    <s v="PETRA JACOBO RAMIREZ"/>
    <s v="1587672860"/>
    <s v="JARP670629MMSCMT06"/>
    <n v="24356424"/>
    <n v="5217772491455"/>
    <x v="5"/>
    <m/>
    <m/>
    <n v="0"/>
    <n v="0"/>
    <m/>
  </r>
  <r>
    <x v="70"/>
    <d v="2026-09-10T00:00:00"/>
    <x v="62"/>
    <s v="HECTOR RAMIREZ HERRERA"/>
    <m/>
    <s v="RAHH641021HNLMRC01"/>
    <n v="24369920"/>
    <n v="24369920"/>
    <x v="0"/>
    <n v="10636.54"/>
    <m/>
    <n v="3190.962"/>
    <n v="3190.962"/>
    <m/>
  </r>
  <r>
    <x v="70"/>
    <d v="2026-09-09T00:00:00"/>
    <x v="13"/>
    <s v="ANDRES ANGEL RIVERA MOSQUEDA"/>
    <m/>
    <s v="RIMA601002HGTVSN01"/>
    <n v="24359352"/>
    <n v="5214623365686"/>
    <x v="2"/>
    <n v="5617.63"/>
    <n v="1444.64"/>
    <n v="1685.289"/>
    <n v="1.0000000000445652E-2"/>
    <d v="2028-07-01T00:00:00"/>
  </r>
  <r>
    <x v="70"/>
    <d v="2026-09-10T00:00:00"/>
    <x v="59"/>
    <s v="JOSUE CHAVERO ROMERO"/>
    <n v="1968004158"/>
    <s v="CARJ800104HDFHMS05"/>
    <n v="24375084"/>
    <n v="5215620347263"/>
    <x v="1"/>
    <n v="3307.46"/>
    <n v="797"/>
    <n v="992.23799999999994"/>
    <n v="-797"/>
    <m/>
  </r>
  <r>
    <x v="70"/>
    <d v="2026-09-05T00:00:00"/>
    <x v="54"/>
    <s v="PATRICIA GENOVEVA MEJIA ESPINDOLA"/>
    <m/>
    <s v="MEEP640103MDFJST00"/>
    <n v="24263350"/>
    <n v="5579444418"/>
    <x v="2"/>
    <n v="9081.52"/>
    <n v="2521.35"/>
    <n v="2724.4560000000001"/>
    <n v="203.10600000000022"/>
    <d v="2027-01-01T00:00:00"/>
  </r>
  <r>
    <x v="70"/>
    <d v="2026-09-10T00:00:00"/>
    <x v="31"/>
    <s v="JOSUE CHAVERO ROMERO"/>
    <s v="01968004158"/>
    <s v="CARJ800104HMCHMS00"/>
    <n v="2"/>
    <n v="5620347263"/>
    <x v="1"/>
    <n v="3307.46"/>
    <n v="797"/>
    <n v="992.23799999999994"/>
    <n v="-797"/>
    <m/>
  </r>
  <r>
    <x v="70"/>
    <d v="2026-09-10T00:00:00"/>
    <x v="62"/>
    <s v="MARIA GUADALUPE ARMENDA SOTO"/>
    <n v="2381622222"/>
    <m/>
    <n v="24370230"/>
    <n v="6861633112"/>
    <x v="2"/>
    <n v="7920.51"/>
    <n v="2373.9499999999998"/>
    <n v="2376.1529999999998"/>
    <n v="2.2029999999999745"/>
    <d v="2028-05-01T00:00:00"/>
  </r>
  <r>
    <x v="70"/>
    <d v="2026-09-08T00:00:00"/>
    <x v="6"/>
    <s v="MANUELA TACHO MIRANDA "/>
    <n v="24916477672"/>
    <s v="TAMM641101MSRCRN02"/>
    <n v="24328140"/>
    <n v="5216624003293"/>
    <x v="2"/>
    <n v="9081.52"/>
    <n v="2616.79"/>
    <n v="2724.4560000000001"/>
    <n v="107.66600000000017"/>
    <d v="2027-07-01T00:00:00"/>
  </r>
  <r>
    <x v="70"/>
    <d v="2026-09-09T00:00:00"/>
    <x v="6"/>
    <s v="MANUEL CUTBERTO CASTRO ROCHIN"/>
    <s v="22796301293_x000a_"/>
    <s v="CARM630528HBSSCN07"/>
    <n v="24361422"/>
    <n v="5216121400209"/>
    <x v="0"/>
    <n v="10636.54"/>
    <m/>
    <n v="3190.962"/>
    <n v="3190.962"/>
    <m/>
  </r>
  <r>
    <x v="70"/>
    <d v="2026-09-10T00:00:00"/>
    <x v="6"/>
    <s v="PABLO RAMIREZ GONZALEZ "/>
    <n v="47947744133"/>
    <s v="RAGP780616HNLMNB00"/>
    <n v="24377116"/>
    <n v="5218128888530"/>
    <x v="1"/>
    <n v="4336.67"/>
    <n v="848"/>
    <n v="1301.001"/>
    <n v="-684.30999999999949"/>
    <m/>
  </r>
  <r>
    <x v="70"/>
    <d v="2026-09-10T00:00:00"/>
    <x v="54"/>
    <s v="OSCAR LOZANO CASTILLO"/>
    <m/>
    <s v="LXCO631207HTLZSS02"/>
    <n v="24375688"/>
    <n v="2414101871"/>
    <x v="0"/>
    <n v="9081.51"/>
    <m/>
    <n v="2724.453"/>
    <n v="2724.453"/>
    <m/>
  </r>
  <r>
    <x v="70"/>
    <d v="2026-09-09T00:00:00"/>
    <x v="6"/>
    <s v="MARTHA ROSALES LEMUS"/>
    <n v="9153606101"/>
    <s v="ROLM610223MMNSMR04"/>
    <n v="24360232"/>
    <n v="5214433589444"/>
    <x v="2"/>
    <n v="6262.86"/>
    <n v="1878"/>
    <n v="1878.8579999999997"/>
    <n v="0.85799999999971988"/>
    <d v="2027-03-01T00:00:00"/>
  </r>
  <r>
    <x v="70"/>
    <d v="2026-09-10T00:00:00"/>
    <x v="59"/>
    <s v="MARIA CRISTINA MUÑOZ HERNANDEZ"/>
    <m/>
    <s v="MUHC600531MDFXRR04"/>
    <n v="24376962"/>
    <n v="5217226561796"/>
    <x v="9"/>
    <n v="5617.63"/>
    <n v="1265.56"/>
    <n v="1685.289"/>
    <n v="179.0900000000006"/>
    <d v="2025-07-01T00:00:00"/>
  </r>
  <r>
    <x v="70"/>
    <d v="2026-09-10T00:00:00"/>
    <x v="63"/>
    <s v="JOSE EMILIANO MARTINEZ ORTEGA "/>
    <n v="67885900901"/>
    <s v="MAOE590720HVZRRM06"/>
    <n v="24378904"/>
    <n v="5212721803334"/>
    <x v="0"/>
    <n v="9760.32"/>
    <n v="1694.35"/>
    <n v="2928.096"/>
    <n v="1233.7460000000001"/>
    <d v="2027-10-01T00:00:00"/>
  </r>
  <r>
    <x v="70"/>
    <d v="2026-09-09T00:00:00"/>
    <x v="13"/>
    <s v="ALFONSO LOPEZ PALOMAR "/>
    <n v="75937218164"/>
    <s v="LOPA720824HMNPLL08"/>
    <n v="24358572"/>
    <n v="5213751308608"/>
    <x v="5"/>
    <m/>
    <m/>
    <n v="0"/>
    <n v="0"/>
    <m/>
  </r>
  <r>
    <x v="70"/>
    <d v="2026-09-10T00:00:00"/>
    <x v="64"/>
    <s v="SOFIA NICOLAS JIMENEZ"/>
    <m/>
    <s v="NIJS800525MOCCMF03"/>
    <n v="24378844"/>
    <n v="9515819552"/>
    <x v="5"/>
    <m/>
    <m/>
    <n v="0"/>
    <n v="0"/>
    <m/>
  </r>
  <r>
    <x v="70"/>
    <d v="2026-09-10T00:00:00"/>
    <x v="6"/>
    <s v="JORGE RODRIGO SIGALA"/>
    <m/>
    <s v="SIXJ550313HJCGXR07"/>
    <n v="24379392"/>
    <n v="5213321123815"/>
    <x v="3"/>
    <n v="5617.63"/>
    <n v="848"/>
    <n v="1685.289"/>
    <n v="596.65000000000055"/>
    <m/>
  </r>
  <r>
    <x v="70"/>
    <d v="2026-09-10T00:00:00"/>
    <x v="31"/>
    <s v="JESUS MANUEL PAEZ FUENTES"/>
    <n v="43715128088"/>
    <s v="PAFJ511225HNLZNS03"/>
    <n v="2"/>
    <s v="81 3106 0862"/>
    <x v="2"/>
    <n v="10636.54"/>
    <n v="3190.96"/>
    <n v="3190.962"/>
    <n v="1.9999999999527063E-3"/>
    <d v="2028-05-01T00:00:00"/>
  </r>
  <r>
    <x v="70"/>
    <d v="2026-09-10T00:00:00"/>
    <x v="31"/>
    <s v="RUBEN ORTIZ HERNANDEZ"/>
    <n v="17825915477"/>
    <s v="OIHR590517HDFRRB05"/>
    <n v="2"/>
    <s v="55 3670 5483"/>
    <x v="2"/>
    <n v="9128.19"/>
    <n v="2640.04"/>
    <n v="2738.4569999999999"/>
    <n v="98.416999999999916"/>
    <d v="2027-09-01T00:00:00"/>
  </r>
  <r>
    <x v="70"/>
    <d v="2026-09-10T00:00:00"/>
    <x v="59"/>
    <s v="JUAN CHACON PULIDO"/>
    <s v="24886060235_x000a_"/>
    <s v="CAPJ600623HVZHLN02"/>
    <n v="24375538"/>
    <n v="5212741411936"/>
    <x v="0"/>
    <n v="6262.86"/>
    <m/>
    <n v="1878.8579999999997"/>
    <n v="1878.8579999999997"/>
    <m/>
  </r>
  <r>
    <x v="70"/>
    <d v="2026-09-10T00:00:00"/>
    <x v="51"/>
    <s v="MANUEL CORTEZ TOMÉ "/>
    <n v="30916303172"/>
    <s v="COTM630818HDFRMN02"/>
    <n v="24356762"/>
    <n v="5215563580731"/>
    <x v="2"/>
    <n v="9081.52"/>
    <n v="2627.48"/>
    <n v="2724.4560000000001"/>
    <n v="96.976000000000113"/>
    <d v="2027-03-01T00:00:00"/>
  </r>
  <r>
    <x v="70"/>
    <d v="2026-09-10T00:00:00"/>
    <x v="31"/>
    <s v="FRANCISCO JAVIER HUERTA ALFARO"/>
    <n v="19846302404"/>
    <s v="HUAF630904HDFRLR09"/>
    <n v="2"/>
    <n v="5510060446"/>
    <x v="2"/>
    <n v="29480.17"/>
    <n v="8843.9599999999991"/>
    <n v="8844.0509999999995"/>
    <n v="9.1000000000349246E-2"/>
    <d v="2026-12-01T00:00:00"/>
  </r>
  <r>
    <x v="70"/>
    <d v="2026-09-07T00:00:00"/>
    <x v="28"/>
    <s v="EMMANUEL MONTOYA DEL HOYO"/>
    <s v="51755904318_x000a_"/>
    <m/>
    <n v="24307394"/>
    <n v="5214494575601"/>
    <x v="9"/>
    <n v="7116.73"/>
    <n v="1894.2"/>
    <n v="2135.0189999999998"/>
    <n v="240.81899999999973"/>
    <d v="2026-04-01T00:00:00"/>
  </r>
  <r>
    <x v="70"/>
    <d v="2026-09-10T00:00:00"/>
    <x v="13"/>
    <s v="JOSE LUIS AVILES QUINTERO"/>
    <n v="21926646304"/>
    <s v="AIQL660314HSLVNS02"/>
    <n v="24375022"/>
    <n v="5216863702114"/>
    <x v="2"/>
    <n v="10636.54"/>
    <n v="3164.97"/>
    <n v="3190.962"/>
    <n v="25.992000000000189"/>
    <d v="2028-05-01T00:00:00"/>
  </r>
  <r>
    <x v="70"/>
    <d v="2026-09-10T00:00:00"/>
    <x v="13"/>
    <s v="MIGUEL ANGEL GARAVITA MUÑOZ"/>
    <n v="67876851410"/>
    <s v="GAMM681101HVZRXG00"/>
    <n v="24378094"/>
    <n v="5219213881513"/>
    <x v="2"/>
    <n v="12698.88"/>
    <n v="3809.66"/>
    <n v="3809.6639999999998"/>
    <n v="3.9999999999054126E-3"/>
    <d v="2027-08-01T00:00:00"/>
  </r>
  <r>
    <x v="70"/>
    <d v="2026-09-10T00:00:00"/>
    <x v="6"/>
    <s v="BEINTO CAMPOS MEDINA "/>
    <m/>
    <s v="CAMB500321HZSMDN02"/>
    <n v="24368196"/>
    <n v="5213320414861"/>
    <x v="0"/>
    <n v="8690.2800000000007"/>
    <m/>
    <n v="2607.0840000000003"/>
    <n v="2607.0840000000003"/>
    <m/>
  </r>
  <r>
    <x v="70"/>
    <d v="2026-09-10T00:00:00"/>
    <x v="54"/>
    <s v="ALVARO CRUZ HERNANDEZ"/>
    <m/>
    <s v="CUHA621204HCSRRL06"/>
    <n v="24374234"/>
    <n v="9612465948"/>
    <x v="0"/>
    <n v="10171.24"/>
    <m/>
    <n v="3051.3719999999998"/>
    <n v="3051.3719999999998"/>
    <m/>
  </r>
  <r>
    <x v="70"/>
    <d v="2026-09-10T00:00:00"/>
    <x v="13"/>
    <s v="LUIS GUILLERMO MEDELLIN CORRALES"/>
    <n v="21916430909"/>
    <s v="MECL640625HDFDRS01"/>
    <n v="24381098"/>
    <n v="5216866047067"/>
    <x v="2"/>
    <n v="9760.32"/>
    <n v="2823.89"/>
    <n v="2928.096"/>
    <n v="104.20600000000013"/>
    <d v="2027-11-01T00:00:00"/>
  </r>
  <r>
    <x v="70"/>
    <d v="2026-09-09T00:00:00"/>
    <x v="59"/>
    <s v="SAMUEL DE ANDA MACIEL"/>
    <n v="4675106522"/>
    <s v="AAMS491123HJCNCM00"/>
    <n v="24361520"/>
    <n v="5213312633746"/>
    <x v="3"/>
    <n v="48251.94"/>
    <n v="13956.28"/>
    <n v="14475.582"/>
    <n v="519.30199999999968"/>
    <d v="2027-07-01T00:00:00"/>
  </r>
  <r>
    <x v="70"/>
    <d v="2026-09-10T00:00:00"/>
    <x v="64"/>
    <s v="VICENTE RUFINO GONZALEZ"/>
    <n v="16826502797"/>
    <m/>
    <n v="24380200"/>
    <n v="7293743028"/>
    <x v="2"/>
    <n v="9760.32"/>
    <n v="2926.29"/>
    <n v="2928.096"/>
    <n v="1.80600000000004"/>
    <d v="2027-10-01T00:00:00"/>
  </r>
  <r>
    <x v="70"/>
    <d v="2026-09-10T00:00:00"/>
    <x v="51"/>
    <s v="CELSO GUTIÉRREZ PÉREZ "/>
    <m/>
    <s v="GUAC650406HDFTRL06"/>
    <n v="24368158"/>
    <n v="5215546708582"/>
    <x v="0"/>
    <n v="9760.32"/>
    <m/>
    <n v="2928.096"/>
    <n v="2928.096"/>
    <m/>
  </r>
  <r>
    <x v="70"/>
    <d v="2026-09-09T00:00:00"/>
    <x v="13"/>
    <s v="CANDELARIO"/>
    <n v="5272531342"/>
    <m/>
    <n v="24360198"/>
    <n v="5213131132844"/>
    <x v="1"/>
    <n v="3882.85"/>
    <m/>
    <n v="1164.855"/>
    <n v="0"/>
    <m/>
  </r>
  <r>
    <x v="70"/>
    <d v="2026-09-10T00:00:00"/>
    <x v="54"/>
    <s v=" YSIDRO RODRIGUEZ GARCIA"/>
    <m/>
    <s v="ROGY580824HSPDRS03"/>
    <n v="24382562"/>
    <n v="8120029265"/>
    <x v="0"/>
    <n v="52003.97"/>
    <m/>
    <n v="15601.190999999999"/>
    <n v="15601.190999999999"/>
    <m/>
  </r>
  <r>
    <x v="71"/>
    <d v="2026-09-11T00:00:00"/>
    <x v="54"/>
    <s v="SERGIO GALLARDO MEDINA"/>
    <m/>
    <s v="GAMS640605HASLDR07"/>
    <n v="24389196"/>
    <n v="4492609957"/>
    <x v="2"/>
    <n v="9081.52"/>
    <n v="2627.5"/>
    <n v="2724.4560000000001"/>
    <n v="96.956000000000131"/>
    <d v="2027-11-01T00:00:00"/>
  </r>
  <r>
    <x v="71"/>
    <d v="2026-09-11T00:00:00"/>
    <x v="62"/>
    <s v="JUAN JOSE SANCHEZ RAMIREZ"/>
    <m/>
    <s v="SARJ740208HOCNMN06"/>
    <n v="24371764"/>
    <n v="9614250933"/>
    <x v="8"/>
    <m/>
    <m/>
    <n v="0"/>
    <n v="0"/>
    <m/>
  </r>
  <r>
    <x v="71"/>
    <d v="2026-09-09T00:00:00"/>
    <x v="61"/>
    <s v="Héctor Olvera Vazquez"/>
    <m/>
    <s v="OEVH610404HMNLZC05"/>
    <n v="24357292"/>
    <n v="5213141037371"/>
    <x v="2"/>
    <n v="11029.03"/>
    <n v="3308.71"/>
    <n v="3308.7090000000003"/>
    <n v="-9.9999999974897946E-4"/>
    <d v="2028-03-01T00:00:00"/>
  </r>
  <r>
    <x v="71"/>
    <d v="2026-09-09T00:00:00"/>
    <x v="63"/>
    <s v="Narciso Castillo Mendoza"/>
    <s v="12058210605 "/>
    <s v="CAMN821029HGTSNR07"/>
    <n v="24372114"/>
    <n v="4122012336"/>
    <x v="8"/>
    <m/>
    <m/>
    <n v="0"/>
    <n v="0"/>
    <m/>
  </r>
  <r>
    <x v="71"/>
    <d v="2026-09-10T00:00:00"/>
    <x v="6"/>
    <s v="JOSE LUIS ESPINOZA VIDAL"/>
    <m/>
    <s v="EIVL660415HVZSDS04"/>
    <n v="24383414"/>
    <n v="5212831116647"/>
    <x v="0"/>
    <n v="10636.55"/>
    <n v="0"/>
    <n v="3190.9649999999997"/>
    <n v="3190.9649999999997"/>
    <m/>
  </r>
  <r>
    <x v="71"/>
    <d v="2026-09-11T00:00:00"/>
    <x v="62"/>
    <s v=" JOEL PEREZ SOTO"/>
    <n v="13725206083"/>
    <m/>
    <n v="24395670"/>
    <n v="7716848154"/>
    <x v="9"/>
    <n v="26478.23"/>
    <n v="7940.63"/>
    <n v="7943.4689999999991"/>
    <n v="2.8389999999990323"/>
    <d v="2026-08-01T00:00:00"/>
  </r>
  <r>
    <x v="71"/>
    <d v="2026-09-10T00:00:00"/>
    <x v="28"/>
    <s v="ANDRES NUÑEZ MACIAS"/>
    <s v="31826511854_x000a_"/>
    <m/>
    <n v="24380456"/>
    <n v="5214463343501"/>
    <x v="2"/>
    <n v="12046.58"/>
    <n v="3612.22"/>
    <n v="3613.9739999999997"/>
    <n v="1.7539999999999054"/>
    <d v="2027-10-01T00:00:00"/>
  </r>
  <r>
    <x v="71"/>
    <d v="2026-09-10T00:00:00"/>
    <x v="65"/>
    <s v="HORTENCIA CLARA MEJIA"/>
    <m/>
    <s v="CAMH640111MMSLJR02"/>
    <n v="24378740"/>
    <n v="7356091777"/>
    <x v="2"/>
    <n v="9081.2199999999993"/>
    <n v="2721.88"/>
    <n v="2724.3659999999995"/>
    <n v="2.4859999999994216"/>
    <d v="2028-08-01T00:00:00"/>
  </r>
  <r>
    <x v="71"/>
    <d v="2026-09-11T00:00:00"/>
    <x v="6"/>
    <s v="ELSA NIDIYARI ARROYO MAGAÑA"/>
    <m/>
    <s v="AOME580321MSLRGL05"/>
    <n v="24392654"/>
    <n v="5217775646107"/>
    <x v="0"/>
    <n v="37463.39"/>
    <m/>
    <n v="11239.017"/>
    <n v="11239.017"/>
    <m/>
  </r>
  <r>
    <x v="71"/>
    <d v="2026-09-11T00:00:00"/>
    <x v="62"/>
    <s v="JOSE ALBERTO MORENO HERNANDEZ"/>
    <m/>
    <s v="MOHA811220HTCRRL05"/>
    <n v="24396496"/>
    <n v="9371210840"/>
    <x v="4"/>
    <m/>
    <m/>
    <n v="0"/>
    <n v="0"/>
    <m/>
  </r>
  <r>
    <x v="71"/>
    <d v="2026-09-08T00:00:00"/>
    <x v="53"/>
    <s v="MIGUEL ANGEL GONZALEZ ZUÑIGA"/>
    <m/>
    <s v="GOZM640929HNLNXG03"/>
    <n v="24318102"/>
    <n v="8662800723"/>
    <x v="2"/>
    <n v="9081.52"/>
    <n v="2721.97"/>
    <n v="2724.4560000000001"/>
    <n v="2.4860000000003311"/>
    <d v="2028-08-01T00:00:00"/>
  </r>
  <r>
    <x v="71"/>
    <d v="2026-09-11T00:00:00"/>
    <x v="31"/>
    <s v="EDUARDO LUCIANO HERNANDEZ ORTEGA"/>
    <n v="88806010752"/>
    <s v="HEOE600107HDFRRD00"/>
    <n v="2"/>
    <s v="55 4734 1271"/>
    <x v="6"/>
    <n v="11297.4"/>
    <n v="3381.56"/>
    <n v="3389.22"/>
    <n v="7.6599999999998545"/>
    <d v="2026-09-01T00:00:00"/>
  </r>
  <r>
    <x v="71"/>
    <d v="2026-09-11T00:00:00"/>
    <x v="65"/>
    <s v="JUAN MARTIN CAMPA MORENO"/>
    <m/>
    <s v="CAMJ620927HNLMRN01"/>
    <n v="24397608"/>
    <n v="8123497411"/>
    <x v="3"/>
    <n v="7920.51"/>
    <n v="1794.15"/>
    <n v="2376.1529999999998"/>
    <n v="582.0029999999997"/>
    <d v="2028-03-01T00:00:00"/>
  </r>
  <r>
    <x v="71"/>
    <d v="2026-09-10T00:00:00"/>
    <x v="54"/>
    <s v="MONICA ARCELIA VEGA GUTIERREZ"/>
    <m/>
    <s v="VEGM721230MSRGTN06"/>
    <n v="24386144"/>
    <n v="6623596230"/>
    <x v="9"/>
    <n v="6411.47"/>
    <n v="1843.68"/>
    <n v="1923.441"/>
    <n v="79.760999999999967"/>
    <d v="2025-08-01T00:00:00"/>
  </r>
  <r>
    <x v="71"/>
    <d v="2026-09-10T00:00:00"/>
    <x v="6"/>
    <s v="VICTOR MANUEL LUNA MATA"/>
    <m/>
    <s v="LUMV600525HCHNTC06"/>
    <n v="24386248"/>
    <n v="5216271491671"/>
    <x v="6"/>
    <n v="6248.08"/>
    <n v="1497.29"/>
    <n v="1874.424"/>
    <n v="377.13400000000001"/>
    <d v="2024-04-01T00:00:00"/>
  </r>
  <r>
    <x v="71"/>
    <d v="2026-09-11T00:00:00"/>
    <x v="62"/>
    <s v="GLAUDENCIO TONTON PACHECO"/>
    <m/>
    <s v="POPG660122HGRNCD02"/>
    <n v="24397820"/>
    <n v="6691008482"/>
    <x v="0"/>
    <n v="11029.03"/>
    <m/>
    <n v="3308.7090000000003"/>
    <n v="3308.7090000000003"/>
    <m/>
  </r>
  <r>
    <x v="71"/>
    <d v="2026-09-10T00:00:00"/>
    <x v="63"/>
    <s v="Martin Contreras Dominguez"/>
    <n v="89816008372"/>
    <s v="CODM601111HCHNMR06"/>
    <n v="24396814"/>
    <n v="6562749161"/>
    <x v="2"/>
    <n v="9081.52"/>
    <n v="2720.81"/>
    <n v="2724.4560000000001"/>
    <n v="3.6460000000001855"/>
    <d v="2028-06-01T00:00:00"/>
  </r>
  <r>
    <x v="71"/>
    <d v="2026-07-12T00:00:00"/>
    <x v="41"/>
    <s v="IGNACIO PEÑA RAMOS"/>
    <m/>
    <s v="PERI490201HGRXMG00"/>
    <n v="22591716"/>
    <n v="7445061746"/>
    <x v="6"/>
    <n v="11832.27"/>
    <n v="3421.76"/>
    <n v="3549.681"/>
    <n v="127.92099999999982"/>
    <d v="2025-04-01T00:00:00"/>
  </r>
  <r>
    <x v="71"/>
    <d v="2026-09-10T00:00:00"/>
    <x v="59"/>
    <s v="MANUEL ARTURO GILES AGUILAR"/>
    <m/>
    <s v="GIAM600224HDFLGN09"/>
    <n v="24387922"/>
    <n v="5215568007548"/>
    <x v="2"/>
    <n v="8771.68"/>
    <n v="2631.33"/>
    <n v="2631.5039999999999"/>
    <n v="0.17399999999997817"/>
    <d v="2028-05-01T00:00:00"/>
  </r>
  <r>
    <x v="71"/>
    <d v="2026-09-10T00:00:00"/>
    <x v="13"/>
    <s v="RICARDO CORONA IBARRA"/>
    <n v="21927510921"/>
    <s v="COIR750725HSLRBC01"/>
    <n v="24387614"/>
    <n v="5216673079880"/>
    <x v="2"/>
    <n v="8793.09"/>
    <n v="2491.5300000000002"/>
    <n v="2637.9270000000001"/>
    <n v="146.39699999999993"/>
    <d v="2027-11-01T00:00:00"/>
  </r>
  <r>
    <x v="71"/>
    <d v="2026-09-10T00:00:00"/>
    <x v="59"/>
    <s v="JESUS ALFONSO AGUILAR TORRES"/>
    <n v="54786220019"/>
    <s v="AUTJ620130HJCGRS07"/>
    <n v="24385714"/>
    <n v="5213228896544"/>
    <x v="2"/>
    <n v="7116.73"/>
    <n v="2059"/>
    <n v="2135.0189999999998"/>
    <n v="76.018999999999778"/>
    <d v="2027-06-01T00:00:00"/>
  </r>
  <r>
    <x v="71"/>
    <d v="2026-09-11T00:00:00"/>
    <x v="61"/>
    <s v="JOSUE HERNANDEZ CORNELIO"/>
    <n v="83816416495"/>
    <s v="HECJ640716HTCRRS05"/>
    <n v="24204694"/>
    <n v="5219991079496"/>
    <x v="0"/>
    <n v="9081.52"/>
    <n v="1510.61"/>
    <n v="2724.4560000000001"/>
    <n v="1213.8460000000002"/>
    <d v="2027-06-01T00:00:00"/>
  </r>
  <r>
    <x v="71"/>
    <d v="2026-09-04T00:00:00"/>
    <x v="59"/>
    <s v="JOSE LUIS ANGULO VILLA"/>
    <m/>
    <s v="AUVL590122HSLNLS09"/>
    <n v="24256634"/>
    <n v="5216727253698"/>
    <x v="2"/>
    <n v="16379.62"/>
    <n v="4913.8900000000003"/>
    <n v="4913.8860000000004"/>
    <n v="-3.9999999999054126E-3"/>
    <d v="2027-10-01T00:00:00"/>
  </r>
  <r>
    <x v="71"/>
    <d v="2026-09-10T00:00:00"/>
    <x v="13"/>
    <s v="RAFAEL RODRIGUEZ GALAN"/>
    <s v="01644860239"/>
    <s v="ROGR481124HDFDLF05"/>
    <n v="24383926"/>
    <n v="5216647483912"/>
    <x v="9"/>
    <n v="7007.26"/>
    <n v="940.64"/>
    <n v="2102.1779999999999"/>
    <n v="1161.538"/>
    <d v="2026-02-01T00:00:00"/>
  </r>
  <r>
    <x v="71"/>
    <d v="2026-09-10T00:00:00"/>
    <x v="54"/>
    <s v="JESUS MURGA HERNANDEZ"/>
    <m/>
    <s v="MUHJ500116HVZRRS00 "/>
    <n v="24384866"/>
    <n v="9221059444"/>
    <x v="2"/>
    <n v="4813.6899999999996"/>
    <n v="616"/>
    <n v="1444.1069999999997"/>
    <n v="24.710000000000036"/>
    <d v="2027-07-01T00:00:00"/>
  </r>
  <r>
    <x v="71"/>
    <d v="2026-09-11T00:00:00"/>
    <x v="65"/>
    <s v="FILOMENO GAYTAN GARCIA"/>
    <m/>
    <s v="GAGF600705HCLYRL09"/>
    <n v="24395944"/>
    <n v="8713507509"/>
    <x v="9"/>
    <n v="25364.48"/>
    <n v="7492.06"/>
    <n v="7609.3439999999991"/>
    <n v="117.28399999999874"/>
    <d v="2024-12-01T00:00:00"/>
  </r>
  <r>
    <x v="71"/>
    <d v="2026-09-11T00:00:00"/>
    <x v="61"/>
    <s v="Araceli lopez lujan"/>
    <s v="21836550588"/>
    <m/>
    <n v="24162456"/>
    <n v="5216648502317"/>
    <x v="2"/>
    <n v="9760.32"/>
    <n v="2809.95"/>
    <n v="2928.096"/>
    <n v="118.14600000000019"/>
    <d v="2028-01-01T00:00:00"/>
  </r>
  <r>
    <x v="71"/>
    <d v="2026-09-11T00:00:00"/>
    <x v="65"/>
    <s v="JOSE DE JESUS MUÑOZ GUTIERREZ"/>
    <m/>
    <s v="MUGJ650210HGRXTS02_x0009_"/>
    <n v="24397974"/>
    <n v="7551415589"/>
    <x v="0"/>
    <n v="9760.32"/>
    <m/>
    <n v="2928.096"/>
    <n v="2928.096"/>
    <m/>
  </r>
  <r>
    <x v="71"/>
    <d v="2026-09-10T00:00:00"/>
    <x v="54"/>
    <s v="DAVID RAMOS LOPEZ"/>
    <m/>
    <s v="RALD630914HGTMPV09"/>
    <n v="24383666"/>
    <n v="4771551490"/>
    <x v="0"/>
    <n v="31443.91"/>
    <n v="7500"/>
    <n v="9433.1729999999989"/>
    <n v="1933.1729999999989"/>
    <d v="2028-08-01T00:00:00"/>
  </r>
  <r>
    <x v="71"/>
    <d v="2026-09-07T00:00:00"/>
    <x v="61"/>
    <s v="David perez palacios"/>
    <m/>
    <s v="PEPD561228HBCRLV04"/>
    <n v="24295260"/>
    <n v="5216867816140"/>
    <x v="1"/>
    <n v="4199.87"/>
    <m/>
    <n v="1259.961"/>
    <n v="26.890000000000327"/>
    <m/>
  </r>
  <r>
    <x v="71"/>
    <d v="2026-09-09T00:00:00"/>
    <x v="6"/>
    <s v="JOSE ANGEL LOPEZ ALCARAZ "/>
    <m/>
    <s v="LOAA551215HCHPLN08"/>
    <n v="24358246"/>
    <n v="5216391239442"/>
    <x v="0"/>
    <n v="6494.38"/>
    <m/>
    <n v="1948.3139999999999"/>
    <n v="1948.3139999999999"/>
    <m/>
  </r>
  <r>
    <x v="71"/>
    <d v="2026-09-11T00:00:00"/>
    <x v="54"/>
    <s v="JOSE JESUS MORENO RAMIREZ"/>
    <n v="32825504346"/>
    <s v="MORJ550420HGTRMS04"/>
    <n v="24400274"/>
    <n v="8611602001"/>
    <x v="2"/>
    <n v="56547.9"/>
    <n v="16963.37"/>
    <n v="16964.37"/>
    <n v="1"/>
    <d v="2026-12-01T00:00:00"/>
  </r>
  <r>
    <x v="71"/>
    <d v="2026-09-10T00:00:00"/>
    <x v="59"/>
    <s v="MANUEL MURILLO LOPEZ"/>
    <n v="34796005220"/>
    <s v="MULM600128HZSRPN09"/>
    <n v="24384450"/>
    <n v="5214781051522"/>
    <x v="6"/>
    <n v="5617.63"/>
    <n v="1334.29"/>
    <n v="1685.289"/>
    <n v="110.36000000000058"/>
    <d v="2026-07-01T00:00:00"/>
  </r>
  <r>
    <x v="71"/>
    <d v="2026-09-10T00:00:00"/>
    <x v="13"/>
    <s v="VALENTIN NEQUIZ MARTINEZ"/>
    <n v="15856312044"/>
    <s v="NEMV630725HDFQRL04"/>
    <n v="24319262"/>
    <n v="5217771583541"/>
    <x v="2"/>
    <n v="5946.91"/>
    <n v="1772.54"/>
    <n v="1784.0729999999999"/>
    <n v="1.3900000000003274"/>
    <d v="2028-01-01T00:00:00"/>
  </r>
  <r>
    <x v="71"/>
    <d v="2026-08-12T00:00:00"/>
    <x v="6"/>
    <s v="TOMAS ARTEAGA ALMANZA"/>
    <m/>
    <s v="AEAT631221HTSRLM06"/>
    <n v="23587262"/>
    <n v="5218333023428"/>
    <x v="2"/>
    <n v="9081.52"/>
    <n v="2538.88"/>
    <n v="2724.4560000000001"/>
    <n v="185.57600000000002"/>
    <d v="2027-04-01T00:00:00"/>
  </r>
  <r>
    <x v="71"/>
    <d v="2026-09-11T00:00:00"/>
    <x v="6"/>
    <s v="ANTONIO GARCIA GONZALEZ "/>
    <m/>
    <s v="GAGA640410HTSRNN05"/>
    <n v="24394700"/>
    <n v="5218991242033"/>
    <x v="6"/>
    <n v="9081.52"/>
    <n v="2723.63"/>
    <n v="2724.4560000000001"/>
    <n v="0.82600000000002183"/>
    <d v="2026-05-01T00:00:00"/>
  </r>
  <r>
    <x v="71"/>
    <d v="2026-09-11T00:00:00"/>
    <x v="54"/>
    <s v="JUAN JOSE ARGUELLES GONZALEZ"/>
    <m/>
    <s v="AUGJ610111HVZRNN08"/>
    <n v="24401682"/>
    <n v="9211722085"/>
    <x v="0"/>
    <n v="22892.720000000001"/>
    <m/>
    <n v="6867.8159999999998"/>
    <n v="6867.8159999999998"/>
    <m/>
  </r>
  <r>
    <x v="71"/>
    <d v="2026-09-11T00:00:00"/>
    <x v="28"/>
    <s v="RAUL ARMANDO RODRIGUEZ GARCIA"/>
    <s v="01755927132_x000a_"/>
    <s v="ROGR580316HDFDRL07"/>
    <n v="24402534"/>
    <n v="5215611818155"/>
    <x v="2"/>
    <n v="19444.66"/>
    <n v="5833.13"/>
    <n v="5833.3980000000001"/>
    <n v="0.2680000000000291"/>
    <d v="2027-12-01T00:00:00"/>
  </r>
  <r>
    <x v="71"/>
    <d v="2026-09-11T00:00:00"/>
    <x v="54"/>
    <s v="PEDRO REYES CASTILLO"/>
    <m/>
    <s v="RECP660429HVZYSD03"/>
    <n v="24403058"/>
    <n v="2294638928"/>
    <x v="0"/>
    <n v="10636.54"/>
    <m/>
    <n v="3190.962"/>
    <n v="3190.962"/>
    <m/>
  </r>
  <r>
    <x v="71"/>
    <d v="2026-09-11T00:00:00"/>
    <x v="13"/>
    <s v="ARMANDO ELIAS LOPEZ"/>
    <s v="01745489820"/>
    <s v="EILA560709HDFLPR00"/>
    <n v="24401394"/>
    <n v="5215513490926"/>
    <x v="2"/>
    <n v="9081.52"/>
    <n v="2627.5"/>
    <n v="2724.4560000000001"/>
    <n v="96.956000000000131"/>
    <d v="2027-11-01T00:00:00"/>
  </r>
  <r>
    <x v="71"/>
    <d v="2026-09-10T00:00:00"/>
    <x v="65"/>
    <s v="ARTURO _x0009_TALAVERA GARCIA"/>
    <m/>
    <s v="TAGA571213HDFLRR04"/>
    <n v="24381586"/>
    <n v="5531695506"/>
    <x v="2"/>
    <n v="24465.94"/>
    <n v="7104.61"/>
    <n v="7339.7819999999992"/>
    <n v="235.17199999999957"/>
    <d v="2027-06-01T00:00:00"/>
  </r>
  <r>
    <x v="71"/>
    <d v="2026-09-11T00:00:00"/>
    <x v="28"/>
    <s v="SILVIA BELTRAN CUEN"/>
    <m/>
    <s v="BECS491011MSLLNL08"/>
    <n v="24402086"/>
    <n v="5216643604582"/>
    <x v="1"/>
    <n v="3879.3"/>
    <n v="848"/>
    <n v="1163.79"/>
    <n v="-848"/>
    <m/>
  </r>
  <r>
    <x v="71"/>
    <d v="2026-09-11T00:00:00"/>
    <x v="54"/>
    <s v="REYNALDO AGUAYO DURAN"/>
    <m/>
    <s v="AUDR610213HNTGRY05"/>
    <n v="24402396"/>
    <n v="3271120330"/>
    <x v="2"/>
    <n v="10636.54"/>
    <n v="3190.96"/>
    <n v="3190.962"/>
    <n v="1.9999999999527063E-3"/>
    <d v="2028-06-01T00:00:00"/>
  </r>
  <r>
    <x v="71"/>
    <d v="2026-09-11T00:00:00"/>
    <x v="28"/>
    <s v="JOSE PEDRO CONTRERAS ROSAS"/>
    <m/>
    <s v="CORP650330HPLNSD05Q"/>
    <n v="24398952"/>
    <n v="5212225088600"/>
    <x v="2"/>
    <n v="9760.32"/>
    <n v="2928.1"/>
    <n v="2928.096"/>
    <n v="-3.9999999999054126E-3"/>
    <d v="2027-07-01T00:00:00"/>
  </r>
  <r>
    <x v="71"/>
    <d v="2026-09-11T00:00:00"/>
    <x v="6"/>
    <s v="NORBERTO ROSAS GONZALEZ "/>
    <m/>
    <s v="ROGN540606HMCSNR05"/>
    <n v="24401792"/>
    <n v="5215534454925"/>
    <x v="0"/>
    <n v="29672.1"/>
    <m/>
    <n v="8901.6299999999992"/>
    <n v="8901.6299999999992"/>
    <m/>
  </r>
  <r>
    <x v="71"/>
    <d v="2026-09-11T00:00:00"/>
    <x v="13"/>
    <s v="ARNULFO TIRADO BARRAZA"/>
    <s v="23796238006"/>
    <s v="TIBA620513HSLRRR05"/>
    <n v="24401808"/>
    <n v="5216691231303"/>
    <x v="7"/>
    <n v="65409.37"/>
    <n v="19621.07"/>
    <n v="19622.811000000002"/>
    <n v="1.7410000000018044"/>
    <d v="2026-03-01T00:00:00"/>
  </r>
  <r>
    <x v="71"/>
    <d v="2026-09-10T00:00:00"/>
    <x v="13"/>
    <s v="MAYOR AGUILAR"/>
    <n v="88806010653"/>
    <m/>
    <n v="24385800"/>
    <n v="5215624170186"/>
    <x v="3"/>
    <n v="6496.63"/>
    <n v="879"/>
    <n v="1948.989"/>
    <n v="1069.989"/>
    <m/>
  </r>
  <r>
    <x v="71"/>
    <d v="2026-09-11T00:00:00"/>
    <x v="13"/>
    <s v=" GILBERTO GABRIEL RODRIGUEZ ZAMORA"/>
    <n v="33826312689"/>
    <s v="ROZG630101HCHDML04"/>
    <n v="24402274"/>
    <n v="5216564122604"/>
    <x v="6"/>
    <n v="7920.51"/>
    <n v="2099.5500000000002"/>
    <n v="2376.1529999999998"/>
    <n v="276.60299999999961"/>
    <d v="2025-06-01T00:00:00"/>
  </r>
  <r>
    <x v="71"/>
    <d v="2026-09-11T00:00:00"/>
    <x v="31"/>
    <s v="OSCAR VARGAS DIAZ"/>
    <n v="11896513733"/>
    <s v="VADO650418HDFRZS08"/>
    <n v="2"/>
    <n v="5519819724"/>
    <x v="2"/>
    <n v="11917.67"/>
    <n v="3445.37"/>
    <n v="3575.3009999999999"/>
    <n v="129.93100000000004"/>
    <d v="2027-08-01T00:00:00"/>
  </r>
  <r>
    <x v="71"/>
    <d v="2026-09-11T00:00:00"/>
    <x v="59"/>
    <s v="LEOPOLDO BRAVO MACIAS"/>
    <n v="11674978843"/>
    <s v="BAML490610HDFRCP03"/>
    <n v="24391084"/>
    <n v="5215549982200"/>
    <x v="0"/>
    <n v="9760.32"/>
    <m/>
    <n v="2928.096"/>
    <n v="2928.096"/>
    <m/>
  </r>
  <r>
    <x v="71"/>
    <d v="2026-09-11T00:00:00"/>
    <x v="31"/>
    <s v="ISIDRA FLORES CASTILLO"/>
    <n v="43826480774"/>
    <s v="FOCI640515MNLLDS00"/>
    <n v="2"/>
    <n v="8180145909"/>
    <x v="2"/>
    <n v="9081.52"/>
    <n v="2624.76"/>
    <n v="2724.4560000000001"/>
    <n v="99.695999999999913"/>
    <d v="2027-02-01T00:00:00"/>
  </r>
  <r>
    <x v="71"/>
    <d v="2026-09-11T00:00:00"/>
    <x v="28"/>
    <s v="ISIDRO VELASCO IBARRA"/>
    <m/>
    <s v="VEII541209HDFLBS08"/>
    <n v="24399870"/>
    <n v="5219611944342"/>
    <x v="0"/>
    <n v="10636.54"/>
    <m/>
    <n v="3190.962"/>
    <n v="3190.962"/>
    <m/>
  </r>
  <r>
    <x v="71"/>
    <d v="2026-09-08T00:00:00"/>
    <x v="13"/>
    <s v="MANUEL TERAN GARAY"/>
    <n v="19846103299"/>
    <s v="TEGM610925HMCRRN02"/>
    <n v="24322594"/>
    <n v="5215513299212"/>
    <x v="6"/>
    <n v="29697.16"/>
    <n v="8909.15"/>
    <n v="8909.1479999999992"/>
    <n v="-2.0000000004074536E-3"/>
    <d v="2026-08-01T00:00:00"/>
  </r>
  <r>
    <x v="71"/>
    <d v="2026-09-11T00:00:00"/>
    <x v="6"/>
    <s v="CESAR ANTONIO GUIDO"/>
    <m/>
    <s v="GUXC610828HBSDXS09"/>
    <n v="24405160"/>
    <n v="5216123788851"/>
    <x v="0"/>
    <n v="7283.61"/>
    <m/>
    <n v="2185.0829999999996"/>
    <n v="2185.0829999999996"/>
    <m/>
  </r>
  <r>
    <x v="71"/>
    <d v="2026-09-11T00:00:00"/>
    <x v="51"/>
    <s v="CIRILA SANCHEZ RIVERA"/>
    <m/>
    <s v="SARC760621MCSNVR08"/>
    <n v="24403954"/>
    <n v="5219622206449"/>
    <x v="4"/>
    <m/>
    <m/>
    <n v="0"/>
    <n v="0"/>
    <m/>
  </r>
  <r>
    <x v="71"/>
    <d v="2026-09-05T00:00:00"/>
    <x v="59"/>
    <s v="WILFRIDO MORALES HERNANDEZ"/>
    <n v="67795924306"/>
    <s v="MOHW590408HTCRRL14"/>
    <n v="24266570"/>
    <n v="5216391287576"/>
    <x v="6"/>
    <n v="17083.41"/>
    <n v="5124.43"/>
    <n v="5125.0230000000001"/>
    <n v="0.5929999999998472"/>
    <d v="2026-09-01T00:00:00"/>
  </r>
  <r>
    <x v="71"/>
    <d v="2026-09-10T00:00:00"/>
    <x v="51"/>
    <s v="MARCELA LOPEZ VALDIVIA"/>
    <m/>
    <s v="LOVM641225MDFPLR05"/>
    <n v="24365640"/>
    <n v="5631304679"/>
    <x v="0"/>
    <n v="9760.320000000007"/>
    <m/>
    <n v="2928.0960000000018"/>
    <n v="2928.0960000000018"/>
    <m/>
  </r>
  <r>
    <x v="71"/>
    <d v="2026-09-11T00:00:00"/>
    <x v="54"/>
    <s v="LORENA ADRIANA MUÑOZ GARCIA"/>
    <n v="51877030737"/>
    <s v="MUGL750201MASXRR06"/>
    <n v="24400844"/>
    <n v="4494356286"/>
    <x v="2"/>
    <n v="7128.48"/>
    <n v="1979"/>
    <n v="2138.5439999999999"/>
    <n v="159.54399999999987"/>
    <d v="2026-10-01T00:00:00"/>
  </r>
  <r>
    <x v="71"/>
    <d v="2026-09-11T00:00:00"/>
    <x v="59"/>
    <s v="PEDRO ALONSO CADENAS"/>
    <m/>
    <s v="AOCP570725HGTLDD06"/>
    <n v="24393582"/>
    <n v="5214111540583"/>
    <x v="0"/>
    <n v="7715.83"/>
    <n v="879"/>
    <n v="2314.7489999999998"/>
    <n v="1435.7489999999998"/>
    <m/>
  </r>
  <r>
    <x v="72"/>
    <d v="2026-09-05T00:00:00"/>
    <x v="61"/>
    <s v="Juan de dios Betanzos mariscal "/>
    <n v="11755955587"/>
    <s v="BEMJ590308HDFTRN07"/>
    <n v="24270794"/>
    <n v="5215562200115"/>
    <x v="2"/>
    <n v="5776.61"/>
    <n v="1546.56"/>
    <n v="1732.9829999999999"/>
    <n v="57.070000000000164"/>
    <d v="2027-08-01T00:00:00"/>
  </r>
  <r>
    <x v="72"/>
    <d v="2026-09-12T00:00:00"/>
    <x v="28"/>
    <s v="FORTINO RAMIREZ ESCOBAR"/>
    <m/>
    <s v="RAEF530811HCSMSR07"/>
    <n v="24409818"/>
    <n v="5216634834532"/>
    <x v="0"/>
    <n v="6576.05"/>
    <m/>
    <n v="1972.8150000000001"/>
    <n v="1972.8150000000001"/>
    <m/>
  </r>
  <r>
    <x v="72"/>
    <d v="2026-09-11T00:00:00"/>
    <x v="28"/>
    <s v="ALMA NELI RAMIREZ VAZQUEZ"/>
    <s v="55937524704"/>
    <s v="RAVA740425MGTMZL00"/>
    <n v="24408688"/>
    <n v="5213522436313"/>
    <x v="0"/>
    <n v="10011.879999999999"/>
    <m/>
    <n v="3003.5639999999999"/>
    <n v="3003.5639999999999"/>
    <m/>
  </r>
  <r>
    <x v="72"/>
    <d v="2026-09-12T00:00:00"/>
    <x v="59"/>
    <s v="SEBASTIAN JULIAN LAZCANO SILES"/>
    <m/>
    <s v="LASS610128HDFZLB09"/>
    <n v="24414648"/>
    <n v="5215586777989"/>
    <x v="2"/>
    <n v="6460.14"/>
    <n v="1868.81"/>
    <n v="1938.0419999999999"/>
    <n v="69.231999999999971"/>
    <d v="2027-11-01T00:00:00"/>
  </r>
  <r>
    <x v="72"/>
    <d v="2026-09-10T00:00:00"/>
    <x v="13"/>
    <s v="HERMILO MARTIN GALAN CUAHUA"/>
    <n v="6783650898"/>
    <s v="GACH650113HVZLHR05"/>
    <n v="24409246"/>
    <n v="5215651984257"/>
    <x v="2"/>
    <n v="9760.32"/>
    <n v="2926.65"/>
    <n v="2928.096"/>
    <n v="1.4459999999999127"/>
    <d v="2028-03-01T00:00:00"/>
  </r>
  <r>
    <x v="72"/>
    <d v="2026-09-12T00:00:00"/>
    <x v="6"/>
    <s v="ENRIQUE ENRIQUEZ GARCIA "/>
    <n v="49884202224"/>
    <s v="EIGE830713HTSNRN05"/>
    <n v="24408298"/>
    <n v="5218682446310"/>
    <x v="1"/>
    <n v="1210.71"/>
    <n v="302"/>
    <n v="363.21300000000002"/>
    <n v="-302"/>
    <m/>
  </r>
  <r>
    <x v="72"/>
    <d v="2026-09-11T00:00:00"/>
    <x v="13"/>
    <s v="RAQUEL PORTILLO VILLEGAS"/>
    <s v="336446113270"/>
    <s v="POVR460501MCHRLQ00"/>
    <n v="24408040"/>
    <n v="5216141314197"/>
    <x v="2"/>
    <n v="19102.669999999998"/>
    <n v="5523.79"/>
    <n v="5730.8009999999995"/>
    <n v="207.01099999999951"/>
    <d v="2027-08-01T00:00:00"/>
  </r>
  <r>
    <x v="72"/>
    <d v="2026-09-10T00:00:00"/>
    <x v="28"/>
    <s v="JUAN CARLOS MENDOZA IBARRA"/>
    <m/>
    <s v="MEIJ611219HDFNBN06"/>
    <n v="24387952"/>
    <n v="5215519304566"/>
    <x v="2"/>
    <n v="10171.01"/>
    <n v="3050.15"/>
    <n v="3051.3029999999999"/>
    <n v="1.1529999999997926"/>
    <d v="2028-07-01T00:00:00"/>
  </r>
  <r>
    <x v="72"/>
    <d v="2026-09-11T00:00:00"/>
    <x v="13"/>
    <s v="JESUS SALVADOR LEON AVILES"/>
    <m/>
    <s v="LEAJ610510HBSNVS00"/>
    <n v="24406980"/>
    <n v="5216128687004"/>
    <x v="0"/>
    <n v="6262.86"/>
    <m/>
    <n v="1878.8579999999997"/>
    <n v="1878.8579999999997"/>
    <m/>
  </r>
  <r>
    <x v="72"/>
    <d v="2026-09-11T00:00:00"/>
    <x v="28"/>
    <s v="ABIEL ALMANZA VALLE"/>
    <s v="32846683079"/>
    <s v="AAVA661107HCLLLB02"/>
    <n v="24403818"/>
    <n v="5218662569600"/>
    <x v="3"/>
    <n v="11995.34"/>
    <n v="2769.32"/>
    <n v="3598.6019999999999"/>
    <n v="829.2819999999997"/>
    <d v="2027-03-01T00:00:00"/>
  </r>
  <r>
    <x v="72"/>
    <d v="2026-09-11T00:00:00"/>
    <x v="28"/>
    <s v="RUBEN CEDEÑO SOLANO"/>
    <s v="01695080026"/>
    <s v="CESR500511HDFDLB09"/>
    <n v="24406718"/>
    <n v="5215585673262"/>
    <x v="2"/>
    <n v="5288.38"/>
    <n v="1115"/>
    <n v="1586.5139999999999"/>
    <n v="0.4000000000005457"/>
    <d v="2028-07-01T00:00:00"/>
  </r>
  <r>
    <x v="72"/>
    <d v="2026-09-09T00:00:00"/>
    <x v="61"/>
    <s v="Higinio Ramírez cruz"/>
    <n v="4282660614"/>
    <m/>
    <n v="23808686"/>
    <n v="5215652802887"/>
    <x v="0"/>
    <n v="10663.02"/>
    <m/>
    <n v="3198.9059999999999"/>
    <n v="3198.9059999999999"/>
    <m/>
  </r>
  <r>
    <x v="72"/>
    <d v="2026-09-12T00:00:00"/>
    <x v="13"/>
    <s v="DANIEL ZAMORA PEREZ"/>
    <n v="55907504264"/>
    <s v="ZAPD750216HDFMRN04"/>
    <n v="24412420"/>
    <n v="5215529398617"/>
    <x v="1"/>
    <n v="5060.93"/>
    <n v="879"/>
    <n v="1518.279"/>
    <n v="8.9500000000007276"/>
    <m/>
  </r>
  <r>
    <x v="72"/>
    <d v="2026-09-12T00:00:00"/>
    <x v="13"/>
    <s v="HECTOR ALCARAZ GALVEZ"/>
    <n v="52725415666"/>
    <s v="AAGH560106HJCLLC00"/>
    <n v="24416270"/>
    <n v="5213121007483"/>
    <x v="0"/>
    <n v="7920.5099999999984"/>
    <n v="879"/>
    <n v="2376.1529999999993"/>
    <n v="1497.1529999999993"/>
    <m/>
  </r>
  <r>
    <x v="72"/>
    <d v="2026-09-12T00:00:00"/>
    <x v="51"/>
    <s v="FIDEL MORALES ALONZO"/>
    <s v="678164540228_x000a_"/>
    <s v="MOAF640822HVZRLD03"/>
    <n v="24416608"/>
    <n v="5219844681272"/>
    <x v="0"/>
    <n v="10636.54"/>
    <m/>
    <n v="3190.962"/>
    <n v="3190.962"/>
    <m/>
  </r>
  <r>
    <x v="72"/>
    <d v="2026-09-11T00:00:00"/>
    <x v="51"/>
    <s v="GUILLERMINA MADRID BUSTAMANTE"/>
    <m/>
    <s v="MABG611229MSRDSL05"/>
    <n v="24409114"/>
    <n v="5216121685371"/>
    <x v="0"/>
    <n v="9760.32"/>
    <m/>
    <n v="2928.096"/>
    <n v="2928.096"/>
    <m/>
  </r>
  <r>
    <x v="72"/>
    <d v="2026-09-06T00:00:00"/>
    <x v="53"/>
    <s v="RUBEN ABRAHAM POSSELT TOVAR"/>
    <n v="10725473838"/>
    <s v="POTR531125HSPSVB09"/>
    <n v="24280514"/>
    <n v="19566560476"/>
    <x v="2"/>
    <n v="5055.8599999999997"/>
    <n v="1253.6500000000001"/>
    <n v="1516.7579999999998"/>
    <n v="-370.77"/>
    <d v="2027-02-01T00:00:00"/>
  </r>
  <r>
    <x v="72"/>
    <d v="2026-09-12T00:00:00"/>
    <x v="28"/>
    <s v="MARISELA DE JESUS PINACHO"/>
    <s v="78745603023_x000a_"/>
    <s v="PIXM551101MOCNXR07"/>
    <n v="24418318"/>
    <n v="5219513405776"/>
    <x v="9"/>
    <n v="11722.7"/>
    <n v="3388.95"/>
    <n v="3516.81"/>
    <n v="127.86000000000013"/>
    <d v="2026-03-01T00:00:00"/>
  </r>
  <r>
    <x v="72"/>
    <d v="2026-09-12T00:00:00"/>
    <x v="28"/>
    <s v="NICOLAS AMARO ROJAS"/>
    <s v="67806437033_x000a_"/>
    <m/>
    <n v="24417200"/>
    <n v="5214271491785"/>
    <x v="0"/>
    <n v="29453.33"/>
    <m/>
    <n v="8835.9989999999998"/>
    <n v="8835.9989999999998"/>
    <m/>
  </r>
  <r>
    <x v="72"/>
    <d v="2026-09-12T00:00:00"/>
    <x v="28"/>
    <s v="RODOLFO GUILLEN ABARCA"/>
    <m/>
    <s v="GUAR570209HCSLBD09"/>
    <n v="24416912"/>
    <n v="5215530587908"/>
    <x v="0"/>
    <n v="15274.2"/>
    <m/>
    <n v="4582.26"/>
    <n v="4582.26"/>
    <m/>
  </r>
  <r>
    <x v="72"/>
    <d v="2026-09-12T00:00:00"/>
    <x v="28"/>
    <s v="JOSE PEDRO NUÑEZ MARTINEZ"/>
    <m/>
    <s v="NUMP560209HGTXRD07"/>
    <n v="24416128"/>
    <n v="5215630391399"/>
    <x v="1"/>
    <n v="4040.11"/>
    <n v="879"/>
    <n v="1212.0329999999999"/>
    <n v="-879"/>
    <m/>
  </r>
  <r>
    <x v="72"/>
    <d v="2026-09-12T00:00:00"/>
    <x v="28"/>
    <s v="MAXIMILIANO AÑORVE TORRES"/>
    <s v="72775914103_x000a_"/>
    <s v="AOTM610327HGRXRX02"/>
    <n v="24415868"/>
    <n v="5213222179157"/>
    <x v="6"/>
    <n v="24261.17"/>
    <n v="5337.68"/>
    <n v="7278.3509999999997"/>
    <n v="1940.6709999999994"/>
    <d v="2025-07-01T00:00:00"/>
  </r>
  <r>
    <x v="72"/>
    <d v="2026-09-12T00:00:00"/>
    <x v="28"/>
    <s v="SANTOS JOSE ALFREDO SILVESTRE RODRIGUEZ"/>
    <s v="65735415856_x000a_"/>
    <s v="SIRS541101HVZLDN03"/>
    <n v="24415770"/>
    <n v="5212291919726"/>
    <x v="2"/>
    <n v="4772.1400000000003"/>
    <n v="577"/>
    <n v="1431.6420000000001"/>
    <n v="22.160000000000764"/>
    <d v="2027-06-01T00:00:00"/>
  </r>
  <r>
    <x v="72"/>
    <d v="2026-09-12T00:00:00"/>
    <x v="13"/>
    <s v="JOSE CONCEPCION GARCIA AVILEZ"/>
    <m/>
    <s v="GAAC631208HMCRVN04"/>
    <n v="24417396"/>
    <n v="5215646779474"/>
    <x v="0"/>
    <n v="12579.91"/>
    <m/>
    <n v="3773.973"/>
    <n v="3773.973"/>
    <m/>
  </r>
  <r>
    <x v="72"/>
    <d v="2026-09-12T00:00:00"/>
    <x v="13"/>
    <s v="VICTOR HUGO BALLESTEROS MARTINEZ"/>
    <n v="24856439146"/>
    <s v="BAMV640331HSRLRC02"/>
    <n v="24419368"/>
    <n v="5216624166808"/>
    <x v="0"/>
    <n v="10636.54"/>
    <m/>
    <n v="3190.962"/>
    <n v="3190.962"/>
    <m/>
  </r>
  <r>
    <x v="72"/>
    <d v="2026-09-12T00:00:00"/>
    <x v="13"/>
    <s v="MARTHA FABIOLA REYES PICON"/>
    <n v="49917206283"/>
    <s v="REPM750804MDGYCR05"/>
    <n v="24420950"/>
    <n v="5216566028205"/>
    <x v="4"/>
    <m/>
    <m/>
    <n v="0"/>
    <n v="0"/>
    <m/>
  </r>
  <r>
    <x v="72"/>
    <d v="2026-09-12T00:00:00"/>
    <x v="59"/>
    <s v="RAMON MADRID ESQUIVEL"/>
    <s v="33755917771_x000a_"/>
    <s v="MAER590710HCHDSM07"/>
    <n v="24417880"/>
    <n v="5216145326145"/>
    <x v="0"/>
    <n v="5617.63"/>
    <m/>
    <n v="1685.289"/>
    <n v="1444.6500000000005"/>
    <m/>
  </r>
  <r>
    <x v="72"/>
    <d v="2026-09-07T00:00:00"/>
    <x v="59"/>
    <s v="GERARDO RIOS CONDES DE LA TORRE"/>
    <m/>
    <s v="RICG650813HSRSNR06"/>
    <n v="24307288"/>
    <n v="5216221637118"/>
    <x v="5"/>
    <m/>
    <m/>
    <n v="0"/>
    <n v="0"/>
    <m/>
  </r>
  <r>
    <x v="72"/>
    <d v="2026-09-12T00:00:00"/>
    <x v="59"/>
    <s v="MAXIMINO MORENO LARA "/>
    <m/>
    <s v="MOLM540608HCHRRX07"/>
    <n v="24415530"/>
    <n v="5216182038904"/>
    <x v="2"/>
    <n v="25507.46"/>
    <n v="7638.22"/>
    <n v="7652.2379999999994"/>
    <n v="14.01799999999912"/>
    <d v="2027-12-01T00:00:00"/>
  </r>
  <r>
    <x v="72"/>
    <d v="2026-09-12T00:00:00"/>
    <x v="59"/>
    <s v="ALFONSO CASTILLO SYMONDS"/>
    <s v="24845903079_x000a_"/>
    <s v="CASA590103HSRSYL00"/>
    <n v="24419370"/>
    <n v="5216629347930"/>
    <x v="3"/>
    <n v="61828.47"/>
    <n v="17813"/>
    <n v="18548.541000000001"/>
    <n v="735.54100000000108"/>
    <d v="2027-10-01T00:00:00"/>
  </r>
  <r>
    <x v="72"/>
    <d v="2026-09-11T00:00:00"/>
    <x v="59"/>
    <s v="SERGIO GUZMAN HERNANDEZ"/>
    <s v="37946401751_x000a_"/>
    <s v="GUHS641220HDFZRR05"/>
    <n v="24408254"/>
    <n v="5214775276016"/>
    <x v="2"/>
    <n v="9081.52"/>
    <n v="2558.7199999999998"/>
    <n v="2724.4560000000001"/>
    <n v="165.73600000000033"/>
    <d v="2027-08-01T00:00:00"/>
  </r>
  <r>
    <x v="72"/>
    <d v="2026-09-07T00:00:00"/>
    <x v="13"/>
    <s v="GLORIA ROJAS PIÑA"/>
    <s v="12816361179_x000a_"/>
    <s v="ROPG640904MGTJXL02"/>
    <n v="24306882"/>
    <n v="5214661879736"/>
    <x v="2"/>
    <n v="8554.24"/>
    <n v="2473"/>
    <n v="2566.2719999999999"/>
    <n v="93.271999999999935"/>
    <d v="2027-02-01T00:00:00"/>
  </r>
  <r>
    <x v="72"/>
    <d v="2026-09-12T00:00:00"/>
    <x v="28"/>
    <s v="JAIME ARTURO NUÑEZ ARREDONDO"/>
    <s v="24765918982_x000a_"/>
    <s v="NUAJ601221HSRXRM02"/>
    <n v="24414092"/>
    <n v="5216444629186"/>
    <x v="3"/>
    <n v="6277.93"/>
    <n v="1035.3"/>
    <n v="1883.3789999999999"/>
    <n v="848.07899999999995"/>
    <d v="2028-03-01T00:00:00"/>
  </r>
  <r>
    <x v="73"/>
    <d v="2026-09-12T00:00:00"/>
    <x v="63"/>
    <s v="HUMBERTO OSORIO TREJO "/>
    <s v="01705408068"/>
    <s v="OOTH540520HDFSRM03"/>
    <n v="24423950"/>
    <n v="5533053616"/>
    <x v="2"/>
    <n v="9760.32"/>
    <n v="2822.84"/>
    <n v="2928.096"/>
    <n v="105.25599999999986"/>
    <d v="2027-06-01T00:00:00"/>
  </r>
  <r>
    <x v="73"/>
    <d v="2026-09-13T00:00:00"/>
    <x v="62"/>
    <s v="HILARIO ROJAS RAMIREZ"/>
    <s v="01775984626"/>
    <m/>
    <n v="24426410"/>
    <n v="5562074482"/>
    <x v="5"/>
    <m/>
    <m/>
    <n v="0"/>
    <n v="0"/>
    <m/>
  </r>
  <r>
    <x v="73"/>
    <d v="2026-09-12T00:00:00"/>
    <x v="62"/>
    <s v="Félix González Rodríguez"/>
    <m/>
    <s v="GORF560216HVZNDL04"/>
    <n v="24422146"/>
    <n v="2215350615"/>
    <x v="0"/>
    <n v="62108.17"/>
    <m/>
    <n v="18632.450999999997"/>
    <n v="18632.450999999997"/>
    <m/>
  </r>
  <r>
    <x v="73"/>
    <d v="2026-09-13T00:00:00"/>
    <x v="64"/>
    <s v="GABRIEL NAVARRO FERNANDEZ"/>
    <n v="4856893799"/>
    <s v="NAFG680803HJCVRB07"/>
    <n v="24426192"/>
    <n v="3323478130"/>
    <x v="1"/>
    <n v="4090.78"/>
    <m/>
    <n v="1227.2339999999999"/>
    <n v="0"/>
    <m/>
  </r>
  <r>
    <x v="73"/>
    <d v="2026-09-13T00:00:00"/>
    <x v="64"/>
    <s v="JUAN CABRERA CORPUS"/>
    <n v="43786012047"/>
    <m/>
    <n v="24427512"/>
    <n v="8122894328"/>
    <x v="2"/>
    <n v="7920.51"/>
    <n v="2373.23"/>
    <n v="2376.1529999999998"/>
    <n v="2.9229999999997744"/>
    <d v="2026-04-01T00:00:00"/>
  </r>
  <r>
    <x v="73"/>
    <d v="2026-09-05T00:00:00"/>
    <x v="53"/>
    <s v="MARIA GUADALUPE CERVANTES MAYO"/>
    <m/>
    <s v="CEMG561212MDFRYD08"/>
    <n v="24274678"/>
    <n v="7702095111"/>
    <x v="0"/>
    <n v="5617.63"/>
    <m/>
    <n v="1685.289"/>
    <n v="1444.6500000000005"/>
    <m/>
  </r>
  <r>
    <x v="73"/>
    <d v="2026-09-12T00:00:00"/>
    <x v="62"/>
    <s v="FAUSTO PELAYO BETANCOURT"/>
    <s v="06716372279"/>
    <m/>
    <n v="24423334"/>
    <n v="4612278373"/>
    <x v="5"/>
    <m/>
    <m/>
    <n v="0"/>
    <n v="0"/>
    <m/>
  </r>
  <r>
    <x v="73"/>
    <d v="2026-09-12T00:00:00"/>
    <x v="62"/>
    <s v="ROGELIO JOAQUIN OLIVARES"/>
    <m/>
    <s v="OIAR520827HMNLVG08"/>
    <n v="24422408"/>
    <n v="4422304825"/>
    <x v="0"/>
    <n v="26510.63"/>
    <n v="6329.93"/>
    <n v="7953.1890000000003"/>
    <n v="1623.259"/>
    <d v="2028-01-01T00:00:00"/>
  </r>
  <r>
    <x v="73"/>
    <d v="2026-09-13T00:00:00"/>
    <x v="65"/>
    <s v="CAROLINA OCHOA ESTRADA"/>
    <m/>
    <s v="OOEC651005MCHCSR03_x0009_"/>
    <n v="24428750"/>
    <n v="6251261543"/>
    <x v="2"/>
    <n v="9760.32"/>
    <n v="2902.71"/>
    <n v="2928.096"/>
    <n v="25.385999999999967"/>
    <d v="2028-07-01T00:00:00"/>
  </r>
  <r>
    <x v="73"/>
    <d v="2026-09-12T00:00:00"/>
    <x v="65"/>
    <s v="Francisco Alemán Gómez"/>
    <m/>
    <s v="AEGF641203HVZLMR01 "/>
    <n v="24424018"/>
    <n v="9211235157"/>
    <x v="0"/>
    <n v="19664.919999999998"/>
    <m/>
    <n v="5899.4759999999997"/>
    <n v="5899.4759999999997"/>
    <m/>
  </r>
  <r>
    <x v="73"/>
    <d v="2026-09-13T00:00:00"/>
    <x v="65"/>
    <s v="IGNACIO PRIETO ZERTUCHE"/>
    <m/>
    <s v="PIZI550203HVZRRG00"/>
    <n v="24429568"/>
    <n v="9241362108"/>
    <x v="1"/>
    <n v="4199.87"/>
    <m/>
    <n v="1259.961"/>
    <n v="26.890000000000327"/>
    <m/>
  </r>
  <r>
    <x v="73"/>
    <d v="2026-09-13T00:00:00"/>
    <x v="64"/>
    <s v="ENRIQUE RODRIGUEZ LIMON"/>
    <s v="32816376464 "/>
    <s v="ROLE640219HCLDMN08"/>
    <n v="24429180"/>
    <n v="8448709309"/>
    <x v="2"/>
    <n v="9760.32"/>
    <n v="2905.74"/>
    <n v="2928.096"/>
    <n v="22.356000000000222"/>
    <d v="2028-04-01T00:00:00"/>
  </r>
  <r>
    <x v="73"/>
    <d v="2026-09-13T00:00:00"/>
    <x v="64"/>
    <m/>
    <s v="81047703020"/>
    <m/>
    <n v="24429892"/>
    <n v="9381920136"/>
    <x v="8"/>
    <m/>
    <m/>
    <n v="0"/>
    <n v="0"/>
    <m/>
  </r>
  <r>
    <x v="73"/>
    <d v="2026-09-13T00:00:00"/>
    <x v="62"/>
    <s v="MANUEL SOLORZANO SOLORZANO"/>
    <m/>
    <s v="SOSM640910HMNLLN08"/>
    <n v="24428180"/>
    <n v="4252048615"/>
    <x v="0"/>
    <n v="9760.32"/>
    <m/>
    <n v="2928.096"/>
    <n v="2928.096"/>
    <m/>
  </r>
  <r>
    <x v="73"/>
    <d v="2026-09-13T00:00:00"/>
    <x v="64"/>
    <s v="TERESA DE JESUS CARDENAS EVERARDO "/>
    <n v="83775702059"/>
    <s v="CAET640425MTCRVR05"/>
    <n v="24430460"/>
    <n v="9931477205"/>
    <x v="2"/>
    <n v="5055.87"/>
    <n v="1292.92"/>
    <n v="1516.761"/>
    <n v="-410.02999999999975"/>
    <d v="2026-10-01T00:00:00"/>
  </r>
  <r>
    <x v="74"/>
    <d v="2026-09-14T00:00:00"/>
    <x v="31"/>
    <s v="SENAIDO VAQUEZ FUENTES"/>
    <n v="15896211156"/>
    <s v="VAFS621011HGRZNN19"/>
    <n v="2"/>
    <s v="777 109 8065"/>
    <x v="2"/>
    <n v="8649.98"/>
    <n v="2594.64"/>
    <n v="2594.9939999999997"/>
    <n v="0.35399999999981446"/>
    <d v="2027-03-01T00:00:00"/>
  </r>
  <r>
    <x v="74"/>
    <d v="2026-09-14T00:00:00"/>
    <x v="31"/>
    <s v="JOGE LUIS GODINEZ MACIAS"/>
    <s v="56887152454"/>
    <s v="GOMJ710224HJCDCR03"/>
    <n v="2"/>
    <s v="33 1887 4273"/>
    <x v="1"/>
    <n v="3779.88"/>
    <m/>
    <n v="1133.9639999999999"/>
    <n v="0"/>
    <m/>
  </r>
  <r>
    <x v="74"/>
    <d v="2026-09-14T00:00:00"/>
    <x v="31"/>
    <s v="ERASTO MORALES GOMEZ"/>
    <n v="19855700944"/>
    <s v="MOGE570726HOCRMR14"/>
    <n v="2"/>
    <s v="55 3287 6743"/>
    <x v="2"/>
    <n v="11677.34"/>
    <n v="3500.71"/>
    <n v="3503.2019999999998"/>
    <n v="2.4919999999997344"/>
    <d v="2027-07-01T00:00:00"/>
  </r>
  <r>
    <x v="74"/>
    <d v="2026-09-14T00:00:00"/>
    <x v="31"/>
    <s v="ISMAEL RAMIREZ SIGUENZA"/>
    <n v="42806382703"/>
    <s v="RASI630518HDFMGS12"/>
    <n v="2"/>
    <s v="55 6680 2991"/>
    <x v="9"/>
    <n v="7920.51"/>
    <n v="2375.9"/>
    <n v="2376.1529999999998"/>
    <n v="0.25299999999970169"/>
    <d v="2025-10-01T00:00:00"/>
  </r>
  <r>
    <x v="74"/>
    <d v="2026-09-14T00:00:00"/>
    <x v="31"/>
    <s v="ALVARO VALDES ARZATE"/>
    <s v="06785834224"/>
    <s v="VAAA580509HDFLRL07"/>
    <n v="2"/>
    <s v="55 3972 5346"/>
    <x v="1"/>
    <n v="4342.43"/>
    <m/>
    <n v="1302.729"/>
    <n v="169.45000000000073"/>
    <m/>
  </r>
  <r>
    <x v="74"/>
    <d v="2026-09-14T00:00:00"/>
    <x v="31"/>
    <s v="JORGE ENRIQUE TELLEZ CAPITANACHI"/>
    <n v="49947965677"/>
    <s v="TECJ790718HVZLPR02"/>
    <n v="2"/>
    <n v="8332340026"/>
    <x v="1"/>
    <n v="3517.29"/>
    <m/>
    <n v="1055.1869999999999"/>
    <n v="0"/>
    <m/>
  </r>
  <r>
    <x v="74"/>
    <d v="2026-09-11T00:00:00"/>
    <x v="28"/>
    <s v="JESUS CELEDONIO FLORES"/>
    <s v="01836411197_x000a_"/>
    <s v="CEFJ640118HMCLLS04"/>
    <n v="24407092"/>
    <n v="5215613889415"/>
    <x v="2"/>
    <n v="9081.52"/>
    <n v="2724"/>
    <n v="2724.4560000000001"/>
    <n v="0.45600000000013097"/>
    <d v="2028-09-01T00:00:00"/>
  </r>
  <r>
    <x v="74"/>
    <d v="2026-09-14T00:00:00"/>
    <x v="31"/>
    <s v="MARTHA DIAZ TORRES"/>
    <n v="4285590159"/>
    <s v="DITM590221MDFZRR09"/>
    <n v="2"/>
    <s v="55 6679 0531"/>
    <x v="2"/>
    <n v="8180.82"/>
    <n v="2366.88"/>
    <n v="2454.2459999999996"/>
    <n v="87.365999999999531"/>
    <d v="2028-01-01T00:00:00"/>
  </r>
  <r>
    <x v="74"/>
    <d v="2026-09-14T00:00:00"/>
    <x v="28"/>
    <s v="ANA HONORIO CORTEZ"/>
    <s v="658555072505_x000a_"/>
    <s v="HOCA581121MVZNRN09"/>
    <n v="24436146"/>
    <n v="5217838320588"/>
    <x v="5"/>
    <m/>
    <m/>
    <n v="0"/>
    <n v="0"/>
    <m/>
  </r>
  <r>
    <x v="74"/>
    <d v="2026-09-11T00:00:00"/>
    <x v="6"/>
    <s v="ANGELA HERNANDEZ LOPEZ"/>
    <n v="17796132979"/>
    <s v="HELA630507MDFRPN09"/>
    <n v="24407292"/>
    <n v="5215551738227"/>
    <x v="2"/>
    <n v="9511.7000000000007"/>
    <n v="2751.96"/>
    <n v="2853.51"/>
    <n v="101.55000000000018"/>
    <d v="2027-05-01T00:00:00"/>
  </r>
  <r>
    <x v="74"/>
    <d v="2026-09-11T00:00:00"/>
    <x v="6"/>
    <s v="MARIA DEL CARMEN SAUCEDO GONZALEZ "/>
    <s v="54906348252_x000a_"/>
    <s v="SAGC630414MJCCNR02"/>
    <n v="24407574"/>
    <n v="5212226107652"/>
    <x v="2"/>
    <n v="7920.51"/>
    <n v="2376.15"/>
    <n v="2376.1529999999998"/>
    <n v="2.9999999997016857E-3"/>
    <d v="2028-04-01T00:00:00"/>
  </r>
  <r>
    <x v="74"/>
    <d v="2026-09-14T00:00:00"/>
    <x v="28"/>
    <s v="ENRIQUE VALDEZ VASQUEZ"/>
    <s v="24765810148_x000a_"/>
    <m/>
    <n v="24436594"/>
    <n v="5216645749097"/>
    <x v="6"/>
    <n v="8108.29"/>
    <n v="2247.1999999999998"/>
    <n v="2432.4870000000001"/>
    <n v="185.28700000000026"/>
    <d v="2026-08-01T00:00:00"/>
  </r>
  <r>
    <x v="74"/>
    <d v="2026-09-14T00:00:00"/>
    <x v="6"/>
    <s v="AGUSTIN ESPINOSA LEON "/>
    <m/>
    <s v="EILA600502HPLSNG00"/>
    <n v="24444508"/>
    <n v="5212221883452"/>
    <x v="9"/>
    <n v="7116.73"/>
    <n v="1885.86"/>
    <n v="2135.0189999999998"/>
    <n v="249.15899999999988"/>
    <d v="2025-08-01T00:00:00"/>
  </r>
  <r>
    <x v="74"/>
    <d v="2026-09-13T00:00:00"/>
    <x v="54"/>
    <s v="SILVIA JIMENEZ  PEREZ"/>
    <m/>
    <s v="JIPS531104MTCMRL00"/>
    <n v="24429940"/>
    <n v="9131249838"/>
    <x v="4"/>
    <m/>
    <m/>
    <n v="0"/>
    <n v="0"/>
    <m/>
  </r>
  <r>
    <x v="74"/>
    <d v="2026-09-14T00:00:00"/>
    <x v="28"/>
    <s v="TIMOTEO GONZALEZ CUELLAR"/>
    <s v="41938524332_x000a_"/>
    <m/>
    <n v="24435884"/>
    <n v="5214441563732"/>
    <x v="5"/>
    <m/>
    <m/>
    <n v="0"/>
    <n v="0"/>
    <m/>
  </r>
  <r>
    <x v="74"/>
    <d v="2026-09-14T00:00:00"/>
    <x v="6"/>
    <s v="MODESTO GUIERREZ CASTELn "/>
    <m/>
    <s v="GUCM570224HPLTSD05"/>
    <n v="24436100"/>
    <n v="5217752581148"/>
    <x v="0"/>
    <n v="23442.54"/>
    <m/>
    <n v="7032.7619999999997"/>
    <n v="7032.7619999999997"/>
    <m/>
  </r>
  <r>
    <x v="74"/>
    <d v="2026-09-14T00:00:00"/>
    <x v="59"/>
    <s v="RUBEN ROBLEDO GAVIA"/>
    <s v="12816523083_x000a_"/>
    <s v="ROGR650901HGTBVB04"/>
    <n v="24436222"/>
    <n v="5214774133233"/>
    <x v="0"/>
    <n v="9760.32"/>
    <m/>
    <n v="2928.096"/>
    <n v="2928.096"/>
    <m/>
  </r>
  <r>
    <x v="74"/>
    <d v="2026-09-01T00:00:00"/>
    <x v="6"/>
    <s v="RUBEN JUAN CHAVEZ VALDEZ "/>
    <m/>
    <s v="CAVR630122HDFHLB01"/>
    <n v="24174154"/>
    <n v="5215543635717"/>
    <x v="0"/>
    <n v="8539.91"/>
    <m/>
    <n v="2561.973"/>
    <n v="2561.973"/>
    <m/>
  </r>
  <r>
    <x v="74"/>
    <d v="2026-09-13T00:00:00"/>
    <x v="6"/>
    <s v="ALFREDO KURI BARRERA"/>
    <m/>
    <s v="KUBA590511HDFRRL04"/>
    <n v="24431628"/>
    <n v="5219999554448"/>
    <x v="6"/>
    <n v="42073.32"/>
    <n v="12172.41"/>
    <n v="12621.995999999999"/>
    <n v="449.58599999999933"/>
    <d v="2026-09-01T00:00:00"/>
  </r>
  <r>
    <x v="74"/>
    <d v="2026-09-13T00:00:00"/>
    <x v="54"/>
    <s v=" JOSE JESUS VILLAVICENCIO CASTRO"/>
    <n v="22907301760"/>
    <s v="VICJ731001HBSLSS08"/>
    <n v="24429688"/>
    <n v="6122311828"/>
    <x v="1"/>
    <n v="3504.44"/>
    <m/>
    <n v="1051.3319999999999"/>
    <n v="0"/>
    <m/>
  </r>
  <r>
    <x v="74"/>
    <d v="2026-09-11T00:00:00"/>
    <x v="6"/>
    <s v="SILVIA ZAVALA ALONSO"/>
    <s v="33877082876_x000a_"/>
    <s v="ZAAS700402MCHVLL08"/>
    <n v="24400734"/>
    <n v="5216141006292"/>
    <x v="0"/>
    <n v="8173.36"/>
    <m/>
    <n v="2452.0079999999998"/>
    <n v="2452.0079999999998"/>
    <m/>
  </r>
  <r>
    <x v="74"/>
    <d v="2026-09-14T00:00:00"/>
    <x v="64"/>
    <s v=" GUADALUPE JAVIER CERVANTES MENDEZ "/>
    <n v="20896601703"/>
    <m/>
    <n v="24447000"/>
    <n v="5513692338"/>
    <x v="2"/>
    <n v="10636.54"/>
    <n v="3162.86"/>
    <n v="3190.962"/>
    <n v="28.101999999999862"/>
    <d v="2028-08-01T00:00:00"/>
  </r>
  <r>
    <x v="74"/>
    <d v="2026-09-13T00:00:00"/>
    <x v="6"/>
    <s v="DELIA GUADENCIA REYES LOPEZ"/>
    <s v="49805708887_x000a_"/>
    <s v="RELD570122MCLYPL09"/>
    <n v="24433612"/>
    <n v="5218332837935"/>
    <x v="1"/>
    <n v="3591.45"/>
    <m/>
    <n v="1077.4349999999999"/>
    <n v="0"/>
    <m/>
  </r>
  <r>
    <x v="74"/>
    <d v="2026-09-13T00:00:00"/>
    <x v="62"/>
    <s v="SEBASTIAN RUIZ ENCINIA"/>
    <m/>
    <s v="RUES630215HTSZNB05"/>
    <n v="24445236"/>
    <n v="8681753982"/>
    <x v="2"/>
    <n v="9081.52"/>
    <n v="2518.2800000000002"/>
    <n v="2724.4560000000001"/>
    <n v="206.17599999999993"/>
    <d v="2026-12-01T00:00:00"/>
  </r>
  <r>
    <x v="74"/>
    <d v="2026-09-13T00:00:00"/>
    <x v="54"/>
    <s v="YINN ANTHONIK ALVARADO TORRES"/>
    <m/>
    <s v="AATY790312HDFLRN06"/>
    <n v="24424300"/>
    <n v="6565867479"/>
    <x v="2"/>
    <n v="8075.38"/>
    <n v="2417.54"/>
    <n v="2422.614"/>
    <n v="5.0740000000000691"/>
    <d v="2028-05-01T00:00:00"/>
  </r>
  <r>
    <x v="74"/>
    <d v="2026-09-13T00:00:00"/>
    <x v="6"/>
    <s v="BLANCA LILIA SANTANA SAUCEDO "/>
    <m/>
    <s v="SASB750511MMNNCL08"/>
    <n v="24435678"/>
    <n v="5216681358393"/>
    <x v="0"/>
    <n v="8912.7900000000009"/>
    <m/>
    <n v="2673.837"/>
    <n v="2673.837"/>
    <m/>
  </r>
  <r>
    <x v="74"/>
    <d v="2026-09-12T00:00:00"/>
    <x v="28"/>
    <s v="JOSE JESUS RENTERIA ROBLES"/>
    <s v="24846224004_x000a_"/>
    <s v="RERJ621223HSRNBS01"/>
    <n v="24418860"/>
    <n v="5216623470450"/>
    <x v="2"/>
    <n v="9760.32"/>
    <n v="2823.89"/>
    <n v="2928.096"/>
    <n v="104.20600000000013"/>
    <d v="2027-06-01T00:00:00"/>
  </r>
  <r>
    <x v="74"/>
    <d v="2026-09-14T00:00:00"/>
    <x v="6"/>
    <s v="RICARDO RODRIGUEZ ROSAS "/>
    <m/>
    <s v="RORR560403HTSDSC07"/>
    <n v="24442956"/>
    <n v="5219321118626"/>
    <x v="0"/>
    <n v="25862.51"/>
    <m/>
    <n v="7758.7529999999988"/>
    <n v="7758.7529999999988"/>
    <m/>
  </r>
  <r>
    <x v="74"/>
    <d v="2026-09-14T00:00:00"/>
    <x v="59"/>
    <s v="MA. DE LOURDES NUÑEZ NUÑEZ"/>
    <n v="33664512663"/>
    <s v="NUNL490809MCHXXR02"/>
    <n v="24443860"/>
    <n v="5216143444178"/>
    <x v="0"/>
    <n v="9170.91"/>
    <m/>
    <n v="2751.2729999999997"/>
    <n v="2751.2729999999997"/>
    <m/>
  </r>
  <r>
    <x v="74"/>
    <d v="2026-09-14T00:00:00"/>
    <x v="64"/>
    <s v=" JOSE ANTONIO DELGADO REYES"/>
    <s v="42806225571 "/>
    <s v="DERA620409HDFLYN04"/>
    <n v="24446208"/>
    <n v="5626053478"/>
    <x v="1"/>
    <n v="3409.43"/>
    <m/>
    <n v="1022.829"/>
    <n v="0"/>
    <m/>
  </r>
  <r>
    <x v="74"/>
    <d v="2026-09-13T00:00:00"/>
    <x v="62"/>
    <s v="FERNANDO NUÑEZ ANAYA"/>
    <m/>
    <s v="NUAF600924HASXNR09"/>
    <n v="24430102"/>
    <n v="4493432759"/>
    <x v="2"/>
    <n v="5617.63"/>
    <n v="1392.97"/>
    <n v="1685.289"/>
    <n v="51.680000000000518"/>
    <d v="2027-07-01T00:00:00"/>
  </r>
  <r>
    <x v="74"/>
    <d v="2026-09-14T00:00:00"/>
    <x v="65"/>
    <s v="JORGE ENRIQUE JIMENEZ HERNANDEZ"/>
    <n v="83957960285"/>
    <s v="JIHJ790423HTCMRR05"/>
    <n v="24447118"/>
    <n v="9932586976"/>
    <x v="1"/>
    <n v="3494.87"/>
    <n v="848"/>
    <n v="1048.461"/>
    <n v="-848"/>
    <m/>
  </r>
  <r>
    <x v="74"/>
    <d v="2026-09-14T00:00:00"/>
    <x v="65"/>
    <s v="JUANA NICOLAS SEGUNDO"/>
    <s v="16916815083  "/>
    <s v="NISJ740629MMCCGN09"/>
    <n v="24445578"/>
    <n v="7226014309"/>
    <x v="4"/>
    <m/>
    <m/>
    <n v="0"/>
    <n v="0"/>
    <m/>
  </r>
  <r>
    <x v="74"/>
    <d v="2026-09-14T00:00:00"/>
    <x v="6"/>
    <s v="RAMIRO ALMARAZ DAVILA "/>
    <s v="51855400696"/>
    <s v="VAOA580123HPLZBN05"/>
    <n v="24450184"/>
    <n v="5214494023776"/>
    <x v="6"/>
    <n v="23722.58"/>
    <n v="6862.67"/>
    <n v="7116.7740000000003"/>
    <n v="254.10400000000027"/>
    <d v="2025-08-01T00:00:00"/>
  </r>
  <r>
    <x v="74"/>
    <d v="2026-09-14T00:00:00"/>
    <x v="28"/>
    <s v="OSCAR ALBERTO TORRES ARENAL"/>
    <s v="01765476997_x000a_"/>
    <s v="TOAO541126HMNRRS04"/>
    <n v="24450614"/>
    <n v="5212227149293"/>
    <x v="0"/>
    <n v="29032.15"/>
    <m/>
    <n v="8709.6450000000004"/>
    <n v="8709.6450000000004"/>
    <m/>
  </r>
  <r>
    <x v="74"/>
    <d v="2026-09-14T00:00:00"/>
    <x v="6"/>
    <s v="SANTA TERESA DE JESUS GONZALEZ DIAZ"/>
    <s v="65685020326"/>
    <s v="GODS571015MTSNZN08"/>
    <n v="24436252"/>
    <n v="5218461088892"/>
    <x v="4"/>
    <m/>
    <m/>
    <n v="0"/>
    <n v="0"/>
    <m/>
  </r>
  <r>
    <x v="74"/>
    <d v="2026-09-10T00:00:00"/>
    <x v="28"/>
    <s v="MIGUEL ANGEL GARCEZ BECERRIL"/>
    <s v="11826220417"/>
    <s v="GABM640410HDFRCG03"/>
    <n v="24362654"/>
    <n v="5215524059451"/>
    <x v="0"/>
    <n v="10636.54"/>
    <m/>
    <n v="3190.962"/>
    <n v="3190.962"/>
    <m/>
  </r>
  <r>
    <x v="74"/>
    <d v="2026-09-14T00:00:00"/>
    <x v="63"/>
    <s v="Maria Luisa Morales Valadez"/>
    <n v="43745760900"/>
    <s v="MOVL570819MNLRLS08"/>
    <n v="24451126"/>
    <n v="8111799316"/>
    <x v="1"/>
    <n v="4199.87"/>
    <m/>
    <n v="1259.961"/>
    <n v="26.890000000000327"/>
    <m/>
  </r>
  <r>
    <x v="74"/>
    <d v="2026-09-14T00:00:00"/>
    <x v="65"/>
    <s v="MARIA ESTHER SAUCEDO CISNEROS"/>
    <m/>
    <s v="SACE800415MCLCSS06"/>
    <n v="24451434"/>
    <n v="8442762583"/>
    <x v="5"/>
    <m/>
    <m/>
    <n v="0"/>
    <n v="0"/>
    <m/>
  </r>
  <r>
    <x v="74"/>
    <d v="2026-09-13T00:00:00"/>
    <x v="6"/>
    <s v="MANUEL JESUS CORTAZAR HERNANDEZ "/>
    <m/>
    <s v="COHM640425HTCRRN03"/>
    <n v="24433052"/>
    <n v="5219373787986"/>
    <x v="0"/>
    <n v="9760.32"/>
    <m/>
    <n v="2928.096"/>
    <n v="2928.096"/>
    <m/>
  </r>
  <r>
    <x v="74"/>
    <d v="2026-09-12T00:00:00"/>
    <x v="54"/>
    <s v="OLAT JESUS  ZAYOLA BADILLO"/>
    <m/>
    <s v="ZABO491014HDFYDL03"/>
    <n v="24423430"/>
    <n v="5518046008"/>
    <x v="5"/>
    <m/>
    <m/>
    <n v="0"/>
    <n v="0"/>
    <m/>
  </r>
  <r>
    <x v="74"/>
    <d v="2026-09-14T00:00:00"/>
    <x v="13"/>
    <s v="HERIBERTO ARIAS SAENZ"/>
    <m/>
    <s v="AISH611214HCHRNR00"/>
    <n v="24436210"/>
    <n v="5216143636659"/>
    <x v="0"/>
    <n v="40172.75"/>
    <m/>
    <n v="12051.824999999999"/>
    <n v="12051.824999999999"/>
    <m/>
  </r>
  <r>
    <x v="74"/>
    <d v="2026-09-13T00:00:00"/>
    <x v="59"/>
    <s v="JUAN CARLOS BARCENAS ARRAZOLA"/>
    <m/>
    <s v="BAAJ581104HDFRRN06"/>
    <n v="24432526"/>
    <n v="5215522148061"/>
    <x v="2"/>
    <n v="4813.6899999999996"/>
    <n v="617.88"/>
    <n v="1444.1069999999997"/>
    <n v="22.830000000000041"/>
    <d v="2027-07-01T00:00:00"/>
  </r>
  <r>
    <x v="74"/>
    <d v="2026-09-14T00:00:00"/>
    <x v="31"/>
    <s v="MARTIN SOSTENES ARREDONDO GOMEZ"/>
    <n v="43826222242"/>
    <s v="AEGM620610HNLRMR05"/>
    <n v="2"/>
    <s v="81 3429 3021"/>
    <x v="6"/>
    <n v="5636.59"/>
    <n v="1544.05"/>
    <n v="1690.9770000000001"/>
    <n v="-80.439999999999372"/>
    <d v="2026-05-01T00:00:00"/>
  </r>
  <r>
    <x v="74"/>
    <d v="2026-09-13T00:00:00"/>
    <x v="13"/>
    <s v="JORGE SANCHEZ GOMEZ"/>
    <n v="6580610157"/>
    <s v="SAGJ610331HVZNMR05"/>
    <n v="24433294"/>
    <n v="5212294778714"/>
    <x v="2"/>
    <n v="19658.919999999998"/>
    <n v="5684.64"/>
    <n v="5897.6759999999995"/>
    <n v="213.03599999999915"/>
    <d v="2027-10-01T00:00:00"/>
  </r>
  <r>
    <x v="74"/>
    <d v="2026-09-11T00:00:00"/>
    <x v="64"/>
    <s v="OLGA LYDIA_x0009_GONZALEZ HERVERT"/>
    <m/>
    <s v="GOHO620806MVZNRL02"/>
    <n v="24398088"/>
    <n v="6681141616"/>
    <x v="7"/>
    <n v="36621.78"/>
    <n v="10595.5"/>
    <n v="10986.534"/>
    <n v="391.03399999999965"/>
    <d v="2026-02-01T00:00:00"/>
  </r>
  <r>
    <x v="74"/>
    <d v="2026-09-12T00:00:00"/>
    <x v="6"/>
    <s v="VERONICA FLORES ACUÑA"/>
    <n v="49906212821"/>
    <s v="FOAV730529MTSLCR05"/>
    <n v="24419146"/>
    <n v="5218333906360"/>
    <x v="2"/>
    <n v="9154.1200000000008"/>
    <n v="2734.91"/>
    <n v="2746.2360000000003"/>
    <n v="11.326000000000477"/>
    <d v="2028-02-01T00:00:00"/>
  </r>
  <r>
    <x v="74"/>
    <d v="2026-09-12T00:00:00"/>
    <x v="54"/>
    <s v="MARIA VIRGINIA CUAUTLE GOMEZ"/>
    <m/>
    <s v="CUGV610910MPLTMR09"/>
    <n v="24422376"/>
    <n v="2212663835"/>
    <x v="2"/>
    <n v="15344.74"/>
    <n v="4603.38"/>
    <n v="4603.4219999999996"/>
    <n v="4.1999999999461579E-2"/>
    <d v="2026-12-01T00:00:00"/>
  </r>
  <r>
    <x v="74"/>
    <d v="2026-09-14T00:00:00"/>
    <x v="31"/>
    <s v="JOSE AGAPITO MORALES RODRIGUEZ"/>
    <s v="438963105309"/>
    <s v="MORA630104HNLRDG08"/>
    <n v="2"/>
    <s v="56 6357 3515"/>
    <x v="2"/>
    <n v="9760.32"/>
    <n v="2820.04"/>
    <n v="2928.096"/>
    <n v="108.05600000000004"/>
    <d v="2028-01-01T00:00:00"/>
  </r>
  <r>
    <x v="74"/>
    <d v="2026-09-14T00:00:00"/>
    <x v="28"/>
    <s v="ANDRES GONZALEZ ESCUDERO"/>
    <s v="33856468344_x000a_"/>
    <s v="GOEA641130HCHNSN02"/>
    <n v="24453680"/>
    <n v="5216251576647"/>
    <x v="2"/>
    <n v="9081.52"/>
    <n v="2484"/>
    <n v="2724.4560000000001"/>
    <n v="240.45600000000013"/>
    <d v="2027-03-01T00:00:00"/>
  </r>
  <r>
    <x v="74"/>
    <d v="2026-09-14T00:00:00"/>
    <x v="6"/>
    <s v="MARIA DE LOURDES AVILA TORRES "/>
    <s v="04966003172_x000a_"/>
    <s v="AITL700910MJCVRR05"/>
    <n v="24441276"/>
    <n v="5213741161680"/>
    <x v="2"/>
    <n v="8554.24"/>
    <n v="2370.16"/>
    <n v="2566.2719999999999"/>
    <n v="196.11200000000008"/>
    <d v="2026-11-01T00:00:00"/>
  </r>
  <r>
    <x v="74"/>
    <d v="2026-09-13T00:00:00"/>
    <x v="13"/>
    <s v="GRACIELA AMEZCUA BARREDA"/>
    <m/>
    <s v="AEBG560124MCMMRR03"/>
    <n v="24432506"/>
    <n v="5213122005036"/>
    <x v="1"/>
    <n v="3961.31"/>
    <n v="879"/>
    <n v="1188.393"/>
    <n v="-879"/>
    <m/>
  </r>
  <r>
    <x v="74"/>
    <d v="2026-09-12T00:00:00"/>
    <x v="64"/>
    <s v="DIONICIO GARCIA VALERIO"/>
    <s v="4380603489 "/>
    <m/>
    <n v="24422216"/>
    <n v="8186006316"/>
    <x v="2"/>
    <n v="9760.32"/>
    <n v="2820.17"/>
    <n v="2928.096"/>
    <n v="107.92599999999993"/>
    <d v="2027-12-01T00:00:00"/>
  </r>
  <r>
    <x v="74"/>
    <d v="2026-09-14T00:00:00"/>
    <x v="28"/>
    <s v="ABEL NADIN IZA VILLA"/>
    <s v="65805940866_x000a_"/>
    <s v="IAVA591002HVZZLB04"/>
    <n v="24455956"/>
    <n v="5212281610988"/>
    <x v="2"/>
    <n v="20334.88"/>
    <n v="5880.09"/>
    <n v="6100.4639999999999"/>
    <n v="220.3739999999998"/>
    <d v="2027-04-01T00:00:00"/>
  </r>
  <r>
    <x v="74"/>
    <d v="2026-09-14T00:00:00"/>
    <x v="13"/>
    <s v="ROBERTO GUIZAR GUERRERO"/>
    <m/>
    <s v="GUGR620507HBCZRG06"/>
    <n v="24453148"/>
    <n v="5216672355141"/>
    <x v="0"/>
    <n v="10636.54"/>
    <m/>
    <n v="3190.962"/>
    <n v="3190.962"/>
    <m/>
  </r>
  <r>
    <x v="74"/>
    <d v="2026-09-14T00:00:00"/>
    <x v="28"/>
    <s v="GILBERTO DE JESUS RIVAS SANCHEZ"/>
    <s v="84826404372_x000a_"/>
    <s v="RISG650306HYNVNL06"/>
    <n v="24456524"/>
    <n v="24456524"/>
    <x v="0"/>
    <n v="10636.54"/>
    <m/>
    <n v="3190.962"/>
    <n v="3190.962"/>
    <m/>
  </r>
  <r>
    <x v="74"/>
    <d v="2026-09-12T00:00:00"/>
    <x v="54"/>
    <s v="MARCO ANTONIO HERNANDEZ FLORES"/>
    <m/>
    <s v="HEFM650524HDFRLR01"/>
    <n v="24423322"/>
    <n v="5518126696"/>
    <x v="3"/>
    <n v="41132.89"/>
    <n v="11898.98"/>
    <n v="12339.867"/>
    <n v="440.88700000000063"/>
    <d v="2027-10-01T00:00:00"/>
  </r>
  <r>
    <x v="75"/>
    <d v="2026-09-15T00:00:00"/>
    <x v="31"/>
    <m/>
    <s v="11675020298"/>
    <s v="LAOA520212MDFNRR08"/>
    <n v="2"/>
    <s v="33 1280 9037"/>
    <x v="2"/>
    <n v="28019.74"/>
    <n v="8391.69"/>
    <n v="8405.9220000000005"/>
    <n v="14.231999999999971"/>
    <d v="2028-01-01T00:00:00"/>
  </r>
  <r>
    <x v="75"/>
    <d v="2026-09-14T00:00:00"/>
    <x v="6"/>
    <s v="JORGE HERNANDEZ SALDAÑA"/>
    <m/>
    <s v="HESJ550303HDFRLR07"/>
    <n v="24456054"/>
    <n v="5215527086083"/>
    <x v="1"/>
    <m/>
    <m/>
    <n v="0"/>
    <n v="0"/>
    <m/>
  </r>
  <r>
    <x v="75"/>
    <d v="2026-09-13T00:00:00"/>
    <x v="28"/>
    <s v="CARLOS AURELIO BADILLO ROSALES"/>
    <s v="67806212568"/>
    <m/>
    <n v="24433794"/>
    <n v="5212282284613"/>
    <x v="6"/>
    <n v="18588.330000000002"/>
    <n v="5373.54"/>
    <n v="5576.4990000000007"/>
    <n v="202.95900000000074"/>
    <d v="2026-09-01T00:00:00"/>
  </r>
  <r>
    <x v="75"/>
    <d v="2026-09-14T00:00:00"/>
    <x v="6"/>
    <s v="ISAAC MORENO QUEZADA_x0009_"/>
    <m/>
    <s v="MOQI630129HCLRZS05"/>
    <n v="24452844"/>
    <n v="5218715779109"/>
    <x v="2"/>
    <n v="11029.03"/>
    <n v="3308.71"/>
    <n v="3308.7090000000003"/>
    <n v="-9.9999999974897946E-4"/>
    <d v="2028-05-01T00:00:00"/>
  </r>
  <r>
    <x v="75"/>
    <d v="2026-09-15T00:00:00"/>
    <x v="6"/>
    <s v="MARGARITA DEL CARMEN MENDEZ GUERRERO"/>
    <n v="10725432255"/>
    <s v="MEGM611220MHGNRR07"/>
    <n v="24464736"/>
    <n v="5215643508968"/>
    <x v="4"/>
    <m/>
    <m/>
    <n v="0"/>
    <n v="0"/>
    <m/>
  </r>
  <r>
    <x v="75"/>
    <d v="2026-09-14T00:00:00"/>
    <x v="59"/>
    <s v="ROBERTO LUCIO LEON BALLESTEROS"/>
    <m/>
    <s v="LEBR610607HDFNLB03"/>
    <n v="24449494"/>
    <n v="5215523293873"/>
    <x v="2"/>
    <n v="12415.5"/>
    <n v="3721.51"/>
    <n v="3724.6499999999996"/>
    <n v="3.1399999999994179"/>
    <d v="2026-12-01T00:00:00"/>
  </r>
  <r>
    <x v="75"/>
    <d v="2026-09-10T00:00:00"/>
    <x v="65"/>
    <s v="ALEJANDRO RUBEN HUERTA _x0009_BALDERAS"/>
    <m/>
    <s v="HUBA600826HDFRLL01"/>
    <n v="24371460"/>
    <n v="5657851969"/>
    <x v="7"/>
    <n v="5617.64"/>
    <n v="1387.65"/>
    <n v="1685.2920000000001"/>
    <n v="57.010000000000673"/>
    <d v="2024-06-01T00:00:00"/>
  </r>
  <r>
    <x v="75"/>
    <d v="2026-09-11T00:00:00"/>
    <x v="28"/>
    <s v="MIGUEL GOMEZ CRUZ"/>
    <s v="32846503129_x000a_"/>
    <m/>
    <n v="24405518"/>
    <n v="5218713485215"/>
    <x v="1"/>
    <n v="4443.28"/>
    <n v="879"/>
    <n v="1332.9839999999999"/>
    <n v="-608.69999999999982"/>
    <m/>
  </r>
  <r>
    <x v="75"/>
    <d v="2026-09-15T00:00:00"/>
    <x v="28"/>
    <s v="JOSE NOE PALMA RODRIGUEZ"/>
    <m/>
    <s v="PARN621203HDFLDX02"/>
    <n v="24471826"/>
    <n v="5215579470898"/>
    <x v="3"/>
    <n v="24862.55"/>
    <n v="6595"/>
    <n v="7458.7649999999994"/>
    <n v="863.76499999999942"/>
    <d v="2027-07-01T00:00:00"/>
  </r>
  <r>
    <x v="75"/>
    <d v="2026-09-15T00:00:00"/>
    <x v="31"/>
    <s v="FERNANDO PAULIN RODRIGUEZ"/>
    <s v="43806379377"/>
    <s v="PARF631018HNLLDR08"/>
    <n v="2"/>
    <n v="4421735939"/>
    <x v="2"/>
    <n v="9902.0499999999993"/>
    <n v="2863.99"/>
    <n v="2970.6149999999998"/>
    <n v="106.625"/>
    <d v="2027-12-01T00:00:00"/>
  </r>
  <r>
    <x v="75"/>
    <d v="2026-09-14T00:00:00"/>
    <x v="6"/>
    <s v="JORGE TORIBIO LOOPEZ HINOJOSA "/>
    <m/>
    <s v="LOHJ610628HNLPNR06"/>
    <n v="24456608"/>
    <n v="5218113206966"/>
    <x v="6"/>
    <n v="9418.66"/>
    <n v="2317.29"/>
    <n v="2825.598"/>
    <n v="508.30799999999999"/>
    <d v="2024-12-01T00:00:00"/>
  </r>
  <r>
    <x v="75"/>
    <d v="2026-09-15T00:00:00"/>
    <x v="31"/>
    <s v="JOSE GERARDO TAMEZ MARTINEZ"/>
    <n v="49786105509"/>
    <s v="TAMG611211HDGMRR09"/>
    <n v="2"/>
    <n v="8139906435"/>
    <x v="2"/>
    <n v="7116.73"/>
    <n v="2135"/>
    <n v="2135.0189999999998"/>
    <n v="1.8999999999778083E-2"/>
    <d v="2027-03-01T00:00:00"/>
  </r>
  <r>
    <x v="75"/>
    <d v="2026-09-15T00:00:00"/>
    <x v="65"/>
    <s v="ARMULFO OLIVARES RODRIGUEZ"/>
    <s v="67775806275"/>
    <m/>
    <n v="24475770"/>
    <n v="2282814848"/>
    <x v="1"/>
    <n v="4385.34"/>
    <n v="879"/>
    <n v="1315.6020000000001"/>
    <n v="-666.63999999999942"/>
    <m/>
  </r>
  <r>
    <x v="75"/>
    <d v="2026-09-14T00:00:00"/>
    <x v="65"/>
    <s v="EVA JUAREZ LOPEZ"/>
    <m/>
    <s v="JULE621202MGTRPV05"/>
    <n v="24455812"/>
    <n v="4779090382"/>
    <x v="5"/>
    <m/>
    <m/>
    <n v="0"/>
    <n v="0"/>
    <m/>
  </r>
  <r>
    <x v="75"/>
    <d v="2026-08-31T00:00:00"/>
    <x v="6"/>
    <s v="MARTHA ROSA SANTOS GONZALEZ"/>
    <n v="41916000015"/>
    <s v="SAGM600331MSPNNR00"/>
    <n v="24140424"/>
    <n v="5214811441557"/>
    <x v="0"/>
    <n v="10636.54"/>
    <m/>
    <n v="3190.962"/>
    <n v="3190.962"/>
    <m/>
  </r>
  <r>
    <x v="75"/>
    <d v="2026-09-02T00:00:00"/>
    <x v="13"/>
    <s v="MARTIN HERNANDEZ GODINEZ"/>
    <m/>
    <s v="HEGM620130HDFRDR06"/>
    <n v="24194850"/>
    <n v="5213322147621"/>
    <x v="0"/>
    <n v="10636.539999999997"/>
    <m/>
    <n v="3190.9619999999991"/>
    <n v="3190.9619999999991"/>
    <m/>
  </r>
  <r>
    <x v="75"/>
    <d v="2026-09-10T00:00:00"/>
    <x v="13"/>
    <s v="ROMAN CERVANTES REYES"/>
    <n v="53806208137"/>
    <s v="CERR620809HGTRYM05"/>
    <n v="24377376"/>
    <n v="5214531377821"/>
    <x v="0"/>
    <n v="10636.54"/>
    <m/>
    <n v="3190.962"/>
    <n v="3190.962"/>
    <m/>
  </r>
  <r>
    <x v="75"/>
    <d v="2026-08-31T00:00:00"/>
    <x v="6"/>
    <s v="PATRICIA ESQUIVEL LOPEZ"/>
    <n v="53846631009"/>
    <s v="EULP660107MDFSPT03"/>
    <n v="24140380"/>
    <n v="5214434006657"/>
    <x v="0"/>
    <n v="10636.539999999997"/>
    <m/>
    <n v="3190.9619999999991"/>
    <n v="3190.9619999999991"/>
    <m/>
  </r>
  <r>
    <x v="75"/>
    <d v="2026-09-14T00:00:00"/>
    <x v="59"/>
    <s v="LUIS ALFONSO BAEZ LUGO"/>
    <m/>
    <s v="BALL620612HSLZGS01"/>
    <n v="24450564"/>
    <n v="5216731161212"/>
    <x v="5"/>
    <m/>
    <m/>
    <n v="0"/>
    <n v="0"/>
    <m/>
  </r>
  <r>
    <x v="75"/>
    <d v="2026-09-14T00:00:00"/>
    <x v="59"/>
    <s v="ANDRES DURAN NIEVES "/>
    <m/>
    <s v="DUNA530126HMNRVN02"/>
    <n v="24457664"/>
    <n v="5214591116492"/>
    <x v="1"/>
    <n v="3485.91"/>
    <m/>
    <n v="1045.7729999999999"/>
    <n v="0"/>
    <m/>
  </r>
  <r>
    <x v="75"/>
    <d v="2026-09-15T00:00:00"/>
    <x v="63"/>
    <s v="Carlos santos soberanis palomera"/>
    <n v="17846301327"/>
    <m/>
    <n v="24445448"/>
    <n v="3223098227"/>
    <x v="2"/>
    <n v="9760.32"/>
    <n v="2928.05"/>
    <n v="2928.096"/>
    <n v="4.5999999999821739E-2"/>
    <d v="2028-06-01T00:00:00"/>
  </r>
  <r>
    <x v="75"/>
    <d v="2026-09-10T00:00:00"/>
    <x v="61"/>
    <s v="segovia alcaraz juana"/>
    <n v="23865205209"/>
    <m/>
    <n v="24363678"/>
    <n v="5216692643582"/>
    <x v="3"/>
    <n v="4813.6899999999996"/>
    <m/>
    <n v="1444.1069999999997"/>
    <n v="640.71"/>
    <m/>
  </r>
  <r>
    <x v="75"/>
    <d v="2026-09-15T00:00:00"/>
    <x v="63"/>
    <s v="Lubia Muñoz Soliz "/>
    <n v="71825200372"/>
    <s v="MUSL551015MCSXLB05"/>
    <n v="24430518"/>
    <n v="9622936229"/>
    <x v="1"/>
    <n v="3632.16"/>
    <n v="848"/>
    <n v="1089.6479999999999"/>
    <n v="-848"/>
    <m/>
  </r>
  <r>
    <x v="75"/>
    <d v="2026-09-15T00:00:00"/>
    <x v="28"/>
    <s v="JOSE LUIS ROMAN LARA"/>
    <s v="49816325713"/>
    <s v="ROLL630405HTSMRS09"/>
    <n v="24487622"/>
    <n v="5218334507342"/>
    <x v="2"/>
    <n v="27086.7"/>
    <n v="8125.41"/>
    <n v="8126.01"/>
    <n v="0.6000000000003638"/>
    <d v="2026-10-01T00:00:00"/>
  </r>
  <r>
    <x v="75"/>
    <d v="2026-09-03T00:00:00"/>
    <x v="59"/>
    <s v="MIGUEL ANGEL GONZALEZ ROMERO"/>
    <n v="19856615075"/>
    <s v="GORM660802HDFNMG03"/>
    <n v="24232976"/>
    <n v="5215513107083"/>
    <x v="0"/>
    <n v="10636.54"/>
    <m/>
    <n v="3190.962"/>
    <n v="3190.962"/>
    <m/>
  </r>
  <r>
    <x v="75"/>
    <d v="2026-09-14T00:00:00"/>
    <x v="64"/>
    <s v=" JAVIER MORAN GARCIA"/>
    <s v="39977107398 "/>
    <s v="MOGJ711013HDFRRV03"/>
    <n v="24450980"/>
    <n v="5527156077"/>
    <x v="5"/>
    <m/>
    <m/>
    <n v="0"/>
    <n v="0"/>
    <m/>
  </r>
  <r>
    <x v="75"/>
    <d v="2026-09-15T00:00:00"/>
    <x v="28"/>
    <s v="CARLOS ANGEL COVARRUBIAS FELIX"/>
    <m/>
    <s v="COFC611214HSLVLR09"/>
    <n v="24489842"/>
    <n v="5216677854411"/>
    <x v="2"/>
    <n v="7920.51"/>
    <n v="2291"/>
    <n v="2376.1529999999998"/>
    <n v="85.152999999999793"/>
    <d v="2027-12-01T00:00:00"/>
  </r>
  <r>
    <x v="75"/>
    <d v="2026-09-15T00:00:00"/>
    <x v="6"/>
    <s v="JESUS MARTIN ARELLANO BELMONTE"/>
    <m/>
    <s v="AEBJ580928HNLRLS02"/>
    <n v="24489856"/>
    <n v="5218123619900"/>
    <x v="1"/>
    <n v="4813.6900000000005"/>
    <n v="848"/>
    <n v="1444.1070000000002"/>
    <n v="-207.28999999999905"/>
    <m/>
  </r>
  <r>
    <x v="75"/>
    <d v="2026-09-15T00:00:00"/>
    <x v="6"/>
    <s v="CARLOS GONZALEZ ANGUIANO"/>
    <m/>
    <s v="GOAC490910HCMNNR02"/>
    <n v="24490714"/>
    <n v="5213133294251"/>
    <x v="0"/>
    <n v="8539.77"/>
    <m/>
    <n v="2561.931"/>
    <n v="2561.931"/>
    <m/>
  </r>
  <r>
    <x v="75"/>
    <d v="2026-09-15T00:00:00"/>
    <x v="59"/>
    <s v="FERNANDO MOROYOQUI GALVEZ"/>
    <n v="24836467969"/>
    <s v="MOGF631028HSRRLR06"/>
    <n v="24488246"/>
    <n v="5216421426329"/>
    <x v="0"/>
    <n v="7920.51"/>
    <n v="848"/>
    <n v="2376.1529999999998"/>
    <n v="1528.1529999999998"/>
    <m/>
  </r>
  <r>
    <x v="75"/>
    <d v="2026-09-14T00:00:00"/>
    <x v="59"/>
    <s v="JORGE ARTURO MUÑOZ FAVA"/>
    <m/>
    <s v="MUFJ610302HCHXVR00"/>
    <n v="24463860"/>
    <n v="5216145221416"/>
    <x v="0"/>
    <n v="23314.61"/>
    <m/>
    <n v="6994.3829999999998"/>
    <n v="6994.3829999999998"/>
    <m/>
  </r>
  <r>
    <x v="76"/>
    <d v="2026-09-16T00:00:00"/>
    <x v="65"/>
    <s v="MARIO CESAR LOPEZ CONSTANTINO  "/>
    <s v="71806205242"/>
    <s v="COLM610121HCSNPR09"/>
    <n v="24497374"/>
    <n v="6462419600"/>
    <x v="6"/>
    <n v="17210.88"/>
    <n v="4979.5200000000004"/>
    <n v="5163.2640000000001"/>
    <n v="183.74399999999969"/>
    <d v="2026-09-01T00:00:00"/>
  </r>
  <r>
    <x v="76"/>
    <d v="2026-09-16T00:00:00"/>
    <x v="6"/>
    <s v="JOSE GUADALUPE ESPINOSA SORIA "/>
    <s v="09907348743"/>
    <s v="EISG731023HSPSRD01"/>
    <n v="24506632"/>
    <n v="5218673066691"/>
    <x v="1"/>
    <n v="3887"/>
    <m/>
    <n v="1166.0999999999999"/>
    <n v="0"/>
    <m/>
  </r>
  <r>
    <x v="76"/>
    <d v="2026-09-15T00:00:00"/>
    <x v="6"/>
    <s v="M.BERENICE ORTEGA SÁNCHEZ"/>
    <s v="557660O3143"/>
    <s v="OESB590208MJCRNR05 "/>
    <n v="24496366"/>
    <n v="5213312807264"/>
    <x v="0"/>
    <n v="19475.54"/>
    <m/>
    <n v="5842.6620000000003"/>
    <n v="5842.6620000000003"/>
    <m/>
  </r>
  <r>
    <x v="76"/>
    <d v="2026-09-16T00:00:00"/>
    <x v="64"/>
    <s v=" FRANCISCO SALINAS DIAZ"/>
    <n v="7172550035"/>
    <m/>
    <n v="24508078"/>
    <n v="9661066887"/>
    <x v="0"/>
    <n v="6262.86"/>
    <m/>
    <n v="1878.8579999999997"/>
    <n v="1878.8579999999997"/>
    <m/>
  </r>
  <r>
    <x v="76"/>
    <d v="2026-09-16T00:00:00"/>
    <x v="65"/>
    <s v="GABINO REYES BENITEZ"/>
    <n v="13816212289"/>
    <s v="REBG620219HHGYNB08"/>
    <n v="24505658"/>
    <n v="7731043133"/>
    <x v="0"/>
    <n v="10636.54"/>
    <m/>
    <n v="3190.962"/>
    <n v="3190.962"/>
    <m/>
  </r>
  <r>
    <x v="76"/>
    <d v="2026-09-16T00:00:00"/>
    <x v="65"/>
    <s v="LUIS PEREZ JIMENEZ"/>
    <s v="41805908815"/>
    <s v="PEJL590825HSPRMS05"/>
    <n v="24507922"/>
    <n v="4445748342"/>
    <x v="7"/>
    <n v="5617.63"/>
    <n v="1443.58"/>
    <n v="1685.289"/>
    <n v="1.0700000000006185"/>
    <d v="2026-09-01T00:00:00"/>
  </r>
  <r>
    <x v="76"/>
    <d v="2026-09-16T00:00:00"/>
    <x v="64"/>
    <s v="LUCIA ROJAS CAMACHO"/>
    <m/>
    <s v="ROCL801026MTCJMC09"/>
    <n v="24506038"/>
    <n v="9935903557"/>
    <x v="5"/>
    <m/>
    <m/>
    <n v="0"/>
    <n v="0"/>
    <m/>
  </r>
  <r>
    <x v="76"/>
    <d v="2026-09-16T00:00:00"/>
    <x v="62"/>
    <s v="GILBERTO MUÑOZ MANCINAS"/>
    <m/>
    <s v="MUMG680204HSLXNL09"/>
    <n v="24508746"/>
    <n v="6682220176"/>
    <x v="5"/>
    <m/>
    <m/>
    <n v="0"/>
    <n v="0"/>
    <m/>
  </r>
  <r>
    <x v="76"/>
    <d v="2026-09-16T00:00:00"/>
    <x v="64"/>
    <s v="BRUNO TRUJILLO BARRIOS"/>
    <m/>
    <s v="TUBB541024HGRRRR00"/>
    <n v="24503360"/>
    <n v="3223221849"/>
    <x v="2"/>
    <n v="6262.86"/>
    <n v="1811.99"/>
    <n v="1878.8579999999997"/>
    <n v="66.867999999999711"/>
    <d v="2027-12-01T00:00:00"/>
  </r>
  <r>
    <x v="76"/>
    <d v="2026-09-16T00:00:00"/>
    <x v="6"/>
    <s v="CONSUELO CARRILLO OLIVARES "/>
    <s v="31664613481"/>
    <s v="CAOC530801MDGRLN01"/>
    <n v="24509532"/>
    <n v="5216561747299"/>
    <x v="6"/>
    <n v="6422.04"/>
    <n v="1700.33"/>
    <n v="1926.6119999999999"/>
    <n v="226.28199999999993"/>
    <d v="2025-07-01T00:00:00"/>
  </r>
  <r>
    <x v="76"/>
    <d v="2026-09-16T00:00:00"/>
    <x v="6"/>
    <s v="ROSARIO JUAREZ FRANCO "/>
    <s v="33846369214"/>
    <s v="JUFR631108HCHRRS02"/>
    <n v="24508832"/>
    <n v="5216142196223"/>
    <x v="0"/>
    <n v="9760.32"/>
    <m/>
    <n v="2928.096"/>
    <n v="2928.096"/>
    <m/>
  </r>
  <r>
    <x v="76"/>
    <d v="2026-09-15T00:00:00"/>
    <x v="6"/>
    <s v="MA. ISABEL TURRUBIATES PRADO"/>
    <s v="41735303368"/>
    <s v="TUPI540708MSPRRS02"/>
    <n v="24491298"/>
    <n v="4821205546"/>
    <x v="1"/>
    <n v="3469.89"/>
    <m/>
    <n v="1040.9669999999999"/>
    <n v="0"/>
    <m/>
  </r>
  <r>
    <x v="76"/>
    <d v="2026-09-16T00:00:00"/>
    <x v="54"/>
    <s v="MARIA DE LA LUZ VENEROZO NIETO"/>
    <n v="67856320022"/>
    <s v="VENL630807MVZNTZ00"/>
    <n v="24496590"/>
    <n v="2711639777"/>
    <x v="2"/>
    <n v="7966.05"/>
    <n v="2304.5"/>
    <n v="2389.8150000000001"/>
    <n v="85.315000000000055"/>
    <s v="01//2028"/>
  </r>
  <r>
    <x v="76"/>
    <d v="2026-09-16T00:00:00"/>
    <x v="6"/>
    <s v="EFRAIN HERNANDEZ PEREZ"/>
    <n v="65695227416"/>
    <s v="HEPE520205HVZRRF04"/>
    <n v="24500766"/>
    <n v="5212282364165"/>
    <x v="6"/>
    <n v="13932.79"/>
    <n v="4025.34"/>
    <n v="4179.8370000000004"/>
    <n v="154.4970000000003"/>
    <d v="2026-09-01T00:00:00"/>
  </r>
  <r>
    <x v="76"/>
    <d v="2026-09-13T00:00:00"/>
    <x v="6"/>
    <s v="RODRIGO MONDRAGON"/>
    <s v="54806187511"/>
    <s v="MOEA620313HJCNSL00"/>
    <n v="24434902"/>
    <n v="5213310109385"/>
    <x v="2"/>
    <n v="10636.54"/>
    <n v="3162.83"/>
    <n v="3190.962"/>
    <n v="28.132000000000062"/>
    <d v="2028-08-01T00:00:00"/>
  </r>
  <r>
    <x v="76"/>
    <d v="2026-07-22T00:00:00"/>
    <x v="6"/>
    <s v="FILIBERTO HERNNDEZ LOPEZ"/>
    <s v="81886401959 "/>
    <s v="HELF6640311HCCRPL08"/>
    <n v="22983338"/>
    <n v="5219821152554"/>
    <x v="2"/>
    <n v="9081.52"/>
    <n v="2521.34"/>
    <n v="2724.4560000000001"/>
    <n v="203.11599999999999"/>
    <d v="2026-10-01T00:00:00"/>
  </r>
  <r>
    <x v="76"/>
    <d v="2026-09-15T00:00:00"/>
    <x v="64"/>
    <s v="EFREN MORENO PEREZ"/>
    <m/>
    <s v="MOPE620625HSLRRF00"/>
    <n v="24492356"/>
    <n v="6731033249"/>
    <x v="3"/>
    <n v="7116.73"/>
    <n v="1198.94"/>
    <n v="2135.0189999999998"/>
    <n v="936.07899999999972"/>
    <d v="2027-06-01T00:00:00"/>
  </r>
  <r>
    <x v="76"/>
    <d v="2026-09-13T00:00:00"/>
    <x v="54"/>
    <s v="SILVIA LARA FUENTES"/>
    <n v="23766000311"/>
    <s v="LAFS640930MSLRNL02"/>
    <n v="24426370"/>
    <n v="6671855416"/>
    <x v="1"/>
    <n v="3494.57"/>
    <m/>
    <n v="1048.3710000000001"/>
    <n v="0"/>
    <m/>
  </r>
  <r>
    <x v="76"/>
    <d v="2026-09-16T00:00:00"/>
    <x v="6"/>
    <s v="HERMINIO VARGAS HERRERA"/>
    <n v="23815902178"/>
    <s v="VAHH590101HCHRRR10"/>
    <n v="24506160"/>
    <n v="5216145100893"/>
    <x v="7"/>
    <n v="6261.96"/>
    <n v="1806.85"/>
    <n v="1878.588"/>
    <n v="71.738000000000056"/>
    <d v="2026-07-01T00:00:00"/>
  </r>
  <r>
    <x v="76"/>
    <d v="2026-09-16T00:00:00"/>
    <x v="62"/>
    <s v="AGNELA EDITH ARGUELLO ASTORGA"/>
    <n v="31786016480"/>
    <s v="AUAA600728MCLRSG00"/>
    <n v="24510566"/>
    <n v="6144579051"/>
    <x v="2"/>
    <n v="5617.63"/>
    <n v="1433.94"/>
    <n v="1685.289"/>
    <n v="10.710000000000491"/>
    <d v="2028-02-01T00:00:00"/>
  </r>
  <r>
    <x v="76"/>
    <d v="2026-09-15T00:00:00"/>
    <x v="59"/>
    <s v="FELIPE AGUILAR GARCIA"/>
    <s v="32715413863"/>
    <s v="AUGF550715HCLGRL04"/>
    <n v="24491252"/>
    <n v="5218661015469"/>
    <x v="6"/>
    <n v="23463.16"/>
    <n v="7038.15"/>
    <n v="7038.9479999999994"/>
    <n v="0.79799999999977445"/>
    <d v="2026-09-01T00:00:00"/>
  </r>
  <r>
    <x v="76"/>
    <d v="2026-09-05T00:00:00"/>
    <x v="59"/>
    <s v="DANIEL AGUINAGA VENGAS"/>
    <s v="34876303875"/>
    <s v="AUVD630710HZSGNN03"/>
    <n v="24260292"/>
    <n v="5218443296628"/>
    <x v="2"/>
    <n v="7920.51"/>
    <n v="2285.09"/>
    <n v="2376.1529999999998"/>
    <n v="91.062999999999647"/>
    <d v="2027-07-01T00:00:00"/>
  </r>
  <r>
    <x v="76"/>
    <d v="2026-09-15T00:00:00"/>
    <x v="59"/>
    <s v="JUAN FELIX ORTEGA RODRIGUEZ"/>
    <s v="01886205309"/>
    <s v="OERJ620624HDFRDN09"/>
    <n v="24492772"/>
    <n v="5217491065607"/>
    <x v="0"/>
    <n v="8346.31"/>
    <m/>
    <n v="2503.8929999999996"/>
    <n v="2503.8929999999996"/>
    <m/>
  </r>
  <r>
    <x v="76"/>
    <d v="2026-09-16T00:00:00"/>
    <x v="59"/>
    <s v="FELIX CORTEZ MEDRANO"/>
    <s v="16826600492"/>
    <s v="COMF660301HMCRDL01"/>
    <n v="24507444"/>
    <n v="5217208496312"/>
    <x v="0"/>
    <n v="10636.54"/>
    <m/>
    <n v="3190.962"/>
    <n v="3190.962"/>
    <m/>
  </r>
  <r>
    <x v="76"/>
    <d v="2026-09-16T00:00:00"/>
    <x v="59"/>
    <s v="ROSA MARIA BRISEÑO"/>
    <s v="54745315215"/>
    <s v="BIXR570505MJCRXS07"/>
    <n v="24503844"/>
    <n v="5213349023360"/>
    <x v="2"/>
    <n v="7128.48"/>
    <n v="2062.0300000000002"/>
    <n v="2138.5439999999999"/>
    <n v="76.513999999999669"/>
    <d v="2027-08-01T00:00:00"/>
  </r>
  <r>
    <x v="76"/>
    <d v="2026-09-15T00:00:00"/>
    <x v="51"/>
    <s v="HORACIO SANTOS DURÁN "/>
    <m/>
    <s v="SADH511011HCSNRR06"/>
    <n v="24488026"/>
    <n v="5219615808803"/>
    <x v="1"/>
    <n v="4199.87"/>
    <m/>
    <n v="1259.961"/>
    <n v="26.890000000000327"/>
    <m/>
  </r>
  <r>
    <x v="76"/>
    <d v="2026-09-16T00:00:00"/>
    <x v="59"/>
    <s v="VICTOR HUGO MIRAMONTES VALENZULA"/>
    <m/>
    <s v="MIVV570317HSRRLC02"/>
    <n v="24511172"/>
    <n v="5216424280066"/>
    <x v="2"/>
    <n v="26899.599999999999"/>
    <n v="8064.79"/>
    <n v="8069.8799999999992"/>
    <n v="5.089999999999236"/>
    <d v="2026-11-01T00:00:00"/>
  </r>
  <r>
    <x v="77"/>
    <d v="2026-09-17T00:00:00"/>
    <x v="31"/>
    <s v="JORGE HERNANEZ PEREZ"/>
    <s v="03907401461"/>
    <s v="HEPJ760525HNLRRR00"/>
    <n v="2"/>
    <n v="8187770489"/>
    <x v="2"/>
    <n v="6411.47"/>
    <n v="1922.97"/>
    <n v="1923.441"/>
    <n v="0.47100000000000364"/>
    <d v="2028-06-01T00:00:00"/>
  </r>
  <r>
    <x v="77"/>
    <d v="2026-09-05T00:00:00"/>
    <x v="54"/>
    <s v="CESAR ARTURO DE LEON LOPEZ"/>
    <m/>
    <s v="LELC521215HCSNPS03"/>
    <n v="24262950"/>
    <n v="9622206666"/>
    <x v="1"/>
    <n v="3879.3"/>
    <m/>
    <n v="1163.79"/>
    <n v="0"/>
    <m/>
  </r>
  <r>
    <x v="77"/>
    <d v="2026-09-17T00:00:00"/>
    <x v="65"/>
    <s v="LAURA ELENA CHAVEZ VILLALBA"/>
    <s v="3388656170"/>
    <s v="CAVL650604MCHHLR01"/>
    <n v="24533922"/>
    <s v="6391240600_x0009_"/>
    <x v="1"/>
    <n v="3900.89"/>
    <n v="848"/>
    <n v="1170.2669999999998"/>
    <n v="-848"/>
    <m/>
  </r>
  <r>
    <x v="77"/>
    <d v="2026-09-16T00:00:00"/>
    <x v="54"/>
    <s v="ANDRES BRAVO DELGADO"/>
    <m/>
    <s v="BADA541109HJCRLN04"/>
    <n v="24511866"/>
    <n v="3531489417"/>
    <x v="2"/>
    <n v="9081.52"/>
    <n v="2627.5"/>
    <n v="2724.4560000000001"/>
    <n v="96.956000000000131"/>
    <d v="2027-04-01T00:00:00"/>
  </r>
  <r>
    <x v="77"/>
    <d v="2026-09-17T00:00:00"/>
    <x v="31"/>
    <s v="PEDRO MORA LIZAOLA"/>
    <s v="04876326002"/>
    <s v="MOLP631222HJCRZD04"/>
    <n v="2"/>
    <n v="3310661584"/>
    <x v="2"/>
    <n v="39461.360000000001"/>
    <n v="11838.41"/>
    <n v="11838.407999999999"/>
    <n v="-2.0000000004074536E-3"/>
    <d v="2027-09-01T00:00:00"/>
  </r>
  <r>
    <x v="77"/>
    <d v="2026-06-24T00:00:00"/>
    <x v="13"/>
    <s v="FRANCISCO JAVIER PAZ GONZALEZ"/>
    <s v="49816459462"/>
    <s v="PAGF641029HTSZNR06"/>
    <n v="21975326"/>
    <n v="5218132418505"/>
    <x v="2"/>
    <n v="9081.52"/>
    <n v="2511.2399999999998"/>
    <n v="2724.4560000000001"/>
    <n v="213.21600000000035"/>
    <d v="2027-01-01T00:00:00"/>
  </r>
  <r>
    <x v="77"/>
    <d v="2026-07-30T00:00:00"/>
    <x v="6"/>
    <s v="JUAN ANTONIO JACOBI MOROYOQUI"/>
    <s v="24806051538"/>
    <s v="JOMJ600718HSRCRN05"/>
    <n v="23231596"/>
    <n v="5216471199942"/>
    <x v="2"/>
    <n v="7920.51"/>
    <n v="2365.91"/>
    <n v="2376.1529999999998"/>
    <n v="10.242999999999938"/>
    <d v="2027-04-01T00:00:00"/>
  </r>
  <r>
    <x v="77"/>
    <d v="2026-09-15T00:00:00"/>
    <x v="13"/>
    <s v="HECTOR GUADALUPE NORIEGA GODINES"/>
    <s v="65926518013"/>
    <s v="NOGH651212HVZRDC05"/>
    <n v="24490596"/>
    <n v="5212285021351"/>
    <x v="2"/>
    <n v="9760.32"/>
    <n v="2928.1"/>
    <n v="2928.096"/>
    <n v="-3.9999999999054126E-3"/>
    <d v="2028-04-01T00:00:00"/>
  </r>
  <r>
    <x v="77"/>
    <d v="2026-09-16T00:00:00"/>
    <x v="6"/>
    <s v="MIGUEL ANGEL RAMIREZ MOJARDIN "/>
    <s v="23906600327"/>
    <s v="RAMM650802HSLMJG18"/>
    <n v="24535254"/>
    <n v="5216624662717"/>
    <x v="2"/>
    <n v="9760.32"/>
    <n v="2917.28"/>
    <n v="2928.096"/>
    <n v="10.815999999999804"/>
    <d v="2028-05-01T00:00:00"/>
  </r>
  <r>
    <x v="77"/>
    <d v="2026-09-16T00:00:00"/>
    <x v="6"/>
    <s v="ISMAEL CLEMENTE DE JESUS "/>
    <m/>
    <s v="CEJI580404HVZLSS04"/>
    <n v="24511098"/>
    <n v="5216331321924"/>
    <x v="2"/>
    <n v="7116.73"/>
    <n v="2132.9699999999998"/>
    <n v="2135.0189999999998"/>
    <n v="2.0489999999999782"/>
    <d v="2028-07-01T00:00:00"/>
  </r>
  <r>
    <x v="77"/>
    <d v="2026-09-16T00:00:00"/>
    <x v="54"/>
    <s v="BERNABE ARELLANO RAYON"/>
    <m/>
    <s v="AERB730611HVZRYR07"/>
    <n v="24533680"/>
    <n v="2711409059"/>
    <x v="1"/>
    <n v="4082.3"/>
    <n v="848"/>
    <n v="1224.69"/>
    <n v="-848"/>
    <m/>
  </r>
  <r>
    <x v="77"/>
    <d v="2026-09-17T00:00:00"/>
    <x v="54"/>
    <m/>
    <s v="43796237840"/>
    <m/>
    <n v="24542550"/>
    <n v="8110284416"/>
    <x v="2"/>
    <n v="7920.51"/>
    <n v="2361.73"/>
    <n v="2376.1529999999998"/>
    <n v="14.422999999999774"/>
    <d v="2028-08-01T00:00:00"/>
  </r>
  <r>
    <x v="77"/>
    <d v="2026-09-16T00:00:00"/>
    <x v="65"/>
    <m/>
    <n v="55815701614"/>
    <m/>
    <n v="24514518"/>
    <n v="3222322925"/>
    <x v="7"/>
    <n v="4342.43"/>
    <n v="355.85"/>
    <n v="1302.729"/>
    <n v="-186.3999999999993"/>
    <d v="2024-03-01T00:00:00"/>
  </r>
  <r>
    <x v="77"/>
    <d v="2026-09-17T00:00:00"/>
    <x v="28"/>
    <s v="PORFIRIO CONRADO PECH"/>
    <m/>
    <s v="COPP580915HYNNCR09"/>
    <n v="24548092"/>
    <n v="5219998021197"/>
    <x v="2"/>
    <n v="7956.74"/>
    <n v="2380.86"/>
    <n v="2387.0219999999999"/>
    <n v="6.1619999999998072"/>
    <d v="2028-09-01T00:00:00"/>
  </r>
  <r>
    <x v="77"/>
    <d v="2026-09-16T00:00:00"/>
    <x v="54"/>
    <s v="HONORIO ALCANTARA PINEDA"/>
    <m/>
    <s v="AAPH601028HCMLNN03"/>
    <n v="24532874"/>
    <n v="3411065844"/>
    <x v="0"/>
    <n v="9760.32"/>
    <m/>
    <n v="2928.096"/>
    <n v="2928.096"/>
    <m/>
  </r>
  <r>
    <x v="77"/>
    <d v="2026-09-17T00:00:00"/>
    <x v="31"/>
    <s v="ADOLFO DELGADO ACHOTLA"/>
    <n v="15816408940"/>
    <s v="DEAA640914HMSLCD01"/>
    <n v="2"/>
    <n v="7351779682"/>
    <x v="2"/>
    <n v="10914.26"/>
    <n v="3273.76"/>
    <n v="3274.2779999999998"/>
    <n v="0.51799999999957436"/>
    <d v="2026-11-01T00:00:00"/>
  </r>
  <r>
    <x v="77"/>
    <d v="2026-09-17T00:00:00"/>
    <x v="62"/>
    <s v="MARIA PATROCINIO CORONA PEREZ"/>
    <n v="34886400422"/>
    <m/>
    <n v="24546110"/>
    <n v="4921818289"/>
    <x v="2"/>
    <n v="16844.080000000002"/>
    <n v="5052.16"/>
    <n v="5053.2240000000002"/>
    <n v="1.0640000000003056"/>
    <d v="2028-09-01T00:00:00"/>
  </r>
  <r>
    <x v="77"/>
    <d v="2026-09-16T00:00:00"/>
    <x v="54"/>
    <s v="JOSE MARIA GRANIEL Y ZALDIVAR"/>
    <n v="84745505556"/>
    <s v="GAZM550206HYNRLR08"/>
    <n v="24496764"/>
    <n v="9991524991"/>
    <x v="6"/>
    <n v="17409.240000000002"/>
    <n v="5035.3"/>
    <n v="5222.7719999999999"/>
    <n v="187.47199999999975"/>
    <d v="2025-09-01T00:00:00"/>
  </r>
  <r>
    <x v="77"/>
    <d v="2026-09-17T00:00:00"/>
    <x v="62"/>
    <s v="ELIAS GONZALEZ CUBILLOS"/>
    <n v="67796037991"/>
    <m/>
    <n v="24541946"/>
    <n v="8132369849"/>
    <x v="2"/>
    <n v="8042.32"/>
    <n v="2412.21"/>
    <n v="2412.6959999999999"/>
    <n v="0.48599999999987631"/>
    <d v="2026-12-01T00:00:00"/>
  </r>
  <r>
    <x v="77"/>
    <d v="2026-09-10T00:00:00"/>
    <x v="13"/>
    <s v="MARIA TERESA DE JESUS REYES PEREZ"/>
    <s v="32644822739"/>
    <s v="REPT530607MCLYRR07"/>
    <n v="24379660"/>
    <n v="5218444436449"/>
    <x v="1"/>
    <n v="3881.65"/>
    <m/>
    <n v="1164.4949999999999"/>
    <n v="0"/>
    <m/>
  </r>
  <r>
    <x v="77"/>
    <d v="2026-09-16T00:00:00"/>
    <x v="6"/>
    <s v="FERNANDO DE JESUS DENIS VALIENTE "/>
    <m/>
    <s v="DEVF561121HDFNLR01"/>
    <n v="24533676"/>
    <n v="5212291747585"/>
    <x v="2"/>
    <n v="26334.11"/>
    <n v="7900.02"/>
    <n v="7900.2330000000002"/>
    <n v="0.21299999999973807"/>
    <d v="2027-02-01T00:00:00"/>
  </r>
  <r>
    <x v="77"/>
    <d v="2026-09-16T00:00:00"/>
    <x v="65"/>
    <s v="ISRAEL RAMIREZ NEVAREZ"/>
    <m/>
    <s v="RANI760728HSLMVS03"/>
    <n v="24533044"/>
    <n v="6699259824"/>
    <x v="5"/>
    <m/>
    <m/>
    <n v="0"/>
    <n v="0"/>
    <m/>
  </r>
  <r>
    <x v="77"/>
    <d v="2026-09-16T00:00:00"/>
    <x v="28"/>
    <s v="JOSE MARIO CORTINA AMARO"/>
    <s v="33806232725"/>
    <s v="COAM620908HDGRMR03"/>
    <n v="24516072"/>
    <n v="5216565748587"/>
    <x v="2"/>
    <n v="7116.73"/>
    <n v="1974"/>
    <n v="2135.0189999999998"/>
    <n v="161.01899999999978"/>
    <d v="2027-01-01T00:00:00"/>
  </r>
  <r>
    <x v="77"/>
    <d v="2026-09-16T00:00:00"/>
    <x v="62"/>
    <s v="EMILIO CAAMAL POOT"/>
    <m/>
    <s v="CAPE691206HYNMTM04"/>
    <n v="24532100"/>
    <n v="9851223163"/>
    <x v="5"/>
    <m/>
    <m/>
    <n v="0"/>
    <n v="0"/>
    <m/>
  </r>
  <r>
    <x v="77"/>
    <d v="2026-09-17T00:00:00"/>
    <x v="6"/>
    <s v="ANDRES BAUTISTA "/>
    <m/>
    <s v="BAXA591020HVZTXN08"/>
    <n v="24547210"/>
    <n v="5216565272633"/>
    <x v="2"/>
    <n v="18666.349999999999"/>
    <n v="5599.56"/>
    <n v="5599.9049999999997"/>
    <n v="0.34499999999934516"/>
    <d v="2026-10-01T00:00:00"/>
  </r>
  <r>
    <x v="77"/>
    <d v="2026-09-17T00:00:00"/>
    <x v="6"/>
    <s v="MARCIAL AQUINO HERNANDEZ "/>
    <m/>
    <s v="AUHM610703HOCQRR06"/>
    <n v="24548536"/>
    <n v="5219515879283"/>
    <x v="3"/>
    <n v="5260.82"/>
    <m/>
    <n v="1578.2459999999999"/>
    <n v="1087.8400000000001"/>
    <m/>
  </r>
  <r>
    <x v="77"/>
    <d v="2026-09-17T00:00:00"/>
    <x v="6"/>
    <s v="JESUS BARTOLOME CORONEL BARRERA"/>
    <n v="11674923500"/>
    <s v="COBJ500824HDFRRS08"/>
    <n v="24551114"/>
    <n v="5214424902530"/>
    <x v="2"/>
    <n v="6262.86"/>
    <n v="1811"/>
    <n v="1878.8579999999997"/>
    <n v="67.85799999999972"/>
    <d v="2027-09-01T00:00:00"/>
  </r>
  <r>
    <x v="77"/>
    <d v="2026-09-10T00:00:00"/>
    <x v="13"/>
    <s v="MARIA TERESA DE JESUS REYES PEREZ"/>
    <s v="32644822739"/>
    <s v="REPT530607MCLYRR07"/>
    <n v="24379660"/>
    <n v="5218444436449"/>
    <x v="2"/>
    <n v="5055.88"/>
    <n v="1214.68"/>
    <n v="1516.7639999999999"/>
    <n v="-331.77999999999952"/>
    <d v="2027-05-01T00:00:00"/>
  </r>
  <r>
    <x v="77"/>
    <d v="2026-09-17T00:00:00"/>
    <x v="28"/>
    <s v="MISAEL PACHUCA GARCIA"/>
    <s v="32876125181"/>
    <s v="PAGM610108HCLCRS01"/>
    <n v="24552002"/>
    <n v="5218444982859"/>
    <x v="0"/>
    <n v="6262.86"/>
    <m/>
    <n v="1878.8579999999997"/>
    <n v="1878.8579999999997"/>
    <m/>
  </r>
  <r>
    <x v="77"/>
    <d v="2026-09-17T00:00:00"/>
    <x v="13"/>
    <s v="LUIS HERNANDEZ BERNAL"/>
    <n v="72826450222"/>
    <s v="HEBL641102HGRRRS03"/>
    <n v="24550038"/>
    <n v="5213221350020"/>
    <x v="0"/>
    <n v="9760.32"/>
    <n v="879"/>
    <n v="2928.096"/>
    <n v="2049.096"/>
    <m/>
  </r>
  <r>
    <x v="77"/>
    <d v="2026-09-17T00:00:00"/>
    <x v="6"/>
    <s v="SANTIAGO GONZALEZ HERNANDEZ  "/>
    <m/>
    <s v="GOHS640725HDFNRN09 "/>
    <n v="24549898"/>
    <n v="5215572254660"/>
    <x v="6"/>
    <n v="9081.52"/>
    <n v="2515.1"/>
    <n v="2724.4560000000001"/>
    <n v="209.35600000000022"/>
    <d v="2026-09-01T00:00:00"/>
  </r>
  <r>
    <x v="77"/>
    <d v="2026-09-17T00:00:00"/>
    <x v="31"/>
    <s v="GUILLERMO ALVAREZ ROMERO"/>
    <n v="43866624448"/>
    <s v="AARG660726HMNLML05"/>
    <n v="2"/>
    <s v="56 1015 3501"/>
    <x v="0"/>
    <n v="10636.599999999999"/>
    <m/>
    <n v="3190.9799999999996"/>
    <n v="3190.9799999999996"/>
    <m/>
  </r>
  <r>
    <x v="77"/>
    <d v="2026-09-14T00:00:00"/>
    <x v="13"/>
    <s v="FELIX GUDIÑO RESENDIZ"/>
    <n v="14735606759"/>
    <s v="GURF560724HQTDSL02"/>
    <n v="24451838"/>
    <n v="5214422830366"/>
    <x v="2"/>
    <n v="20194.38"/>
    <n v="6057.25"/>
    <n v="6058.3140000000003"/>
    <n v="1.0640000000003056"/>
    <d v="2028-09-01T00:00:00"/>
  </r>
  <r>
    <x v="77"/>
    <d v="2026-09-06T00:00:00"/>
    <x v="54"/>
    <s v="ALBERTO MORENO JUNQUERA"/>
    <m/>
    <s v="MOJA550313HDFRNL08"/>
    <n v="24280566"/>
    <n v="5576947140"/>
    <x v="7"/>
    <n v="20796.63"/>
    <n v="6016.96"/>
    <n v="6238.9890000000005"/>
    <n v="222.02900000000045"/>
    <d v="2025-05-01T00:00:00"/>
  </r>
  <r>
    <x v="77"/>
    <d v="2026-09-17T00:00:00"/>
    <x v="65"/>
    <m/>
    <n v="47957825947"/>
    <m/>
    <n v="24550878"/>
    <n v="8120308387"/>
    <x v="4"/>
    <m/>
    <m/>
    <n v="0"/>
    <n v="0"/>
    <m/>
  </r>
  <r>
    <x v="77"/>
    <d v="2026-09-17T00:00:00"/>
    <x v="65"/>
    <s v="FLORENCIO CHAROLA MENDEZ"/>
    <s v="88806222755 "/>
    <s v="CAMF630104HMCHNL05"/>
    <n v="24553848"/>
    <n v="9646242804"/>
    <x v="2"/>
    <n v="9081.52"/>
    <n v="2521.35"/>
    <n v="2724.4560000000001"/>
    <n v="203.10600000000022"/>
    <d v="2026-10-01T00:00:00"/>
  </r>
  <r>
    <x v="77"/>
    <d v="2026-09-15T00:00:00"/>
    <x v="54"/>
    <s v="MARIA GUADALUPE RIOS CEDILLO"/>
    <n v="96038504757"/>
    <s v="RICG851230MMCSDD09"/>
    <n v="24493868"/>
    <n v="8135676673"/>
    <x v="5"/>
    <m/>
    <m/>
    <n v="0"/>
    <n v="0"/>
    <m/>
  </r>
  <r>
    <x v="77"/>
    <d v="2026-09-17T00:00:00"/>
    <x v="63"/>
    <s v="Hugo Romero Lopez"/>
    <n v="6580610024"/>
    <s v="ROLH610607HVZMPG06"/>
    <n v="24551744"/>
    <n v="2297230617"/>
    <x v="7"/>
    <n v="7062.68"/>
    <n v="2043"/>
    <n v="2118.8040000000001"/>
    <n v="75.804000000000087"/>
    <d v="2026-07-01T00:00:00"/>
  </r>
  <r>
    <x v="77"/>
    <d v="2026-09-17T00:00:00"/>
    <x v="62"/>
    <s v="AURORA MENDOZA SABORI"/>
    <n v="24956325450"/>
    <m/>
    <n v="24552364"/>
    <n v="6622982918"/>
    <x v="6"/>
    <n v="9081.52"/>
    <n v="2521.35"/>
    <n v="2724.4560000000001"/>
    <n v="203.10600000000022"/>
    <d v="2026-09-01T00:00:00"/>
  </r>
  <r>
    <x v="77"/>
    <d v="2026-09-17T00:00:00"/>
    <x v="62"/>
    <s v="AURORA DEL CARMEN OCHOA MEJIA"/>
    <m/>
    <s v="OOMA621117MCLCJR01"/>
    <n v="24554254"/>
    <n v="8713274358"/>
    <x v="0"/>
    <n v="9081.52"/>
    <n v="879"/>
    <n v="2724.4560000000001"/>
    <n v="1845.4560000000001"/>
    <m/>
  </r>
  <r>
    <x v="77"/>
    <d v="2026-09-02T00:00:00"/>
    <x v="54"/>
    <s v="ARMANDO AGUSTIN RICO LOPEZ"/>
    <m/>
    <s v="RILA570828HSPCPR00"/>
    <n v="24202310"/>
    <n v="4881261581"/>
    <x v="1"/>
    <n v="4199.87"/>
    <m/>
    <n v="1259.961"/>
    <n v="26.890000000000327"/>
    <m/>
  </r>
  <r>
    <x v="77"/>
    <d v="2026-09-16T00:00:00"/>
    <x v="54"/>
    <s v="JOSE LUIS CORREA BRITO"/>
    <m/>
    <s v="COBL591228HDFRRS09"/>
    <n v="24532302"/>
    <n v="9982302008"/>
    <x v="2"/>
    <n v="6262.86"/>
    <n v="1861.8"/>
    <n v="1878.8579999999997"/>
    <n v="17.057999999999765"/>
    <d v="2028-05-01T00:00:00"/>
  </r>
  <r>
    <x v="77"/>
    <d v="2026-09-17T00:00:00"/>
    <x v="28"/>
    <s v="MARIA ESPERANZA LOPEZ ALVAREZ"/>
    <s v="23744902083"/>
    <s v="LOAE690801MCHPLS06"/>
    <n v="24510454"/>
    <n v="5216676991645"/>
    <x v="0"/>
    <n v="5617.64"/>
    <m/>
    <n v="1685.2920000000001"/>
    <n v="1444.6600000000008"/>
    <m/>
  </r>
  <r>
    <x v="77"/>
    <d v="2026-09-17T00:00:00"/>
    <x v="13"/>
    <s v="FRANCISCO JAVIER SANCHEZ SANDOVAL"/>
    <n v="96887122354"/>
    <s v="SASF710620HDFNNR04"/>
    <n v="24552214"/>
    <n v="5213347195922"/>
    <x v="1"/>
    <n v="3850.22"/>
    <n v="879"/>
    <n v="1155.0659999999998"/>
    <n v="-879"/>
    <m/>
  </r>
  <r>
    <x v="77"/>
    <d v="2026-09-17T00:00:00"/>
    <x v="31"/>
    <s v="LUIS MARIO CABRAL LARES"/>
    <s v="43745719344 "/>
    <s v="CALL571124HNLBRS06"/>
    <n v="2"/>
    <s v="81 1674 4806"/>
    <x v="2"/>
    <n v="36565.089999999997"/>
    <n v="10969.53"/>
    <n v="10969.526999999998"/>
    <n v="-3.0000000024301698E-3"/>
    <d v="2027-02-01T00:00:00"/>
  </r>
  <r>
    <x v="77"/>
    <d v="2026-09-17T00:00:00"/>
    <x v="28"/>
    <s v="JULIO ROSALES CASAS"/>
    <m/>
    <s v="ROCJ650412HZSSSL07"/>
    <n v="24552596"/>
    <n v="5214921744450"/>
    <x v="0"/>
    <n v="9760.32"/>
    <m/>
    <n v="2928.096"/>
    <n v="2928.096"/>
    <m/>
  </r>
  <r>
    <x v="77"/>
    <d v="2026-09-17T00:00:00"/>
    <x v="54"/>
    <m/>
    <n v="32816611373"/>
    <m/>
    <n v="24547718"/>
    <n v="32816611373"/>
    <x v="0"/>
    <n v="10636.54"/>
    <n v="879"/>
    <n v="3190.962"/>
    <n v="2311.962"/>
    <m/>
  </r>
  <r>
    <x v="77"/>
    <d v="2026-09-17T00:00:00"/>
    <x v="13"/>
    <s v="ERNESTO TRINIDAD DAVILA"/>
    <n v="30876309532"/>
    <s v="TIDE630828HDFRVR04"/>
    <n v="24552776"/>
    <n v="5215521116827"/>
    <x v="0"/>
    <n v="10636.54"/>
    <m/>
    <n v="3190.962"/>
    <n v="3190.962"/>
    <m/>
  </r>
  <r>
    <x v="77"/>
    <d v="2026-09-17T00:00:00"/>
    <x v="63"/>
    <s v="JOSE EMILIO GOMEZ URIBE "/>
    <n v="8482660286"/>
    <m/>
    <n v="24554820"/>
    <n v="9991587394"/>
    <x v="3"/>
    <n v="10636.54"/>
    <n v="2600.0100000000002"/>
    <n v="3190.962"/>
    <n v="590.95199999999977"/>
    <d v="2028-06-01T00:00:00"/>
  </r>
  <r>
    <x v="77"/>
    <d v="2026-09-17T00:00:00"/>
    <x v="62"/>
    <s v="GUADALUPE COBARRUVIAS VELAZQUEZ "/>
    <m/>
    <s v="COVG481205MCSBLD14"/>
    <n v="24553832"/>
    <n v="9621007495"/>
    <x v="1"/>
    <n v="4035.69"/>
    <n v="848"/>
    <n v="1210.7069999999999"/>
    <n v="-848"/>
    <m/>
  </r>
  <r>
    <x v="77"/>
    <d v="2026-09-16T00:00:00"/>
    <x v="51"/>
    <s v="MARIA ROSARIO ZAZUETA MEDINA"/>
    <m/>
    <s v="ZAMR430201MSLZDS00"/>
    <n v="24537472"/>
    <n v="5216621281150"/>
    <x v="5"/>
    <m/>
    <m/>
    <n v="0"/>
    <n v="0"/>
    <m/>
  </r>
  <r>
    <x v="77"/>
    <d v="2026-09-17T00:00:00"/>
    <x v="31"/>
    <s v="GERARDO QUIROZ MARTINEZ"/>
    <n v="32725419660"/>
    <s v="QUMG540718HZSRRR06"/>
    <n v="2"/>
    <s v="844 289 1494"/>
    <x v="2"/>
    <n v="29527.24"/>
    <n v="8856.5300000000007"/>
    <n v="8858.1720000000005"/>
    <n v="1.6419999999998254"/>
    <d v="2027-07-01T00:00:00"/>
  </r>
  <r>
    <x v="77"/>
    <d v="2026-09-17T00:00:00"/>
    <x v="54"/>
    <s v="FIDEL CASTREJON CRUZ"/>
    <m/>
    <s v="CACF620410HDFSRD00"/>
    <n v="24556796"/>
    <n v="2221195742"/>
    <x v="2"/>
    <n v="6262.89"/>
    <n v="1811.95"/>
    <n v="1878.867"/>
    <n v="66.916999999999916"/>
    <d v="2027-12-01T00:00:00"/>
  </r>
  <r>
    <x v="77"/>
    <d v="2026-09-17T00:00:00"/>
    <x v="65"/>
    <s v="MAGDALENO GUTIERREZ  RIVERA"/>
    <n v="31786201132"/>
    <m/>
    <n v="24538370"/>
    <n v="8713628213"/>
    <x v="2"/>
    <n v="7116.73"/>
    <n v="1874.45"/>
    <n v="2135.0189999999998"/>
    <n v="260.56899999999973"/>
    <d v="2027-10-01T00:00:00"/>
  </r>
  <r>
    <x v="77"/>
    <d v="2026-09-17T00:00:00"/>
    <x v="62"/>
    <s v="PEDRO GERARDO DOMINGUEZ RODRIGUEZ"/>
    <m/>
    <s v="DORP591118HPLMDD06"/>
    <n v="24555018"/>
    <n v="2223248217"/>
    <x v="5"/>
    <m/>
    <m/>
    <n v="0"/>
    <n v="0"/>
    <m/>
  </r>
  <r>
    <x v="77"/>
    <d v="2026-09-17T00:00:00"/>
    <x v="31"/>
    <s v="JOSE FILIBERTO SALINAS GONZALEZ"/>
    <s v="04486427378"/>
    <s v="SAGF641007HJCLNL05"/>
    <n v="2"/>
    <n v="3343198497"/>
    <x v="2"/>
    <n v="9760.32"/>
    <n v="2823"/>
    <n v="2928.096"/>
    <n v="105.096"/>
    <d v="2027-08-01T00:00:00"/>
  </r>
  <r>
    <x v="77"/>
    <d v="2026-09-17T00:00:00"/>
    <x v="54"/>
    <s v="MARIO CANO"/>
    <m/>
    <s v="CAXM600726HVZNXR04"/>
    <n v="24552270"/>
    <n v="2971042454"/>
    <x v="9"/>
    <n v="9081.52"/>
    <n v="2514.25"/>
    <n v="2724.4560000000001"/>
    <n v="210.20600000000013"/>
    <d v="2026-09-01T00:00:00"/>
  </r>
  <r>
    <x v="77"/>
    <d v="2026-09-17T00:00:00"/>
    <x v="28"/>
    <s v="ISMAEL AMARO HERNANDEZ"/>
    <s v="31816405281_x000a_"/>
    <s v="AAHI640708HDGMRS01"/>
    <n v="24557436"/>
    <n v="5216182928831"/>
    <x v="2"/>
    <n v="9631.32"/>
    <n v="2866.31"/>
    <n v="2889.3959999999997"/>
    <n v="23.085999999999785"/>
    <d v="2027-09-01T00:00:00"/>
  </r>
  <r>
    <x v="77"/>
    <d v="2026-09-17T00:00:00"/>
    <x v="54"/>
    <s v="GABRIEL GODINES LOPEZ"/>
    <m/>
    <s v="GOLG600403HGRDPB08"/>
    <n v="24558354"/>
    <n v="9982026078"/>
    <x v="1"/>
    <n v="968.57"/>
    <n v="242"/>
    <n v="290.57100000000003"/>
    <n v="-242"/>
    <m/>
  </r>
  <r>
    <x v="77"/>
    <d v="2026-09-17T00:00:00"/>
    <x v="6"/>
    <s v="DANIEL CRUS SALAS"/>
    <m/>
    <s v="CUSD660425HCSRLN00"/>
    <n v="24555554"/>
    <n v="5214448658730"/>
    <x v="0"/>
    <n v="10636.54"/>
    <m/>
    <n v="3190.962"/>
    <n v="3190.962"/>
    <m/>
  </r>
  <r>
    <x v="77"/>
    <d v="2026-09-16T00:00:00"/>
    <x v="51"/>
    <s v="HILDA VALENTIN TORRES"/>
    <n v="12664414286"/>
    <s v="VATH551222MVZLRL06"/>
    <n v="24533810"/>
    <n v="5212297957629"/>
    <x v="1"/>
    <n v="3510.83"/>
    <n v="877"/>
    <n v="1053.249"/>
    <n v="-877"/>
    <m/>
  </r>
  <r>
    <x v="77"/>
    <d v="2026-09-17T00:00:00"/>
    <x v="28"/>
    <s v="DIVINA RODRIGUEZ CAMACHO"/>
    <s v="15846510251_x000a_"/>
    <s v="ROCD651224MMSDMV02"/>
    <n v="24559130"/>
    <n v="5216561309320"/>
    <x v="2"/>
    <n v="9760.32"/>
    <n v="2928.1"/>
    <n v="2928.096"/>
    <n v="-3.9999999999054126E-3"/>
    <d v="2028-03-01T00:00:00"/>
  </r>
  <r>
    <x v="77"/>
    <d v="2026-09-17T00:00:00"/>
    <x v="13"/>
    <s v="JOSE ANTONIO LOPEZ ESTRADA"/>
    <n v="54937743364"/>
    <s v="LOEA770627HJCPSN09"/>
    <n v="24555696"/>
    <n v="5213412152475"/>
    <x v="3"/>
    <n v="5642.22"/>
    <n v="848"/>
    <n v="1692.6659999999999"/>
    <n v="621.24000000000069"/>
    <m/>
  </r>
  <r>
    <x v="77"/>
    <d v="2026-09-16T00:00:00"/>
    <x v="51"/>
    <s v="JOSE RUBEN LEON MORALES "/>
    <m/>
    <s v="LEMR570915HBCNRB02"/>
    <n v="24559020"/>
    <n v="5216331000622"/>
    <x v="3"/>
    <n v="4813.6899999999996"/>
    <m/>
    <n v="1444.1069999999997"/>
    <n v="640.71"/>
    <m/>
  </r>
  <r>
    <x v="77"/>
    <d v="2026-09-16T00:00:00"/>
    <x v="51"/>
    <s v="MARIA ROSARIO ZAZUETA MEDINA"/>
    <n v="24893101808"/>
    <s v="ZAMR430201MSLZDS00"/>
    <n v="24537472"/>
    <n v="5216621281150"/>
    <x v="3"/>
    <n v="5636.59"/>
    <n v="879"/>
    <n v="1690.9770000000001"/>
    <n v="584.61000000000058"/>
    <m/>
  </r>
  <r>
    <x v="78"/>
    <d v="2026-09-18T00:00:00"/>
    <x v="61"/>
    <s v="Juan ignacio gutierrez rubio"/>
    <n v="4866223581"/>
    <s v="GURJ620731HJCTBN02"/>
    <n v="24283370"/>
    <n v="5213411292090"/>
    <x v="0"/>
    <n v="10636.54"/>
    <m/>
    <n v="3190.962"/>
    <n v="3190.962"/>
    <m/>
  </r>
  <r>
    <x v="78"/>
    <d v="2026-09-17T00:00:00"/>
    <x v="28"/>
    <s v="DAVID GOTLIB POMERANTZ"/>
    <s v="11695276052"/>
    <s v="GOPD520130HDFTMV08"/>
    <n v="24560768"/>
    <n v="5215575004798"/>
    <x v="2"/>
    <n v="29304.400000000001"/>
    <n v="8791.08"/>
    <n v="8791.32"/>
    <n v="0.23999999999978172"/>
    <d v="2028-03-01T00:00:00"/>
  </r>
  <r>
    <x v="78"/>
    <d v="2026-09-16T00:00:00"/>
    <x v="64"/>
    <s v="LUCIA ROJAS CAMACHO"/>
    <n v="83947431397"/>
    <s v="ROCL801026MTCJMC09"/>
    <n v="24506038"/>
    <n v="9935906557"/>
    <x v="4"/>
    <m/>
    <m/>
    <n v="0"/>
    <n v="0"/>
    <m/>
  </r>
  <r>
    <x v="78"/>
    <d v="2026-09-16T00:00:00"/>
    <x v="64"/>
    <s v="MARTHA SAMANO ALVARADO"/>
    <s v="1481591171 "/>
    <s v="SAAM591103MQTMLR08"/>
    <n v="24507082"/>
    <n v="4425749647"/>
    <x v="5"/>
    <m/>
    <m/>
    <n v="0"/>
    <n v="0"/>
    <m/>
  </r>
  <r>
    <x v="78"/>
    <d v="2026-09-17T00:00:00"/>
    <x v="28"/>
    <s v="YOLANDA DELGADO CORDERO"/>
    <m/>
    <s v="DECY720425MZSLRL06"/>
    <n v="24562834"/>
    <n v="5216563049747"/>
    <x v="0"/>
    <n v="8181.5500000000011"/>
    <m/>
    <n v="2454.4650000000001"/>
    <n v="2454.4650000000001"/>
    <m/>
  </r>
  <r>
    <x v="78"/>
    <d v="2026-09-17T00:00:00"/>
    <x v="28"/>
    <s v="NORMA ANGELICA GLORIA BARRERA"/>
    <m/>
    <s v="GOBN640414MCLLRR03"/>
    <n v="24558084"/>
    <n v="5218666517569"/>
    <x v="0"/>
    <n v="10636.54"/>
    <m/>
    <n v="3190.962"/>
    <n v="3190.962"/>
    <m/>
  </r>
  <r>
    <x v="78"/>
    <d v="2026-09-18T00:00:00"/>
    <x v="31"/>
    <s v="LUZ MARIA RAMIREZ SANCHEZ"/>
    <n v="65755313224"/>
    <s v="RASL530531MVZMNZ08"/>
    <n v="2"/>
    <s v="344 100 4601"/>
    <x v="1"/>
    <n v="4329"/>
    <m/>
    <n v="1298.7"/>
    <n v="156.02000000000044"/>
    <m/>
  </r>
  <r>
    <x v="78"/>
    <d v="2026-09-18T00:00:00"/>
    <x v="63"/>
    <m/>
    <n v="31826611001"/>
    <m/>
    <n v="24636432"/>
    <n v="8712404121"/>
    <x v="0"/>
    <n v="10636.54"/>
    <m/>
    <n v="3190.962"/>
    <n v="3190.962"/>
    <m/>
  </r>
  <r>
    <x v="78"/>
    <d v="2026-09-18T00:00:00"/>
    <x v="28"/>
    <s v="JOSE FRANCISCO CRUZ MORENO"/>
    <m/>
    <s v="CUMF610225HYNRRR01"/>
    <n v="24636190"/>
    <n v="5219971224306"/>
    <x v="5"/>
    <m/>
    <m/>
    <n v="0"/>
    <n v="0"/>
    <m/>
  </r>
  <r>
    <x v="78"/>
    <d v="2026-09-18T00:00:00"/>
    <x v="28"/>
    <s v="GUMARO ALEJANDRO ARMENTA ARMENTA"/>
    <m/>
    <s v="AEAG590517HSRRRM02"/>
    <n v="24636434"/>
    <n v="5216861072798"/>
    <x v="2"/>
    <n v="26913.25"/>
    <n v="8072.49"/>
    <n v="8073.9749999999995"/>
    <n v="1.4849999999996726"/>
    <d v="2027-01-01T00:00:00"/>
  </r>
  <r>
    <x v="78"/>
    <d v="2026-09-18T00:00:00"/>
    <x v="31"/>
    <s v="VALENTIN JAVIER SUMANO HERNANDEZ"/>
    <s v="01715585822"/>
    <s v="SUHV550214HOCMRL08"/>
    <n v="2"/>
    <s v="33 3048 2843"/>
    <x v="1"/>
    <n v="3882.85"/>
    <m/>
    <n v="1164.855"/>
    <n v="0"/>
    <m/>
  </r>
  <r>
    <x v="78"/>
    <d v="2026-09-18T00:00:00"/>
    <x v="59"/>
    <s v="SAMUEL SAUCEDO HERRERA "/>
    <m/>
    <s v="SAHS580113HSLCRM06"/>
    <n v="24563472"/>
    <n v="5216941184201"/>
    <x v="1"/>
    <n v="4342.43"/>
    <m/>
    <n v="1302.729"/>
    <n v="169.45000000000073"/>
    <m/>
  </r>
  <r>
    <x v="78"/>
    <d v="2026-09-18T00:00:00"/>
    <x v="64"/>
    <s v="AGUSTIN MARTINEZ MARTINEZ"/>
    <n v="5372540481"/>
    <s v="MAMA540708HMNRRG03"/>
    <n v="24636372"/>
    <n v="3541051794"/>
    <x v="1"/>
    <n v="3882.85"/>
    <m/>
    <n v="1164.855"/>
    <n v="0"/>
    <m/>
  </r>
  <r>
    <x v="78"/>
    <d v="2026-09-18T00:00:00"/>
    <x v="59"/>
    <s v="LEONEL ALMANZA CISNEROS "/>
    <n v="33856641312"/>
    <m/>
    <n v="24636206"/>
    <n v="5216391749185"/>
    <x v="0"/>
    <n v="10636.54"/>
    <m/>
    <n v="3190.962"/>
    <n v="3190.962"/>
    <m/>
  </r>
  <r>
    <x v="78"/>
    <d v="2026-09-16T00:00:00"/>
    <x v="54"/>
    <s v="VICTOR FRANCISCO VILLAESCUSA CAZARES"/>
    <m/>
    <s v="VICV631124HSRLZC02"/>
    <n v="24506056"/>
    <n v="6623940209"/>
    <x v="0"/>
    <n v="11908.03"/>
    <n v="879"/>
    <n v="3572.4090000000001"/>
    <n v="2693.4090000000001"/>
    <m/>
  </r>
  <r>
    <x v="78"/>
    <d v="2026-09-18T00:00:00"/>
    <x v="28"/>
    <s v="PABLO URBANO MONTIEL HERNNADEZ"/>
    <s v="06766014085_x000a_"/>
    <s v="MOHP600525HDFNRB06"/>
    <n v="24639144"/>
    <n v="5215627609993"/>
    <x v="3"/>
    <n v="5617.63"/>
    <n v="579.23"/>
    <n v="1685.289"/>
    <n v="865.42000000000053"/>
    <d v="2027-04-01T00:00:00"/>
  </r>
  <r>
    <x v="78"/>
    <d v="2026-09-04T00:00:00"/>
    <x v="61"/>
    <s v="Maria de Jesús cruz cordero"/>
    <n v="23825918313"/>
    <s v="CUCJ640327MSLRRS04"/>
    <n v="24244148"/>
    <n v="5216961099390"/>
    <x v="2"/>
    <n v="9572.89"/>
    <n v="2871.66"/>
    <n v="2871.8669999999997"/>
    <n v="0.20699999999987995"/>
    <d v="2028-08-01T00:00:00"/>
  </r>
  <r>
    <x v="78"/>
    <d v="2026-09-18T00:00:00"/>
    <x v="64"/>
    <s v=" JESUS MANUEL BOHORQUEZ LUGO"/>
    <n v="23816124616"/>
    <s v="BOLJ610414HSLJGS08"/>
    <n v="24637882"/>
    <n v="6674265858"/>
    <x v="2"/>
    <n v="16605.13"/>
    <n v="4932.79"/>
    <n v="4981.5389999999998"/>
    <n v="48.748999999999796"/>
    <d v="2027-01-01T00:00:00"/>
  </r>
  <r>
    <x v="78"/>
    <d v="2026-09-17T00:00:00"/>
    <x v="13"/>
    <s v="HUMBERTO CANCHE HERRERA"/>
    <m/>
    <s v="CAHH530325HDFNRM00"/>
    <n v="24559782"/>
    <n v="5215523691453"/>
    <x v="1"/>
    <n v="4199.8"/>
    <n v="879"/>
    <n v="1259.94"/>
    <n v="-852.17999999999938"/>
    <m/>
  </r>
  <r>
    <x v="78"/>
    <d v="2026-09-17T00:00:00"/>
    <x v="51"/>
    <s v="DAVID MARES MARTÍNEZ "/>
    <n v="21846337968"/>
    <s v="MAMD631123HBCRRV01"/>
    <n v="24516326"/>
    <n v="5216861626024"/>
    <x v="2"/>
    <n v="9081.5300000000007"/>
    <n v="2626.96"/>
    <n v="2724.4590000000003"/>
    <n v="97.499000000000251"/>
    <d v="2027-07-01T00:00:00"/>
  </r>
  <r>
    <x v="78"/>
    <d v="2026-09-18T00:00:00"/>
    <x v="63"/>
    <s v="Lopez Ma Del Carmen "/>
    <n v="41896504085"/>
    <m/>
    <n v="24643024"/>
    <n v="6182599205"/>
    <x v="0"/>
    <n v="10636.54"/>
    <m/>
    <n v="3190.962"/>
    <n v="3190.962"/>
    <m/>
  </r>
  <r>
    <x v="78"/>
    <d v="2026-09-18T00:00:00"/>
    <x v="13"/>
    <s v="JAIME TRENADO PIÑA"/>
    <m/>
    <s v="TEPJ540211HGTRXM08"/>
    <n v="24637060"/>
    <n v="5215544544770"/>
    <x v="0"/>
    <n v="31455.54"/>
    <m/>
    <n v="9436.6620000000003"/>
    <n v="9436.6620000000003"/>
    <m/>
  </r>
  <r>
    <x v="78"/>
    <d v="2026-09-18T00:00:00"/>
    <x v="13"/>
    <s v="MARGARITA PALACIOS GOMEZ"/>
    <n v="64846805113"/>
    <s v="PAGM461222MDFLMR06"/>
    <n v="24640756"/>
    <n v="5215564213010"/>
    <x v="1"/>
    <n v="807.15"/>
    <m/>
    <n v="242.14499999999998"/>
    <n v="0"/>
    <m/>
  </r>
  <r>
    <x v="78"/>
    <d v="2026-09-18T00:00:00"/>
    <x v="13"/>
    <s v="ZITA HORTENCIA TRUJILLO CEDILLO"/>
    <m/>
    <s v="TUCZ550327MPLRDT04"/>
    <n v="24642312"/>
    <n v="5212381006887"/>
    <x v="2"/>
    <n v="6889.88"/>
    <n v="1992"/>
    <n v="2066.9639999999999"/>
    <n v="74.963999999999942"/>
    <d v="2027-04-01T00:00:00"/>
  </r>
  <r>
    <x v="78"/>
    <d v="2026-09-16T00:00:00"/>
    <x v="59"/>
    <s v="RENAN ALEJANDRO OSORIO NAVA "/>
    <s v="01776019299"/>
    <s v="OONR601128HDFSVN09"/>
    <n v="24496878"/>
    <n v="5215571942912"/>
    <x v="1"/>
    <n v="3137.31"/>
    <n v="879"/>
    <n v="941.19299999999998"/>
    <n v="-879"/>
    <m/>
  </r>
  <r>
    <x v="78"/>
    <d v="2026-09-18T00:00:00"/>
    <x v="31"/>
    <s v="JOSE LUIS CORTES PRECIADO"/>
    <s v="04856226230"/>
    <s v="COPL620901HJCRRS00"/>
    <n v="2"/>
    <n v="3330360282"/>
    <x v="2"/>
    <n v="9111.52"/>
    <n v="2753.43"/>
    <n v="2733.4560000000001"/>
    <n v="-19.973999999999705"/>
    <d v="2028-03-01T00:00:00"/>
  </r>
  <r>
    <x v="78"/>
    <d v="2026-09-18T00:00:00"/>
    <x v="59"/>
    <s v="TIRSO FEDERICO MEDINA URIARTE"/>
    <n v="23806423143"/>
    <s v="MEUT641228HSLDRR02"/>
    <n v="24643778"/>
    <n v="5216674286534"/>
    <x v="2"/>
    <n v="7920.51"/>
    <n v="2375.8200000000002"/>
    <n v="2376.1529999999998"/>
    <n v="0.33299999999962893"/>
    <d v="2028-05-01T00:00:00"/>
  </r>
  <r>
    <x v="78"/>
    <d v="2026-09-18T00:00:00"/>
    <x v="28"/>
    <s v="JOSE LUIS DZUL ITZA"/>
    <s v="82776200048_x000a_"/>
    <s v="DUIL610718HYNZTS04"/>
    <n v="24645006"/>
    <n v="5219981893267"/>
    <x v="2"/>
    <n v="8156.63"/>
    <n v="2446.9899999999998"/>
    <n v="2446.989"/>
    <n v="-9.9999999974897946E-4"/>
    <d v="2027-07-01T00:00:00"/>
  </r>
  <r>
    <x v="78"/>
    <d v="2026-09-18T00:00:00"/>
    <x v="13"/>
    <s v="DAVID HERNANDEZ FIGUEROA"/>
    <m/>
    <s v="HEFD660307HCLRGV07"/>
    <n v="24583688"/>
    <n v="5218771925967"/>
    <x v="0"/>
    <n v="13095.44"/>
    <m/>
    <n v="3928.6320000000001"/>
    <n v="3928.6320000000001"/>
    <m/>
  </r>
  <r>
    <x v="78"/>
    <d v="2026-09-18T00:00:00"/>
    <x v="28"/>
    <s v="FABIOLA ROSARIO PEREZ BECERRA"/>
    <s v="74927610381_x000a_"/>
    <s v="PEBF771110MJCRCB09"/>
    <n v="24642240"/>
    <n v="5213329469233"/>
    <x v="9"/>
    <n v="4332.32"/>
    <n v="671.85"/>
    <n v="1299.6959999999999"/>
    <n v="-512.50999999999988"/>
    <d v="2024-03-01T00:00:00"/>
  </r>
  <r>
    <x v="78"/>
    <d v="2026-09-18T00:00:00"/>
    <x v="28"/>
    <s v="DENNIS ARMANDO CALDERON ZELAYA"/>
    <m/>
    <s v="CAZD590205HNELLN00"/>
    <n v="24645494"/>
    <n v="5218183961245"/>
    <x v="0"/>
    <n v="47125"/>
    <m/>
    <n v="14137.5"/>
    <n v="14137.5"/>
    <m/>
  </r>
  <r>
    <x v="78"/>
    <d v="2026-09-18T00:00:00"/>
    <x v="59"/>
    <s v="ALFREDO ORTIZ MAGALLANES"/>
    <m/>
    <s v="OIMA570208HCHRGL08"/>
    <n v="24638484"/>
    <n v="5216561314354"/>
    <x v="0"/>
    <n v="42234.79"/>
    <m/>
    <n v="12670.437"/>
    <n v="12670.437"/>
    <m/>
  </r>
  <r>
    <x v="79"/>
    <d v="2026-09-18T00:00:00"/>
    <x v="28"/>
    <s v="ROSARIO BRIGIDA SALDIVAR SOLIS"/>
    <s v="33846848308"/>
    <s v="SASR681008MCHLLS04"/>
    <n v="24647114"/>
    <n v="5216142136285"/>
    <x v="2"/>
    <n v="5332.33"/>
    <n v="1118"/>
    <n v="1599.6989999999998"/>
    <n v="41.350000000000364"/>
    <d v="2027-04-01T00:00:00"/>
  </r>
  <r>
    <x v="79"/>
    <d v="2026-09-19T00:00:00"/>
    <x v="58"/>
    <s v="ROLANDO RODRIGUEZ ESTRADA"/>
    <n v="49846522560"/>
    <s v="ROER650705HTSDSL02"/>
    <n v="4"/>
    <n v="8683037914"/>
    <x v="2"/>
    <n v="9760.32"/>
    <n v="2813.7"/>
    <n v="2928.096"/>
    <n v="114.39600000000019"/>
    <d v="2027-10-01T00:00:00"/>
  </r>
  <r>
    <x v="79"/>
    <d v="2026-09-19T00:00:00"/>
    <x v="6"/>
    <s v="RAMON MARTINEZ FRANCO "/>
    <m/>
    <s v="MAFR650411HMCRRM02"/>
    <n v="24658322"/>
    <n v="5217291103767"/>
    <x v="4"/>
    <m/>
    <m/>
    <n v="0"/>
    <n v="0"/>
    <m/>
  </r>
  <r>
    <x v="79"/>
    <d v="2026-09-19T00:00:00"/>
    <x v="31"/>
    <s v="JUAN DE DIOS MENDEZ JIMENEZ"/>
    <n v="64866413780"/>
    <s v="MEJJ640308HDFNMN07"/>
    <n v="2"/>
    <n v="5566677678"/>
    <x v="2"/>
    <n v="9081.52"/>
    <n v="2624.39"/>
    <n v="2724.4560000000001"/>
    <n v="100.06600000000026"/>
    <d v="2027-02-01T00:00:00"/>
  </r>
  <r>
    <x v="79"/>
    <d v="2026-09-17T00:00:00"/>
    <x v="13"/>
    <s v="MIGUEL ANGEL RAUL PECH AVILEZ"/>
    <n v="82806304133"/>
    <s v="PEAM650925HQRCVG02"/>
    <n v="24649886"/>
    <n v="5212228439060"/>
    <x v="0"/>
    <n v="9760.32"/>
    <m/>
    <n v="2928.096"/>
    <n v="2928.096"/>
    <m/>
  </r>
  <r>
    <x v="79"/>
    <d v="2026-09-14T00:00:00"/>
    <x v="59"/>
    <s v="JORGE HUGO MEZA IÑIGUEZ"/>
    <m/>
    <s v="MEIJ610423HSPZXR00"/>
    <n v="24458092"/>
    <n v="5214445893199"/>
    <x v="2"/>
    <n v="7116.73"/>
    <n v="2053.3200000000002"/>
    <n v="2135.0189999999998"/>
    <n v="81.698999999999614"/>
    <d v="2027-08-01T00:00:00"/>
  </r>
  <r>
    <x v="79"/>
    <d v="2026-09-14T00:00:00"/>
    <x v="6"/>
    <s v="CARLOS ALBERTO INTERIAN BE "/>
    <s v="82806301543_x000a_"/>
    <s v="IEBC641114HYNNXR03"/>
    <n v="24447812"/>
    <n v="5219844345912"/>
    <x v="0"/>
    <n v="21419.040000000001"/>
    <n v="879"/>
    <n v="6425.7120000000004"/>
    <n v="5546.7120000000004"/>
    <m/>
  </r>
  <r>
    <x v="79"/>
    <d v="2026-09-18T00:00:00"/>
    <x v="13"/>
    <s v="FRANCISCO HERNANDEZ"/>
    <m/>
    <s v="HEXF580220HDFRXR04"/>
    <n v="24643228"/>
    <n v="5215543730520"/>
    <x v="0"/>
    <n v="29188.38"/>
    <n v="4775.8599999999997"/>
    <n v="8756.5139999999992"/>
    <n v="3980.6539999999995"/>
    <d v="2028-03-01T00:00:00"/>
  </r>
  <r>
    <x v="79"/>
    <d v="2026-09-19T00:00:00"/>
    <x v="59"/>
    <s v="ARTURO VELA QUINTANAR "/>
    <m/>
    <s v="VEQA630522HDFLNR00"/>
    <n v="24652330"/>
    <n v="5215528508604"/>
    <x v="0"/>
    <n v="9760.32"/>
    <m/>
    <n v="2928.096"/>
    <n v="2928.096"/>
    <m/>
  </r>
  <r>
    <x v="79"/>
    <d v="2026-09-19T00:00:00"/>
    <x v="28"/>
    <s v="BEATRIZ AMALIA TOVAR RAMIREZ"/>
    <m/>
    <s v="TORB650818MNLVMT02"/>
    <n v="24646242"/>
    <n v="5218128612039"/>
    <x v="3"/>
    <n v="28013.52"/>
    <n v="8104"/>
    <n v="8404.0560000000005"/>
    <n v="300.05600000000049"/>
    <d v="2028-01-01T00:00:00"/>
  </r>
  <r>
    <x v="79"/>
    <d v="2026-09-15T00:00:00"/>
    <x v="6"/>
    <s v="VICTOR MANUEL LOAEZA HERNANDEZ "/>
    <m/>
    <s v="LOHV580309HGRZRC03"/>
    <n v="24494990"/>
    <n v="18566736205"/>
    <x v="9"/>
    <n v="4981.78"/>
    <n v="746.77"/>
    <n v="1494.5339999999999"/>
    <n v="62.0300000000002"/>
    <d v="2026-09-01T00:00:00"/>
  </r>
  <r>
    <x v="79"/>
    <d v="2026-09-19T00:00:00"/>
    <x v="31"/>
    <s v="SILVIA PAZ MARQUEZ"/>
    <n v="52846509983"/>
    <s v="PAMS650405MCMZRL00"/>
    <n v="2"/>
    <n v="3131201818"/>
    <x v="3"/>
    <n v="40528.559999999998"/>
    <n v="11724.56"/>
    <n v="12158.567999999999"/>
    <n v="434.00799999999981"/>
    <d v="2028-01-01T00:00:00"/>
  </r>
  <r>
    <x v="79"/>
    <d v="2026-09-18T00:00:00"/>
    <x v="28"/>
    <s v="LAURO BUSTAMANTE RUBIO"/>
    <m/>
    <s v="BURL521030HMNSBR03"/>
    <n v="24645856"/>
    <n v="5215545141722"/>
    <x v="7"/>
    <n v="4604.68"/>
    <n v="380"/>
    <n v="1381.404"/>
    <n v="51.700000000000728"/>
    <d v="2025-07-01T00:00:00"/>
  </r>
  <r>
    <x v="79"/>
    <d v="2026-09-19T00:00:00"/>
    <x v="6"/>
    <s v="ROMAN ACOSTA CHAN"/>
    <m/>
    <s v="AOCR591129HYNCHM09"/>
    <n v="24660712"/>
    <n v="5219994099040"/>
    <x v="9"/>
    <n v="24733.74"/>
    <n v="6479.56"/>
    <n v="7420.1220000000003"/>
    <n v="940.5619999999999"/>
    <d v="2026-09-01T00:00:00"/>
  </r>
  <r>
    <x v="79"/>
    <d v="2026-09-18T00:00:00"/>
    <x v="13"/>
    <m/>
    <n v="56886729385"/>
    <m/>
    <n v="24646198"/>
    <n v="5213324070149"/>
    <x v="9"/>
    <n v="5819.95"/>
    <n v="1523.56"/>
    <n v="1745.9849999999999"/>
    <n v="123.41000000000031"/>
    <d v="2026-08-01T00:00:00"/>
  </r>
  <r>
    <x v="79"/>
    <d v="2026-09-19T00:00:00"/>
    <x v="28"/>
    <s v="LEONARDO CIME CIME"/>
    <m/>
    <s v="CICL640411HYNMMN06"/>
    <n v="24660976"/>
    <n v="5219992169431"/>
    <x v="2"/>
    <n v="9081.52"/>
    <n v="2723.76"/>
    <n v="2724.4560000000001"/>
    <n v="0.69599999999991269"/>
    <d v="2026-10-01T00:00:00"/>
  </r>
  <r>
    <x v="79"/>
    <d v="2026-09-19T00:00:00"/>
    <x v="28"/>
    <s v="JUAN MADRID ESCOBEDO"/>
    <m/>
    <s v="MAEJ641130HDGDSN03"/>
    <n v="24660770"/>
    <n v="5218713637555"/>
    <x v="0"/>
    <n v="9760.3700000000008"/>
    <m/>
    <n v="2928.1110000000003"/>
    <n v="2928.1110000000003"/>
    <m/>
  </r>
  <r>
    <x v="79"/>
    <d v="2026-09-17T00:00:00"/>
    <x v="28"/>
    <s v="ISABEL HERNANDEZ HERNANDEZ"/>
    <m/>
    <s v="HEHI570708HNLRRS02"/>
    <n v="24562668"/>
    <n v="5218123293238"/>
    <x v="6"/>
    <n v="47214.66"/>
    <n v="12765.19"/>
    <n v="14164.398000000001"/>
    <n v="1399.2080000000005"/>
    <d v="2026-08-01T00:00:00"/>
  </r>
  <r>
    <x v="79"/>
    <d v="2026-09-19T00:00:00"/>
    <x v="13"/>
    <s v="ESTHER ARGELIA FIGUEROA ACOSTA"/>
    <n v="82877203644"/>
    <s v="FIAE741126MYNGCS03"/>
    <n v="24659740"/>
    <n v="5219983032059"/>
    <x v="2"/>
    <n v="5055.87"/>
    <n v="1300"/>
    <n v="1516.761"/>
    <n v="-417.10999999999967"/>
    <d v="2028-07-01T00:00:00"/>
  </r>
  <r>
    <x v="79"/>
    <d v="2026-09-19T00:00:00"/>
    <x v="13"/>
    <s v="FELIPE CASTRO VARAS "/>
    <m/>
    <s v="CAVF610205HMCSRL01"/>
    <n v="24659888"/>
    <n v="5215669528935"/>
    <x v="6"/>
    <n v="6262.86"/>
    <n v="1539.17"/>
    <n v="1878.8579999999997"/>
    <n v="339.68799999999965"/>
    <d v="2024-10-01T00:00:00"/>
  </r>
  <r>
    <x v="79"/>
    <d v="2026-09-19T00:00:00"/>
    <x v="6"/>
    <s v="JUAN ISABEL GUERRERO ARMENTA"/>
    <n v="32745432180"/>
    <s v="GUAJ590708HSPRRN08"/>
    <n v="24660812"/>
    <n v="5214443018610"/>
    <x v="2"/>
    <n v="5770.32"/>
    <n v="1668.26"/>
    <n v="1731.0959999999998"/>
    <n v="-70.919999999999845"/>
    <d v="2027-09-01T00:00:00"/>
  </r>
  <r>
    <x v="79"/>
    <d v="2026-09-19T00:00:00"/>
    <x v="59"/>
    <s v="JOSE ZAVALA MENDOZA "/>
    <m/>
    <s v="ZAMJ440810HMNVNS02"/>
    <n v="24659478"/>
    <n v="5214381179859"/>
    <x v="7"/>
    <n v="8190.07"/>
    <n v="2369.58"/>
    <n v="2457.0209999999997"/>
    <n v="87.440999999999804"/>
    <d v="2026-04-01T00:00:00"/>
  </r>
  <r>
    <x v="79"/>
    <d v="2026-09-19T00:00:00"/>
    <x v="6"/>
    <s v="FRANCISCO JAVIER CERVANTES BARQUERA "/>
    <s v="0678607923"/>
    <s v="CEBF601130HDFRRR05"/>
    <n v="24662274"/>
    <n v="5212294640698"/>
    <x v="2"/>
    <n v="8939.7900000000009"/>
    <n v="2525.15"/>
    <n v="2681.9370000000004"/>
    <n v="156.78700000000026"/>
    <d v="2027-03-01T00:00:00"/>
  </r>
  <r>
    <x v="79"/>
    <d v="2026-09-19T00:00:00"/>
    <x v="28"/>
    <s v="OSCAR VALDEZ ESPINOSA"/>
    <s v="52816209184"/>
    <s v="VAEO621117HCMLSS09"/>
    <n v="24662622"/>
    <n v="5213121457442"/>
    <x v="2"/>
    <n v="10636.54"/>
    <n v="3189.2"/>
    <n v="3190.962"/>
    <n v="1.762000000000171"/>
    <d v="2028-04-01T00:00:00"/>
  </r>
  <r>
    <x v="79"/>
    <d v="2026-09-19T00:00:00"/>
    <x v="59"/>
    <s v="RAFAEL JIMENEZ DOMINGUEZ"/>
    <m/>
    <s v="JIDR600520HTCMMF04"/>
    <n v="24662326"/>
    <n v="5219371707707"/>
    <x v="0"/>
    <n v="5617.63"/>
    <m/>
    <n v="1685.289"/>
    <n v="1444.6500000000005"/>
    <m/>
  </r>
  <r>
    <x v="79"/>
    <d v="2026-09-19T00:00:00"/>
    <x v="6"/>
    <s v="ERASMO RODRIGUEZ VAQUERA"/>
    <m/>
    <s v="ROVE610817HTSDQR04"/>
    <n v="24663178"/>
    <n v="5218677279347"/>
    <x v="0"/>
    <n v="7116.7330000000002"/>
    <m/>
    <n v="2135.0198999999998"/>
    <n v="2135.0198999999998"/>
    <m/>
  </r>
  <r>
    <x v="79"/>
    <d v="2026-09-19T00:00:00"/>
    <x v="59"/>
    <s v="JOSE EDUARDO BORQUEZ PUEBLA "/>
    <m/>
    <s v="BOPE580327HSRRBD01"/>
    <n v="24663452"/>
    <n v="5216621286508"/>
    <x v="6"/>
    <n v="5729.6900000000005"/>
    <n v="1276.48"/>
    <n v="1718.9070000000002"/>
    <n v="280.23000000000093"/>
    <d v="2024-09-01T00:00:00"/>
  </r>
  <r>
    <x v="79"/>
    <d v="2026-09-19T00:00:00"/>
    <x v="6"/>
    <s v="RAUL TORRES RODRIGUEZ "/>
    <m/>
    <s v="TORR511028HCLRDL09"/>
    <n v="24652208"/>
    <n v="5218715711384"/>
    <x v="1"/>
    <n v="3879.3"/>
    <n v="848"/>
    <n v="1163.79"/>
    <n v="-848"/>
    <m/>
  </r>
  <r>
    <x v="79"/>
    <d v="2026-09-19T00:00:00"/>
    <x v="6"/>
    <s v="ANTONIO CASAMENI CRUZ"/>
    <m/>
    <s v="CXCA600130HTSSRN03"/>
    <n v="24663042"/>
    <n v="5217891004992"/>
    <x v="0"/>
    <n v="24929.67"/>
    <m/>
    <n v="7478.9009999999989"/>
    <n v="7478.9009999999989"/>
    <m/>
  </r>
  <r>
    <x v="79"/>
    <d v="2026-09-19T00:00:00"/>
    <x v="51"/>
    <s v="YOLANDA AVILA RODRIGUEZ"/>
    <n v="31846624265"/>
    <s v="AIRY710228MDGVDL08"/>
    <n v="24663940"/>
    <n v="5216182161770"/>
    <x v="2"/>
    <n v="9926.1200000000008"/>
    <n v="2977.14"/>
    <n v="2977.8360000000002"/>
    <n v="0.69600000000036744"/>
    <d v="2028-06-01T00:00:00"/>
  </r>
  <r>
    <x v="79"/>
    <d v="2026-09-17T00:00:00"/>
    <x v="13"/>
    <s v="RUBEN CANALES BAÑUELOS"/>
    <n v="3376593308"/>
    <s v="CABR590630HCHNXB09"/>
    <n v="24560966"/>
    <n v="5216141760640"/>
    <x v="0"/>
    <n v="25812.14"/>
    <n v="1191.3699999999999"/>
    <n v="7743.6419999999998"/>
    <n v="6552.2719999999999"/>
    <d v="2028-06-01T00:00:00"/>
  </r>
  <r>
    <x v="79"/>
    <d v="2026-09-18T00:00:00"/>
    <x v="28"/>
    <s v="ROLANDO GARCIA MARTINEZ"/>
    <m/>
    <s v="GAMR520425HYNRRL01"/>
    <n v="24648992"/>
    <n v="5219993940010"/>
    <x v="0"/>
    <n v="7343.52"/>
    <m/>
    <n v="2203.056"/>
    <n v="2203.056"/>
    <m/>
  </r>
  <r>
    <x v="79"/>
    <d v="2026-09-19T00:00:00"/>
    <x v="51"/>
    <s v="ARACELI LEIVA HERNANDEZ"/>
    <m/>
    <s v="LEHA620615MJCVRR04"/>
    <n v="24664610"/>
    <n v="5213310205764"/>
    <x v="0"/>
    <n v="19788.03"/>
    <n v="848"/>
    <n v="5936.4089999999997"/>
    <n v="5088.4089999999997"/>
    <m/>
  </r>
  <r>
    <x v="79"/>
    <d v="2026-09-17T00:00:00"/>
    <x v="13"/>
    <s v="TRINIDAD AMAYA JIMENEZ"/>
    <m/>
    <s v="AAJT610521HSRMMR06"/>
    <n v="24561580"/>
    <n v="5216622247571"/>
    <x v="6"/>
    <n v="7920.51"/>
    <n v="2101.11"/>
    <n v="2376.1529999999998"/>
    <n v="275.04299999999967"/>
    <d v="2025-11-01T00:00:00"/>
  </r>
  <r>
    <x v="79"/>
    <d v="2026-09-19T00:00:00"/>
    <x v="13"/>
    <s v="LUIS MANUEL CASTRO FRANCO"/>
    <n v="32877005515"/>
    <s v="CAFL710216HCLSRS02"/>
    <n v="24660426"/>
    <n v="5218711145390"/>
    <x v="2"/>
    <n v="8181.5499999999993"/>
    <n v="2206.65"/>
    <n v="2454.4649999999997"/>
    <n v="247.8149999999996"/>
    <d v="2028-06-01T00:00:00"/>
  </r>
  <r>
    <x v="79"/>
    <d v="2026-09-19T00:00:00"/>
    <x v="13"/>
    <s v="LORENZO MERAZ MESTA"/>
    <n v="31846205537"/>
    <s v="MEML620905HDGRSR02"/>
    <n v="24663518"/>
    <n v="5218714656322"/>
    <x v="6"/>
    <n v="13092.66"/>
    <n v="3634.9300000000003"/>
    <n v="3927.7979999999998"/>
    <n v="292.86799999999948"/>
    <d v="2026-03-01T00:00:00"/>
  </r>
  <r>
    <x v="79"/>
    <d v="2026-09-19T00:00:00"/>
    <x v="51"/>
    <s v="EUSTACIO MILLAN AGUILAR"/>
    <m/>
    <s v="MIAE530329HMSLGS05"/>
    <n v="24664568"/>
    <n v="5217352465702"/>
    <x v="1"/>
    <n v="4177.1499999999996"/>
    <m/>
    <n v="1253.1449999999998"/>
    <n v="4.1700000000000728"/>
    <m/>
  </r>
  <r>
    <x v="79"/>
    <d v="2026-09-19T00:00:00"/>
    <x v="28"/>
    <s v="LORENZO MARTINEZ"/>
    <s v="41856005545"/>
    <s v=" MAXL600811HSPRXR09"/>
    <n v="24664102"/>
    <n v="5214443106209"/>
    <x v="1"/>
    <n v="1038.8499999999999"/>
    <m/>
    <n v="311.65499999999997"/>
    <n v="0"/>
    <m/>
  </r>
  <r>
    <x v="79"/>
    <d v="2026-09-19T00:00:00"/>
    <x v="13"/>
    <s v="LUIS HUMBERTO LUJAN TORRES "/>
    <n v="54845607990"/>
    <s v="LUTL561113HZSJRS06"/>
    <n v="24664864"/>
    <n v="5213334961522"/>
    <x v="1"/>
    <n v="3961.31"/>
    <m/>
    <n v="1188.393"/>
    <n v="0"/>
    <m/>
  </r>
  <r>
    <x v="79"/>
    <d v="2026-09-16T00:00:00"/>
    <x v="59"/>
    <s v="J. JESUS FLORES MORENO"/>
    <n v="49825824367"/>
    <s v="FOMJ581002HMNLRS02"/>
    <n v="24498862"/>
    <n v="5213541130527"/>
    <x v="7"/>
    <n v="4342.43"/>
    <n v="371.76"/>
    <n v="1302.729"/>
    <n v="-202.30999999999926"/>
    <d v="2024-02-01T00:00:00"/>
  </r>
  <r>
    <x v="79"/>
    <d v="2026-09-19T00:00:00"/>
    <x v="51"/>
    <s v="JOSE JULIO VELÁZQUEZ SÁNCHEZ "/>
    <n v="15816302994"/>
    <s v="VESJ630730HMSLNL03"/>
    <n v="24664164"/>
    <n v="5217772360417"/>
    <x v="2"/>
    <n v="9081.49"/>
    <n v="2627.26"/>
    <n v="2724.4469999999997"/>
    <n v="97.186999999999443"/>
    <d v="2027-06-01T00:00:00"/>
  </r>
  <r>
    <x v="80"/>
    <d v="2026-09-19T00:00:00"/>
    <x v="64"/>
    <s v="MARIA GRISELDA MARISCAL"/>
    <s v="02197589761"/>
    <s v="MAGG750201MJCRZR05"/>
    <n v="24667930"/>
    <n v="3315138388"/>
    <x v="5"/>
    <m/>
    <m/>
    <n v="0"/>
    <n v="0"/>
    <m/>
  </r>
  <r>
    <x v="80"/>
    <d v="2026-09-19T00:00:00"/>
    <x v="65"/>
    <s v="MARCELINO_x0009_ORTIZ CORTES"/>
    <m/>
    <s v="OICM640528HVZRRR07"/>
    <n v="24668264"/>
    <n v="6624281422"/>
    <x v="0"/>
    <n v="10171.24"/>
    <n v="1500"/>
    <n v="3051.3719999999998"/>
    <n v="1551.3719999999998"/>
    <d v="2027-09-01T00:00:00"/>
  </r>
  <r>
    <x v="80"/>
    <d v="2026-09-20T00:00:00"/>
    <x v="62"/>
    <s v="FRANCO PANTALEON AMBROSIO"/>
    <n v="67877171446"/>
    <s v="PAAF701217HVZNMR09"/>
    <n v="24671442"/>
    <n v="9241505122"/>
    <x v="0"/>
    <n v="7718.73"/>
    <m/>
    <n v="2315.6189999999997"/>
    <n v="2315.6189999999997"/>
    <m/>
  </r>
  <r>
    <x v="80"/>
    <d v="2026-09-17T00:00:00"/>
    <x v="65"/>
    <s v="IVONNE MATILDE CARRILLO HERNANDEZ"/>
    <n v="33917144124"/>
    <m/>
    <n v="24542512"/>
    <n v="6561217975"/>
    <x v="1"/>
    <n v="3437.04"/>
    <m/>
    <n v="1031.1119999999999"/>
    <n v="0"/>
    <m/>
  </r>
  <r>
    <x v="80"/>
    <d v="2026-09-20T00:00:00"/>
    <x v="64"/>
    <s v="JOSE EDUARDO ESCOBEDO TENA"/>
    <m/>
    <s v="EOTE981204HJCSND06"/>
    <n v="24673554"/>
    <n v="3314251640"/>
    <x v="5"/>
    <m/>
    <m/>
    <n v="0"/>
    <n v="0"/>
    <m/>
  </r>
  <r>
    <x v="80"/>
    <d v="2026-09-06T00:00:00"/>
    <x v="54"/>
    <s v="RAUL ALBERTO IBARRA BUENO"/>
    <m/>
    <s v="IABR640709HNTBNL09  "/>
    <n v="24285568"/>
    <n v="3222378254"/>
    <x v="0"/>
    <n v="11029.03"/>
    <m/>
    <n v="3308.7090000000003"/>
    <n v="3308.7090000000003"/>
    <m/>
  </r>
  <r>
    <x v="80"/>
    <d v="2026-09-20T00:00:00"/>
    <x v="63"/>
    <s v="Humberto hinojosa lopez"/>
    <s v="56735200414"/>
    <m/>
    <n v="24672120"/>
    <n v="3231051540"/>
    <x v="1"/>
    <n v="4199.87"/>
    <m/>
    <n v="1259.961"/>
    <n v="26.890000000000327"/>
    <m/>
  </r>
  <r>
    <x v="80"/>
    <d v="2026-09-20T00:00:00"/>
    <x v="65"/>
    <s v="SILVIA DE LA CRUZ CAMACHO"/>
    <n v="24896958766"/>
    <s v="CUCS740725MJCRML06"/>
    <n v="24672808"/>
    <s v="33 2848 9614"/>
    <x v="1"/>
    <n v="3565.2"/>
    <m/>
    <n v="1069.56"/>
    <n v="0"/>
    <m/>
  </r>
  <r>
    <x v="80"/>
    <d v="2026-09-20T00:00:00"/>
    <x v="64"/>
    <s v="JANETT ZAMBRANO BARROSO"/>
    <m/>
    <s v="ZABJ770128MGTMRN00"/>
    <n v="24674862"/>
    <n v="4423715901"/>
    <x v="5"/>
    <m/>
    <m/>
    <n v="0"/>
    <n v="0"/>
    <m/>
  </r>
  <r>
    <x v="80"/>
    <d v="2026-09-20T00:00:00"/>
    <x v="65"/>
    <m/>
    <n v="42806024586"/>
    <m/>
    <n v="24672388"/>
    <n v="5512696370"/>
    <x v="0"/>
    <n v="6262.86"/>
    <m/>
    <n v="1878.8579999999997"/>
    <n v="1878.8579999999997"/>
    <m/>
  </r>
  <r>
    <x v="80"/>
    <d v="2026-09-20T00:00:00"/>
    <x v="62"/>
    <s v="JESUS RIOS MIRANDA "/>
    <m/>
    <s v="RIMJ641207HMCSRS04"/>
    <n v="24677006"/>
    <n v="7227821687"/>
    <x v="2"/>
    <n v="10171.24"/>
    <n v="2941.93"/>
    <n v="3051.3719999999998"/>
    <n v="109.44200000000001"/>
    <d v="2027-06-01T00:00:00"/>
  </r>
  <r>
    <x v="80"/>
    <d v="2026-09-18T00:00:00"/>
    <x v="62"/>
    <s v="MARIA DEL ROCIO VILLEDA GARCIA"/>
    <m/>
    <s v="VIGR590610MMCLRC04"/>
    <n v="24638680"/>
    <n v="5644639872"/>
    <x v="5"/>
    <m/>
    <m/>
    <n v="0"/>
    <n v="0"/>
    <m/>
  </r>
  <r>
    <x v="80"/>
    <d v="2026-09-20T00:00:00"/>
    <x v="64"/>
    <s v="SIMON MANZANO GARCIA"/>
    <n v="6745317609"/>
    <m/>
    <n v="24672012"/>
    <n v="5577885662"/>
    <x v="5"/>
    <m/>
    <m/>
    <n v="0"/>
    <n v="0"/>
    <m/>
  </r>
  <r>
    <x v="80"/>
    <d v="2026-09-19T00:00:00"/>
    <x v="62"/>
    <s v="MARÍA GUADALUPE BARAJAS GARZA"/>
    <s v="65805608679"/>
    <m/>
    <n v="24666636"/>
    <n v="8991221685"/>
    <x v="2"/>
    <n v="5636.5900000000011"/>
    <n v="1690.06"/>
    <n v="1690.9770000000003"/>
    <n v="-226.44999999999845"/>
    <d v="2028-09-01T00:00:00"/>
  </r>
  <r>
    <x v="80"/>
    <d v="2026-09-20T00:00:00"/>
    <x v="63"/>
    <m/>
    <n v="90906301305"/>
    <m/>
    <n v="24371186"/>
    <n v="5551027521"/>
    <x v="5"/>
    <m/>
    <m/>
    <n v="0"/>
    <n v="0"/>
    <m/>
  </r>
  <r>
    <x v="81"/>
    <d v="2026-09-21T00:00:00"/>
    <x v="31"/>
    <s v="COSME BUENAVENTURA GUADARRAMA"/>
    <n v="16876227949"/>
    <s v="BUGC620219HMCNDS00"/>
    <n v="2"/>
    <n v="7207920843"/>
    <x v="2"/>
    <n v="7116.73"/>
    <n v="2059.04"/>
    <n v="2135.0189999999998"/>
    <n v="75.978999999999814"/>
    <d v="2027-05-01T00:00:00"/>
  </r>
  <r>
    <x v="81"/>
    <d v="2026-09-21T00:00:00"/>
    <x v="31"/>
    <s v="ROLANDO ZAMBRANO GALVAN"/>
    <n v="32816714409"/>
    <s v="ZAGR670719HCLMLL00"/>
    <n v="2"/>
    <n v="8110392028"/>
    <x v="2"/>
    <n v="6086.57"/>
    <n v="1825.97"/>
    <n v="1825.9709999999998"/>
    <n v="9.9999999974897946E-4"/>
    <d v="2027-06-01T00:00:00"/>
  </r>
  <r>
    <x v="81"/>
    <d v="2026-09-20T00:00:00"/>
    <x v="65"/>
    <s v="JOSE ROBERTO MAZARIEGOS"/>
    <m/>
    <s v="MAMR831011HCSZRB01"/>
    <n v="24684614"/>
    <n v="9611896561"/>
    <x v="5"/>
    <m/>
    <m/>
    <n v="0"/>
    <n v="0"/>
    <m/>
  </r>
  <r>
    <x v="81"/>
    <d v="2026-09-21T00:00:00"/>
    <x v="31"/>
    <s v="OSCAR PRIETO  ARROYO"/>
    <s v="06846610464"/>
    <s v="PIAO660117HDFRRS09"/>
    <n v="2"/>
    <n v="5567835339"/>
    <x v="2"/>
    <n v="10636.54"/>
    <n v="3143.79"/>
    <n v="3190.962"/>
    <n v="47.172000000000025"/>
    <d v="2028-04-01T00:00:00"/>
  </r>
  <r>
    <x v="81"/>
    <d v="2026-09-19T00:00:00"/>
    <x v="28"/>
    <s v="REMEDIOS CERAS RENDON"/>
    <s v="01806216535_x000a_"/>
    <s v="CERR651109MMCRNM05"/>
    <n v="24664544"/>
    <n v="5215540706530"/>
    <x v="4"/>
    <m/>
    <m/>
    <n v="0"/>
    <n v="0"/>
    <m/>
  </r>
  <r>
    <x v="81"/>
    <d v="2026-09-21T00:00:00"/>
    <x v="6"/>
    <s v="MARIA DE LOS ANGELES SOSA GONZALEZ "/>
    <s v="61866203369_x000a_"/>
    <s v="SOGA620802MTLSNN11"/>
    <n v="24691226"/>
    <n v="5212411950227"/>
    <x v="2"/>
    <n v="7116.73"/>
    <n v="2131.6999999999998"/>
    <n v="2135.0189999999998"/>
    <n v="3.31899999999996"/>
    <d v="2027-12-01T00:00:00"/>
  </r>
  <r>
    <x v="81"/>
    <d v="2026-09-21T00:00:00"/>
    <x v="6"/>
    <s v="ROSA MARIA HINOJOSA DOMINGUEZ "/>
    <m/>
    <s v="HIDR520901MDFNMS09"/>
    <n v="24688502"/>
    <n v="5215561052216"/>
    <x v="0"/>
    <n v="39336.11"/>
    <m/>
    <n v="11800.833000000001"/>
    <n v="11800.833000000001"/>
    <m/>
  </r>
  <r>
    <x v="81"/>
    <d v="2026-09-21T00:00:00"/>
    <x v="31"/>
    <s v="RAUL CARMONA MARTINEZ"/>
    <n v="90876500811"/>
    <s v="CAMR651207HDFRRL04"/>
    <n v="2"/>
    <s v="56 3657 4764"/>
    <x v="2"/>
    <n v="6140.16"/>
    <n v="1840.02"/>
    <n v="1842.0479999999998"/>
    <n v="2.0279999999997926"/>
    <d v="2027-05-01T00:00:00"/>
  </r>
  <r>
    <x v="81"/>
    <d v="2026-09-20T00:00:00"/>
    <x v="28"/>
    <s v="SERGIO HURTADO RAMIREZ"/>
    <m/>
    <s v="HURS580921HMNRMR02"/>
    <n v="24685306"/>
    <n v="5216642287966"/>
    <x v="2"/>
    <n v="6901.5"/>
    <n v="1979.21"/>
    <n v="2070.4499999999998"/>
    <n v="91.239999999999782"/>
    <d v="2028-01-01T00:00:00"/>
  </r>
  <r>
    <x v="81"/>
    <d v="2026-09-10T00:00:00"/>
    <x v="59"/>
    <s v="PORFIRIO CERVANTES HERNANDEZ"/>
    <m/>
    <s v="CEHP600922HNLRRR04"/>
    <n v="24373284"/>
    <n v="5218134752896"/>
    <x v="2"/>
    <n v="6460.1399999999994"/>
    <n v="1791.2"/>
    <n v="1938.0419999999997"/>
    <n v="146.84199999999964"/>
    <d v="2026-11-01T00:00:00"/>
  </r>
  <r>
    <x v="81"/>
    <d v="2026-09-21T00:00:00"/>
    <x v="63"/>
    <s v="Manuel de Jesús franco flores"/>
    <n v="24776023517"/>
    <m/>
    <n v="24669270"/>
    <n v="6442554486"/>
    <x v="2"/>
    <n v="5776.61"/>
    <n v="1603"/>
    <n v="1732.9829999999999"/>
    <n v="0.63000000000010914"/>
    <d v="2028-04-01T00:00:00"/>
  </r>
  <r>
    <x v="81"/>
    <d v="2026-09-21T00:00:00"/>
    <x v="13"/>
    <s v="JOSE RAUL MOLINA CAMPOS"/>
    <n v="6790715679"/>
    <s v="MOCR720915HVZLML07"/>
    <n v="24690894"/>
    <n v="5219211490628"/>
    <x v="2"/>
    <n v="8181.55"/>
    <n v="2447.02"/>
    <n v="2454.4650000000001"/>
    <n v="7.4450000000001637"/>
    <d v="2028-08-01T00:00:00"/>
  </r>
  <r>
    <x v="81"/>
    <d v="2026-09-21T00:00:00"/>
    <x v="59"/>
    <s v="JUAN MANUEL MARTINEZ CHARLES"/>
    <s v="32947228352"/>
    <s v="MACJ720407HCLRHN03"/>
    <n v="24691464"/>
    <n v="5218661076024"/>
    <x v="2"/>
    <n v="6379.06"/>
    <n v="1709.32"/>
    <n v="1913.7180000000001"/>
    <n v="204.39800000000014"/>
    <d v="2028-01-01T00:00:00"/>
  </r>
  <r>
    <x v="81"/>
    <d v="2026-09-09T00:00:00"/>
    <x v="28"/>
    <s v="HUMBERTO LIMAS HERNANDEZ"/>
    <s v="16806006660"/>
    <m/>
    <n v="24360134"/>
    <n v="5217299744772"/>
    <x v="0"/>
    <n v="10636.539999999997"/>
    <m/>
    <n v="3190.9619999999991"/>
    <n v="3190.9619999999991"/>
    <m/>
  </r>
  <r>
    <x v="81"/>
    <d v="2026-09-20T00:00:00"/>
    <x v="64"/>
    <s v="ESTEBAN LOPEZ FERNANDEZ"/>
    <m/>
    <s v="LOFE520925HVZPRS02"/>
    <n v="24672842"/>
    <n v="8129471687"/>
    <x v="2"/>
    <n v="9375.56"/>
    <n v="2809.75"/>
    <n v="2812.6679999999997"/>
    <n v="2.9179999999996653"/>
    <d v="2027-05-01T00:00:00"/>
  </r>
  <r>
    <x v="81"/>
    <d v="2026-09-20T00:00:00"/>
    <x v="65"/>
    <s v="CARMEN CORRO CRUZ"/>
    <m/>
    <s v="COCC690123MVZRRR0"/>
    <n v="24680330"/>
    <n v="2881216837"/>
    <x v="5"/>
    <m/>
    <m/>
    <n v="0"/>
    <n v="0"/>
    <m/>
  </r>
  <r>
    <x v="81"/>
    <d v="2026-09-21T00:00:00"/>
    <x v="59"/>
    <s v="MARIO PARRA CAMACHO "/>
    <s v="24786027565"/>
    <s v="PACM600224HSRRMR09"/>
    <n v="24691182"/>
    <n v="5216471201438"/>
    <x v="2"/>
    <n v="5934.6"/>
    <n v="1759.9"/>
    <n v="1780.38"/>
    <n v="1.7200000000007094"/>
    <d v="2027-02-01T00:00:00"/>
  </r>
  <r>
    <x v="81"/>
    <d v="2026-09-21T00:00:00"/>
    <x v="28"/>
    <s v="JOSE JORGE SILVA ESTRADA"/>
    <m/>
    <s v="SIEJ620804HMCLSR02"/>
    <n v="24693024"/>
    <n v="5215535679859"/>
    <x v="2"/>
    <n v="9081.52"/>
    <n v="2627"/>
    <n v="2724.4560000000001"/>
    <n v="97.456000000000131"/>
    <d v="2027-05-01T00:00:00"/>
  </r>
  <r>
    <x v="81"/>
    <d v="2026-09-21T00:00:00"/>
    <x v="6"/>
    <s v="MAURICIO HERNANDEZ RAMIREZ "/>
    <s v="65937326281"/>
    <s v="HERM740926HVZRMR07"/>
    <n v="24693776"/>
    <n v="5217821304178"/>
    <x v="1"/>
    <n v="3405.3"/>
    <m/>
    <n v="1021.59"/>
    <n v="0"/>
    <m/>
  </r>
  <r>
    <x v="81"/>
    <d v="2026-09-21T00:00:00"/>
    <x v="13"/>
    <s v="ARACELY VAZQUEZ VAZQUEZ"/>
    <n v="43826704876"/>
    <s v="VAVA710817MNLZZR09"/>
    <n v="24694794"/>
    <n v="5218135662619"/>
    <x v="0"/>
    <n v="8784.27"/>
    <m/>
    <n v="2635.2809999999999"/>
    <n v="2635.2809999999999"/>
    <m/>
  </r>
  <r>
    <x v="81"/>
    <d v="2026-09-21T00:00:00"/>
    <x v="28"/>
    <s v="MARTIN RAMIREZ CANCHOLA"/>
    <s v="41775706611"/>
    <s v="RACM571210HSPMNR08"/>
    <n v="24693968"/>
    <n v="5214448008764"/>
    <x v="2"/>
    <n v="7920.51"/>
    <n v="2371.6999999999998"/>
    <n v="2376.1529999999998"/>
    <n v="4.4529999999999745"/>
    <d v="2026-11-01T00:00:00"/>
  </r>
  <r>
    <x v="81"/>
    <d v="2026-09-21T00:00:00"/>
    <x v="28"/>
    <s v="FRANCISCA MIRTHALA CORREA AGUILAR"/>
    <m/>
    <s v="COAF570806MNLRGR00"/>
    <n v="24685856"/>
    <n v="5218132808860"/>
    <x v="2"/>
    <n v="7640.52"/>
    <n v="2291.44"/>
    <n v="2292.1559999999999"/>
    <n v="0.7159999999998945"/>
    <d v="2027-08-01T00:00:00"/>
  </r>
  <r>
    <x v="81"/>
    <d v="2026-09-21T00:00:00"/>
    <x v="59"/>
    <s v="HECTOR RAMOS SANCHEZ"/>
    <m/>
    <s v="RASH610706HDFMNC04"/>
    <n v="24690640"/>
    <n v="5217774122435"/>
    <x v="0"/>
    <n v="10636.54"/>
    <m/>
    <n v="3190.962"/>
    <n v="3190.962"/>
    <m/>
  </r>
  <r>
    <x v="81"/>
    <d v="2026-09-21T00:00:00"/>
    <x v="28"/>
    <s v="JOSE MARTINEZ ESPINOZA"/>
    <s v="78786103040"/>
    <s v="MAEJ611118HOCRSS07"/>
    <n v="24663894"/>
    <n v="5219341899260"/>
    <x v="7"/>
    <n v="6262.86"/>
    <n v="1810.99"/>
    <n v="1878.8579999999997"/>
    <n v="67.867999999999711"/>
    <d v="2025-07-01T00:00:00"/>
  </r>
  <r>
    <x v="81"/>
    <d v="2026-09-19T00:00:00"/>
    <x v="6"/>
    <s v="LEA MARBELLA CAMACHO RAYGOZA"/>
    <s v="23735300198"/>
    <s v="CARL521104MSLMYX09"/>
    <n v="24663446"/>
    <n v="5216672033856"/>
    <x v="3"/>
    <n v="5278.13"/>
    <m/>
    <n v="1583.4390000000001"/>
    <n v="1105.1500000000005"/>
    <d v="2027-06-01T00:00:00"/>
  </r>
  <r>
    <x v="81"/>
    <d v="2026-09-21T00:00:00"/>
    <x v="6"/>
    <s v="SERGIO BALLESTEROS RIVAS "/>
    <n v="33816295852"/>
    <s v="BARS620726HCHLVR09"/>
    <n v="24457790"/>
    <n v="5216143443265"/>
    <x v="0"/>
    <n v="34372.21"/>
    <m/>
    <n v="10311.662999999999"/>
    <n v="10311.662999999999"/>
    <m/>
  </r>
  <r>
    <x v="81"/>
    <d v="2026-09-21T00:00:00"/>
    <x v="31"/>
    <s v="MIGUEL ANGEL CASTILLO CALOCA"/>
    <n v="30896100244"/>
    <s v="CACM610628HDFSLG03"/>
    <n v="2"/>
    <n v="5629072021"/>
    <x v="2"/>
    <n v="9081.52"/>
    <n v="2724.39"/>
    <n v="2724.4560000000001"/>
    <n v="6.6000000000258296E-2"/>
    <d v="2027-09-01T00:00:00"/>
  </r>
  <r>
    <x v="81"/>
    <d v="2026-09-21T00:00:00"/>
    <x v="31"/>
    <s v="RAYMUNDO SANCHEZ ORTIZ"/>
    <s v="32816285202"/>
    <s v="SAOR631214HCLNRY15"/>
    <n v="2"/>
    <n v="8442010318"/>
    <x v="2"/>
    <n v="9081.52"/>
    <n v="2627.49"/>
    <n v="2724.4560000000001"/>
    <n v="96.966000000000349"/>
    <d v="2027-05-01T00:00:00"/>
  </r>
  <r>
    <x v="81"/>
    <d v="2026-09-20T00:00:00"/>
    <x v="65"/>
    <m/>
    <n v="43856420773"/>
    <m/>
    <n v="24681776"/>
    <n v="8125802017"/>
    <x v="2"/>
    <n v="9081.52"/>
    <n v="2625.39"/>
    <n v="2724.4560000000001"/>
    <n v="99.066000000000258"/>
    <d v="2027-05-01T00:00:00"/>
  </r>
  <r>
    <x v="81"/>
    <d v="2026-09-20T00:00:00"/>
    <x v="64"/>
    <s v="ANA MARIA BARBOSA ALVAREZ"/>
    <n v="75956000030"/>
    <s v="BAAA600614MJCRLN02"/>
    <n v="24684426"/>
    <n v="3321852663"/>
    <x v="9"/>
    <n v="5617.6299999999992"/>
    <n v="1166.9000000000001"/>
    <n v="1685.2889999999998"/>
    <n v="277.74999999999955"/>
    <d v="2024-04-01T00:00:00"/>
  </r>
  <r>
    <x v="81"/>
    <d v="2026-09-20T00:00:00"/>
    <x v="64"/>
    <s v="JOSE CRUZ GOMEZ GONZALEZ"/>
    <n v="32886377830"/>
    <s v="GOGC630503HCLMNR04"/>
    <n v="24679216"/>
    <n v="8442180199"/>
    <x v="2"/>
    <n v="22499.9"/>
    <n v="6749.9"/>
    <n v="6749.97"/>
    <n v="7.0000000000618456E-2"/>
    <d v="2028-08-01T00:00:00"/>
  </r>
  <r>
    <x v="81"/>
    <d v="2026-09-21T00:00:00"/>
    <x v="31"/>
    <s v="FIDEL MARTINEZ PACHECO"/>
    <n v="42856523784"/>
    <s v="MAPF651217HDFRCD03"/>
    <n v="2"/>
    <n v="5539780401"/>
    <x v="2"/>
    <n v="29945.78"/>
    <n v="8983"/>
    <n v="8983.7339999999986"/>
    <n v="0.73399999999855936"/>
    <d v="2028-05-01T00:00:00"/>
  </r>
  <r>
    <x v="81"/>
    <d v="2026-09-21T00:00:00"/>
    <x v="62"/>
    <s v="LAURO MANUEL ROJAS ALMAZAN"/>
    <n v="11805700645"/>
    <m/>
    <n v="24701674"/>
    <n v="7223502206"/>
    <x v="6"/>
    <n v="15479.43"/>
    <n v="4643.83"/>
    <n v="4643.8289999999997"/>
    <n v="-1.0000000002037268E-3"/>
    <d v="2025-07-01T00:00:00"/>
  </r>
  <r>
    <x v="81"/>
    <d v="2026-09-21T00:00:00"/>
    <x v="31"/>
    <s v="JUAN PEDRO CAZARES PEREZ ALVA"/>
    <s v="11795737409"/>
    <s v="OEYM570201MDFVMR01"/>
    <n v="2"/>
    <n v="5520694920"/>
    <x v="2"/>
    <n v="6422.04"/>
    <n v="1854.81"/>
    <n v="1926.6119999999999"/>
    <n v="71.801999999999907"/>
    <d v="2027-12-01T00:00:00"/>
  </r>
  <r>
    <x v="81"/>
    <d v="2026-09-21T00:00:00"/>
    <x v="51"/>
    <s v="MANUEL ADAME LOPEZ "/>
    <s v="06836104049"/>
    <m/>
    <n v="24702308"/>
    <n v="5215561816827"/>
    <x v="0"/>
    <n v="9760.32"/>
    <n v="879"/>
    <n v="2928.096"/>
    <n v="2049.096"/>
    <m/>
  </r>
  <r>
    <x v="81"/>
    <d v="2026-09-19T00:00:00"/>
    <x v="51"/>
    <s v="CARMEN OLIVIA VAZQUEZ HERNANDEZ"/>
    <n v="5284610026"/>
    <s v="VAHC610412MCMZRR05"/>
    <n v="24664114"/>
    <n v="5213143586340"/>
    <x v="0"/>
    <n v="6262.86"/>
    <m/>
    <n v="1878.8579999999997"/>
    <n v="1878.8579999999997"/>
    <m/>
  </r>
  <r>
    <x v="81"/>
    <d v="2026-09-21T00:00:00"/>
    <x v="59"/>
    <s v="DARIO GUARNEROS SANCHEZ"/>
    <m/>
    <s v="GUSD571219HPLRNR00"/>
    <n v="24693302"/>
    <n v="5212212477393"/>
    <x v="2"/>
    <n v="9504.7000000000007"/>
    <n v="2638.64"/>
    <n v="2851.4100000000003"/>
    <n v="212.77000000000044"/>
    <d v="2026-12-01T00:00:00"/>
  </r>
  <r>
    <x v="81"/>
    <d v="2026-09-21T00:00:00"/>
    <x v="63"/>
    <s v="Arturo Matos Rodriguez "/>
    <n v="81705213320"/>
    <s v="MARA511116HCCTDR08"/>
    <n v="24699812"/>
    <n v="9813494548"/>
    <x v="2"/>
    <n v="14570.32"/>
    <n v="4367.7"/>
    <n v="4371.0959999999995"/>
    <n v="3.3959999999997308"/>
    <d v="2027-07-01T00:00:00"/>
  </r>
  <r>
    <x v="81"/>
    <d v="2026-09-18T00:00:00"/>
    <x v="28"/>
    <s v="DIONISIO TRINIDAD CHAVEZ PERDOMO"/>
    <s v="06755530349"/>
    <s v="CAPD551116HMCHRN03"/>
    <n v="24640862"/>
    <n v="5217222864535"/>
    <x v="0"/>
    <n v="7343.62"/>
    <m/>
    <n v="2203.0859999999998"/>
    <n v="2203.0859999999998"/>
    <m/>
  </r>
  <r>
    <x v="81"/>
    <d v="2026-09-21T00:00:00"/>
    <x v="31"/>
    <s v="JOSE JESUS LARRAGA SALAVADOR"/>
    <n v="10866106544"/>
    <s v="LASJ610412HSPRLS08"/>
    <n v="2"/>
    <n v="4446932953"/>
    <x v="2"/>
    <n v="6262.86"/>
    <n v="1811.13"/>
    <n v="1878.8579999999997"/>
    <n v="67.727999999999611"/>
    <d v="2027-08-01T00:00:00"/>
  </r>
  <r>
    <x v="81"/>
    <d v="2026-09-21T00:00:00"/>
    <x v="65"/>
    <m/>
    <s v="32796257494"/>
    <m/>
    <n v="24699018"/>
    <n v="3141024036"/>
    <x v="0"/>
    <n v="20225.28"/>
    <m/>
    <n v="6067.5839999999998"/>
    <n v="6067.5839999999998"/>
    <m/>
  </r>
  <r>
    <x v="81"/>
    <d v="2026-09-21T00:00:00"/>
    <x v="62"/>
    <s v="PETRA LETICIA VALVEZ REYES"/>
    <n v="24856513171"/>
    <m/>
    <n v="24704306"/>
    <n v="6442365758"/>
    <x v="0"/>
    <n v="16013.99"/>
    <m/>
    <n v="4804.1970000000001"/>
    <n v="4804.1970000000001"/>
    <m/>
  </r>
  <r>
    <x v="81"/>
    <d v="2026-09-21T00:00:00"/>
    <x v="51"/>
    <s v="ALEJANDRO PLATA MARTÍNEZ "/>
    <m/>
    <s v="PAMA651207HDFLRL07"/>
    <n v="24702914"/>
    <n v="5215643581041"/>
    <x v="0"/>
    <n v="11029.03"/>
    <m/>
    <n v="3308.7090000000003"/>
    <n v="3308.7090000000003"/>
    <m/>
  </r>
  <r>
    <x v="81"/>
    <d v="2026-09-21T00:00:00"/>
    <x v="13"/>
    <s v="JUAN ANTONIO MARQUEZ GARCIA"/>
    <n v="32836717168"/>
    <s v="MAGJ670413HCLRRN00"/>
    <n v="24692156"/>
    <n v="5218441189978"/>
    <x v="1"/>
    <n v="3635.76"/>
    <m/>
    <n v="1090.7280000000001"/>
    <n v="0"/>
    <m/>
  </r>
  <r>
    <x v="81"/>
    <d v="2026-09-21T00:00:00"/>
    <x v="13"/>
    <s v="GUSTAVO LARA BUSTOS"/>
    <m/>
    <s v="LABG580609HGTRSS04"/>
    <n v="24691360"/>
    <n v="5214767375737"/>
    <x v="0"/>
    <n v="10636.54"/>
    <m/>
    <n v="3190.962"/>
    <n v="3190.962"/>
    <m/>
  </r>
  <r>
    <x v="81"/>
    <d v="2026-09-21T00:00:00"/>
    <x v="13"/>
    <s v="HERMITANIO REJON MASUN"/>
    <s v="82977804556"/>
    <s v="REMH780819HQRJSR02"/>
    <n v="24689240"/>
    <n v="5219981207497"/>
    <x v="1"/>
    <n v="2540.2600000000002"/>
    <m/>
    <m/>
    <m/>
    <m/>
  </r>
  <r>
    <x v="81"/>
    <d v="2026-09-21T00:00:00"/>
    <x v="64"/>
    <s v="MARTHA SOLEDAD VARGAS LÓPEZ"/>
    <n v="65775700787"/>
    <m/>
    <n v="24704434"/>
    <n v="2291612011"/>
    <x v="0"/>
    <n v="25710.6"/>
    <m/>
    <n v="7713.1799999999994"/>
    <n v="7713.1799999999994"/>
    <m/>
  </r>
  <r>
    <x v="81"/>
    <d v="2026-09-21T00:00:00"/>
    <x v="65"/>
    <s v="BERNARDO _x0009_RODRIGUEZ _x0009_GONZALEZ"/>
    <n v="23876658016"/>
    <s v="ROGB660819HSLDNR03"/>
    <n v="24695688"/>
    <n v="6692525519"/>
    <x v="0"/>
    <n v="10636.539999999999"/>
    <m/>
    <n v="3190.9619999999995"/>
    <n v="3190.9619999999995"/>
    <m/>
  </r>
  <r>
    <x v="81"/>
    <d v="2026-09-21T00:00:00"/>
    <x v="63"/>
    <s v="Luis Arturo Romo Hernandez "/>
    <s v="32998061256"/>
    <s v="ROHL800702HCLMRS02"/>
    <n v="24674454"/>
    <n v="8663473095"/>
    <x v="0"/>
    <n v="6089.18"/>
    <m/>
    <n v="1826.7540000000001"/>
    <n v="1826.7540000000001"/>
    <m/>
  </r>
  <r>
    <x v="81"/>
    <d v="2026-09-21T00:00:00"/>
    <x v="51"/>
    <s v="JUAN RODRIGUES YEOMANS"/>
    <m/>
    <s v="ROYJ641116HSRDMN04"/>
    <n v="24703762"/>
    <n v="5216535309906"/>
    <x v="2"/>
    <n v="10171.24"/>
    <n v="2942.78"/>
    <n v="3051.3719999999998"/>
    <n v="108.59199999999964"/>
    <d v="2027-10-01T00:00:00"/>
  </r>
  <r>
    <x v="81"/>
    <d v="2026-09-21T00:00:00"/>
    <x v="59"/>
    <s v="MARTIN SERGIO AGANZA SALAZAR "/>
    <m/>
    <s v="AASM630902HSRGLR01"/>
    <n v="24706342"/>
    <n v="5216621838534"/>
    <x v="2"/>
    <n v="11029.03"/>
    <n v="3305.1"/>
    <n v="3308.7090000000003"/>
    <n v="3.6090000000003783"/>
    <d v="2028-04-01T00:00:00"/>
  </r>
  <r>
    <x v="81"/>
    <d v="2026-09-21T00:00:00"/>
    <x v="28"/>
    <s v="JESUS DIAZ GONZALEZ"/>
    <m/>
    <s v="DIGJ690309HCLZNS09"/>
    <n v="24706128"/>
    <n v="5218781360018"/>
    <x v="2"/>
    <n v="9582.4699999999993"/>
    <n v="2872.32"/>
    <n v="2874.7409999999995"/>
    <n v="2.420999999999367"/>
    <d v="2028-07-01T00:00:00"/>
  </r>
  <r>
    <x v="81"/>
    <d v="2026-09-21T00:00:00"/>
    <x v="13"/>
    <s v="ESEQUIEL MARQUEZ RAMIREZ"/>
    <n v="33966948342"/>
    <s v="MARE690307HCHRMS02"/>
    <n v="24706402"/>
    <n v="5216591022260"/>
    <x v="1"/>
    <n v="4336.66"/>
    <m/>
    <n v="1300.9979999999998"/>
    <n v="163.68000000000029"/>
    <m/>
  </r>
  <r>
    <x v="81"/>
    <d v="2026-09-21T00:00:00"/>
    <x v="31"/>
    <s v="CARLOS ALBERTO GARCIA ALONSO"/>
    <s v="21855808479"/>
    <s v="GAAC540925HTLRLR06"/>
    <n v="2"/>
    <n v="2211567608"/>
    <x v="2"/>
    <n v="6262.86"/>
    <n v="1878.86"/>
    <n v="1878.8579999999997"/>
    <n v="-2.00000000018008E-3"/>
    <d v="2026-11-01T00:00:00"/>
  </r>
  <r>
    <x v="81"/>
    <d v="2026-09-21T00:00:00"/>
    <x v="6"/>
    <s v="MARIA DE LOS ANGELES MENDOZA JIMENEZ"/>
    <m/>
    <s v="MEJA601115MMNNMN00"/>
    <n v="24706956"/>
    <n v="5217151044474"/>
    <x v="0"/>
    <n v="20033.3"/>
    <m/>
    <n v="6009.99"/>
    <n v="6009.99"/>
    <m/>
  </r>
  <r>
    <x v="81"/>
    <d v="2026-09-21T00:00:00"/>
    <x v="28"/>
    <s v="JAVIER MARTINEZ ROMERO"/>
    <m/>
    <s v="MARJ640525HPLRMV07"/>
    <n v="24707244"/>
    <n v="5212213543279"/>
    <x v="0"/>
    <n v="22522.6"/>
    <m/>
    <n v="6756.78"/>
    <n v="6756.78"/>
    <m/>
  </r>
  <r>
    <x v="81"/>
    <d v="2026-09-21T00:00:00"/>
    <x v="16"/>
    <m/>
    <n v="1775550229"/>
    <m/>
    <n v="1"/>
    <n v="9982410736"/>
    <x v="2"/>
    <n v="28639.95"/>
    <n v="8591.2099999999991"/>
    <n v="8591.9850000000006"/>
    <n v="0.77500000000145519"/>
    <d v="2026-10-01T00:00:00"/>
  </r>
  <r>
    <x v="82"/>
    <d v="2026-09-20T00:00:00"/>
    <x v="64"/>
    <m/>
    <n v="90896618528"/>
    <m/>
    <n v="24683656"/>
    <n v="6642055772"/>
    <x v="5"/>
    <m/>
    <m/>
    <n v="0"/>
    <n v="0"/>
    <m/>
  </r>
  <r>
    <x v="82"/>
    <d v="2026-09-20T00:00:00"/>
    <x v="65"/>
    <s v="EUSEBIO URDIANO SEGURA"/>
    <m/>
    <s v="UISE780623HJCRGS05"/>
    <n v="24680220"/>
    <n v="3321541078"/>
    <x v="0"/>
    <n v="8706.24"/>
    <m/>
    <n v="2611.8719999999998"/>
    <n v="2611.8719999999998"/>
    <m/>
  </r>
  <r>
    <x v="82"/>
    <d v="2026-09-15T00:00:00"/>
    <x v="54"/>
    <s v="YINN ANTHONIK ALVARADO TORRES"/>
    <m/>
    <s v="AATY790312HDFLRN06"/>
    <n v="24495446"/>
    <n v="6563169407"/>
    <x v="2"/>
    <n v="8075.38"/>
    <n v="2417.54"/>
    <n v="2422.614"/>
    <n v="5.0740000000000691"/>
    <d v="2028-05-01T00:00:00"/>
  </r>
  <r>
    <x v="82"/>
    <d v="2026-09-21T00:00:00"/>
    <x v="6"/>
    <s v="CLAUDIA ALEJANDRA RAMIREZ SOSA"/>
    <n v="67836555531"/>
    <s v="RASC720707MVZMSL03"/>
    <n v="24709552"/>
    <n v="24709552"/>
    <x v="1"/>
    <n v="3602.45"/>
    <m/>
    <n v="1080.7349999999999"/>
    <n v="0"/>
    <m/>
  </r>
  <r>
    <x v="82"/>
    <d v="2026-09-22T00:00:00"/>
    <x v="31"/>
    <s v="LEOBARDO LUGO SALAS"/>
    <n v="43806513685"/>
    <s v="LUSL650118HZSGLB05"/>
    <n v="2"/>
    <s v="844 340 0488"/>
    <x v="0"/>
    <n v="10978.38"/>
    <m/>
    <n v="3293.5139999999997"/>
    <n v="3293.5139999999997"/>
    <m/>
  </r>
  <r>
    <x v="82"/>
    <d v="2026-09-22T00:00:00"/>
    <x v="28"/>
    <s v="HORTENCIA VARGAS GONZALEZ"/>
    <s v="11826307891_x000a_"/>
    <s v="VAGH630917MMCRNR00"/>
    <n v="24737898"/>
    <n v="5214421272379"/>
    <x v="0"/>
    <n v="53271.57"/>
    <m/>
    <n v="15981.471"/>
    <n v="15981.471"/>
    <m/>
  </r>
  <r>
    <x v="82"/>
    <d v="2026-09-21T00:00:00"/>
    <x v="65"/>
    <m/>
    <n v="21876870300"/>
    <m/>
    <n v="24705442"/>
    <n v="6861571273"/>
    <x v="2"/>
    <n v="4800.13"/>
    <n v="549.29"/>
    <n v="1440.039"/>
    <n v="77.860000000000582"/>
    <d v="2028-07-01T00:00:00"/>
  </r>
  <r>
    <x v="82"/>
    <d v="2026-09-22T00:00:00"/>
    <x v="31"/>
    <s v="FERNANDO MORENO CRUZ"/>
    <n v="89806131366"/>
    <s v="MOCF610501HDFRRR08"/>
    <n v="2"/>
    <s v="55 1694 7864"/>
    <x v="2"/>
    <n v="45094.16"/>
    <n v="13528.2"/>
    <n v="13528.248000000001"/>
    <n v="4.800000000068394E-2"/>
    <d v="2027-03-01T00:00:00"/>
  </r>
  <r>
    <x v="82"/>
    <d v="2026-09-21T00:00:00"/>
    <x v="59"/>
    <s v="LORENZO RODRIGUEZ ROJAS"/>
    <s v="55806308551_x000a_"/>
    <s v="RORL630810HJCDJR01"/>
    <n v="24706572"/>
    <n v="5213271044813"/>
    <x v="2"/>
    <n v="9504.7000000000007"/>
    <n v="2851.41"/>
    <n v="2851.4100000000003"/>
    <n v="0"/>
    <d v="2028-06-01T00:00:00"/>
  </r>
  <r>
    <x v="82"/>
    <d v="2026-09-22T00:00:00"/>
    <x v="18"/>
    <s v="RAMÓN CHÁVEZ TORRES "/>
    <n v="62795507144"/>
    <m/>
    <n v="1"/>
    <n v="2226792761"/>
    <x v="2"/>
    <n v="40059.4"/>
    <n v="12015.6"/>
    <n v="12017.82"/>
    <n v="2.2199999999993452"/>
    <d v="2028-08-01T00:00:00"/>
  </r>
  <r>
    <x v="82"/>
    <d v="2026-09-22T00:00:00"/>
    <x v="6"/>
    <s v="JUAN JOSE ALVAREZ VALENCIA "/>
    <n v="11805810121"/>
    <s v="AAVJ581104HDFLLN05"/>
    <n v="24740944"/>
    <n v="5217421094210"/>
    <x v="2"/>
    <n v="9760.32"/>
    <n v="2823.89"/>
    <n v="2928.096"/>
    <n v="104.20600000000013"/>
    <d v="2027-08-01T00:00:00"/>
  </r>
  <r>
    <x v="82"/>
    <d v="2026-09-22T00:00:00"/>
    <x v="18"/>
    <s v="HUMBERTO FERNÁNDEZ LÓPEZ "/>
    <n v="65835932560"/>
    <m/>
    <n v="1"/>
    <n v="2285917782"/>
    <x v="6"/>
    <n v="5547.14"/>
    <n v="1374.15"/>
    <n v="1664.1420000000001"/>
    <n v="1.0000000000673026E-2"/>
    <d v="2024-11-01T00:00:00"/>
  </r>
  <r>
    <x v="82"/>
    <d v="2026-09-21T00:00:00"/>
    <x v="64"/>
    <s v="JUAN MARTIN MAURICIO RAMIREZ"/>
    <n v="328160811"/>
    <s v="MARJ600917HCLRMN02"/>
    <n v="24696360"/>
    <n v="8442111989"/>
    <x v="3"/>
    <n v="23207.47"/>
    <n v="5794.93"/>
    <n v="6962.241"/>
    <n v="1167.3109999999997"/>
    <d v="2026-10-01T00:00:00"/>
  </r>
  <r>
    <x v="82"/>
    <d v="2026-09-22T00:00:00"/>
    <x v="18"/>
    <s v="Andrés sosa León "/>
    <n v="1765842255"/>
    <m/>
    <n v="1"/>
    <n v="5656379420"/>
    <x v="2"/>
    <n v="12832.28"/>
    <n v="3710.26"/>
    <n v="3849.6840000000002"/>
    <n v="139.42399999999998"/>
    <d v="2027-03-01T00:00:00"/>
  </r>
  <r>
    <x v="82"/>
    <d v="2026-09-21T00:00:00"/>
    <x v="6"/>
    <s v="JORGE ESTEBAN SANTILLAN RUIZ"/>
    <s v="24897345443_x000a_"/>
    <s v="SARJ740227HSRNZR00"/>
    <n v="24712390"/>
    <n v="5216622915673"/>
    <x v="9"/>
    <n v="18845.43"/>
    <n v="5653.63"/>
    <n v="5653.6289999999999"/>
    <n v="-1.0000000002037268E-3"/>
    <d v="2026-08-01T00:00:00"/>
  </r>
  <r>
    <x v="82"/>
    <d v="2026-09-21T00:00:00"/>
    <x v="13"/>
    <s v="RAFAEL AGUILAR NUÑEZ"/>
    <n v="71886511956"/>
    <s v="AUNR651024HCSGXF03"/>
    <n v="24707236"/>
    <n v="5219613292725"/>
    <x v="2"/>
    <n v="9760.32"/>
    <n v="2844.42"/>
    <n v="2928.096"/>
    <n v="83.675999999999931"/>
    <d v="2028-03-01T00:00:00"/>
  </r>
  <r>
    <x v="82"/>
    <d v="2026-09-22T00:00:00"/>
    <x v="59"/>
    <s v="MARIA TERESA RAMIREZ CUERVO"/>
    <n v="67906101406"/>
    <s v="RACT610916MVZMRR02"/>
    <n v="24739246"/>
    <n v="5212722361878"/>
    <x v="5"/>
    <m/>
    <m/>
    <n v="0"/>
    <n v="0"/>
    <m/>
  </r>
  <r>
    <x v="82"/>
    <d v="2026-09-22T00:00:00"/>
    <x v="6"/>
    <s v="JESUS HINDELISA PLASCENCIA ACOSTA"/>
    <m/>
    <s v="PAAJ610105MNTLCS07"/>
    <n v="24741688"/>
    <n v="5213111046148"/>
    <x v="2"/>
    <n v="10636.54"/>
    <n v="3188.04"/>
    <n v="3190.962"/>
    <n v="2.9220000000000255"/>
    <d v="2028-07-01T00:00:00"/>
  </r>
  <r>
    <x v="82"/>
    <d v="2026-09-21T00:00:00"/>
    <x v="59"/>
    <s v="ENRIQUE MARISCAL ALPIREZ"/>
    <m/>
    <s v="MAAE630523HVZRLN00"/>
    <n v="24708666"/>
    <n v="5212291148677"/>
    <x v="6"/>
    <n v="7919.53"/>
    <n v="2047.45"/>
    <n v="2375.8589999999999"/>
    <n v="328.40899999999988"/>
    <d v="2025-12-01T00:00:00"/>
  </r>
  <r>
    <x v="82"/>
    <d v="2026-09-09T00:00:00"/>
    <x v="28"/>
    <s v="ALBERTO HERNANDEZ JULIAN"/>
    <s v="39887005526_x000a_"/>
    <s v="HEJA700719HDFRLL02"/>
    <n v="24353046"/>
    <n v="5215574254434"/>
    <x v="1"/>
    <n v="2854.24"/>
    <m/>
    <n v="856.27199999999993"/>
    <n v="0"/>
    <m/>
  </r>
  <r>
    <x v="82"/>
    <d v="2026-09-21T00:00:00"/>
    <x v="13"/>
    <s v="JESUS ORTIZ GRANADOS"/>
    <n v="3275511102"/>
    <s v="OIGJ511225HCLRRS06"/>
    <n v="24711008"/>
    <n v="5218662041106"/>
    <x v="2"/>
    <n v="33774.629999999997"/>
    <n v="10132.39"/>
    <n v="10132.388999999999"/>
    <n v="-1.0000000002037268E-3"/>
    <d v="2027-03-01T00:00:00"/>
  </r>
  <r>
    <x v="82"/>
    <d v="2026-09-22T00:00:00"/>
    <x v="13"/>
    <s v="REYNALDO ESPINOZA OJEDA"/>
    <n v="22836405369"/>
    <m/>
    <n v="24733372"/>
    <n v="5216151616090"/>
    <x v="0"/>
    <n v="9081.52"/>
    <m/>
    <n v="2724.4560000000001"/>
    <n v="2724.4560000000001"/>
    <m/>
  </r>
  <r>
    <x v="82"/>
    <d v="2026-09-22T00:00:00"/>
    <x v="13"/>
    <s v="CARLOS CESAR MEDINA HERNANDEZ"/>
    <n v="32856304863"/>
    <s v="MEHC650909HCLDRR08"/>
    <n v="24739472"/>
    <n v="5218711053502"/>
    <x v="0"/>
    <n v="9760.32"/>
    <m/>
    <n v="2928.096"/>
    <n v="2928.096"/>
    <m/>
  </r>
  <r>
    <x v="82"/>
    <d v="2026-09-22T00:00:00"/>
    <x v="31"/>
    <s v="ROGELIO CESAR GARCIA RODRIGUEZ"/>
    <s v="01776086546"/>
    <s v="GARR601230HDFRDG09"/>
    <n v="2"/>
    <s v="597 123 1948"/>
    <x v="2"/>
    <n v="11044.36"/>
    <n v="3310.3"/>
    <n v="3313.308"/>
    <n v="3.0079999999998108"/>
    <d v="2027-05-01T00:00:00"/>
  </r>
  <r>
    <x v="82"/>
    <d v="2026-09-22T00:00:00"/>
    <x v="13"/>
    <s v="LUIS MANUEL ZOZAYA ANGUAS"/>
    <n v="81856402417"/>
    <s v="ZOAL640228HYNZNS04"/>
    <n v="24743144"/>
    <n v="5219811813298"/>
    <x v="2"/>
    <n v="23424.639999999999"/>
    <n v="7017.2"/>
    <n v="7027.3919999999998"/>
    <n v="10.192000000000007"/>
    <d v="2028-08-01T00:00:00"/>
  </r>
  <r>
    <x v="82"/>
    <d v="2026-09-22T00:00:00"/>
    <x v="13"/>
    <s v="LIBORIO MIJANGOS ONOFRE"/>
    <n v="78816312462"/>
    <s v="MIOL630802HOCJNB01"/>
    <n v="24741794"/>
    <n v="5219721146429"/>
    <x v="2"/>
    <n v="73188.929999999993"/>
    <n v="21934.51"/>
    <n v="21956.678999999996"/>
    <n v="22.16899999999805"/>
    <d v="2027-02-01T00:00:00"/>
  </r>
  <r>
    <x v="82"/>
    <d v="2026-09-22T00:00:00"/>
    <x v="59"/>
    <s v="MARIA TRINIDAD ESPINOZA GONZALEZ"/>
    <m/>
    <s v="EIGT651114MPLSNR03"/>
    <n v="24733076"/>
    <n v="5213221901613"/>
    <x v="0"/>
    <n v="5617.63"/>
    <m/>
    <n v="1685.289"/>
    <n v="1444.6500000000005"/>
    <d v="2025-04-01T00:00:00"/>
  </r>
  <r>
    <x v="82"/>
    <d v="2026-09-22T00:00:00"/>
    <x v="13"/>
    <s v="MARIA JULIETA GRANILLO MORENO"/>
    <n v="31907103910"/>
    <s v="GAMJ740122MDGRRL08"/>
    <n v="24737872"/>
    <n v="5218711250442"/>
    <x v="2"/>
    <n v="13389.08"/>
    <n v="4016.7"/>
    <n v="4016.7239999999997"/>
    <n v="2.3999999999887223E-2"/>
    <d v="2027-06-01T00:00:00"/>
  </r>
  <r>
    <x v="82"/>
    <d v="2026-09-22T00:00:00"/>
    <x v="64"/>
    <m/>
    <s v="67806426150"/>
    <m/>
    <n v="24744362"/>
    <n v="9331299995"/>
    <x v="2"/>
    <n v="21594.01"/>
    <n v="6478.2"/>
    <n v="6478.2029999999995"/>
    <n v="2.9999999997016857E-3"/>
    <d v="2028-09-01T00:00:00"/>
  </r>
  <r>
    <x v="82"/>
    <d v="2026-09-19T00:00:00"/>
    <x v="64"/>
    <s v="VICTOR DELGADO DIAZ"/>
    <m/>
    <s v="DEDV550708HSLLZC14"/>
    <n v="24668210"/>
    <n v="6671284863"/>
    <x v="0"/>
    <n v="6750.17"/>
    <m/>
    <n v="2025.0509999999999"/>
    <n v="2025.0509999999999"/>
    <m/>
  </r>
  <r>
    <x v="82"/>
    <d v="2026-09-22T00:00:00"/>
    <x v="31"/>
    <s v="ALMA EMMA MARTINEZ REYES"/>
    <n v="11775975144"/>
    <s v="MARA590702MDFRYL04"/>
    <n v="2"/>
    <n v="5580356605"/>
    <x v="2"/>
    <n v="7116.73"/>
    <n v="2133.09"/>
    <n v="2135.0189999999998"/>
    <n v="1.9289999999996326"/>
    <d v="2028-08-01T00:00:00"/>
  </r>
  <r>
    <x v="82"/>
    <d v="2026-09-22T00:00:00"/>
    <x v="51"/>
    <s v="CARMEN ADAME ARENAS"/>
    <n v="10825404733"/>
    <s v="AAAC630530MCHDRR09"/>
    <n v="24745156"/>
    <n v="5216565046064"/>
    <x v="3"/>
    <n v="5055.87"/>
    <m/>
    <n v="1516.761"/>
    <n v="882.89000000000033"/>
    <m/>
  </r>
  <r>
    <x v="82"/>
    <d v="2026-09-21T00:00:00"/>
    <x v="6"/>
    <s v="MANUEL DE JESUS ORTIZ CRUZ "/>
    <m/>
    <s v="OICM561224HVZRRN07"/>
    <n v="24708398"/>
    <n v="5212292282725"/>
    <x v="2"/>
    <n v="8150.74"/>
    <n v="2343.65"/>
    <n v="2445.2219999999998"/>
    <n v="101.57199999999966"/>
    <d v="2027-12-01T00:00:00"/>
  </r>
  <r>
    <x v="82"/>
    <d v="2026-09-22T00:00:00"/>
    <x v="64"/>
    <s v="MAURICIO CASTILLO GUTIERREZ"/>
    <m/>
    <s v="CAGM650922HPLSTR09"/>
    <n v="24747368"/>
    <n v="2211998624"/>
    <x v="5"/>
    <m/>
    <m/>
    <n v="0"/>
    <n v="0"/>
    <m/>
  </r>
  <r>
    <x v="82"/>
    <d v="2026-09-22T00:00:00"/>
    <x v="59"/>
    <s v="ALFREDO OCHOA RAMIREZ"/>
    <m/>
    <s v="OORA741006HJCCML09"/>
    <n v="24744898"/>
    <n v="5213346966207"/>
    <x v="1"/>
    <n v="4158.7299999999996"/>
    <n v="879"/>
    <n v="1247.6189999999999"/>
    <n v="-879"/>
    <m/>
  </r>
  <r>
    <x v="82"/>
    <d v="2026-09-22T00:00:00"/>
    <x v="28"/>
    <s v="MARTIN VAZQUEZ PEREZ"/>
    <s v="52806213121_x000a_"/>
    <s v="VAPM620517HBCZRR09"/>
    <n v="24747842"/>
    <n v="5213121295167"/>
    <x v="2"/>
    <n v="9081.52"/>
    <n v="2520"/>
    <n v="2724.4560000000001"/>
    <n v="204.45600000000013"/>
    <d v="2026-12-01T00:00:00"/>
  </r>
  <r>
    <x v="82"/>
    <d v="2026-09-22T00:00:00"/>
    <x v="28"/>
    <s v="JOSE LUIS GONZALEZ ALCANTARA"/>
    <s v="96897035471_x000a_"/>
    <s v="GOAL700706HMCNLS05"/>
    <n v="24746776"/>
    <n v="5215560048709"/>
    <x v="5"/>
    <m/>
    <m/>
    <n v="0"/>
    <n v="0"/>
    <m/>
  </r>
  <r>
    <x v="82"/>
    <d v="2026-09-22T00:00:00"/>
    <x v="64"/>
    <s v="ARTURO MUÑOZ MONTES DE OCA"/>
    <s v="10796180304"/>
    <s v="MUMA611015HDFXNR08"/>
    <n v="24748020"/>
    <n v="4775816181"/>
    <x v="2"/>
    <n v="16353.93"/>
    <n v="4731"/>
    <n v="4906.1790000000001"/>
    <n v="175.17900000000009"/>
    <d v="2027-08-01T00:00:00"/>
  </r>
  <r>
    <x v="82"/>
    <d v="2026-09-20T00:00:00"/>
    <x v="62"/>
    <s v="ARMANDO BAZALDUA TORRES"/>
    <s v="43796209070"/>
    <m/>
    <n v="24679936"/>
    <n v="8115996273"/>
    <x v="5"/>
    <m/>
    <m/>
    <n v="0"/>
    <n v="0"/>
    <m/>
  </r>
  <r>
    <x v="82"/>
    <d v="2026-09-22T00:00:00"/>
    <x v="51"/>
    <s v="MARIA ELENA LAZARIN GARCIA"/>
    <n v="32816606027"/>
    <s v="LAGE640325MCLZRL01"/>
    <n v="24747388"/>
    <n v="5218661312769"/>
    <x v="2"/>
    <n v="23406.9"/>
    <n v="6757.66"/>
    <n v="7022.0700000000006"/>
    <n v="264.41000000000076"/>
    <d v="2027-02-01T00:00:00"/>
  </r>
  <r>
    <x v="82"/>
    <d v="2026-09-22T00:00:00"/>
    <x v="65"/>
    <s v="BONIFACIO GARCIA YAÑEZ"/>
    <m/>
    <s v="GAYB560514HMCRXN01"/>
    <n v="24742840"/>
    <n v="5631205945"/>
    <x v="9"/>
    <n v="5617.93"/>
    <n v="1096.48"/>
    <n v="1685.3790000000001"/>
    <n v="348.47000000000071"/>
    <d v="2023-12-01T00:00:00"/>
  </r>
  <r>
    <x v="82"/>
    <d v="2026-09-22T00:00:00"/>
    <x v="31"/>
    <s v="BENJAMIN GONZALEZ BAUTISTA"/>
    <n v="15826105783"/>
    <s v="GOBB610412HMSNTN09"/>
    <n v="2"/>
    <n v="7774940702"/>
    <x v="2"/>
    <n v="11855.05"/>
    <n v="3454.75"/>
    <n v="3556.5149999999999"/>
    <n v="101.76499999999987"/>
    <d v="2027-03-01T00:00:00"/>
  </r>
  <r>
    <x v="82"/>
    <d v="2026-09-10T00:00:00"/>
    <x v="61"/>
    <s v="juana segovia alcaraz"/>
    <n v="23865205209"/>
    <s v="SEAJ520518MNTGLN02"/>
    <n v="24363678"/>
    <n v="6692643582"/>
    <x v="10"/>
    <m/>
    <m/>
    <n v="0"/>
    <n v="0"/>
    <m/>
  </r>
  <r>
    <x v="82"/>
    <d v="2026-09-12T00:00:00"/>
    <x v="61"/>
    <s v="Jorge Ozorio Ruiz"/>
    <n v="54877083318"/>
    <s v="OORJ700910HMCSZR00"/>
    <n v="24417622"/>
    <n v="3223825931"/>
    <x v="10"/>
    <m/>
    <m/>
    <n v="0"/>
    <n v="0"/>
    <m/>
  </r>
  <r>
    <x v="82"/>
    <d v="2026-09-14T00:00:00"/>
    <x v="59"/>
    <s v="RENE ALEJANDRO RICO OLIVARES "/>
    <s v="92936511630"/>
    <s v="RIOR650904HMCCLN01"/>
    <n v="24448938"/>
    <n v="5215630988001"/>
    <x v="2"/>
    <n v="9760.32"/>
    <n v="2926"/>
    <n v="2928.096"/>
    <n v="2.0960000000000036"/>
    <d v="2028-02-01T00:00:00"/>
  </r>
  <r>
    <x v="82"/>
    <d v="2026-09-22T00:00:00"/>
    <x v="28"/>
    <s v="EDUARDO PADILLA GUTIERREZ"/>
    <m/>
    <s v="PAGE640610HDFDTD03"/>
    <n v="24746860"/>
    <n v="5215544710646"/>
    <x v="0"/>
    <n v="9081.52"/>
    <m/>
    <n v="2724.4560000000001"/>
    <n v="2724.4560000000001"/>
    <m/>
  </r>
  <r>
    <x v="82"/>
    <d v="2026-09-22T00:00:00"/>
    <x v="31"/>
    <s v="JOSE LUNA MEDRANO"/>
    <n v="43786053850"/>
    <s v="LUMJ600130HNLNDS06"/>
    <n v="2"/>
    <n v="8211464309"/>
    <x v="2"/>
    <n v="6333.43"/>
    <n v="1831.34"/>
    <n v="1900.029"/>
    <n v="68.689000000000078"/>
    <d v="2027-07-01T00:00:00"/>
  </r>
  <r>
    <x v="82"/>
    <d v="2026-09-22T00:00:00"/>
    <x v="31"/>
    <s v="GERARDO GARZA HUELGUERA"/>
    <n v="32806228683"/>
    <s v="GAHG620919HCLRLR06"/>
    <n v="2"/>
    <n v="8663350078"/>
    <x v="2"/>
    <n v="46573.17"/>
    <n v="13971.34"/>
    <n v="13971.950999999999"/>
    <n v="0.61099999999896681"/>
    <d v="2028-05-01T00:00:00"/>
  </r>
  <r>
    <x v="83"/>
    <d v="2026-09-23T00:00:00"/>
    <x v="31"/>
    <s v="PEDRO MORALES CARRIZALES"/>
    <n v="43846754984"/>
    <s v="MOCP670410HNLRRD04"/>
    <n v="2"/>
    <n v="8117910505"/>
    <x v="2"/>
    <n v="8181.55"/>
    <n v="2329.29"/>
    <n v="2454.4650000000001"/>
    <n v="125.17500000000018"/>
    <d v="2027-05-01T00:00:00"/>
  </r>
  <r>
    <x v="83"/>
    <d v="2026-09-22T00:00:00"/>
    <x v="64"/>
    <m/>
    <s v="04826434351"/>
    <m/>
    <n v="24749710"/>
    <n v="6242440450"/>
    <x v="3"/>
    <n v="9081.52"/>
    <n v="1777.69"/>
    <n v="2724.4560000000001"/>
    <n v="946.76600000000008"/>
    <d v="2027-12-01T00:00:00"/>
  </r>
  <r>
    <x v="83"/>
    <d v="2026-09-22T00:00:00"/>
    <x v="64"/>
    <s v="PATRICIA ESCOBAR ROLDAN"/>
    <n v="33856576153"/>
    <s v="EORP650220MCHSLT03"/>
    <n v="24753048"/>
    <n v="6145333265"/>
    <x v="2"/>
    <n v="9760.32"/>
    <n v="2926.17"/>
    <n v="2928.096"/>
    <n v="1.9259999999999309"/>
    <d v="2028-04-01T00:00:00"/>
  </r>
  <r>
    <x v="83"/>
    <d v="2026-09-22T00:00:00"/>
    <x v="28"/>
    <s v="JOSE FRANCISCO RAZO ANGELES"/>
    <s v="92907234865_x000a_"/>
    <s v="RAAF721004HDFZNR06"/>
    <n v="24755010"/>
    <n v="5215516391355"/>
    <x v="1"/>
    <n v="3912.1"/>
    <n v="848"/>
    <n v="1173.6299999999999"/>
    <n v="-848"/>
    <m/>
  </r>
  <r>
    <x v="83"/>
    <d v="2026-09-22T00:00:00"/>
    <x v="64"/>
    <s v="GLORIA MELO PEREZ"/>
    <m/>
    <s v="MEPG730905MVZLRL03"/>
    <n v="24752864"/>
    <n v="7835815927"/>
    <x v="5"/>
    <m/>
    <m/>
    <n v="0"/>
    <n v="0"/>
    <m/>
  </r>
  <r>
    <x v="83"/>
    <d v="2026-09-23T00:00:00"/>
    <x v="31"/>
    <s v="RAYMUNDO RICARDO VALLE RAMIREZ"/>
    <n v="60805300229"/>
    <s v="VARR530315HDFLMY04"/>
    <n v="2"/>
    <n v="5631962021"/>
    <x v="2"/>
    <n v="4750.49"/>
    <n v="553.61"/>
    <n v="1425.1469999999999"/>
    <n v="23.900000000000205"/>
    <d v="2028-01-01T00:00:00"/>
  </r>
  <r>
    <x v="83"/>
    <d v="2026-09-22T00:00:00"/>
    <x v="13"/>
    <s v="JOSE LUIS ASTORGA DUEÑAS"/>
    <m/>
    <s v="AODL490328HNTSXS09"/>
    <n v="24708476"/>
    <n v="5216648186486"/>
    <x v="3"/>
    <n v="4853.54"/>
    <m/>
    <n v="1456.0619999999999"/>
    <n v="680.5600000000004"/>
    <m/>
  </r>
  <r>
    <x v="83"/>
    <d v="2026-09-22T00:00:00"/>
    <x v="28"/>
    <s v="OSCAR DE LEON RINCON"/>
    <s v="32745629587_x000a_"/>
    <m/>
    <n v="24754722"/>
    <n v="5218662347876"/>
    <x v="2"/>
    <n v="9784.82"/>
    <n v="2829.99"/>
    <n v="2935.4459999999999"/>
    <n v="105.45600000000013"/>
    <d v="2027-03-01T00:00:00"/>
  </r>
  <r>
    <x v="83"/>
    <d v="2026-09-22T00:00:00"/>
    <x v="28"/>
    <s v="FRANCISCO JAVIER TAVERA ANGEL"/>
    <s v="12826526712_x000a_"/>
    <s v="TAAF650506HGTVNR03"/>
    <n v="24754014"/>
    <n v="5214772000790"/>
    <x v="2"/>
    <n v="9760.32"/>
    <n v="2918.69"/>
    <n v="2928.096"/>
    <n v="9.4059999999999491"/>
    <d v="2028-01-01T00:00:00"/>
  </r>
  <r>
    <x v="83"/>
    <d v="2026-09-22T00:00:00"/>
    <x v="64"/>
    <s v="MIGUEL AMERICO ROBLEDO"/>
    <m/>
    <s v="ROBM640914HDFBRG02"/>
    <n v="24757154"/>
    <n v="5527989398"/>
    <x v="2"/>
    <n v="10171.24"/>
    <n v="2942.78"/>
    <n v="3051.3719999999998"/>
    <n v="108.59199999999964"/>
    <d v="2027-08-01T00:00:00"/>
  </r>
  <r>
    <x v="83"/>
    <d v="2026-09-23T00:00:00"/>
    <x v="64"/>
    <s v="MANUEL PRADO TORRES"/>
    <m/>
    <s v="PATM610601HCLRRN03"/>
    <n v="24779558"/>
    <n v="8128872663"/>
    <x v="2"/>
    <n v="21690.68"/>
    <n v="6504.66"/>
    <n v="6507.2039999999997"/>
    <n v="2.543999999999869"/>
    <d v="2028-01-01T00:00:00"/>
  </r>
  <r>
    <x v="83"/>
    <d v="2026-09-22T00:00:00"/>
    <x v="28"/>
    <s v="LOENARDO GONZALEZ ROMERO"/>
    <s v="64806337776_x000a_"/>
    <s v="GORL631106HDFNMN05"/>
    <n v="24756366"/>
    <n v="5214273067750"/>
    <x v="2"/>
    <n v="7920.51"/>
    <n v="2286.54"/>
    <n v="2376.1529999999998"/>
    <n v="89.612999999999829"/>
    <d v="2027-10-01T00:00:00"/>
  </r>
  <r>
    <x v="83"/>
    <d v="2026-09-22T00:00:00"/>
    <x v="28"/>
    <s v="ROBERTO ELOY LUGO GONZALEZ"/>
    <s v="16925001857_x000a_"/>
    <s v="LUGR501202HMCGNB00"/>
    <n v="24754388"/>
    <n v="5217222014272"/>
    <x v="1"/>
    <n v="3855.42"/>
    <m/>
    <n v="1156.626"/>
    <n v="0"/>
    <m/>
  </r>
  <r>
    <x v="83"/>
    <d v="2026-09-23T00:00:00"/>
    <x v="64"/>
    <s v="GUSTAVO ACOSTA RAMOS"/>
    <m/>
    <s v="AORG700531HCLCMS04"/>
    <n v="24781244"/>
    <n v="8713584238"/>
    <x v="6"/>
    <n v="6411.47"/>
    <n v="1854"/>
    <n v="1923.441"/>
    <n v="69.441000000000031"/>
    <d v="2026-07-01T00:00:00"/>
  </r>
  <r>
    <x v="83"/>
    <d v="2026-09-23T00:00:00"/>
    <x v="28"/>
    <s v="EVANGELINA DE LOS ANGELES MORALES"/>
    <s v="52806200433_x000a_"/>
    <s v="AEME651020MCMNRV04"/>
    <n v="24762140"/>
    <n v="5213122418141"/>
    <x v="2"/>
    <n v="7998.45"/>
    <n v="2399.5300000000002"/>
    <n v="2399.5349999999999"/>
    <n v="4.999999999654392E-3"/>
    <d v="2026-11-01T00:00:00"/>
  </r>
  <r>
    <x v="83"/>
    <d v="2026-09-22T00:00:00"/>
    <x v="64"/>
    <s v="BEATRIZ GOMEZ RUIZ"/>
    <m/>
    <s v="GORB610606MJCMZT02"/>
    <n v="24754280"/>
    <n v="3334881675"/>
    <x v="0"/>
    <n v="9760.32"/>
    <m/>
    <n v="2928.096"/>
    <n v="2928.096"/>
    <m/>
  </r>
  <r>
    <x v="83"/>
    <d v="2026-09-23T00:00:00"/>
    <x v="28"/>
    <s v="MARIA FELIX DURAN RUIZ"/>
    <m/>
    <s v="DURF590614MVZRZL04"/>
    <n v="24780510"/>
    <n v="5219211431623"/>
    <x v="0"/>
    <n v="8633.51"/>
    <m/>
    <n v="2590.0529999999999"/>
    <n v="2590.0529999999999"/>
    <m/>
  </r>
  <r>
    <x v="83"/>
    <d v="2026-09-22T00:00:00"/>
    <x v="59"/>
    <s v="ARTURO PIEDRAS RIOS "/>
    <m/>
    <s v="PIRA650504HDFDSR06"/>
    <n v="24746116"/>
    <n v="5215534443333"/>
    <x v="0"/>
    <n v="29483.98"/>
    <m/>
    <n v="8845.1939999999995"/>
    <n v="8845.1939999999995"/>
    <m/>
  </r>
  <r>
    <x v="83"/>
    <d v="2026-09-23T00:00:00"/>
    <x v="31"/>
    <s v="FRANCISCO MORA LOZANO"/>
    <s v="04725446340"/>
    <s v="MOLF541202HJCRZR05"/>
    <n v="2"/>
    <s v="395 108 4612"/>
    <x v="1"/>
    <n v="4159.17"/>
    <m/>
    <n v="1247.751"/>
    <n v="0"/>
    <m/>
  </r>
  <r>
    <x v="83"/>
    <d v="2026-09-23T00:00:00"/>
    <x v="31"/>
    <s v="AURELIO DUQUE GUZMAN"/>
    <s v="01796088696"/>
    <s v="DUGA610925HDFQZR02"/>
    <n v="2"/>
    <s v="55 1973 5842"/>
    <x v="0"/>
    <n v="9081.52"/>
    <m/>
    <n v="2724.4560000000001"/>
    <n v="2724.4560000000001"/>
    <m/>
  </r>
  <r>
    <x v="83"/>
    <d v="2026-09-22T00:00:00"/>
    <x v="59"/>
    <s v="IRMA LILIAN RAMIREZ MONROY"/>
    <m/>
    <s v="RAMI521210MDFMNR01"/>
    <n v="24749962"/>
    <n v="5215533034697"/>
    <x v="2"/>
    <n v="28017.13"/>
    <n v="8404.84"/>
    <n v="8405.1389999999992"/>
    <n v="0.29899999999906868"/>
    <d v="2027-12-01T00:00:00"/>
  </r>
  <r>
    <x v="83"/>
    <d v="2026-08-11T00:00:00"/>
    <x v="6"/>
    <s v="SAMUEL ARMENGOL MARTINEZ"/>
    <n v="10826481599"/>
    <s v="AEMS640415HOCRRM09"/>
    <n v="23555868"/>
    <n v="5219513338866"/>
    <x v="6"/>
    <n v="9081.5"/>
    <n v="2521.3000000000002"/>
    <n v="2724.45"/>
    <n v="203.14999999999964"/>
    <d v="2026-08-01T00:00:00"/>
  </r>
  <r>
    <x v="83"/>
    <d v="2026-09-23T00:00:00"/>
    <x v="28"/>
    <s v="JESUS ARELLANO MEZA"/>
    <m/>
    <s v="AEMJ661026HCHRZS04"/>
    <n v="24782818"/>
    <n v="5216568542351"/>
    <x v="0"/>
    <n v="8181.55"/>
    <m/>
    <n v="2454.4650000000001"/>
    <n v="2454.4650000000001"/>
    <m/>
  </r>
  <r>
    <x v="83"/>
    <d v="2026-09-22T00:00:00"/>
    <x v="59"/>
    <s v="JOSE ALVARADO CASTRO"/>
    <m/>
    <s v="AACJ570517HMNLSS08"/>
    <n v="24754950"/>
    <n v="5215520544479"/>
    <x v="6"/>
    <n v="21111.31"/>
    <n v="6105.32"/>
    <n v="6333.393"/>
    <n v="228.07300000000032"/>
    <d v="2026-08-01T00:00:00"/>
  </r>
  <r>
    <x v="83"/>
    <d v="2026-09-20T00:00:00"/>
    <x v="65"/>
    <s v="JESUS GONZALEZ GALICIA"/>
    <n v="43815804620"/>
    <s v="GOGJ601218HNLNLS07"/>
    <n v="24673622"/>
    <n v="8184654141"/>
    <x v="7"/>
    <n v="13026.08"/>
    <n v="3615.82"/>
    <n v="3907.8239999999996"/>
    <n v="292.00399999999945"/>
    <d v="2025-02-01T00:00:00"/>
  </r>
  <r>
    <x v="83"/>
    <d v="2026-09-23T00:00:00"/>
    <x v="63"/>
    <s v="Guadalupe González larrea"/>
    <s v="33816499330_x000a_"/>
    <m/>
    <n v="24701992"/>
    <n v="9841565478"/>
    <x v="2"/>
    <n v="9760.32"/>
    <n v="2823.86"/>
    <n v="2928.096"/>
    <n v="104.23599999999988"/>
    <d v="2027-12-01T00:00:00"/>
  </r>
  <r>
    <x v="83"/>
    <d v="2026-09-23T00:00:00"/>
    <x v="64"/>
    <s v="ENRIQUE CARRILLO ZAMORA"/>
    <n v="55895702623"/>
    <s v="CAZE570716HNTRMN02"/>
    <n v="24761998"/>
    <n v="3112732481"/>
    <x v="2"/>
    <n v="4813.6899999999996"/>
    <n v="640"/>
    <n v="1444.1069999999997"/>
    <n v="0.71000000000003638"/>
    <d v="2028-04-01T00:00:00"/>
  </r>
  <r>
    <x v="83"/>
    <d v="2026-09-23T00:00:00"/>
    <x v="18"/>
    <s v="FRANCISCO GUEVARA VICENTE "/>
    <n v="11755639207"/>
    <m/>
    <n v="1"/>
    <n v="5582634151"/>
    <x v="9"/>
    <n v="21098.59"/>
    <n v="5188.93"/>
    <n v="6329.5770000000002"/>
    <n v="1140.6469999999999"/>
    <d v="2025-01-01T00:00:00"/>
  </r>
  <r>
    <x v="83"/>
    <d v="2026-09-23T00:00:00"/>
    <x v="31"/>
    <s v="LUIS MANUEL NOYOLA ADAME"/>
    <s v="04887157206"/>
    <s v="NOAL701122HJCYDS02"/>
    <n v="2"/>
    <n v="3329702722"/>
    <x v="1"/>
    <n v="3041.29"/>
    <n v="733"/>
    <n v="912.38699999999994"/>
    <n v="-733"/>
    <m/>
  </r>
  <r>
    <x v="83"/>
    <d v="2026-09-22T00:00:00"/>
    <x v="59"/>
    <s v="JORGE ALFREDO ALVARADO NORIEGA "/>
    <m/>
    <s v="AANJ740726HZSLRR03"/>
    <n v="24748558"/>
    <n v="5214921024870"/>
    <x v="1"/>
    <n v="3353.8500000000004"/>
    <m/>
    <n v="1006.1550000000001"/>
    <n v="0"/>
    <m/>
  </r>
  <r>
    <x v="83"/>
    <d v="2026-09-23T00:00:00"/>
    <x v="64"/>
    <s v="JOSE LUIS FLORES RODRIGUEZ"/>
    <n v="37755827541"/>
    <s v="FORL581025HCHLDS05"/>
    <n v="24783666"/>
    <n v="6568969290"/>
    <x v="2"/>
    <n v="5061.58"/>
    <n v="856.95"/>
    <n v="1518.4739999999999"/>
    <n v="31.650000000000318"/>
    <d v="2027-07-01T00:00:00"/>
  </r>
  <r>
    <x v="83"/>
    <d v="2026-09-23T00:00:00"/>
    <x v="63"/>
    <s v="Jacqueline Guach Suárez"/>
    <n v="10735405499"/>
    <m/>
    <n v="24682426"/>
    <n v="7647653506"/>
    <x v="2"/>
    <n v="37865.599999999999"/>
    <n v="11702.29"/>
    <n v="11359.679999999998"/>
    <n v="-342.6100000000024"/>
    <d v="2027-01-01T00:00:00"/>
  </r>
  <r>
    <x v="83"/>
    <d v="2026-09-12T00:00:00"/>
    <x v="13"/>
    <s v="JORGE KERBER MARTINEZ"/>
    <m/>
    <s v="KEMJ610515HVZRRR06"/>
    <n v="24412556"/>
    <n v="5219212012607"/>
    <x v="0"/>
    <n v="11029.03"/>
    <m/>
    <n v="3308.7090000000003"/>
    <n v="3308.7090000000003"/>
    <m/>
  </r>
  <r>
    <x v="83"/>
    <d v="2026-09-23T00:00:00"/>
    <x v="28"/>
    <s v="J. LUIS OPUEBLITO NUÑEZ BAUTISTA"/>
    <s v="1480632365_x000a_"/>
    <s v="NUBL630411HQTXTS00"/>
    <n v="24790916"/>
    <n v="5214428100178"/>
    <x v="0"/>
    <n v="24645.03"/>
    <n v="4541.3500000000004"/>
    <n v="7393.5089999999991"/>
    <n v="2852.1589999999987"/>
    <d v="2027-08-01T00:00:00"/>
  </r>
  <r>
    <x v="83"/>
    <d v="2026-09-23T00:00:00"/>
    <x v="59"/>
    <s v="AMADA SANCHEZ MORALES"/>
    <s v="23836307084_x000a_"/>
    <s v="SAMA630215MSLNRM08"/>
    <n v="24763584"/>
    <n v="5218112717610"/>
    <x v="0"/>
    <n v="7920.51"/>
    <m/>
    <n v="2376.1529999999998"/>
    <n v="2376.1529999999998"/>
    <m/>
  </r>
  <r>
    <x v="83"/>
    <d v="2026-09-22T00:00:00"/>
    <x v="51"/>
    <s v="TERESA DE JESUS JIMENEZ LUCIO"/>
    <n v="12725213321"/>
    <m/>
    <n v="24745514"/>
    <n v="5214771069195"/>
    <x v="1"/>
    <n v="4112.04"/>
    <m/>
    <n v="1233.6119999999999"/>
    <n v="0"/>
    <m/>
  </r>
  <r>
    <x v="83"/>
    <d v="2026-09-23T00:00:00"/>
    <x v="31"/>
    <s v="MARTIN RUBEN HERNANDEZ MIRANDA"/>
    <n v="10816278914"/>
    <s v="HEMM621006HDFRRR05"/>
    <n v="2"/>
    <n v="5536796296"/>
    <x v="2"/>
    <n v="9081.52"/>
    <n v="2627.5"/>
    <n v="2724.4560000000001"/>
    <n v="96.956000000000131"/>
    <d v="2027-03-01T00:00:00"/>
  </r>
  <r>
    <x v="83"/>
    <d v="2026-09-22T00:00:00"/>
    <x v="64"/>
    <s v="GUILLERMINA PEREZ COBA"/>
    <n v="6805713283"/>
    <s v="PECG570625MPLRBL09"/>
    <n v="24752620"/>
    <n v="5549391473"/>
    <x v="1"/>
    <n v="4653.7700000000004"/>
    <n v="879"/>
    <n v="1396.1310000000001"/>
    <n v="-398.20999999999913"/>
    <m/>
  </r>
  <r>
    <x v="83"/>
    <d v="2026-09-22T00:00:00"/>
    <x v="59"/>
    <s v="MARIA VICTORIA FLORES HUECIAS"/>
    <m/>
    <s v="FOHV610211MNTLCC09"/>
    <n v="24753816"/>
    <n v="5213112626154"/>
    <x v="2"/>
    <n v="6262.86"/>
    <n v="1810"/>
    <n v="1878.8579999999997"/>
    <n v="68.85799999999972"/>
    <d v="2027-05-01T00:00:00"/>
  </r>
  <r>
    <x v="83"/>
    <d v="2026-09-22T00:00:00"/>
    <x v="64"/>
    <s v="LUDWIG RENE MOROATO HERRERA"/>
    <n v="11927108800"/>
    <m/>
    <n v="24756884"/>
    <n v="6141569688"/>
    <x v="9"/>
    <n v="6548.83"/>
    <n v="1414.42"/>
    <n v="1964.6489999999999"/>
    <n v="550.22899999999981"/>
    <d v="2024-05-01T00:00:00"/>
  </r>
  <r>
    <x v="83"/>
    <d v="2026-09-23T00:00:00"/>
    <x v="64"/>
    <s v="MARIA DE LOURDES LAGOS ESPINOSA"/>
    <n v="61937500835"/>
    <s v="LAEL710127MPLGSR04"/>
    <n v="24789112"/>
    <n v="2227373843"/>
    <x v="2"/>
    <n v="5636.59"/>
    <n v="1690.98"/>
    <n v="1690.9770000000001"/>
    <n v="-227.36999999999944"/>
    <d v="2028-07-01T00:00:00"/>
  </r>
  <r>
    <x v="83"/>
    <d v="2026-09-23T00:00:00"/>
    <x v="28"/>
    <s v="SILVIA BALLESTEROS SAAVEDRA"/>
    <s v="14916205009_x000a_"/>
    <s v="BASS620625MGTLVL08"/>
    <n v="24757362"/>
    <n v="5214421573386"/>
    <x v="3"/>
    <n v="22710.68"/>
    <n v="6305.29"/>
    <n v="6813.2039999999997"/>
    <n v="507.91399999999976"/>
    <d v="2026-11-01T00:00:00"/>
  </r>
  <r>
    <x v="83"/>
    <d v="2026-09-23T00:00:00"/>
    <x v="59"/>
    <s v="RUBEN GUTIERREZ BUSTAMANTE "/>
    <s v="01785891126"/>
    <s v="GUBR580221HDFTSB08"/>
    <n v="24791334"/>
    <n v="5214271118085"/>
    <x v="9"/>
    <n v="16732.37"/>
    <n v="5019.71"/>
    <n v="5019.7109999999993"/>
    <n v="9.9999999929423211E-4"/>
    <d v="2024-08-01T00:00:00"/>
  </r>
  <r>
    <x v="83"/>
    <d v="2026-09-23T00:00:00"/>
    <x v="28"/>
    <s v="MARIA DEL ROSARIO LORENZA GRANADOS BOTELLO"/>
    <s v="2392671743_x000a_"/>
    <m/>
    <n v="24757628"/>
    <n v="5216671992375"/>
    <x v="3"/>
    <n v="7727.95"/>
    <n v="1775"/>
    <n v="2318.3849999999998"/>
    <n v="543.38499999999976"/>
    <d v="2026-10-01T00:00:00"/>
  </r>
  <r>
    <x v="83"/>
    <d v="2026-09-23T00:00:00"/>
    <x v="59"/>
    <s v="LOURDES ISABEL IBARRA NORIEGA"/>
    <m/>
    <s v="IANL630824MSLBRR00"/>
    <n v="24780356"/>
    <n v="5216674721617"/>
    <x v="5"/>
    <m/>
    <m/>
    <n v="0"/>
    <n v="0"/>
    <m/>
  </r>
  <r>
    <x v="83"/>
    <d v="2026-09-09T00:00:00"/>
    <x v="59"/>
    <s v="ROSALBA LUEVANO ZUÑIGA"/>
    <n v="32877013386"/>
    <s v="LUZR790316MCLVXS08"/>
    <n v="24355042"/>
    <n v="5216182323045"/>
    <x v="6"/>
    <n v="9993.1299999999992"/>
    <n v="2457.2199999999998"/>
    <n v="2997.9389999999999"/>
    <n v="540.71900000000005"/>
    <d v="2024-11-01T00:00:00"/>
  </r>
  <r>
    <x v="83"/>
    <d v="2026-09-18T00:00:00"/>
    <x v="13"/>
    <s v="JOSE CARLOS MUÑOZ ROSAS"/>
    <n v="21826304822"/>
    <s v="MURC651124HNTXSR04"/>
    <n v="24643638"/>
    <n v="5216643188445"/>
    <x v="0"/>
    <n v="9760.32"/>
    <m/>
    <n v="2928.096"/>
    <n v="2928.096"/>
    <m/>
  </r>
  <r>
    <x v="84"/>
    <d v="2026-09-23T00:00:00"/>
    <x v="64"/>
    <s v="MA MANUELA AGUERO QUEZADA"/>
    <n v="33805904704"/>
    <s v="AUQM590531MCHGZN05"/>
    <n v="24794158"/>
    <n v="6563191194"/>
    <x v="2"/>
    <n v="9060.8799999999992"/>
    <n v="2620.62"/>
    <n v="2718.2639999999997"/>
    <n v="97.643999999999778"/>
    <d v="2027-12-01T00:00:00"/>
  </r>
  <r>
    <x v="84"/>
    <d v="2026-09-23T00:00:00"/>
    <x v="51"/>
    <s v=" JULIO NORMAN LOPEZ VASQUEZ"/>
    <m/>
    <s v="LOVJ650216HSRPSL09"/>
    <n v="24792438"/>
    <n v="5216331122398"/>
    <x v="2"/>
    <n v="9760.32"/>
    <n v="2821.74"/>
    <n v="2928.096"/>
    <n v="106.35600000000022"/>
    <d v="2027-11-01T00:00:00"/>
  </r>
  <r>
    <x v="84"/>
    <d v="2026-09-23T00:00:00"/>
    <x v="28"/>
    <s v="MIGUEL ANGEL VILLANUEVA TENORIO"/>
    <s v="45897266438"/>
    <s v="VITM730317HDFLNG03"/>
    <n v="24796782"/>
    <n v="5215518370124"/>
    <x v="2"/>
    <n v="6195.02"/>
    <n v="1845.85"/>
    <n v="1858.5060000000001"/>
    <n v="12.656000000000176"/>
    <d v="2028-04-01T00:00:00"/>
  </r>
  <r>
    <x v="84"/>
    <d v="2026-09-18T00:00:00"/>
    <x v="13"/>
    <s v="DORA ELIA TORRES REYES"/>
    <s v="32786213028"/>
    <s v="TORD630311MCLRYR07"/>
    <n v="24638084"/>
    <n v="5218771123500"/>
    <x v="2"/>
    <n v="7128.48"/>
    <n v="1979.12"/>
    <n v="2138.5439999999999"/>
    <n v="159.42399999999998"/>
    <d v="2026-12-01T00:00:00"/>
  </r>
  <r>
    <x v="84"/>
    <d v="2026-09-24T00:00:00"/>
    <x v="64"/>
    <s v="VICTOR BRAVO BRAVO"/>
    <n v="43937749851"/>
    <m/>
    <n v="24800074"/>
    <n v="8140112647"/>
    <x v="1"/>
    <n v="3517.29"/>
    <m/>
    <n v="1055.1869999999999"/>
    <n v="0"/>
    <m/>
  </r>
  <r>
    <x v="84"/>
    <d v="2026-09-24T00:00:00"/>
    <x v="31"/>
    <s v="JOSE LUIS FRANCO MUÑOZ"/>
    <n v="54816252461"/>
    <s v="FAML620518HJCRXS02"/>
    <n v="2"/>
    <n v="3329739227"/>
    <x v="2"/>
    <n v="17822.34"/>
    <n v="5346.7"/>
    <n v="5346.7020000000002"/>
    <n v="2.0000000004074536E-3"/>
    <d v="2027-12-01T00:00:00"/>
  </r>
  <r>
    <x v="84"/>
    <d v="2026-09-23T00:00:00"/>
    <x v="59"/>
    <s v="ERNESTO HERNANDEZ MARTINEZ"/>
    <m/>
    <s v="HEME660716HDFRRR08"/>
    <n v="24800070"/>
    <n v="5215515930722"/>
    <x v="0"/>
    <n v="10636.54"/>
    <m/>
    <n v="3190.962"/>
    <n v="3190.962"/>
    <m/>
  </r>
  <r>
    <x v="84"/>
    <d v="2026-09-24T00:00:00"/>
    <x v="64"/>
    <s v="MIGUEL ANGEL GAXIOLA AVILA"/>
    <n v="1185660853"/>
    <s v="GAAM660726HDFXVG06"/>
    <n v="24802282"/>
    <n v="5613526431"/>
    <x v="0"/>
    <n v="12803.380000000001"/>
    <m/>
    <n v="3841.0140000000001"/>
    <n v="3841.0140000000001"/>
    <m/>
  </r>
  <r>
    <x v="84"/>
    <d v="2026-09-24T00:00:00"/>
    <x v="28"/>
    <s v="IDELFONOS GALLEGOS GUEMEZ"/>
    <s v="83836505244"/>
    <m/>
    <n v="24810288"/>
    <n v="5219331522757"/>
    <x v="0"/>
    <n v="10171.23"/>
    <m/>
    <n v="3051.3689999999997"/>
    <n v="3051.3689999999997"/>
    <m/>
  </r>
  <r>
    <x v="84"/>
    <d v="2026-09-24T00:00:00"/>
    <x v="31"/>
    <s v="GILBERTO GOMEZ GONZALEZ"/>
    <m/>
    <s v="GOGG350130HMCMNL06"/>
    <n v="2"/>
    <n v="9331021834"/>
    <x v="5"/>
    <m/>
    <m/>
    <n v="0"/>
    <n v="0"/>
    <m/>
  </r>
  <r>
    <x v="84"/>
    <d v="2026-09-15T00:00:00"/>
    <x v="28"/>
    <s v="LUZ MARIA VAZQUEZ CRISOSTOMO"/>
    <s v="51816423555_x000a_"/>
    <s v="VACL640513MDFZRZ02"/>
    <n v="24488398"/>
    <n v="5214495898160"/>
    <x v="0"/>
    <n v="11029.03"/>
    <m/>
    <n v="3308.7090000000003"/>
    <n v="3308.7090000000003"/>
    <m/>
  </r>
  <r>
    <x v="84"/>
    <d v="2026-09-24T00:00:00"/>
    <x v="64"/>
    <m/>
    <n v="65675018264"/>
    <m/>
    <n v="24811230"/>
    <n v="8994962705"/>
    <x v="9"/>
    <n v="8146.82"/>
    <n v="2258.4699999999998"/>
    <n v="2444.0459999999998"/>
    <n v="185.57600000000002"/>
    <d v="2026-06-01T00:00:00"/>
  </r>
  <r>
    <x v="84"/>
    <d v="2026-09-19T00:00:00"/>
    <x v="6"/>
    <s v="FELIPE EDUARDO CABELLO GONZALEZ "/>
    <m/>
    <s v="CAGF660610HDFBNL08"/>
    <n v="24512994"/>
    <n v="5215540988746"/>
    <x v="0"/>
    <n v="48443.45"/>
    <n v="10479.31"/>
    <n v="14533.034999999998"/>
    <n v="4053.7249999999985"/>
    <d v="2028-09-01T00:00:00"/>
  </r>
  <r>
    <x v="84"/>
    <d v="2026-09-24T00:00:00"/>
    <x v="31"/>
    <s v="J JESUS ROCHA AMEZCUA"/>
    <n v="56766413147"/>
    <s v="ROAJ640704HJCCMS01"/>
    <n v="2"/>
    <n v="3331792740"/>
    <x v="2"/>
    <n v="9081.52"/>
    <n v="2518.37"/>
    <n v="2724.4560000000001"/>
    <n v="206.08600000000024"/>
    <d v="2026-12-01T00:00:00"/>
  </r>
  <r>
    <x v="84"/>
    <d v="2026-09-23T00:00:00"/>
    <x v="59"/>
    <s v="MANUEL VALDIVIA VALLEJO"/>
    <n v="32806407931"/>
    <m/>
    <n v="24798358"/>
    <n v="5218717845861"/>
    <x v="0"/>
    <n v="21450.71"/>
    <m/>
    <n v="6435.2129999999997"/>
    <n v="6435.2129999999997"/>
    <m/>
  </r>
  <r>
    <x v="84"/>
    <d v="2026-09-23T00:00:00"/>
    <x v="59"/>
    <s v="JULIO CESAR CASTILLO MORALES"/>
    <m/>
    <s v="CAMJ750105HYNSRL09"/>
    <n v="24794068"/>
    <n v="5219992255138"/>
    <x v="2"/>
    <n v="8181.55"/>
    <n v="2154.94"/>
    <n v="2454.4650000000001"/>
    <n v="299.52500000000009"/>
    <d v="2027-05-01T00:00:00"/>
  </r>
  <r>
    <x v="84"/>
    <d v="2026-09-24T00:00:00"/>
    <x v="64"/>
    <m/>
    <n v="71816513239"/>
    <m/>
    <n v="24806450"/>
    <n v="9616608091"/>
    <x v="2"/>
    <n v="9760.32"/>
    <n v="2809.95"/>
    <n v="2928.096"/>
    <n v="118.14600000000019"/>
    <d v="2027-08-01T00:00:00"/>
  </r>
  <r>
    <x v="84"/>
    <d v="2026-09-24T00:00:00"/>
    <x v="64"/>
    <s v="FERNANDO MARTINEZ COVARRUBIAS"/>
    <n v="16846405401"/>
    <s v="MACF640302HDFRVR01"/>
    <n v="24815046"/>
    <n v="5626088170"/>
    <x v="0"/>
    <n v="9081.52"/>
    <n v="1482.45"/>
    <n v="2724.4560000000001"/>
    <n v="1242.0060000000001"/>
    <d v="2028-03-01T00:00:00"/>
  </r>
  <r>
    <x v="84"/>
    <d v="2026-09-24T00:00:00"/>
    <x v="31"/>
    <s v="NICOLAS MARTIN AVILA ENRIQUEZ"/>
    <n v="63846308649"/>
    <s v="AIEN630925HDFVNC03"/>
    <n v="2"/>
    <n v="5620875105"/>
    <x v="2"/>
    <n v="8385.9599999999991"/>
    <n v="2510.9299999999998"/>
    <n v="2515.7879999999996"/>
    <n v="4.8579999999997199"/>
    <d v="2028-08-01T00:00:00"/>
  </r>
  <r>
    <x v="84"/>
    <d v="2026-09-24T00:00:00"/>
    <x v="28"/>
    <s v="TEOFILO ZAVALA ABREGO"/>
    <m/>
    <s v="ZAAT650913HGTVBF00"/>
    <n v="24806836"/>
    <n v="5214451585108"/>
    <x v="0"/>
    <n v="10636.54"/>
    <m/>
    <n v="3190.962"/>
    <n v="3190.962"/>
    <m/>
  </r>
  <r>
    <x v="84"/>
    <d v="2026-09-24T00:00:00"/>
    <x v="31"/>
    <s v="JUAN LUIS PEREZ LIMON"/>
    <s v="01725336661"/>
    <s v="PELJ530107HTSRMN03"/>
    <n v="2"/>
    <n v="5639339008"/>
    <x v="2"/>
    <n v="9760.32"/>
    <n v="2928"/>
    <n v="2928.096"/>
    <n v="9.6000000000003638E-2"/>
    <d v="2028-05-01T00:00:00"/>
  </r>
  <r>
    <x v="84"/>
    <d v="2026-09-24T00:00:00"/>
    <x v="28"/>
    <s v="RAFAEL ALARCON DIAZ"/>
    <s v="65795311250_x000a_"/>
    <m/>
    <n v="24816960"/>
    <n v="5212969640074"/>
    <x v="3"/>
    <n v="4561.97"/>
    <m/>
    <n v="1368.5910000000001"/>
    <n v="388.99000000000069"/>
    <m/>
  </r>
  <r>
    <x v="84"/>
    <d v="2026-09-24T00:00:00"/>
    <x v="51"/>
    <s v="FRANCISCO RODAS RUIZ "/>
    <n v="21855701252"/>
    <s v="RORF570615HSRDZR06"/>
    <n v="24817516"/>
    <n v="5216643400143"/>
    <x v="2"/>
    <n v="4813.6899999999996"/>
    <n v="617.9"/>
    <n v="1444.1069999999997"/>
    <n v="22.810000000000059"/>
    <d v="2027-12-01T00:00:00"/>
  </r>
  <r>
    <x v="84"/>
    <d v="2026-09-24T00:00:00"/>
    <x v="51"/>
    <s v="CARMEN MORENO SERRANO"/>
    <n v="63937600722"/>
    <s v="MOSC521215MDFRRR07"/>
    <n v="24817578"/>
    <n v="5214422264230"/>
    <x v="4"/>
    <m/>
    <m/>
    <n v="0"/>
    <n v="0"/>
    <m/>
  </r>
  <r>
    <x v="84"/>
    <d v="2026-09-24T00:00:00"/>
    <x v="28"/>
    <s v="MARTIN VERDUGO CHAPARRO"/>
    <m/>
    <s v="VECM650403HCHRHR00"/>
    <n v="24812328"/>
    <n v="5216251461390"/>
    <x v="2"/>
    <n v="9760.32"/>
    <n v="2928.1"/>
    <n v="2928.096"/>
    <n v="-3.9999999999054126E-3"/>
    <d v="2028-08-01T00:00:00"/>
  </r>
  <r>
    <x v="84"/>
    <d v="2026-09-24T00:00:00"/>
    <x v="51"/>
    <s v="VICTOR CUEVAS CARRILLO"/>
    <m/>
    <s v="CUCV650505HSLVRC03"/>
    <n v="24817990"/>
    <n v="5216728545743"/>
    <x v="2"/>
    <n v="9760.32"/>
    <n v="2925.63"/>
    <n v="2928.096"/>
    <n v="2.4659999999998945"/>
    <d v="2028-08-01T00:00:00"/>
  </r>
  <r>
    <x v="84"/>
    <d v="2026-09-24T00:00:00"/>
    <x v="28"/>
    <s v="MIGUEL ANGEL ORTEGA CARDENAS"/>
    <m/>
    <s v="OECM560611HDFRRG00"/>
    <n v="24800206"/>
    <n v="5215529035494"/>
    <x v="2"/>
    <n v="35032.300000000003"/>
    <n v="10509.69"/>
    <n v="10509.69"/>
    <n v="0"/>
    <d v="2028-04-01T00:00:00"/>
  </r>
  <r>
    <x v="84"/>
    <d v="2026-09-16T00:00:00"/>
    <x v="62"/>
    <s v="MIGUEL SANCHEZ TREJO"/>
    <n v="19806215034"/>
    <m/>
    <n v="24509568"/>
    <n v="5643625344"/>
    <x v="9"/>
    <n v="76352.17"/>
    <n v="19849.46"/>
    <n v="22905.650999999998"/>
    <n v="3056.1909999999989"/>
    <d v="2025-04-01T00:00:00"/>
  </r>
  <r>
    <x v="84"/>
    <d v="2026-09-24T00:00:00"/>
    <x v="51"/>
    <s v="MARGARITO ESCOBEDO CUENTAS"/>
    <m/>
    <s v="EOCM620406HNTSNR05"/>
    <n v="24818116"/>
    <n v="5213222423204"/>
    <x v="6"/>
    <n v="9081.52"/>
    <n v="2521.35"/>
    <n v="2724.4560000000001"/>
    <n v="203.10600000000022"/>
    <d v="2026-08-01T00:00:00"/>
  </r>
  <r>
    <x v="84"/>
    <d v="2026-09-24T00:00:00"/>
    <x v="51"/>
    <s v="EDITA CIPRIANO BASULTO"/>
    <n v="65725601028"/>
    <s v="CIBE600916MVZPSD04"/>
    <n v="24816418"/>
    <n v="5219222075901"/>
    <x v="7"/>
    <n v="4723.55"/>
    <n v="855"/>
    <n v="1417.0650000000001"/>
    <n v="-304.42999999999938"/>
    <d v="2025-05-01T00:00:00"/>
  </r>
  <r>
    <x v="84"/>
    <d v="2026-09-24T00:00:00"/>
    <x v="28"/>
    <s v="MIGUEL ANGEL GARCIA ORTEGA"/>
    <s v="65876715148_x000a_"/>
    <s v="GAOM670510HVZRRG06"/>
    <n v="24818254"/>
    <n v="5218142282981"/>
    <x v="2"/>
    <n v="8181.55"/>
    <n v="2453.06"/>
    <n v="2454.4650000000001"/>
    <n v="1.4050000000002001"/>
    <d v="2028-08-01T00:00:00"/>
  </r>
  <r>
    <x v="84"/>
    <d v="2026-09-23T00:00:00"/>
    <x v="59"/>
    <s v="JOSE DEL CARMEN LOPEZ RUIZ"/>
    <m/>
    <s v="LORC621029HTCPZR00"/>
    <n v="24796288"/>
    <n v="5219611794650"/>
    <x v="2"/>
    <n v="14377.91"/>
    <n v="4159.45"/>
    <n v="4313.3729999999996"/>
    <n v="153.92299999999977"/>
    <d v="2027-05-01T00:00:00"/>
  </r>
  <r>
    <x v="84"/>
    <d v="2026-09-14T00:00:00"/>
    <x v="6"/>
    <s v="MARCO ANTONIO MUÑOZ UGARTE "/>
    <m/>
    <s v="MUUM560703HDFXGR04"/>
    <n v="24456424"/>
    <n v="5216564225922"/>
    <x v="2"/>
    <n v="18993.07"/>
    <n v="5685.73"/>
    <n v="5697.9209999999994"/>
    <n v="12.190999999999804"/>
    <d v="2028-05-01T00:00:00"/>
  </r>
  <r>
    <x v="84"/>
    <d v="2026-09-24T00:00:00"/>
    <x v="31"/>
    <s v="CARLOS GUADALUPE LOPEZ CHAVEZ"/>
    <s v="03675038982"/>
    <s v="LOCC501212HNLPHR08"/>
    <n v="2"/>
    <n v="8119865194"/>
    <x v="2"/>
    <n v="5530.82"/>
    <n v="1307.72"/>
    <n v="1659.2459999999999"/>
    <n v="50.120000000000118"/>
    <d v="2027-12-01T00:00:00"/>
  </r>
  <r>
    <x v="84"/>
    <d v="2026-09-24T00:00:00"/>
    <x v="51"/>
    <s v="LUIS ALBERTO TEJEDA ZAPATA"/>
    <m/>
    <s v="TEZL751123HVZJPS06"/>
    <n v="24819504"/>
    <n v="5215638682693"/>
    <x v="2"/>
    <n v="5060.93"/>
    <n v="886.19"/>
    <n v="1518.279"/>
    <n v="1.760000000000673"/>
    <d v="2028-08-01T00:00:00"/>
  </r>
  <r>
    <x v="84"/>
    <d v="2026-09-24T00:00:00"/>
    <x v="51"/>
    <s v="ARNOLD RAMOS NAJAR"/>
    <m/>
    <s v="RANA640329HCLMJR02"/>
    <n v="24818098"/>
    <n v="5218691009084"/>
    <x v="2"/>
    <n v="7920.51"/>
    <n v="2184.3200000000002"/>
    <n v="2376.1529999999998"/>
    <n v="191.83299999999963"/>
    <d v="2027-01-01T00:00:00"/>
  </r>
  <r>
    <x v="84"/>
    <d v="2026-09-24T00:00:00"/>
    <x v="51"/>
    <s v="J. NATIVIDAD ALVAREZ ALVAREZ"/>
    <m/>
    <s v="AAAN650109HZSLLT03"/>
    <n v="24820162"/>
    <n v="5214491118373"/>
    <x v="0"/>
    <n v="30393.61"/>
    <n v="3201.74"/>
    <n v="9118.0830000000005"/>
    <n v="5916.3430000000008"/>
    <d v="2027-12-01T00:00:00"/>
  </r>
  <r>
    <x v="85"/>
    <d v="2026-09-25T00:00:00"/>
    <x v="31"/>
    <s v="GILBERTO GOMEZ GONZALEZ"/>
    <s v="0623526389"/>
    <m/>
    <n v="2"/>
    <n v="9331021834"/>
    <x v="5"/>
    <m/>
    <m/>
    <n v="0"/>
    <n v="0"/>
    <m/>
  </r>
  <r>
    <x v="85"/>
    <d v="2026-09-24T00:00:00"/>
    <x v="59"/>
    <s v="JOSE MANCILLA ROSENDO "/>
    <s v="72785202176_x000a_"/>
    <s v="MARJ520715HGRNSS09"/>
    <n v="24820244"/>
    <n v="5217441603524"/>
    <x v="5"/>
    <m/>
    <m/>
    <n v="0"/>
    <n v="0"/>
    <m/>
  </r>
  <r>
    <x v="85"/>
    <d v="2026-09-24T00:00:00"/>
    <x v="28"/>
    <s v="SERGIO FRAZCO SANDOVAL"/>
    <s v="53886300259_x000a_"/>
    <s v="FASS631119HMNRNR00"/>
    <n v="24820678"/>
    <n v="5214432392646"/>
    <x v="2"/>
    <n v="9760.32"/>
    <n v="2823.89"/>
    <n v="2928.096"/>
    <n v="104.20600000000013"/>
    <d v="2027-11-01T00:00:00"/>
  </r>
  <r>
    <x v="85"/>
    <d v="2026-09-25T00:00:00"/>
    <x v="31"/>
    <s v="JUAN PABLO PERALES GOMEZ"/>
    <n v="4383657771"/>
    <s v="PEGJ651116HNLRMN07"/>
    <n v="2"/>
    <n v="8128903403"/>
    <x v="2"/>
    <n v="10636.54"/>
    <n v="3187.8"/>
    <n v="3190.962"/>
    <n v="3.1619999999998072"/>
    <d v="2028-08-01T00:00:00"/>
  </r>
  <r>
    <x v="85"/>
    <d v="2026-09-25T00:00:00"/>
    <x v="31"/>
    <s v="JOSE LUIS CAJAL COLORADO"/>
    <n v="75826200588"/>
    <s v="CACL630824HDFJLS07"/>
    <n v="2"/>
    <n v="5575583382"/>
    <x v="2"/>
    <n v="34068.19"/>
    <n v="10218.67"/>
    <n v="10220.457"/>
    <n v="1.7870000000002619"/>
    <d v="2027-03-01T00:00:00"/>
  </r>
  <r>
    <x v="85"/>
    <d v="2026-09-25T00:00:00"/>
    <x v="28"/>
    <s v="MARTIN RENE RUIZ VIZCARRA"/>
    <s v="33967825960"/>
    <s v="RUVM751111HCHZZR02"/>
    <n v="24832784"/>
    <n v="5216145378090"/>
    <x v="9"/>
    <n v="5077.9799999999996"/>
    <n v="1078.5"/>
    <n v="1523.3939999999998"/>
    <n v="-173.5"/>
    <d v="2024-06-01T00:00:00"/>
  </r>
  <r>
    <x v="85"/>
    <d v="2026-09-24T00:00:00"/>
    <x v="59"/>
    <s v="AIMER GOMEZ MEZA"/>
    <s v="80906572773_x000a_"/>
    <s v="GOMA650726HCSMZM01"/>
    <n v="24832986"/>
    <n v="5219616765924"/>
    <x v="5"/>
    <m/>
    <m/>
    <n v="0"/>
    <n v="0"/>
    <m/>
  </r>
  <r>
    <x v="85"/>
    <d v="2026-09-25T00:00:00"/>
    <x v="28"/>
    <s v="SILVIA HERNÁNDEZ ÁLVAREZ"/>
    <s v="01492807720"/>
    <s v="HEAS571125MMNRLL07"/>
    <n v="24831248"/>
    <n v="5219984258378"/>
    <x v="1"/>
    <n v="3632.16"/>
    <m/>
    <n v="1089.6479999999999"/>
    <n v="0"/>
    <m/>
  </r>
  <r>
    <x v="85"/>
    <d v="2026-09-05T00:00:00"/>
    <x v="13"/>
    <s v="VICTOR MANUEL ZAMORA BARRIOS"/>
    <n v="49856204778"/>
    <s v="ZABV621225HVZMRC03"/>
    <n v="24268712"/>
    <n v="5219381377239"/>
    <x v="3"/>
    <n v="50512.14"/>
    <n v="14146.06"/>
    <n v="15153.642"/>
    <n v="1007.5820000000003"/>
    <d v="2027-11-01T00:00:00"/>
  </r>
  <r>
    <x v="85"/>
    <d v="2026-09-25T00:00:00"/>
    <x v="59"/>
    <s v="JOSE EDUARDO HERRERA FLORES"/>
    <m/>
    <s v="HEFE621020HPLRLD07"/>
    <n v="24836840"/>
    <n v="5212227640000"/>
    <x v="2"/>
    <n v="9504.7000000000007"/>
    <n v="2851.41"/>
    <n v="2851.4100000000003"/>
    <n v="0"/>
    <d v="2028-07-01T00:00:00"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m/>
    <x v="11"/>
    <m/>
    <m/>
    <m/>
    <m/>
    <m/>
  </r>
  <r>
    <x v="86"/>
    <m/>
    <x v="66"/>
    <m/>
    <m/>
    <m/>
    <m/>
    <s v=" "/>
    <x v="11"/>
    <m/>
    <m/>
    <m/>
    <m/>
    <m/>
  </r>
  <r>
    <x v="86"/>
    <m/>
    <x v="66"/>
    <m/>
    <m/>
    <m/>
    <m/>
    <m/>
    <x v="1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5546C-BC91-4E9D-AD7F-14C1DACB5BAC}" name="TablaDinámica1" cacheId="5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G11" firstHeaderRow="1" firstDataRow="2" firstDataCol="1" rowPageCount="1" colPageCount="1"/>
  <pivotFields count="14">
    <pivotField axis="axisPage" compact="0" outline="0" multipleItemSelectionAllowed="1" showAll="0">
      <items count="88">
        <item h="1" x="6"/>
        <item h="1" x="17"/>
        <item h="1" x="18"/>
        <item h="1" x="19"/>
        <item h="1" x="20"/>
        <item h="1" x="21"/>
        <item h="1" x="22"/>
        <item h="1" x="37"/>
        <item h="1" x="86"/>
        <item h="1" x="23"/>
        <item h="1" x="16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15"/>
        <item h="1" x="0"/>
        <item h="1" x="1"/>
        <item h="1" x="2"/>
        <item h="1" x="3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t="default"/>
      </items>
    </pivotField>
    <pivotField compact="0" outline="0" showAll="0"/>
    <pivotField axis="axisRow" compact="0" outline="0" showAll="0" sortType="ascending">
      <items count="69">
        <item x="18"/>
        <item x="16"/>
        <item x="33"/>
        <item x="20"/>
        <item x="48"/>
        <item x="57"/>
        <item x="54"/>
        <item x="46"/>
        <item x="37"/>
        <item x="45"/>
        <item x="64"/>
        <item x="55"/>
        <item x="50"/>
        <item x="19"/>
        <item x="5"/>
        <item x="8"/>
        <item x="41"/>
        <item x="7"/>
        <item x="38"/>
        <item x="12"/>
        <item x="28"/>
        <item x="0"/>
        <item x="58"/>
        <item x="29"/>
        <item x="51"/>
        <item x="17"/>
        <item x="39"/>
        <item x="3"/>
        <item x="62"/>
        <item x="26"/>
        <item x="15"/>
        <item x="44"/>
        <item x="1"/>
        <item x="65"/>
        <item x="47"/>
        <item x="61"/>
        <item x="13"/>
        <item x="52"/>
        <item x="11"/>
        <item x="24"/>
        <item x="30"/>
        <item x="63"/>
        <item x="25"/>
        <item x="42"/>
        <item x="32"/>
        <item x="10"/>
        <item x="23"/>
        <item x="9"/>
        <item x="35"/>
        <item x="60"/>
        <item x="53"/>
        <item x="49"/>
        <item x="36"/>
        <item x="21"/>
        <item x="4"/>
        <item x="40"/>
        <item x="6"/>
        <item x="59"/>
        <item x="2"/>
        <item m="1" x="67"/>
        <item x="14"/>
        <item x="34"/>
        <item x="31"/>
        <item x="22"/>
        <item x="56"/>
        <item x="43"/>
        <item x="27"/>
        <item x="6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14">
        <item x="0"/>
        <item x="3"/>
        <item x="6"/>
        <item x="7"/>
        <item x="9"/>
        <item h="1" x="2"/>
        <item h="1" x="1"/>
        <item h="1" x="4"/>
        <item h="1" x="10"/>
        <item h="1" x="5"/>
        <item h="1" x="8"/>
        <item h="1" x="11"/>
        <item h="1" m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 v="10"/>
    </i>
    <i>
      <x v="20"/>
    </i>
    <i>
      <x v="24"/>
    </i>
    <i>
      <x v="28"/>
    </i>
    <i>
      <x v="56"/>
    </i>
    <i>
      <x v="5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Recuento de ESTATUS" fld="8" subtotal="count" baseField="0" baseItem="0"/>
  </dataFields>
  <formats count="10">
    <format dxfId="108">
      <pivotArea type="all" dataOnly="0" outline="0" fieldPosition="0"/>
    </format>
    <format dxfId="109">
      <pivotArea outline="0" collapsedLevelsAreSubtotals="1" fieldPosition="0"/>
    </format>
    <format dxfId="110">
      <pivotArea type="origin" dataOnly="0" labelOnly="1" outline="0" fieldPosition="0"/>
    </format>
    <format dxfId="111">
      <pivotArea field="8" type="button" dataOnly="0" labelOnly="1" outline="0" axis="axisCol" fieldPosition="0"/>
    </format>
    <format dxfId="112">
      <pivotArea type="topRight" dataOnly="0" labelOnly="1" outline="0" fieldPosition="0"/>
    </format>
    <format dxfId="113">
      <pivotArea field="2" type="button" dataOnly="0" labelOnly="1" outline="0" axis="axisRow" fieldPosition="0"/>
    </format>
    <format dxfId="114">
      <pivotArea dataOnly="0" labelOnly="1" outline="0" fieldPosition="0">
        <references count="1">
          <reference field="2" count="0"/>
        </references>
      </pivotArea>
    </format>
    <format dxfId="115">
      <pivotArea dataOnly="0" labelOnly="1" grandRow="1" outline="0" fieldPosition="0"/>
    </format>
    <format dxfId="116">
      <pivotArea dataOnly="0" labelOnly="1" outline="0" fieldPosition="0">
        <references count="1">
          <reference field="8" count="8">
            <x v="0"/>
            <x v="1"/>
            <x v="2"/>
            <x v="4"/>
            <x v="5"/>
            <x v="6"/>
            <x v="7"/>
            <x v="12"/>
          </reference>
        </references>
      </pivotArea>
    </format>
    <format dxfId="117">
      <pivotArea dataOnly="0" labelOnly="1" grandCol="1" outline="0" fieldPosition="0"/>
    </format>
  </format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X5214" totalsRowShown="0">
  <autoFilter ref="A1:X5214" xr:uid="{00000000-0009-0000-0100-000001000000}">
    <filterColumn colId="5">
      <filters>
        <dateGroupItem year="2026" month="9" dateTimeGrouping="month"/>
      </filters>
    </filterColumn>
  </autoFilter>
  <tableColumns count="24">
    <tableColumn id="1" xr3:uid="{00000000-0010-0000-0000-000001000000}" name="Id" dataDxfId="5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5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5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ECHA" dataDxfId="50">
      <extLst>
        <ext xmlns:xlmsforms="http://schemas.microsoft.com/office/spreadsheetml/2023/msForms" uri="{FCC71383-01E1-4257-9335-427F07BE8D7F}">
          <xlmsforms:question id="r943dc22602ee40dcbce809b45c319f50"/>
        </ext>
      </extLst>
    </tableColumn>
    <tableColumn id="7" xr3:uid="{00000000-0010-0000-0000-000007000000}" name="FECHA KOMMO" dataDxfId="49">
      <extLst>
        <ext xmlns:xlmsforms="http://schemas.microsoft.com/office/spreadsheetml/2023/msForms" uri="{FCC71383-01E1-4257-9335-427F07BE8D7F}">
          <xlmsforms:question id="r704be5f5e1654c7f8f5a8c4aa1df364b"/>
        </ext>
      </extLst>
    </tableColumn>
    <tableColumn id="8" xr3:uid="{00000000-0010-0000-0000-000008000000}" name="Asesor" dataDxfId="48">
      <extLst>
        <ext xmlns:xlmsforms="http://schemas.microsoft.com/office/spreadsheetml/2023/msForms" uri="{FCC71383-01E1-4257-9335-427F07BE8D7F}">
          <xlmsforms:question id="r818d84eb820f495f8819a2e95ed50492"/>
        </ext>
      </extLst>
    </tableColumn>
    <tableColumn id="9" xr3:uid="{00000000-0010-0000-0000-000009000000}" name="NOMBRE CLIENTE" dataDxfId="47">
      <extLst>
        <ext xmlns:xlmsforms="http://schemas.microsoft.com/office/spreadsheetml/2023/msForms" uri="{FCC71383-01E1-4257-9335-427F07BE8D7F}">
          <xlmsforms:question id="r7c3dcc5e66234fb9a258950bf6a70413"/>
        </ext>
      </extLst>
    </tableColumn>
    <tableColumn id="10" xr3:uid="{00000000-0010-0000-0000-00000A000000}" name="NSS" dataDxfId="46">
      <extLst>
        <ext xmlns:xlmsforms="http://schemas.microsoft.com/office/spreadsheetml/2023/msForms" uri="{FCC71383-01E1-4257-9335-427F07BE8D7F}">
          <xlmsforms:question id="r3b7e97cdaa904051b7dc088d6c8dc6de"/>
        </ext>
      </extLst>
    </tableColumn>
    <tableColumn id="11" xr3:uid="{00000000-0010-0000-0000-00000B000000}" name="CURP" dataDxfId="45">
      <extLst>
        <ext xmlns:xlmsforms="http://schemas.microsoft.com/office/spreadsheetml/2023/msForms" uri="{FCC71383-01E1-4257-9335-427F07BE8D7F}">
          <xlmsforms:question id="r9d7ad6f2d2ae4554ae2c129855a724b4"/>
        </ext>
      </extLst>
    </tableColumn>
    <tableColumn id="12" xr3:uid="{00000000-0010-0000-0000-00000C000000}" name="LEAD" dataDxfId="44">
      <extLst>
        <ext xmlns:xlmsforms="http://schemas.microsoft.com/office/spreadsheetml/2023/msForms" uri="{FCC71383-01E1-4257-9335-427F07BE8D7F}">
          <xlmsforms:question id="rb71e8b55ed4b4f9b89a833ea3c16fd59"/>
        </ext>
      </extLst>
    </tableColumn>
    <tableColumn id="13" xr3:uid="{00000000-0010-0000-0000-00000D000000}" name="TELEFONO" dataDxfId="43">
      <extLst>
        <ext xmlns:xlmsforms="http://schemas.microsoft.com/office/spreadsheetml/2023/msForms" uri="{FCC71383-01E1-4257-9335-427F07BE8D7F}">
          <xlmsforms:question id="r84e5befadf824768995f34939ec20b06"/>
        </ext>
      </extLst>
    </tableColumn>
    <tableColumn id="14" xr3:uid="{676BDF92-55B9-45FA-A74C-411F38D2DAD6}" name="ESTATUS" dataDxfId="42"/>
    <tableColumn id="15" xr3:uid="{9EA447B7-5E6D-47BC-AA0E-A07860C2E265}" name=" INFORMEDEPAGO " dataDxfId="41"/>
    <tableColumn id="16" xr3:uid="{C7F4C25F-DEBF-4DFC-8141-5F9A038F8359}" name="DESCUENTOS" dataDxfId="40"/>
    <tableColumn id="17" xr3:uid="{D2E5245A-79E5-4600-9A93-4F3E9A24E4C4}" name="$0.30 " dataDxfId="39"/>
    <tableColumn id="18" xr3:uid="{1D245FF1-E71E-49A3-9099-5DA9D7F8A5BE}" name="CAPACIDAD" dataDxfId="38"/>
    <tableColumn id="19" xr3:uid="{FFA8840A-DB2B-405B-8859-E5B84EC1A1BD}" name="VENCIMIENTO" dataDxfId="37"/>
    <tableColumn id="20" xr3:uid="{4C2EFB16-D297-4227-9087-87218DE82F23}" name="FINANCIERA " dataDxfId="36"/>
    <tableColumn id="23" xr3:uid="{225CAA09-5466-47D3-B2CF-B775AC5AA446}" name="Monto compra" dataDxfId="35"/>
    <tableColumn id="21" xr3:uid="{ABFA4C18-6D2C-4BBB-A58E-6DE2A76DBF58}" name="Asignado" dataDxfId="34"/>
    <tableColumn id="22" xr3:uid="{5EB357C6-A630-4ACE-9F40-D6181D95413C}" name="Fecha asignacion" dataDxfId="33"/>
    <tableColumn id="26" xr3:uid="{506B1D4C-CE95-489B-B21B-C78C50F2BBB0}" name="CUENTA PANTALLAS" dataDxfId="32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Rt9i3qHdBEKBxV90VsKlY5AZOSHcvcJHpFcRhygsQuZUQzFYNDlKMk5TMjlOSEc1QVRVWDc3RldRTy4u" isFormConnected="1" maxResponseId="3656" latestEventMarker="365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r943dc22602ee40dcbce809b45c319f50</xlmsforms:syncedQuestionId>
        <xlmsforms:syncedQuestionId>r704be5f5e1654c7f8f5a8c4aa1df364b</xlmsforms:syncedQuestionId>
        <xlmsforms:syncedQuestionId>r818d84eb820f495f8819a2e95ed50492</xlmsforms:syncedQuestionId>
        <xlmsforms:syncedQuestionId>r7c3dcc5e66234fb9a258950bf6a70413</xlmsforms:syncedQuestionId>
        <xlmsforms:syncedQuestionId>r3b7e97cdaa904051b7dc088d6c8dc6de</xlmsforms:syncedQuestionId>
        <xlmsforms:syncedQuestionId>r9d7ad6f2d2ae4554ae2c129855a724b4</xlmsforms:syncedQuestionId>
        <xlmsforms:syncedQuestionId>rb71e8b55ed4b4f9b89a833ea3c16fd59</xlmsforms:syncedQuestionId>
        <xlmsforms:syncedQuestionId>r84e5befadf824768995f34939ec20b06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434740-1A77-460A-85FF-3C90B983342B}" name="Tabla2" displayName="Tabla2" ref="B2:H171" totalsRowShown="0" headerRowDxfId="8" dataDxfId="7">
  <autoFilter ref="B2:H171" xr:uid="{9B434740-1A77-460A-85FF-3C90B983342B}"/>
  <tableColumns count="7">
    <tableColumn id="1" xr3:uid="{A75B7442-1B5D-403C-9C1F-9ACA4F16B1F2}" name="ASESOR" dataDxfId="6"/>
    <tableColumn id="2" xr3:uid="{1EDDBA50-EB99-4224-81E3-83737A248752}" name="NSS" dataDxfId="5"/>
    <tableColumn id="3" xr3:uid="{83E58080-1E9C-46AF-86BE-EFF42922BAEF}" name="CURP" dataDxfId="4"/>
    <tableColumn id="4" xr3:uid="{60318CB0-EC7B-4146-933F-D281CA147518}" name="LEAD" dataDxfId="3"/>
    <tableColumn id="5" xr3:uid="{5C2FF523-D29F-4BE4-9C74-1C5F2F12EE10}" name="FECHA" dataDxfId="2"/>
    <tableColumn id="6" xr3:uid="{49D600E2-BEF6-4CA8-8616-09FC9763826E}" name="N PANTALLAS " dataDxfId="1"/>
    <tableColumn id="7" xr3:uid="{8E062DB9-1749-4A98-8DA0-BA8818CC01B2}" name="Columna1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577EC0-B140-4277-90EB-996A15F8DDC2}">
  <we:reference id="WA200010725" version="1.0.0.1" store="es-mx" storeType="omex"/>
  <we:alternateReferences>
    <we:reference id="WA200010725" version="1.0.0.1" store="es-mx" storeType="omex"/>
  </we:alternateReferences>
  <we:properties>
    <we:property name="claude.fileId" value="&quot;0b9d1232-25c8-425d-a37e-61895ac2ec1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30"/>
  <sheetViews>
    <sheetView tabSelected="1" topLeftCell="G5203" workbookViewId="0">
      <selection activeCell="Q5213" sqref="Q5213:R5214"/>
    </sheetView>
  </sheetViews>
  <sheetFormatPr defaultRowHeight="15"/>
  <cols>
    <col min="1" max="4" width="20" bestFit="1" customWidth="1"/>
    <col min="5" max="5" width="0.85546875" customWidth="1"/>
    <col min="6" max="7" width="20" style="29" bestFit="1" customWidth="1"/>
    <col min="8" max="8" width="24.42578125" customWidth="1"/>
    <col min="9" max="9" width="35.28515625" customWidth="1"/>
    <col min="10" max="10" width="14.85546875" style="174" customWidth="1"/>
    <col min="11" max="11" width="24.7109375" style="173" customWidth="1"/>
    <col min="12" max="12" width="11.28515625" style="62" customWidth="1"/>
    <col min="13" max="13" width="20.42578125" style="30" bestFit="1" customWidth="1"/>
    <col min="14" max="14" width="20.5703125" style="173" bestFit="1" customWidth="1"/>
    <col min="15" max="15" width="13.42578125" style="51" customWidth="1"/>
    <col min="16" max="16" width="12.7109375" style="98" customWidth="1"/>
    <col min="17" max="17" width="11.42578125" bestFit="1" customWidth="1"/>
    <col min="18" max="18" width="15.28515625" bestFit="1" customWidth="1"/>
    <col min="19" max="19" width="11.140625" style="74" customWidth="1"/>
    <col min="20" max="20" width="12.140625" customWidth="1"/>
    <col min="21" max="21" width="13.42578125" style="98" customWidth="1"/>
    <col min="22" max="22" width="15.42578125" customWidth="1"/>
    <col min="23" max="23" width="20.5703125" style="29" customWidth="1"/>
    <col min="24" max="24" width="17.28515625" style="10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s="29" t="s">
        <v>5</v>
      </c>
      <c r="G1" s="29" t="s">
        <v>6</v>
      </c>
      <c r="H1" t="s">
        <v>7</v>
      </c>
      <c r="I1" t="s">
        <v>8</v>
      </c>
      <c r="J1" s="174" t="s">
        <v>9</v>
      </c>
      <c r="K1" s="173" t="s">
        <v>10</v>
      </c>
      <c r="L1" s="62" t="s">
        <v>11</v>
      </c>
      <c r="M1" s="30" t="s">
        <v>12</v>
      </c>
      <c r="N1" s="168" t="s">
        <v>13</v>
      </c>
      <c r="O1" s="45" t="s">
        <v>14</v>
      </c>
      <c r="P1" s="92" t="s">
        <v>15</v>
      </c>
      <c r="Q1" s="4" t="s">
        <v>16</v>
      </c>
      <c r="R1" s="5" t="s">
        <v>17</v>
      </c>
      <c r="S1" s="69" t="s">
        <v>18</v>
      </c>
      <c r="T1" s="3" t="s">
        <v>19</v>
      </c>
      <c r="U1" s="163" t="s">
        <v>20</v>
      </c>
      <c r="V1" t="s">
        <v>21</v>
      </c>
      <c r="W1" s="29" t="s">
        <v>22</v>
      </c>
      <c r="X1" s="101" t="s">
        <v>23</v>
      </c>
    </row>
    <row r="2" spans="1:24" hidden="1">
      <c r="B2" s="23">
        <v>46029.390277777777</v>
      </c>
      <c r="C2" s="23">
        <v>46204.396527777775</v>
      </c>
      <c r="D2" s="6" t="s">
        <v>24</v>
      </c>
      <c r="E2" s="6"/>
      <c r="F2" s="27">
        <v>46204</v>
      </c>
      <c r="G2" s="27" t="s">
        <v>25</v>
      </c>
      <c r="H2" s="160" t="s">
        <v>26</v>
      </c>
      <c r="I2" s="6" t="s">
        <v>27</v>
      </c>
      <c r="J2" s="192">
        <v>71856308862</v>
      </c>
      <c r="K2" s="169"/>
      <c r="L2" s="107">
        <v>22076120</v>
      </c>
      <c r="M2" s="31">
        <v>5219616687207</v>
      </c>
      <c r="N2" s="169" t="s">
        <v>28</v>
      </c>
      <c r="O2" s="46">
        <v>7920.51</v>
      </c>
      <c r="P2" s="93"/>
      <c r="Q2" s="8">
        <v>2376.15</v>
      </c>
      <c r="R2" s="9">
        <v>2376.15</v>
      </c>
      <c r="S2" s="70"/>
      <c r="T2" s="6"/>
      <c r="U2" s="164"/>
      <c r="V2" s="1"/>
      <c r="X2" s="101">
        <v>1</v>
      </c>
    </row>
    <row r="3" spans="1:24" hidden="1">
      <c r="B3" s="24">
        <v>46029.402777777781</v>
      </c>
      <c r="C3" s="24">
        <v>46204.404166666667</v>
      </c>
      <c r="D3" s="10" t="s">
        <v>24</v>
      </c>
      <c r="E3" s="10"/>
      <c r="F3" s="27">
        <v>46204</v>
      </c>
      <c r="G3" s="28">
        <v>46270</v>
      </c>
      <c r="H3" s="10" t="s">
        <v>29</v>
      </c>
      <c r="I3" s="10" t="s">
        <v>30</v>
      </c>
      <c r="J3" s="193"/>
      <c r="K3" s="170" t="s">
        <v>31</v>
      </c>
      <c r="L3" s="108">
        <v>20456384</v>
      </c>
      <c r="M3" s="32">
        <v>5218120225569</v>
      </c>
      <c r="N3" s="170" t="s">
        <v>32</v>
      </c>
      <c r="O3" s="47">
        <v>3404.17</v>
      </c>
      <c r="P3" s="94"/>
      <c r="Q3" s="11">
        <v>1021.25</v>
      </c>
      <c r="R3" s="12">
        <v>0</v>
      </c>
      <c r="S3" s="71"/>
      <c r="T3" s="10"/>
      <c r="U3" s="97"/>
      <c r="V3" s="1"/>
      <c r="X3" s="101">
        <v>1</v>
      </c>
    </row>
    <row r="4" spans="1:24" hidden="1">
      <c r="B4" s="6" t="s">
        <v>33</v>
      </c>
      <c r="C4" s="23">
        <v>46204.40625</v>
      </c>
      <c r="D4" s="6" t="s">
        <v>24</v>
      </c>
      <c r="E4" s="6"/>
      <c r="F4" s="27">
        <v>46204</v>
      </c>
      <c r="G4" s="27">
        <v>46029</v>
      </c>
      <c r="H4" s="6" t="s">
        <v>34</v>
      </c>
      <c r="I4" s="6" t="s">
        <v>35</v>
      </c>
      <c r="J4" s="192">
        <v>54805954010</v>
      </c>
      <c r="K4" s="169" t="s">
        <v>36</v>
      </c>
      <c r="L4" s="108">
        <v>22155628</v>
      </c>
      <c r="M4" s="31">
        <v>5213221301995</v>
      </c>
      <c r="N4" s="169" t="s">
        <v>37</v>
      </c>
      <c r="O4" s="48">
        <v>14368.93</v>
      </c>
      <c r="P4" s="95">
        <v>4307.82</v>
      </c>
      <c r="Q4" s="8">
        <v>4310.68</v>
      </c>
      <c r="R4" s="13">
        <v>2.86</v>
      </c>
      <c r="S4" s="70">
        <v>46393</v>
      </c>
      <c r="T4" s="6"/>
      <c r="U4" s="164"/>
      <c r="V4" s="1"/>
      <c r="X4" s="101">
        <v>2</v>
      </c>
    </row>
    <row r="5" spans="1:24" hidden="1">
      <c r="B5" s="24">
        <v>46029.419444444444</v>
      </c>
      <c r="C5" s="24">
        <v>46204.425000000003</v>
      </c>
      <c r="D5" s="10" t="s">
        <v>24</v>
      </c>
      <c r="E5" s="10"/>
      <c r="F5" s="27">
        <v>46204</v>
      </c>
      <c r="G5" s="28" t="s">
        <v>38</v>
      </c>
      <c r="H5" s="10" t="s">
        <v>39</v>
      </c>
      <c r="I5" s="10" t="s">
        <v>40</v>
      </c>
      <c r="J5" s="193">
        <v>49866521245</v>
      </c>
      <c r="K5" s="170" t="s">
        <v>41</v>
      </c>
      <c r="L5" s="108">
        <v>22099170</v>
      </c>
      <c r="M5" s="32">
        <v>22099170</v>
      </c>
      <c r="N5" s="170" t="s">
        <v>28</v>
      </c>
      <c r="O5" s="49">
        <v>26776.92</v>
      </c>
      <c r="P5" s="96"/>
      <c r="Q5" s="11">
        <v>8033.08</v>
      </c>
      <c r="R5" s="14">
        <v>8033.08</v>
      </c>
      <c r="S5" s="71"/>
      <c r="T5" s="10"/>
      <c r="U5" s="97"/>
      <c r="V5" s="1"/>
      <c r="X5" s="101">
        <v>1</v>
      </c>
    </row>
    <row r="6" spans="1:24" hidden="1">
      <c r="B6" s="23">
        <v>46029.425000000003</v>
      </c>
      <c r="C6" s="23">
        <v>46204.429166666669</v>
      </c>
      <c r="D6" s="6" t="s">
        <v>24</v>
      </c>
      <c r="E6" s="6"/>
      <c r="F6" s="27">
        <v>46204</v>
      </c>
      <c r="G6" s="27">
        <v>46029</v>
      </c>
      <c r="H6" s="10" t="s">
        <v>42</v>
      </c>
      <c r="I6" s="6" t="s">
        <v>43</v>
      </c>
      <c r="J6" s="192">
        <v>78856505439</v>
      </c>
      <c r="K6" s="169" t="s">
        <v>44</v>
      </c>
      <c r="L6" s="107">
        <v>22161070</v>
      </c>
      <c r="M6" s="31">
        <v>5219541288949</v>
      </c>
      <c r="N6" s="169" t="s">
        <v>28</v>
      </c>
      <c r="O6" s="48">
        <v>9760.32</v>
      </c>
      <c r="P6" s="95"/>
      <c r="Q6" s="8">
        <v>2928.1</v>
      </c>
      <c r="R6" s="9">
        <v>2928.1</v>
      </c>
      <c r="S6" s="70"/>
      <c r="T6" s="6"/>
      <c r="U6" s="164"/>
      <c r="V6" s="1"/>
      <c r="X6" s="101">
        <v>1</v>
      </c>
    </row>
    <row r="7" spans="1:24" hidden="1">
      <c r="B7" s="24">
        <v>46029.40347222222</v>
      </c>
      <c r="C7" s="24">
        <v>46204.429861111108</v>
      </c>
      <c r="D7" s="10" t="s">
        <v>24</v>
      </c>
      <c r="E7" s="10"/>
      <c r="F7" s="27">
        <v>46204</v>
      </c>
      <c r="G7" s="28" t="s">
        <v>45</v>
      </c>
      <c r="H7" s="160" t="s">
        <v>26</v>
      </c>
      <c r="I7" s="10" t="s">
        <v>46</v>
      </c>
      <c r="J7" s="193">
        <v>31795905855</v>
      </c>
      <c r="K7" s="170"/>
      <c r="L7" s="108">
        <v>22125836</v>
      </c>
      <c r="M7" s="32">
        <v>5216182035940</v>
      </c>
      <c r="N7" s="170" t="s">
        <v>47</v>
      </c>
      <c r="O7" s="49">
        <v>4568.18</v>
      </c>
      <c r="P7" s="96"/>
      <c r="Q7" s="11">
        <v>1370.45</v>
      </c>
      <c r="R7" s="16">
        <v>395.2</v>
      </c>
      <c r="S7" s="71"/>
      <c r="T7" s="10"/>
      <c r="U7" s="97"/>
      <c r="V7" s="1"/>
      <c r="X7" s="101">
        <v>1</v>
      </c>
    </row>
    <row r="8" spans="1:24" hidden="1">
      <c r="B8" s="23">
        <v>46029.439583333333</v>
      </c>
      <c r="C8" s="23">
        <v>46204.442361111112</v>
      </c>
      <c r="D8" s="6" t="s">
        <v>24</v>
      </c>
      <c r="E8" s="6"/>
      <c r="F8" s="27">
        <v>46204</v>
      </c>
      <c r="G8" s="27">
        <v>46029</v>
      </c>
      <c r="H8" s="6" t="s">
        <v>48</v>
      </c>
      <c r="I8" s="6" t="s">
        <v>49</v>
      </c>
      <c r="J8" s="192">
        <v>43755642246</v>
      </c>
      <c r="K8" s="169" t="s">
        <v>50</v>
      </c>
      <c r="L8" s="108">
        <v>22161170</v>
      </c>
      <c r="M8" s="31">
        <v>5218120653677</v>
      </c>
      <c r="N8" s="169" t="s">
        <v>37</v>
      </c>
      <c r="O8" s="48">
        <v>7095.3</v>
      </c>
      <c r="P8" s="95">
        <v>2128.59</v>
      </c>
      <c r="Q8" s="8">
        <v>2128.59</v>
      </c>
      <c r="R8" s="13">
        <v>0</v>
      </c>
      <c r="S8" s="70">
        <v>46755</v>
      </c>
      <c r="T8" s="6"/>
      <c r="U8" s="164"/>
      <c r="V8" s="1"/>
      <c r="X8" s="101">
        <v>2</v>
      </c>
    </row>
    <row r="9" spans="1:24" hidden="1">
      <c r="B9" s="24">
        <v>46029.464583333334</v>
      </c>
      <c r="C9" s="24">
        <v>46204.46597222222</v>
      </c>
      <c r="D9" s="10" t="s">
        <v>24</v>
      </c>
      <c r="E9" s="10"/>
      <c r="F9" s="27">
        <v>46204</v>
      </c>
      <c r="G9" s="28">
        <v>46029</v>
      </c>
      <c r="H9" s="10" t="s">
        <v>51</v>
      </c>
      <c r="I9" s="10" t="s">
        <v>52</v>
      </c>
      <c r="J9" s="194">
        <v>4866321724</v>
      </c>
      <c r="K9" s="170" t="s">
        <v>53</v>
      </c>
      <c r="L9" s="108">
        <v>22152008</v>
      </c>
      <c r="M9" s="32">
        <v>22152008</v>
      </c>
      <c r="N9" s="170" t="s">
        <v>32</v>
      </c>
      <c r="O9" s="49">
        <v>4199.87</v>
      </c>
      <c r="P9" s="96">
        <v>848</v>
      </c>
      <c r="Q9" s="11">
        <v>1259.96</v>
      </c>
      <c r="R9" s="12">
        <v>-821.11</v>
      </c>
      <c r="S9" s="71"/>
      <c r="T9" s="10"/>
      <c r="U9" s="97"/>
      <c r="V9" s="1"/>
      <c r="X9" s="101">
        <v>1</v>
      </c>
    </row>
    <row r="10" spans="1:24" hidden="1">
      <c r="B10" s="23">
        <v>46029.42083333333</v>
      </c>
      <c r="C10" s="23">
        <v>46204.47152777778</v>
      </c>
      <c r="D10" s="6" t="s">
        <v>24</v>
      </c>
      <c r="E10" s="6"/>
      <c r="F10" s="27">
        <v>46204</v>
      </c>
      <c r="G10" s="27">
        <v>46029</v>
      </c>
      <c r="H10" s="6" t="s">
        <v>54</v>
      </c>
      <c r="I10" s="6" t="s">
        <v>55</v>
      </c>
      <c r="J10" s="192">
        <v>32796100967</v>
      </c>
      <c r="K10" s="169" t="s">
        <v>56</v>
      </c>
      <c r="L10" s="108">
        <v>22164328</v>
      </c>
      <c r="M10" s="31">
        <v>22164328</v>
      </c>
      <c r="N10" s="169" t="s">
        <v>37</v>
      </c>
      <c r="O10" s="48">
        <v>6262.86</v>
      </c>
      <c r="P10" s="95">
        <v>1876.17</v>
      </c>
      <c r="Q10" s="8">
        <v>1878.86</v>
      </c>
      <c r="R10" s="13">
        <v>2.69</v>
      </c>
      <c r="S10" s="70">
        <v>46759</v>
      </c>
      <c r="T10" s="6"/>
      <c r="U10" s="164"/>
      <c r="V10" s="1"/>
      <c r="X10" s="101">
        <v>2</v>
      </c>
    </row>
    <row r="11" spans="1:24" hidden="1">
      <c r="B11" s="24">
        <v>46029.479166666664</v>
      </c>
      <c r="C11" s="24">
        <v>46204.481249999997</v>
      </c>
      <c r="D11" s="10" t="s">
        <v>24</v>
      </c>
      <c r="E11" s="10"/>
      <c r="F11" s="27">
        <v>46204</v>
      </c>
      <c r="G11" s="28">
        <v>46029</v>
      </c>
      <c r="H11" s="10" t="s">
        <v>48</v>
      </c>
      <c r="I11" s="10" t="s">
        <v>57</v>
      </c>
      <c r="J11" s="193"/>
      <c r="K11" s="170" t="s">
        <v>58</v>
      </c>
      <c r="L11" s="108">
        <v>22166130</v>
      </c>
      <c r="M11" s="32">
        <v>5216674133739</v>
      </c>
      <c r="N11" s="170" t="s">
        <v>32</v>
      </c>
      <c r="O11" s="49">
        <v>4199.87</v>
      </c>
      <c r="P11" s="96"/>
      <c r="Q11" s="11">
        <v>1259.96</v>
      </c>
      <c r="R11" s="12">
        <v>26.89</v>
      </c>
      <c r="S11" s="71"/>
      <c r="T11" s="10"/>
      <c r="U11" s="97"/>
      <c r="V11" s="1"/>
      <c r="X11" s="101">
        <v>1</v>
      </c>
    </row>
    <row r="12" spans="1:24" hidden="1">
      <c r="B12" s="23">
        <v>46029.46597222222</v>
      </c>
      <c r="C12" s="23">
        <v>46204.484027777777</v>
      </c>
      <c r="D12" s="6" t="s">
        <v>24</v>
      </c>
      <c r="E12" s="6"/>
      <c r="F12" s="27">
        <v>46204</v>
      </c>
      <c r="G12" s="27">
        <v>46029</v>
      </c>
      <c r="H12" s="6" t="s">
        <v>51</v>
      </c>
      <c r="I12" s="6" t="s">
        <v>59</v>
      </c>
      <c r="J12" s="192">
        <v>63806022404</v>
      </c>
      <c r="K12" s="169" t="s">
        <v>60</v>
      </c>
      <c r="L12" s="108">
        <v>22160456</v>
      </c>
      <c r="M12" s="31">
        <v>5219981553770</v>
      </c>
      <c r="N12" s="169" t="s">
        <v>37</v>
      </c>
      <c r="O12" s="48">
        <v>34491.440000000002</v>
      </c>
      <c r="P12" s="95">
        <v>10346</v>
      </c>
      <c r="Q12" s="8">
        <v>10347.43</v>
      </c>
      <c r="R12" s="13">
        <v>1.43</v>
      </c>
      <c r="S12" s="70">
        <v>46758</v>
      </c>
      <c r="T12" s="6"/>
      <c r="U12" s="164"/>
      <c r="V12" s="1"/>
      <c r="X12" s="101">
        <v>2</v>
      </c>
    </row>
    <row r="13" spans="1:24" hidden="1">
      <c r="B13" s="24">
        <v>46029.469444444447</v>
      </c>
      <c r="C13" s="24">
        <v>46204.488888888889</v>
      </c>
      <c r="D13" s="10" t="s">
        <v>24</v>
      </c>
      <c r="E13" s="10"/>
      <c r="F13" s="27">
        <v>46204</v>
      </c>
      <c r="G13" s="28" t="s">
        <v>45</v>
      </c>
      <c r="H13" s="10" t="s">
        <v>61</v>
      </c>
      <c r="I13" s="10" t="s">
        <v>62</v>
      </c>
      <c r="J13" s="193"/>
      <c r="K13" s="170" t="s">
        <v>63</v>
      </c>
      <c r="L13" s="108">
        <v>22120944</v>
      </c>
      <c r="M13" s="32">
        <v>8114757799</v>
      </c>
      <c r="N13" s="170" t="s">
        <v>37</v>
      </c>
      <c r="O13" s="49">
        <v>9760.32</v>
      </c>
      <c r="P13" s="96">
        <v>2900</v>
      </c>
      <c r="Q13" s="11">
        <v>2928.1</v>
      </c>
      <c r="R13" s="12">
        <v>28.1</v>
      </c>
      <c r="S13" s="71">
        <v>46754</v>
      </c>
      <c r="T13" s="10"/>
      <c r="U13" s="97"/>
      <c r="V13" s="1"/>
      <c r="X13" s="101">
        <v>2</v>
      </c>
    </row>
    <row r="14" spans="1:24" hidden="1">
      <c r="B14" s="6" t="s">
        <v>64</v>
      </c>
      <c r="C14" s="23">
        <v>46204.490972222222</v>
      </c>
      <c r="D14" s="6" t="s">
        <v>24</v>
      </c>
      <c r="E14" s="6"/>
      <c r="F14" s="27">
        <v>46204</v>
      </c>
      <c r="G14" s="27" t="s">
        <v>25</v>
      </c>
      <c r="H14" s="10" t="s">
        <v>65</v>
      </c>
      <c r="I14" s="6" t="s">
        <v>66</v>
      </c>
      <c r="J14" s="192"/>
      <c r="K14" s="169" t="s">
        <v>67</v>
      </c>
      <c r="L14" s="107">
        <v>22072350</v>
      </c>
      <c r="M14" s="31">
        <v>19452607843</v>
      </c>
      <c r="N14" s="169" t="s">
        <v>28</v>
      </c>
      <c r="O14" s="48">
        <v>5630.32</v>
      </c>
      <c r="P14" s="95"/>
      <c r="Q14" s="8">
        <v>1689.1</v>
      </c>
      <c r="R14" s="9">
        <v>1457.34</v>
      </c>
      <c r="S14" s="70"/>
      <c r="T14" s="6"/>
      <c r="U14" s="164"/>
      <c r="V14" s="1"/>
      <c r="X14" s="101">
        <v>1</v>
      </c>
    </row>
    <row r="15" spans="1:24" hidden="1">
      <c r="B15" s="24">
        <v>46029.493055555555</v>
      </c>
      <c r="C15" s="24">
        <v>46204.493750000001</v>
      </c>
      <c r="D15" s="10" t="s">
        <v>24</v>
      </c>
      <c r="E15" s="10"/>
      <c r="F15" s="27">
        <v>46204</v>
      </c>
      <c r="G15" s="28">
        <v>46029</v>
      </c>
      <c r="H15" s="10" t="s">
        <v>68</v>
      </c>
      <c r="I15" s="10" t="s">
        <v>69</v>
      </c>
      <c r="J15" s="195">
        <v>31805908899</v>
      </c>
      <c r="K15" s="170" t="s">
        <v>70</v>
      </c>
      <c r="L15" s="108">
        <v>22166586</v>
      </c>
      <c r="M15" s="32">
        <v>5216188396640</v>
      </c>
      <c r="N15" s="170" t="s">
        <v>32</v>
      </c>
      <c r="O15" s="49">
        <v>4172.79</v>
      </c>
      <c r="P15" s="96">
        <v>340.49</v>
      </c>
      <c r="Q15" s="11">
        <v>1251.8399999999999</v>
      </c>
      <c r="R15" s="12">
        <v>-340.49</v>
      </c>
      <c r="S15" s="71"/>
      <c r="T15" s="10"/>
      <c r="U15" s="97"/>
      <c r="V15" s="1"/>
      <c r="X15" s="101">
        <v>1</v>
      </c>
    </row>
    <row r="16" spans="1:24" hidden="1">
      <c r="B16" s="23">
        <v>46029.335416666669</v>
      </c>
      <c r="C16" s="23">
        <v>46204.494444444441</v>
      </c>
      <c r="D16" s="6" t="s">
        <v>24</v>
      </c>
      <c r="E16" s="6"/>
      <c r="F16" s="27">
        <v>46204</v>
      </c>
      <c r="G16" s="27" t="s">
        <v>25</v>
      </c>
      <c r="H16" s="18" t="s">
        <v>71</v>
      </c>
      <c r="I16" s="6" t="s">
        <v>72</v>
      </c>
      <c r="J16" s="196">
        <v>12988266677</v>
      </c>
      <c r="K16" s="169" t="s">
        <v>73</v>
      </c>
      <c r="L16" s="107">
        <v>22071972</v>
      </c>
      <c r="M16" s="31">
        <v>4111160847</v>
      </c>
      <c r="N16" s="169" t="s">
        <v>74</v>
      </c>
      <c r="O16" s="48"/>
      <c r="P16" s="95"/>
      <c r="Q16" s="8">
        <v>0</v>
      </c>
      <c r="R16" s="13">
        <v>0</v>
      </c>
      <c r="S16" s="70"/>
      <c r="T16" s="6"/>
      <c r="U16" s="164"/>
      <c r="V16" s="1"/>
      <c r="X16" s="101">
        <v>1</v>
      </c>
    </row>
    <row r="17" spans="2:24" hidden="1">
      <c r="B17" s="24">
        <v>46029.498611111114</v>
      </c>
      <c r="C17" s="24">
        <v>46204.499305555553</v>
      </c>
      <c r="D17" s="10" t="s">
        <v>24</v>
      </c>
      <c r="E17" s="10"/>
      <c r="F17" s="27">
        <v>46204</v>
      </c>
      <c r="G17" s="28">
        <v>46029</v>
      </c>
      <c r="H17" s="10" t="s">
        <v>75</v>
      </c>
      <c r="I17" s="10" t="s">
        <v>76</v>
      </c>
      <c r="J17" s="195"/>
      <c r="K17" s="170" t="s">
        <v>77</v>
      </c>
      <c r="L17" s="108">
        <v>22166364</v>
      </c>
      <c r="M17" s="32">
        <v>5214461381127</v>
      </c>
      <c r="N17" s="170" t="s">
        <v>37</v>
      </c>
      <c r="O17" s="49">
        <v>12125.36</v>
      </c>
      <c r="P17" s="96">
        <v>3637.57</v>
      </c>
      <c r="Q17" s="11">
        <v>3637.61</v>
      </c>
      <c r="R17" s="12">
        <v>0.04</v>
      </c>
      <c r="S17" s="71">
        <v>46399</v>
      </c>
      <c r="T17" s="10"/>
      <c r="U17" s="97"/>
      <c r="V17" s="1"/>
      <c r="X17" s="101">
        <v>2</v>
      </c>
    </row>
    <row r="18" spans="2:24" hidden="1">
      <c r="B18" s="23">
        <v>46029.498611111114</v>
      </c>
      <c r="C18" s="23">
        <v>46204.500694444447</v>
      </c>
      <c r="D18" s="6" t="s">
        <v>24</v>
      </c>
      <c r="E18" s="6"/>
      <c r="F18" s="27">
        <v>46204</v>
      </c>
      <c r="G18" s="27">
        <v>46029</v>
      </c>
      <c r="H18" s="6" t="s">
        <v>78</v>
      </c>
      <c r="I18" s="6" t="s">
        <v>79</v>
      </c>
      <c r="J18" s="196"/>
      <c r="K18" s="169" t="s">
        <v>80</v>
      </c>
      <c r="L18" s="107">
        <v>22165772</v>
      </c>
      <c r="M18" s="31">
        <v>5216861876635</v>
      </c>
      <c r="N18" s="169" t="s">
        <v>74</v>
      </c>
      <c r="O18" s="48"/>
      <c r="P18" s="95"/>
      <c r="Q18" s="8">
        <v>0</v>
      </c>
      <c r="R18" s="13">
        <v>0</v>
      </c>
      <c r="S18" s="70"/>
      <c r="T18" s="6"/>
      <c r="U18" s="164"/>
      <c r="V18" s="1"/>
      <c r="X18" s="101">
        <v>1</v>
      </c>
    </row>
    <row r="19" spans="2:24" hidden="1">
      <c r="B19" s="24">
        <v>46029.509027777778</v>
      </c>
      <c r="C19" s="24">
        <v>46204.511805555558</v>
      </c>
      <c r="D19" s="10" t="s">
        <v>24</v>
      </c>
      <c r="E19" s="10"/>
      <c r="F19" s="27">
        <v>46204</v>
      </c>
      <c r="G19" s="28">
        <v>46029</v>
      </c>
      <c r="H19" s="10" t="s">
        <v>81</v>
      </c>
      <c r="I19" s="10" t="s">
        <v>82</v>
      </c>
      <c r="J19" s="195">
        <v>11905802002</v>
      </c>
      <c r="K19" s="170" t="s">
        <v>83</v>
      </c>
      <c r="L19" s="108">
        <v>22165722</v>
      </c>
      <c r="M19" s="32">
        <v>5215554990813</v>
      </c>
      <c r="N19" s="170" t="s">
        <v>37</v>
      </c>
      <c r="O19" s="47">
        <v>9081.52</v>
      </c>
      <c r="P19" s="94">
        <v>2520</v>
      </c>
      <c r="Q19" s="11">
        <v>2724.46</v>
      </c>
      <c r="R19" s="12">
        <v>204.46</v>
      </c>
      <c r="S19" s="71">
        <v>46759</v>
      </c>
      <c r="T19" s="10" t="s">
        <v>84</v>
      </c>
      <c r="U19" s="97"/>
      <c r="V19" s="1"/>
      <c r="X19" s="101">
        <v>2</v>
      </c>
    </row>
    <row r="20" spans="2:24" hidden="1">
      <c r="B20" s="23">
        <v>46029.518055555556</v>
      </c>
      <c r="C20" s="23">
        <v>46204.519444444442</v>
      </c>
      <c r="D20" s="6" t="s">
        <v>24</v>
      </c>
      <c r="E20" s="6"/>
      <c r="F20" s="27">
        <v>46204</v>
      </c>
      <c r="G20" s="27">
        <v>46029</v>
      </c>
      <c r="H20" s="6" t="s">
        <v>42</v>
      </c>
      <c r="I20" s="19" t="s">
        <v>85</v>
      </c>
      <c r="J20" s="196"/>
      <c r="K20" s="177" t="s">
        <v>86</v>
      </c>
      <c r="L20" s="108">
        <v>22159260</v>
      </c>
      <c r="M20" s="31">
        <v>22159260</v>
      </c>
      <c r="N20" s="169" t="s">
        <v>37</v>
      </c>
      <c r="O20" s="46">
        <v>6262.86</v>
      </c>
      <c r="P20" s="93">
        <v>1811.23</v>
      </c>
      <c r="Q20" s="8">
        <v>1878.86</v>
      </c>
      <c r="R20" s="13">
        <v>67.63</v>
      </c>
      <c r="S20" s="70">
        <v>46397</v>
      </c>
      <c r="T20" s="6"/>
      <c r="U20" s="164"/>
      <c r="V20" s="1"/>
      <c r="X20" s="101">
        <v>2</v>
      </c>
    </row>
    <row r="21" spans="2:24" hidden="1">
      <c r="B21" s="24">
        <v>46029.511805555558</v>
      </c>
      <c r="C21" s="24">
        <v>46204.521527777775</v>
      </c>
      <c r="D21" s="10" t="s">
        <v>24</v>
      </c>
      <c r="E21" s="10"/>
      <c r="F21" s="27">
        <v>46204</v>
      </c>
      <c r="G21" s="28" t="s">
        <v>45</v>
      </c>
      <c r="H21" s="161" t="s">
        <v>87</v>
      </c>
      <c r="I21" s="10" t="s">
        <v>88</v>
      </c>
      <c r="J21" s="195">
        <v>84816307601</v>
      </c>
      <c r="K21" s="170" t="s">
        <v>89</v>
      </c>
      <c r="L21" s="108">
        <v>22106562</v>
      </c>
      <c r="M21" s="32">
        <v>5219871019830</v>
      </c>
      <c r="N21" s="170" t="s">
        <v>28</v>
      </c>
      <c r="O21" s="47">
        <v>7920.51</v>
      </c>
      <c r="P21" s="94">
        <v>848</v>
      </c>
      <c r="Q21" s="11">
        <v>2376.15</v>
      </c>
      <c r="R21" s="14">
        <v>1528.15</v>
      </c>
      <c r="S21" s="71"/>
      <c r="T21" s="10"/>
      <c r="U21" s="97"/>
      <c r="V21" s="1"/>
      <c r="X21" s="101">
        <v>1</v>
      </c>
    </row>
    <row r="22" spans="2:24" hidden="1">
      <c r="B22" s="23">
        <v>46029.525694444441</v>
      </c>
      <c r="C22" s="23">
        <v>46204.526388888888</v>
      </c>
      <c r="D22" s="6" t="s">
        <v>24</v>
      </c>
      <c r="E22" s="6"/>
      <c r="F22" s="27">
        <v>46204</v>
      </c>
      <c r="G22" s="27">
        <v>46029</v>
      </c>
      <c r="H22" s="6" t="s">
        <v>90</v>
      </c>
      <c r="I22" s="6"/>
      <c r="J22" s="196">
        <v>219473515530</v>
      </c>
      <c r="K22" s="169"/>
      <c r="L22" s="108">
        <v>1</v>
      </c>
      <c r="M22" s="31"/>
      <c r="N22" s="169" t="s">
        <v>37</v>
      </c>
      <c r="O22" s="46">
        <v>8895.06</v>
      </c>
      <c r="P22" s="93">
        <v>2583.69</v>
      </c>
      <c r="Q22" s="8">
        <v>2668.52</v>
      </c>
      <c r="R22" s="13">
        <v>84.83</v>
      </c>
      <c r="S22" s="70">
        <v>46033</v>
      </c>
      <c r="T22" s="6"/>
      <c r="U22" s="164"/>
      <c r="V22" s="1"/>
      <c r="X22" s="101">
        <v>2</v>
      </c>
    </row>
    <row r="23" spans="2:24" hidden="1">
      <c r="B23" s="24">
        <v>46029.54583333333</v>
      </c>
      <c r="C23" s="24">
        <v>46204.547222222223</v>
      </c>
      <c r="D23" s="10" t="s">
        <v>24</v>
      </c>
      <c r="E23" s="10"/>
      <c r="F23" s="27">
        <v>46204</v>
      </c>
      <c r="G23" s="28">
        <v>46029</v>
      </c>
      <c r="H23" s="10" t="s">
        <v>78</v>
      </c>
      <c r="I23" s="10" t="s">
        <v>91</v>
      </c>
      <c r="J23" s="195">
        <v>43816503825</v>
      </c>
      <c r="K23" s="170" t="s">
        <v>92</v>
      </c>
      <c r="L23" s="108">
        <v>22167414</v>
      </c>
      <c r="M23" s="32">
        <v>5218186939401</v>
      </c>
      <c r="N23" s="170" t="s">
        <v>28</v>
      </c>
      <c r="O23" s="47">
        <v>9760.32</v>
      </c>
      <c r="P23" s="94"/>
      <c r="Q23" s="11">
        <v>2928.1</v>
      </c>
      <c r="R23" s="14">
        <v>2928.1</v>
      </c>
      <c r="S23" s="71"/>
      <c r="T23" s="10"/>
      <c r="U23" s="97"/>
      <c r="V23" s="1"/>
      <c r="X23" s="101">
        <v>1</v>
      </c>
    </row>
    <row r="24" spans="2:24" hidden="1">
      <c r="B24" s="23">
        <v>46029.543749999997</v>
      </c>
      <c r="C24" s="23">
        <v>46204.55</v>
      </c>
      <c r="D24" s="6" t="s">
        <v>24</v>
      </c>
      <c r="E24" s="6"/>
      <c r="F24" s="27">
        <v>46204</v>
      </c>
      <c r="G24" s="27" t="s">
        <v>45</v>
      </c>
      <c r="H24" s="6" t="s">
        <v>93</v>
      </c>
      <c r="I24" s="6" t="s">
        <v>94</v>
      </c>
      <c r="J24" s="196">
        <v>10836512557</v>
      </c>
      <c r="K24" s="169" t="s">
        <v>95</v>
      </c>
      <c r="L24" s="108">
        <v>22120886</v>
      </c>
      <c r="M24" s="31">
        <v>5543518301</v>
      </c>
      <c r="N24" s="169" t="s">
        <v>37</v>
      </c>
      <c r="O24" s="46">
        <v>5055.87</v>
      </c>
      <c r="P24" s="93">
        <v>1200.07</v>
      </c>
      <c r="Q24" s="8">
        <v>1516.76</v>
      </c>
      <c r="R24" s="13">
        <v>-317.18</v>
      </c>
      <c r="S24" s="70">
        <v>46357</v>
      </c>
      <c r="T24" s="6"/>
      <c r="U24" s="164"/>
      <c r="V24" s="1"/>
      <c r="X24" s="101">
        <v>2</v>
      </c>
    </row>
    <row r="25" spans="2:24" hidden="1">
      <c r="B25" s="24">
        <v>46029.484027777777</v>
      </c>
      <c r="C25" s="24">
        <v>46204.557638888888</v>
      </c>
      <c r="D25" s="10" t="s">
        <v>24</v>
      </c>
      <c r="E25" s="10"/>
      <c r="F25" s="27">
        <v>46204</v>
      </c>
      <c r="G25" s="28">
        <v>46029</v>
      </c>
      <c r="H25" s="10" t="s">
        <v>51</v>
      </c>
      <c r="I25" s="10" t="s">
        <v>96</v>
      </c>
      <c r="J25" s="195">
        <v>84997407659</v>
      </c>
      <c r="K25" s="170" t="s">
        <v>97</v>
      </c>
      <c r="L25" s="108">
        <v>22153394</v>
      </c>
      <c r="M25" s="32">
        <v>22153394</v>
      </c>
      <c r="N25" s="170" t="s">
        <v>98</v>
      </c>
      <c r="O25" s="47"/>
      <c r="P25" s="94"/>
      <c r="Q25" s="11">
        <v>0</v>
      </c>
      <c r="R25" s="12">
        <v>0</v>
      </c>
      <c r="S25" s="71"/>
      <c r="T25" s="10"/>
      <c r="U25" s="97"/>
      <c r="V25" s="1"/>
      <c r="X25" s="101">
        <v>0</v>
      </c>
    </row>
    <row r="26" spans="2:24" hidden="1">
      <c r="B26" s="23">
        <v>46029.552083333336</v>
      </c>
      <c r="C26" s="23">
        <v>46204.558333333334</v>
      </c>
      <c r="D26" s="6" t="s">
        <v>24</v>
      </c>
      <c r="E26" s="6"/>
      <c r="F26" s="27">
        <v>46204</v>
      </c>
      <c r="G26" s="27">
        <v>46029</v>
      </c>
      <c r="H26" s="6" t="s">
        <v>39</v>
      </c>
      <c r="I26" s="6" t="s">
        <v>99</v>
      </c>
      <c r="J26" s="197">
        <v>63855700991</v>
      </c>
      <c r="K26" s="177" t="s">
        <v>100</v>
      </c>
      <c r="L26" s="108">
        <v>22159482</v>
      </c>
      <c r="M26" s="31">
        <v>5215616196142</v>
      </c>
      <c r="N26" s="169" t="s">
        <v>37</v>
      </c>
      <c r="O26" s="46">
        <v>9760.32</v>
      </c>
      <c r="P26" s="93">
        <v>2914.84</v>
      </c>
      <c r="Q26" s="8">
        <v>2928.1</v>
      </c>
      <c r="R26" s="13">
        <v>13.26</v>
      </c>
      <c r="S26" s="70">
        <v>46756</v>
      </c>
      <c r="T26" s="6"/>
      <c r="U26" s="164"/>
      <c r="V26" s="1"/>
      <c r="X26" s="101">
        <v>2</v>
      </c>
    </row>
    <row r="27" spans="2:24" hidden="1">
      <c r="B27" s="24">
        <v>46029.570833333331</v>
      </c>
      <c r="C27" s="24">
        <v>46204.571527777778</v>
      </c>
      <c r="D27" s="10" t="s">
        <v>24</v>
      </c>
      <c r="E27" s="10"/>
      <c r="F27" s="27">
        <v>46204</v>
      </c>
      <c r="G27" s="28" t="s">
        <v>25</v>
      </c>
      <c r="H27" s="10" t="s">
        <v>65</v>
      </c>
      <c r="I27" s="21" t="s">
        <v>101</v>
      </c>
      <c r="J27" s="195"/>
      <c r="K27" s="178" t="s">
        <v>102</v>
      </c>
      <c r="L27" s="108">
        <v>22073804</v>
      </c>
      <c r="M27" s="32">
        <v>5216624589761</v>
      </c>
      <c r="N27" s="170" t="s">
        <v>37</v>
      </c>
      <c r="O27" s="47">
        <v>5617.63</v>
      </c>
      <c r="P27" s="94">
        <v>1392.55</v>
      </c>
      <c r="Q27" s="11">
        <v>1685.29</v>
      </c>
      <c r="R27" s="12">
        <v>52.1</v>
      </c>
      <c r="S27" s="71">
        <v>46390</v>
      </c>
      <c r="T27" s="10"/>
      <c r="U27" s="97"/>
      <c r="V27" s="1"/>
      <c r="X27" s="101">
        <v>2</v>
      </c>
    </row>
    <row r="28" spans="2:24" hidden="1">
      <c r="B28" s="23">
        <v>46029.527083333334</v>
      </c>
      <c r="C28" s="23">
        <v>46204.573611111111</v>
      </c>
      <c r="D28" s="6" t="s">
        <v>24</v>
      </c>
      <c r="E28" s="6"/>
      <c r="F28" s="27">
        <v>46204</v>
      </c>
      <c r="G28" s="27">
        <v>46029</v>
      </c>
      <c r="H28" s="10" t="s">
        <v>103</v>
      </c>
      <c r="I28" s="6" t="s">
        <v>104</v>
      </c>
      <c r="J28" s="196"/>
      <c r="K28" s="177" t="s">
        <v>105</v>
      </c>
      <c r="L28" s="109">
        <v>1</v>
      </c>
      <c r="M28" s="31">
        <v>8683945967</v>
      </c>
      <c r="N28" s="169" t="s">
        <v>106</v>
      </c>
      <c r="O28" s="46">
        <v>7920.51</v>
      </c>
      <c r="P28" s="93">
        <v>2182.2199999999998</v>
      </c>
      <c r="Q28" s="8">
        <v>2376.15</v>
      </c>
      <c r="R28" s="13">
        <v>193.93</v>
      </c>
      <c r="S28" s="70">
        <v>46027</v>
      </c>
      <c r="T28" s="6"/>
      <c r="U28" s="164"/>
      <c r="V28" s="1"/>
      <c r="X28" s="101">
        <v>2</v>
      </c>
    </row>
    <row r="29" spans="2:24" hidden="1">
      <c r="B29" s="24">
        <v>46029.580555555556</v>
      </c>
      <c r="C29" s="24">
        <v>46204.583333333336</v>
      </c>
      <c r="D29" s="10" t="s">
        <v>24</v>
      </c>
      <c r="E29" s="10"/>
      <c r="F29" s="27">
        <v>46204</v>
      </c>
      <c r="G29" s="28" t="s">
        <v>45</v>
      </c>
      <c r="H29" s="160" t="s">
        <v>107</v>
      </c>
      <c r="I29" s="10" t="s">
        <v>108</v>
      </c>
      <c r="J29" s="195"/>
      <c r="K29" s="170" t="s">
        <v>109</v>
      </c>
      <c r="L29" s="108">
        <v>22125834</v>
      </c>
      <c r="M29" s="32">
        <v>8445409780</v>
      </c>
      <c r="N29" s="170" t="s">
        <v>28</v>
      </c>
      <c r="O29" s="47">
        <v>9081.52</v>
      </c>
      <c r="P29" s="94"/>
      <c r="Q29" s="11">
        <v>2724.46</v>
      </c>
      <c r="R29" s="14">
        <v>2724.46</v>
      </c>
      <c r="S29" s="71"/>
      <c r="T29" s="10"/>
      <c r="U29" s="97"/>
      <c r="V29" s="1"/>
      <c r="X29" s="101">
        <v>1</v>
      </c>
    </row>
    <row r="30" spans="2:24" hidden="1">
      <c r="B30" s="23">
        <v>46029.585416666669</v>
      </c>
      <c r="C30" s="23">
        <v>46204.586111111108</v>
      </c>
      <c r="D30" s="6" t="s">
        <v>24</v>
      </c>
      <c r="E30" s="6"/>
      <c r="F30" s="27">
        <v>46204</v>
      </c>
      <c r="G30" s="27" t="s">
        <v>45</v>
      </c>
      <c r="H30" s="7" t="s">
        <v>110</v>
      </c>
      <c r="I30" s="6" t="s">
        <v>111</v>
      </c>
      <c r="J30" s="196">
        <v>32907377710</v>
      </c>
      <c r="K30" s="169" t="s">
        <v>112</v>
      </c>
      <c r="L30" s="108">
        <v>22128748</v>
      </c>
      <c r="M30" s="31">
        <v>5218262641856</v>
      </c>
      <c r="N30" s="169" t="s">
        <v>37</v>
      </c>
      <c r="O30" s="46">
        <v>7118.1</v>
      </c>
      <c r="P30" s="93">
        <v>2134.4699999999998</v>
      </c>
      <c r="Q30" s="8">
        <v>2135.4299999999998</v>
      </c>
      <c r="R30" s="13">
        <v>0.96</v>
      </c>
      <c r="S30" s="70">
        <v>46266</v>
      </c>
      <c r="T30" s="6"/>
      <c r="U30" s="164"/>
      <c r="V30" s="1"/>
      <c r="X30" s="101">
        <v>2</v>
      </c>
    </row>
    <row r="31" spans="2:24" hidden="1">
      <c r="B31" s="24">
        <v>46029.586111111108</v>
      </c>
      <c r="C31" s="24">
        <v>46204.587500000001</v>
      </c>
      <c r="D31" s="10" t="s">
        <v>24</v>
      </c>
      <c r="E31" s="10"/>
      <c r="F31" s="27">
        <v>46204</v>
      </c>
      <c r="G31" s="28" t="s">
        <v>45</v>
      </c>
      <c r="H31" s="160" t="s">
        <v>110</v>
      </c>
      <c r="I31" s="10" t="s">
        <v>113</v>
      </c>
      <c r="J31" s="195">
        <v>1735247338</v>
      </c>
      <c r="K31" s="170"/>
      <c r="L31" s="108">
        <v>22125778</v>
      </c>
      <c r="M31" s="32">
        <v>5214931259332</v>
      </c>
      <c r="N31" s="170" t="s">
        <v>28</v>
      </c>
      <c r="O31" s="47">
        <v>23893.01</v>
      </c>
      <c r="P31" s="94"/>
      <c r="Q31" s="11">
        <v>7167.9</v>
      </c>
      <c r="R31" s="14">
        <v>7167.9</v>
      </c>
      <c r="S31" s="71"/>
      <c r="T31" s="10"/>
      <c r="U31" s="97"/>
      <c r="V31" s="1"/>
      <c r="X31" s="101">
        <v>1</v>
      </c>
    </row>
    <row r="32" spans="2:24" hidden="1">
      <c r="B32" s="23">
        <v>46029.587500000001</v>
      </c>
      <c r="C32" s="23">
        <v>46204.589583333334</v>
      </c>
      <c r="D32" s="6" t="s">
        <v>24</v>
      </c>
      <c r="E32" s="6"/>
      <c r="F32" s="27">
        <v>46204</v>
      </c>
      <c r="G32" s="27" t="s">
        <v>45</v>
      </c>
      <c r="H32" s="7" t="s">
        <v>110</v>
      </c>
      <c r="I32" s="6" t="s">
        <v>114</v>
      </c>
      <c r="J32" s="196"/>
      <c r="K32" s="169" t="s">
        <v>115</v>
      </c>
      <c r="L32" s="107">
        <v>22129186</v>
      </c>
      <c r="M32" s="31">
        <v>5215619415489</v>
      </c>
      <c r="N32" s="169" t="s">
        <v>32</v>
      </c>
      <c r="O32" s="46">
        <v>4199.87</v>
      </c>
      <c r="P32" s="93">
        <v>848</v>
      </c>
      <c r="Q32" s="8">
        <v>1259.96</v>
      </c>
      <c r="R32" s="13">
        <v>-821.11</v>
      </c>
      <c r="S32" s="70"/>
      <c r="T32" s="6"/>
      <c r="U32" s="164"/>
      <c r="V32" s="1"/>
      <c r="X32" s="101">
        <v>1</v>
      </c>
    </row>
    <row r="33" spans="2:24" hidden="1">
      <c r="B33" s="24">
        <v>46029.589583333334</v>
      </c>
      <c r="C33" s="24">
        <v>46204.59097222222</v>
      </c>
      <c r="D33" s="10" t="s">
        <v>24</v>
      </c>
      <c r="E33" s="10"/>
      <c r="F33" s="27">
        <v>46204</v>
      </c>
      <c r="G33" s="28" t="s">
        <v>45</v>
      </c>
      <c r="H33" s="160" t="s">
        <v>110</v>
      </c>
      <c r="I33" s="10" t="s">
        <v>116</v>
      </c>
      <c r="J33" s="195">
        <v>23846009217</v>
      </c>
      <c r="K33" s="170"/>
      <c r="L33" s="108">
        <v>22128306</v>
      </c>
      <c r="M33" s="32">
        <v>5216871965719</v>
      </c>
      <c r="N33" s="170" t="s">
        <v>47</v>
      </c>
      <c r="O33" s="47">
        <v>26507.99</v>
      </c>
      <c r="P33" s="94">
        <v>6796.9</v>
      </c>
      <c r="Q33" s="11">
        <v>7952.4</v>
      </c>
      <c r="R33" s="16">
        <v>1155.5</v>
      </c>
      <c r="S33" s="71">
        <v>46398</v>
      </c>
      <c r="T33" s="10"/>
      <c r="U33" s="97"/>
      <c r="V33" s="1"/>
      <c r="X33" s="101">
        <v>2</v>
      </c>
    </row>
    <row r="34" spans="2:24" hidden="1">
      <c r="B34" s="23">
        <v>46029.590277777781</v>
      </c>
      <c r="C34" s="23">
        <v>46204.59652777778</v>
      </c>
      <c r="D34" s="6" t="s">
        <v>24</v>
      </c>
      <c r="E34" s="6"/>
      <c r="F34" s="27">
        <v>46204</v>
      </c>
      <c r="G34" s="27" t="s">
        <v>25</v>
      </c>
      <c r="H34" s="6" t="s">
        <v>117</v>
      </c>
      <c r="I34" s="6" t="s">
        <v>118</v>
      </c>
      <c r="J34" s="196">
        <v>82805601448</v>
      </c>
      <c r="K34" s="169" t="s">
        <v>119</v>
      </c>
      <c r="L34" s="108">
        <v>22075284</v>
      </c>
      <c r="M34" s="31">
        <v>22075284</v>
      </c>
      <c r="N34" s="169" t="s">
        <v>37</v>
      </c>
      <c r="O34" s="46">
        <v>4813.6899999999996</v>
      </c>
      <c r="P34" s="93">
        <v>617.9</v>
      </c>
      <c r="Q34" s="8">
        <v>1444.11</v>
      </c>
      <c r="R34" s="13">
        <v>22.81</v>
      </c>
      <c r="S34" s="70">
        <v>46398</v>
      </c>
      <c r="T34" s="6"/>
      <c r="U34" s="164"/>
      <c r="V34" s="1"/>
      <c r="X34" s="101">
        <v>2</v>
      </c>
    </row>
    <row r="35" spans="2:24" hidden="1">
      <c r="B35" s="24">
        <v>46029.568749999999</v>
      </c>
      <c r="C35" s="24">
        <v>46204.597222222219</v>
      </c>
      <c r="D35" s="10" t="s">
        <v>24</v>
      </c>
      <c r="E35" s="10"/>
      <c r="F35" s="27">
        <v>46204</v>
      </c>
      <c r="G35" s="28">
        <v>46029</v>
      </c>
      <c r="H35" s="10" t="s">
        <v>39</v>
      </c>
      <c r="I35" s="10" t="s">
        <v>120</v>
      </c>
      <c r="J35" s="195">
        <v>32684816609</v>
      </c>
      <c r="K35" s="170" t="s">
        <v>121</v>
      </c>
      <c r="L35" s="108">
        <v>22161372</v>
      </c>
      <c r="M35" s="32">
        <v>5218446085551</v>
      </c>
      <c r="N35" s="170" t="s">
        <v>37</v>
      </c>
      <c r="O35" s="49">
        <v>10020.030000000001</v>
      </c>
      <c r="P35" s="96">
        <v>3005.41</v>
      </c>
      <c r="Q35" s="11">
        <v>3006.01</v>
      </c>
      <c r="R35" s="12">
        <v>0.6</v>
      </c>
      <c r="S35" s="71">
        <v>46398</v>
      </c>
      <c r="T35" s="10"/>
      <c r="U35" s="97"/>
      <c r="V35" s="1"/>
      <c r="X35" s="101">
        <v>2</v>
      </c>
    </row>
    <row r="36" spans="2:24" hidden="1">
      <c r="B36" s="23">
        <v>46029.601388888892</v>
      </c>
      <c r="C36" s="23">
        <v>46204.603472222225</v>
      </c>
      <c r="D36" s="6" t="s">
        <v>24</v>
      </c>
      <c r="E36" s="6"/>
      <c r="F36" s="27">
        <v>46204</v>
      </c>
      <c r="G36" s="27">
        <v>46029</v>
      </c>
      <c r="H36" s="10" t="s">
        <v>39</v>
      </c>
      <c r="I36" s="6" t="s">
        <v>122</v>
      </c>
      <c r="J36" s="196"/>
      <c r="K36" s="169" t="s">
        <v>123</v>
      </c>
      <c r="L36" s="107">
        <v>22162412</v>
      </c>
      <c r="M36" s="31">
        <v>5214881170727</v>
      </c>
      <c r="N36" s="169" t="s">
        <v>106</v>
      </c>
      <c r="O36" s="46">
        <v>9081.52</v>
      </c>
      <c r="P36" s="93">
        <v>2518.66</v>
      </c>
      <c r="Q36" s="8">
        <v>2724.46</v>
      </c>
      <c r="R36" s="13">
        <v>205.8</v>
      </c>
      <c r="S36" s="70">
        <v>46029</v>
      </c>
      <c r="T36" s="6"/>
      <c r="U36" s="164"/>
      <c r="V36" s="1"/>
      <c r="X36" s="101">
        <v>2</v>
      </c>
    </row>
    <row r="37" spans="2:24" hidden="1">
      <c r="B37" s="24">
        <v>46029.371527777781</v>
      </c>
      <c r="C37" s="24">
        <v>46204.607638888891</v>
      </c>
      <c r="D37" s="10" t="s">
        <v>24</v>
      </c>
      <c r="E37" s="10"/>
      <c r="F37" s="27">
        <v>46204</v>
      </c>
      <c r="G37" s="28">
        <v>46029</v>
      </c>
      <c r="H37" s="10" t="s">
        <v>124</v>
      </c>
      <c r="I37" s="10" t="s">
        <v>125</v>
      </c>
      <c r="J37" s="195">
        <v>42806382356</v>
      </c>
      <c r="K37" s="170" t="s">
        <v>126</v>
      </c>
      <c r="L37" s="108">
        <v>22172958</v>
      </c>
      <c r="M37" s="32">
        <v>5217351614271</v>
      </c>
      <c r="N37" s="170" t="s">
        <v>37</v>
      </c>
      <c r="O37" s="49">
        <v>10750.17</v>
      </c>
      <c r="P37" s="96">
        <v>3224.13</v>
      </c>
      <c r="Q37" s="11">
        <v>3225.05</v>
      </c>
      <c r="R37" s="12">
        <v>0.92</v>
      </c>
      <c r="S37" s="71">
        <v>46389</v>
      </c>
      <c r="T37" s="10"/>
      <c r="U37" s="97"/>
      <c r="V37" s="1"/>
      <c r="X37" s="101">
        <v>2</v>
      </c>
    </row>
    <row r="38" spans="2:24" hidden="1">
      <c r="B38" s="23">
        <v>46029.606944444444</v>
      </c>
      <c r="C38" s="23">
        <v>46204.609722222223</v>
      </c>
      <c r="D38" s="6" t="s">
        <v>24</v>
      </c>
      <c r="E38" s="6"/>
      <c r="F38" s="27">
        <v>46204</v>
      </c>
      <c r="G38" s="27" t="s">
        <v>45</v>
      </c>
      <c r="H38" s="160" t="s">
        <v>107</v>
      </c>
      <c r="I38" s="123"/>
      <c r="J38" s="196">
        <v>33806434180</v>
      </c>
      <c r="K38" s="169"/>
      <c r="L38" s="107">
        <v>22126200</v>
      </c>
      <c r="M38" s="31">
        <v>6391558331</v>
      </c>
      <c r="N38" s="169" t="s">
        <v>106</v>
      </c>
      <c r="O38" s="46">
        <v>18771.990000000002</v>
      </c>
      <c r="P38" s="93">
        <v>5333.7</v>
      </c>
      <c r="Q38" s="8">
        <v>5631.6</v>
      </c>
      <c r="R38" s="13">
        <v>297.89999999999998</v>
      </c>
      <c r="S38" s="70">
        <v>46029</v>
      </c>
      <c r="T38" s="6"/>
      <c r="U38" s="164"/>
      <c r="V38" s="1"/>
      <c r="X38" s="101">
        <v>2</v>
      </c>
    </row>
    <row r="39" spans="2:24" hidden="1">
      <c r="B39" s="24">
        <v>46029.611805555556</v>
      </c>
      <c r="C39" s="24">
        <v>46204.614583333336</v>
      </c>
      <c r="D39" s="10" t="s">
        <v>24</v>
      </c>
      <c r="E39" s="10"/>
      <c r="F39" s="27">
        <v>46204</v>
      </c>
      <c r="G39" s="28" t="s">
        <v>45</v>
      </c>
      <c r="H39" s="10" t="s">
        <v>127</v>
      </c>
      <c r="I39" s="10" t="s">
        <v>128</v>
      </c>
      <c r="J39" s="195">
        <v>60836000467</v>
      </c>
      <c r="K39" s="170" t="s">
        <v>129</v>
      </c>
      <c r="L39" s="108">
        <v>22151900</v>
      </c>
      <c r="M39" s="32">
        <v>5215578381289</v>
      </c>
      <c r="N39" s="170" t="s">
        <v>130</v>
      </c>
      <c r="O39" s="49">
        <v>5617.63</v>
      </c>
      <c r="P39" s="96">
        <v>1392.9</v>
      </c>
      <c r="Q39" s="11">
        <v>1685.29</v>
      </c>
      <c r="R39" s="12">
        <v>51.75</v>
      </c>
      <c r="S39" s="71">
        <v>46027</v>
      </c>
      <c r="T39" s="10"/>
      <c r="U39" s="97"/>
      <c r="V39" s="1"/>
      <c r="X39" s="101">
        <v>2</v>
      </c>
    </row>
    <row r="40" spans="2:24" hidden="1">
      <c r="B40" s="23">
        <v>46029.618750000001</v>
      </c>
      <c r="C40" s="23">
        <v>46204.624305555553</v>
      </c>
      <c r="D40" s="6" t="s">
        <v>24</v>
      </c>
      <c r="E40" s="6"/>
      <c r="F40" s="27">
        <v>46204</v>
      </c>
      <c r="G40" s="27" t="s">
        <v>45</v>
      </c>
      <c r="H40" s="6" t="s">
        <v>117</v>
      </c>
      <c r="I40" s="6" t="s">
        <v>131</v>
      </c>
      <c r="J40" s="196">
        <v>14806007622</v>
      </c>
      <c r="K40" s="169" t="s">
        <v>132</v>
      </c>
      <c r="L40" s="108">
        <v>22120712</v>
      </c>
      <c r="M40" s="31">
        <v>5214142191750</v>
      </c>
      <c r="N40" s="169" t="s">
        <v>37</v>
      </c>
      <c r="O40" s="48">
        <v>7116.73</v>
      </c>
      <c r="P40" s="95">
        <v>2057.73</v>
      </c>
      <c r="Q40" s="8">
        <v>2135.02</v>
      </c>
      <c r="R40" s="13">
        <v>77.290000000000006</v>
      </c>
      <c r="S40" s="70">
        <v>46394</v>
      </c>
      <c r="T40" s="6"/>
      <c r="U40" s="164"/>
      <c r="V40" s="1"/>
      <c r="X40" s="101">
        <v>2</v>
      </c>
    </row>
    <row r="41" spans="2:24" hidden="1">
      <c r="B41" s="24">
        <v>46029.635416666664</v>
      </c>
      <c r="C41" s="24">
        <v>46204.637499999997</v>
      </c>
      <c r="D41" s="10" t="s">
        <v>24</v>
      </c>
      <c r="E41" s="10"/>
      <c r="F41" s="27">
        <v>46204</v>
      </c>
      <c r="G41" s="28">
        <v>46362</v>
      </c>
      <c r="H41" s="10" t="s">
        <v>127</v>
      </c>
      <c r="I41" s="10" t="s">
        <v>133</v>
      </c>
      <c r="J41" s="195"/>
      <c r="K41" s="170" t="s">
        <v>134</v>
      </c>
      <c r="L41" s="108">
        <v>21661676</v>
      </c>
      <c r="M41" s="32">
        <v>5212971061427</v>
      </c>
      <c r="N41" s="170" t="s">
        <v>106</v>
      </c>
      <c r="O41" s="47">
        <v>9081.52</v>
      </c>
      <c r="P41" s="94">
        <v>2500</v>
      </c>
      <c r="Q41" s="11">
        <v>2724.46</v>
      </c>
      <c r="R41" s="12">
        <v>224.46</v>
      </c>
      <c r="S41" s="71">
        <v>46029</v>
      </c>
      <c r="T41" s="10"/>
      <c r="U41" s="97"/>
      <c r="V41" s="1"/>
      <c r="X41" s="101">
        <v>2</v>
      </c>
    </row>
    <row r="42" spans="2:24" hidden="1">
      <c r="B42" s="23">
        <v>46029.637499999997</v>
      </c>
      <c r="C42" s="23">
        <v>46204.64166666667</v>
      </c>
      <c r="D42" s="6" t="s">
        <v>24</v>
      </c>
      <c r="E42" s="6"/>
      <c r="F42" s="27">
        <v>46204</v>
      </c>
      <c r="G42" s="27">
        <v>46029</v>
      </c>
      <c r="H42" s="18" t="s">
        <v>135</v>
      </c>
      <c r="I42" s="6" t="s">
        <v>136</v>
      </c>
      <c r="J42" s="196">
        <v>80996423875</v>
      </c>
      <c r="K42" s="169" t="s">
        <v>137</v>
      </c>
      <c r="L42" s="107">
        <v>22063076</v>
      </c>
      <c r="M42" s="31">
        <v>22063076</v>
      </c>
      <c r="N42" s="169" t="s">
        <v>98</v>
      </c>
      <c r="O42" s="48"/>
      <c r="P42" s="95"/>
      <c r="Q42" s="8">
        <v>0</v>
      </c>
      <c r="R42" s="13">
        <v>0</v>
      </c>
      <c r="S42" s="70"/>
      <c r="T42" s="6"/>
      <c r="U42" s="164"/>
      <c r="V42" s="1"/>
      <c r="X42" s="101">
        <v>0</v>
      </c>
    </row>
    <row r="43" spans="2:24" hidden="1">
      <c r="B43" s="24">
        <v>46029.571527777778</v>
      </c>
      <c r="C43" s="24">
        <v>46204.645138888889</v>
      </c>
      <c r="D43" s="10" t="s">
        <v>24</v>
      </c>
      <c r="E43" s="10"/>
      <c r="F43" s="27">
        <v>46204</v>
      </c>
      <c r="G43" s="28" t="s">
        <v>45</v>
      </c>
      <c r="H43" s="10" t="s">
        <v>65</v>
      </c>
      <c r="I43" s="10" t="s">
        <v>138</v>
      </c>
      <c r="J43" s="195"/>
      <c r="K43" s="170" t="s">
        <v>139</v>
      </c>
      <c r="L43" s="108">
        <v>22125436</v>
      </c>
      <c r="M43" s="32">
        <v>5216566593045</v>
      </c>
      <c r="N43" s="170" t="s">
        <v>37</v>
      </c>
      <c r="O43" s="49">
        <v>9760.32</v>
      </c>
      <c r="P43" s="96">
        <v>2823.89</v>
      </c>
      <c r="Q43" s="11">
        <v>2928.1</v>
      </c>
      <c r="R43" s="12">
        <v>104.21</v>
      </c>
      <c r="S43" s="71">
        <v>46399</v>
      </c>
      <c r="T43" s="10"/>
      <c r="U43" s="97"/>
      <c r="V43" s="1"/>
      <c r="X43" s="101">
        <v>2</v>
      </c>
    </row>
    <row r="44" spans="2:24" hidden="1">
      <c r="B44" s="23">
        <v>46029.519444444442</v>
      </c>
      <c r="C44" s="23">
        <v>46204.647222222222</v>
      </c>
      <c r="D44" s="6" t="s">
        <v>24</v>
      </c>
      <c r="E44" s="6"/>
      <c r="F44" s="27">
        <v>46204</v>
      </c>
      <c r="G44" s="27">
        <v>46029</v>
      </c>
      <c r="H44" s="10" t="s">
        <v>42</v>
      </c>
      <c r="I44" s="6" t="s">
        <v>140</v>
      </c>
      <c r="J44" s="196">
        <v>54795203865</v>
      </c>
      <c r="K44" s="169" t="s">
        <v>141</v>
      </c>
      <c r="L44" s="107">
        <v>22153278</v>
      </c>
      <c r="M44" s="31">
        <v>22153278</v>
      </c>
      <c r="N44" s="169" t="s">
        <v>106</v>
      </c>
      <c r="O44" s="48">
        <v>9120.5</v>
      </c>
      <c r="P44" s="95">
        <v>2241</v>
      </c>
      <c r="Q44" s="8">
        <v>2736.15</v>
      </c>
      <c r="R44" s="22">
        <v>495.15</v>
      </c>
      <c r="S44" s="70">
        <v>45301</v>
      </c>
      <c r="T44" s="6"/>
      <c r="U44" s="164"/>
      <c r="V44" s="1"/>
      <c r="X44" s="101">
        <v>2</v>
      </c>
    </row>
    <row r="45" spans="2:24" hidden="1">
      <c r="B45" s="24">
        <v>46029.645833333336</v>
      </c>
      <c r="C45" s="24">
        <v>46204.647222222222</v>
      </c>
      <c r="D45" s="10" t="s">
        <v>24</v>
      </c>
      <c r="E45" s="10"/>
      <c r="F45" s="27">
        <v>46204</v>
      </c>
      <c r="G45" s="28">
        <v>46029</v>
      </c>
      <c r="H45" s="161" t="s">
        <v>135</v>
      </c>
      <c r="I45" s="10"/>
      <c r="J45" s="195">
        <v>54836503653</v>
      </c>
      <c r="K45" s="170" t="s">
        <v>142</v>
      </c>
      <c r="L45" s="108">
        <v>22150440</v>
      </c>
      <c r="M45" s="32">
        <v>13344602961</v>
      </c>
      <c r="N45" s="170" t="s">
        <v>47</v>
      </c>
      <c r="O45" s="49">
        <v>9760.32</v>
      </c>
      <c r="P45" s="96">
        <v>2237.06</v>
      </c>
      <c r="Q45" s="11">
        <v>2928.1</v>
      </c>
      <c r="R45" s="16">
        <v>691.04</v>
      </c>
      <c r="S45" s="71">
        <v>46759</v>
      </c>
      <c r="T45" s="10"/>
      <c r="U45" s="97"/>
      <c r="V45" s="1"/>
      <c r="X45" s="101">
        <v>2</v>
      </c>
    </row>
    <row r="46" spans="2:24" hidden="1">
      <c r="B46" s="23">
        <v>46029.647222222222</v>
      </c>
      <c r="C46" s="23">
        <v>46204.648611111108</v>
      </c>
      <c r="D46" s="6" t="s">
        <v>24</v>
      </c>
      <c r="E46" s="6"/>
      <c r="F46" s="27">
        <v>46204</v>
      </c>
      <c r="G46" s="27">
        <v>46029</v>
      </c>
      <c r="H46" s="18" t="s">
        <v>135</v>
      </c>
      <c r="I46" s="6" t="s">
        <v>143</v>
      </c>
      <c r="J46" s="196">
        <v>41906711639</v>
      </c>
      <c r="K46" s="169" t="s">
        <v>144</v>
      </c>
      <c r="L46" s="107">
        <v>22149548</v>
      </c>
      <c r="M46" s="31">
        <v>5218451039209</v>
      </c>
      <c r="N46" s="169" t="s">
        <v>98</v>
      </c>
      <c r="O46" s="48"/>
      <c r="P46" s="95"/>
      <c r="Q46" s="8">
        <v>0</v>
      </c>
      <c r="R46" s="13">
        <v>0</v>
      </c>
      <c r="S46" s="70"/>
      <c r="T46" s="6"/>
      <c r="U46" s="164"/>
      <c r="V46" s="1"/>
      <c r="X46" s="101">
        <v>0</v>
      </c>
    </row>
    <row r="47" spans="2:24" hidden="1">
      <c r="B47" s="24">
        <v>46029.647222222222</v>
      </c>
      <c r="C47" s="24">
        <v>46204.649305555555</v>
      </c>
      <c r="D47" s="10" t="s">
        <v>24</v>
      </c>
      <c r="E47" s="10"/>
      <c r="F47" s="27">
        <v>46204</v>
      </c>
      <c r="G47" s="28">
        <v>46029</v>
      </c>
      <c r="H47" s="10" t="s">
        <v>145</v>
      </c>
      <c r="I47" s="10" t="s">
        <v>146</v>
      </c>
      <c r="J47" s="195">
        <v>64816357624</v>
      </c>
      <c r="K47" s="170" t="s">
        <v>147</v>
      </c>
      <c r="L47" s="108">
        <v>22175670</v>
      </c>
      <c r="M47" s="32" t="s">
        <v>148</v>
      </c>
      <c r="N47" s="170" t="s">
        <v>37</v>
      </c>
      <c r="O47" s="49">
        <v>7920.51</v>
      </c>
      <c r="P47" s="96">
        <v>2287.42</v>
      </c>
      <c r="Q47" s="11">
        <v>2376.15</v>
      </c>
      <c r="R47" s="12">
        <v>88.73</v>
      </c>
      <c r="S47" s="71">
        <v>46391</v>
      </c>
      <c r="T47" s="10"/>
      <c r="U47" s="97"/>
      <c r="V47" s="1"/>
      <c r="X47" s="101">
        <v>2</v>
      </c>
    </row>
    <row r="48" spans="2:24" hidden="1">
      <c r="B48" s="23">
        <v>46029.493750000001</v>
      </c>
      <c r="C48" s="23">
        <v>46204.65347222222</v>
      </c>
      <c r="D48" s="6" t="s">
        <v>24</v>
      </c>
      <c r="E48" s="6"/>
      <c r="F48" s="27">
        <v>46204</v>
      </c>
      <c r="G48" s="27" t="s">
        <v>149</v>
      </c>
      <c r="H48" s="10" t="s">
        <v>68</v>
      </c>
      <c r="I48" s="6" t="s">
        <v>150</v>
      </c>
      <c r="J48" s="196"/>
      <c r="K48" s="169" t="s">
        <v>151</v>
      </c>
      <c r="L48" s="107">
        <v>21965960</v>
      </c>
      <c r="M48" s="31">
        <v>5215615423449</v>
      </c>
      <c r="N48" s="169" t="s">
        <v>28</v>
      </c>
      <c r="O48" s="48">
        <v>9760.32</v>
      </c>
      <c r="P48" s="95">
        <v>879</v>
      </c>
      <c r="Q48" s="8">
        <v>2928.1</v>
      </c>
      <c r="R48" s="9">
        <v>2049.1</v>
      </c>
      <c r="S48" s="70"/>
      <c r="T48" s="6"/>
      <c r="U48" s="164"/>
      <c r="V48" s="1"/>
      <c r="X48" s="101">
        <v>1</v>
      </c>
    </row>
    <row r="49" spans="2:24" hidden="1">
      <c r="B49" s="24">
        <v>46029.651388888888</v>
      </c>
      <c r="C49" s="24">
        <v>46204.654861111114</v>
      </c>
      <c r="D49" s="10" t="s">
        <v>24</v>
      </c>
      <c r="E49" s="10"/>
      <c r="F49" s="27">
        <v>46204</v>
      </c>
      <c r="G49" s="28">
        <v>46029</v>
      </c>
      <c r="H49" s="10" t="s">
        <v>127</v>
      </c>
      <c r="I49" s="10" t="s">
        <v>152</v>
      </c>
      <c r="J49" s="195"/>
      <c r="K49" s="170" t="s">
        <v>153</v>
      </c>
      <c r="L49" s="108">
        <v>22172964</v>
      </c>
      <c r="M49" s="32">
        <v>5214444576729</v>
      </c>
      <c r="N49" s="170" t="s">
        <v>37</v>
      </c>
      <c r="O49" s="49">
        <v>6262.86</v>
      </c>
      <c r="P49" s="96">
        <v>1811.99</v>
      </c>
      <c r="Q49" s="11">
        <v>1878.86</v>
      </c>
      <c r="R49" s="12">
        <v>66.87</v>
      </c>
      <c r="S49" s="71">
        <v>46391</v>
      </c>
      <c r="T49" s="10"/>
      <c r="U49" s="97"/>
      <c r="V49" s="1"/>
      <c r="X49" s="101">
        <v>2</v>
      </c>
    </row>
    <row r="50" spans="2:24" hidden="1">
      <c r="B50" s="23">
        <v>46029.643055555556</v>
      </c>
      <c r="C50" s="23">
        <v>46204.655555555553</v>
      </c>
      <c r="D50" s="6" t="s">
        <v>24</v>
      </c>
      <c r="E50" s="6"/>
      <c r="F50" s="27">
        <v>46204</v>
      </c>
      <c r="G50" s="27">
        <v>46029</v>
      </c>
      <c r="H50" s="6" t="s">
        <v>51</v>
      </c>
      <c r="I50" s="6" t="s">
        <v>154</v>
      </c>
      <c r="J50" s="196">
        <v>84906105592</v>
      </c>
      <c r="K50" s="169" t="s">
        <v>155</v>
      </c>
      <c r="L50" s="108">
        <v>22156292</v>
      </c>
      <c r="M50" s="31">
        <v>9931067421</v>
      </c>
      <c r="N50" s="169" t="s">
        <v>37</v>
      </c>
      <c r="O50" s="48">
        <v>6262.86</v>
      </c>
      <c r="P50" s="95">
        <v>1811.99</v>
      </c>
      <c r="Q50" s="8">
        <v>1878.86</v>
      </c>
      <c r="R50" s="13">
        <v>66.87</v>
      </c>
      <c r="S50" s="70">
        <v>46391</v>
      </c>
      <c r="T50" s="6"/>
      <c r="U50" s="164"/>
      <c r="V50" s="1"/>
      <c r="X50" s="101">
        <v>2</v>
      </c>
    </row>
    <row r="51" spans="2:24" hidden="1">
      <c r="B51" s="24">
        <v>46029.511805555558</v>
      </c>
      <c r="C51" s="24">
        <v>46204.658333333333</v>
      </c>
      <c r="D51" s="10" t="s">
        <v>24</v>
      </c>
      <c r="E51" s="10"/>
      <c r="F51" s="27">
        <v>46204</v>
      </c>
      <c r="G51" s="28">
        <v>46029</v>
      </c>
      <c r="H51" s="10" t="s">
        <v>81</v>
      </c>
      <c r="I51" s="10" t="s">
        <v>156</v>
      </c>
      <c r="J51" s="198">
        <v>55776102554</v>
      </c>
      <c r="K51" s="170" t="s">
        <v>157</v>
      </c>
      <c r="L51" s="108">
        <v>22173486</v>
      </c>
      <c r="M51" s="32">
        <v>6645479435</v>
      </c>
      <c r="N51" s="170" t="s">
        <v>37</v>
      </c>
      <c r="O51" s="49">
        <v>10171.24</v>
      </c>
      <c r="P51" s="96">
        <v>3051.37</v>
      </c>
      <c r="Q51" s="11">
        <v>3051.37</v>
      </c>
      <c r="R51" s="12">
        <v>0</v>
      </c>
      <c r="S51" s="71">
        <v>46390</v>
      </c>
      <c r="T51" s="10"/>
      <c r="U51" s="97"/>
      <c r="V51" s="1"/>
      <c r="X51" s="101">
        <v>2</v>
      </c>
    </row>
    <row r="52" spans="2:24" hidden="1">
      <c r="B52" s="23">
        <v>46029.661111111112</v>
      </c>
      <c r="C52" s="23">
        <v>46204.663194444445</v>
      </c>
      <c r="D52" s="6" t="s">
        <v>24</v>
      </c>
      <c r="E52" s="6"/>
      <c r="F52" s="27">
        <v>46204</v>
      </c>
      <c r="G52" s="27">
        <v>46029</v>
      </c>
      <c r="H52" s="10" t="s">
        <v>48</v>
      </c>
      <c r="I52" s="6" t="s">
        <v>158</v>
      </c>
      <c r="J52" s="196"/>
      <c r="K52" s="169" t="s">
        <v>159</v>
      </c>
      <c r="L52" s="107">
        <v>22160340</v>
      </c>
      <c r="M52" s="31">
        <v>5219601353463</v>
      </c>
      <c r="N52" s="169" t="s">
        <v>106</v>
      </c>
      <c r="O52" s="46">
        <v>7116.73</v>
      </c>
      <c r="P52" s="93">
        <v>1972.32</v>
      </c>
      <c r="Q52" s="8">
        <v>2135.02</v>
      </c>
      <c r="R52" s="13">
        <v>162.69999999999999</v>
      </c>
      <c r="S52" s="70">
        <v>46024</v>
      </c>
      <c r="T52" s="6"/>
      <c r="U52" s="164"/>
      <c r="V52" s="1"/>
      <c r="X52" s="101">
        <v>2</v>
      </c>
    </row>
    <row r="53" spans="2:24" hidden="1">
      <c r="B53" s="24">
        <v>46029.664583333331</v>
      </c>
      <c r="C53" s="24">
        <v>46204.671527777777</v>
      </c>
      <c r="D53" s="10" t="s">
        <v>24</v>
      </c>
      <c r="E53" s="10"/>
      <c r="F53" s="27">
        <v>46204</v>
      </c>
      <c r="G53" s="28">
        <v>46029</v>
      </c>
      <c r="H53" s="10" t="s">
        <v>160</v>
      </c>
      <c r="I53" s="10" t="s">
        <v>161</v>
      </c>
      <c r="J53" s="199">
        <v>43715531471</v>
      </c>
      <c r="K53" s="170" t="s">
        <v>162</v>
      </c>
      <c r="L53" s="108">
        <v>22173260</v>
      </c>
      <c r="M53" s="32">
        <v>5218117824579</v>
      </c>
      <c r="N53" s="170" t="s">
        <v>47</v>
      </c>
      <c r="O53" s="49">
        <v>5242.94</v>
      </c>
      <c r="P53" s="96"/>
      <c r="Q53" s="11">
        <v>1572.88</v>
      </c>
      <c r="R53" s="16">
        <v>1069.96</v>
      </c>
      <c r="S53" s="71"/>
      <c r="T53" s="10"/>
      <c r="U53" s="97"/>
      <c r="V53" s="1"/>
      <c r="X53" s="101">
        <v>1</v>
      </c>
    </row>
    <row r="54" spans="2:24" hidden="1">
      <c r="B54" s="23">
        <v>46029.607638888891</v>
      </c>
      <c r="C54" s="23">
        <v>46204.673611111109</v>
      </c>
      <c r="D54" s="6" t="s">
        <v>24</v>
      </c>
      <c r="E54" s="6"/>
      <c r="F54" s="27">
        <v>46204</v>
      </c>
      <c r="G54" s="27">
        <v>46029</v>
      </c>
      <c r="H54" s="6" t="s">
        <v>124</v>
      </c>
      <c r="I54" s="6" t="s">
        <v>163</v>
      </c>
      <c r="J54" s="196"/>
      <c r="K54" s="169" t="s">
        <v>164</v>
      </c>
      <c r="L54" s="108">
        <v>22176030</v>
      </c>
      <c r="M54" s="31">
        <v>5218662124223</v>
      </c>
      <c r="N54" s="169" t="s">
        <v>37</v>
      </c>
      <c r="O54" s="46">
        <v>9760.32</v>
      </c>
      <c r="P54" s="93">
        <v>2819.54</v>
      </c>
      <c r="Q54" s="8">
        <v>2928.1</v>
      </c>
      <c r="R54" s="13">
        <v>108.56</v>
      </c>
      <c r="S54" s="70">
        <v>46398</v>
      </c>
      <c r="T54" s="6"/>
      <c r="U54" s="164"/>
      <c r="V54" s="1"/>
      <c r="X54" s="101">
        <v>2</v>
      </c>
    </row>
    <row r="55" spans="2:24" hidden="1">
      <c r="B55" s="24">
        <v>46029.680555555555</v>
      </c>
      <c r="C55" s="24">
        <v>46204.681250000001</v>
      </c>
      <c r="D55" s="10" t="s">
        <v>24</v>
      </c>
      <c r="E55" s="10"/>
      <c r="F55" s="27">
        <v>46204</v>
      </c>
      <c r="G55" s="28" t="s">
        <v>165</v>
      </c>
      <c r="H55" s="10" t="s">
        <v>160</v>
      </c>
      <c r="I55" s="10" t="s">
        <v>166</v>
      </c>
      <c r="J55" s="195">
        <v>24927613372</v>
      </c>
      <c r="K55" s="170" t="s">
        <v>167</v>
      </c>
      <c r="L55" s="108">
        <v>22093922</v>
      </c>
      <c r="M55" s="32">
        <v>5216623542600</v>
      </c>
      <c r="N55" s="170" t="s">
        <v>32</v>
      </c>
      <c r="O55" s="47">
        <v>3551.65</v>
      </c>
      <c r="P55" s="94"/>
      <c r="Q55" s="11">
        <v>1065.5</v>
      </c>
      <c r="R55" s="12">
        <v>0</v>
      </c>
      <c r="S55" s="71"/>
      <c r="T55" s="10"/>
      <c r="U55" s="97"/>
      <c r="V55" s="1"/>
      <c r="X55" s="101">
        <v>1</v>
      </c>
    </row>
    <row r="56" spans="2:24" hidden="1">
      <c r="B56" s="23">
        <v>46029.673611111109</v>
      </c>
      <c r="C56" s="23">
        <v>46204.701388888891</v>
      </c>
      <c r="D56" s="6" t="s">
        <v>24</v>
      </c>
      <c r="E56" s="6"/>
      <c r="F56" s="27">
        <v>46204</v>
      </c>
      <c r="G56" s="27">
        <v>46029</v>
      </c>
      <c r="H56" s="6" t="s">
        <v>124</v>
      </c>
      <c r="I56" s="6" t="s">
        <v>168</v>
      </c>
      <c r="J56" s="196"/>
      <c r="K56" s="169" t="s">
        <v>169</v>
      </c>
      <c r="L56" s="108">
        <v>22194508</v>
      </c>
      <c r="M56" s="31">
        <v>5218331472160</v>
      </c>
      <c r="N56" s="169" t="s">
        <v>37</v>
      </c>
      <c r="O56" s="46">
        <v>14589.74</v>
      </c>
      <c r="P56" s="93">
        <v>4376.68</v>
      </c>
      <c r="Q56" s="8">
        <v>4376.92</v>
      </c>
      <c r="R56" s="13">
        <v>0.24</v>
      </c>
      <c r="S56" s="70">
        <v>46389</v>
      </c>
      <c r="T56" s="6" t="s">
        <v>84</v>
      </c>
      <c r="U56" s="164"/>
      <c r="V56" s="1"/>
      <c r="X56" s="101">
        <v>2</v>
      </c>
    </row>
    <row r="57" spans="2:24" hidden="1">
      <c r="B57" s="24">
        <v>46029.698611111111</v>
      </c>
      <c r="C57" s="24">
        <v>46204.702777777777</v>
      </c>
      <c r="D57" s="10" t="s">
        <v>24</v>
      </c>
      <c r="E57" s="10"/>
      <c r="F57" s="27">
        <v>46204</v>
      </c>
      <c r="G57" s="28">
        <v>46118</v>
      </c>
      <c r="H57" s="20" t="s">
        <v>170</v>
      </c>
      <c r="I57" s="10" t="s">
        <v>171</v>
      </c>
      <c r="J57" s="199">
        <v>24955504261</v>
      </c>
      <c r="K57" s="170"/>
      <c r="L57" s="108">
        <v>21377256</v>
      </c>
      <c r="M57" s="32">
        <v>5216442332810</v>
      </c>
      <c r="N57" s="170" t="s">
        <v>32</v>
      </c>
      <c r="O57" s="47">
        <v>4063.93</v>
      </c>
      <c r="P57" s="94">
        <v>848</v>
      </c>
      <c r="Q57" s="11">
        <v>1219.18</v>
      </c>
      <c r="R57" s="12">
        <v>-848</v>
      </c>
      <c r="S57" s="71"/>
      <c r="T57" s="10"/>
      <c r="U57" s="97"/>
      <c r="V57" s="1"/>
      <c r="X57" s="101">
        <v>1</v>
      </c>
    </row>
    <row r="58" spans="2:24" hidden="1">
      <c r="B58" s="23">
        <v>46029.701388888891</v>
      </c>
      <c r="C58" s="23">
        <v>46204.702777777777</v>
      </c>
      <c r="D58" s="6" t="s">
        <v>24</v>
      </c>
      <c r="E58" s="6"/>
      <c r="F58" s="27">
        <v>46204</v>
      </c>
      <c r="G58" s="27">
        <v>46029</v>
      </c>
      <c r="H58" s="6" t="s">
        <v>75</v>
      </c>
      <c r="I58" s="6" t="s">
        <v>172</v>
      </c>
      <c r="J58" s="196"/>
      <c r="K58" s="169" t="s">
        <v>173</v>
      </c>
      <c r="L58" s="108">
        <v>22183116</v>
      </c>
      <c r="M58" s="31">
        <v>5212299195157</v>
      </c>
      <c r="N58" s="169" t="s">
        <v>37</v>
      </c>
      <c r="O58" s="46">
        <v>4813.6899999999996</v>
      </c>
      <c r="P58" s="93">
        <v>592.94000000000005</v>
      </c>
      <c r="Q58" s="8">
        <v>1444.11</v>
      </c>
      <c r="R58" s="13">
        <v>47.77</v>
      </c>
      <c r="S58" s="70">
        <v>46235</v>
      </c>
      <c r="T58" s="6"/>
      <c r="U58" s="164"/>
      <c r="V58" s="1"/>
      <c r="X58" s="101">
        <v>2</v>
      </c>
    </row>
    <row r="59" spans="2:24" hidden="1">
      <c r="B59" s="24">
        <v>46029.654166666667</v>
      </c>
      <c r="C59" s="24">
        <v>46204.705555555556</v>
      </c>
      <c r="D59" s="10" t="s">
        <v>24</v>
      </c>
      <c r="E59" s="10"/>
      <c r="F59" s="27">
        <v>46204</v>
      </c>
      <c r="G59" s="28">
        <v>46029</v>
      </c>
      <c r="H59" s="10" t="s">
        <v>68</v>
      </c>
      <c r="I59" s="10" t="s">
        <v>174</v>
      </c>
      <c r="J59" s="195">
        <v>2663400899</v>
      </c>
      <c r="K59" s="170" t="s">
        <v>175</v>
      </c>
      <c r="L59" s="108">
        <v>22177230</v>
      </c>
      <c r="M59" s="32">
        <v>5216612218325</v>
      </c>
      <c r="N59" s="170" t="s">
        <v>37</v>
      </c>
      <c r="O59" s="47">
        <v>6254.33</v>
      </c>
      <c r="P59" s="94">
        <v>2529.9699999999998</v>
      </c>
      <c r="Q59" s="11">
        <v>1876.3</v>
      </c>
      <c r="R59" s="12">
        <v>-653.66999999999996</v>
      </c>
      <c r="S59" s="71">
        <v>46753</v>
      </c>
      <c r="T59" s="10"/>
      <c r="U59" s="97"/>
      <c r="V59" s="1"/>
      <c r="X59" s="101">
        <v>2</v>
      </c>
    </row>
    <row r="60" spans="2:24" hidden="1">
      <c r="B60" s="23">
        <v>46029.713888888888</v>
      </c>
      <c r="C60" s="23">
        <v>46204.717361111114</v>
      </c>
      <c r="D60" s="6" t="s">
        <v>24</v>
      </c>
      <c r="E60" s="6"/>
      <c r="F60" s="27">
        <v>46204</v>
      </c>
      <c r="G60" s="27">
        <v>46029</v>
      </c>
      <c r="H60" s="6" t="s">
        <v>42</v>
      </c>
      <c r="I60" s="19" t="s">
        <v>85</v>
      </c>
      <c r="J60" s="196"/>
      <c r="K60" s="177" t="s">
        <v>86</v>
      </c>
      <c r="L60" s="108">
        <v>22183018</v>
      </c>
      <c r="M60" s="31">
        <v>5218261152492</v>
      </c>
      <c r="N60" s="169" t="s">
        <v>37</v>
      </c>
      <c r="O60" s="46">
        <v>6262.86</v>
      </c>
      <c r="P60" s="93">
        <v>1811.23</v>
      </c>
      <c r="Q60" s="8">
        <v>1878.86</v>
      </c>
      <c r="R60" s="13">
        <v>67.63</v>
      </c>
      <c r="S60" s="70">
        <v>46397</v>
      </c>
      <c r="T60" s="6"/>
      <c r="U60" s="164"/>
      <c r="V60" s="1"/>
      <c r="X60" s="101">
        <v>2</v>
      </c>
    </row>
    <row r="61" spans="2:24" hidden="1">
      <c r="B61" s="24">
        <v>46029.719444444447</v>
      </c>
      <c r="C61" s="24">
        <v>46204.719444444447</v>
      </c>
      <c r="D61" s="10" t="s">
        <v>24</v>
      </c>
      <c r="E61" s="10"/>
      <c r="F61" s="27">
        <v>46204</v>
      </c>
      <c r="G61" s="28">
        <v>46029</v>
      </c>
      <c r="H61" s="10" t="s">
        <v>160</v>
      </c>
      <c r="I61" s="10" t="s">
        <v>176</v>
      </c>
      <c r="J61" s="195">
        <v>72866605727</v>
      </c>
      <c r="K61" s="170" t="s">
        <v>177</v>
      </c>
      <c r="L61" s="108">
        <v>22205998</v>
      </c>
      <c r="M61" s="32">
        <v>5217621149160</v>
      </c>
      <c r="N61" s="170" t="s">
        <v>37</v>
      </c>
      <c r="O61" s="47">
        <v>10636.54</v>
      </c>
      <c r="P61" s="94">
        <v>3190.96</v>
      </c>
      <c r="Q61" s="11">
        <v>3190.96</v>
      </c>
      <c r="R61" s="12">
        <v>0</v>
      </c>
      <c r="S61" s="71">
        <v>46757</v>
      </c>
      <c r="T61" s="10" t="s">
        <v>178</v>
      </c>
      <c r="U61" s="97"/>
      <c r="V61" s="1"/>
      <c r="X61" s="101">
        <v>2</v>
      </c>
    </row>
    <row r="62" spans="2:24" hidden="1">
      <c r="B62" s="23">
        <v>46029.720138888886</v>
      </c>
      <c r="C62" s="23">
        <v>46204.722222222219</v>
      </c>
      <c r="D62" s="6" t="s">
        <v>24</v>
      </c>
      <c r="E62" s="6"/>
      <c r="F62" s="27">
        <v>46204</v>
      </c>
      <c r="G62" s="27">
        <v>46029</v>
      </c>
      <c r="H62" s="10" t="s">
        <v>39</v>
      </c>
      <c r="I62" s="19" t="s">
        <v>179</v>
      </c>
      <c r="J62" s="196">
        <v>24816016646</v>
      </c>
      <c r="K62" s="177" t="s">
        <v>180</v>
      </c>
      <c r="L62" s="213">
        <v>22177160</v>
      </c>
      <c r="M62" s="33">
        <v>5216311114980</v>
      </c>
      <c r="N62" s="169" t="s">
        <v>37</v>
      </c>
      <c r="O62" s="46">
        <v>29982.91</v>
      </c>
      <c r="P62" s="93">
        <v>8991.64</v>
      </c>
      <c r="Q62" s="8">
        <v>8994.8700000000008</v>
      </c>
      <c r="R62" s="13">
        <v>3.23</v>
      </c>
      <c r="S62" s="70">
        <v>46388</v>
      </c>
      <c r="T62" s="6"/>
      <c r="U62" s="164"/>
      <c r="V62" s="1"/>
      <c r="X62" s="101">
        <v>2</v>
      </c>
    </row>
    <row r="63" spans="2:24" hidden="1">
      <c r="B63" s="24">
        <v>46029.723611111112</v>
      </c>
      <c r="C63" s="24">
        <v>46204.725694444445</v>
      </c>
      <c r="D63" s="10" t="s">
        <v>24</v>
      </c>
      <c r="E63" s="10"/>
      <c r="F63" s="27">
        <v>46204</v>
      </c>
      <c r="G63" s="28">
        <v>46029</v>
      </c>
      <c r="H63" s="10" t="s">
        <v>42</v>
      </c>
      <c r="I63" s="10" t="s">
        <v>181</v>
      </c>
      <c r="J63" s="195"/>
      <c r="K63" s="170" t="s">
        <v>182</v>
      </c>
      <c r="L63" s="108">
        <v>22206188</v>
      </c>
      <c r="M63" s="32">
        <v>5216863525035</v>
      </c>
      <c r="N63" s="170" t="s">
        <v>28</v>
      </c>
      <c r="O63" s="47">
        <v>9081.52</v>
      </c>
      <c r="P63" s="94">
        <v>879</v>
      </c>
      <c r="Q63" s="11">
        <v>2724.46</v>
      </c>
      <c r="R63" s="14">
        <v>1845.46</v>
      </c>
      <c r="S63" s="71"/>
      <c r="T63" s="10"/>
      <c r="U63" s="97"/>
      <c r="V63" s="1"/>
      <c r="X63" s="101">
        <v>1</v>
      </c>
    </row>
    <row r="64" spans="2:24" hidden="1">
      <c r="B64" s="23">
        <v>46029.540972222225</v>
      </c>
      <c r="C64" s="23">
        <v>46204.734722222223</v>
      </c>
      <c r="D64" s="6" t="s">
        <v>24</v>
      </c>
      <c r="E64" s="6"/>
      <c r="F64" s="27">
        <v>46204</v>
      </c>
      <c r="G64" s="27">
        <v>46029</v>
      </c>
      <c r="H64" s="10" t="s">
        <v>54</v>
      </c>
      <c r="I64" s="6" t="s">
        <v>183</v>
      </c>
      <c r="J64" s="196">
        <v>3279622476</v>
      </c>
      <c r="K64" s="169" t="s">
        <v>184</v>
      </c>
      <c r="L64" s="107">
        <v>22206374</v>
      </c>
      <c r="M64" s="31">
        <v>5218661509862</v>
      </c>
      <c r="N64" s="169" t="s">
        <v>106</v>
      </c>
      <c r="O64" s="46">
        <v>8539.89</v>
      </c>
      <c r="P64" s="93">
        <v>2306.3200000000002</v>
      </c>
      <c r="Q64" s="8">
        <v>2561.9699999999998</v>
      </c>
      <c r="R64" s="13">
        <v>255.65</v>
      </c>
      <c r="S64" s="70">
        <v>46023</v>
      </c>
      <c r="T64" s="6"/>
      <c r="U64" s="164"/>
      <c r="V64" s="1"/>
      <c r="X64" s="101">
        <v>2</v>
      </c>
    </row>
    <row r="65" spans="2:24" hidden="1">
      <c r="B65" s="24">
        <v>46029.649305555555</v>
      </c>
      <c r="C65" s="24">
        <v>46204.745138888888</v>
      </c>
      <c r="D65" s="10" t="s">
        <v>24</v>
      </c>
      <c r="E65" s="10"/>
      <c r="F65" s="27">
        <v>46204</v>
      </c>
      <c r="G65" s="28">
        <v>46029</v>
      </c>
      <c r="H65" s="20" t="s">
        <v>135</v>
      </c>
      <c r="I65" s="10" t="s">
        <v>185</v>
      </c>
      <c r="J65" s="195">
        <v>4286514364</v>
      </c>
      <c r="K65" s="170" t="s">
        <v>186</v>
      </c>
      <c r="L65" s="108">
        <v>22206782</v>
      </c>
      <c r="M65" s="32">
        <v>5214425460012</v>
      </c>
      <c r="N65" s="170" t="s">
        <v>98</v>
      </c>
      <c r="O65" s="47"/>
      <c r="P65" s="94"/>
      <c r="Q65" s="11">
        <v>0</v>
      </c>
      <c r="R65" s="12">
        <v>0</v>
      </c>
      <c r="S65" s="71"/>
      <c r="T65" s="10"/>
      <c r="U65" s="97"/>
      <c r="V65" s="1"/>
      <c r="X65" s="101">
        <v>0</v>
      </c>
    </row>
    <row r="66" spans="2:24" hidden="1">
      <c r="B66" s="23">
        <v>46029.824999999997</v>
      </c>
      <c r="C66" s="23">
        <v>46204.825694444444</v>
      </c>
      <c r="D66" s="6" t="s">
        <v>24</v>
      </c>
      <c r="E66" s="6"/>
      <c r="F66" s="27">
        <v>46204</v>
      </c>
      <c r="G66" s="27">
        <v>46029</v>
      </c>
      <c r="H66" s="18" t="s">
        <v>135</v>
      </c>
      <c r="I66" s="6" t="s">
        <v>187</v>
      </c>
      <c r="J66" s="196">
        <v>33836813387</v>
      </c>
      <c r="K66" s="169" t="s">
        <v>188</v>
      </c>
      <c r="L66" s="108">
        <v>22208332</v>
      </c>
      <c r="M66" s="31">
        <v>5216143006071</v>
      </c>
      <c r="N66" s="169" t="s">
        <v>37</v>
      </c>
      <c r="O66" s="48">
        <v>8793.09</v>
      </c>
      <c r="P66" s="95">
        <v>2533.13</v>
      </c>
      <c r="Q66" s="8">
        <v>2637.93</v>
      </c>
      <c r="R66" s="13">
        <v>104.8</v>
      </c>
      <c r="S66" s="70">
        <v>46397</v>
      </c>
      <c r="T66" s="6"/>
      <c r="U66" s="164"/>
      <c r="V66" s="1"/>
      <c r="X66" s="101">
        <v>2</v>
      </c>
    </row>
    <row r="67" spans="2:24" hidden="1">
      <c r="B67" s="24">
        <v>46029.825694444444</v>
      </c>
      <c r="C67" s="24">
        <v>46204.852777777778</v>
      </c>
      <c r="D67" s="10" t="s">
        <v>24</v>
      </c>
      <c r="E67" s="10"/>
      <c r="F67" s="27">
        <v>46204</v>
      </c>
      <c r="G67" s="28">
        <v>46029</v>
      </c>
      <c r="H67" s="20" t="s">
        <v>135</v>
      </c>
      <c r="I67" s="10"/>
      <c r="J67" s="195">
        <v>6776019389</v>
      </c>
      <c r="K67" s="170" t="s">
        <v>189</v>
      </c>
      <c r="L67" s="108">
        <v>22206558</v>
      </c>
      <c r="M67" s="32">
        <v>5215567787910</v>
      </c>
      <c r="N67" s="170" t="s">
        <v>37</v>
      </c>
      <c r="O67" s="49">
        <v>5617.63</v>
      </c>
      <c r="P67" s="96">
        <v>1444.57</v>
      </c>
      <c r="Q67" s="11">
        <v>1685.29</v>
      </c>
      <c r="R67" s="12">
        <v>0.08</v>
      </c>
      <c r="S67" s="71">
        <v>46391</v>
      </c>
      <c r="T67" s="10" t="s">
        <v>84</v>
      </c>
      <c r="U67" s="97"/>
      <c r="V67" s="1"/>
      <c r="X67" s="101">
        <v>2</v>
      </c>
    </row>
    <row r="68" spans="2:24" hidden="1">
      <c r="B68" s="23">
        <v>46029.852777777778</v>
      </c>
      <c r="C68" s="23">
        <v>46204.857638888891</v>
      </c>
      <c r="D68" s="6" t="s">
        <v>24</v>
      </c>
      <c r="E68" s="6"/>
      <c r="F68" s="27">
        <v>46204</v>
      </c>
      <c r="G68" s="27">
        <v>46029</v>
      </c>
      <c r="H68" s="18" t="s">
        <v>135</v>
      </c>
      <c r="I68" s="6" t="s">
        <v>190</v>
      </c>
      <c r="J68" s="196">
        <v>92907234089</v>
      </c>
      <c r="K68" s="169" t="s">
        <v>191</v>
      </c>
      <c r="L68" s="108">
        <v>22208060</v>
      </c>
      <c r="M68" s="31">
        <v>5219871124513</v>
      </c>
      <c r="N68" s="169" t="s">
        <v>37</v>
      </c>
      <c r="O68" s="48">
        <v>10010.5</v>
      </c>
      <c r="P68" s="95">
        <v>2999.57</v>
      </c>
      <c r="Q68" s="8">
        <v>3003.15</v>
      </c>
      <c r="R68" s="13">
        <v>3.58</v>
      </c>
      <c r="S68" s="70">
        <v>46754</v>
      </c>
      <c r="T68" s="6" t="s">
        <v>192</v>
      </c>
      <c r="U68" s="164"/>
      <c r="V68" s="1"/>
      <c r="X68" s="101">
        <v>2</v>
      </c>
    </row>
    <row r="69" spans="2:24" hidden="1">
      <c r="B69" s="24">
        <v>46029.857638888891</v>
      </c>
      <c r="C69" s="24">
        <v>46204.861805555556</v>
      </c>
      <c r="D69" s="10" t="s">
        <v>24</v>
      </c>
      <c r="E69" s="10"/>
      <c r="F69" s="27">
        <v>46204</v>
      </c>
      <c r="G69" s="28">
        <v>46029</v>
      </c>
      <c r="H69" s="20" t="s">
        <v>135</v>
      </c>
      <c r="I69" s="10" t="s">
        <v>193</v>
      </c>
      <c r="J69" s="198">
        <v>14906601373</v>
      </c>
      <c r="K69" s="178" t="s">
        <v>194</v>
      </c>
      <c r="L69" s="108">
        <v>22206934</v>
      </c>
      <c r="M69" s="32">
        <v>22206934</v>
      </c>
      <c r="N69" s="170" t="s">
        <v>37</v>
      </c>
      <c r="O69" s="47">
        <v>7128.48</v>
      </c>
      <c r="P69" s="94">
        <v>1840.4</v>
      </c>
      <c r="Q69" s="11">
        <v>2138.54</v>
      </c>
      <c r="R69" s="12">
        <v>298.14</v>
      </c>
      <c r="S69" s="71">
        <v>46390</v>
      </c>
      <c r="T69" s="10"/>
      <c r="U69" s="97"/>
      <c r="V69" s="1"/>
      <c r="X69" s="101">
        <v>2</v>
      </c>
    </row>
    <row r="70" spans="2:24" hidden="1">
      <c r="B70" s="23">
        <v>46029.874305555553</v>
      </c>
      <c r="C70" s="23">
        <v>46204.875694444447</v>
      </c>
      <c r="D70" s="6" t="s">
        <v>24</v>
      </c>
      <c r="E70" s="6"/>
      <c r="F70" s="27">
        <v>46204</v>
      </c>
      <c r="G70" s="27">
        <v>46029</v>
      </c>
      <c r="H70" s="18" t="s">
        <v>135</v>
      </c>
      <c r="I70" s="6" t="s">
        <v>195</v>
      </c>
      <c r="J70" s="196">
        <v>1685231548</v>
      </c>
      <c r="K70" s="169" t="s">
        <v>196</v>
      </c>
      <c r="L70" s="107">
        <v>22208586</v>
      </c>
      <c r="M70" s="31">
        <v>22208586</v>
      </c>
      <c r="N70" s="169" t="s">
        <v>74</v>
      </c>
      <c r="O70" s="46"/>
      <c r="P70" s="93"/>
      <c r="Q70" s="8">
        <v>0</v>
      </c>
      <c r="R70" s="13">
        <v>0</v>
      </c>
      <c r="S70" s="70"/>
      <c r="T70" s="6"/>
      <c r="U70" s="164"/>
      <c r="V70" s="1"/>
      <c r="X70" s="101">
        <v>1</v>
      </c>
    </row>
    <row r="71" spans="2:24" hidden="1">
      <c r="B71" s="24">
        <v>46060.140972222223</v>
      </c>
      <c r="C71" s="24">
        <v>46205.322916666664</v>
      </c>
      <c r="D71" s="10" t="s">
        <v>24</v>
      </c>
      <c r="E71" s="10"/>
      <c r="F71" s="27">
        <v>46204</v>
      </c>
      <c r="G71" s="28">
        <v>46029</v>
      </c>
      <c r="H71" s="20" t="s">
        <v>135</v>
      </c>
      <c r="I71" s="10"/>
      <c r="J71" s="195">
        <v>14897115888</v>
      </c>
      <c r="K71" s="170" t="s">
        <v>197</v>
      </c>
      <c r="L71" s="108">
        <v>22207624</v>
      </c>
      <c r="M71" s="32">
        <v>5214428833737</v>
      </c>
      <c r="N71" s="170" t="s">
        <v>98</v>
      </c>
      <c r="O71" s="47"/>
      <c r="P71" s="94"/>
      <c r="Q71" s="11">
        <v>0</v>
      </c>
      <c r="R71" s="12">
        <v>0</v>
      </c>
      <c r="S71" s="71"/>
      <c r="T71" s="10"/>
      <c r="U71" s="97"/>
      <c r="V71" s="1"/>
      <c r="X71" s="101">
        <v>0</v>
      </c>
    </row>
    <row r="72" spans="2:24" hidden="1">
      <c r="B72" s="23">
        <v>46060.361111111109</v>
      </c>
      <c r="C72" s="23">
        <v>46205.361805555556</v>
      </c>
      <c r="D72" s="6" t="s">
        <v>24</v>
      </c>
      <c r="E72" s="6"/>
      <c r="F72" s="27">
        <v>46205</v>
      </c>
      <c r="G72" s="27">
        <v>46029</v>
      </c>
      <c r="H72" s="18" t="s">
        <v>170</v>
      </c>
      <c r="I72" s="6" t="s">
        <v>198</v>
      </c>
      <c r="J72" s="196">
        <v>4907318432</v>
      </c>
      <c r="K72" s="169"/>
      <c r="L72" s="107">
        <v>22212222</v>
      </c>
      <c r="M72" s="31">
        <v>5213314506744</v>
      </c>
      <c r="N72" s="169" t="s">
        <v>32</v>
      </c>
      <c r="O72" s="46">
        <v>1923.44</v>
      </c>
      <c r="P72" s="93"/>
      <c r="Q72" s="8">
        <v>577.03</v>
      </c>
      <c r="R72" s="13">
        <v>0</v>
      </c>
      <c r="S72" s="70"/>
      <c r="T72" s="6"/>
      <c r="U72" s="164"/>
      <c r="V72" s="1"/>
      <c r="X72" s="101">
        <v>1</v>
      </c>
    </row>
    <row r="73" spans="2:24" hidden="1">
      <c r="B73" s="24">
        <v>46060.398611111108</v>
      </c>
      <c r="C73" s="24">
        <v>46205.4</v>
      </c>
      <c r="D73" s="10" t="s">
        <v>24</v>
      </c>
      <c r="E73" s="10"/>
      <c r="F73" s="27">
        <v>46205</v>
      </c>
      <c r="G73" s="28">
        <v>46060</v>
      </c>
      <c r="H73" s="15" t="s">
        <v>26</v>
      </c>
      <c r="I73" s="10" t="s">
        <v>199</v>
      </c>
      <c r="J73" s="198">
        <v>14886004648</v>
      </c>
      <c r="K73" s="179" t="s">
        <v>200</v>
      </c>
      <c r="L73" s="108">
        <v>22214886</v>
      </c>
      <c r="M73" s="32">
        <v>5217753573661</v>
      </c>
      <c r="N73" s="170" t="s">
        <v>32</v>
      </c>
      <c r="O73" s="47">
        <v>1222.46</v>
      </c>
      <c r="P73" s="94"/>
      <c r="Q73" s="11">
        <v>366.74</v>
      </c>
      <c r="R73" s="12">
        <v>0</v>
      </c>
      <c r="S73" s="71"/>
      <c r="T73" s="10"/>
      <c r="U73" s="97"/>
      <c r="V73" s="1"/>
      <c r="X73" s="101">
        <v>1</v>
      </c>
    </row>
    <row r="74" spans="2:24" hidden="1">
      <c r="B74" s="23">
        <v>46060.381944444445</v>
      </c>
      <c r="C74" s="23">
        <v>46205.402777777781</v>
      </c>
      <c r="D74" s="6" t="s">
        <v>24</v>
      </c>
      <c r="E74" s="6"/>
      <c r="F74" s="27">
        <v>46205</v>
      </c>
      <c r="G74" s="27" t="s">
        <v>45</v>
      </c>
      <c r="H74" s="6" t="s">
        <v>81</v>
      </c>
      <c r="I74" s="6" t="s">
        <v>201</v>
      </c>
      <c r="J74" s="196">
        <v>33896165033</v>
      </c>
      <c r="K74" s="180" t="s">
        <v>202</v>
      </c>
      <c r="L74" s="108">
        <v>22151518</v>
      </c>
      <c r="M74" s="31">
        <v>5216252072748</v>
      </c>
      <c r="N74" s="169" t="s">
        <v>37</v>
      </c>
      <c r="O74" s="48">
        <v>6262.86</v>
      </c>
      <c r="P74" s="95">
        <v>1736.11</v>
      </c>
      <c r="Q74" s="8">
        <v>1878.86</v>
      </c>
      <c r="R74" s="13">
        <v>142.75</v>
      </c>
      <c r="S74" s="70">
        <v>46235</v>
      </c>
      <c r="T74" s="6"/>
      <c r="U74" s="164"/>
      <c r="V74" s="1"/>
      <c r="X74" s="101">
        <v>2</v>
      </c>
    </row>
    <row r="75" spans="2:24" hidden="1">
      <c r="B75" s="24">
        <v>46060.387499999997</v>
      </c>
      <c r="C75" s="24">
        <v>46205.404861111114</v>
      </c>
      <c r="D75" s="10" t="s">
        <v>24</v>
      </c>
      <c r="E75" s="10"/>
      <c r="F75" s="27">
        <v>46205</v>
      </c>
      <c r="G75" s="28">
        <v>46029</v>
      </c>
      <c r="H75" s="10" t="s">
        <v>39</v>
      </c>
      <c r="I75" s="21" t="s">
        <v>179</v>
      </c>
      <c r="J75" s="195">
        <v>24806404687</v>
      </c>
      <c r="K75" s="179" t="s">
        <v>180</v>
      </c>
      <c r="L75" s="213">
        <v>22177160</v>
      </c>
      <c r="M75" s="34">
        <v>5216311114980</v>
      </c>
      <c r="N75" s="170" t="s">
        <v>37</v>
      </c>
      <c r="O75" s="49">
        <v>9760.32</v>
      </c>
      <c r="P75" s="96">
        <v>2823.89</v>
      </c>
      <c r="Q75" s="11">
        <v>2928.1</v>
      </c>
      <c r="R75" s="12">
        <v>104.21</v>
      </c>
      <c r="S75" s="71">
        <v>46395</v>
      </c>
      <c r="T75" s="10"/>
      <c r="U75" s="97"/>
      <c r="V75" s="1"/>
      <c r="X75" s="101">
        <v>2</v>
      </c>
    </row>
    <row r="76" spans="2:24" hidden="1">
      <c r="B76" s="23">
        <v>46060.414583333331</v>
      </c>
      <c r="C76" s="23">
        <v>46205.417361111111</v>
      </c>
      <c r="D76" s="6" t="s">
        <v>24</v>
      </c>
      <c r="E76" s="6"/>
      <c r="F76" s="27">
        <v>46205</v>
      </c>
      <c r="G76" s="27">
        <v>46060</v>
      </c>
      <c r="H76" s="6" t="s">
        <v>90</v>
      </c>
      <c r="I76" s="6" t="s">
        <v>203</v>
      </c>
      <c r="J76" s="197">
        <v>32644814850</v>
      </c>
      <c r="K76" s="180" t="s">
        <v>204</v>
      </c>
      <c r="L76" s="108">
        <v>1</v>
      </c>
      <c r="M76" s="31">
        <v>8113934656</v>
      </c>
      <c r="N76" s="169" t="s">
        <v>37</v>
      </c>
      <c r="O76" s="48">
        <v>10861.16</v>
      </c>
      <c r="P76" s="95">
        <v>3258.02</v>
      </c>
      <c r="Q76" s="8">
        <v>3258.35</v>
      </c>
      <c r="R76" s="13">
        <v>0.33</v>
      </c>
      <c r="S76" s="70">
        <v>46389</v>
      </c>
      <c r="T76" s="6"/>
      <c r="U76" s="164"/>
      <c r="V76" s="1"/>
      <c r="X76" s="101">
        <v>2</v>
      </c>
    </row>
    <row r="77" spans="2:24" hidden="1">
      <c r="B77" s="24">
        <v>46060.418055555558</v>
      </c>
      <c r="C77" s="24">
        <v>46205.42291666667</v>
      </c>
      <c r="D77" s="10" t="s">
        <v>24</v>
      </c>
      <c r="E77" s="10"/>
      <c r="F77" s="27">
        <v>46205</v>
      </c>
      <c r="G77" s="28">
        <v>46029</v>
      </c>
      <c r="H77" s="10" t="s">
        <v>127</v>
      </c>
      <c r="I77" s="10" t="s">
        <v>205</v>
      </c>
      <c r="J77" s="195">
        <v>43765953609</v>
      </c>
      <c r="K77" s="181" t="s">
        <v>206</v>
      </c>
      <c r="L77" s="108">
        <v>22166806</v>
      </c>
      <c r="M77" s="32">
        <v>5218132452839</v>
      </c>
      <c r="N77" s="170" t="s">
        <v>37</v>
      </c>
      <c r="O77" s="49">
        <v>23473.62</v>
      </c>
      <c r="P77" s="96">
        <v>6790.93</v>
      </c>
      <c r="Q77" s="11">
        <v>7042.09</v>
      </c>
      <c r="R77" s="12">
        <v>251.16</v>
      </c>
      <c r="S77" s="71">
        <v>46398</v>
      </c>
      <c r="T77" s="10"/>
      <c r="U77" s="97"/>
      <c r="V77" s="1"/>
      <c r="X77" s="101">
        <v>2</v>
      </c>
    </row>
    <row r="78" spans="2:24" hidden="1">
      <c r="B78" s="23">
        <v>46060.420138888891</v>
      </c>
      <c r="C78" s="23">
        <v>46205.423611111109</v>
      </c>
      <c r="D78" s="6" t="s">
        <v>24</v>
      </c>
      <c r="E78" s="6"/>
      <c r="F78" s="27">
        <v>46205</v>
      </c>
      <c r="G78" s="27">
        <v>46029</v>
      </c>
      <c r="H78" s="10" t="s">
        <v>160</v>
      </c>
      <c r="I78" s="6" t="s">
        <v>207</v>
      </c>
      <c r="J78" s="196">
        <v>54755612741</v>
      </c>
      <c r="K78" s="180" t="s">
        <v>208</v>
      </c>
      <c r="L78" s="107">
        <v>22175236</v>
      </c>
      <c r="M78" s="31">
        <v>5213411176544</v>
      </c>
      <c r="N78" s="169" t="s">
        <v>28</v>
      </c>
      <c r="O78" s="48">
        <v>10636.54</v>
      </c>
      <c r="P78" s="95"/>
      <c r="Q78" s="8">
        <v>3190.96</v>
      </c>
      <c r="R78" s="9">
        <v>3190.96</v>
      </c>
      <c r="S78" s="70"/>
      <c r="T78" s="6"/>
      <c r="U78" s="164"/>
      <c r="V78" s="1"/>
      <c r="X78" s="101">
        <v>1</v>
      </c>
    </row>
    <row r="79" spans="2:24" hidden="1">
      <c r="B79" s="24">
        <v>46060.043055555558</v>
      </c>
      <c r="C79" s="24">
        <v>46205.424305555556</v>
      </c>
      <c r="D79" s="10" t="s">
        <v>24</v>
      </c>
      <c r="E79" s="10"/>
      <c r="F79" s="27">
        <v>46205</v>
      </c>
      <c r="G79" s="28" t="s">
        <v>45</v>
      </c>
      <c r="H79" s="10" t="s">
        <v>34</v>
      </c>
      <c r="I79" s="10" t="s">
        <v>209</v>
      </c>
      <c r="J79" s="198">
        <v>54785710226</v>
      </c>
      <c r="K79" s="179" t="s">
        <v>210</v>
      </c>
      <c r="L79" s="108">
        <v>22153308</v>
      </c>
      <c r="M79" s="32">
        <v>3314343616</v>
      </c>
      <c r="N79" s="170" t="s">
        <v>37</v>
      </c>
      <c r="O79" s="49">
        <v>23323.47</v>
      </c>
      <c r="P79" s="96">
        <v>6996.38</v>
      </c>
      <c r="Q79" s="11">
        <v>6997.04</v>
      </c>
      <c r="R79" s="12">
        <v>0.66</v>
      </c>
      <c r="S79" s="71">
        <v>46388</v>
      </c>
      <c r="T79" s="10"/>
      <c r="U79" s="97"/>
      <c r="V79" s="1"/>
      <c r="X79" s="101">
        <v>2</v>
      </c>
    </row>
    <row r="80" spans="2:24" hidden="1">
      <c r="B80" s="23">
        <v>46060.429861111108</v>
      </c>
      <c r="C80" s="23">
        <v>46205.432638888888</v>
      </c>
      <c r="D80" s="6" t="s">
        <v>24</v>
      </c>
      <c r="E80" s="6"/>
      <c r="F80" s="27">
        <v>46205</v>
      </c>
      <c r="G80" s="27" t="s">
        <v>211</v>
      </c>
      <c r="H80" s="6" t="s">
        <v>78</v>
      </c>
      <c r="I80" s="6" t="s">
        <v>212</v>
      </c>
      <c r="J80" s="196">
        <v>33876640062</v>
      </c>
      <c r="K80" s="180" t="s">
        <v>213</v>
      </c>
      <c r="L80" s="107">
        <v>21771632</v>
      </c>
      <c r="M80" s="31">
        <v>5216391889944</v>
      </c>
      <c r="N80" s="169" t="s">
        <v>74</v>
      </c>
      <c r="O80" s="48"/>
      <c r="P80" s="95"/>
      <c r="Q80" s="8">
        <v>0</v>
      </c>
      <c r="R80" s="13">
        <v>0</v>
      </c>
      <c r="S80" s="70"/>
      <c r="T80" s="6"/>
      <c r="U80" s="164"/>
      <c r="V80" s="1"/>
      <c r="X80" s="101">
        <v>1</v>
      </c>
    </row>
    <row r="81" spans="2:24" hidden="1">
      <c r="B81" s="24">
        <v>46060.425000000003</v>
      </c>
      <c r="C81" s="24">
        <v>46205.436111111114</v>
      </c>
      <c r="D81" s="10" t="s">
        <v>24</v>
      </c>
      <c r="E81" s="10"/>
      <c r="F81" s="27">
        <v>46205</v>
      </c>
      <c r="G81" s="28">
        <v>46060</v>
      </c>
      <c r="H81" s="10" t="s">
        <v>145</v>
      </c>
      <c r="I81" s="10" t="s">
        <v>214</v>
      </c>
      <c r="J81" s="195">
        <v>49876015642</v>
      </c>
      <c r="K81" s="181" t="s">
        <v>215</v>
      </c>
      <c r="L81" s="108">
        <v>22227740</v>
      </c>
      <c r="M81" s="32">
        <v>528334484233</v>
      </c>
      <c r="N81" s="170" t="s">
        <v>130</v>
      </c>
      <c r="O81" s="49">
        <v>24606.78</v>
      </c>
      <c r="P81" s="96">
        <v>7379.13</v>
      </c>
      <c r="Q81" s="11">
        <v>7382.03</v>
      </c>
      <c r="R81" s="12">
        <v>2.9</v>
      </c>
      <c r="S81" s="71">
        <v>46026</v>
      </c>
      <c r="T81" s="10"/>
      <c r="U81" s="97"/>
      <c r="V81" s="1"/>
      <c r="X81" s="101">
        <v>2</v>
      </c>
    </row>
    <row r="82" spans="2:24" hidden="1">
      <c r="B82" s="23">
        <v>46060.454861111109</v>
      </c>
      <c r="C82" s="23">
        <v>46205.456250000003</v>
      </c>
      <c r="D82" s="6" t="s">
        <v>24</v>
      </c>
      <c r="E82" s="6"/>
      <c r="F82" s="27">
        <v>46205</v>
      </c>
      <c r="G82" s="27">
        <v>46060</v>
      </c>
      <c r="H82" s="6" t="s">
        <v>65</v>
      </c>
      <c r="I82" s="6" t="s">
        <v>216</v>
      </c>
      <c r="J82" s="196">
        <v>33775811194</v>
      </c>
      <c r="K82" s="180" t="s">
        <v>217</v>
      </c>
      <c r="L82" s="107">
        <v>22226414</v>
      </c>
      <c r="M82" s="31">
        <v>5216561631733</v>
      </c>
      <c r="N82" s="169" t="s">
        <v>32</v>
      </c>
      <c r="O82" s="48">
        <v>4342.43</v>
      </c>
      <c r="P82" s="95"/>
      <c r="Q82" s="8">
        <v>1302.73</v>
      </c>
      <c r="R82" s="13">
        <v>169.45</v>
      </c>
      <c r="S82" s="70"/>
      <c r="T82" s="6"/>
      <c r="U82" s="164"/>
      <c r="V82" s="1"/>
      <c r="X82" s="101">
        <v>1</v>
      </c>
    </row>
    <row r="83" spans="2:24" hidden="1">
      <c r="B83" s="24">
        <v>46060.46875</v>
      </c>
      <c r="C83" s="24">
        <v>46205.469444444447</v>
      </c>
      <c r="D83" s="10" t="s">
        <v>24</v>
      </c>
      <c r="E83" s="10"/>
      <c r="F83" s="27">
        <v>46205</v>
      </c>
      <c r="G83" s="28" t="s">
        <v>45</v>
      </c>
      <c r="H83" s="10" t="s">
        <v>103</v>
      </c>
      <c r="I83" s="10" t="s">
        <v>218</v>
      </c>
      <c r="J83" s="195">
        <v>32694411284</v>
      </c>
      <c r="K83" s="179" t="s">
        <v>219</v>
      </c>
      <c r="L83" s="111">
        <v>1</v>
      </c>
      <c r="M83" s="32">
        <v>8662342281</v>
      </c>
      <c r="N83" s="170" t="s">
        <v>32</v>
      </c>
      <c r="O83" s="49">
        <v>3520.89</v>
      </c>
      <c r="P83" s="96"/>
      <c r="Q83" s="11">
        <v>1056.27</v>
      </c>
      <c r="R83" s="12">
        <v>0</v>
      </c>
      <c r="S83" s="71"/>
      <c r="T83" s="10"/>
      <c r="U83" s="97"/>
      <c r="V83" s="1"/>
      <c r="X83" s="101">
        <v>1</v>
      </c>
    </row>
    <row r="84" spans="2:24" hidden="1">
      <c r="B84" s="23">
        <v>46060.47152777778</v>
      </c>
      <c r="C84" s="23">
        <v>46205.472222222219</v>
      </c>
      <c r="D84" s="6" t="s">
        <v>24</v>
      </c>
      <c r="E84" s="6"/>
      <c r="F84" s="27">
        <v>46205</v>
      </c>
      <c r="G84" s="27">
        <v>46060</v>
      </c>
      <c r="H84" s="7" t="s">
        <v>26</v>
      </c>
      <c r="I84" s="6" t="s">
        <v>220</v>
      </c>
      <c r="J84" s="196">
        <v>63897235899</v>
      </c>
      <c r="K84" s="180" t="s">
        <v>221</v>
      </c>
      <c r="L84" s="108">
        <v>22212556</v>
      </c>
      <c r="M84" s="31">
        <v>5214691428026</v>
      </c>
      <c r="N84" s="169" t="s">
        <v>37</v>
      </c>
      <c r="O84" s="48">
        <v>7128.48</v>
      </c>
      <c r="P84" s="95">
        <v>2062.44</v>
      </c>
      <c r="Q84" s="8">
        <v>2138.54</v>
      </c>
      <c r="R84" s="13">
        <v>76.099999999999994</v>
      </c>
      <c r="S84" s="70">
        <v>46398</v>
      </c>
      <c r="T84" s="6"/>
      <c r="U84" s="164"/>
      <c r="V84" s="1"/>
      <c r="X84" s="101">
        <v>2</v>
      </c>
    </row>
    <row r="85" spans="2:24" hidden="1">
      <c r="B85" s="24">
        <v>46060.456250000003</v>
      </c>
      <c r="C85" s="24">
        <v>46205.477777777778</v>
      </c>
      <c r="D85" s="10" t="s">
        <v>24</v>
      </c>
      <c r="E85" s="10"/>
      <c r="F85" s="27">
        <v>46205</v>
      </c>
      <c r="G85" s="28">
        <v>46060</v>
      </c>
      <c r="H85" s="10" t="s">
        <v>65</v>
      </c>
      <c r="I85" s="10" t="s">
        <v>222</v>
      </c>
      <c r="J85" s="195">
        <v>67058906602</v>
      </c>
      <c r="K85" s="181" t="s">
        <v>223</v>
      </c>
      <c r="L85" s="108">
        <v>22240476</v>
      </c>
      <c r="M85" s="32">
        <v>5219982582424</v>
      </c>
      <c r="N85" s="170" t="s">
        <v>74</v>
      </c>
      <c r="O85" s="49"/>
      <c r="P85" s="96"/>
      <c r="Q85" s="11">
        <v>0</v>
      </c>
      <c r="R85" s="12">
        <v>0</v>
      </c>
      <c r="S85" s="71"/>
      <c r="T85" s="10"/>
      <c r="U85" s="97"/>
      <c r="V85" s="1"/>
      <c r="X85" s="101">
        <v>1</v>
      </c>
    </row>
    <row r="86" spans="2:24" hidden="1">
      <c r="B86" s="23">
        <v>46060.480555555558</v>
      </c>
      <c r="C86" s="23">
        <v>46205.481249999997</v>
      </c>
      <c r="D86" s="6" t="s">
        <v>24</v>
      </c>
      <c r="E86" s="6"/>
      <c r="F86" s="27">
        <v>46205</v>
      </c>
      <c r="G86" s="27">
        <v>46060</v>
      </c>
      <c r="H86" s="161" t="s">
        <v>170</v>
      </c>
      <c r="I86" s="6" t="s">
        <v>224</v>
      </c>
      <c r="J86" s="200">
        <v>6785803617</v>
      </c>
      <c r="K86" s="180"/>
      <c r="L86" s="107">
        <v>22241220</v>
      </c>
      <c r="M86" s="31">
        <v>5214421328128</v>
      </c>
      <c r="N86" s="169" t="s">
        <v>28</v>
      </c>
      <c r="O86" s="48">
        <v>22109.54</v>
      </c>
      <c r="P86" s="95"/>
      <c r="Q86" s="8">
        <v>6632.86</v>
      </c>
      <c r="R86" s="9">
        <v>6632.86</v>
      </c>
      <c r="S86" s="70"/>
      <c r="T86" s="6"/>
      <c r="U86" s="164"/>
      <c r="V86" s="1"/>
      <c r="X86" s="101">
        <v>1</v>
      </c>
    </row>
    <row r="87" spans="2:24" hidden="1">
      <c r="B87" s="24">
        <v>46060.48333333333</v>
      </c>
      <c r="C87" s="24">
        <v>46205.486111111109</v>
      </c>
      <c r="D87" s="10" t="s">
        <v>24</v>
      </c>
      <c r="E87" s="10"/>
      <c r="F87" s="27">
        <v>46205</v>
      </c>
      <c r="G87" s="28">
        <v>46029</v>
      </c>
      <c r="H87" s="10" t="s">
        <v>34</v>
      </c>
      <c r="I87" s="10" t="s">
        <v>225</v>
      </c>
      <c r="J87" s="195"/>
      <c r="K87" s="181" t="s">
        <v>226</v>
      </c>
      <c r="L87" s="108">
        <v>22176092</v>
      </c>
      <c r="M87" s="32">
        <v>5215629626816</v>
      </c>
      <c r="N87" s="170" t="s">
        <v>28</v>
      </c>
      <c r="O87" s="49">
        <v>9081.52</v>
      </c>
      <c r="P87" s="96"/>
      <c r="Q87" s="11">
        <v>2724.46</v>
      </c>
      <c r="R87" s="14">
        <v>2724.46</v>
      </c>
      <c r="S87" s="71"/>
      <c r="T87" s="10"/>
      <c r="U87" s="97"/>
      <c r="V87" s="1"/>
      <c r="X87" s="101">
        <v>1</v>
      </c>
    </row>
    <row r="88" spans="2:24" hidden="1">
      <c r="B88" s="23">
        <v>46060.488888888889</v>
      </c>
      <c r="C88" s="23">
        <v>46205.490277777775</v>
      </c>
      <c r="D88" s="6" t="s">
        <v>24</v>
      </c>
      <c r="E88" s="6"/>
      <c r="F88" s="27">
        <v>46205</v>
      </c>
      <c r="G88" s="27">
        <v>46060</v>
      </c>
      <c r="H88" s="18" t="s">
        <v>170</v>
      </c>
      <c r="I88" s="6" t="s">
        <v>227</v>
      </c>
      <c r="J88" s="196">
        <v>33806157666</v>
      </c>
      <c r="K88" s="180"/>
      <c r="L88" s="107">
        <v>22241428</v>
      </c>
      <c r="M88" s="31">
        <v>5216144645207</v>
      </c>
      <c r="N88" s="169" t="s">
        <v>32</v>
      </c>
      <c r="O88" s="48">
        <v>3667.44</v>
      </c>
      <c r="P88" s="95"/>
      <c r="Q88" s="8">
        <v>1100.23</v>
      </c>
      <c r="R88" s="13">
        <v>0</v>
      </c>
      <c r="S88" s="70"/>
      <c r="T88" s="6"/>
      <c r="U88" s="164"/>
      <c r="V88" s="1"/>
      <c r="X88" s="101">
        <v>1</v>
      </c>
    </row>
    <row r="89" spans="2:24" hidden="1">
      <c r="B89" s="24">
        <v>46060.493055555555</v>
      </c>
      <c r="C89" s="24">
        <v>46205.494444444441</v>
      </c>
      <c r="D89" s="10" t="s">
        <v>24</v>
      </c>
      <c r="E89" s="10"/>
      <c r="F89" s="27">
        <v>46205</v>
      </c>
      <c r="G89" s="28">
        <v>46060</v>
      </c>
      <c r="H89" s="10" t="s">
        <v>103</v>
      </c>
      <c r="I89" s="10" t="s">
        <v>228</v>
      </c>
      <c r="J89" s="195"/>
      <c r="K89" s="181" t="s">
        <v>229</v>
      </c>
      <c r="L89" s="108">
        <v>1</v>
      </c>
      <c r="M89" s="32">
        <v>8332087799</v>
      </c>
      <c r="N89" s="170" t="s">
        <v>37</v>
      </c>
      <c r="O89" s="49">
        <v>7245.75</v>
      </c>
      <c r="P89" s="96">
        <v>2090.3000000000002</v>
      </c>
      <c r="Q89" s="11">
        <v>2173.73</v>
      </c>
      <c r="R89" s="12">
        <v>83.42</v>
      </c>
      <c r="S89" s="71">
        <v>46391</v>
      </c>
      <c r="T89" s="10"/>
      <c r="U89" s="97"/>
      <c r="V89" s="1"/>
      <c r="X89" s="101">
        <v>2</v>
      </c>
    </row>
    <row r="90" spans="2:24" hidden="1">
      <c r="B90" s="23">
        <v>46060.495833333334</v>
      </c>
      <c r="C90" s="23">
        <v>46205.496527777781</v>
      </c>
      <c r="D90" s="6" t="s">
        <v>24</v>
      </c>
      <c r="E90" s="6"/>
      <c r="F90" s="27">
        <v>46205</v>
      </c>
      <c r="G90" s="27">
        <v>46029</v>
      </c>
      <c r="H90" s="6" t="s">
        <v>145</v>
      </c>
      <c r="I90" s="6" t="s">
        <v>230</v>
      </c>
      <c r="J90" s="196">
        <v>83836007357</v>
      </c>
      <c r="K90" s="180" t="s">
        <v>231</v>
      </c>
      <c r="L90" s="108">
        <v>22209836</v>
      </c>
      <c r="M90" s="31">
        <v>5219931555921</v>
      </c>
      <c r="N90" s="169" t="s">
        <v>37</v>
      </c>
      <c r="O90" s="46">
        <v>9081.52</v>
      </c>
      <c r="P90" s="93">
        <v>2627.5</v>
      </c>
      <c r="Q90" s="8">
        <v>2724.46</v>
      </c>
      <c r="R90" s="13">
        <v>96.96</v>
      </c>
      <c r="S90" s="70">
        <v>46395</v>
      </c>
      <c r="T90" s="6"/>
      <c r="U90" s="164"/>
      <c r="V90" s="1"/>
      <c r="X90" s="101">
        <v>2</v>
      </c>
    </row>
    <row r="91" spans="2:24" hidden="1">
      <c r="B91" s="24">
        <v>46060.414583333331</v>
      </c>
      <c r="C91" s="24">
        <v>46205.499305555553</v>
      </c>
      <c r="D91" s="10" t="s">
        <v>24</v>
      </c>
      <c r="E91" s="10"/>
      <c r="F91" s="27">
        <v>46205</v>
      </c>
      <c r="G91" s="28">
        <v>46060</v>
      </c>
      <c r="H91" s="10" t="s">
        <v>90</v>
      </c>
      <c r="I91" s="10" t="s">
        <v>232</v>
      </c>
      <c r="J91" s="195">
        <v>65977972382</v>
      </c>
      <c r="K91" s="181"/>
      <c r="L91" s="111">
        <v>1</v>
      </c>
      <c r="M91" s="32">
        <v>9371021535</v>
      </c>
      <c r="N91" s="170" t="s">
        <v>74</v>
      </c>
      <c r="O91" s="49"/>
      <c r="P91" s="96"/>
      <c r="Q91" s="11">
        <v>0</v>
      </c>
      <c r="R91" s="12">
        <v>0</v>
      </c>
      <c r="S91" s="71"/>
      <c r="T91" s="10"/>
      <c r="U91" s="97"/>
      <c r="V91" s="1"/>
      <c r="X91" s="101">
        <v>1</v>
      </c>
    </row>
    <row r="92" spans="2:24" hidden="1">
      <c r="B92" s="23">
        <v>46060.500694444447</v>
      </c>
      <c r="C92" s="23">
        <v>46205.504166666666</v>
      </c>
      <c r="D92" s="6" t="s">
        <v>24</v>
      </c>
      <c r="E92" s="6"/>
      <c r="F92" s="27">
        <v>46205</v>
      </c>
      <c r="G92" s="27">
        <v>46029</v>
      </c>
      <c r="H92" s="6" t="s">
        <v>34</v>
      </c>
      <c r="I92" s="6" t="s">
        <v>233</v>
      </c>
      <c r="J92" s="196"/>
      <c r="K92" s="180" t="s">
        <v>234</v>
      </c>
      <c r="L92" s="107">
        <v>22183020</v>
      </c>
      <c r="M92" s="31">
        <v>5216564836477</v>
      </c>
      <c r="N92" s="169" t="s">
        <v>235</v>
      </c>
      <c r="O92" s="48">
        <v>1784.4</v>
      </c>
      <c r="P92" s="95"/>
      <c r="Q92" s="8">
        <v>535.32000000000005</v>
      </c>
      <c r="R92" s="13">
        <v>0</v>
      </c>
      <c r="S92" s="70"/>
      <c r="T92" s="6"/>
      <c r="U92" s="164"/>
      <c r="V92" s="1"/>
      <c r="X92" s="101">
        <v>1</v>
      </c>
    </row>
    <row r="93" spans="2:24" hidden="1">
      <c r="B93" s="24">
        <v>46060.517361111109</v>
      </c>
      <c r="C93" s="24">
        <v>46205.518750000003</v>
      </c>
      <c r="D93" s="10" t="s">
        <v>24</v>
      </c>
      <c r="E93" s="10"/>
      <c r="F93" s="27">
        <v>46205</v>
      </c>
      <c r="G93" s="28">
        <v>46301</v>
      </c>
      <c r="H93" s="160" t="s">
        <v>107</v>
      </c>
      <c r="I93" s="10" t="s">
        <v>236</v>
      </c>
      <c r="J93" s="195"/>
      <c r="K93" s="181" t="s">
        <v>237</v>
      </c>
      <c r="L93" s="108">
        <v>21581006</v>
      </c>
      <c r="M93" s="32">
        <v>17208778718</v>
      </c>
      <c r="N93" s="170" t="s">
        <v>28</v>
      </c>
      <c r="O93" s="49">
        <v>10636.54</v>
      </c>
      <c r="P93" s="96"/>
      <c r="Q93" s="11">
        <v>3190.96</v>
      </c>
      <c r="R93" s="14">
        <v>3190.96</v>
      </c>
      <c r="S93" s="71"/>
      <c r="T93" s="10"/>
      <c r="U93" s="97"/>
      <c r="V93" s="1"/>
      <c r="X93" s="101">
        <v>1</v>
      </c>
    </row>
    <row r="94" spans="2:24" hidden="1">
      <c r="B94" s="23">
        <v>46060.520833333336</v>
      </c>
      <c r="C94" s="23">
        <v>46205.524305555555</v>
      </c>
      <c r="D94" s="6" t="s">
        <v>24</v>
      </c>
      <c r="E94" s="6"/>
      <c r="F94" s="27">
        <v>46205</v>
      </c>
      <c r="G94" s="27" t="s">
        <v>45</v>
      </c>
      <c r="H94" s="6" t="s">
        <v>160</v>
      </c>
      <c r="I94" s="6" t="s">
        <v>238</v>
      </c>
      <c r="J94" s="196"/>
      <c r="K94" s="180" t="s">
        <v>239</v>
      </c>
      <c r="L94" s="107">
        <v>22150762</v>
      </c>
      <c r="M94" s="31">
        <v>5218125815980</v>
      </c>
      <c r="N94" s="169" t="s">
        <v>32</v>
      </c>
      <c r="O94" s="48">
        <v>4035.69</v>
      </c>
      <c r="P94" s="95"/>
      <c r="Q94" s="8">
        <v>1210.71</v>
      </c>
      <c r="R94" s="13">
        <v>0</v>
      </c>
      <c r="S94" s="70"/>
      <c r="T94" s="6"/>
      <c r="U94" s="164"/>
      <c r="V94" s="1"/>
      <c r="X94" s="101">
        <v>1</v>
      </c>
    </row>
    <row r="95" spans="2:24" hidden="1">
      <c r="B95" s="24">
        <v>46060.543055555558</v>
      </c>
      <c r="C95" s="24">
        <v>46205.543749999997</v>
      </c>
      <c r="D95" s="10" t="s">
        <v>24</v>
      </c>
      <c r="E95" s="10"/>
      <c r="F95" s="27">
        <v>46205</v>
      </c>
      <c r="G95" s="28">
        <v>46088</v>
      </c>
      <c r="H95" s="160" t="s">
        <v>107</v>
      </c>
      <c r="I95" s="10" t="s">
        <v>240</v>
      </c>
      <c r="J95" s="195"/>
      <c r="K95" s="179" t="s">
        <v>105</v>
      </c>
      <c r="L95" s="108">
        <v>22242964</v>
      </c>
      <c r="M95" s="32">
        <v>5218683945967</v>
      </c>
      <c r="N95" s="170" t="s">
        <v>106</v>
      </c>
      <c r="O95" s="47">
        <v>7920.51</v>
      </c>
      <c r="P95" s="94">
        <v>2182.2199999999998</v>
      </c>
      <c r="Q95" s="11">
        <v>2376.15</v>
      </c>
      <c r="R95" s="12">
        <v>193.93</v>
      </c>
      <c r="S95" s="71">
        <v>46027</v>
      </c>
      <c r="T95" s="10"/>
      <c r="U95" s="97"/>
      <c r="V95" s="1"/>
      <c r="X95" s="101">
        <v>2</v>
      </c>
    </row>
    <row r="96" spans="2:24" hidden="1">
      <c r="B96" s="23">
        <v>46060.552777777775</v>
      </c>
      <c r="C96" s="23">
        <v>46205.554166666669</v>
      </c>
      <c r="D96" s="6" t="s">
        <v>24</v>
      </c>
      <c r="E96" s="6"/>
      <c r="F96" s="27">
        <v>46205</v>
      </c>
      <c r="G96" s="27">
        <v>46060</v>
      </c>
      <c r="H96" s="10" t="s">
        <v>93</v>
      </c>
      <c r="I96" s="6" t="s">
        <v>241</v>
      </c>
      <c r="J96" s="196"/>
      <c r="K96" s="180" t="s">
        <v>242</v>
      </c>
      <c r="L96" s="107">
        <v>22222084</v>
      </c>
      <c r="M96" s="31">
        <v>2969617653</v>
      </c>
      <c r="N96" s="169" t="s">
        <v>28</v>
      </c>
      <c r="O96" s="46">
        <v>11444.12</v>
      </c>
      <c r="P96" s="93">
        <v>848</v>
      </c>
      <c r="Q96" s="8">
        <v>3433.24</v>
      </c>
      <c r="R96" s="9">
        <v>2585.2399999999998</v>
      </c>
      <c r="S96" s="70"/>
      <c r="T96" s="6"/>
      <c r="U96" s="164"/>
      <c r="V96" s="1"/>
      <c r="X96" s="101">
        <v>1</v>
      </c>
    </row>
    <row r="97" spans="2:24" hidden="1">
      <c r="B97" s="24">
        <v>46060.555555555555</v>
      </c>
      <c r="C97" s="24">
        <v>46205.556250000001</v>
      </c>
      <c r="D97" s="10" t="s">
        <v>24</v>
      </c>
      <c r="E97" s="10"/>
      <c r="F97" s="27">
        <v>46205</v>
      </c>
      <c r="G97" s="28">
        <v>46060</v>
      </c>
      <c r="H97" s="10" t="s">
        <v>145</v>
      </c>
      <c r="I97" s="10" t="s">
        <v>243</v>
      </c>
      <c r="J97" s="195">
        <v>67786210152</v>
      </c>
      <c r="K97" s="181" t="s">
        <v>244</v>
      </c>
      <c r="L97" s="108">
        <v>22228336</v>
      </c>
      <c r="M97" s="32">
        <v>5215564970296</v>
      </c>
      <c r="N97" s="170" t="s">
        <v>37</v>
      </c>
      <c r="O97" s="47">
        <v>7116.73</v>
      </c>
      <c r="P97" s="94">
        <v>2120.39</v>
      </c>
      <c r="Q97" s="11">
        <v>2135.02</v>
      </c>
      <c r="R97" s="12">
        <v>14.63</v>
      </c>
      <c r="S97" s="71">
        <v>46757</v>
      </c>
      <c r="T97" s="10" t="s">
        <v>192</v>
      </c>
      <c r="U97" s="97"/>
      <c r="V97" s="1"/>
      <c r="X97" s="101">
        <v>2</v>
      </c>
    </row>
    <row r="98" spans="2:24" hidden="1">
      <c r="B98" s="23">
        <v>46060.5625</v>
      </c>
      <c r="C98" s="23">
        <v>46205.563194444447</v>
      </c>
      <c r="D98" s="6" t="s">
        <v>24</v>
      </c>
      <c r="E98" s="6"/>
      <c r="F98" s="27">
        <v>46205</v>
      </c>
      <c r="G98" s="27">
        <v>46060</v>
      </c>
      <c r="H98" s="160" t="s">
        <v>107</v>
      </c>
      <c r="I98" s="6" t="s">
        <v>245</v>
      </c>
      <c r="J98" s="196"/>
      <c r="K98" s="180" t="s">
        <v>246</v>
      </c>
      <c r="L98" s="107">
        <v>22243126</v>
      </c>
      <c r="M98" s="31">
        <v>5214614210356</v>
      </c>
      <c r="N98" s="169" t="s">
        <v>47</v>
      </c>
      <c r="O98" s="46">
        <v>4851.55</v>
      </c>
      <c r="P98" s="93"/>
      <c r="Q98" s="8">
        <v>1455.47</v>
      </c>
      <c r="R98" s="22">
        <v>678.57</v>
      </c>
      <c r="S98" s="70"/>
      <c r="T98" s="6"/>
      <c r="U98" s="164"/>
      <c r="V98" s="1"/>
      <c r="X98" s="101">
        <v>1</v>
      </c>
    </row>
    <row r="99" spans="2:24" hidden="1">
      <c r="B99" s="24">
        <v>46060.554166666669</v>
      </c>
      <c r="C99" s="24">
        <v>46205.569444444445</v>
      </c>
      <c r="D99" s="10" t="s">
        <v>24</v>
      </c>
      <c r="E99" s="10"/>
      <c r="F99" s="27">
        <v>46205</v>
      </c>
      <c r="G99" s="28">
        <v>46060</v>
      </c>
      <c r="H99" s="10" t="s">
        <v>93</v>
      </c>
      <c r="I99" s="10" t="s">
        <v>247</v>
      </c>
      <c r="J99" s="195"/>
      <c r="K99" s="181" t="s">
        <v>248</v>
      </c>
      <c r="L99" s="108">
        <v>22242138</v>
      </c>
      <c r="M99" s="32">
        <v>8446653191</v>
      </c>
      <c r="N99" s="170" t="s">
        <v>47</v>
      </c>
      <c r="O99" s="49">
        <v>12245.79</v>
      </c>
      <c r="P99" s="96">
        <v>3223.55</v>
      </c>
      <c r="Q99" s="11">
        <v>3673.74</v>
      </c>
      <c r="R99" s="16">
        <v>450.19</v>
      </c>
      <c r="S99" s="71"/>
      <c r="T99" s="10"/>
      <c r="U99" s="97"/>
      <c r="V99" s="1"/>
      <c r="X99" s="101">
        <v>1</v>
      </c>
    </row>
    <row r="100" spans="2:24" hidden="1">
      <c r="B100" s="23">
        <v>46060.568749999999</v>
      </c>
      <c r="C100" s="23">
        <v>46205.574305555558</v>
      </c>
      <c r="D100" s="6" t="s">
        <v>24</v>
      </c>
      <c r="E100" s="6"/>
      <c r="F100" s="27">
        <v>46205</v>
      </c>
      <c r="G100" s="27">
        <v>46029</v>
      </c>
      <c r="H100" s="6" t="s">
        <v>48</v>
      </c>
      <c r="I100" s="6" t="s">
        <v>249</v>
      </c>
      <c r="J100" s="196"/>
      <c r="K100" s="180" t="s">
        <v>250</v>
      </c>
      <c r="L100" s="108">
        <v>22156034</v>
      </c>
      <c r="M100" s="31">
        <v>5216621022521</v>
      </c>
      <c r="N100" s="169" t="s">
        <v>37</v>
      </c>
      <c r="O100" s="48">
        <v>8181.55</v>
      </c>
      <c r="P100" s="95">
        <v>2454.4499999999998</v>
      </c>
      <c r="Q100" s="8">
        <v>2454.4699999999998</v>
      </c>
      <c r="R100" s="13">
        <v>0.02</v>
      </c>
      <c r="S100" s="70">
        <v>46357</v>
      </c>
      <c r="T100" s="6"/>
      <c r="U100" s="164"/>
      <c r="V100" s="1"/>
      <c r="X100" s="101">
        <v>2</v>
      </c>
    </row>
    <row r="101" spans="2:24" hidden="1">
      <c r="B101" s="24">
        <v>46060.495138888888</v>
      </c>
      <c r="C101" s="24">
        <v>46205.577777777777</v>
      </c>
      <c r="D101" s="10" t="s">
        <v>24</v>
      </c>
      <c r="E101" s="10"/>
      <c r="F101" s="27">
        <v>46205</v>
      </c>
      <c r="G101" s="28">
        <v>46060</v>
      </c>
      <c r="H101" s="161" t="s">
        <v>170</v>
      </c>
      <c r="I101" s="10" t="s">
        <v>251</v>
      </c>
      <c r="J101" s="195"/>
      <c r="K101" s="181" t="s">
        <v>252</v>
      </c>
      <c r="L101" s="108">
        <v>22242258</v>
      </c>
      <c r="M101" s="32">
        <v>5212871460110</v>
      </c>
      <c r="N101" s="170" t="s">
        <v>28</v>
      </c>
      <c r="O101" s="47">
        <v>6099.07</v>
      </c>
      <c r="P101" s="94"/>
      <c r="Q101" s="11">
        <v>1829.72</v>
      </c>
      <c r="R101" s="14">
        <v>1829.72</v>
      </c>
      <c r="S101" s="71"/>
      <c r="T101" s="10"/>
      <c r="U101" s="97"/>
      <c r="V101" s="1"/>
      <c r="X101" s="101">
        <v>1</v>
      </c>
    </row>
    <row r="102" spans="2:24" hidden="1">
      <c r="B102" s="23">
        <v>46060.387499999997</v>
      </c>
      <c r="C102" s="23">
        <v>46205.579861111109</v>
      </c>
      <c r="D102" s="6" t="s">
        <v>24</v>
      </c>
      <c r="E102" s="6"/>
      <c r="F102" s="27">
        <v>46205</v>
      </c>
      <c r="G102" s="27">
        <v>46060</v>
      </c>
      <c r="H102" s="6" t="s">
        <v>124</v>
      </c>
      <c r="I102" s="6" t="s">
        <v>253</v>
      </c>
      <c r="J102" s="196"/>
      <c r="K102" s="180" t="s">
        <v>254</v>
      </c>
      <c r="L102" s="108">
        <v>22244218</v>
      </c>
      <c r="M102" s="31">
        <v>5214461135394</v>
      </c>
      <c r="N102" s="169" t="s">
        <v>37</v>
      </c>
      <c r="O102" s="46">
        <v>24832.66</v>
      </c>
      <c r="P102" s="93">
        <v>7441.45</v>
      </c>
      <c r="Q102" s="8">
        <v>7449.8</v>
      </c>
      <c r="R102" s="13">
        <v>8.35</v>
      </c>
      <c r="S102" s="70">
        <v>46398</v>
      </c>
      <c r="T102" s="6"/>
      <c r="U102" s="164"/>
      <c r="V102" s="1"/>
      <c r="X102" s="101">
        <v>2</v>
      </c>
    </row>
    <row r="103" spans="2:24" hidden="1">
      <c r="B103" s="24">
        <v>46060.57916666667</v>
      </c>
      <c r="C103" s="24">
        <v>46205.579861111109</v>
      </c>
      <c r="D103" s="10" t="s">
        <v>24</v>
      </c>
      <c r="E103" s="10"/>
      <c r="F103" s="27">
        <v>46205</v>
      </c>
      <c r="G103" s="28">
        <v>46029</v>
      </c>
      <c r="H103" s="10" t="s">
        <v>93</v>
      </c>
      <c r="I103" s="10" t="s">
        <v>255</v>
      </c>
      <c r="J103" s="195"/>
      <c r="K103" s="181" t="s">
        <v>256</v>
      </c>
      <c r="L103" s="108">
        <v>22211908</v>
      </c>
      <c r="M103" s="32">
        <v>3326791665</v>
      </c>
      <c r="N103" s="170" t="s">
        <v>235</v>
      </c>
      <c r="O103" s="47">
        <v>804.89</v>
      </c>
      <c r="P103" s="94"/>
      <c r="Q103" s="11">
        <v>241.47</v>
      </c>
      <c r="R103" s="12">
        <v>0</v>
      </c>
      <c r="S103" s="71"/>
      <c r="T103" s="10"/>
      <c r="U103" s="97"/>
      <c r="V103" s="1"/>
      <c r="X103" s="101">
        <v>1</v>
      </c>
    </row>
    <row r="104" spans="2:24" hidden="1">
      <c r="B104" s="23">
        <v>46060.581944444442</v>
      </c>
      <c r="C104" s="23">
        <v>46205.584722222222</v>
      </c>
      <c r="D104" s="6" t="s">
        <v>24</v>
      </c>
      <c r="E104" s="6"/>
      <c r="F104" s="27">
        <v>46205</v>
      </c>
      <c r="G104" s="27" t="s">
        <v>45</v>
      </c>
      <c r="H104" s="7" t="s">
        <v>110</v>
      </c>
      <c r="I104" s="6" t="s">
        <v>257</v>
      </c>
      <c r="J104" s="196"/>
      <c r="K104" s="180" t="s">
        <v>258</v>
      </c>
      <c r="L104" s="108">
        <v>22127678</v>
      </c>
      <c r="M104" s="31">
        <v>5215545923782</v>
      </c>
      <c r="N104" s="169" t="s">
        <v>37</v>
      </c>
      <c r="O104" s="46">
        <v>7920.51</v>
      </c>
      <c r="P104" s="93">
        <v>2288.9</v>
      </c>
      <c r="Q104" s="8">
        <v>2376.15</v>
      </c>
      <c r="R104" s="13">
        <v>87.25</v>
      </c>
      <c r="S104" s="70">
        <v>46394</v>
      </c>
      <c r="T104" s="6" t="s">
        <v>259</v>
      </c>
      <c r="U104" s="164"/>
      <c r="V104" s="1"/>
      <c r="X104" s="101">
        <v>2</v>
      </c>
    </row>
    <row r="105" spans="2:24" hidden="1">
      <c r="B105" s="24">
        <v>46060.579861111109</v>
      </c>
      <c r="C105" s="24">
        <v>46205.593055555553</v>
      </c>
      <c r="D105" s="10" t="s">
        <v>24</v>
      </c>
      <c r="E105" s="10"/>
      <c r="F105" s="27">
        <v>46205</v>
      </c>
      <c r="G105" s="28" t="s">
        <v>45</v>
      </c>
      <c r="H105" s="10" t="s">
        <v>124</v>
      </c>
      <c r="I105" s="10" t="s">
        <v>260</v>
      </c>
      <c r="J105" s="195"/>
      <c r="K105" s="181" t="s">
        <v>261</v>
      </c>
      <c r="L105" s="108">
        <v>22152330</v>
      </c>
      <c r="M105" s="32">
        <v>5213321336623</v>
      </c>
      <c r="N105" s="170" t="s">
        <v>98</v>
      </c>
      <c r="O105" s="47"/>
      <c r="P105" s="94"/>
      <c r="Q105" s="11">
        <v>0</v>
      </c>
      <c r="R105" s="12">
        <v>0</v>
      </c>
      <c r="S105" s="71"/>
      <c r="T105" s="10"/>
      <c r="U105" s="97"/>
      <c r="V105" s="1"/>
      <c r="X105" s="101">
        <v>0</v>
      </c>
    </row>
    <row r="106" spans="2:24" hidden="1">
      <c r="B106" s="23">
        <v>46060.592361111114</v>
      </c>
      <c r="C106" s="23">
        <v>46205.59375</v>
      </c>
      <c r="D106" s="6" t="s">
        <v>24</v>
      </c>
      <c r="E106" s="6"/>
      <c r="F106" s="27">
        <v>46205</v>
      </c>
      <c r="G106" s="27">
        <v>46060</v>
      </c>
      <c r="H106" s="10" t="s">
        <v>90</v>
      </c>
      <c r="I106" s="6" t="s">
        <v>262</v>
      </c>
      <c r="J106" s="196">
        <v>60897104687</v>
      </c>
      <c r="K106" s="180"/>
      <c r="L106" s="109">
        <v>1</v>
      </c>
      <c r="M106" s="31">
        <v>8715683390</v>
      </c>
      <c r="N106" s="169" t="s">
        <v>263</v>
      </c>
      <c r="O106" s="46">
        <v>8527.41</v>
      </c>
      <c r="P106" s="93">
        <v>1540.38</v>
      </c>
      <c r="Q106" s="8">
        <v>2558.2199999999998</v>
      </c>
      <c r="R106" s="22">
        <v>1017.84</v>
      </c>
      <c r="S106" s="70">
        <v>46029</v>
      </c>
      <c r="T106" s="6" t="s">
        <v>178</v>
      </c>
      <c r="U106" s="164"/>
      <c r="V106" s="1"/>
      <c r="X106" s="101">
        <v>2</v>
      </c>
    </row>
    <row r="107" spans="2:24" hidden="1">
      <c r="B107" s="24">
        <v>46060.472916666666</v>
      </c>
      <c r="C107" s="24">
        <v>46205.597222222219</v>
      </c>
      <c r="D107" s="10" t="s">
        <v>24</v>
      </c>
      <c r="E107" s="10"/>
      <c r="F107" s="27">
        <v>46205</v>
      </c>
      <c r="G107" s="28">
        <v>46060</v>
      </c>
      <c r="H107" s="15" t="s">
        <v>26</v>
      </c>
      <c r="I107" s="10" t="s">
        <v>264</v>
      </c>
      <c r="J107" s="195">
        <v>24816458791</v>
      </c>
      <c r="K107" s="181"/>
      <c r="L107" s="108">
        <v>22221284</v>
      </c>
      <c r="M107" s="32">
        <v>5212441408459</v>
      </c>
      <c r="N107" s="170" t="s">
        <v>98</v>
      </c>
      <c r="O107" s="47"/>
      <c r="P107" s="94"/>
      <c r="Q107" s="11">
        <v>0</v>
      </c>
      <c r="R107" s="12">
        <v>0</v>
      </c>
      <c r="S107" s="71"/>
      <c r="T107" s="10"/>
      <c r="U107" s="97"/>
      <c r="V107" s="1"/>
      <c r="X107" s="101">
        <v>0</v>
      </c>
    </row>
    <row r="108" spans="2:24" hidden="1">
      <c r="B108" s="23">
        <v>46060.542361111111</v>
      </c>
      <c r="C108" s="23">
        <v>46205.599999999999</v>
      </c>
      <c r="D108" s="6" t="s">
        <v>24</v>
      </c>
      <c r="E108" s="6"/>
      <c r="F108" s="27">
        <v>46205</v>
      </c>
      <c r="G108" s="27">
        <v>46060</v>
      </c>
      <c r="H108" s="6" t="s">
        <v>34</v>
      </c>
      <c r="I108" s="6" t="s">
        <v>265</v>
      </c>
      <c r="J108" s="196"/>
      <c r="K108" s="180" t="s">
        <v>266</v>
      </c>
      <c r="L108" s="108">
        <v>22245678</v>
      </c>
      <c r="M108" s="31">
        <v>5212281344138</v>
      </c>
      <c r="N108" s="169" t="s">
        <v>37</v>
      </c>
      <c r="O108" s="46">
        <v>9081.52</v>
      </c>
      <c r="P108" s="93">
        <v>2521.33</v>
      </c>
      <c r="Q108" s="8">
        <v>2724.46</v>
      </c>
      <c r="R108" s="13">
        <v>203.13</v>
      </c>
      <c r="S108" s="70">
        <v>46266</v>
      </c>
      <c r="T108" s="6"/>
      <c r="U108" s="164"/>
      <c r="V108" s="1"/>
      <c r="X108" s="101">
        <v>2</v>
      </c>
    </row>
    <row r="109" spans="2:24" hidden="1">
      <c r="B109" s="24">
        <v>46060.599305555559</v>
      </c>
      <c r="C109" s="24">
        <v>46205.599999999999</v>
      </c>
      <c r="D109" s="10" t="s">
        <v>24</v>
      </c>
      <c r="E109" s="10"/>
      <c r="F109" s="27">
        <v>46205</v>
      </c>
      <c r="G109" s="28">
        <v>46060</v>
      </c>
      <c r="H109" s="20" t="s">
        <v>170</v>
      </c>
      <c r="I109" s="10" t="s">
        <v>267</v>
      </c>
      <c r="J109" s="199">
        <v>34907009079</v>
      </c>
      <c r="K109" s="182" t="s">
        <v>268</v>
      </c>
      <c r="L109" s="108">
        <v>22245330</v>
      </c>
      <c r="M109" s="32">
        <v>5214941067627</v>
      </c>
      <c r="N109" s="170" t="s">
        <v>98</v>
      </c>
      <c r="O109" s="47"/>
      <c r="P109" s="94"/>
      <c r="Q109" s="11">
        <v>0</v>
      </c>
      <c r="R109" s="12">
        <v>0</v>
      </c>
      <c r="S109" s="71"/>
      <c r="T109" s="10"/>
      <c r="U109" s="97"/>
      <c r="V109" s="1"/>
      <c r="X109" s="101">
        <v>0</v>
      </c>
    </row>
    <row r="110" spans="2:24" hidden="1">
      <c r="B110" s="23">
        <v>46060.600694444445</v>
      </c>
      <c r="C110" s="23">
        <v>46205.602083333331</v>
      </c>
      <c r="D110" s="6" t="s">
        <v>24</v>
      </c>
      <c r="E110" s="6"/>
      <c r="F110" s="27">
        <v>46205</v>
      </c>
      <c r="G110" s="27">
        <v>46358</v>
      </c>
      <c r="H110" s="6" t="s">
        <v>269</v>
      </c>
      <c r="I110" s="6" t="s">
        <v>270</v>
      </c>
      <c r="J110" s="192">
        <v>6782660400</v>
      </c>
      <c r="K110" s="180" t="s">
        <v>271</v>
      </c>
      <c r="L110" s="108">
        <v>17403068</v>
      </c>
      <c r="M110" s="31">
        <v>5212712469555</v>
      </c>
      <c r="N110" s="169" t="s">
        <v>37</v>
      </c>
      <c r="O110" s="46">
        <v>5198.96</v>
      </c>
      <c r="P110" s="93">
        <v>1332.3</v>
      </c>
      <c r="Q110" s="8">
        <v>1559.69</v>
      </c>
      <c r="R110" s="13">
        <v>-306.32</v>
      </c>
      <c r="S110" s="70">
        <v>46389</v>
      </c>
      <c r="T110" s="6"/>
      <c r="U110" s="164"/>
      <c r="V110" s="1"/>
      <c r="X110" s="101">
        <v>2</v>
      </c>
    </row>
    <row r="111" spans="2:24" hidden="1">
      <c r="B111" s="24">
        <v>46060.600694444445</v>
      </c>
      <c r="C111" s="24">
        <v>46205.602777777778</v>
      </c>
      <c r="D111" s="10" t="s">
        <v>24</v>
      </c>
      <c r="E111" s="10"/>
      <c r="F111" s="27">
        <v>46205</v>
      </c>
      <c r="G111" s="28">
        <v>46060</v>
      </c>
      <c r="H111" s="20" t="s">
        <v>170</v>
      </c>
      <c r="I111" s="10" t="s">
        <v>272</v>
      </c>
      <c r="J111" s="195">
        <v>75846204099</v>
      </c>
      <c r="K111" s="181"/>
      <c r="L111" s="108">
        <v>22242702</v>
      </c>
      <c r="M111" s="32">
        <v>5215583917208</v>
      </c>
      <c r="N111" s="170" t="s">
        <v>37</v>
      </c>
      <c r="O111" s="47">
        <v>9760.32</v>
      </c>
      <c r="P111" s="94">
        <v>2823.8</v>
      </c>
      <c r="Q111" s="11">
        <v>2928.1</v>
      </c>
      <c r="R111" s="12">
        <v>104.3</v>
      </c>
      <c r="S111" s="71">
        <v>46391</v>
      </c>
      <c r="T111" s="10"/>
      <c r="U111" s="97"/>
      <c r="V111" s="1"/>
      <c r="X111" s="101">
        <v>2</v>
      </c>
    </row>
    <row r="112" spans="2:24" hidden="1">
      <c r="B112" s="23">
        <v>46060.600694444445</v>
      </c>
      <c r="C112" s="23">
        <v>46205.602777777778</v>
      </c>
      <c r="D112" s="6" t="s">
        <v>24</v>
      </c>
      <c r="E112" s="6"/>
      <c r="F112" s="27">
        <v>46205</v>
      </c>
      <c r="G112" s="27" t="s">
        <v>273</v>
      </c>
      <c r="H112" s="7" t="s">
        <v>26</v>
      </c>
      <c r="I112" s="6" t="s">
        <v>274</v>
      </c>
      <c r="J112" s="196">
        <v>32796032657</v>
      </c>
      <c r="K112" s="180"/>
      <c r="L112" s="108">
        <v>22145274</v>
      </c>
      <c r="M112" s="31">
        <v>5218444874736</v>
      </c>
      <c r="N112" s="169" t="s">
        <v>37</v>
      </c>
      <c r="O112" s="46">
        <v>11583.38</v>
      </c>
      <c r="P112" s="93">
        <v>3351</v>
      </c>
      <c r="Q112" s="8">
        <v>3475.01</v>
      </c>
      <c r="R112" s="13">
        <v>124.01</v>
      </c>
      <c r="S112" s="70">
        <v>46398</v>
      </c>
      <c r="T112" s="6"/>
      <c r="U112" s="164"/>
      <c r="V112" s="1"/>
      <c r="X112" s="101">
        <v>2</v>
      </c>
    </row>
    <row r="113" spans="2:24" hidden="1">
      <c r="B113" s="24">
        <v>46060.613194444442</v>
      </c>
      <c r="C113" s="24">
        <v>46205.615277777775</v>
      </c>
      <c r="D113" s="10" t="s">
        <v>24</v>
      </c>
      <c r="E113" s="10"/>
      <c r="F113" s="27">
        <v>46205</v>
      </c>
      <c r="G113" s="28" t="s">
        <v>165</v>
      </c>
      <c r="H113" s="10" t="s">
        <v>48</v>
      </c>
      <c r="I113" s="10" t="s">
        <v>275</v>
      </c>
      <c r="J113" s="198">
        <v>23796238451</v>
      </c>
      <c r="K113" s="181"/>
      <c r="L113" s="108">
        <v>22100388</v>
      </c>
      <c r="M113" s="32">
        <v>6672003852</v>
      </c>
      <c r="N113" s="170" t="s">
        <v>37</v>
      </c>
      <c r="O113" s="47">
        <v>7920.51</v>
      </c>
      <c r="P113" s="94">
        <v>2291.5</v>
      </c>
      <c r="Q113" s="11">
        <v>2376.15</v>
      </c>
      <c r="R113" s="12">
        <v>84.65</v>
      </c>
      <c r="S113" s="71">
        <v>46754</v>
      </c>
      <c r="T113" s="10"/>
      <c r="U113" s="97"/>
      <c r="V113" s="1"/>
      <c r="X113" s="101">
        <v>2</v>
      </c>
    </row>
    <row r="114" spans="2:24" hidden="1">
      <c r="B114" s="23">
        <v>46060.593055555553</v>
      </c>
      <c r="C114" s="23">
        <v>46205.617361111108</v>
      </c>
      <c r="D114" s="6" t="s">
        <v>24</v>
      </c>
      <c r="E114" s="6"/>
      <c r="F114" s="27">
        <v>46205</v>
      </c>
      <c r="G114" s="27">
        <v>46060</v>
      </c>
      <c r="H114" s="10" t="s">
        <v>124</v>
      </c>
      <c r="I114" s="6" t="s">
        <v>276</v>
      </c>
      <c r="J114" s="196"/>
      <c r="K114" s="180" t="s">
        <v>277</v>
      </c>
      <c r="L114" s="107">
        <v>22245584</v>
      </c>
      <c r="M114" s="31">
        <v>5218125912554</v>
      </c>
      <c r="N114" s="169" t="s">
        <v>28</v>
      </c>
      <c r="O114" s="46">
        <v>9504.7000000000007</v>
      </c>
      <c r="P114" s="93"/>
      <c r="Q114" s="8">
        <v>2851.41</v>
      </c>
      <c r="R114" s="9">
        <v>2851.41</v>
      </c>
      <c r="S114" s="70"/>
      <c r="T114" s="6"/>
      <c r="U114" s="164"/>
      <c r="V114" s="1"/>
      <c r="X114" s="101">
        <v>1</v>
      </c>
    </row>
    <row r="115" spans="2:24" hidden="1">
      <c r="B115" s="24">
        <v>46060.617361111108</v>
      </c>
      <c r="C115" s="24">
        <v>46205.618750000001</v>
      </c>
      <c r="D115" s="10" t="s">
        <v>24</v>
      </c>
      <c r="E115" s="10"/>
      <c r="F115" s="27">
        <v>46205</v>
      </c>
      <c r="G115" s="28">
        <v>46060</v>
      </c>
      <c r="H115" s="10" t="s">
        <v>34</v>
      </c>
      <c r="I115" s="10" t="s">
        <v>278</v>
      </c>
      <c r="J115" s="195"/>
      <c r="K115" s="181" t="s">
        <v>279</v>
      </c>
      <c r="L115" s="108">
        <v>22246136</v>
      </c>
      <c r="M115" s="32">
        <v>5218424238686</v>
      </c>
      <c r="N115" s="170" t="s">
        <v>37</v>
      </c>
      <c r="O115" s="47">
        <v>7116.73</v>
      </c>
      <c r="P115" s="94">
        <v>2059.04</v>
      </c>
      <c r="Q115" s="11">
        <v>2135.02</v>
      </c>
      <c r="R115" s="12">
        <v>75.98</v>
      </c>
      <c r="S115" s="71">
        <v>46395</v>
      </c>
      <c r="T115" s="10"/>
      <c r="U115" s="97"/>
      <c r="V115" s="1"/>
      <c r="X115" s="101">
        <v>2</v>
      </c>
    </row>
    <row r="116" spans="2:24" hidden="1">
      <c r="B116" s="23">
        <v>46060.623611111114</v>
      </c>
      <c r="C116" s="23">
        <v>46205.626388888886</v>
      </c>
      <c r="D116" s="6" t="s">
        <v>24</v>
      </c>
      <c r="E116" s="6"/>
      <c r="F116" s="27">
        <v>46205</v>
      </c>
      <c r="G116" s="27">
        <v>46060</v>
      </c>
      <c r="H116" s="18" t="s">
        <v>135</v>
      </c>
      <c r="I116" s="6" t="s">
        <v>280</v>
      </c>
      <c r="J116" s="196">
        <v>51937807009</v>
      </c>
      <c r="K116" s="180" t="s">
        <v>281</v>
      </c>
      <c r="L116" s="107">
        <v>22149172</v>
      </c>
      <c r="M116" s="31">
        <v>22149172</v>
      </c>
      <c r="N116" s="169" t="s">
        <v>98</v>
      </c>
      <c r="O116" s="46"/>
      <c r="P116" s="93"/>
      <c r="Q116" s="8">
        <v>0</v>
      </c>
      <c r="R116" s="13">
        <v>0</v>
      </c>
      <c r="S116" s="70"/>
      <c r="T116" s="6"/>
      <c r="U116" s="164"/>
      <c r="V116" s="1"/>
      <c r="X116" s="101">
        <v>0</v>
      </c>
    </row>
    <row r="117" spans="2:24" hidden="1">
      <c r="B117" s="24">
        <v>46060.402777777781</v>
      </c>
      <c r="C117" s="24">
        <v>46205.629166666666</v>
      </c>
      <c r="D117" s="10" t="s">
        <v>24</v>
      </c>
      <c r="E117" s="10"/>
      <c r="F117" s="27">
        <v>46205</v>
      </c>
      <c r="G117" s="28">
        <v>46060</v>
      </c>
      <c r="H117" s="10" t="s">
        <v>81</v>
      </c>
      <c r="I117" s="10" t="s">
        <v>282</v>
      </c>
      <c r="J117" s="195">
        <v>21836550737</v>
      </c>
      <c r="K117" s="181"/>
      <c r="L117" s="108">
        <v>22244098</v>
      </c>
      <c r="M117" s="32">
        <v>5216864309017</v>
      </c>
      <c r="N117" s="170" t="s">
        <v>37</v>
      </c>
      <c r="O117" s="47">
        <v>22045.13</v>
      </c>
      <c r="P117" s="94">
        <v>6378.18</v>
      </c>
      <c r="Q117" s="11">
        <v>6613.54</v>
      </c>
      <c r="R117" s="12">
        <v>235.36</v>
      </c>
      <c r="S117" s="71">
        <v>46399</v>
      </c>
      <c r="T117" s="10"/>
      <c r="U117" s="97"/>
      <c r="V117" s="1"/>
      <c r="X117" s="101">
        <v>2</v>
      </c>
    </row>
    <row r="118" spans="2:24" hidden="1">
      <c r="B118" s="23">
        <v>46060.579861111109</v>
      </c>
      <c r="C118" s="23">
        <v>46205.629861111112</v>
      </c>
      <c r="D118" s="6" t="s">
        <v>24</v>
      </c>
      <c r="E118" s="6"/>
      <c r="F118" s="27">
        <v>46205</v>
      </c>
      <c r="G118" s="27">
        <v>46029</v>
      </c>
      <c r="H118" s="6" t="s">
        <v>93</v>
      </c>
      <c r="I118" s="6" t="s">
        <v>283</v>
      </c>
      <c r="J118" s="196"/>
      <c r="K118" s="180" t="s">
        <v>284</v>
      </c>
      <c r="L118" s="108">
        <v>22211126</v>
      </c>
      <c r="M118" s="31">
        <v>6145116395</v>
      </c>
      <c r="N118" s="169" t="s">
        <v>37</v>
      </c>
      <c r="O118" s="46">
        <v>9760.32</v>
      </c>
      <c r="P118" s="93">
        <v>2823.89</v>
      </c>
      <c r="Q118" s="8">
        <v>2928.1</v>
      </c>
      <c r="R118" s="13">
        <v>104.21</v>
      </c>
      <c r="S118" s="70">
        <v>46753</v>
      </c>
      <c r="T118" s="6"/>
      <c r="U118" s="164"/>
      <c r="V118" s="1"/>
      <c r="X118" s="101">
        <v>2</v>
      </c>
    </row>
    <row r="119" spans="2:24" hidden="1">
      <c r="B119" s="24">
        <v>46060.647222222222</v>
      </c>
      <c r="C119" s="24">
        <v>46205.648611111108</v>
      </c>
      <c r="D119" s="10" t="s">
        <v>24</v>
      </c>
      <c r="E119" s="10"/>
      <c r="F119" s="27">
        <v>46205</v>
      </c>
      <c r="G119" s="28">
        <v>46060</v>
      </c>
      <c r="H119" s="10" t="s">
        <v>68</v>
      </c>
      <c r="I119" s="10" t="s">
        <v>285</v>
      </c>
      <c r="J119" s="195">
        <v>54886423372</v>
      </c>
      <c r="K119" s="181" t="s">
        <v>286</v>
      </c>
      <c r="L119" s="108">
        <v>22245440</v>
      </c>
      <c r="M119" s="32">
        <v>5213228889443</v>
      </c>
      <c r="N119" s="170" t="s">
        <v>28</v>
      </c>
      <c r="O119" s="47">
        <v>10636.54</v>
      </c>
      <c r="P119" s="94"/>
      <c r="Q119" s="11">
        <v>3190.96</v>
      </c>
      <c r="R119" s="14">
        <v>3190.96</v>
      </c>
      <c r="S119" s="71"/>
      <c r="T119" s="10"/>
      <c r="U119" s="97"/>
      <c r="V119" s="1"/>
      <c r="X119" s="101">
        <v>1</v>
      </c>
    </row>
    <row r="120" spans="2:24" hidden="1">
      <c r="B120" s="23">
        <v>46060.656944444447</v>
      </c>
      <c r="C120" s="23">
        <v>46205.658333333333</v>
      </c>
      <c r="D120" s="6" t="s">
        <v>24</v>
      </c>
      <c r="E120" s="6"/>
      <c r="F120" s="27">
        <v>46205</v>
      </c>
      <c r="G120" s="27">
        <v>46060</v>
      </c>
      <c r="H120" s="6" t="s">
        <v>145</v>
      </c>
      <c r="I120" s="6" t="s">
        <v>287</v>
      </c>
      <c r="J120" s="196">
        <v>20907334732</v>
      </c>
      <c r="K120" s="180" t="s">
        <v>288</v>
      </c>
      <c r="L120" s="108">
        <v>22243370</v>
      </c>
      <c r="M120" s="31">
        <v>5215669402957</v>
      </c>
      <c r="N120" s="169" t="s">
        <v>37</v>
      </c>
      <c r="O120" s="46">
        <v>5636.59</v>
      </c>
      <c r="P120" s="93">
        <v>1629.28</v>
      </c>
      <c r="Q120" s="8">
        <v>1690.98</v>
      </c>
      <c r="R120" s="13">
        <v>-165.67</v>
      </c>
      <c r="S120" s="70">
        <v>46389</v>
      </c>
      <c r="T120" s="6" t="s">
        <v>84</v>
      </c>
      <c r="U120" s="164"/>
      <c r="V120" s="1"/>
      <c r="X120" s="101">
        <v>2</v>
      </c>
    </row>
    <row r="121" spans="2:24" hidden="1">
      <c r="B121" s="24">
        <v>46060.648611111108</v>
      </c>
      <c r="C121" s="24">
        <v>46205.663194444445</v>
      </c>
      <c r="D121" s="10" t="s">
        <v>24</v>
      </c>
      <c r="E121" s="10"/>
      <c r="F121" s="27">
        <v>46205</v>
      </c>
      <c r="G121" s="28">
        <v>46060</v>
      </c>
      <c r="H121" s="10" t="s">
        <v>68</v>
      </c>
      <c r="I121" s="10" t="s">
        <v>289</v>
      </c>
      <c r="J121" s="195">
        <v>67816408883</v>
      </c>
      <c r="K121" s="181" t="s">
        <v>290</v>
      </c>
      <c r="L121" s="108">
        <v>22247620</v>
      </c>
      <c r="M121" s="32">
        <v>18082699065</v>
      </c>
      <c r="N121" s="170" t="s">
        <v>37</v>
      </c>
      <c r="O121" s="47">
        <v>9760.32</v>
      </c>
      <c r="P121" s="94">
        <v>2823.89</v>
      </c>
      <c r="Q121" s="11">
        <v>2928.1</v>
      </c>
      <c r="R121" s="12">
        <v>104.21</v>
      </c>
      <c r="S121" s="71">
        <v>46395</v>
      </c>
      <c r="T121" s="10"/>
      <c r="U121" s="97"/>
      <c r="V121" s="1"/>
      <c r="X121" s="101">
        <v>2</v>
      </c>
    </row>
    <row r="122" spans="2:24" hidden="1">
      <c r="B122" s="23">
        <v>46060.663888888892</v>
      </c>
      <c r="C122" s="23">
        <v>46205.665972222225</v>
      </c>
      <c r="D122" s="6" t="s">
        <v>24</v>
      </c>
      <c r="E122" s="6"/>
      <c r="F122" s="27">
        <v>46205</v>
      </c>
      <c r="G122" s="27">
        <v>46060</v>
      </c>
      <c r="H122" s="6" t="s">
        <v>34</v>
      </c>
      <c r="I122" s="6" t="s">
        <v>291</v>
      </c>
      <c r="J122" s="196">
        <v>12886328819</v>
      </c>
      <c r="K122" s="180" t="s">
        <v>292</v>
      </c>
      <c r="L122" s="108">
        <v>22248022</v>
      </c>
      <c r="M122" s="31">
        <v>5214771313670</v>
      </c>
      <c r="N122" s="169" t="s">
        <v>37</v>
      </c>
      <c r="O122" s="46">
        <v>7920.51</v>
      </c>
      <c r="P122" s="93">
        <v>2259.33</v>
      </c>
      <c r="Q122" s="8">
        <v>2376.15</v>
      </c>
      <c r="R122" s="13">
        <v>116.82</v>
      </c>
      <c r="S122" s="70">
        <v>46399</v>
      </c>
      <c r="T122" s="6"/>
      <c r="U122" s="164"/>
      <c r="V122" s="1"/>
      <c r="X122" s="101">
        <v>2</v>
      </c>
    </row>
    <row r="123" spans="2:24" hidden="1">
      <c r="B123" s="24">
        <v>46060.664583333331</v>
      </c>
      <c r="C123" s="24">
        <v>46205.665972222225</v>
      </c>
      <c r="D123" s="10" t="s">
        <v>24</v>
      </c>
      <c r="E123" s="10"/>
      <c r="F123" s="27">
        <v>46205</v>
      </c>
      <c r="G123" s="28">
        <v>46029</v>
      </c>
      <c r="H123" s="10" t="s">
        <v>78</v>
      </c>
      <c r="I123" s="10" t="s">
        <v>293</v>
      </c>
      <c r="J123" s="195">
        <v>3694725668</v>
      </c>
      <c r="K123" s="181" t="s">
        <v>294</v>
      </c>
      <c r="L123" s="108">
        <v>22175556</v>
      </c>
      <c r="M123" s="32">
        <v>5218140711669</v>
      </c>
      <c r="N123" s="170" t="s">
        <v>32</v>
      </c>
      <c r="O123" s="47">
        <v>3895.43</v>
      </c>
      <c r="P123" s="94">
        <v>848</v>
      </c>
      <c r="Q123" s="11">
        <v>1168.6300000000001</v>
      </c>
      <c r="R123" s="12">
        <v>-848</v>
      </c>
      <c r="S123" s="71"/>
      <c r="T123" s="10"/>
      <c r="U123" s="97"/>
      <c r="V123" s="1"/>
      <c r="X123" s="101">
        <v>1</v>
      </c>
    </row>
    <row r="124" spans="2:24" hidden="1">
      <c r="B124" s="23">
        <v>46060.65</v>
      </c>
      <c r="C124" s="23">
        <v>46205.667361111111</v>
      </c>
      <c r="D124" s="6" t="s">
        <v>24</v>
      </c>
      <c r="E124" s="6"/>
      <c r="F124" s="27">
        <v>46205</v>
      </c>
      <c r="G124" s="27" t="s">
        <v>295</v>
      </c>
      <c r="H124" s="6" t="s">
        <v>117</v>
      </c>
      <c r="I124" s="6" t="s">
        <v>296</v>
      </c>
      <c r="J124" s="196"/>
      <c r="K124" s="180" t="s">
        <v>297</v>
      </c>
      <c r="L124" s="107">
        <v>22019062</v>
      </c>
      <c r="M124" s="31">
        <v>22019062</v>
      </c>
      <c r="N124" s="169" t="s">
        <v>98</v>
      </c>
      <c r="O124" s="46"/>
      <c r="P124" s="93"/>
      <c r="Q124" s="8">
        <v>0</v>
      </c>
      <c r="R124" s="13">
        <v>0</v>
      </c>
      <c r="S124" s="70"/>
      <c r="T124" s="6"/>
      <c r="U124" s="164"/>
      <c r="V124" s="1"/>
      <c r="X124" s="101">
        <v>0</v>
      </c>
    </row>
    <row r="125" spans="2:24" hidden="1">
      <c r="B125" s="24">
        <v>46060.617361111108</v>
      </c>
      <c r="C125" s="24">
        <v>46205.675000000003</v>
      </c>
      <c r="D125" s="10" t="s">
        <v>24</v>
      </c>
      <c r="E125" s="10"/>
      <c r="F125" s="27">
        <v>46205</v>
      </c>
      <c r="G125" s="28">
        <v>46060</v>
      </c>
      <c r="H125" s="10" t="s">
        <v>124</v>
      </c>
      <c r="I125" s="10" t="s">
        <v>298</v>
      </c>
      <c r="J125" s="195"/>
      <c r="K125" s="181" t="s">
        <v>299</v>
      </c>
      <c r="L125" s="108">
        <v>22248540</v>
      </c>
      <c r="M125" s="32">
        <v>5215543218137</v>
      </c>
      <c r="N125" s="170" t="s">
        <v>37</v>
      </c>
      <c r="O125" s="47">
        <v>50156.84</v>
      </c>
      <c r="P125" s="94">
        <v>15047.03</v>
      </c>
      <c r="Q125" s="11">
        <v>15047.05</v>
      </c>
      <c r="R125" s="12">
        <v>0.02</v>
      </c>
      <c r="S125" s="71">
        <v>46388</v>
      </c>
      <c r="T125" s="10"/>
      <c r="U125" s="97"/>
      <c r="V125" s="1"/>
      <c r="X125" s="101">
        <v>2</v>
      </c>
    </row>
    <row r="126" spans="2:24" hidden="1">
      <c r="B126" s="23">
        <v>46060.629861111112</v>
      </c>
      <c r="C126" s="23">
        <v>46205.682638888888</v>
      </c>
      <c r="D126" s="6" t="s">
        <v>24</v>
      </c>
      <c r="E126" s="6"/>
      <c r="F126" s="27">
        <v>46205</v>
      </c>
      <c r="G126" s="27">
        <v>46060</v>
      </c>
      <c r="H126" s="10" t="s">
        <v>93</v>
      </c>
      <c r="I126" s="6" t="s">
        <v>300</v>
      </c>
      <c r="J126" s="196"/>
      <c r="K126" s="180" t="s">
        <v>301</v>
      </c>
      <c r="L126" s="107">
        <v>22245776</v>
      </c>
      <c r="M126" s="31">
        <v>5510173067</v>
      </c>
      <c r="N126" s="169" t="s">
        <v>47</v>
      </c>
      <c r="O126" s="46">
        <v>15842.31</v>
      </c>
      <c r="P126" s="93">
        <v>4342.05</v>
      </c>
      <c r="Q126" s="8">
        <v>4752.6899999999996</v>
      </c>
      <c r="R126" s="22">
        <v>410.64</v>
      </c>
      <c r="S126" s="70">
        <v>46032</v>
      </c>
      <c r="T126" s="6"/>
      <c r="U126" s="164"/>
      <c r="V126" s="1"/>
      <c r="X126" s="101">
        <v>2</v>
      </c>
    </row>
    <row r="127" spans="2:24" hidden="1">
      <c r="B127" s="24">
        <v>46060.493055555555</v>
      </c>
      <c r="C127" s="24">
        <v>46205.68472222222</v>
      </c>
      <c r="D127" s="10" t="s">
        <v>24</v>
      </c>
      <c r="E127" s="10"/>
      <c r="F127" s="27">
        <v>46205</v>
      </c>
      <c r="G127" s="28">
        <v>46060</v>
      </c>
      <c r="H127" s="10" t="s">
        <v>54</v>
      </c>
      <c r="I127" s="10" t="s">
        <v>302</v>
      </c>
      <c r="J127" s="195"/>
      <c r="K127" s="179" t="s">
        <v>303</v>
      </c>
      <c r="L127" s="108">
        <v>22248612</v>
      </c>
      <c r="M127" s="32">
        <v>5216421573756</v>
      </c>
      <c r="N127" s="170" t="s">
        <v>98</v>
      </c>
      <c r="O127" s="47"/>
      <c r="P127" s="94"/>
      <c r="Q127" s="11">
        <v>0</v>
      </c>
      <c r="R127" s="12">
        <v>0</v>
      </c>
      <c r="S127" s="71"/>
      <c r="T127" s="10"/>
      <c r="U127" s="97"/>
      <c r="V127" s="1"/>
      <c r="X127" s="101">
        <v>0</v>
      </c>
    </row>
    <row r="128" spans="2:24" hidden="1">
      <c r="B128" s="23">
        <v>46060.68472222222</v>
      </c>
      <c r="C128" s="23">
        <v>46205.688194444447</v>
      </c>
      <c r="D128" s="6" t="s">
        <v>24</v>
      </c>
      <c r="E128" s="6"/>
      <c r="F128" s="27">
        <v>46205</v>
      </c>
      <c r="G128" s="27">
        <v>46060</v>
      </c>
      <c r="H128" s="6" t="s">
        <v>145</v>
      </c>
      <c r="I128" s="6" t="s">
        <v>304</v>
      </c>
      <c r="J128" s="196">
        <v>4745418519</v>
      </c>
      <c r="K128" s="180" t="s">
        <v>305</v>
      </c>
      <c r="L128" s="108">
        <v>22246480</v>
      </c>
      <c r="M128" s="31">
        <v>5216461085196</v>
      </c>
      <c r="N128" s="169" t="s">
        <v>37</v>
      </c>
      <c r="O128" s="46">
        <v>5384.17</v>
      </c>
      <c r="P128" s="93">
        <v>1210.3699999999999</v>
      </c>
      <c r="Q128" s="8">
        <v>1615.25</v>
      </c>
      <c r="R128" s="13">
        <v>0.82</v>
      </c>
      <c r="S128" s="70">
        <v>46391</v>
      </c>
      <c r="T128" s="6" t="s">
        <v>178</v>
      </c>
      <c r="U128" s="164"/>
      <c r="V128" s="1"/>
      <c r="X128" s="101">
        <v>2</v>
      </c>
    </row>
    <row r="129" spans="2:24" hidden="1">
      <c r="B129" s="24">
        <v>46060.699305555558</v>
      </c>
      <c r="C129" s="24">
        <v>46205.7</v>
      </c>
      <c r="D129" s="10" t="s">
        <v>24</v>
      </c>
      <c r="E129" s="10"/>
      <c r="F129" s="27">
        <v>46205</v>
      </c>
      <c r="G129" s="28">
        <v>46060</v>
      </c>
      <c r="H129" s="10" t="s">
        <v>90</v>
      </c>
      <c r="I129" s="10"/>
      <c r="J129" s="195">
        <v>49846540257</v>
      </c>
      <c r="K129" s="181"/>
      <c r="L129" s="108">
        <v>1</v>
      </c>
      <c r="M129" s="32" t="s">
        <v>306</v>
      </c>
      <c r="N129" s="170" t="s">
        <v>37</v>
      </c>
      <c r="O129" s="47">
        <v>9760.32</v>
      </c>
      <c r="P129" s="94">
        <v>2822.92</v>
      </c>
      <c r="Q129" s="11">
        <v>2928.1</v>
      </c>
      <c r="R129" s="12">
        <v>105.18</v>
      </c>
      <c r="S129" s="71">
        <v>46396</v>
      </c>
      <c r="T129" s="10"/>
      <c r="U129" s="97"/>
      <c r="V129" s="1"/>
      <c r="X129" s="101">
        <v>2</v>
      </c>
    </row>
    <row r="130" spans="2:24" hidden="1">
      <c r="B130" s="23">
        <v>46060.7</v>
      </c>
      <c r="C130" s="23">
        <v>46205.701388888891</v>
      </c>
      <c r="D130" s="6" t="s">
        <v>24</v>
      </c>
      <c r="E130" s="6"/>
      <c r="F130" s="27">
        <v>46205</v>
      </c>
      <c r="G130" s="27" t="s">
        <v>165</v>
      </c>
      <c r="H130" s="10" t="s">
        <v>75</v>
      </c>
      <c r="I130" s="6" t="s">
        <v>307</v>
      </c>
      <c r="J130" s="196"/>
      <c r="K130" s="180" t="s">
        <v>308</v>
      </c>
      <c r="L130" s="107">
        <v>22099872</v>
      </c>
      <c r="M130" s="31">
        <v>5215534890206</v>
      </c>
      <c r="N130" s="169" t="s">
        <v>130</v>
      </c>
      <c r="O130" s="46">
        <v>5617.63</v>
      </c>
      <c r="P130" s="93">
        <v>1392.57</v>
      </c>
      <c r="Q130" s="8">
        <v>1685.29</v>
      </c>
      <c r="R130" s="13">
        <v>52.08</v>
      </c>
      <c r="S130" s="70">
        <v>45668</v>
      </c>
      <c r="T130" s="6"/>
      <c r="U130" s="164"/>
      <c r="V130" s="1"/>
      <c r="X130" s="101">
        <v>2</v>
      </c>
    </row>
    <row r="131" spans="2:24" hidden="1">
      <c r="B131" s="24">
        <v>46060.706944444442</v>
      </c>
      <c r="C131" s="24">
        <v>46205.707638888889</v>
      </c>
      <c r="D131" s="10" t="s">
        <v>24</v>
      </c>
      <c r="E131" s="10"/>
      <c r="F131" s="27">
        <v>46205</v>
      </c>
      <c r="G131" s="28">
        <v>46060</v>
      </c>
      <c r="H131" s="20" t="s">
        <v>170</v>
      </c>
      <c r="I131" s="10" t="s">
        <v>309</v>
      </c>
      <c r="J131" s="195">
        <v>31846511306</v>
      </c>
      <c r="K131" s="181"/>
      <c r="L131" s="112">
        <v>22241888</v>
      </c>
      <c r="M131" s="32">
        <v>5218717883371</v>
      </c>
      <c r="N131" s="170" t="s">
        <v>37</v>
      </c>
      <c r="O131" s="47">
        <v>9760.32</v>
      </c>
      <c r="P131" s="94">
        <v>2821.95</v>
      </c>
      <c r="Q131" s="11">
        <v>2928.1</v>
      </c>
      <c r="R131" s="12">
        <v>106.15</v>
      </c>
      <c r="S131" s="71">
        <v>46393</v>
      </c>
      <c r="T131" s="10"/>
      <c r="U131" s="97"/>
      <c r="V131" s="1"/>
      <c r="X131" s="101">
        <v>2</v>
      </c>
    </row>
    <row r="132" spans="2:24" hidden="1">
      <c r="B132" s="23">
        <v>46060.592361111114</v>
      </c>
      <c r="C132" s="23">
        <v>46205.711805555555</v>
      </c>
      <c r="D132" s="6" t="s">
        <v>24</v>
      </c>
      <c r="E132" s="6"/>
      <c r="F132" s="27">
        <v>46205</v>
      </c>
      <c r="G132" s="27">
        <v>46060</v>
      </c>
      <c r="H132" s="10" t="s">
        <v>51</v>
      </c>
      <c r="I132" s="6" t="s">
        <v>310</v>
      </c>
      <c r="J132" s="196">
        <v>31907036086</v>
      </c>
      <c r="K132" s="180" t="s">
        <v>311</v>
      </c>
      <c r="L132" s="107">
        <v>22249500</v>
      </c>
      <c r="M132" s="31">
        <v>5216181582484</v>
      </c>
      <c r="N132" s="169" t="s">
        <v>28</v>
      </c>
      <c r="O132" s="46">
        <v>8784.2900000000009</v>
      </c>
      <c r="P132" s="93"/>
      <c r="Q132" s="8">
        <v>2635.29</v>
      </c>
      <c r="R132" s="9">
        <v>2635.29</v>
      </c>
      <c r="S132" s="70"/>
      <c r="T132" s="6"/>
      <c r="U132" s="164"/>
      <c r="V132" s="1"/>
      <c r="X132" s="101">
        <v>1</v>
      </c>
    </row>
    <row r="133" spans="2:24" hidden="1">
      <c r="B133" s="24">
        <v>46060.722222222219</v>
      </c>
      <c r="C133" s="24">
        <v>46205.723611111112</v>
      </c>
      <c r="D133" s="10" t="s">
        <v>24</v>
      </c>
      <c r="E133" s="10"/>
      <c r="F133" s="27">
        <v>46205</v>
      </c>
      <c r="G133" s="28" t="s">
        <v>312</v>
      </c>
      <c r="H133" s="10" t="s">
        <v>269</v>
      </c>
      <c r="I133" s="10" t="s">
        <v>313</v>
      </c>
      <c r="J133" s="193">
        <v>89816408168</v>
      </c>
      <c r="K133" s="181" t="s">
        <v>314</v>
      </c>
      <c r="L133" s="108">
        <v>20075086</v>
      </c>
      <c r="M133" s="32">
        <v>5215549311479</v>
      </c>
      <c r="N133" s="170" t="s">
        <v>37</v>
      </c>
      <c r="O133" s="47">
        <v>10171.24</v>
      </c>
      <c r="P133" s="94">
        <v>3049.57</v>
      </c>
      <c r="Q133" s="11">
        <v>3051.37</v>
      </c>
      <c r="R133" s="12">
        <v>1.8</v>
      </c>
      <c r="S133" s="71">
        <v>46397</v>
      </c>
      <c r="T133" s="10"/>
      <c r="U133" s="97"/>
      <c r="V133" s="1"/>
      <c r="X133" s="101">
        <v>2</v>
      </c>
    </row>
    <row r="134" spans="2:24" hidden="1">
      <c r="B134" s="23">
        <v>46060.675000000003</v>
      </c>
      <c r="C134" s="23">
        <v>46205.725694444445</v>
      </c>
      <c r="D134" s="6" t="s">
        <v>24</v>
      </c>
      <c r="E134" s="6"/>
      <c r="F134" s="27">
        <v>46205</v>
      </c>
      <c r="G134" s="27" t="s">
        <v>25</v>
      </c>
      <c r="H134" s="6" t="s">
        <v>124</v>
      </c>
      <c r="I134" s="6" t="s">
        <v>315</v>
      </c>
      <c r="J134" s="196"/>
      <c r="K134" s="180" t="s">
        <v>316</v>
      </c>
      <c r="L134" s="107">
        <v>22081096</v>
      </c>
      <c r="M134" s="31">
        <v>22081096</v>
      </c>
      <c r="N134" s="169" t="s">
        <v>32</v>
      </c>
      <c r="O134" s="46">
        <v>4199.87</v>
      </c>
      <c r="P134" s="93"/>
      <c r="Q134" s="8">
        <v>1259.96</v>
      </c>
      <c r="R134" s="13">
        <v>26.89</v>
      </c>
      <c r="S134" s="70"/>
      <c r="T134" s="6"/>
      <c r="U134" s="164"/>
      <c r="V134" s="1"/>
      <c r="X134" s="101">
        <v>1</v>
      </c>
    </row>
    <row r="135" spans="2:24" hidden="1">
      <c r="B135" s="24">
        <v>46060.730555555558</v>
      </c>
      <c r="C135" s="24">
        <v>46205.731249999997</v>
      </c>
      <c r="D135" s="10" t="s">
        <v>24</v>
      </c>
      <c r="E135" s="10"/>
      <c r="F135" s="27">
        <v>46205</v>
      </c>
      <c r="G135" s="28">
        <v>46060</v>
      </c>
      <c r="H135" s="10" t="s">
        <v>160</v>
      </c>
      <c r="I135" s="10" t="s">
        <v>317</v>
      </c>
      <c r="J135" s="195">
        <v>65866516134</v>
      </c>
      <c r="K135" s="181" t="s">
        <v>318</v>
      </c>
      <c r="L135" s="108">
        <v>22250160</v>
      </c>
      <c r="M135" s="32">
        <v>5212291081166</v>
      </c>
      <c r="N135" s="170" t="s">
        <v>37</v>
      </c>
      <c r="O135" s="47">
        <v>9760.32</v>
      </c>
      <c r="P135" s="94">
        <v>2927.84</v>
      </c>
      <c r="Q135" s="11">
        <v>2928.1</v>
      </c>
      <c r="R135" s="12">
        <v>0.26</v>
      </c>
      <c r="S135" s="71">
        <v>46756</v>
      </c>
      <c r="T135" s="10" t="s">
        <v>178</v>
      </c>
      <c r="U135" s="97"/>
      <c r="V135" s="1"/>
      <c r="X135" s="101">
        <v>2</v>
      </c>
    </row>
    <row r="136" spans="2:24" hidden="1">
      <c r="B136" s="23">
        <v>46060.73333333333</v>
      </c>
      <c r="C136" s="23">
        <v>46205.734722222223</v>
      </c>
      <c r="D136" s="6" t="s">
        <v>24</v>
      </c>
      <c r="E136" s="6"/>
      <c r="F136" s="27">
        <v>46205</v>
      </c>
      <c r="G136" s="27">
        <v>46029</v>
      </c>
      <c r="H136" s="7" t="s">
        <v>107</v>
      </c>
      <c r="I136" s="6" t="s">
        <v>319</v>
      </c>
      <c r="J136" s="196">
        <v>11916307579</v>
      </c>
      <c r="K136" s="180" t="s">
        <v>320</v>
      </c>
      <c r="L136" s="108">
        <v>22211148</v>
      </c>
      <c r="M136" s="31">
        <v>5218127527829</v>
      </c>
      <c r="N136" s="169" t="s">
        <v>37</v>
      </c>
      <c r="O136" s="46">
        <v>7920.51</v>
      </c>
      <c r="P136" s="93">
        <v>2376</v>
      </c>
      <c r="Q136" s="8">
        <v>2376.15</v>
      </c>
      <c r="R136" s="13">
        <v>0.15</v>
      </c>
      <c r="S136" s="70">
        <v>46755</v>
      </c>
      <c r="T136" s="6"/>
      <c r="U136" s="164"/>
      <c r="V136" s="1"/>
      <c r="X136" s="101">
        <v>2</v>
      </c>
    </row>
    <row r="137" spans="2:24" hidden="1">
      <c r="B137" s="24">
        <v>46060.736805555556</v>
      </c>
      <c r="C137" s="24">
        <v>46205.737500000003</v>
      </c>
      <c r="D137" s="10" t="s">
        <v>24</v>
      </c>
      <c r="E137" s="10"/>
      <c r="F137" s="27">
        <v>46205</v>
      </c>
      <c r="G137" s="28">
        <v>46060</v>
      </c>
      <c r="H137" s="10" t="s">
        <v>90</v>
      </c>
      <c r="I137" s="10"/>
      <c r="J137" s="195">
        <v>31816321702</v>
      </c>
      <c r="K137" s="181"/>
      <c r="L137" s="111">
        <v>1</v>
      </c>
      <c r="M137" s="32" t="s">
        <v>321</v>
      </c>
      <c r="N137" s="170" t="s">
        <v>47</v>
      </c>
      <c r="O137" s="47">
        <v>7920.51</v>
      </c>
      <c r="P137" s="94">
        <v>1228.47</v>
      </c>
      <c r="Q137" s="11">
        <v>2376.15</v>
      </c>
      <c r="R137" s="16">
        <v>1147.68</v>
      </c>
      <c r="S137" s="71">
        <v>46394</v>
      </c>
      <c r="T137" s="10"/>
      <c r="U137" s="97"/>
      <c r="V137" s="1"/>
      <c r="X137" s="101">
        <v>2</v>
      </c>
    </row>
    <row r="138" spans="2:24" hidden="1">
      <c r="B138" s="23">
        <v>46060.626388888886</v>
      </c>
      <c r="C138" s="23">
        <v>46205.75277777778</v>
      </c>
      <c r="D138" s="6" t="s">
        <v>24</v>
      </c>
      <c r="E138" s="6"/>
      <c r="F138" s="27">
        <v>46205</v>
      </c>
      <c r="G138" s="27">
        <v>46060</v>
      </c>
      <c r="H138" s="161" t="s">
        <v>135</v>
      </c>
      <c r="I138" s="6" t="s">
        <v>322</v>
      </c>
      <c r="J138" s="196">
        <v>1725287898</v>
      </c>
      <c r="K138" s="180" t="s">
        <v>323</v>
      </c>
      <c r="L138" s="107">
        <v>22207964</v>
      </c>
      <c r="M138" s="31">
        <v>5215569151192</v>
      </c>
      <c r="N138" s="169" t="s">
        <v>47</v>
      </c>
      <c r="O138" s="46">
        <v>4813.6899999999996</v>
      </c>
      <c r="P138" s="93"/>
      <c r="Q138" s="8">
        <v>1444.11</v>
      </c>
      <c r="R138" s="22">
        <v>640.71</v>
      </c>
      <c r="S138" s="70"/>
      <c r="T138" s="6"/>
      <c r="U138" s="164"/>
      <c r="V138" s="1"/>
      <c r="X138" s="101">
        <v>1</v>
      </c>
    </row>
    <row r="139" spans="2:24" hidden="1">
      <c r="B139" s="24">
        <v>46060.75277777778</v>
      </c>
      <c r="C139" s="24">
        <v>46205.754861111112</v>
      </c>
      <c r="D139" s="10" t="s">
        <v>24</v>
      </c>
      <c r="E139" s="10"/>
      <c r="F139" s="27">
        <v>46205</v>
      </c>
      <c r="G139" s="28">
        <v>46060</v>
      </c>
      <c r="H139" s="160" t="s">
        <v>107</v>
      </c>
      <c r="I139" s="10" t="s">
        <v>324</v>
      </c>
      <c r="J139" s="195">
        <v>43775958044</v>
      </c>
      <c r="K139" s="181"/>
      <c r="L139" s="108">
        <v>22212628</v>
      </c>
      <c r="M139" s="32">
        <v>8116002549</v>
      </c>
      <c r="N139" s="170" t="s">
        <v>47</v>
      </c>
      <c r="O139" s="47">
        <v>4813.6899999999996</v>
      </c>
      <c r="P139" s="94"/>
      <c r="Q139" s="11">
        <v>1444.11</v>
      </c>
      <c r="R139" s="16">
        <v>640.71</v>
      </c>
      <c r="S139" s="71"/>
      <c r="T139" s="10"/>
      <c r="U139" s="97"/>
      <c r="V139" s="1"/>
      <c r="X139" s="101">
        <v>1</v>
      </c>
    </row>
    <row r="140" spans="2:24" hidden="1">
      <c r="B140" s="23">
        <v>46088.381249999999</v>
      </c>
      <c r="C140" s="23">
        <v>46206.384027777778</v>
      </c>
      <c r="D140" s="6" t="s">
        <v>24</v>
      </c>
      <c r="E140" s="6"/>
      <c r="F140" s="27">
        <v>46206</v>
      </c>
      <c r="G140" s="27" t="s">
        <v>45</v>
      </c>
      <c r="H140" s="161" t="s">
        <v>170</v>
      </c>
      <c r="I140" s="6" t="s">
        <v>325</v>
      </c>
      <c r="J140" s="196"/>
      <c r="K140" s="180" t="s">
        <v>326</v>
      </c>
      <c r="L140" s="107">
        <v>22145074</v>
      </c>
      <c r="M140" s="31">
        <v>5215618817424</v>
      </c>
      <c r="N140" s="169" t="s">
        <v>28</v>
      </c>
      <c r="O140" s="46">
        <v>6153.16</v>
      </c>
      <c r="P140" s="93"/>
      <c r="Q140" s="8">
        <v>1845.95</v>
      </c>
      <c r="R140" s="9">
        <v>1845.95</v>
      </c>
      <c r="S140" s="70"/>
      <c r="T140" s="6"/>
      <c r="U140" s="164"/>
      <c r="V140" s="1"/>
      <c r="X140" s="101">
        <v>1</v>
      </c>
    </row>
    <row r="141" spans="2:24" hidden="1">
      <c r="B141" s="24">
        <v>46088.394444444442</v>
      </c>
      <c r="C141" s="24">
        <v>46206.397222222222</v>
      </c>
      <c r="D141" s="10" t="s">
        <v>24</v>
      </c>
      <c r="E141" s="10"/>
      <c r="F141" s="27">
        <v>46206</v>
      </c>
      <c r="G141" s="28">
        <v>46060</v>
      </c>
      <c r="H141" s="10" t="s">
        <v>127</v>
      </c>
      <c r="I141" s="10" t="s">
        <v>327</v>
      </c>
      <c r="J141" s="195">
        <v>49725501230</v>
      </c>
      <c r="K141" s="181" t="s">
        <v>328</v>
      </c>
      <c r="L141" s="108">
        <v>22251092</v>
      </c>
      <c r="M141" s="32">
        <v>8677273896</v>
      </c>
      <c r="N141" s="170" t="s">
        <v>32</v>
      </c>
      <c r="O141" s="47">
        <v>3882.85</v>
      </c>
      <c r="P141" s="94">
        <v>848</v>
      </c>
      <c r="Q141" s="11">
        <v>1164.8599999999999</v>
      </c>
      <c r="R141" s="12">
        <v>-848</v>
      </c>
      <c r="S141" s="71"/>
      <c r="T141" s="10"/>
      <c r="U141" s="97"/>
      <c r="V141" s="1"/>
      <c r="X141" s="101">
        <v>1</v>
      </c>
    </row>
    <row r="142" spans="2:24" hidden="1">
      <c r="B142" s="23">
        <v>46088.405555555553</v>
      </c>
      <c r="C142" s="23">
        <v>46206.408333333333</v>
      </c>
      <c r="D142" s="6" t="s">
        <v>24</v>
      </c>
      <c r="E142" s="6"/>
      <c r="F142" s="27">
        <v>46206</v>
      </c>
      <c r="G142" s="27">
        <v>46060</v>
      </c>
      <c r="H142" s="6" t="s">
        <v>34</v>
      </c>
      <c r="I142" s="6" t="s">
        <v>329</v>
      </c>
      <c r="J142" s="196">
        <v>63917485136</v>
      </c>
      <c r="K142" s="180" t="s">
        <v>330</v>
      </c>
      <c r="L142" s="113">
        <v>22252034</v>
      </c>
      <c r="M142" s="35">
        <v>5214792252229</v>
      </c>
      <c r="N142" s="169" t="s">
        <v>32</v>
      </c>
      <c r="O142" s="46">
        <v>1887</v>
      </c>
      <c r="P142" s="93"/>
      <c r="Q142" s="8">
        <v>566.1</v>
      </c>
      <c r="R142" s="13">
        <v>0</v>
      </c>
      <c r="S142" s="70"/>
      <c r="T142" s="6"/>
      <c r="U142" s="164"/>
      <c r="V142" s="1"/>
      <c r="X142" s="101">
        <v>1</v>
      </c>
    </row>
    <row r="143" spans="2:24" hidden="1">
      <c r="B143" s="24">
        <v>46088.411111111112</v>
      </c>
      <c r="C143" s="24">
        <v>46206.412499999999</v>
      </c>
      <c r="D143" s="10" t="s">
        <v>24</v>
      </c>
      <c r="E143" s="10"/>
      <c r="F143" s="27">
        <v>46206</v>
      </c>
      <c r="G143" s="28">
        <v>46060</v>
      </c>
      <c r="H143" s="15" t="s">
        <v>107</v>
      </c>
      <c r="I143" s="10" t="s">
        <v>331</v>
      </c>
      <c r="J143" s="195"/>
      <c r="K143" s="181" t="s">
        <v>332</v>
      </c>
      <c r="L143" s="108">
        <v>22240760</v>
      </c>
      <c r="M143" s="32">
        <v>5216562760325</v>
      </c>
      <c r="N143" s="170" t="s">
        <v>37</v>
      </c>
      <c r="O143" s="49">
        <v>9081.52</v>
      </c>
      <c r="P143" s="96">
        <v>2625.64</v>
      </c>
      <c r="Q143" s="11">
        <v>2724.46</v>
      </c>
      <c r="R143" s="12">
        <v>98.82</v>
      </c>
      <c r="S143" s="71">
        <v>46389</v>
      </c>
      <c r="T143" s="10"/>
      <c r="U143" s="97"/>
      <c r="V143" s="1"/>
      <c r="X143" s="101">
        <v>2</v>
      </c>
    </row>
    <row r="144" spans="2:24" hidden="1">
      <c r="B144" s="23">
        <v>46088.413194444445</v>
      </c>
      <c r="C144" s="23">
        <v>46206.414583333331</v>
      </c>
      <c r="D144" s="6" t="s">
        <v>24</v>
      </c>
      <c r="E144" s="6"/>
      <c r="F144" s="27">
        <v>46206</v>
      </c>
      <c r="G144" s="27">
        <v>46060</v>
      </c>
      <c r="H144" s="6" t="s">
        <v>93</v>
      </c>
      <c r="I144" s="6" t="s">
        <v>333</v>
      </c>
      <c r="J144" s="196"/>
      <c r="K144" s="183" t="s">
        <v>334</v>
      </c>
      <c r="L144" s="108">
        <v>22247306</v>
      </c>
      <c r="M144" s="33">
        <v>6144861163</v>
      </c>
      <c r="N144" s="169" t="s">
        <v>37</v>
      </c>
      <c r="O144" s="48">
        <v>26845.119999999999</v>
      </c>
      <c r="P144" s="95">
        <v>7839.83</v>
      </c>
      <c r="Q144" s="8">
        <v>8053.54</v>
      </c>
      <c r="R144" s="13">
        <v>213.71</v>
      </c>
      <c r="S144" s="70">
        <v>46758</v>
      </c>
      <c r="T144" s="6"/>
      <c r="U144" s="164"/>
      <c r="V144" s="1"/>
      <c r="X144" s="101">
        <v>2</v>
      </c>
    </row>
    <row r="145" spans="2:24" hidden="1">
      <c r="B145" s="24">
        <v>46088.413194444445</v>
      </c>
      <c r="C145" s="24">
        <v>46206.414583333331</v>
      </c>
      <c r="D145" s="10" t="s">
        <v>24</v>
      </c>
      <c r="E145" s="10"/>
      <c r="F145" s="27">
        <v>46206</v>
      </c>
      <c r="G145" s="28">
        <v>46060</v>
      </c>
      <c r="H145" s="161" t="s">
        <v>170</v>
      </c>
      <c r="I145" s="10" t="s">
        <v>335</v>
      </c>
      <c r="J145" s="195"/>
      <c r="K145" s="181" t="s">
        <v>336</v>
      </c>
      <c r="L145" s="108">
        <v>22247348</v>
      </c>
      <c r="M145" s="32">
        <v>5212204891623</v>
      </c>
      <c r="N145" s="170" t="s">
        <v>47</v>
      </c>
      <c r="O145" s="47">
        <v>6257.23</v>
      </c>
      <c r="P145" s="94">
        <v>848</v>
      </c>
      <c r="Q145" s="11">
        <v>1877.17</v>
      </c>
      <c r="R145" s="16">
        <v>1029.17</v>
      </c>
      <c r="S145" s="71"/>
      <c r="T145" s="10"/>
      <c r="U145" s="97"/>
      <c r="V145" s="1"/>
      <c r="X145" s="101">
        <v>1</v>
      </c>
    </row>
    <row r="146" spans="2:24" hidden="1">
      <c r="B146" s="23">
        <v>46088.414583333331</v>
      </c>
      <c r="C146" s="23">
        <v>46206.415972222225</v>
      </c>
      <c r="D146" s="6" t="s">
        <v>24</v>
      </c>
      <c r="E146" s="6"/>
      <c r="F146" s="27">
        <v>46206</v>
      </c>
      <c r="G146" s="27">
        <v>46060</v>
      </c>
      <c r="H146" s="160" t="s">
        <v>107</v>
      </c>
      <c r="I146" s="6" t="s">
        <v>337</v>
      </c>
      <c r="J146" s="196"/>
      <c r="K146" s="180" t="s">
        <v>338</v>
      </c>
      <c r="L146" s="107">
        <v>22228666</v>
      </c>
      <c r="M146" s="31">
        <v>5212311216916</v>
      </c>
      <c r="N146" s="169" t="s">
        <v>106</v>
      </c>
      <c r="O146" s="48">
        <v>6404.45</v>
      </c>
      <c r="P146" s="95">
        <v>1778</v>
      </c>
      <c r="Q146" s="8">
        <v>1921.34</v>
      </c>
      <c r="R146" s="13">
        <v>143.34</v>
      </c>
      <c r="S146" s="70">
        <v>46029</v>
      </c>
      <c r="T146" s="6"/>
      <c r="U146" s="164"/>
      <c r="V146" s="1"/>
      <c r="X146" s="101">
        <v>2</v>
      </c>
    </row>
    <row r="147" spans="2:24" hidden="1">
      <c r="B147" s="24">
        <v>46088.414583333331</v>
      </c>
      <c r="C147" s="24">
        <v>46206.415972222225</v>
      </c>
      <c r="D147" s="10" t="s">
        <v>24</v>
      </c>
      <c r="E147" s="10"/>
      <c r="F147" s="27">
        <v>46206</v>
      </c>
      <c r="G147" s="28">
        <v>46060</v>
      </c>
      <c r="H147" s="10" t="s">
        <v>78</v>
      </c>
      <c r="I147" s="10" t="s">
        <v>339</v>
      </c>
      <c r="J147" s="195">
        <v>49876201242</v>
      </c>
      <c r="K147" s="181" t="s">
        <v>340</v>
      </c>
      <c r="L147" s="108">
        <v>22249824</v>
      </c>
      <c r="M147" s="32">
        <v>5218341226737</v>
      </c>
      <c r="N147" s="170" t="s">
        <v>106</v>
      </c>
      <c r="O147" s="49">
        <v>7128.48</v>
      </c>
      <c r="P147" s="96">
        <v>2045.18</v>
      </c>
      <c r="Q147" s="11">
        <v>2138.54</v>
      </c>
      <c r="R147" s="12">
        <v>93.36</v>
      </c>
      <c r="S147" s="71">
        <v>46029</v>
      </c>
      <c r="T147" s="10"/>
      <c r="U147" s="97"/>
      <c r="V147" s="1"/>
      <c r="X147" s="101">
        <v>2</v>
      </c>
    </row>
    <row r="148" spans="2:24" hidden="1">
      <c r="B148" s="23">
        <v>46088.416666666664</v>
      </c>
      <c r="C148" s="23">
        <v>46206.419444444444</v>
      </c>
      <c r="D148" s="6" t="s">
        <v>24</v>
      </c>
      <c r="E148" s="6"/>
      <c r="F148" s="27">
        <v>46206</v>
      </c>
      <c r="G148" s="27">
        <v>46060</v>
      </c>
      <c r="H148" s="6" t="s">
        <v>34</v>
      </c>
      <c r="I148" s="6" t="s">
        <v>341</v>
      </c>
      <c r="J148" s="196">
        <v>43775732020</v>
      </c>
      <c r="K148" s="180" t="s">
        <v>342</v>
      </c>
      <c r="L148" s="107">
        <v>22251650</v>
      </c>
      <c r="M148" s="31">
        <v>5218184027086</v>
      </c>
      <c r="N148" s="169" t="s">
        <v>98</v>
      </c>
      <c r="O148" s="46"/>
      <c r="P148" s="93"/>
      <c r="Q148" s="8">
        <v>0</v>
      </c>
      <c r="R148" s="13">
        <v>0</v>
      </c>
      <c r="S148" s="70"/>
      <c r="T148" s="6"/>
      <c r="U148" s="164"/>
      <c r="V148" s="1"/>
      <c r="X148" s="101">
        <v>0</v>
      </c>
    </row>
    <row r="149" spans="2:24" hidden="1">
      <c r="B149" s="24">
        <v>46088.42083333333</v>
      </c>
      <c r="C149" s="24">
        <v>46206.42291666667</v>
      </c>
      <c r="D149" s="10" t="s">
        <v>24</v>
      </c>
      <c r="E149" s="10"/>
      <c r="F149" s="27">
        <v>46206</v>
      </c>
      <c r="G149" s="28">
        <v>46060</v>
      </c>
      <c r="H149" s="10" t="s">
        <v>68</v>
      </c>
      <c r="I149" s="10" t="s">
        <v>343</v>
      </c>
      <c r="J149" s="195">
        <v>24775809635</v>
      </c>
      <c r="K149" s="181" t="s">
        <v>344</v>
      </c>
      <c r="L149" s="108">
        <v>22251940</v>
      </c>
      <c r="M149" s="32">
        <v>5216145373538</v>
      </c>
      <c r="N149" s="170" t="s">
        <v>106</v>
      </c>
      <c r="O149" s="49">
        <v>9504.7000000000007</v>
      </c>
      <c r="P149" s="96">
        <v>2482.13</v>
      </c>
      <c r="Q149" s="11">
        <v>2851.41</v>
      </c>
      <c r="R149" s="16">
        <v>369.28</v>
      </c>
      <c r="S149" s="71">
        <v>46028</v>
      </c>
      <c r="T149" s="10"/>
      <c r="U149" s="97"/>
      <c r="V149" s="1"/>
      <c r="X149" s="101">
        <v>2</v>
      </c>
    </row>
    <row r="150" spans="2:24" hidden="1">
      <c r="B150" s="23">
        <v>46060.713194444441</v>
      </c>
      <c r="C150" s="23">
        <v>46206.427083333336</v>
      </c>
      <c r="D150" s="6" t="s">
        <v>24</v>
      </c>
      <c r="E150" s="6"/>
      <c r="F150" s="27">
        <v>46206</v>
      </c>
      <c r="G150" s="27">
        <v>46060</v>
      </c>
      <c r="H150" s="6" t="s">
        <v>51</v>
      </c>
      <c r="I150" s="6" t="s">
        <v>345</v>
      </c>
      <c r="J150" s="196">
        <v>12987617722</v>
      </c>
      <c r="K150" s="180" t="s">
        <v>346</v>
      </c>
      <c r="L150" s="107">
        <v>22253780</v>
      </c>
      <c r="M150" s="31">
        <v>5214775564858</v>
      </c>
      <c r="N150" s="169" t="s">
        <v>32</v>
      </c>
      <c r="O150" s="46">
        <v>3756.18</v>
      </c>
      <c r="P150" s="93"/>
      <c r="Q150" s="8">
        <v>1126.8499999999999</v>
      </c>
      <c r="R150" s="13">
        <v>0</v>
      </c>
      <c r="S150" s="70"/>
      <c r="T150" s="6"/>
      <c r="U150" s="164"/>
      <c r="V150" s="1"/>
      <c r="X150" s="101">
        <v>1</v>
      </c>
    </row>
    <row r="151" spans="2:24" hidden="1">
      <c r="B151" s="24">
        <v>46088.42291666667</v>
      </c>
      <c r="C151" s="24">
        <v>46206.428472222222</v>
      </c>
      <c r="D151" s="10" t="s">
        <v>24</v>
      </c>
      <c r="E151" s="10"/>
      <c r="F151" s="27">
        <v>46206</v>
      </c>
      <c r="G151" s="28" t="s">
        <v>347</v>
      </c>
      <c r="H151" s="10" t="s">
        <v>145</v>
      </c>
      <c r="I151" s="10" t="s">
        <v>348</v>
      </c>
      <c r="J151" s="195">
        <v>43826586166</v>
      </c>
      <c r="K151" s="181" t="s">
        <v>349</v>
      </c>
      <c r="L151" s="108">
        <v>21908108</v>
      </c>
      <c r="M151" s="32">
        <v>8135766668</v>
      </c>
      <c r="N151" s="170" t="s">
        <v>28</v>
      </c>
      <c r="O151" s="47">
        <v>9760.32</v>
      </c>
      <c r="P151" s="94">
        <v>879</v>
      </c>
      <c r="Q151" s="11">
        <v>2928.1</v>
      </c>
      <c r="R151" s="14">
        <v>2049.1</v>
      </c>
      <c r="S151" s="71"/>
      <c r="T151" s="10"/>
      <c r="U151" s="97"/>
      <c r="V151" s="1"/>
      <c r="X151" s="101">
        <v>1</v>
      </c>
    </row>
    <row r="152" spans="2:24" hidden="1">
      <c r="B152" s="23">
        <v>46088.411111111112</v>
      </c>
      <c r="C152" s="23">
        <v>46206.4375</v>
      </c>
      <c r="D152" s="6" t="s">
        <v>24</v>
      </c>
      <c r="E152" s="6"/>
      <c r="F152" s="27">
        <v>46206</v>
      </c>
      <c r="G152" s="27">
        <v>46060</v>
      </c>
      <c r="H152" s="6" t="s">
        <v>39</v>
      </c>
      <c r="I152" s="6" t="s">
        <v>350</v>
      </c>
      <c r="J152" s="196">
        <v>64836014189</v>
      </c>
      <c r="K152" s="180" t="s">
        <v>351</v>
      </c>
      <c r="L152" s="108">
        <v>22249638</v>
      </c>
      <c r="M152" s="31">
        <v>5215534140934</v>
      </c>
      <c r="N152" s="169" t="s">
        <v>37</v>
      </c>
      <c r="O152" s="48">
        <v>11920.53</v>
      </c>
      <c r="P152" s="95">
        <v>3438.43</v>
      </c>
      <c r="Q152" s="8">
        <v>3576.16</v>
      </c>
      <c r="R152" s="13">
        <v>137.72999999999999</v>
      </c>
      <c r="S152" s="70">
        <v>46390</v>
      </c>
      <c r="T152" s="6"/>
      <c r="U152" s="164"/>
      <c r="V152" s="1"/>
      <c r="X152" s="101">
        <v>2</v>
      </c>
    </row>
    <row r="153" spans="2:24" hidden="1">
      <c r="B153" s="24">
        <v>46088.34097222222</v>
      </c>
      <c r="C153" s="24">
        <v>46206.438888888886</v>
      </c>
      <c r="D153" s="10" t="s">
        <v>24</v>
      </c>
      <c r="E153" s="10"/>
      <c r="F153" s="27">
        <v>46206</v>
      </c>
      <c r="G153" s="28" t="s">
        <v>352</v>
      </c>
      <c r="H153" s="15" t="s">
        <v>26</v>
      </c>
      <c r="I153" s="10" t="s">
        <v>353</v>
      </c>
      <c r="J153" s="195">
        <v>16936408646</v>
      </c>
      <c r="K153" s="181"/>
      <c r="L153" s="108">
        <v>22056388</v>
      </c>
      <c r="M153" s="32">
        <v>5217194020022</v>
      </c>
      <c r="N153" s="170" t="s">
        <v>37</v>
      </c>
      <c r="O153" s="49">
        <v>9081.52</v>
      </c>
      <c r="P153" s="96">
        <v>2724</v>
      </c>
      <c r="Q153" s="11">
        <v>2724.46</v>
      </c>
      <c r="R153" s="12">
        <v>0.46</v>
      </c>
      <c r="S153" s="71">
        <v>46296</v>
      </c>
      <c r="T153" s="10"/>
      <c r="U153" s="97"/>
      <c r="V153" s="1"/>
      <c r="X153" s="101">
        <v>2</v>
      </c>
    </row>
    <row r="154" spans="2:24" hidden="1">
      <c r="B154" s="23">
        <v>46088.442361111112</v>
      </c>
      <c r="C154" s="23">
        <v>46206.443055555559</v>
      </c>
      <c r="D154" s="6" t="s">
        <v>24</v>
      </c>
      <c r="E154" s="6"/>
      <c r="F154" s="27">
        <v>46206</v>
      </c>
      <c r="G154" s="27" t="s">
        <v>25</v>
      </c>
      <c r="H154" s="6" t="s">
        <v>145</v>
      </c>
      <c r="I154" s="6" t="s">
        <v>354</v>
      </c>
      <c r="J154" s="197">
        <v>12846219975</v>
      </c>
      <c r="K154" s="183" t="s">
        <v>355</v>
      </c>
      <c r="L154" s="108">
        <v>22076072</v>
      </c>
      <c r="M154" s="31">
        <v>5214779183713</v>
      </c>
      <c r="N154" s="169" t="s">
        <v>37</v>
      </c>
      <c r="O154" s="48">
        <v>7920.51</v>
      </c>
      <c r="P154" s="95">
        <v>2376.11</v>
      </c>
      <c r="Q154" s="8">
        <v>2376.15</v>
      </c>
      <c r="R154" s="13">
        <v>0.04</v>
      </c>
      <c r="S154" s="70">
        <v>46397</v>
      </c>
      <c r="T154" s="6"/>
      <c r="U154" s="164"/>
      <c r="V154" s="1"/>
      <c r="X154" s="101">
        <v>2</v>
      </c>
    </row>
    <row r="155" spans="2:24" hidden="1">
      <c r="B155" s="24">
        <v>46088.427083333336</v>
      </c>
      <c r="C155" s="24">
        <v>46206.446527777778</v>
      </c>
      <c r="D155" s="10" t="s">
        <v>24</v>
      </c>
      <c r="E155" s="10"/>
      <c r="F155" s="27">
        <v>46206</v>
      </c>
      <c r="G155" s="28">
        <v>46088</v>
      </c>
      <c r="H155" s="10" t="s">
        <v>51</v>
      </c>
      <c r="I155" s="10" t="s">
        <v>356</v>
      </c>
      <c r="J155" s="195">
        <v>12816406495</v>
      </c>
      <c r="K155" s="181" t="s">
        <v>357</v>
      </c>
      <c r="L155" s="108">
        <v>22260460</v>
      </c>
      <c r="M155" s="32">
        <v>5214281274299</v>
      </c>
      <c r="N155" s="170" t="s">
        <v>37</v>
      </c>
      <c r="O155" s="49">
        <v>10171.24</v>
      </c>
      <c r="P155" s="96">
        <v>2851.84</v>
      </c>
      <c r="Q155" s="11">
        <v>3051.37</v>
      </c>
      <c r="R155" s="12">
        <v>199.53</v>
      </c>
      <c r="S155" s="71">
        <v>46393</v>
      </c>
      <c r="T155" s="10"/>
      <c r="U155" s="97"/>
      <c r="V155" s="1"/>
      <c r="X155" s="101">
        <v>2</v>
      </c>
    </row>
    <row r="156" spans="2:24" hidden="1">
      <c r="B156" s="23">
        <v>46088.42291666667</v>
      </c>
      <c r="C156" s="23">
        <v>46206.447222222225</v>
      </c>
      <c r="D156" s="6" t="s">
        <v>24</v>
      </c>
      <c r="E156" s="6"/>
      <c r="F156" s="27">
        <v>46206</v>
      </c>
      <c r="G156" s="27">
        <v>46060</v>
      </c>
      <c r="H156" s="6" t="s">
        <v>68</v>
      </c>
      <c r="I156" s="6" t="s">
        <v>358</v>
      </c>
      <c r="J156" s="196">
        <v>33836576224</v>
      </c>
      <c r="K156" s="180" t="s">
        <v>359</v>
      </c>
      <c r="L156" s="108">
        <v>22255644</v>
      </c>
      <c r="M156" s="31">
        <v>5216143939501</v>
      </c>
      <c r="N156" s="169" t="s">
        <v>37</v>
      </c>
      <c r="O156" s="48">
        <v>9760.32</v>
      </c>
      <c r="P156" s="95">
        <v>2823.78</v>
      </c>
      <c r="Q156" s="8">
        <v>2928.1</v>
      </c>
      <c r="R156" s="13">
        <v>104.32</v>
      </c>
      <c r="S156" s="70">
        <v>46395</v>
      </c>
      <c r="T156" s="6"/>
      <c r="U156" s="164"/>
      <c r="V156" s="1"/>
      <c r="X156" s="101">
        <v>2</v>
      </c>
    </row>
    <row r="157" spans="2:24" hidden="1">
      <c r="B157" s="24">
        <v>46088.374305555553</v>
      </c>
      <c r="C157" s="24">
        <v>46206.447916666664</v>
      </c>
      <c r="D157" s="10" t="s">
        <v>24</v>
      </c>
      <c r="E157" s="10"/>
      <c r="F157" s="27">
        <v>46206</v>
      </c>
      <c r="G157" s="28">
        <v>46088</v>
      </c>
      <c r="H157" s="10" t="s">
        <v>124</v>
      </c>
      <c r="I157" s="10" t="s">
        <v>360</v>
      </c>
      <c r="J157" s="195">
        <v>32846711904</v>
      </c>
      <c r="K157" s="181" t="s">
        <v>361</v>
      </c>
      <c r="L157" s="108">
        <v>22263666</v>
      </c>
      <c r="M157" s="32">
        <v>5218714981858</v>
      </c>
      <c r="N157" s="170" t="s">
        <v>37</v>
      </c>
      <c r="O157" s="47">
        <v>8173.37</v>
      </c>
      <c r="P157" s="94">
        <v>2255.9299999999998</v>
      </c>
      <c r="Q157" s="11">
        <v>2452.0100000000002</v>
      </c>
      <c r="R157" s="12">
        <v>196.08</v>
      </c>
      <c r="S157" s="71">
        <v>46388</v>
      </c>
      <c r="T157" s="10" t="s">
        <v>362</v>
      </c>
      <c r="U157" s="97"/>
      <c r="V157" s="1"/>
      <c r="X157" s="101">
        <v>2</v>
      </c>
    </row>
    <row r="158" spans="2:24" hidden="1">
      <c r="B158" s="23">
        <v>46088.440972222219</v>
      </c>
      <c r="C158" s="23">
        <v>46206.448611111111</v>
      </c>
      <c r="D158" s="6" t="s">
        <v>24</v>
      </c>
      <c r="E158" s="6"/>
      <c r="F158" s="27">
        <v>46206</v>
      </c>
      <c r="G158" s="27">
        <v>46088</v>
      </c>
      <c r="H158" s="6" t="s">
        <v>127</v>
      </c>
      <c r="I158" s="6" t="s">
        <v>363</v>
      </c>
      <c r="J158" s="196">
        <v>63866101387</v>
      </c>
      <c r="K158" s="180" t="s">
        <v>364</v>
      </c>
      <c r="L158" s="108">
        <v>22267652</v>
      </c>
      <c r="M158" s="31">
        <v>5215584279775</v>
      </c>
      <c r="N158" s="169" t="s">
        <v>37</v>
      </c>
      <c r="O158" s="48">
        <v>6262.86</v>
      </c>
      <c r="P158" s="95">
        <v>1811.99</v>
      </c>
      <c r="Q158" s="8">
        <v>1878.86</v>
      </c>
      <c r="R158" s="13">
        <v>66.87</v>
      </c>
      <c r="S158" s="70">
        <v>46388</v>
      </c>
      <c r="T158" s="6"/>
      <c r="U158" s="164"/>
      <c r="V158" s="1"/>
      <c r="X158" s="101">
        <v>2</v>
      </c>
    </row>
    <row r="159" spans="2:24" hidden="1">
      <c r="B159" s="24">
        <v>46088.429166666669</v>
      </c>
      <c r="C159" s="24">
        <v>46206.458333333336</v>
      </c>
      <c r="D159" s="10" t="s">
        <v>24</v>
      </c>
      <c r="E159" s="10"/>
      <c r="F159" s="27">
        <v>46206</v>
      </c>
      <c r="G159" s="28">
        <v>46088</v>
      </c>
      <c r="H159" s="10" t="s">
        <v>160</v>
      </c>
      <c r="I159" s="10" t="s">
        <v>365</v>
      </c>
      <c r="J159" s="195">
        <v>32816384310</v>
      </c>
      <c r="K159" s="181" t="s">
        <v>366</v>
      </c>
      <c r="L159" s="108">
        <v>22267094</v>
      </c>
      <c r="M159" s="32">
        <v>5218182104800</v>
      </c>
      <c r="N159" s="170" t="s">
        <v>263</v>
      </c>
      <c r="O159" s="49">
        <v>7920.51</v>
      </c>
      <c r="P159" s="96">
        <v>2183.66</v>
      </c>
      <c r="Q159" s="11">
        <v>2376.15</v>
      </c>
      <c r="R159" s="12">
        <v>192.49</v>
      </c>
      <c r="S159" s="71">
        <v>46027</v>
      </c>
      <c r="T159" s="10" t="s">
        <v>192</v>
      </c>
      <c r="U159" s="97"/>
      <c r="V159" s="1"/>
      <c r="X159" s="101">
        <v>2</v>
      </c>
    </row>
    <row r="160" spans="2:24" hidden="1">
      <c r="B160" s="23">
        <v>46088.463194444441</v>
      </c>
      <c r="C160" s="23">
        <v>46206.46597222222</v>
      </c>
      <c r="D160" s="6" t="s">
        <v>24</v>
      </c>
      <c r="E160" s="6"/>
      <c r="F160" s="27">
        <v>46206</v>
      </c>
      <c r="G160" s="27">
        <v>46060</v>
      </c>
      <c r="H160" s="6" t="s">
        <v>127</v>
      </c>
      <c r="I160" s="6" t="s">
        <v>367</v>
      </c>
      <c r="J160" s="196">
        <v>53856566310</v>
      </c>
      <c r="K160" s="180" t="s">
        <v>368</v>
      </c>
      <c r="L160" s="107">
        <v>22256036</v>
      </c>
      <c r="M160" s="31">
        <v>5218130521398</v>
      </c>
      <c r="N160" s="169" t="s">
        <v>98</v>
      </c>
      <c r="O160" s="46"/>
      <c r="P160" s="93"/>
      <c r="Q160" s="8">
        <v>0</v>
      </c>
      <c r="R160" s="13">
        <v>0</v>
      </c>
      <c r="S160" s="70"/>
      <c r="T160" s="6"/>
      <c r="U160" s="164"/>
      <c r="V160" s="1"/>
      <c r="X160" s="101">
        <v>0</v>
      </c>
    </row>
    <row r="161" spans="2:24" hidden="1">
      <c r="B161" s="24">
        <v>46088.371527777781</v>
      </c>
      <c r="C161" s="24">
        <v>46206.466666666667</v>
      </c>
      <c r="D161" s="10" t="s">
        <v>24</v>
      </c>
      <c r="E161" s="10"/>
      <c r="F161" s="27">
        <v>46206</v>
      </c>
      <c r="G161" s="28">
        <v>46088</v>
      </c>
      <c r="H161" s="10" t="s">
        <v>54</v>
      </c>
      <c r="I161" s="10" t="s">
        <v>369</v>
      </c>
      <c r="J161" s="195">
        <v>72836412246</v>
      </c>
      <c r="K161" s="181" t="s">
        <v>370</v>
      </c>
      <c r="L161" s="108">
        <v>22267712</v>
      </c>
      <c r="M161" s="32">
        <v>5217531197144</v>
      </c>
      <c r="N161" s="170" t="s">
        <v>37</v>
      </c>
      <c r="O161" s="49">
        <v>9760.32</v>
      </c>
      <c r="P161" s="96">
        <v>2928.1</v>
      </c>
      <c r="Q161" s="11">
        <v>2928.1</v>
      </c>
      <c r="R161" s="12">
        <v>0</v>
      </c>
      <c r="S161" s="71">
        <v>46757</v>
      </c>
      <c r="T161" s="10" t="s">
        <v>192</v>
      </c>
      <c r="U161" s="97"/>
      <c r="V161" s="1"/>
      <c r="X161" s="101">
        <v>2</v>
      </c>
    </row>
    <row r="162" spans="2:24" hidden="1">
      <c r="B162" s="23">
        <v>46088.444444444445</v>
      </c>
      <c r="C162" s="23">
        <v>46206.473611111112</v>
      </c>
      <c r="D162" s="6" t="s">
        <v>24</v>
      </c>
      <c r="E162" s="6"/>
      <c r="F162" s="27">
        <v>46206</v>
      </c>
      <c r="G162" s="27">
        <v>46088</v>
      </c>
      <c r="H162" s="6" t="s">
        <v>42</v>
      </c>
      <c r="I162" s="6" t="s">
        <v>371</v>
      </c>
      <c r="J162" s="196">
        <v>13735603915</v>
      </c>
      <c r="K162" s="180" t="s">
        <v>372</v>
      </c>
      <c r="L162" s="108">
        <v>22267692</v>
      </c>
      <c r="M162" s="31">
        <v>22267692</v>
      </c>
      <c r="N162" s="169" t="s">
        <v>37</v>
      </c>
      <c r="O162" s="48">
        <v>4938.41</v>
      </c>
      <c r="P162" s="95">
        <v>706.91</v>
      </c>
      <c r="Q162" s="8">
        <v>1481.52</v>
      </c>
      <c r="R162" s="13">
        <v>58.52</v>
      </c>
      <c r="S162" s="70">
        <v>46327</v>
      </c>
      <c r="T162" s="6"/>
      <c r="U162" s="164"/>
      <c r="V162" s="1"/>
      <c r="X162" s="101">
        <v>2</v>
      </c>
    </row>
    <row r="163" spans="2:24" hidden="1">
      <c r="B163" s="24">
        <v>46088.468055555553</v>
      </c>
      <c r="C163" s="24">
        <v>46206.474305555559</v>
      </c>
      <c r="D163" s="10" t="s">
        <v>24</v>
      </c>
      <c r="E163" s="10"/>
      <c r="F163" s="27">
        <v>46206</v>
      </c>
      <c r="G163" s="28">
        <v>46088</v>
      </c>
      <c r="H163" s="10" t="s">
        <v>42</v>
      </c>
      <c r="I163" s="10" t="s">
        <v>373</v>
      </c>
      <c r="J163" s="195">
        <v>65917250750</v>
      </c>
      <c r="K163" s="181" t="s">
        <v>374</v>
      </c>
      <c r="L163" s="108">
        <v>22252962</v>
      </c>
      <c r="M163" s="32">
        <v>5219992611937</v>
      </c>
      <c r="N163" s="170" t="s">
        <v>37</v>
      </c>
      <c r="O163" s="49">
        <v>4770.87</v>
      </c>
      <c r="P163" s="96">
        <v>979.06</v>
      </c>
      <c r="Q163" s="11">
        <v>1431.26</v>
      </c>
      <c r="R163" s="12">
        <v>-381.17</v>
      </c>
      <c r="S163" s="71">
        <v>46392</v>
      </c>
      <c r="T163" s="10"/>
      <c r="U163" s="97"/>
      <c r="V163" s="1"/>
      <c r="X163" s="101">
        <v>2</v>
      </c>
    </row>
    <row r="164" spans="2:24" hidden="1">
      <c r="B164" s="23">
        <v>46088.447916666664</v>
      </c>
      <c r="C164" s="23">
        <v>46206.486805555556</v>
      </c>
      <c r="D164" s="6" t="s">
        <v>24</v>
      </c>
      <c r="E164" s="6"/>
      <c r="F164" s="27">
        <v>46206</v>
      </c>
      <c r="G164" s="27">
        <v>46088</v>
      </c>
      <c r="H164" s="10" t="s">
        <v>124</v>
      </c>
      <c r="I164" s="6" t="s">
        <v>375</v>
      </c>
      <c r="J164" s="196">
        <v>92887056593</v>
      </c>
      <c r="K164" s="180" t="s">
        <v>376</v>
      </c>
      <c r="L164" s="107">
        <v>22268572</v>
      </c>
      <c r="M164" s="31">
        <v>5216243151388</v>
      </c>
      <c r="N164" s="169" t="s">
        <v>263</v>
      </c>
      <c r="O164" s="48">
        <v>5950.2</v>
      </c>
      <c r="P164" s="95">
        <v>1644.73</v>
      </c>
      <c r="Q164" s="8">
        <v>1785.06</v>
      </c>
      <c r="R164" s="13">
        <v>132.49</v>
      </c>
      <c r="S164" s="70">
        <v>46028</v>
      </c>
      <c r="T164" s="6"/>
      <c r="U164" s="164"/>
      <c r="V164" s="1"/>
      <c r="X164" s="101">
        <v>2</v>
      </c>
    </row>
    <row r="165" spans="2:24" hidden="1">
      <c r="B165" s="24">
        <v>46088.487500000003</v>
      </c>
      <c r="C165" s="24">
        <v>46206.489583333336</v>
      </c>
      <c r="D165" s="10" t="s">
        <v>24</v>
      </c>
      <c r="E165" s="10"/>
      <c r="F165" s="27">
        <v>46206</v>
      </c>
      <c r="G165" s="28">
        <v>46088</v>
      </c>
      <c r="H165" s="10" t="s">
        <v>90</v>
      </c>
      <c r="I165" s="10" t="s">
        <v>377</v>
      </c>
      <c r="J165" s="195">
        <v>11886409967</v>
      </c>
      <c r="K165" s="181" t="s">
        <v>378</v>
      </c>
      <c r="L165" s="111">
        <v>1</v>
      </c>
      <c r="M165" s="32">
        <v>5520414265</v>
      </c>
      <c r="N165" s="170" t="s">
        <v>28</v>
      </c>
      <c r="O165" s="49">
        <v>9081.52</v>
      </c>
      <c r="P165" s="96"/>
      <c r="Q165" s="11">
        <v>2724.46</v>
      </c>
      <c r="R165" s="14">
        <v>2724.46</v>
      </c>
      <c r="S165" s="71"/>
      <c r="T165" s="10"/>
      <c r="U165" s="97"/>
      <c r="V165" s="1"/>
      <c r="X165" s="101">
        <v>1</v>
      </c>
    </row>
    <row r="166" spans="2:24" hidden="1">
      <c r="B166" s="23">
        <v>46088.486805555556</v>
      </c>
      <c r="C166" s="23">
        <v>46206.490277777775</v>
      </c>
      <c r="D166" s="6" t="s">
        <v>24</v>
      </c>
      <c r="E166" s="6"/>
      <c r="F166" s="27">
        <v>46206</v>
      </c>
      <c r="G166" s="27">
        <v>46088</v>
      </c>
      <c r="H166" s="10" t="s">
        <v>124</v>
      </c>
      <c r="I166" s="6" t="s">
        <v>379</v>
      </c>
      <c r="J166" s="196"/>
      <c r="K166" s="180" t="s">
        <v>380</v>
      </c>
      <c r="L166" s="107">
        <v>22269098</v>
      </c>
      <c r="M166" s="31">
        <v>5212224735440</v>
      </c>
      <c r="N166" s="169" t="s">
        <v>47</v>
      </c>
      <c r="O166" s="48">
        <v>35696.699999999997</v>
      </c>
      <c r="P166" s="95">
        <v>9905.56</v>
      </c>
      <c r="Q166" s="8">
        <v>10709.01</v>
      </c>
      <c r="R166" s="22">
        <v>803.45</v>
      </c>
      <c r="S166" s="70">
        <v>46031</v>
      </c>
      <c r="T166" s="6"/>
      <c r="U166" s="164"/>
      <c r="V166" s="1"/>
      <c r="X166" s="101">
        <v>2</v>
      </c>
    </row>
    <row r="167" spans="2:24" hidden="1">
      <c r="B167" s="24">
        <v>46088.489583333336</v>
      </c>
      <c r="C167" s="24">
        <v>46206.490277777775</v>
      </c>
      <c r="D167" s="10" t="s">
        <v>24</v>
      </c>
      <c r="E167" s="10"/>
      <c r="F167" s="27">
        <v>46206</v>
      </c>
      <c r="G167" s="28">
        <v>46088</v>
      </c>
      <c r="H167" s="10" t="s">
        <v>160</v>
      </c>
      <c r="I167" s="10" t="s">
        <v>381</v>
      </c>
      <c r="J167" s="198">
        <v>43806282356</v>
      </c>
      <c r="K167" s="179" t="s">
        <v>382</v>
      </c>
      <c r="L167" s="108">
        <v>22269354</v>
      </c>
      <c r="M167" s="32">
        <v>5218126115196</v>
      </c>
      <c r="N167" s="170" t="s">
        <v>37</v>
      </c>
      <c r="O167" s="47">
        <v>12811.78</v>
      </c>
      <c r="P167" s="94">
        <v>3843.37</v>
      </c>
      <c r="Q167" s="11">
        <v>3843.53</v>
      </c>
      <c r="R167" s="12">
        <v>0.16</v>
      </c>
      <c r="S167" s="71">
        <v>46392</v>
      </c>
      <c r="T167" s="10"/>
      <c r="U167" s="97"/>
      <c r="V167" s="1"/>
      <c r="X167" s="101">
        <v>2</v>
      </c>
    </row>
    <row r="168" spans="2:24" hidden="1">
      <c r="B168" s="23">
        <v>46088.488194444442</v>
      </c>
      <c r="C168" s="23">
        <v>46206.495138888888</v>
      </c>
      <c r="D168" s="6" t="s">
        <v>24</v>
      </c>
      <c r="E168" s="6"/>
      <c r="F168" s="27">
        <v>46206</v>
      </c>
      <c r="G168" s="27" t="s">
        <v>295</v>
      </c>
      <c r="H168" s="10" t="s">
        <v>145</v>
      </c>
      <c r="I168" s="6" t="s">
        <v>383</v>
      </c>
      <c r="J168" s="196"/>
      <c r="K168" s="180" t="s">
        <v>384</v>
      </c>
      <c r="L168" s="107">
        <v>22009942</v>
      </c>
      <c r="M168" s="31">
        <v>5218717354065</v>
      </c>
      <c r="N168" s="169" t="s">
        <v>263</v>
      </c>
      <c r="O168" s="48">
        <v>5617.63</v>
      </c>
      <c r="P168" s="95">
        <v>1237.42</v>
      </c>
      <c r="Q168" s="8">
        <v>1685.29</v>
      </c>
      <c r="R168" s="13">
        <v>207.23</v>
      </c>
      <c r="S168" s="70">
        <v>45661</v>
      </c>
      <c r="T168" s="6"/>
      <c r="U168" s="164"/>
      <c r="V168" s="1"/>
      <c r="X168" s="101">
        <v>2</v>
      </c>
    </row>
    <row r="169" spans="2:24" hidden="1">
      <c r="B169" s="24">
        <v>46088.446527777778</v>
      </c>
      <c r="C169" s="24">
        <v>46206.497916666667</v>
      </c>
      <c r="D169" s="10" t="s">
        <v>24</v>
      </c>
      <c r="E169" s="10"/>
      <c r="F169" s="27">
        <v>46206</v>
      </c>
      <c r="G169" s="28">
        <v>46060</v>
      </c>
      <c r="H169" s="10" t="s">
        <v>51</v>
      </c>
      <c r="I169" s="10" t="s">
        <v>385</v>
      </c>
      <c r="J169" s="195">
        <v>62836523290</v>
      </c>
      <c r="K169" s="181" t="s">
        <v>386</v>
      </c>
      <c r="L169" s="108">
        <v>22246374</v>
      </c>
      <c r="M169" s="32">
        <v>5212212836013</v>
      </c>
      <c r="N169" s="170" t="s">
        <v>37</v>
      </c>
      <c r="O169" s="47">
        <v>9760.32</v>
      </c>
      <c r="P169" s="94">
        <v>2820.29</v>
      </c>
      <c r="Q169" s="11">
        <v>2928.1</v>
      </c>
      <c r="R169" s="12">
        <v>107.81</v>
      </c>
      <c r="S169" s="71">
        <v>46399</v>
      </c>
      <c r="T169" s="10" t="s">
        <v>192</v>
      </c>
      <c r="U169" s="97"/>
      <c r="V169" s="1"/>
      <c r="X169" s="101">
        <v>2</v>
      </c>
    </row>
    <row r="170" spans="2:24" hidden="1">
      <c r="B170" s="23">
        <v>46088.491666666669</v>
      </c>
      <c r="C170" s="23">
        <v>46206.497916666667</v>
      </c>
      <c r="D170" s="6" t="s">
        <v>24</v>
      </c>
      <c r="E170" s="6"/>
      <c r="F170" s="27">
        <v>46206</v>
      </c>
      <c r="G170" s="27" t="s">
        <v>165</v>
      </c>
      <c r="H170" s="18" t="s">
        <v>87</v>
      </c>
      <c r="I170" s="6" t="s">
        <v>387</v>
      </c>
      <c r="J170" s="196">
        <v>81885300434</v>
      </c>
      <c r="K170" s="180" t="s">
        <v>388</v>
      </c>
      <c r="L170" s="108">
        <v>22103182</v>
      </c>
      <c r="M170" s="31">
        <v>5219811602103</v>
      </c>
      <c r="N170" s="169" t="s">
        <v>37</v>
      </c>
      <c r="O170" s="48">
        <v>23554</v>
      </c>
      <c r="P170" s="95">
        <v>7066.04</v>
      </c>
      <c r="Q170" s="8">
        <v>7066.2</v>
      </c>
      <c r="R170" s="13">
        <v>0.16</v>
      </c>
      <c r="S170" s="70">
        <v>46391</v>
      </c>
      <c r="T170" s="6"/>
      <c r="U170" s="164"/>
      <c r="V170" s="1"/>
      <c r="X170" s="101">
        <v>2</v>
      </c>
    </row>
    <row r="171" spans="2:24" hidden="1">
      <c r="B171" s="24">
        <v>46088.496527777781</v>
      </c>
      <c r="C171" s="24">
        <v>46206.5</v>
      </c>
      <c r="D171" s="10" t="s">
        <v>24</v>
      </c>
      <c r="E171" s="10"/>
      <c r="F171" s="27">
        <v>46206</v>
      </c>
      <c r="G171" s="28">
        <v>46088</v>
      </c>
      <c r="H171" s="10" t="s">
        <v>39</v>
      </c>
      <c r="I171" s="10" t="s">
        <v>389</v>
      </c>
      <c r="J171" s="195">
        <v>1715126494</v>
      </c>
      <c r="K171" s="181" t="s">
        <v>390</v>
      </c>
      <c r="L171" s="108">
        <v>22268852</v>
      </c>
      <c r="M171" s="32">
        <v>5215564376774</v>
      </c>
      <c r="N171" s="170" t="s">
        <v>32</v>
      </c>
      <c r="O171" s="47">
        <v>4393.28</v>
      </c>
      <c r="P171" s="94">
        <v>192.42</v>
      </c>
      <c r="Q171" s="11">
        <v>1317.98</v>
      </c>
      <c r="R171" s="12">
        <v>27.88</v>
      </c>
      <c r="S171" s="71"/>
      <c r="T171" s="10"/>
      <c r="U171" s="97"/>
      <c r="V171" s="1"/>
      <c r="X171" s="101">
        <v>1</v>
      </c>
    </row>
    <row r="172" spans="2:24" hidden="1">
      <c r="B172" s="23">
        <v>46088.51458333333</v>
      </c>
      <c r="C172" s="23">
        <v>46206.515972222223</v>
      </c>
      <c r="D172" s="6" t="s">
        <v>24</v>
      </c>
      <c r="E172" s="6"/>
      <c r="F172" s="27">
        <v>46206</v>
      </c>
      <c r="G172" s="27">
        <v>46088</v>
      </c>
      <c r="H172" s="6" t="s">
        <v>42</v>
      </c>
      <c r="I172" s="6" t="s">
        <v>391</v>
      </c>
      <c r="J172" s="196">
        <v>1705165841</v>
      </c>
      <c r="K172" s="180" t="s">
        <v>392</v>
      </c>
      <c r="L172" s="107">
        <v>22252020</v>
      </c>
      <c r="M172" s="31">
        <v>5217711286131</v>
      </c>
      <c r="N172" s="169" t="s">
        <v>32</v>
      </c>
      <c r="O172" s="46">
        <v>3855.42</v>
      </c>
      <c r="P172" s="93"/>
      <c r="Q172" s="8">
        <v>1156.6300000000001</v>
      </c>
      <c r="R172" s="13">
        <v>0</v>
      </c>
      <c r="S172" s="70"/>
      <c r="T172" s="6"/>
      <c r="U172" s="164"/>
      <c r="V172" s="1"/>
      <c r="X172" s="101">
        <v>1</v>
      </c>
    </row>
    <row r="173" spans="2:24" hidden="1">
      <c r="B173" s="24">
        <v>46088.466666666667</v>
      </c>
      <c r="C173" s="24">
        <v>46206.538888888892</v>
      </c>
      <c r="D173" s="10" t="s">
        <v>24</v>
      </c>
      <c r="E173" s="10"/>
      <c r="F173" s="27">
        <v>46206</v>
      </c>
      <c r="G173" s="28">
        <v>46060</v>
      </c>
      <c r="H173" s="10" t="s">
        <v>54</v>
      </c>
      <c r="I173" s="10" t="s">
        <v>393</v>
      </c>
      <c r="J173" s="195">
        <v>43816176101</v>
      </c>
      <c r="K173" s="181" t="s">
        <v>394</v>
      </c>
      <c r="L173" s="108">
        <v>22256062</v>
      </c>
      <c r="M173" s="32">
        <v>5216568497572</v>
      </c>
      <c r="N173" s="170" t="s">
        <v>37</v>
      </c>
      <c r="O173" s="47">
        <v>7544.08</v>
      </c>
      <c r="P173" s="94">
        <v>2182.6799999999998</v>
      </c>
      <c r="Q173" s="11">
        <v>2263.2199999999998</v>
      </c>
      <c r="R173" s="12">
        <v>80.540000000000006</v>
      </c>
      <c r="S173" s="71">
        <v>46266</v>
      </c>
      <c r="T173" s="10"/>
      <c r="U173" s="97"/>
      <c r="V173" s="1"/>
      <c r="X173" s="101">
        <v>2</v>
      </c>
    </row>
    <row r="174" spans="2:24" hidden="1">
      <c r="B174" s="23">
        <v>46088.332638888889</v>
      </c>
      <c r="C174" s="23">
        <v>46206.54791666667</v>
      </c>
      <c r="D174" s="6" t="s">
        <v>24</v>
      </c>
      <c r="E174" s="6"/>
      <c r="F174" s="27">
        <v>46206</v>
      </c>
      <c r="G174" s="27" t="s">
        <v>45</v>
      </c>
      <c r="H174" s="6" t="s">
        <v>61</v>
      </c>
      <c r="I174" s="6" t="s">
        <v>395</v>
      </c>
      <c r="J174" s="196"/>
      <c r="K174" s="180" t="s">
        <v>396</v>
      </c>
      <c r="L174" s="108">
        <v>22115370</v>
      </c>
      <c r="M174" s="31">
        <v>5215611112256</v>
      </c>
      <c r="N174" s="169" t="s">
        <v>37</v>
      </c>
      <c r="O174" s="46">
        <v>9081.52</v>
      </c>
      <c r="P174" s="93">
        <v>2518.2800000000002</v>
      </c>
      <c r="Q174" s="8">
        <v>2724.46</v>
      </c>
      <c r="R174" s="13">
        <v>206.18</v>
      </c>
      <c r="S174" s="70">
        <v>46388</v>
      </c>
      <c r="T174" s="6"/>
      <c r="U174" s="164"/>
      <c r="V174" s="1"/>
      <c r="X174" s="101">
        <v>2</v>
      </c>
    </row>
    <row r="175" spans="2:24" hidden="1">
      <c r="B175" s="24">
        <v>46088.554166666669</v>
      </c>
      <c r="C175" s="24">
        <v>46206.554166666669</v>
      </c>
      <c r="D175" s="10" t="s">
        <v>24</v>
      </c>
      <c r="E175" s="10"/>
      <c r="F175" s="27">
        <v>46206</v>
      </c>
      <c r="G175" s="28" t="s">
        <v>397</v>
      </c>
      <c r="H175" s="15" t="s">
        <v>26</v>
      </c>
      <c r="I175" s="21" t="s">
        <v>398</v>
      </c>
      <c r="J175" s="198">
        <v>53735411448</v>
      </c>
      <c r="K175" s="181"/>
      <c r="L175" s="108">
        <v>22040208</v>
      </c>
      <c r="M175" s="32" t="s">
        <v>399</v>
      </c>
      <c r="N175" s="170" t="s">
        <v>32</v>
      </c>
      <c r="O175" s="47">
        <v>4244.09</v>
      </c>
      <c r="P175" s="94"/>
      <c r="Q175" s="11">
        <v>1273.23</v>
      </c>
      <c r="R175" s="12">
        <v>71.11</v>
      </c>
      <c r="S175" s="71"/>
      <c r="T175" s="10"/>
      <c r="U175" s="97"/>
      <c r="V175" s="1"/>
      <c r="X175" s="101">
        <v>1</v>
      </c>
    </row>
    <row r="176" spans="2:24" hidden="1">
      <c r="B176" s="23">
        <v>46088.556250000001</v>
      </c>
      <c r="C176" s="23">
        <v>46206.556944444441</v>
      </c>
      <c r="D176" s="6" t="s">
        <v>24</v>
      </c>
      <c r="E176" s="6"/>
      <c r="F176" s="27">
        <v>46206</v>
      </c>
      <c r="G176" s="27" t="s">
        <v>165</v>
      </c>
      <c r="H176" s="10" t="s">
        <v>61</v>
      </c>
      <c r="I176" s="6" t="s">
        <v>400</v>
      </c>
      <c r="J176" s="196"/>
      <c r="K176" s="180" t="s">
        <v>401</v>
      </c>
      <c r="L176" s="107">
        <v>22109534</v>
      </c>
      <c r="M176" s="31">
        <v>5218341495264</v>
      </c>
      <c r="N176" s="169" t="s">
        <v>263</v>
      </c>
      <c r="O176" s="46">
        <v>4813.6899999999996</v>
      </c>
      <c r="P176" s="93">
        <v>592.91</v>
      </c>
      <c r="Q176" s="8">
        <v>1444.11</v>
      </c>
      <c r="R176" s="13">
        <v>47.8</v>
      </c>
      <c r="S176" s="70">
        <v>46028</v>
      </c>
      <c r="T176" s="6" t="s">
        <v>192</v>
      </c>
      <c r="U176" s="164"/>
      <c r="V176" s="1"/>
      <c r="X176" s="101">
        <v>2</v>
      </c>
    </row>
    <row r="177" spans="2:24" hidden="1">
      <c r="B177" s="24">
        <v>46088.557638888888</v>
      </c>
      <c r="C177" s="24">
        <v>46206.559027777781</v>
      </c>
      <c r="D177" s="10" t="s">
        <v>24</v>
      </c>
      <c r="E177" s="10"/>
      <c r="F177" s="27">
        <v>46206</v>
      </c>
      <c r="G177" s="28">
        <v>46088</v>
      </c>
      <c r="H177" s="10" t="s">
        <v>78</v>
      </c>
      <c r="I177" s="10" t="s">
        <v>402</v>
      </c>
      <c r="J177" s="195">
        <v>42815505732</v>
      </c>
      <c r="K177" s="181" t="s">
        <v>403</v>
      </c>
      <c r="L177" s="108">
        <v>22269054</v>
      </c>
      <c r="M177" s="32">
        <v>5219858521961</v>
      </c>
      <c r="N177" s="170" t="s">
        <v>28</v>
      </c>
      <c r="O177" s="47">
        <v>9256.42</v>
      </c>
      <c r="P177" s="94">
        <v>848</v>
      </c>
      <c r="Q177" s="11">
        <v>2776.93</v>
      </c>
      <c r="R177" s="14">
        <v>1928.93</v>
      </c>
      <c r="S177" s="71"/>
      <c r="T177" s="10"/>
      <c r="U177" s="97"/>
      <c r="V177" s="1"/>
      <c r="X177" s="101">
        <v>1</v>
      </c>
    </row>
    <row r="178" spans="2:24" hidden="1">
      <c r="B178" s="23">
        <v>46088.559027777781</v>
      </c>
      <c r="C178" s="23">
        <v>46206.560416666667</v>
      </c>
      <c r="D178" s="6" t="s">
        <v>24</v>
      </c>
      <c r="E178" s="6"/>
      <c r="F178" s="27">
        <v>46206</v>
      </c>
      <c r="G178" s="27">
        <v>46088</v>
      </c>
      <c r="H178" s="6" t="s">
        <v>78</v>
      </c>
      <c r="I178" s="6" t="s">
        <v>404</v>
      </c>
      <c r="J178" s="196">
        <v>21674720756</v>
      </c>
      <c r="K178" s="180" t="s">
        <v>405</v>
      </c>
      <c r="L178" s="107">
        <v>22270016</v>
      </c>
      <c r="M178" s="31">
        <v>22270016</v>
      </c>
      <c r="N178" s="169" t="s">
        <v>32</v>
      </c>
      <c r="O178" s="46">
        <v>3623.38</v>
      </c>
      <c r="P178" s="93">
        <v>848</v>
      </c>
      <c r="Q178" s="8">
        <v>1087.01</v>
      </c>
      <c r="R178" s="13">
        <v>-848</v>
      </c>
      <c r="S178" s="70"/>
      <c r="T178" s="6"/>
      <c r="U178" s="164"/>
      <c r="V178" s="1"/>
      <c r="X178" s="101">
        <v>1</v>
      </c>
    </row>
    <row r="179" spans="2:24" hidden="1">
      <c r="B179" s="24">
        <v>46088.490277777775</v>
      </c>
      <c r="C179" s="24">
        <v>46206.573611111111</v>
      </c>
      <c r="D179" s="10" t="s">
        <v>24</v>
      </c>
      <c r="E179" s="10"/>
      <c r="F179" s="27">
        <v>46206</v>
      </c>
      <c r="G179" s="28">
        <v>46060</v>
      </c>
      <c r="H179" s="10" t="s">
        <v>124</v>
      </c>
      <c r="I179" s="10" t="s">
        <v>406</v>
      </c>
      <c r="J179" s="195">
        <v>24856332978</v>
      </c>
      <c r="K179" s="181"/>
      <c r="L179" s="108">
        <v>22255792</v>
      </c>
      <c r="M179" s="32">
        <v>22255792</v>
      </c>
      <c r="N179" s="170" t="s">
        <v>28</v>
      </c>
      <c r="O179" s="47">
        <v>30959.32</v>
      </c>
      <c r="P179" s="94"/>
      <c r="Q179" s="11">
        <v>9287.7999999999993</v>
      </c>
      <c r="R179" s="14">
        <v>9287.7999999999993</v>
      </c>
      <c r="S179" s="71"/>
      <c r="T179" s="10"/>
      <c r="U179" s="97"/>
      <c r="V179" s="1"/>
      <c r="X179" s="101">
        <v>1</v>
      </c>
    </row>
    <row r="180" spans="2:24" hidden="1">
      <c r="B180" s="23">
        <v>46088.574305555558</v>
      </c>
      <c r="C180" s="23">
        <v>46206.575694444444</v>
      </c>
      <c r="D180" s="6" t="s">
        <v>24</v>
      </c>
      <c r="E180" s="6"/>
      <c r="F180" s="27">
        <v>46206</v>
      </c>
      <c r="G180" s="27">
        <v>46060</v>
      </c>
      <c r="H180" s="6" t="s">
        <v>39</v>
      </c>
      <c r="I180" s="6"/>
      <c r="J180" s="196">
        <v>32937728627</v>
      </c>
      <c r="K180" s="180"/>
      <c r="L180" s="108">
        <v>22253894</v>
      </c>
      <c r="M180" s="31">
        <v>5218662545803</v>
      </c>
      <c r="N180" s="169" t="s">
        <v>37</v>
      </c>
      <c r="O180" s="46">
        <v>5015.17</v>
      </c>
      <c r="P180" s="93">
        <v>812.15</v>
      </c>
      <c r="Q180" s="8">
        <v>1504.55</v>
      </c>
      <c r="R180" s="13">
        <v>30.04</v>
      </c>
      <c r="S180" s="70">
        <v>46399</v>
      </c>
      <c r="T180" s="6"/>
      <c r="U180" s="164"/>
      <c r="V180" s="1"/>
      <c r="X180" s="101">
        <v>2</v>
      </c>
    </row>
    <row r="181" spans="2:24" hidden="1">
      <c r="B181" s="24">
        <v>46088.497916666667</v>
      </c>
      <c r="C181" s="24">
        <v>46206.57916666667</v>
      </c>
      <c r="D181" s="10" t="s">
        <v>24</v>
      </c>
      <c r="E181" s="10"/>
      <c r="F181" s="27">
        <v>46206</v>
      </c>
      <c r="G181" s="28">
        <v>46060</v>
      </c>
      <c r="H181" s="10" t="s">
        <v>51</v>
      </c>
      <c r="I181" s="10" t="s">
        <v>407</v>
      </c>
      <c r="J181" s="195">
        <v>84836415285</v>
      </c>
      <c r="K181" s="181" t="s">
        <v>408</v>
      </c>
      <c r="L181" s="108">
        <v>22245760</v>
      </c>
      <c r="M181" s="32">
        <v>22245760</v>
      </c>
      <c r="N181" s="170" t="s">
        <v>37</v>
      </c>
      <c r="O181" s="47">
        <v>9081.52</v>
      </c>
      <c r="P181" s="94">
        <v>2627.23</v>
      </c>
      <c r="Q181" s="11">
        <v>2724.46</v>
      </c>
      <c r="R181" s="12">
        <v>97.23</v>
      </c>
      <c r="S181" s="71">
        <v>46266</v>
      </c>
      <c r="T181" s="10"/>
      <c r="U181" s="97"/>
      <c r="V181" s="1"/>
      <c r="X181" s="101">
        <v>2</v>
      </c>
    </row>
    <row r="182" spans="2:24" hidden="1">
      <c r="B182" s="23">
        <v>46088.584027777775</v>
      </c>
      <c r="C182" s="23">
        <v>46206.585416666669</v>
      </c>
      <c r="D182" s="6" t="s">
        <v>24</v>
      </c>
      <c r="E182" s="6"/>
      <c r="F182" s="27">
        <v>46206</v>
      </c>
      <c r="G182" s="27" t="s">
        <v>45</v>
      </c>
      <c r="H182" s="7" t="s">
        <v>26</v>
      </c>
      <c r="I182" s="6" t="s">
        <v>409</v>
      </c>
      <c r="J182" s="196">
        <v>71775607238</v>
      </c>
      <c r="K182" s="180" t="s">
        <v>410</v>
      </c>
      <c r="L182" s="107">
        <v>22145190</v>
      </c>
      <c r="M182" s="31">
        <v>5219615622855</v>
      </c>
      <c r="N182" s="169" t="s">
        <v>32</v>
      </c>
      <c r="O182" s="46">
        <v>3602.45</v>
      </c>
      <c r="P182" s="93"/>
      <c r="Q182" s="8">
        <v>1080.74</v>
      </c>
      <c r="R182" s="13">
        <v>0</v>
      </c>
      <c r="S182" s="70"/>
      <c r="T182" s="6"/>
      <c r="U182" s="164"/>
      <c r="V182" s="1"/>
      <c r="X182" s="101">
        <v>1</v>
      </c>
    </row>
    <row r="183" spans="2:24" hidden="1">
      <c r="B183" s="24">
        <v>46088.573611111111</v>
      </c>
      <c r="C183" s="24">
        <v>46206.590277777781</v>
      </c>
      <c r="D183" s="10" t="s">
        <v>24</v>
      </c>
      <c r="E183" s="10"/>
      <c r="F183" s="27">
        <v>46206</v>
      </c>
      <c r="G183" s="28">
        <v>46088</v>
      </c>
      <c r="H183" s="10" t="s">
        <v>124</v>
      </c>
      <c r="I183" s="10" t="s">
        <v>411</v>
      </c>
      <c r="J183" s="195"/>
      <c r="K183" s="181" t="s">
        <v>412</v>
      </c>
      <c r="L183" s="108">
        <v>22271542</v>
      </c>
      <c r="M183" s="32">
        <v>5218714168335</v>
      </c>
      <c r="N183" s="170" t="s">
        <v>28</v>
      </c>
      <c r="O183" s="47">
        <v>10171.24</v>
      </c>
      <c r="P183" s="94"/>
      <c r="Q183" s="11">
        <v>3051.37</v>
      </c>
      <c r="R183" s="14">
        <v>3051.37</v>
      </c>
      <c r="S183" s="71"/>
      <c r="T183" s="10"/>
      <c r="U183" s="97"/>
      <c r="V183" s="1"/>
      <c r="X183" s="101">
        <v>1</v>
      </c>
    </row>
    <row r="184" spans="2:24" hidden="1">
      <c r="B184" s="23">
        <v>46088.590277777781</v>
      </c>
      <c r="C184" s="23">
        <v>46206.59097222222</v>
      </c>
      <c r="D184" s="6" t="s">
        <v>24</v>
      </c>
      <c r="E184" s="6"/>
      <c r="F184" s="27">
        <v>46206</v>
      </c>
      <c r="G184" s="27">
        <v>46029</v>
      </c>
      <c r="H184" s="18" t="s">
        <v>170</v>
      </c>
      <c r="I184" s="6" t="s">
        <v>413</v>
      </c>
      <c r="J184" s="200">
        <v>11735519941</v>
      </c>
      <c r="K184" s="180" t="s">
        <v>414</v>
      </c>
      <c r="L184" s="108">
        <v>22210396</v>
      </c>
      <c r="M184" s="31">
        <v>5215647509326</v>
      </c>
      <c r="N184" s="169" t="s">
        <v>37</v>
      </c>
      <c r="O184" s="48">
        <v>5636.59</v>
      </c>
      <c r="P184" s="95">
        <v>1630</v>
      </c>
      <c r="Q184" s="8">
        <v>1690.98</v>
      </c>
      <c r="R184" s="13">
        <v>-166.39</v>
      </c>
      <c r="S184" s="70">
        <v>46327</v>
      </c>
      <c r="T184" s="6"/>
      <c r="U184" s="164"/>
      <c r="V184" s="1"/>
      <c r="X184" s="101">
        <v>2</v>
      </c>
    </row>
    <row r="185" spans="2:24" hidden="1">
      <c r="B185" s="24">
        <v>46088.375694444447</v>
      </c>
      <c r="C185" s="24">
        <v>46206.593055555553</v>
      </c>
      <c r="D185" s="10" t="s">
        <v>24</v>
      </c>
      <c r="E185" s="10"/>
      <c r="F185" s="27">
        <v>46206</v>
      </c>
      <c r="G185" s="28">
        <v>46088</v>
      </c>
      <c r="H185" s="10" t="s">
        <v>81</v>
      </c>
      <c r="I185" s="10" t="s">
        <v>415</v>
      </c>
      <c r="J185" s="195">
        <v>88856807842</v>
      </c>
      <c r="K185" s="181" t="s">
        <v>416</v>
      </c>
      <c r="L185" s="108">
        <v>22271716</v>
      </c>
      <c r="M185" s="32">
        <v>5215539565315</v>
      </c>
      <c r="N185" s="170" t="s">
        <v>32</v>
      </c>
      <c r="O185" s="47">
        <v>4041.64</v>
      </c>
      <c r="P185" s="94"/>
      <c r="Q185" s="11">
        <v>1212.49</v>
      </c>
      <c r="R185" s="12">
        <v>0</v>
      </c>
      <c r="S185" s="71"/>
      <c r="T185" s="10"/>
      <c r="U185" s="97"/>
      <c r="V185" s="1"/>
      <c r="X185" s="101">
        <v>1</v>
      </c>
    </row>
    <row r="186" spans="2:24" hidden="1">
      <c r="B186" s="23">
        <v>46088.592361111114</v>
      </c>
      <c r="C186" s="23">
        <v>46206.597916666666</v>
      </c>
      <c r="D186" s="6" t="s">
        <v>24</v>
      </c>
      <c r="E186" s="6"/>
      <c r="F186" s="27">
        <v>46206</v>
      </c>
      <c r="G186" s="27">
        <v>46029</v>
      </c>
      <c r="H186" s="6" t="s">
        <v>93</v>
      </c>
      <c r="I186" s="19" t="s">
        <v>417</v>
      </c>
      <c r="J186" s="196">
        <v>65855845536</v>
      </c>
      <c r="K186" s="183" t="s">
        <v>418</v>
      </c>
      <c r="L186" s="108">
        <v>22212280</v>
      </c>
      <c r="M186" s="33">
        <v>2289881934</v>
      </c>
      <c r="N186" s="169" t="s">
        <v>37</v>
      </c>
      <c r="O186" s="46">
        <v>35301.14</v>
      </c>
      <c r="P186" s="93">
        <v>10588.43</v>
      </c>
      <c r="Q186" s="8">
        <v>10590.34</v>
      </c>
      <c r="R186" s="13">
        <v>1.91</v>
      </c>
      <c r="S186" s="70">
        <v>46389</v>
      </c>
      <c r="T186" s="6"/>
      <c r="U186" s="164"/>
      <c r="V186" s="1"/>
      <c r="X186" s="101">
        <v>2</v>
      </c>
    </row>
    <row r="187" spans="2:24" hidden="1">
      <c r="B187" s="24">
        <v>46088.598611111112</v>
      </c>
      <c r="C187" s="24">
        <v>46206.599305555559</v>
      </c>
      <c r="D187" s="10" t="s">
        <v>24</v>
      </c>
      <c r="E187" s="10"/>
      <c r="F187" s="27">
        <v>46206</v>
      </c>
      <c r="G187" s="28" t="s">
        <v>45</v>
      </c>
      <c r="H187" s="160" t="s">
        <v>26</v>
      </c>
      <c r="I187" s="10" t="s">
        <v>419</v>
      </c>
      <c r="J187" s="195">
        <v>10866111973</v>
      </c>
      <c r="K187" s="181"/>
      <c r="L187" s="108">
        <v>22131510</v>
      </c>
      <c r="M187" s="32">
        <v>5215524424496</v>
      </c>
      <c r="N187" s="170" t="s">
        <v>28</v>
      </c>
      <c r="O187" s="47">
        <v>24586.97</v>
      </c>
      <c r="P187" s="94"/>
      <c r="Q187" s="11">
        <v>7376.09</v>
      </c>
      <c r="R187" s="14">
        <v>7376.09</v>
      </c>
      <c r="S187" s="71"/>
      <c r="T187" s="10"/>
      <c r="U187" s="97"/>
      <c r="V187" s="1"/>
      <c r="X187" s="101">
        <v>1</v>
      </c>
    </row>
    <row r="188" spans="2:24" hidden="1">
      <c r="B188" s="23">
        <v>46088.590277777781</v>
      </c>
      <c r="C188" s="23">
        <v>46206.601388888892</v>
      </c>
      <c r="D188" s="6" t="s">
        <v>24</v>
      </c>
      <c r="E188" s="6"/>
      <c r="F188" s="27">
        <v>46206</v>
      </c>
      <c r="G188" s="27">
        <v>46088</v>
      </c>
      <c r="H188" s="6" t="s">
        <v>124</v>
      </c>
      <c r="I188" s="6" t="s">
        <v>420</v>
      </c>
      <c r="J188" s="197">
        <v>4755404227</v>
      </c>
      <c r="K188" s="183" t="s">
        <v>421</v>
      </c>
      <c r="L188" s="108">
        <v>22271790</v>
      </c>
      <c r="M188" s="31">
        <v>22271790</v>
      </c>
      <c r="N188" s="169" t="s">
        <v>37</v>
      </c>
      <c r="O188" s="46">
        <v>7649.4</v>
      </c>
      <c r="P188" s="93">
        <v>2211.0500000000002</v>
      </c>
      <c r="Q188" s="8">
        <v>2294.8200000000002</v>
      </c>
      <c r="R188" s="13">
        <v>83.77</v>
      </c>
      <c r="S188" s="70">
        <v>46396</v>
      </c>
      <c r="T188" s="6"/>
      <c r="U188" s="164"/>
      <c r="V188" s="1"/>
      <c r="X188" s="101">
        <v>2</v>
      </c>
    </row>
    <row r="189" spans="2:24" hidden="1">
      <c r="B189" s="24">
        <v>46088.607638888891</v>
      </c>
      <c r="C189" s="24">
        <v>46206.609722222223</v>
      </c>
      <c r="D189" s="10" t="s">
        <v>24</v>
      </c>
      <c r="E189" s="10"/>
      <c r="F189" s="27">
        <v>46206</v>
      </c>
      <c r="G189" s="28" t="s">
        <v>25</v>
      </c>
      <c r="H189" s="20" t="s">
        <v>71</v>
      </c>
      <c r="I189" s="10" t="s">
        <v>422</v>
      </c>
      <c r="J189" s="195"/>
      <c r="K189" s="181" t="s">
        <v>423</v>
      </c>
      <c r="L189" s="108">
        <v>22071382</v>
      </c>
      <c r="M189" s="32">
        <v>7221210674</v>
      </c>
      <c r="N189" s="170" t="s">
        <v>37</v>
      </c>
      <c r="O189" s="47">
        <v>10113.08</v>
      </c>
      <c r="P189" s="94">
        <v>2924</v>
      </c>
      <c r="Q189" s="11">
        <v>3033.92</v>
      </c>
      <c r="R189" s="12">
        <v>109.92</v>
      </c>
      <c r="S189" s="71">
        <v>46390</v>
      </c>
      <c r="T189" s="10"/>
      <c r="U189" s="97"/>
      <c r="V189" s="1"/>
      <c r="X189" s="101">
        <v>2</v>
      </c>
    </row>
    <row r="190" spans="2:24" hidden="1">
      <c r="B190" s="23">
        <v>46088.607638888891</v>
      </c>
      <c r="C190" s="23">
        <v>46206.612500000003</v>
      </c>
      <c r="D190" s="6" t="s">
        <v>24</v>
      </c>
      <c r="E190" s="6"/>
      <c r="F190" s="27">
        <v>46206</v>
      </c>
      <c r="G190" s="27">
        <v>46088</v>
      </c>
      <c r="H190" s="10" t="s">
        <v>78</v>
      </c>
      <c r="I190" s="6" t="s">
        <v>424</v>
      </c>
      <c r="J190" s="196">
        <v>12755703275</v>
      </c>
      <c r="K190" s="180" t="s">
        <v>425</v>
      </c>
      <c r="L190" s="107">
        <v>22273572</v>
      </c>
      <c r="M190" s="31">
        <v>5214621894855</v>
      </c>
      <c r="N190" s="169" t="s">
        <v>263</v>
      </c>
      <c r="O190" s="46">
        <v>5617.63</v>
      </c>
      <c r="P190" s="93">
        <v>1379.63</v>
      </c>
      <c r="Q190" s="8">
        <v>1685.29</v>
      </c>
      <c r="R190" s="13">
        <v>65.02</v>
      </c>
      <c r="S190" s="70">
        <v>44938</v>
      </c>
      <c r="T190" s="6" t="s">
        <v>178</v>
      </c>
      <c r="U190" s="164"/>
      <c r="V190" s="1"/>
      <c r="X190" s="101">
        <v>2</v>
      </c>
    </row>
    <row r="191" spans="2:24" hidden="1">
      <c r="B191" s="24">
        <v>46088.526388888888</v>
      </c>
      <c r="C191" s="24">
        <v>46206.613194444442</v>
      </c>
      <c r="D191" s="10" t="s">
        <v>24</v>
      </c>
      <c r="E191" s="10"/>
      <c r="F191" s="27">
        <v>46206</v>
      </c>
      <c r="G191" s="28">
        <v>46088</v>
      </c>
      <c r="H191" s="20" t="s">
        <v>135</v>
      </c>
      <c r="I191" s="10" t="s">
        <v>426</v>
      </c>
      <c r="J191" s="195">
        <v>28951004899</v>
      </c>
      <c r="K191" s="181" t="s">
        <v>427</v>
      </c>
      <c r="L191" s="108">
        <v>22206936</v>
      </c>
      <c r="M191" s="32">
        <v>5216131182980</v>
      </c>
      <c r="N191" s="170" t="s">
        <v>32</v>
      </c>
      <c r="O191" s="47">
        <v>3855.42</v>
      </c>
      <c r="P191" s="94">
        <v>848</v>
      </c>
      <c r="Q191" s="11">
        <v>1156.6300000000001</v>
      </c>
      <c r="R191" s="12">
        <v>-848</v>
      </c>
      <c r="S191" s="71"/>
      <c r="T191" s="10"/>
      <c r="U191" s="97"/>
      <c r="V191" s="1"/>
      <c r="X191" s="101">
        <v>1</v>
      </c>
    </row>
    <row r="192" spans="2:24" hidden="1">
      <c r="B192" s="23">
        <v>46088.538888888892</v>
      </c>
      <c r="C192" s="23">
        <v>46206.631249999999</v>
      </c>
      <c r="D192" s="6" t="s">
        <v>24</v>
      </c>
      <c r="E192" s="6"/>
      <c r="F192" s="27">
        <v>46206</v>
      </c>
      <c r="G192" s="27">
        <v>46088</v>
      </c>
      <c r="H192" s="10" t="s">
        <v>54</v>
      </c>
      <c r="I192" s="6" t="s">
        <v>428</v>
      </c>
      <c r="J192" s="196"/>
      <c r="K192" s="180" t="s">
        <v>429</v>
      </c>
      <c r="L192" s="107">
        <v>22273146</v>
      </c>
      <c r="M192" s="31">
        <v>5219841060471</v>
      </c>
      <c r="N192" s="169" t="s">
        <v>47</v>
      </c>
      <c r="O192" s="46">
        <v>48339.4</v>
      </c>
      <c r="P192" s="93">
        <v>13985.72</v>
      </c>
      <c r="Q192" s="8">
        <v>14501.82</v>
      </c>
      <c r="R192" s="22">
        <v>516.1</v>
      </c>
      <c r="S192" s="70">
        <v>46391</v>
      </c>
      <c r="T192" s="6"/>
      <c r="U192" s="164"/>
      <c r="V192" s="1"/>
      <c r="X192" s="101">
        <v>2</v>
      </c>
    </row>
    <row r="193" spans="2:24" hidden="1">
      <c r="B193" s="24">
        <v>46088.625</v>
      </c>
      <c r="C193" s="24">
        <v>46206.636111111111</v>
      </c>
      <c r="D193" s="10" t="s">
        <v>24</v>
      </c>
      <c r="E193" s="10"/>
      <c r="F193" s="27">
        <v>46206</v>
      </c>
      <c r="G193" s="28">
        <v>46060</v>
      </c>
      <c r="H193" s="10" t="s">
        <v>34</v>
      </c>
      <c r="I193" s="10" t="s">
        <v>430</v>
      </c>
      <c r="J193" s="195"/>
      <c r="K193" s="181" t="s">
        <v>431</v>
      </c>
      <c r="L193" s="108">
        <v>22255466</v>
      </c>
      <c r="M193" s="32">
        <v>5216673590963</v>
      </c>
      <c r="N193" s="170" t="s">
        <v>32</v>
      </c>
      <c r="O193" s="47">
        <v>2031.2</v>
      </c>
      <c r="P193" s="94"/>
      <c r="Q193" s="11">
        <v>609.36</v>
      </c>
      <c r="R193" s="12">
        <v>0</v>
      </c>
      <c r="S193" s="71"/>
      <c r="T193" s="10"/>
      <c r="U193" s="97"/>
      <c r="V193" s="1"/>
      <c r="X193" s="101">
        <v>1</v>
      </c>
    </row>
    <row r="194" spans="2:24" hidden="1">
      <c r="B194" s="23">
        <v>46088.611111111109</v>
      </c>
      <c r="C194" s="23">
        <v>46206.652777777781</v>
      </c>
      <c r="D194" s="6" t="s">
        <v>24</v>
      </c>
      <c r="E194" s="6"/>
      <c r="F194" s="27">
        <v>46206</v>
      </c>
      <c r="G194" s="27">
        <v>46060</v>
      </c>
      <c r="H194" s="6" t="s">
        <v>34</v>
      </c>
      <c r="I194" s="6" t="s">
        <v>432</v>
      </c>
      <c r="J194" s="196"/>
      <c r="K194" s="180" t="s">
        <v>433</v>
      </c>
      <c r="L194" s="108">
        <v>22254200</v>
      </c>
      <c r="M194" s="31">
        <v>5213328487173</v>
      </c>
      <c r="N194" s="169" t="s">
        <v>37</v>
      </c>
      <c r="O194" s="46">
        <v>7116.73</v>
      </c>
      <c r="P194" s="93">
        <v>1970.12</v>
      </c>
      <c r="Q194" s="8">
        <v>2135.02</v>
      </c>
      <c r="R194" s="13">
        <v>164.9</v>
      </c>
      <c r="S194" s="70">
        <v>46266</v>
      </c>
      <c r="T194" s="6"/>
      <c r="U194" s="164"/>
      <c r="V194" s="1"/>
      <c r="X194" s="101">
        <v>2</v>
      </c>
    </row>
    <row r="195" spans="2:24" hidden="1">
      <c r="B195" s="24">
        <v>46088.651388888888</v>
      </c>
      <c r="C195" s="24">
        <v>46206.654166666667</v>
      </c>
      <c r="D195" s="10" t="s">
        <v>24</v>
      </c>
      <c r="E195" s="10"/>
      <c r="F195" s="27">
        <v>46206</v>
      </c>
      <c r="G195" s="28">
        <v>46088</v>
      </c>
      <c r="H195" s="10" t="s">
        <v>145</v>
      </c>
      <c r="I195" s="10" t="s">
        <v>434</v>
      </c>
      <c r="J195" s="195">
        <v>43806064283</v>
      </c>
      <c r="K195" s="181" t="s">
        <v>435</v>
      </c>
      <c r="L195" s="108">
        <v>22275404</v>
      </c>
      <c r="M195" s="32">
        <v>5218122205052</v>
      </c>
      <c r="N195" s="170" t="s">
        <v>47</v>
      </c>
      <c r="O195" s="47">
        <v>5617.63</v>
      </c>
      <c r="P195" s="94">
        <v>879</v>
      </c>
      <c r="Q195" s="11">
        <v>1685.29</v>
      </c>
      <c r="R195" s="16">
        <v>565.65</v>
      </c>
      <c r="S195" s="71"/>
      <c r="T195" s="10"/>
      <c r="U195" s="97"/>
      <c r="V195" s="1"/>
      <c r="X195" s="101">
        <v>1</v>
      </c>
    </row>
    <row r="196" spans="2:24" hidden="1">
      <c r="B196" s="23">
        <v>46088.597916666666</v>
      </c>
      <c r="C196" s="23">
        <v>46206.661111111112</v>
      </c>
      <c r="D196" s="6" t="s">
        <v>24</v>
      </c>
      <c r="E196" s="6"/>
      <c r="F196" s="27">
        <v>46206</v>
      </c>
      <c r="G196" s="27">
        <v>46088</v>
      </c>
      <c r="H196" s="10" t="s">
        <v>93</v>
      </c>
      <c r="I196" s="6" t="s">
        <v>436</v>
      </c>
      <c r="J196" s="196"/>
      <c r="K196" s="180" t="s">
        <v>437</v>
      </c>
      <c r="L196" s="107">
        <v>22275604</v>
      </c>
      <c r="M196" s="31">
        <v>4531468232</v>
      </c>
      <c r="N196" s="169" t="s">
        <v>28</v>
      </c>
      <c r="O196" s="46">
        <v>5670.94</v>
      </c>
      <c r="P196" s="93"/>
      <c r="Q196" s="8">
        <v>1701.28</v>
      </c>
      <c r="R196" s="9">
        <v>1497.96</v>
      </c>
      <c r="S196" s="70"/>
      <c r="T196" s="6"/>
      <c r="U196" s="164"/>
      <c r="V196" s="1"/>
      <c r="X196" s="101">
        <v>1</v>
      </c>
    </row>
    <row r="197" spans="2:24" hidden="1">
      <c r="B197" s="24">
        <v>46088.668749999997</v>
      </c>
      <c r="C197" s="24">
        <v>46206.668749999997</v>
      </c>
      <c r="D197" s="10" t="s">
        <v>24</v>
      </c>
      <c r="E197" s="10"/>
      <c r="F197" s="27">
        <v>46206</v>
      </c>
      <c r="G197" s="28">
        <v>46088</v>
      </c>
      <c r="H197" s="10" t="s">
        <v>160</v>
      </c>
      <c r="I197" s="10" t="s">
        <v>438</v>
      </c>
      <c r="J197" s="195">
        <v>71856003711</v>
      </c>
      <c r="K197" s="181" t="s">
        <v>439</v>
      </c>
      <c r="L197" s="108">
        <v>22273350</v>
      </c>
      <c r="M197" s="32">
        <v>5219661131043</v>
      </c>
      <c r="N197" s="170" t="s">
        <v>28</v>
      </c>
      <c r="O197" s="47">
        <v>11029.03</v>
      </c>
      <c r="P197" s="94"/>
      <c r="Q197" s="11">
        <v>3308.71</v>
      </c>
      <c r="R197" s="14">
        <v>3308.71</v>
      </c>
      <c r="S197" s="71"/>
      <c r="T197" s="10"/>
      <c r="U197" s="97"/>
      <c r="V197" s="1"/>
      <c r="X197" s="101">
        <v>1</v>
      </c>
    </row>
    <row r="198" spans="2:24" hidden="1">
      <c r="B198" s="23">
        <v>46088.67083333333</v>
      </c>
      <c r="C198" s="23">
        <v>46206.671527777777</v>
      </c>
      <c r="D198" s="6" t="s">
        <v>24</v>
      </c>
      <c r="E198" s="6"/>
      <c r="F198" s="27">
        <v>46206</v>
      </c>
      <c r="G198" s="27">
        <v>46088</v>
      </c>
      <c r="H198" s="6" t="s">
        <v>61</v>
      </c>
      <c r="I198" s="6" t="s">
        <v>440</v>
      </c>
      <c r="J198" s="196"/>
      <c r="K198" s="180" t="s">
        <v>441</v>
      </c>
      <c r="L198" s="107">
        <v>22275392</v>
      </c>
      <c r="M198" s="31">
        <v>5216878783538</v>
      </c>
      <c r="N198" s="169" t="s">
        <v>98</v>
      </c>
      <c r="O198" s="46"/>
      <c r="P198" s="93"/>
      <c r="Q198" s="8">
        <v>0</v>
      </c>
      <c r="R198" s="13">
        <v>0</v>
      </c>
      <c r="S198" s="70"/>
      <c r="T198" s="6"/>
      <c r="U198" s="164"/>
      <c r="V198" s="1"/>
      <c r="X198" s="101">
        <v>0</v>
      </c>
    </row>
    <row r="199" spans="2:24" hidden="1">
      <c r="B199" s="24">
        <v>46088.67291666667</v>
      </c>
      <c r="C199" s="24">
        <v>46206.673611111109</v>
      </c>
      <c r="D199" s="10" t="s">
        <v>24</v>
      </c>
      <c r="E199" s="10"/>
      <c r="F199" s="27">
        <v>46206</v>
      </c>
      <c r="G199" s="28">
        <v>46088</v>
      </c>
      <c r="H199" s="20" t="s">
        <v>71</v>
      </c>
      <c r="I199" s="10" t="s">
        <v>442</v>
      </c>
      <c r="J199" s="195"/>
      <c r="K199" s="181" t="s">
        <v>443</v>
      </c>
      <c r="L199" s="108">
        <v>22276390</v>
      </c>
      <c r="M199" s="32">
        <v>5216566449585</v>
      </c>
      <c r="N199" s="170" t="s">
        <v>74</v>
      </c>
      <c r="O199" s="47"/>
      <c r="P199" s="94"/>
      <c r="Q199" s="11">
        <v>0</v>
      </c>
      <c r="R199" s="12">
        <v>0</v>
      </c>
      <c r="S199" s="71"/>
      <c r="T199" s="10"/>
      <c r="U199" s="97"/>
      <c r="V199" s="1"/>
      <c r="X199" s="101">
        <v>1</v>
      </c>
    </row>
    <row r="200" spans="2:24" hidden="1">
      <c r="B200" s="23">
        <v>46088.673611111109</v>
      </c>
      <c r="C200" s="23">
        <v>46206.677777777775</v>
      </c>
      <c r="D200" s="6" t="s">
        <v>24</v>
      </c>
      <c r="E200" s="6"/>
      <c r="F200" s="27">
        <v>46206</v>
      </c>
      <c r="G200" s="27">
        <v>46088</v>
      </c>
      <c r="H200" s="6" t="s">
        <v>42</v>
      </c>
      <c r="I200" s="6" t="s">
        <v>444</v>
      </c>
      <c r="J200" s="196">
        <v>62816005599</v>
      </c>
      <c r="K200" s="180" t="s">
        <v>445</v>
      </c>
      <c r="L200" s="108">
        <v>22262686</v>
      </c>
      <c r="M200" s="31">
        <v>22262686</v>
      </c>
      <c r="N200" s="169" t="s">
        <v>37</v>
      </c>
      <c r="O200" s="48">
        <v>5617.63</v>
      </c>
      <c r="P200" s="95">
        <v>1379.11</v>
      </c>
      <c r="Q200" s="8">
        <v>1685.29</v>
      </c>
      <c r="R200" s="13">
        <v>65.540000000000006</v>
      </c>
      <c r="S200" s="70">
        <v>46397</v>
      </c>
      <c r="T200" s="6" t="s">
        <v>259</v>
      </c>
      <c r="U200" s="164"/>
      <c r="V200" s="1"/>
      <c r="X200" s="101">
        <v>2</v>
      </c>
    </row>
    <row r="201" spans="2:24" hidden="1">
      <c r="B201" s="24">
        <v>46088.677777777775</v>
      </c>
      <c r="C201" s="24">
        <v>46206.679861111108</v>
      </c>
      <c r="D201" s="10" t="s">
        <v>24</v>
      </c>
      <c r="E201" s="10"/>
      <c r="F201" s="27">
        <v>46206</v>
      </c>
      <c r="G201" s="28">
        <v>46088</v>
      </c>
      <c r="H201" s="10" t="s">
        <v>34</v>
      </c>
      <c r="I201" s="10" t="s">
        <v>446</v>
      </c>
      <c r="J201" s="195"/>
      <c r="K201" s="181" t="s">
        <v>447</v>
      </c>
      <c r="L201" s="108">
        <v>22265016</v>
      </c>
      <c r="M201" s="32">
        <v>5219932085207</v>
      </c>
      <c r="N201" s="170" t="s">
        <v>235</v>
      </c>
      <c r="O201" s="47"/>
      <c r="P201" s="94"/>
      <c r="Q201" s="11">
        <v>0</v>
      </c>
      <c r="R201" s="12">
        <v>0</v>
      </c>
      <c r="S201" s="71"/>
      <c r="T201" s="10"/>
      <c r="U201" s="97"/>
      <c r="V201" s="1"/>
      <c r="X201" s="101">
        <v>1</v>
      </c>
    </row>
    <row r="202" spans="2:24" hidden="1">
      <c r="B202" s="23">
        <v>46088.679166666669</v>
      </c>
      <c r="C202" s="23">
        <v>46206.679861111108</v>
      </c>
      <c r="D202" s="6" t="s">
        <v>24</v>
      </c>
      <c r="E202" s="6"/>
      <c r="F202" s="27">
        <v>46206</v>
      </c>
      <c r="G202" s="27">
        <v>46088</v>
      </c>
      <c r="H202" s="160" t="s">
        <v>26</v>
      </c>
      <c r="I202" s="6" t="s">
        <v>448</v>
      </c>
      <c r="J202" s="196">
        <v>23836119117</v>
      </c>
      <c r="K202" s="180"/>
      <c r="L202" s="107">
        <v>22276590</v>
      </c>
      <c r="M202" s="31">
        <v>5219903041236</v>
      </c>
      <c r="N202" s="169" t="s">
        <v>106</v>
      </c>
      <c r="O202" s="46">
        <v>5055.87</v>
      </c>
      <c r="P202" s="93">
        <v>1202.26</v>
      </c>
      <c r="Q202" s="8">
        <v>1516.76</v>
      </c>
      <c r="R202" s="13">
        <v>-319.37</v>
      </c>
      <c r="S202" s="70">
        <v>46029</v>
      </c>
      <c r="T202" s="6"/>
      <c r="U202" s="164"/>
      <c r="V202" s="1"/>
      <c r="X202" s="101">
        <v>2</v>
      </c>
    </row>
    <row r="203" spans="2:24" hidden="1">
      <c r="B203" s="24">
        <v>46088.682638888888</v>
      </c>
      <c r="C203" s="24">
        <v>46206.68472222222</v>
      </c>
      <c r="D203" s="10" t="s">
        <v>24</v>
      </c>
      <c r="E203" s="10"/>
      <c r="F203" s="27">
        <v>46206</v>
      </c>
      <c r="G203" s="28" t="s">
        <v>295</v>
      </c>
      <c r="H203" s="160" t="s">
        <v>110</v>
      </c>
      <c r="I203" s="10" t="s">
        <v>449</v>
      </c>
      <c r="J203" s="195">
        <v>54805720395</v>
      </c>
      <c r="K203" s="181"/>
      <c r="L203" s="108">
        <v>22014576</v>
      </c>
      <c r="M203" s="32">
        <v>5216691294225</v>
      </c>
      <c r="N203" s="170" t="s">
        <v>47</v>
      </c>
      <c r="O203" s="47">
        <v>33036.519999999997</v>
      </c>
      <c r="P203" s="94">
        <v>9392.11</v>
      </c>
      <c r="Q203" s="11">
        <v>9910.9599999999991</v>
      </c>
      <c r="R203" s="16">
        <v>518.85</v>
      </c>
      <c r="S203" s="71">
        <v>46393</v>
      </c>
      <c r="T203" s="10"/>
      <c r="U203" s="97"/>
      <c r="V203" s="1"/>
      <c r="X203" s="101">
        <v>2</v>
      </c>
    </row>
    <row r="204" spans="2:24" hidden="1">
      <c r="B204" s="23">
        <v>46088.686111111114</v>
      </c>
      <c r="C204" s="23">
        <v>46206.686805555553</v>
      </c>
      <c r="D204" s="6" t="s">
        <v>24</v>
      </c>
      <c r="E204" s="6"/>
      <c r="F204" s="27">
        <v>46206</v>
      </c>
      <c r="G204" s="27">
        <v>46088</v>
      </c>
      <c r="H204" s="161" t="s">
        <v>170</v>
      </c>
      <c r="I204" s="6" t="s">
        <v>450</v>
      </c>
      <c r="J204" s="196"/>
      <c r="K204" s="180" t="s">
        <v>451</v>
      </c>
      <c r="L204" s="107">
        <v>22276362</v>
      </c>
      <c r="M204" s="31">
        <v>5215647471721</v>
      </c>
      <c r="N204" s="169" t="s">
        <v>28</v>
      </c>
      <c r="O204" s="46">
        <v>36067.29</v>
      </c>
      <c r="P204" s="93"/>
      <c r="Q204" s="8">
        <v>10820.19</v>
      </c>
      <c r="R204" s="9">
        <v>10820.19</v>
      </c>
      <c r="S204" s="70"/>
      <c r="T204" s="6"/>
      <c r="U204" s="164"/>
      <c r="V204" s="1"/>
      <c r="X204" s="101">
        <v>1</v>
      </c>
    </row>
    <row r="205" spans="2:24" hidden="1">
      <c r="B205" s="24">
        <v>46088.688888888886</v>
      </c>
      <c r="C205" s="24">
        <v>46206.689583333333</v>
      </c>
      <c r="D205" s="10" t="s">
        <v>24</v>
      </c>
      <c r="E205" s="10"/>
      <c r="F205" s="27">
        <v>46206</v>
      </c>
      <c r="G205" s="28" t="s">
        <v>45</v>
      </c>
      <c r="H205" s="15" t="s">
        <v>26</v>
      </c>
      <c r="I205" s="10" t="s">
        <v>452</v>
      </c>
      <c r="J205" s="195">
        <v>24634211247</v>
      </c>
      <c r="K205" s="181" t="s">
        <v>453</v>
      </c>
      <c r="L205" s="108">
        <v>22144462</v>
      </c>
      <c r="M205" s="32">
        <v>5216183649575</v>
      </c>
      <c r="N205" s="170" t="s">
        <v>32</v>
      </c>
      <c r="O205" s="47">
        <v>3632.17</v>
      </c>
      <c r="P205" s="94"/>
      <c r="Q205" s="11">
        <v>1089.6500000000001</v>
      </c>
      <c r="R205" s="12">
        <v>0</v>
      </c>
      <c r="S205" s="71"/>
      <c r="T205" s="10"/>
      <c r="U205" s="97"/>
      <c r="V205" s="1"/>
      <c r="X205" s="101">
        <v>1</v>
      </c>
    </row>
    <row r="206" spans="2:24" hidden="1">
      <c r="B206" s="23">
        <v>46088.57916666667</v>
      </c>
      <c r="C206" s="23">
        <v>46206.689583333333</v>
      </c>
      <c r="D206" s="6" t="s">
        <v>24</v>
      </c>
      <c r="E206" s="6"/>
      <c r="F206" s="27">
        <v>46206</v>
      </c>
      <c r="G206" s="27">
        <v>46060</v>
      </c>
      <c r="H206" s="6" t="s">
        <v>51</v>
      </c>
      <c r="I206" s="6" t="s">
        <v>454</v>
      </c>
      <c r="J206" s="196">
        <v>49785605196</v>
      </c>
      <c r="K206" s="180" t="s">
        <v>455</v>
      </c>
      <c r="L206" s="107">
        <v>22254894</v>
      </c>
      <c r="M206" s="31">
        <v>22254894</v>
      </c>
      <c r="N206" s="169" t="s">
        <v>98</v>
      </c>
      <c r="O206" s="46"/>
      <c r="P206" s="93"/>
      <c r="Q206" s="8">
        <v>0</v>
      </c>
      <c r="R206" s="13">
        <v>0</v>
      </c>
      <c r="S206" s="70"/>
      <c r="T206" s="6"/>
      <c r="U206" s="164"/>
      <c r="V206" s="1"/>
      <c r="X206" s="101">
        <v>0</v>
      </c>
    </row>
    <row r="207" spans="2:24" hidden="1">
      <c r="B207" s="24">
        <v>46088.661111111112</v>
      </c>
      <c r="C207" s="24">
        <v>46206.695138888892</v>
      </c>
      <c r="D207" s="10" t="s">
        <v>24</v>
      </c>
      <c r="E207" s="10"/>
      <c r="F207" s="27">
        <v>46206</v>
      </c>
      <c r="G207" s="28">
        <v>46088</v>
      </c>
      <c r="H207" s="10" t="s">
        <v>93</v>
      </c>
      <c r="I207" s="10" t="s">
        <v>456</v>
      </c>
      <c r="J207" s="195"/>
      <c r="K207" s="179" t="s">
        <v>457</v>
      </c>
      <c r="L207" s="108">
        <v>22275378</v>
      </c>
      <c r="M207" s="32">
        <v>3314245619</v>
      </c>
      <c r="N207" s="170" t="s">
        <v>28</v>
      </c>
      <c r="O207" s="47">
        <v>9760.32</v>
      </c>
      <c r="P207" s="94"/>
      <c r="Q207" s="11">
        <v>2928.1</v>
      </c>
      <c r="R207" s="14">
        <v>2928.1</v>
      </c>
      <c r="S207" s="71"/>
      <c r="T207" s="10"/>
      <c r="U207" s="97"/>
      <c r="V207" s="1"/>
      <c r="X207" s="101">
        <v>1</v>
      </c>
    </row>
    <row r="208" spans="2:24" hidden="1">
      <c r="B208" s="23">
        <v>46088.691666666666</v>
      </c>
      <c r="C208" s="23">
        <v>46206.695833333331</v>
      </c>
      <c r="D208" s="6" t="s">
        <v>24</v>
      </c>
      <c r="E208" s="6"/>
      <c r="F208" s="27">
        <v>46206</v>
      </c>
      <c r="G208" s="27">
        <v>46088</v>
      </c>
      <c r="H208" s="10" t="s">
        <v>34</v>
      </c>
      <c r="I208" s="6" t="s">
        <v>458</v>
      </c>
      <c r="J208" s="196"/>
      <c r="K208" s="180" t="s">
        <v>459</v>
      </c>
      <c r="L208" s="107">
        <v>22266388</v>
      </c>
      <c r="M208" s="31">
        <v>5218331211701</v>
      </c>
      <c r="N208" s="169" t="s">
        <v>263</v>
      </c>
      <c r="O208" s="48">
        <v>4813.6899999999996</v>
      </c>
      <c r="P208" s="95">
        <v>748.85</v>
      </c>
      <c r="Q208" s="8">
        <v>1444.11</v>
      </c>
      <c r="R208" s="13">
        <v>-108.14</v>
      </c>
      <c r="S208" s="70">
        <v>45294</v>
      </c>
      <c r="T208" s="6"/>
      <c r="U208" s="164"/>
      <c r="V208" s="1"/>
      <c r="X208" s="101">
        <v>2</v>
      </c>
    </row>
    <row r="209" spans="2:24" hidden="1">
      <c r="B209" s="24">
        <v>46088.707638888889</v>
      </c>
      <c r="C209" s="24">
        <v>46206.710416666669</v>
      </c>
      <c r="D209" s="10" t="s">
        <v>24</v>
      </c>
      <c r="E209" s="10"/>
      <c r="F209" s="27">
        <v>46206</v>
      </c>
      <c r="G209" s="28" t="s">
        <v>25</v>
      </c>
      <c r="H209" s="160" t="s">
        <v>26</v>
      </c>
      <c r="I209" s="10" t="s">
        <v>460</v>
      </c>
      <c r="J209" s="195">
        <v>10816427842</v>
      </c>
      <c r="K209" s="181"/>
      <c r="L209" s="108">
        <v>22069066</v>
      </c>
      <c r="M209" s="32">
        <v>5215573846520</v>
      </c>
      <c r="N209" s="170" t="s">
        <v>28</v>
      </c>
      <c r="O209" s="47">
        <v>9760.32</v>
      </c>
      <c r="P209" s="94"/>
      <c r="Q209" s="11">
        <v>2928.1</v>
      </c>
      <c r="R209" s="14">
        <v>2928.1</v>
      </c>
      <c r="S209" s="71"/>
      <c r="T209" s="10"/>
      <c r="U209" s="97"/>
      <c r="V209" s="1"/>
      <c r="X209" s="101">
        <v>1</v>
      </c>
    </row>
    <row r="210" spans="2:24" hidden="1">
      <c r="B210" s="23">
        <v>46088.64166666667</v>
      </c>
      <c r="C210" s="23">
        <v>46206.713888888888</v>
      </c>
      <c r="D210" s="6" t="s">
        <v>24</v>
      </c>
      <c r="E210" s="6"/>
      <c r="F210" s="27">
        <v>46206</v>
      </c>
      <c r="G210" s="27">
        <v>46060</v>
      </c>
      <c r="H210" s="6" t="s">
        <v>78</v>
      </c>
      <c r="I210" s="6" t="s">
        <v>461</v>
      </c>
      <c r="J210" s="200" t="s">
        <v>462</v>
      </c>
      <c r="K210" s="180" t="s">
        <v>463</v>
      </c>
      <c r="L210" s="107">
        <v>22253604</v>
      </c>
      <c r="M210" s="31">
        <v>5215522981240</v>
      </c>
      <c r="N210" s="169" t="s">
        <v>98</v>
      </c>
      <c r="O210" s="46"/>
      <c r="P210" s="93"/>
      <c r="Q210" s="8">
        <v>0</v>
      </c>
      <c r="R210" s="13">
        <v>0</v>
      </c>
      <c r="S210" s="70"/>
      <c r="T210" s="6"/>
      <c r="U210" s="164"/>
      <c r="V210" s="1"/>
      <c r="X210" s="101">
        <v>0</v>
      </c>
    </row>
    <row r="211" spans="2:24" hidden="1">
      <c r="B211" s="24">
        <v>46088.613194444442</v>
      </c>
      <c r="C211" s="24">
        <v>46206.738194444442</v>
      </c>
      <c r="D211" s="10" t="s">
        <v>24</v>
      </c>
      <c r="E211" s="10"/>
      <c r="F211" s="27">
        <v>46206</v>
      </c>
      <c r="G211" s="28">
        <v>46088</v>
      </c>
      <c r="H211" s="20" t="s">
        <v>135</v>
      </c>
      <c r="I211" s="21" t="s">
        <v>398</v>
      </c>
      <c r="J211" s="198">
        <v>53735411448</v>
      </c>
      <c r="K211" s="181" t="s">
        <v>464</v>
      </c>
      <c r="L211" s="108">
        <v>21952492</v>
      </c>
      <c r="M211" s="32">
        <v>5214432229119</v>
      </c>
      <c r="N211" s="170" t="s">
        <v>32</v>
      </c>
      <c r="O211" s="47">
        <v>4244.09</v>
      </c>
      <c r="P211" s="94"/>
      <c r="Q211" s="11">
        <v>1273.23</v>
      </c>
      <c r="R211" s="12">
        <v>71.11</v>
      </c>
      <c r="S211" s="71"/>
      <c r="T211" s="10"/>
      <c r="U211" s="97"/>
      <c r="V211" s="1"/>
      <c r="X211" s="101">
        <v>1</v>
      </c>
    </row>
    <row r="212" spans="2:24" hidden="1">
      <c r="B212" s="23">
        <v>46088.738888888889</v>
      </c>
      <c r="C212" s="23">
        <v>46206.78125</v>
      </c>
      <c r="D212" s="6" t="s">
        <v>24</v>
      </c>
      <c r="E212" s="6"/>
      <c r="F212" s="27">
        <v>46206</v>
      </c>
      <c r="G212" s="27">
        <v>46088</v>
      </c>
      <c r="H212" s="18" t="s">
        <v>135</v>
      </c>
      <c r="I212" s="6" t="s">
        <v>465</v>
      </c>
      <c r="J212" s="197">
        <v>24795823798</v>
      </c>
      <c r="K212" s="177" t="s">
        <v>466</v>
      </c>
      <c r="L212" s="112">
        <v>22279060</v>
      </c>
      <c r="M212" s="33">
        <v>5216311525973</v>
      </c>
      <c r="N212" s="169" t="s">
        <v>37</v>
      </c>
      <c r="O212" s="46">
        <v>13342.91</v>
      </c>
      <c r="P212" s="93">
        <v>3859.5</v>
      </c>
      <c r="Q212" s="8">
        <v>4002.87</v>
      </c>
      <c r="R212" s="13">
        <v>143.37</v>
      </c>
      <c r="S212" s="70">
        <v>46392</v>
      </c>
      <c r="T212" s="6"/>
      <c r="U212" s="164"/>
      <c r="V212" s="1"/>
      <c r="X212" s="101">
        <v>2</v>
      </c>
    </row>
    <row r="213" spans="2:24" hidden="1">
      <c r="B213" s="24">
        <v>46119.343055555553</v>
      </c>
      <c r="C213" s="24">
        <v>46207.34375</v>
      </c>
      <c r="D213" s="10" t="s">
        <v>24</v>
      </c>
      <c r="E213" s="10"/>
      <c r="F213" s="28">
        <v>46207</v>
      </c>
      <c r="G213" s="28">
        <v>46119</v>
      </c>
      <c r="H213" s="10" t="s">
        <v>90</v>
      </c>
      <c r="I213" s="10" t="s">
        <v>467</v>
      </c>
      <c r="J213" s="195">
        <v>32887089277</v>
      </c>
      <c r="K213" s="181"/>
      <c r="L213" s="111">
        <v>1</v>
      </c>
      <c r="M213" s="32" t="s">
        <v>468</v>
      </c>
      <c r="N213" s="170" t="s">
        <v>74</v>
      </c>
      <c r="O213" s="47"/>
      <c r="P213" s="94"/>
      <c r="Q213" s="11">
        <v>0</v>
      </c>
      <c r="R213" s="12">
        <v>0</v>
      </c>
      <c r="S213" s="71"/>
      <c r="T213" s="10"/>
      <c r="U213" s="97"/>
      <c r="V213" s="1"/>
      <c r="X213" s="101">
        <v>1</v>
      </c>
    </row>
    <row r="214" spans="2:24" hidden="1">
      <c r="B214" s="23">
        <v>46119.348611111112</v>
      </c>
      <c r="C214" s="23">
        <v>46207.352777777778</v>
      </c>
      <c r="D214" s="6" t="s">
        <v>24</v>
      </c>
      <c r="E214" s="6"/>
      <c r="F214" s="28">
        <v>46207</v>
      </c>
      <c r="G214" s="27" t="s">
        <v>347</v>
      </c>
      <c r="H214" s="7" t="s">
        <v>110</v>
      </c>
      <c r="I214" s="6" t="s">
        <v>469</v>
      </c>
      <c r="J214" s="196">
        <v>33816490107</v>
      </c>
      <c r="K214" s="180"/>
      <c r="L214" s="107">
        <v>21915124</v>
      </c>
      <c r="M214" s="31">
        <v>5216144699426</v>
      </c>
      <c r="N214" s="169" t="s">
        <v>74</v>
      </c>
      <c r="O214" s="46"/>
      <c r="P214" s="93"/>
      <c r="Q214" s="8">
        <v>0</v>
      </c>
      <c r="R214" s="13">
        <v>0</v>
      </c>
      <c r="S214" s="70"/>
      <c r="T214" s="6"/>
      <c r="U214" s="164"/>
      <c r="V214" s="1"/>
      <c r="X214" s="101">
        <v>1</v>
      </c>
    </row>
    <row r="215" spans="2:24" hidden="1">
      <c r="B215" s="24">
        <v>46119.352083333331</v>
      </c>
      <c r="C215" s="24">
        <v>46207.354166666664</v>
      </c>
      <c r="D215" s="10" t="s">
        <v>24</v>
      </c>
      <c r="E215" s="10"/>
      <c r="F215" s="28">
        <v>46207</v>
      </c>
      <c r="G215" s="28">
        <v>46119</v>
      </c>
      <c r="H215" s="10" t="s">
        <v>90</v>
      </c>
      <c r="I215" s="10" t="s">
        <v>470</v>
      </c>
      <c r="J215" s="195">
        <v>60917486338</v>
      </c>
      <c r="K215" s="181"/>
      <c r="L215" s="108">
        <v>1</v>
      </c>
      <c r="M215" s="32" t="s">
        <v>471</v>
      </c>
      <c r="N215" s="170" t="s">
        <v>37</v>
      </c>
      <c r="O215" s="47">
        <v>12514.56</v>
      </c>
      <c r="P215" s="94">
        <v>3603.78</v>
      </c>
      <c r="Q215" s="11">
        <v>3754.37</v>
      </c>
      <c r="R215" s="12">
        <v>150.59</v>
      </c>
      <c r="S215" s="71">
        <v>46394</v>
      </c>
      <c r="T215" s="10"/>
      <c r="U215" s="97"/>
      <c r="V215" s="1"/>
      <c r="X215" s="101">
        <v>2</v>
      </c>
    </row>
    <row r="216" spans="2:24" hidden="1">
      <c r="B216" s="23">
        <v>46119.353472222225</v>
      </c>
      <c r="C216" s="23">
        <v>46207.355555555558</v>
      </c>
      <c r="D216" s="6" t="s">
        <v>24</v>
      </c>
      <c r="E216" s="6"/>
      <c r="F216" s="28">
        <v>46207</v>
      </c>
      <c r="G216" s="27">
        <v>46088</v>
      </c>
      <c r="H216" s="18" t="s">
        <v>71</v>
      </c>
      <c r="I216" s="6" t="s">
        <v>472</v>
      </c>
      <c r="J216" s="196">
        <v>11654807095</v>
      </c>
      <c r="K216" s="180" t="s">
        <v>473</v>
      </c>
      <c r="L216" s="107">
        <v>22282382</v>
      </c>
      <c r="M216" s="31">
        <v>5218999440772</v>
      </c>
      <c r="N216" s="169" t="s">
        <v>32</v>
      </c>
      <c r="O216" s="46">
        <v>4441.97</v>
      </c>
      <c r="P216" s="93"/>
      <c r="Q216" s="8">
        <v>1332.59</v>
      </c>
      <c r="R216" s="13">
        <v>268.99</v>
      </c>
      <c r="S216" s="70"/>
      <c r="T216" s="6"/>
      <c r="U216" s="164"/>
      <c r="V216" s="1"/>
      <c r="X216" s="101">
        <v>1</v>
      </c>
    </row>
    <row r="217" spans="2:24" hidden="1">
      <c r="B217" s="24">
        <v>46119.367361111108</v>
      </c>
      <c r="C217" s="24">
        <v>46207.368750000001</v>
      </c>
      <c r="D217" s="10" t="s">
        <v>24</v>
      </c>
      <c r="E217" s="10"/>
      <c r="F217" s="28">
        <v>46207</v>
      </c>
      <c r="G217" s="28">
        <v>46088</v>
      </c>
      <c r="H217" s="20" t="s">
        <v>170</v>
      </c>
      <c r="I217" s="10" t="s">
        <v>474</v>
      </c>
      <c r="J217" s="199">
        <v>1705502100</v>
      </c>
      <c r="K217" s="181" t="s">
        <v>475</v>
      </c>
      <c r="L217" s="108">
        <v>22277676</v>
      </c>
      <c r="M217" s="32">
        <v>5215582497983</v>
      </c>
      <c r="N217" s="170" t="s">
        <v>37</v>
      </c>
      <c r="O217" s="47">
        <v>21642.639999999999</v>
      </c>
      <c r="P217" s="94">
        <v>6261.72</v>
      </c>
      <c r="Q217" s="11">
        <v>6492.79</v>
      </c>
      <c r="R217" s="12">
        <v>231.07</v>
      </c>
      <c r="S217" s="71">
        <v>46394</v>
      </c>
      <c r="T217" s="10"/>
      <c r="U217" s="97"/>
      <c r="V217" s="1"/>
      <c r="X217" s="101">
        <v>2</v>
      </c>
    </row>
    <row r="218" spans="2:24" hidden="1">
      <c r="B218" s="23">
        <v>46119.365972222222</v>
      </c>
      <c r="C218" s="23">
        <v>46207.370138888888</v>
      </c>
      <c r="D218" s="6" t="s">
        <v>24</v>
      </c>
      <c r="E218" s="6"/>
      <c r="F218" s="28">
        <v>46207</v>
      </c>
      <c r="G218" s="27">
        <v>46119</v>
      </c>
      <c r="H218" s="7" t="s">
        <v>476</v>
      </c>
      <c r="I218" s="6" t="s">
        <v>477</v>
      </c>
      <c r="J218" s="196">
        <v>21836563979</v>
      </c>
      <c r="K218" s="180"/>
      <c r="L218" s="108">
        <v>22286252</v>
      </c>
      <c r="M218" s="31">
        <v>5216624288205</v>
      </c>
      <c r="N218" s="169" t="s">
        <v>37</v>
      </c>
      <c r="O218" s="46">
        <v>9760.32</v>
      </c>
      <c r="P218" s="93">
        <v>2823</v>
      </c>
      <c r="Q218" s="8">
        <v>2928.1</v>
      </c>
      <c r="R218" s="13">
        <v>105.1</v>
      </c>
      <c r="S218" s="70">
        <v>46395</v>
      </c>
      <c r="T218" s="6"/>
      <c r="U218" s="164"/>
      <c r="V218" s="1"/>
      <c r="X218" s="101">
        <v>2</v>
      </c>
    </row>
    <row r="219" spans="2:24" hidden="1">
      <c r="B219" s="24">
        <v>46119.347916666666</v>
      </c>
      <c r="C219" s="24">
        <v>46207.38958333333</v>
      </c>
      <c r="D219" s="10" t="s">
        <v>24</v>
      </c>
      <c r="E219" s="10"/>
      <c r="F219" s="28">
        <v>46207</v>
      </c>
      <c r="G219" s="28">
        <v>46119</v>
      </c>
      <c r="H219" s="10" t="s">
        <v>61</v>
      </c>
      <c r="I219" s="10" t="s">
        <v>478</v>
      </c>
      <c r="J219" s="195"/>
      <c r="K219" s="179" t="s">
        <v>479</v>
      </c>
      <c r="L219" s="108">
        <v>22287828</v>
      </c>
      <c r="M219" s="32">
        <v>5218445947253</v>
      </c>
      <c r="N219" s="170" t="s">
        <v>106</v>
      </c>
      <c r="O219" s="47">
        <v>9081.52</v>
      </c>
      <c r="P219" s="94">
        <v>2521.35</v>
      </c>
      <c r="Q219" s="11">
        <v>2724.46</v>
      </c>
      <c r="R219" s="12">
        <v>203.11</v>
      </c>
      <c r="S219" s="71">
        <v>46029</v>
      </c>
      <c r="T219" s="10"/>
      <c r="U219" s="97"/>
      <c r="V219" s="1"/>
      <c r="X219" s="101">
        <v>2</v>
      </c>
    </row>
    <row r="220" spans="2:24" hidden="1">
      <c r="B220" s="23">
        <v>46119.384027777778</v>
      </c>
      <c r="C220" s="23">
        <v>46207.390972222223</v>
      </c>
      <c r="D220" s="6" t="s">
        <v>24</v>
      </c>
      <c r="E220" s="6"/>
      <c r="F220" s="28">
        <v>46207</v>
      </c>
      <c r="G220" s="27">
        <v>46119</v>
      </c>
      <c r="H220" s="18" t="s">
        <v>71</v>
      </c>
      <c r="I220" s="6" t="s">
        <v>480</v>
      </c>
      <c r="J220" s="200">
        <v>92977716205</v>
      </c>
      <c r="K220" s="180" t="s">
        <v>481</v>
      </c>
      <c r="L220" s="108">
        <v>22287002</v>
      </c>
      <c r="M220" s="31">
        <v>5215637092459</v>
      </c>
      <c r="N220" s="169" t="s">
        <v>37</v>
      </c>
      <c r="O220" s="46">
        <v>5055.88</v>
      </c>
      <c r="P220" s="93">
        <v>1253.93</v>
      </c>
      <c r="Q220" s="8">
        <v>1516.76</v>
      </c>
      <c r="R220" s="13">
        <v>-371.03</v>
      </c>
      <c r="S220" s="70">
        <v>46753</v>
      </c>
      <c r="T220" s="6"/>
      <c r="U220" s="164"/>
      <c r="V220" s="1"/>
      <c r="X220" s="101">
        <v>2</v>
      </c>
    </row>
    <row r="221" spans="2:24" hidden="1">
      <c r="B221" s="24">
        <v>46119.392361111109</v>
      </c>
      <c r="C221" s="24">
        <v>46207.393055555556</v>
      </c>
      <c r="D221" s="10" t="s">
        <v>24</v>
      </c>
      <c r="E221" s="10"/>
      <c r="F221" s="28">
        <v>46207</v>
      </c>
      <c r="G221" s="28">
        <v>46119</v>
      </c>
      <c r="H221" s="20" t="s">
        <v>71</v>
      </c>
      <c r="I221" s="10" t="s">
        <v>482</v>
      </c>
      <c r="J221" s="195"/>
      <c r="K221" s="181" t="s">
        <v>483</v>
      </c>
      <c r="L221" s="108">
        <v>22287826</v>
      </c>
      <c r="M221" s="32">
        <v>5216181874372</v>
      </c>
      <c r="N221" s="170" t="s">
        <v>37</v>
      </c>
      <c r="O221" s="47">
        <v>9631.32</v>
      </c>
      <c r="P221" s="94">
        <v>2866.31</v>
      </c>
      <c r="Q221" s="11">
        <v>2889.4</v>
      </c>
      <c r="R221" s="12">
        <v>23.09</v>
      </c>
      <c r="S221" s="71">
        <v>46396</v>
      </c>
      <c r="T221" s="10"/>
      <c r="U221" s="97"/>
      <c r="V221" s="1"/>
      <c r="X221" s="101">
        <v>2</v>
      </c>
    </row>
    <row r="222" spans="2:24" hidden="1">
      <c r="B222" s="23">
        <v>46119.415277777778</v>
      </c>
      <c r="C222" s="23">
        <v>46207.420138888891</v>
      </c>
      <c r="D222" s="6" t="s">
        <v>24</v>
      </c>
      <c r="E222" s="6"/>
      <c r="F222" s="28">
        <v>46207</v>
      </c>
      <c r="G222" s="27">
        <v>46119</v>
      </c>
      <c r="H222" s="6" t="s">
        <v>51</v>
      </c>
      <c r="I222" s="6" t="s">
        <v>484</v>
      </c>
      <c r="J222" s="196">
        <v>54786028677</v>
      </c>
      <c r="K222" s="180" t="s">
        <v>485</v>
      </c>
      <c r="L222" s="108">
        <v>22288470</v>
      </c>
      <c r="M222" s="31">
        <v>5213323918062</v>
      </c>
      <c r="N222" s="169" t="s">
        <v>37</v>
      </c>
      <c r="O222" s="48">
        <v>9081.52</v>
      </c>
      <c r="P222" s="95">
        <v>2521.35</v>
      </c>
      <c r="Q222" s="8">
        <v>2724.46</v>
      </c>
      <c r="R222" s="13">
        <v>203.11</v>
      </c>
      <c r="S222" s="70">
        <v>46296</v>
      </c>
      <c r="T222" s="6"/>
      <c r="U222" s="164"/>
      <c r="V222" s="1"/>
      <c r="X222" s="101">
        <v>2</v>
      </c>
    </row>
    <row r="223" spans="2:24" hidden="1">
      <c r="B223" s="24">
        <v>46119.411805555559</v>
      </c>
      <c r="C223" s="24">
        <v>46207.431944444441</v>
      </c>
      <c r="D223" s="10" t="s">
        <v>24</v>
      </c>
      <c r="E223" s="10"/>
      <c r="F223" s="28">
        <v>46207</v>
      </c>
      <c r="G223" s="28">
        <v>46060</v>
      </c>
      <c r="H223" s="10" t="s">
        <v>54</v>
      </c>
      <c r="I223" s="10" t="s">
        <v>486</v>
      </c>
      <c r="J223" s="195">
        <v>53946418154</v>
      </c>
      <c r="K223" s="181"/>
      <c r="L223" s="108">
        <v>22253236</v>
      </c>
      <c r="M223" s="32">
        <v>5213535393827</v>
      </c>
      <c r="N223" s="170" t="s">
        <v>37</v>
      </c>
      <c r="O223" s="49">
        <v>9081.52</v>
      </c>
      <c r="P223" s="96">
        <v>2620.65</v>
      </c>
      <c r="Q223" s="11">
        <v>2724.46</v>
      </c>
      <c r="R223" s="12">
        <v>103.81</v>
      </c>
      <c r="S223" s="71">
        <v>46390</v>
      </c>
      <c r="T223" s="10" t="s">
        <v>487</v>
      </c>
      <c r="U223" s="97"/>
      <c r="V223" s="1"/>
      <c r="X223" s="101">
        <v>2</v>
      </c>
    </row>
    <row r="224" spans="2:24" hidden="1">
      <c r="B224" s="23">
        <v>46119.381249999999</v>
      </c>
      <c r="C224" s="23">
        <v>46207.431944444441</v>
      </c>
      <c r="D224" s="6" t="s">
        <v>24</v>
      </c>
      <c r="E224" s="6"/>
      <c r="F224" s="28">
        <v>46207</v>
      </c>
      <c r="G224" s="27">
        <v>46088</v>
      </c>
      <c r="H224" s="6" t="s">
        <v>34</v>
      </c>
      <c r="I224" s="6" t="s">
        <v>488</v>
      </c>
      <c r="J224" s="196"/>
      <c r="K224" s="180" t="s">
        <v>489</v>
      </c>
      <c r="L224" s="108">
        <v>22269146</v>
      </c>
      <c r="M224" s="31">
        <v>5214771305081</v>
      </c>
      <c r="N224" s="169" t="s">
        <v>37</v>
      </c>
      <c r="O224" s="48">
        <v>17200.419999999998</v>
      </c>
      <c r="P224" s="95">
        <v>4975.7700000000004</v>
      </c>
      <c r="Q224" s="8">
        <v>5160.13</v>
      </c>
      <c r="R224" s="13">
        <v>184.36</v>
      </c>
      <c r="S224" s="70">
        <v>46235</v>
      </c>
      <c r="T224" s="6" t="s">
        <v>490</v>
      </c>
      <c r="U224" s="164"/>
      <c r="V224" s="1"/>
      <c r="X224" s="101">
        <v>2</v>
      </c>
    </row>
    <row r="225" spans="2:24" hidden="1">
      <c r="B225" s="24">
        <v>46119.393750000003</v>
      </c>
      <c r="C225" s="24">
        <v>46207.434027777781</v>
      </c>
      <c r="D225" s="10" t="s">
        <v>24</v>
      </c>
      <c r="E225" s="10"/>
      <c r="F225" s="28">
        <v>46207</v>
      </c>
      <c r="G225" s="28">
        <v>46119</v>
      </c>
      <c r="H225" s="10" t="s">
        <v>124</v>
      </c>
      <c r="I225" s="10" t="s">
        <v>491</v>
      </c>
      <c r="J225" s="195"/>
      <c r="K225" s="181" t="s">
        <v>492</v>
      </c>
      <c r="L225" s="108">
        <v>22289996</v>
      </c>
      <c r="M225" s="32">
        <v>5219999940366</v>
      </c>
      <c r="N225" s="170" t="s">
        <v>32</v>
      </c>
      <c r="O225" s="49">
        <v>4199.87</v>
      </c>
      <c r="P225" s="96"/>
      <c r="Q225" s="11">
        <v>1259.96</v>
      </c>
      <c r="R225" s="12">
        <v>26.89</v>
      </c>
      <c r="S225" s="71"/>
      <c r="T225" s="10"/>
      <c r="U225" s="97"/>
      <c r="V225" s="1"/>
      <c r="X225" s="101">
        <v>1</v>
      </c>
    </row>
    <row r="226" spans="2:24" hidden="1">
      <c r="B226" s="23">
        <v>46119.434027777781</v>
      </c>
      <c r="C226" s="23">
        <v>46207.435416666667</v>
      </c>
      <c r="D226" s="6" t="s">
        <v>24</v>
      </c>
      <c r="E226" s="6"/>
      <c r="F226" s="28">
        <v>46207</v>
      </c>
      <c r="G226" s="27" t="s">
        <v>25</v>
      </c>
      <c r="H226" s="10" t="s">
        <v>61</v>
      </c>
      <c r="I226" s="6" t="s">
        <v>493</v>
      </c>
      <c r="J226" s="196"/>
      <c r="K226" s="180" t="s">
        <v>494</v>
      </c>
      <c r="L226" s="107">
        <v>22068448</v>
      </c>
      <c r="M226" s="31">
        <v>5218132440996</v>
      </c>
      <c r="N226" s="169" t="s">
        <v>28</v>
      </c>
      <c r="O226" s="48">
        <v>9504.7000000000007</v>
      </c>
      <c r="P226" s="95"/>
      <c r="Q226" s="8">
        <v>2851.41</v>
      </c>
      <c r="R226" s="9">
        <v>2851.41</v>
      </c>
      <c r="S226" s="70"/>
      <c r="T226" s="6"/>
      <c r="U226" s="164"/>
      <c r="V226" s="1"/>
      <c r="X226" s="101">
        <v>1</v>
      </c>
    </row>
    <row r="227" spans="2:24" hidden="1">
      <c r="B227" s="24">
        <v>46060.537499999999</v>
      </c>
      <c r="C227" s="24">
        <v>46207.445833333331</v>
      </c>
      <c r="D227" s="10" t="s">
        <v>24</v>
      </c>
      <c r="E227" s="10"/>
      <c r="F227" s="28">
        <v>46207</v>
      </c>
      <c r="G227" s="28">
        <v>46119</v>
      </c>
      <c r="H227" s="161" t="s">
        <v>135</v>
      </c>
      <c r="I227" s="10" t="s">
        <v>495</v>
      </c>
      <c r="J227" s="195">
        <v>83775502525</v>
      </c>
      <c r="K227" s="181" t="s">
        <v>496</v>
      </c>
      <c r="L227" s="108">
        <v>22279618</v>
      </c>
      <c r="M227" s="32">
        <v>5219343447799</v>
      </c>
      <c r="N227" s="170" t="s">
        <v>263</v>
      </c>
      <c r="O227" s="49">
        <v>6589.24</v>
      </c>
      <c r="P227" s="96">
        <v>1976.77</v>
      </c>
      <c r="Q227" s="11">
        <v>1976.77</v>
      </c>
      <c r="R227" s="12">
        <v>0</v>
      </c>
      <c r="S227" s="71">
        <v>45302</v>
      </c>
      <c r="T227" s="10" t="s">
        <v>178</v>
      </c>
      <c r="U227" s="97"/>
      <c r="V227" s="1"/>
      <c r="X227" s="101">
        <v>2</v>
      </c>
    </row>
    <row r="228" spans="2:24" hidden="1">
      <c r="B228" s="23">
        <v>46119.444444444445</v>
      </c>
      <c r="C228" s="23">
        <v>46207.447916666664</v>
      </c>
      <c r="D228" s="6" t="s">
        <v>24</v>
      </c>
      <c r="E228" s="6"/>
      <c r="F228" s="28">
        <v>46207</v>
      </c>
      <c r="G228" s="27">
        <v>46119</v>
      </c>
      <c r="H228" s="6" t="s">
        <v>39</v>
      </c>
      <c r="I228" s="6" t="s">
        <v>497</v>
      </c>
      <c r="J228" s="196">
        <v>12775820652</v>
      </c>
      <c r="K228" s="180" t="s">
        <v>498</v>
      </c>
      <c r="L228" s="108">
        <v>22290440</v>
      </c>
      <c r="M228" s="31">
        <v>5218994213821</v>
      </c>
      <c r="N228" s="169" t="s">
        <v>37</v>
      </c>
      <c r="O228" s="48">
        <v>7116.73</v>
      </c>
      <c r="P228" s="95">
        <v>2059</v>
      </c>
      <c r="Q228" s="8">
        <v>2135.02</v>
      </c>
      <c r="R228" s="13">
        <v>76.02</v>
      </c>
      <c r="S228" s="70">
        <v>46391</v>
      </c>
      <c r="T228" s="6"/>
      <c r="U228" s="164"/>
      <c r="V228" s="1"/>
      <c r="X228" s="101">
        <v>2</v>
      </c>
    </row>
    <row r="229" spans="2:24" hidden="1">
      <c r="B229" s="24">
        <v>46119.45208333333</v>
      </c>
      <c r="C229" s="24">
        <v>46207.456944444442</v>
      </c>
      <c r="D229" s="10" t="s">
        <v>24</v>
      </c>
      <c r="E229" s="10"/>
      <c r="F229" s="28">
        <v>46207</v>
      </c>
      <c r="G229" s="28">
        <v>46119</v>
      </c>
      <c r="H229" s="10" t="s">
        <v>34</v>
      </c>
      <c r="I229" s="10" t="s">
        <v>499</v>
      </c>
      <c r="J229" s="195">
        <v>32705224106</v>
      </c>
      <c r="K229" s="181" t="s">
        <v>500</v>
      </c>
      <c r="L229" s="108">
        <v>22286788</v>
      </c>
      <c r="M229" s="32">
        <v>5218661167988</v>
      </c>
      <c r="N229" s="170" t="s">
        <v>37</v>
      </c>
      <c r="O229" s="47">
        <v>8658.06</v>
      </c>
      <c r="P229" s="94">
        <v>2597.42</v>
      </c>
      <c r="Q229" s="11">
        <v>2597.42</v>
      </c>
      <c r="R229" s="12">
        <v>0</v>
      </c>
      <c r="S229" s="71">
        <v>46394</v>
      </c>
      <c r="T229" s="10"/>
      <c r="U229" s="97"/>
      <c r="V229" s="1"/>
      <c r="X229" s="101">
        <v>2</v>
      </c>
    </row>
    <row r="230" spans="2:24" hidden="1">
      <c r="B230" s="23">
        <v>46119.431944444441</v>
      </c>
      <c r="C230" s="23">
        <v>46207.458333333336</v>
      </c>
      <c r="D230" s="6" t="s">
        <v>24</v>
      </c>
      <c r="E230" s="6"/>
      <c r="F230" s="28">
        <v>46207</v>
      </c>
      <c r="G230" s="27">
        <v>46119</v>
      </c>
      <c r="H230" s="6" t="s">
        <v>54</v>
      </c>
      <c r="I230" s="6" t="s">
        <v>501</v>
      </c>
      <c r="J230" s="196">
        <v>88846523285</v>
      </c>
      <c r="K230" s="180" t="s">
        <v>502</v>
      </c>
      <c r="L230" s="107">
        <v>22289304</v>
      </c>
      <c r="M230" s="31">
        <v>22289304</v>
      </c>
      <c r="N230" s="169" t="s">
        <v>32</v>
      </c>
      <c r="O230" s="48">
        <v>3623.36</v>
      </c>
      <c r="P230" s="95">
        <v>879</v>
      </c>
      <c r="Q230" s="8">
        <v>1087.01</v>
      </c>
      <c r="R230" s="13">
        <v>-879</v>
      </c>
      <c r="S230" s="70"/>
      <c r="T230" s="6"/>
      <c r="U230" s="164"/>
      <c r="V230" s="1"/>
      <c r="X230" s="101">
        <v>1</v>
      </c>
    </row>
    <row r="231" spans="2:24" hidden="1">
      <c r="B231" s="24">
        <v>46119.45208333333</v>
      </c>
      <c r="C231" s="24">
        <v>46207.461111111108</v>
      </c>
      <c r="D231" s="10" t="s">
        <v>24</v>
      </c>
      <c r="E231" s="10"/>
      <c r="F231" s="28">
        <v>46207</v>
      </c>
      <c r="G231" s="28">
        <v>46119</v>
      </c>
      <c r="H231" s="10" t="s">
        <v>127</v>
      </c>
      <c r="I231" s="10" t="s">
        <v>503</v>
      </c>
      <c r="J231" s="195">
        <v>43776051047</v>
      </c>
      <c r="K231" s="181" t="s">
        <v>504</v>
      </c>
      <c r="L231" s="108">
        <v>22283830</v>
      </c>
      <c r="M231" s="32">
        <v>5218140749333</v>
      </c>
      <c r="N231" s="170" t="s">
        <v>37</v>
      </c>
      <c r="O231" s="47">
        <v>9081.52</v>
      </c>
      <c r="P231" s="94">
        <v>2619.13</v>
      </c>
      <c r="Q231" s="11">
        <v>2724.46</v>
      </c>
      <c r="R231" s="12">
        <v>105.33</v>
      </c>
      <c r="S231" s="71">
        <v>46753</v>
      </c>
      <c r="T231" s="10" t="s">
        <v>259</v>
      </c>
      <c r="U231" s="97"/>
      <c r="V231" s="1"/>
      <c r="X231" s="101">
        <v>2</v>
      </c>
    </row>
    <row r="232" spans="2:24" hidden="1">
      <c r="B232" s="23">
        <v>46119.452777777777</v>
      </c>
      <c r="C232" s="23">
        <v>46207.461111111108</v>
      </c>
      <c r="D232" s="6" t="s">
        <v>24</v>
      </c>
      <c r="E232" s="6"/>
      <c r="F232" s="28">
        <v>46207</v>
      </c>
      <c r="G232" s="27">
        <v>46088</v>
      </c>
      <c r="H232" s="6" t="s">
        <v>160</v>
      </c>
      <c r="I232" s="6" t="s">
        <v>505</v>
      </c>
      <c r="J232" s="196">
        <v>1836533909</v>
      </c>
      <c r="K232" s="180" t="s">
        <v>506</v>
      </c>
      <c r="L232" s="108">
        <v>22281082</v>
      </c>
      <c r="M232" s="31">
        <v>22281082</v>
      </c>
      <c r="N232" s="169" t="s">
        <v>37</v>
      </c>
      <c r="O232" s="46">
        <v>18803.560000000001</v>
      </c>
      <c r="P232" s="93">
        <v>5639.94</v>
      </c>
      <c r="Q232" s="8">
        <v>5641.07</v>
      </c>
      <c r="R232" s="13">
        <v>1.1299999999999999</v>
      </c>
      <c r="S232" s="70">
        <v>46756</v>
      </c>
      <c r="T232" s="6"/>
      <c r="U232" s="164"/>
      <c r="V232" s="1"/>
      <c r="X232" s="101">
        <v>2</v>
      </c>
    </row>
    <row r="233" spans="2:24" hidden="1">
      <c r="B233" s="24">
        <v>46088.727083333331</v>
      </c>
      <c r="C233" s="24">
        <v>46207.481249999997</v>
      </c>
      <c r="D233" s="10" t="s">
        <v>24</v>
      </c>
      <c r="E233" s="10"/>
      <c r="F233" s="28">
        <v>46207</v>
      </c>
      <c r="G233" s="28">
        <v>46088</v>
      </c>
      <c r="H233" s="10" t="s">
        <v>81</v>
      </c>
      <c r="I233" s="10" t="s">
        <v>507</v>
      </c>
      <c r="J233" s="195">
        <v>33785814741</v>
      </c>
      <c r="K233" s="181"/>
      <c r="L233" s="108">
        <v>22282778</v>
      </c>
      <c r="M233" s="32">
        <v>5216273010550</v>
      </c>
      <c r="N233" s="170" t="s">
        <v>37</v>
      </c>
      <c r="O233" s="47">
        <v>9081.52</v>
      </c>
      <c r="P233" s="94">
        <v>2627.5</v>
      </c>
      <c r="Q233" s="11">
        <v>2724.46</v>
      </c>
      <c r="R233" s="12">
        <v>96.96</v>
      </c>
      <c r="S233" s="71">
        <v>46396</v>
      </c>
      <c r="T233" s="10"/>
      <c r="U233" s="97"/>
      <c r="V233" s="1"/>
      <c r="X233" s="101">
        <v>2</v>
      </c>
    </row>
    <row r="234" spans="2:24" hidden="1">
      <c r="B234" s="23">
        <v>46119.480555555558</v>
      </c>
      <c r="C234" s="23">
        <v>46207.484722222223</v>
      </c>
      <c r="D234" s="6" t="s">
        <v>24</v>
      </c>
      <c r="E234" s="6"/>
      <c r="F234" s="28">
        <v>46207</v>
      </c>
      <c r="G234" s="27">
        <v>46119</v>
      </c>
      <c r="H234" s="6" t="s">
        <v>34</v>
      </c>
      <c r="I234" s="6" t="s">
        <v>508</v>
      </c>
      <c r="J234" s="197">
        <v>14906601373</v>
      </c>
      <c r="K234" s="183" t="s">
        <v>194</v>
      </c>
      <c r="L234" s="108">
        <v>22288426</v>
      </c>
      <c r="M234" s="31">
        <v>5214426059158</v>
      </c>
      <c r="N234" s="169" t="s">
        <v>37</v>
      </c>
      <c r="O234" s="46">
        <v>7128.48</v>
      </c>
      <c r="P234" s="93">
        <v>1840.4</v>
      </c>
      <c r="Q234" s="8">
        <v>2138.54</v>
      </c>
      <c r="R234" s="13">
        <v>298.14</v>
      </c>
      <c r="S234" s="70">
        <v>46390</v>
      </c>
      <c r="T234" s="6"/>
      <c r="U234" s="164"/>
      <c r="V234" s="1"/>
      <c r="X234" s="101">
        <v>2</v>
      </c>
    </row>
    <row r="235" spans="2:24" hidden="1">
      <c r="B235" s="24">
        <v>46119.458333333336</v>
      </c>
      <c r="C235" s="24">
        <v>46207.488194444442</v>
      </c>
      <c r="D235" s="10" t="s">
        <v>24</v>
      </c>
      <c r="E235" s="10"/>
      <c r="F235" s="28">
        <v>46207</v>
      </c>
      <c r="G235" s="28">
        <v>46088</v>
      </c>
      <c r="H235" s="10" t="s">
        <v>54</v>
      </c>
      <c r="I235" s="10" t="s">
        <v>509</v>
      </c>
      <c r="J235" s="195">
        <v>6806119712</v>
      </c>
      <c r="K235" s="181" t="s">
        <v>510</v>
      </c>
      <c r="L235" s="108">
        <v>22281380</v>
      </c>
      <c r="M235" s="32">
        <v>5215633398787</v>
      </c>
      <c r="N235" s="170" t="s">
        <v>37</v>
      </c>
      <c r="O235" s="47">
        <v>6262.86</v>
      </c>
      <c r="P235" s="94">
        <v>1811.99</v>
      </c>
      <c r="Q235" s="11">
        <v>1878.86</v>
      </c>
      <c r="R235" s="12">
        <v>66.87</v>
      </c>
      <c r="S235" s="71">
        <v>46388</v>
      </c>
      <c r="T235" s="10"/>
      <c r="U235" s="97"/>
      <c r="V235" s="1"/>
      <c r="X235" s="101">
        <v>2</v>
      </c>
    </row>
    <row r="236" spans="2:24" hidden="1">
      <c r="B236" s="23">
        <v>46119.507638888892</v>
      </c>
      <c r="C236" s="23">
        <v>46207.512499999997</v>
      </c>
      <c r="D236" s="6" t="s">
        <v>24</v>
      </c>
      <c r="E236" s="6"/>
      <c r="F236" s="28">
        <v>46207</v>
      </c>
      <c r="G236" s="27">
        <v>46119</v>
      </c>
      <c r="H236" s="6" t="s">
        <v>34</v>
      </c>
      <c r="I236" s="6" t="s">
        <v>511</v>
      </c>
      <c r="J236" s="196">
        <v>33735009863</v>
      </c>
      <c r="K236" s="180" t="s">
        <v>512</v>
      </c>
      <c r="L236" s="107">
        <v>22292674</v>
      </c>
      <c r="M236" s="31">
        <v>22292674</v>
      </c>
      <c r="N236" s="169" t="s">
        <v>32</v>
      </c>
      <c r="O236" s="46">
        <v>3866.25</v>
      </c>
      <c r="P236" s="93"/>
      <c r="Q236" s="8">
        <v>1159.8800000000001</v>
      </c>
      <c r="R236" s="13">
        <v>0</v>
      </c>
      <c r="S236" s="70"/>
      <c r="T236" s="6"/>
      <c r="U236" s="164"/>
      <c r="V236" s="1"/>
      <c r="X236" s="101">
        <v>1</v>
      </c>
    </row>
    <row r="237" spans="2:24" hidden="1">
      <c r="B237" s="24">
        <v>46119.434027777781</v>
      </c>
      <c r="C237" s="24">
        <v>46207.522222222222</v>
      </c>
      <c r="D237" s="10" t="s">
        <v>24</v>
      </c>
      <c r="E237" s="10"/>
      <c r="F237" s="28">
        <v>46207</v>
      </c>
      <c r="G237" s="28">
        <v>46119</v>
      </c>
      <c r="H237" s="10" t="s">
        <v>124</v>
      </c>
      <c r="I237" s="10" t="s">
        <v>513</v>
      </c>
      <c r="J237" s="195"/>
      <c r="K237" s="181" t="s">
        <v>514</v>
      </c>
      <c r="L237" s="108">
        <v>22292200</v>
      </c>
      <c r="M237" s="32">
        <v>22292200</v>
      </c>
      <c r="N237" s="170" t="s">
        <v>37</v>
      </c>
      <c r="O237" s="47">
        <v>8257.83</v>
      </c>
      <c r="P237" s="94">
        <v>2383.87</v>
      </c>
      <c r="Q237" s="11">
        <v>2477.35</v>
      </c>
      <c r="R237" s="12">
        <v>93.48</v>
      </c>
      <c r="S237" s="71">
        <v>46396</v>
      </c>
      <c r="T237" s="10"/>
      <c r="U237" s="97"/>
      <c r="V237" s="1"/>
      <c r="X237" s="101">
        <v>1</v>
      </c>
    </row>
    <row r="238" spans="2:24" hidden="1">
      <c r="B238" s="23">
        <v>46119.536111111112</v>
      </c>
      <c r="C238" s="23">
        <v>46207.538194444445</v>
      </c>
      <c r="D238" s="6" t="s">
        <v>24</v>
      </c>
      <c r="E238" s="6"/>
      <c r="F238" s="28">
        <v>46207</v>
      </c>
      <c r="G238" s="27">
        <v>46119</v>
      </c>
      <c r="H238" s="6" t="s">
        <v>54</v>
      </c>
      <c r="I238" s="6" t="s">
        <v>515</v>
      </c>
      <c r="J238" s="196">
        <v>1775964818</v>
      </c>
      <c r="K238" s="180" t="s">
        <v>516</v>
      </c>
      <c r="L238" s="108">
        <v>22291636</v>
      </c>
      <c r="M238" s="31">
        <v>5213321190055</v>
      </c>
      <c r="N238" s="169" t="s">
        <v>37</v>
      </c>
      <c r="O238" s="48">
        <v>4813.6899999999996</v>
      </c>
      <c r="P238" s="95">
        <v>640.70000000000005</v>
      </c>
      <c r="Q238" s="8">
        <v>1444.11</v>
      </c>
      <c r="R238" s="13">
        <v>0.01</v>
      </c>
      <c r="S238" s="70">
        <v>46756</v>
      </c>
      <c r="T238" s="6"/>
      <c r="U238" s="164"/>
      <c r="V238" s="1"/>
      <c r="X238" s="101">
        <v>2</v>
      </c>
    </row>
    <row r="239" spans="2:24" hidden="1">
      <c r="B239" s="24">
        <v>46119.538194444445</v>
      </c>
      <c r="C239" s="24">
        <v>46207.538888888892</v>
      </c>
      <c r="D239" s="10" t="s">
        <v>24</v>
      </c>
      <c r="E239" s="10"/>
      <c r="F239" s="28">
        <v>46207</v>
      </c>
      <c r="G239" s="28">
        <v>46119</v>
      </c>
      <c r="H239" s="10" t="s">
        <v>90</v>
      </c>
      <c r="I239" s="10"/>
      <c r="J239" s="195">
        <v>32978040403</v>
      </c>
      <c r="K239" s="181"/>
      <c r="L239" s="108">
        <v>1</v>
      </c>
      <c r="M239" s="32" t="s">
        <v>517</v>
      </c>
      <c r="N239" s="170" t="s">
        <v>37</v>
      </c>
      <c r="O239" s="49">
        <v>7117.6</v>
      </c>
      <c r="P239" s="96">
        <v>2059.9699999999998</v>
      </c>
      <c r="Q239" s="11">
        <v>2135.2800000000002</v>
      </c>
      <c r="R239" s="12">
        <v>75.31</v>
      </c>
      <c r="S239" s="71">
        <v>46399</v>
      </c>
      <c r="T239" s="10"/>
      <c r="U239" s="97"/>
      <c r="V239" s="1"/>
      <c r="X239" s="101">
        <v>2</v>
      </c>
    </row>
    <row r="240" spans="2:24" hidden="1">
      <c r="B240" s="23">
        <v>46119.568749999999</v>
      </c>
      <c r="C240" s="23">
        <v>46207.570833333331</v>
      </c>
      <c r="D240" s="6" t="s">
        <v>24</v>
      </c>
      <c r="E240" s="6"/>
      <c r="F240" s="28">
        <v>46207</v>
      </c>
      <c r="G240" s="27">
        <v>46119</v>
      </c>
      <c r="H240" s="6" t="s">
        <v>61</v>
      </c>
      <c r="I240" s="6" t="s">
        <v>518</v>
      </c>
      <c r="J240" s="196">
        <v>84917123998</v>
      </c>
      <c r="K240" s="180" t="s">
        <v>519</v>
      </c>
      <c r="L240" s="108">
        <v>22294004</v>
      </c>
      <c r="M240" s="31">
        <v>5219845815109</v>
      </c>
      <c r="N240" s="169" t="s">
        <v>37</v>
      </c>
      <c r="O240" s="48">
        <v>7363.38</v>
      </c>
      <c r="P240" s="95">
        <v>2039.8</v>
      </c>
      <c r="Q240" s="8">
        <v>2209.0100000000002</v>
      </c>
      <c r="R240" s="13">
        <v>169.21</v>
      </c>
      <c r="S240" s="70">
        <v>46235</v>
      </c>
      <c r="T240" s="6"/>
      <c r="U240" s="164"/>
      <c r="V240" s="1"/>
      <c r="X240" s="101">
        <v>2</v>
      </c>
    </row>
    <row r="241" spans="2:24" hidden="1">
      <c r="B241" s="24">
        <v>46119.593055555553</v>
      </c>
      <c r="C241" s="24">
        <v>46207.595833333333</v>
      </c>
      <c r="D241" s="10" t="s">
        <v>24</v>
      </c>
      <c r="E241" s="10"/>
      <c r="F241" s="28">
        <v>46207</v>
      </c>
      <c r="G241" s="28">
        <v>46088</v>
      </c>
      <c r="H241" s="15" t="s">
        <v>107</v>
      </c>
      <c r="I241" s="124"/>
      <c r="J241" s="195"/>
      <c r="K241" s="181" t="s">
        <v>520</v>
      </c>
      <c r="L241" s="108">
        <v>22277652</v>
      </c>
      <c r="M241" s="32">
        <v>5219992281450</v>
      </c>
      <c r="N241" s="170" t="s">
        <v>37</v>
      </c>
      <c r="O241" s="49">
        <v>9760.32</v>
      </c>
      <c r="P241" s="96">
        <v>2928.1</v>
      </c>
      <c r="Q241" s="11">
        <v>2928.1</v>
      </c>
      <c r="R241" s="12">
        <v>0</v>
      </c>
      <c r="S241" s="71">
        <v>46755</v>
      </c>
      <c r="T241" s="10"/>
      <c r="U241" s="97"/>
      <c r="V241" s="1"/>
      <c r="X241" s="101">
        <v>2</v>
      </c>
    </row>
    <row r="242" spans="2:24" hidden="1">
      <c r="B242" s="23">
        <v>46119.522222222222</v>
      </c>
      <c r="C242" s="23">
        <v>46207.597916666666</v>
      </c>
      <c r="D242" s="6" t="s">
        <v>24</v>
      </c>
      <c r="E242" s="6"/>
      <c r="F242" s="28">
        <v>46207</v>
      </c>
      <c r="G242" s="27">
        <v>46119</v>
      </c>
      <c r="H242" s="6" t="s">
        <v>124</v>
      </c>
      <c r="I242" s="6" t="s">
        <v>521</v>
      </c>
      <c r="J242" s="196"/>
      <c r="K242" s="180" t="s">
        <v>522</v>
      </c>
      <c r="L242" s="108">
        <v>22288172</v>
      </c>
      <c r="M242" s="31">
        <v>5217555591253</v>
      </c>
      <c r="N242" s="169" t="s">
        <v>37</v>
      </c>
      <c r="O242" s="48">
        <v>9081.52</v>
      </c>
      <c r="P242" s="95">
        <v>2607.2399999999998</v>
      </c>
      <c r="Q242" s="8">
        <v>2724.46</v>
      </c>
      <c r="R242" s="13">
        <v>117.22</v>
      </c>
      <c r="S242" s="70">
        <v>46393</v>
      </c>
      <c r="T242" s="6"/>
      <c r="U242" s="164"/>
      <c r="V242" s="1"/>
      <c r="X242" s="101">
        <v>2</v>
      </c>
    </row>
    <row r="243" spans="2:24" hidden="1">
      <c r="B243" s="24">
        <v>46119.602777777778</v>
      </c>
      <c r="C243" s="24">
        <v>46207.604861111111</v>
      </c>
      <c r="D243" s="10" t="s">
        <v>24</v>
      </c>
      <c r="E243" s="10"/>
      <c r="F243" s="28">
        <v>46207</v>
      </c>
      <c r="G243" s="28" t="s">
        <v>523</v>
      </c>
      <c r="H243" s="161" t="s">
        <v>71</v>
      </c>
      <c r="I243" s="10" t="s">
        <v>524</v>
      </c>
      <c r="J243" s="195">
        <v>32846605098</v>
      </c>
      <c r="K243" s="179" t="s">
        <v>525</v>
      </c>
      <c r="L243" s="108">
        <v>21883668</v>
      </c>
      <c r="M243" s="32">
        <v>5218771369038</v>
      </c>
      <c r="N243" s="170" t="s">
        <v>106</v>
      </c>
      <c r="O243" s="49">
        <v>5642.22</v>
      </c>
      <c r="P243" s="96">
        <v>1354.16</v>
      </c>
      <c r="Q243" s="11">
        <v>1692.67</v>
      </c>
      <c r="R243" s="12">
        <v>115.08</v>
      </c>
      <c r="S243" s="71">
        <v>46028</v>
      </c>
      <c r="T243" s="10"/>
      <c r="U243" s="97"/>
      <c r="V243" s="1"/>
      <c r="X243" s="101">
        <v>2</v>
      </c>
    </row>
    <row r="244" spans="2:24" hidden="1">
      <c r="B244" s="23">
        <v>46119.615972222222</v>
      </c>
      <c r="C244" s="23">
        <v>46207.620833333334</v>
      </c>
      <c r="D244" s="6" t="s">
        <v>24</v>
      </c>
      <c r="E244" s="6"/>
      <c r="F244" s="28">
        <v>46207</v>
      </c>
      <c r="G244" s="27">
        <v>46119</v>
      </c>
      <c r="H244" s="6" t="s">
        <v>78</v>
      </c>
      <c r="I244" s="6" t="s">
        <v>526</v>
      </c>
      <c r="J244" s="196"/>
      <c r="K244" s="180" t="s">
        <v>527</v>
      </c>
      <c r="L244" s="107">
        <v>22289472</v>
      </c>
      <c r="M244" s="31">
        <v>5219212531864</v>
      </c>
      <c r="N244" s="169" t="s">
        <v>98</v>
      </c>
      <c r="O244" s="48"/>
      <c r="P244" s="95"/>
      <c r="Q244" s="8">
        <v>0</v>
      </c>
      <c r="R244" s="13">
        <v>0</v>
      </c>
      <c r="S244" s="70"/>
      <c r="T244" s="6"/>
      <c r="U244" s="164"/>
      <c r="V244" s="1"/>
      <c r="X244" s="101">
        <v>0</v>
      </c>
    </row>
    <row r="245" spans="2:24" hidden="1">
      <c r="B245" s="24">
        <v>46119.613888888889</v>
      </c>
      <c r="C245" s="24">
        <v>46207.621527777781</v>
      </c>
      <c r="D245" s="10" t="s">
        <v>24</v>
      </c>
      <c r="E245" s="10"/>
      <c r="F245" s="28">
        <v>46207</v>
      </c>
      <c r="G245" s="28">
        <v>46119</v>
      </c>
      <c r="H245" s="10" t="s">
        <v>39</v>
      </c>
      <c r="I245" s="10" t="s">
        <v>528</v>
      </c>
      <c r="J245" s="195">
        <v>24846213510</v>
      </c>
      <c r="K245" s="181" t="s">
        <v>529</v>
      </c>
      <c r="L245" s="108">
        <v>22294366</v>
      </c>
      <c r="M245" s="32">
        <v>5216623655339</v>
      </c>
      <c r="N245" s="170" t="s">
        <v>32</v>
      </c>
      <c r="O245" s="49">
        <v>4332.32</v>
      </c>
      <c r="P245" s="96">
        <v>848</v>
      </c>
      <c r="Q245" s="11">
        <v>1299.7</v>
      </c>
      <c r="R245" s="12">
        <v>-688.66</v>
      </c>
      <c r="S245" s="71"/>
      <c r="T245" s="10"/>
      <c r="U245" s="97"/>
      <c r="V245" s="1"/>
      <c r="X245" s="101">
        <v>1</v>
      </c>
    </row>
    <row r="246" spans="2:24" hidden="1">
      <c r="B246" s="23">
        <v>46119.626388888886</v>
      </c>
      <c r="C246" s="23">
        <v>46207.627083333333</v>
      </c>
      <c r="D246" s="6" t="s">
        <v>24</v>
      </c>
      <c r="E246" s="6"/>
      <c r="F246" s="28">
        <v>46207</v>
      </c>
      <c r="G246" s="27">
        <v>46088</v>
      </c>
      <c r="H246" s="7" t="s">
        <v>26</v>
      </c>
      <c r="I246" s="6" t="s">
        <v>530</v>
      </c>
      <c r="J246" s="196">
        <v>41775706348</v>
      </c>
      <c r="K246" s="180"/>
      <c r="L246" s="108">
        <v>22277358</v>
      </c>
      <c r="M246" s="31">
        <v>5214613417583</v>
      </c>
      <c r="N246" s="169" t="s">
        <v>37</v>
      </c>
      <c r="O246" s="48">
        <v>6827.6</v>
      </c>
      <c r="P246" s="95">
        <v>1972.27</v>
      </c>
      <c r="Q246" s="8">
        <v>2048.2800000000002</v>
      </c>
      <c r="R246" s="13">
        <v>76.010000000000005</v>
      </c>
      <c r="S246" s="70">
        <v>46395</v>
      </c>
      <c r="T246" s="6" t="s">
        <v>192</v>
      </c>
      <c r="U246" s="164"/>
      <c r="V246" s="1"/>
      <c r="X246" s="101">
        <v>2</v>
      </c>
    </row>
    <row r="247" spans="2:24" hidden="1">
      <c r="B247" s="24">
        <v>46119.618750000001</v>
      </c>
      <c r="C247" s="24">
        <v>46207.628472222219</v>
      </c>
      <c r="D247" s="10" t="s">
        <v>24</v>
      </c>
      <c r="E247" s="10"/>
      <c r="F247" s="28">
        <v>46207</v>
      </c>
      <c r="G247" s="28">
        <v>46088</v>
      </c>
      <c r="H247" s="10" t="s">
        <v>127</v>
      </c>
      <c r="I247" s="10" t="s">
        <v>531</v>
      </c>
      <c r="J247" s="195">
        <v>23835709082</v>
      </c>
      <c r="K247" s="181" t="s">
        <v>532</v>
      </c>
      <c r="L247" s="108">
        <v>22269532</v>
      </c>
      <c r="M247" s="32">
        <v>22269532</v>
      </c>
      <c r="N247" s="170" t="s">
        <v>32</v>
      </c>
      <c r="O247" s="49">
        <v>4199.87</v>
      </c>
      <c r="P247" s="96">
        <v>848</v>
      </c>
      <c r="Q247" s="11">
        <v>1259.96</v>
      </c>
      <c r="R247" s="12">
        <v>-821.11</v>
      </c>
      <c r="S247" s="71"/>
      <c r="T247" s="10"/>
      <c r="U247" s="97"/>
      <c r="V247" s="1"/>
      <c r="X247" s="101">
        <v>1</v>
      </c>
    </row>
    <row r="248" spans="2:24" hidden="1">
      <c r="B248" s="23">
        <v>46119.636805555558</v>
      </c>
      <c r="C248" s="23">
        <v>46207.638888888891</v>
      </c>
      <c r="D248" s="6" t="s">
        <v>24</v>
      </c>
      <c r="E248" s="6"/>
      <c r="F248" s="28">
        <v>46207</v>
      </c>
      <c r="G248" s="27">
        <v>46088</v>
      </c>
      <c r="H248" s="6" t="s">
        <v>61</v>
      </c>
      <c r="I248" s="6" t="s">
        <v>533</v>
      </c>
      <c r="J248" s="196">
        <v>78947830309</v>
      </c>
      <c r="K248" s="180" t="s">
        <v>534</v>
      </c>
      <c r="L248" s="107">
        <v>22282674</v>
      </c>
      <c r="M248" s="31">
        <v>5212811161642</v>
      </c>
      <c r="N248" s="169" t="s">
        <v>74</v>
      </c>
      <c r="O248" s="48"/>
      <c r="P248" s="95"/>
      <c r="Q248" s="8">
        <v>0</v>
      </c>
      <c r="R248" s="13">
        <v>0</v>
      </c>
      <c r="S248" s="70"/>
      <c r="T248" s="6"/>
      <c r="U248" s="164"/>
      <c r="V248" s="1"/>
      <c r="X248" s="101">
        <v>1</v>
      </c>
    </row>
    <row r="249" spans="2:24" hidden="1">
      <c r="B249" s="24">
        <v>46119.634722222225</v>
      </c>
      <c r="C249" s="24">
        <v>46207.63958333333</v>
      </c>
      <c r="D249" s="10" t="s">
        <v>24</v>
      </c>
      <c r="E249" s="10"/>
      <c r="F249" s="28">
        <v>46207</v>
      </c>
      <c r="G249" s="28">
        <v>46119</v>
      </c>
      <c r="H249" s="10" t="s">
        <v>54</v>
      </c>
      <c r="I249" s="10" t="s">
        <v>535</v>
      </c>
      <c r="J249" s="195">
        <v>1765675556</v>
      </c>
      <c r="K249" s="181" t="s">
        <v>536</v>
      </c>
      <c r="L249" s="108">
        <v>22292764</v>
      </c>
      <c r="M249" s="32">
        <v>5215513185697</v>
      </c>
      <c r="N249" s="170" t="s">
        <v>32</v>
      </c>
      <c r="O249" s="49">
        <v>4907.8</v>
      </c>
      <c r="P249" s="96">
        <v>848</v>
      </c>
      <c r="Q249" s="11">
        <v>1472.34</v>
      </c>
      <c r="R249" s="12">
        <v>-113.18</v>
      </c>
      <c r="S249" s="71"/>
      <c r="T249" s="10"/>
      <c r="U249" s="97"/>
      <c r="V249" s="1"/>
      <c r="X249" s="101">
        <v>1</v>
      </c>
    </row>
    <row r="250" spans="2:24" hidden="1">
      <c r="B250" s="23">
        <v>46119.597916666666</v>
      </c>
      <c r="C250" s="23">
        <v>46207.63958333333</v>
      </c>
      <c r="D250" s="6" t="s">
        <v>24</v>
      </c>
      <c r="E250" s="6"/>
      <c r="F250" s="28">
        <v>46207</v>
      </c>
      <c r="G250" s="27">
        <v>46119</v>
      </c>
      <c r="H250" s="6" t="s">
        <v>124</v>
      </c>
      <c r="I250" s="6" t="s">
        <v>537</v>
      </c>
      <c r="J250" s="196">
        <v>33896101665</v>
      </c>
      <c r="K250" s="180" t="s">
        <v>538</v>
      </c>
      <c r="L250" s="108">
        <v>22295712</v>
      </c>
      <c r="M250" s="31">
        <v>5216561611875</v>
      </c>
      <c r="N250" s="169" t="s">
        <v>37</v>
      </c>
      <c r="O250" s="48">
        <v>13426.56</v>
      </c>
      <c r="P250" s="95">
        <v>4027.97</v>
      </c>
      <c r="Q250" s="8">
        <v>4027.97</v>
      </c>
      <c r="R250" s="13">
        <v>0</v>
      </c>
      <c r="S250" s="70">
        <v>46391</v>
      </c>
      <c r="T250" s="6"/>
      <c r="U250" s="164"/>
      <c r="V250" s="1"/>
      <c r="X250" s="101">
        <v>2</v>
      </c>
    </row>
    <row r="251" spans="2:24" hidden="1">
      <c r="B251" s="24">
        <v>46119.636805555558</v>
      </c>
      <c r="C251" s="24">
        <v>46207.643750000003</v>
      </c>
      <c r="D251" s="10" t="s">
        <v>24</v>
      </c>
      <c r="E251" s="10"/>
      <c r="F251" s="28">
        <v>46207</v>
      </c>
      <c r="G251" s="28">
        <v>46119</v>
      </c>
      <c r="H251" s="10" t="s">
        <v>78</v>
      </c>
      <c r="I251" s="10" t="s">
        <v>539</v>
      </c>
      <c r="J251" s="195">
        <v>31917425543</v>
      </c>
      <c r="K251" s="181" t="s">
        <v>540</v>
      </c>
      <c r="L251" s="108">
        <v>22292892</v>
      </c>
      <c r="M251" s="32">
        <v>5218715120662</v>
      </c>
      <c r="N251" s="170" t="s">
        <v>32</v>
      </c>
      <c r="O251" s="49">
        <v>3635.76</v>
      </c>
      <c r="P251" s="96">
        <v>848</v>
      </c>
      <c r="Q251" s="11">
        <v>1090.73</v>
      </c>
      <c r="R251" s="12">
        <v>-848</v>
      </c>
      <c r="S251" s="71"/>
      <c r="T251" s="10"/>
      <c r="U251" s="97"/>
      <c r="V251" s="1"/>
      <c r="X251" s="101">
        <v>1</v>
      </c>
    </row>
    <row r="252" spans="2:24" hidden="1">
      <c r="B252" s="23">
        <v>46119.622916666667</v>
      </c>
      <c r="C252" s="23">
        <v>46207.645138888889</v>
      </c>
      <c r="D252" s="6" t="s">
        <v>24</v>
      </c>
      <c r="E252" s="6"/>
      <c r="F252" s="28">
        <v>46207</v>
      </c>
      <c r="G252" s="27">
        <v>46119</v>
      </c>
      <c r="H252" s="6" t="s">
        <v>39</v>
      </c>
      <c r="I252" s="6" t="s">
        <v>541</v>
      </c>
      <c r="J252" s="196">
        <v>4789684296</v>
      </c>
      <c r="K252" s="180" t="s">
        <v>542</v>
      </c>
      <c r="L252" s="107">
        <v>22295250</v>
      </c>
      <c r="M252" s="31">
        <v>5218180121852</v>
      </c>
      <c r="N252" s="169" t="s">
        <v>98</v>
      </c>
      <c r="O252" s="48"/>
      <c r="P252" s="95"/>
      <c r="Q252" s="8">
        <v>0</v>
      </c>
      <c r="R252" s="13">
        <v>0</v>
      </c>
      <c r="S252" s="70"/>
      <c r="T252" s="6"/>
      <c r="U252" s="164"/>
      <c r="V252" s="1"/>
      <c r="X252" s="101">
        <v>0</v>
      </c>
    </row>
    <row r="253" spans="2:24" hidden="1">
      <c r="B253" s="24">
        <v>46119.64166666667</v>
      </c>
      <c r="C253" s="24">
        <v>46207.647222222222</v>
      </c>
      <c r="D253" s="10" t="s">
        <v>24</v>
      </c>
      <c r="E253" s="10"/>
      <c r="F253" s="28">
        <v>46207</v>
      </c>
      <c r="G253" s="28">
        <v>46119</v>
      </c>
      <c r="H253" s="10" t="s">
        <v>68</v>
      </c>
      <c r="I253" s="10" t="s">
        <v>543</v>
      </c>
      <c r="J253" s="195">
        <v>43866446073</v>
      </c>
      <c r="K253" s="179" t="s">
        <v>544</v>
      </c>
      <c r="L253" s="108">
        <v>22295678</v>
      </c>
      <c r="M253" s="32">
        <v>22295678</v>
      </c>
      <c r="N253" s="170" t="s">
        <v>37</v>
      </c>
      <c r="O253" s="49">
        <v>9081.52</v>
      </c>
      <c r="P253" s="96">
        <v>2627.5</v>
      </c>
      <c r="Q253" s="11">
        <v>2724.46</v>
      </c>
      <c r="R253" s="12">
        <v>96.96</v>
      </c>
      <c r="S253" s="71">
        <v>46235</v>
      </c>
      <c r="T253" s="10"/>
      <c r="U253" s="97"/>
      <c r="V253" s="1"/>
      <c r="X253" s="101">
        <v>2</v>
      </c>
    </row>
    <row r="254" spans="2:24" hidden="1">
      <c r="B254" s="23">
        <v>46119.63958333333</v>
      </c>
      <c r="C254" s="23">
        <v>46207.65347222222</v>
      </c>
      <c r="D254" s="6" t="s">
        <v>24</v>
      </c>
      <c r="E254" s="6"/>
      <c r="F254" s="28">
        <v>46207</v>
      </c>
      <c r="G254" s="27">
        <v>46119</v>
      </c>
      <c r="H254" s="6" t="s">
        <v>124</v>
      </c>
      <c r="I254" s="6" t="s">
        <v>545</v>
      </c>
      <c r="J254" s="196"/>
      <c r="K254" s="180" t="s">
        <v>546</v>
      </c>
      <c r="L254" s="108">
        <v>22294720</v>
      </c>
      <c r="M254" s="31">
        <v>5215571924659</v>
      </c>
      <c r="N254" s="169" t="s">
        <v>37</v>
      </c>
      <c r="O254" s="48">
        <v>7116.73</v>
      </c>
      <c r="P254" s="95">
        <v>2058.04</v>
      </c>
      <c r="Q254" s="8">
        <v>2135.02</v>
      </c>
      <c r="R254" s="13">
        <v>76.98</v>
      </c>
      <c r="S254" s="70">
        <v>46394</v>
      </c>
      <c r="T254" s="6"/>
      <c r="U254" s="164"/>
      <c r="V254" s="1"/>
      <c r="X254" s="101">
        <v>2</v>
      </c>
    </row>
    <row r="255" spans="2:24" hidden="1">
      <c r="B255" s="24">
        <v>46119.652083333334</v>
      </c>
      <c r="C255" s="24">
        <v>46207.656944444447</v>
      </c>
      <c r="D255" s="10" t="s">
        <v>24</v>
      </c>
      <c r="E255" s="10"/>
      <c r="F255" s="28">
        <v>46207</v>
      </c>
      <c r="G255" s="28">
        <v>46119</v>
      </c>
      <c r="H255" s="10" t="s">
        <v>68</v>
      </c>
      <c r="I255" s="10" t="s">
        <v>547</v>
      </c>
      <c r="J255" s="195">
        <v>33836425828</v>
      </c>
      <c r="K255" s="181" t="s">
        <v>548</v>
      </c>
      <c r="L255" s="108">
        <v>22294378</v>
      </c>
      <c r="M255" s="32">
        <v>5216565935140</v>
      </c>
      <c r="N255" s="170" t="s">
        <v>106</v>
      </c>
      <c r="O255" s="49">
        <v>9081.52</v>
      </c>
      <c r="P255" s="96">
        <v>2518.73</v>
      </c>
      <c r="Q255" s="11">
        <v>2724.46</v>
      </c>
      <c r="R255" s="12">
        <v>205.73</v>
      </c>
      <c r="S255" s="71">
        <v>46028</v>
      </c>
      <c r="T255" s="10"/>
      <c r="U255" s="97"/>
      <c r="V255" s="1"/>
      <c r="X255" s="101">
        <v>2</v>
      </c>
    </row>
    <row r="256" spans="2:24" hidden="1">
      <c r="B256" s="23">
        <v>46119.420138888891</v>
      </c>
      <c r="C256" s="23">
        <v>46207.658333333333</v>
      </c>
      <c r="D256" s="6" t="s">
        <v>24</v>
      </c>
      <c r="E256" s="6"/>
      <c r="F256" s="28">
        <v>46207</v>
      </c>
      <c r="G256" s="27">
        <v>46119</v>
      </c>
      <c r="H256" s="6" t="s">
        <v>51</v>
      </c>
      <c r="I256" s="6" t="s">
        <v>549</v>
      </c>
      <c r="J256" s="196">
        <v>49846730734</v>
      </c>
      <c r="K256" s="180" t="s">
        <v>550</v>
      </c>
      <c r="L256" s="107">
        <v>22293960</v>
      </c>
      <c r="M256" s="31">
        <v>22293960</v>
      </c>
      <c r="N256" s="169" t="s">
        <v>74</v>
      </c>
      <c r="O256" s="48"/>
      <c r="P256" s="95"/>
      <c r="Q256" s="8">
        <v>0</v>
      </c>
      <c r="R256" s="13">
        <v>0</v>
      </c>
      <c r="S256" s="70"/>
      <c r="T256" s="6"/>
      <c r="U256" s="164"/>
      <c r="V256" s="1"/>
      <c r="X256" s="101">
        <v>1</v>
      </c>
    </row>
    <row r="257" spans="2:24" hidden="1">
      <c r="B257" s="24">
        <v>46119.657638888886</v>
      </c>
      <c r="C257" s="24">
        <v>46207.65902777778</v>
      </c>
      <c r="D257" s="10" t="s">
        <v>24</v>
      </c>
      <c r="E257" s="10"/>
      <c r="F257" s="28">
        <v>46207</v>
      </c>
      <c r="G257" s="28">
        <v>46119</v>
      </c>
      <c r="H257" s="10" t="s">
        <v>61</v>
      </c>
      <c r="I257" s="10" t="s">
        <v>551</v>
      </c>
      <c r="J257" s="195"/>
      <c r="K257" s="181" t="s">
        <v>552</v>
      </c>
      <c r="L257" s="108">
        <v>22296414</v>
      </c>
      <c r="M257" s="32">
        <v>5214686801769</v>
      </c>
      <c r="N257" s="170" t="s">
        <v>74</v>
      </c>
      <c r="O257" s="49"/>
      <c r="P257" s="96"/>
      <c r="Q257" s="11">
        <v>0</v>
      </c>
      <c r="R257" s="12">
        <v>0</v>
      </c>
      <c r="S257" s="71"/>
      <c r="T257" s="10"/>
      <c r="U257" s="97"/>
      <c r="V257" s="1"/>
      <c r="X257" s="101">
        <v>1</v>
      </c>
    </row>
    <row r="258" spans="2:24" hidden="1">
      <c r="B258" s="23">
        <v>46119.65347222222</v>
      </c>
      <c r="C258" s="23">
        <v>46207.671527777777</v>
      </c>
      <c r="D258" s="6" t="s">
        <v>24</v>
      </c>
      <c r="E258" s="6"/>
      <c r="F258" s="28">
        <v>46207</v>
      </c>
      <c r="G258" s="27">
        <v>46119</v>
      </c>
      <c r="H258" s="6" t="s">
        <v>124</v>
      </c>
      <c r="I258" s="6" t="s">
        <v>553</v>
      </c>
      <c r="J258" s="196"/>
      <c r="K258" s="180" t="s">
        <v>554</v>
      </c>
      <c r="L258" s="108">
        <v>22296148</v>
      </c>
      <c r="M258" s="31">
        <v>5215521786746</v>
      </c>
      <c r="N258" s="169" t="s">
        <v>37</v>
      </c>
      <c r="O258" s="48">
        <v>9924.67</v>
      </c>
      <c r="P258" s="95">
        <v>2742.09</v>
      </c>
      <c r="Q258" s="8">
        <v>2977.4</v>
      </c>
      <c r="R258" s="13">
        <v>235.31</v>
      </c>
      <c r="S258" s="70">
        <v>46357</v>
      </c>
      <c r="T258" s="6"/>
      <c r="U258" s="164"/>
      <c r="V258" s="1"/>
      <c r="X258" s="101">
        <v>2</v>
      </c>
    </row>
    <row r="259" spans="2:24" hidden="1">
      <c r="B259" s="24">
        <v>46119.671527777777</v>
      </c>
      <c r="C259" s="24">
        <v>46207.679166666669</v>
      </c>
      <c r="D259" s="10" t="s">
        <v>24</v>
      </c>
      <c r="E259" s="10"/>
      <c r="F259" s="28">
        <v>46207</v>
      </c>
      <c r="G259" s="28">
        <v>46119</v>
      </c>
      <c r="H259" s="10" t="s">
        <v>39</v>
      </c>
      <c r="I259" s="10" t="s">
        <v>555</v>
      </c>
      <c r="J259" s="195"/>
      <c r="K259" s="181" t="s">
        <v>556</v>
      </c>
      <c r="L259" s="108">
        <v>22294016</v>
      </c>
      <c r="M259" s="32">
        <v>5213327632046</v>
      </c>
      <c r="N259" s="170" t="s">
        <v>37</v>
      </c>
      <c r="O259" s="49">
        <v>17766.12</v>
      </c>
      <c r="P259" s="96">
        <v>5325.87</v>
      </c>
      <c r="Q259" s="11">
        <v>5329.84</v>
      </c>
      <c r="R259" s="12">
        <v>3.97</v>
      </c>
      <c r="S259" s="71">
        <v>46754</v>
      </c>
      <c r="T259" s="10"/>
      <c r="U259" s="97"/>
      <c r="V259" s="1"/>
      <c r="X259" s="101">
        <v>2</v>
      </c>
    </row>
    <row r="260" spans="2:24" hidden="1">
      <c r="B260" s="23">
        <v>46119.656944444447</v>
      </c>
      <c r="C260" s="23">
        <v>46207.709722222222</v>
      </c>
      <c r="D260" s="6" t="s">
        <v>24</v>
      </c>
      <c r="E260" s="6"/>
      <c r="F260" s="28">
        <v>46207</v>
      </c>
      <c r="G260" s="27">
        <v>46119</v>
      </c>
      <c r="H260" s="6" t="s">
        <v>68</v>
      </c>
      <c r="I260" s="6" t="s">
        <v>557</v>
      </c>
      <c r="J260" s="196">
        <v>6776103969</v>
      </c>
      <c r="K260" s="180" t="s">
        <v>558</v>
      </c>
      <c r="L260" s="108">
        <v>22297102</v>
      </c>
      <c r="M260" s="31">
        <v>5215554792046</v>
      </c>
      <c r="N260" s="169" t="s">
        <v>37</v>
      </c>
      <c r="O260" s="48">
        <v>6262.86</v>
      </c>
      <c r="P260" s="95">
        <v>1810.97</v>
      </c>
      <c r="Q260" s="8">
        <v>1878.86</v>
      </c>
      <c r="R260" s="13">
        <v>67.89</v>
      </c>
      <c r="S260" s="70">
        <v>46391</v>
      </c>
      <c r="T260" s="6"/>
      <c r="U260" s="164"/>
      <c r="V260" s="1"/>
      <c r="X260" s="101">
        <v>2</v>
      </c>
    </row>
    <row r="261" spans="2:24" hidden="1">
      <c r="B261" s="24">
        <v>46119.65902777778</v>
      </c>
      <c r="C261" s="24">
        <v>46207.730555555558</v>
      </c>
      <c r="D261" s="10" t="s">
        <v>24</v>
      </c>
      <c r="E261" s="10"/>
      <c r="F261" s="28">
        <v>46207</v>
      </c>
      <c r="G261" s="28">
        <v>46119</v>
      </c>
      <c r="H261" s="10" t="s">
        <v>42</v>
      </c>
      <c r="I261" s="10" t="s">
        <v>559</v>
      </c>
      <c r="J261" s="195"/>
      <c r="K261" s="181" t="s">
        <v>560</v>
      </c>
      <c r="L261" s="108">
        <v>22296622</v>
      </c>
      <c r="M261" s="32">
        <v>5216563205284</v>
      </c>
      <c r="N261" s="170" t="s">
        <v>37</v>
      </c>
      <c r="O261" s="49">
        <v>9760.32</v>
      </c>
      <c r="P261" s="96">
        <v>2822.12</v>
      </c>
      <c r="Q261" s="11">
        <v>2928.1</v>
      </c>
      <c r="R261" s="12">
        <v>105.98</v>
      </c>
      <c r="S261" s="71">
        <v>46395</v>
      </c>
      <c r="T261" s="10"/>
      <c r="U261" s="97"/>
      <c r="V261" s="1"/>
      <c r="X261" s="101">
        <v>2</v>
      </c>
    </row>
    <row r="262" spans="2:24" hidden="1">
      <c r="B262" s="23">
        <v>46119.658333333333</v>
      </c>
      <c r="C262" s="23">
        <v>46207.736111111109</v>
      </c>
      <c r="D262" s="6" t="s">
        <v>24</v>
      </c>
      <c r="E262" s="6"/>
      <c r="F262" s="28">
        <v>46207</v>
      </c>
      <c r="G262" s="27">
        <v>46119</v>
      </c>
      <c r="H262" s="10" t="s">
        <v>51</v>
      </c>
      <c r="I262" s="6" t="s">
        <v>561</v>
      </c>
      <c r="J262" s="196">
        <v>56733000352</v>
      </c>
      <c r="K262" s="180" t="s">
        <v>562</v>
      </c>
      <c r="L262" s="107">
        <v>22297682</v>
      </c>
      <c r="M262" s="31">
        <v>5213231126686</v>
      </c>
      <c r="N262" s="169" t="s">
        <v>28</v>
      </c>
      <c r="O262" s="48">
        <v>5639.59</v>
      </c>
      <c r="P262" s="95"/>
      <c r="Q262" s="8">
        <v>1691.88</v>
      </c>
      <c r="R262" s="9">
        <v>1466.61</v>
      </c>
      <c r="S262" s="70"/>
      <c r="T262" s="6"/>
      <c r="U262" s="164"/>
      <c r="V262" s="1"/>
      <c r="X262" s="101">
        <v>1</v>
      </c>
    </row>
    <row r="263" spans="2:24" hidden="1">
      <c r="B263" s="24">
        <v>46119.740277777775</v>
      </c>
      <c r="C263" s="24">
        <v>46207.742361111108</v>
      </c>
      <c r="D263" s="10" t="s">
        <v>24</v>
      </c>
      <c r="E263" s="10"/>
      <c r="F263" s="28">
        <v>46207</v>
      </c>
      <c r="G263" s="28">
        <v>46119</v>
      </c>
      <c r="H263" s="10" t="s">
        <v>78</v>
      </c>
      <c r="I263" s="10" t="s">
        <v>563</v>
      </c>
      <c r="J263" s="195">
        <v>24802701227</v>
      </c>
      <c r="K263" s="181" t="s">
        <v>564</v>
      </c>
      <c r="L263" s="108">
        <v>22295316</v>
      </c>
      <c r="M263" s="32">
        <v>5216441399226</v>
      </c>
      <c r="N263" s="170" t="s">
        <v>37</v>
      </c>
      <c r="O263" s="49">
        <v>9154.11</v>
      </c>
      <c r="P263" s="96">
        <v>2644.94</v>
      </c>
      <c r="Q263" s="11">
        <v>2746.23</v>
      </c>
      <c r="R263" s="12">
        <v>101.29</v>
      </c>
      <c r="S263" s="71">
        <v>46391</v>
      </c>
      <c r="T263" s="10" t="s">
        <v>84</v>
      </c>
      <c r="U263" s="97"/>
      <c r="V263" s="1"/>
      <c r="X263" s="101">
        <v>2</v>
      </c>
    </row>
    <row r="264" spans="2:24" hidden="1">
      <c r="B264" s="23">
        <v>46149.34375</v>
      </c>
      <c r="C264" s="23">
        <v>46208.375694444447</v>
      </c>
      <c r="D264" s="6" t="s">
        <v>24</v>
      </c>
      <c r="E264" s="6"/>
      <c r="F264" s="27">
        <v>46208</v>
      </c>
      <c r="G264" s="27">
        <v>46149</v>
      </c>
      <c r="H264" s="10" t="s">
        <v>61</v>
      </c>
      <c r="I264" s="6" t="s">
        <v>565</v>
      </c>
      <c r="J264" s="196"/>
      <c r="K264" s="180" t="s">
        <v>566</v>
      </c>
      <c r="L264" s="107">
        <v>22304412</v>
      </c>
      <c r="M264" s="31">
        <v>5215580125655</v>
      </c>
      <c r="N264" s="169" t="s">
        <v>28</v>
      </c>
      <c r="O264" s="48">
        <v>8793.09</v>
      </c>
      <c r="P264" s="95"/>
      <c r="Q264" s="8">
        <v>2637.93</v>
      </c>
      <c r="R264" s="9">
        <v>2637.93</v>
      </c>
      <c r="S264" s="70"/>
      <c r="T264" s="6"/>
      <c r="U264" s="164"/>
      <c r="V264" s="1"/>
      <c r="X264" s="101">
        <v>1</v>
      </c>
    </row>
    <row r="265" spans="2:24" hidden="1">
      <c r="B265" s="24">
        <v>46149.345138888886</v>
      </c>
      <c r="C265" s="24">
        <v>46208.424305555556</v>
      </c>
      <c r="D265" s="10" t="s">
        <v>24</v>
      </c>
      <c r="E265" s="10"/>
      <c r="F265" s="27">
        <v>46208</v>
      </c>
      <c r="G265" s="28" t="s">
        <v>25</v>
      </c>
      <c r="H265" s="10" t="s">
        <v>145</v>
      </c>
      <c r="I265" s="10"/>
      <c r="J265" s="195">
        <v>23846312207</v>
      </c>
      <c r="K265" s="181" t="s">
        <v>567</v>
      </c>
      <c r="L265" s="108">
        <v>22069534</v>
      </c>
      <c r="M265" s="32">
        <v>6721203030</v>
      </c>
      <c r="N265" s="170" t="s">
        <v>98</v>
      </c>
      <c r="O265" s="49"/>
      <c r="P265" s="96"/>
      <c r="Q265" s="11">
        <v>0</v>
      </c>
      <c r="R265" s="12">
        <v>0</v>
      </c>
      <c r="S265" s="71"/>
      <c r="T265" s="10"/>
      <c r="U265" s="97"/>
      <c r="V265" s="1"/>
      <c r="X265" s="101">
        <v>0</v>
      </c>
    </row>
    <row r="266" spans="2:24" hidden="1">
      <c r="B266" s="23">
        <v>46149.429861111108</v>
      </c>
      <c r="C266" s="23">
        <v>46208.432638888888</v>
      </c>
      <c r="D266" s="6" t="s">
        <v>24</v>
      </c>
      <c r="E266" s="6"/>
      <c r="F266" s="27">
        <v>46208</v>
      </c>
      <c r="G266" s="27">
        <v>46029</v>
      </c>
      <c r="H266" s="6" t="s">
        <v>145</v>
      </c>
      <c r="I266" s="19" t="s">
        <v>568</v>
      </c>
      <c r="J266" s="196"/>
      <c r="K266" s="183" t="s">
        <v>418</v>
      </c>
      <c r="L266" s="108">
        <v>22212028</v>
      </c>
      <c r="M266" s="33">
        <v>2289881934</v>
      </c>
      <c r="N266" s="169" t="s">
        <v>37</v>
      </c>
      <c r="O266" s="48">
        <v>35301.14</v>
      </c>
      <c r="P266" s="95">
        <v>10588.43</v>
      </c>
      <c r="Q266" s="8">
        <v>10590.34</v>
      </c>
      <c r="R266" s="13">
        <v>1.91</v>
      </c>
      <c r="S266" s="70">
        <v>46389</v>
      </c>
      <c r="T266" s="6"/>
      <c r="U266" s="164"/>
      <c r="V266" s="1"/>
      <c r="X266" s="101">
        <v>2</v>
      </c>
    </row>
    <row r="267" spans="2:24" hidden="1">
      <c r="B267" s="24">
        <v>46149.433333333334</v>
      </c>
      <c r="C267" s="24">
        <v>46208.435416666667</v>
      </c>
      <c r="D267" s="10" t="s">
        <v>24</v>
      </c>
      <c r="E267" s="10"/>
      <c r="F267" s="27">
        <v>46208</v>
      </c>
      <c r="G267" s="28">
        <v>46149</v>
      </c>
      <c r="H267" s="20" t="s">
        <v>71</v>
      </c>
      <c r="I267" s="10" t="s">
        <v>569</v>
      </c>
      <c r="J267" s="195">
        <v>24855209383</v>
      </c>
      <c r="K267" s="181"/>
      <c r="L267" s="108">
        <v>22309272</v>
      </c>
      <c r="M267" s="32">
        <v>5216624687790</v>
      </c>
      <c r="N267" s="170" t="s">
        <v>32</v>
      </c>
      <c r="O267" s="49">
        <v>3869.36</v>
      </c>
      <c r="P267" s="96">
        <v>879</v>
      </c>
      <c r="Q267" s="11">
        <v>1160.81</v>
      </c>
      <c r="R267" s="12">
        <v>-879</v>
      </c>
      <c r="S267" s="71"/>
      <c r="T267" s="10"/>
      <c r="U267" s="97"/>
      <c r="V267" s="1"/>
      <c r="X267" s="101">
        <v>1</v>
      </c>
    </row>
    <row r="268" spans="2:24" hidden="1">
      <c r="B268" s="23">
        <v>46149.435416666667</v>
      </c>
      <c r="C268" s="23">
        <v>46208.436805555553</v>
      </c>
      <c r="D268" s="6" t="s">
        <v>24</v>
      </c>
      <c r="E268" s="6"/>
      <c r="F268" s="27">
        <v>46208</v>
      </c>
      <c r="G268" s="27">
        <v>46149</v>
      </c>
      <c r="H268" s="7" t="s">
        <v>26</v>
      </c>
      <c r="I268" s="6" t="s">
        <v>570</v>
      </c>
      <c r="J268" s="196">
        <v>62866835317</v>
      </c>
      <c r="K268" s="180"/>
      <c r="L268" s="108">
        <v>22301368</v>
      </c>
      <c r="M268" s="31">
        <v>5212221322361</v>
      </c>
      <c r="N268" s="169" t="s">
        <v>37</v>
      </c>
      <c r="O268" s="48">
        <v>25183.21</v>
      </c>
      <c r="P268" s="95">
        <v>7552.85</v>
      </c>
      <c r="Q268" s="8">
        <v>7554.96</v>
      </c>
      <c r="R268" s="13">
        <v>2.11</v>
      </c>
      <c r="S268" s="70">
        <v>46395</v>
      </c>
      <c r="T268" s="6"/>
      <c r="U268" s="164"/>
      <c r="V268" s="1"/>
      <c r="X268" s="101">
        <v>2</v>
      </c>
    </row>
    <row r="269" spans="2:24" hidden="1">
      <c r="B269" s="24">
        <v>46149.338194444441</v>
      </c>
      <c r="C269" s="24">
        <v>46208.448611111111</v>
      </c>
      <c r="D269" s="10" t="s">
        <v>24</v>
      </c>
      <c r="E269" s="10"/>
      <c r="F269" s="27">
        <v>46208</v>
      </c>
      <c r="G269" s="28">
        <v>46119</v>
      </c>
      <c r="H269" s="15" t="s">
        <v>476</v>
      </c>
      <c r="I269" s="10" t="s">
        <v>571</v>
      </c>
      <c r="J269" s="195"/>
      <c r="K269" s="181" t="s">
        <v>572</v>
      </c>
      <c r="L269" s="108">
        <v>22284246</v>
      </c>
      <c r="M269" s="32">
        <v>5216643226498</v>
      </c>
      <c r="N269" s="170" t="s">
        <v>32</v>
      </c>
      <c r="O269" s="49">
        <v>3970.35</v>
      </c>
      <c r="P269" s="96"/>
      <c r="Q269" s="11">
        <v>1191.1099999999999</v>
      </c>
      <c r="R269" s="12">
        <v>0</v>
      </c>
      <c r="S269" s="71"/>
      <c r="T269" s="10"/>
      <c r="U269" s="97"/>
      <c r="V269" s="1"/>
      <c r="X269" s="101">
        <v>1</v>
      </c>
    </row>
    <row r="270" spans="2:24" hidden="1">
      <c r="B270" s="23">
        <v>46149.456944444442</v>
      </c>
      <c r="C270" s="23">
        <v>46208.458333333336</v>
      </c>
      <c r="D270" s="6" t="s">
        <v>24</v>
      </c>
      <c r="E270" s="6"/>
      <c r="F270" s="27">
        <v>46208</v>
      </c>
      <c r="G270" s="27">
        <v>46149</v>
      </c>
      <c r="H270" s="18" t="s">
        <v>170</v>
      </c>
      <c r="I270" s="6" t="s">
        <v>573</v>
      </c>
      <c r="J270" s="196"/>
      <c r="K270" s="180" t="s">
        <v>574</v>
      </c>
      <c r="L270" s="108">
        <v>22310578</v>
      </c>
      <c r="M270" s="31">
        <v>5218125069025</v>
      </c>
      <c r="N270" s="169" t="s">
        <v>37</v>
      </c>
      <c r="O270" s="48">
        <v>7116.73</v>
      </c>
      <c r="P270" s="95">
        <v>2057.96</v>
      </c>
      <c r="Q270" s="8">
        <v>2135.02</v>
      </c>
      <c r="R270" s="13">
        <v>77.06</v>
      </c>
      <c r="S270" s="70">
        <v>46390</v>
      </c>
      <c r="T270" s="6"/>
      <c r="U270" s="164"/>
      <c r="V270" s="1"/>
      <c r="X270" s="101">
        <v>2</v>
      </c>
    </row>
    <row r="271" spans="2:24" hidden="1">
      <c r="B271" s="24">
        <v>46149.473611111112</v>
      </c>
      <c r="C271" s="24">
        <v>46208.477083333331</v>
      </c>
      <c r="D271" s="10" t="s">
        <v>24</v>
      </c>
      <c r="E271" s="10"/>
      <c r="F271" s="27">
        <v>46208</v>
      </c>
      <c r="G271" s="28">
        <v>46119</v>
      </c>
      <c r="H271" s="15" t="s">
        <v>476</v>
      </c>
      <c r="I271" s="10" t="s">
        <v>575</v>
      </c>
      <c r="J271" s="195"/>
      <c r="K271" s="181" t="s">
        <v>576</v>
      </c>
      <c r="L271" s="108">
        <v>22297712</v>
      </c>
      <c r="M271" s="32">
        <v>5217773364310</v>
      </c>
      <c r="N271" s="170" t="s">
        <v>32</v>
      </c>
      <c r="O271" s="49">
        <v>4441.6099999999997</v>
      </c>
      <c r="P271" s="96"/>
      <c r="Q271" s="11">
        <v>1332.48</v>
      </c>
      <c r="R271" s="12">
        <v>268.63</v>
      </c>
      <c r="S271" s="71"/>
      <c r="T271" s="10"/>
      <c r="U271" s="97"/>
      <c r="V271" s="1"/>
      <c r="X271" s="101">
        <v>1</v>
      </c>
    </row>
    <row r="272" spans="2:24" hidden="1">
      <c r="B272" s="23">
        <v>46149.487500000003</v>
      </c>
      <c r="C272" s="23">
        <v>46208.488194444442</v>
      </c>
      <c r="D272" s="6" t="s">
        <v>24</v>
      </c>
      <c r="E272" s="6"/>
      <c r="F272" s="27">
        <v>46208</v>
      </c>
      <c r="G272" s="27">
        <v>46149</v>
      </c>
      <c r="H272" s="18" t="s">
        <v>170</v>
      </c>
      <c r="I272" s="6" t="s">
        <v>577</v>
      </c>
      <c r="J272" s="196"/>
      <c r="K272" s="180" t="s">
        <v>578</v>
      </c>
      <c r="L272" s="107">
        <v>22311326</v>
      </c>
      <c r="M272" s="31">
        <v>5216521928551</v>
      </c>
      <c r="N272" s="169" t="s">
        <v>32</v>
      </c>
      <c r="O272" s="48">
        <v>4199.87</v>
      </c>
      <c r="P272" s="95"/>
      <c r="Q272" s="8">
        <v>1259.96</v>
      </c>
      <c r="R272" s="13">
        <v>26.89</v>
      </c>
      <c r="S272" s="70"/>
      <c r="T272" s="6"/>
      <c r="U272" s="164"/>
      <c r="V272" s="1"/>
      <c r="X272" s="101">
        <v>1</v>
      </c>
    </row>
    <row r="273" spans="2:24" hidden="1">
      <c r="B273" s="24">
        <v>46149.495833333334</v>
      </c>
      <c r="C273" s="24">
        <v>46208.5</v>
      </c>
      <c r="D273" s="10" t="s">
        <v>24</v>
      </c>
      <c r="E273" s="10"/>
      <c r="F273" s="27">
        <v>46208</v>
      </c>
      <c r="G273" s="28">
        <v>46149</v>
      </c>
      <c r="H273" s="10" t="s">
        <v>93</v>
      </c>
      <c r="I273" s="10" t="s">
        <v>579</v>
      </c>
      <c r="J273" s="195">
        <v>71109406497</v>
      </c>
      <c r="K273" s="181" t="s">
        <v>580</v>
      </c>
      <c r="L273" s="108">
        <v>22310766</v>
      </c>
      <c r="M273" s="32">
        <v>9618619528</v>
      </c>
      <c r="N273" s="170" t="s">
        <v>74</v>
      </c>
      <c r="O273" s="49"/>
      <c r="P273" s="96"/>
      <c r="Q273" s="11">
        <v>0</v>
      </c>
      <c r="R273" s="12">
        <v>0</v>
      </c>
      <c r="S273" s="71"/>
      <c r="T273" s="10"/>
      <c r="U273" s="97"/>
      <c r="V273" s="1"/>
      <c r="X273" s="101">
        <v>1</v>
      </c>
    </row>
    <row r="274" spans="2:24" hidden="1">
      <c r="B274" s="23">
        <v>46149.544444444444</v>
      </c>
      <c r="C274" s="23">
        <v>46208.545138888891</v>
      </c>
      <c r="D274" s="6" t="s">
        <v>24</v>
      </c>
      <c r="E274" s="6"/>
      <c r="F274" s="27">
        <v>46208</v>
      </c>
      <c r="G274" s="27">
        <v>46149</v>
      </c>
      <c r="H274" s="7" t="s">
        <v>110</v>
      </c>
      <c r="I274" s="6" t="s">
        <v>581</v>
      </c>
      <c r="J274" s="196">
        <v>21846114425</v>
      </c>
      <c r="K274" s="180"/>
      <c r="L274" s="108">
        <v>22304532</v>
      </c>
      <c r="M274" s="31">
        <v>5216862162711</v>
      </c>
      <c r="N274" s="169" t="s">
        <v>37</v>
      </c>
      <c r="O274" s="48">
        <v>7920.51</v>
      </c>
      <c r="P274" s="95">
        <v>2376.15</v>
      </c>
      <c r="Q274" s="8">
        <v>2376.15</v>
      </c>
      <c r="R274" s="13">
        <v>0</v>
      </c>
      <c r="S274" s="70">
        <v>46394</v>
      </c>
      <c r="T274" s="6"/>
      <c r="U274" s="164"/>
      <c r="V274" s="1"/>
      <c r="X274" s="101">
        <v>2</v>
      </c>
    </row>
    <row r="275" spans="2:24" hidden="1">
      <c r="B275" s="24">
        <v>46149.545138888891</v>
      </c>
      <c r="C275" s="24">
        <v>46208.54583333333</v>
      </c>
      <c r="D275" s="10" t="s">
        <v>24</v>
      </c>
      <c r="E275" s="10"/>
      <c r="F275" s="27">
        <v>46208</v>
      </c>
      <c r="G275" s="28">
        <v>46149</v>
      </c>
      <c r="H275" s="15" t="s">
        <v>110</v>
      </c>
      <c r="I275" s="10" t="s">
        <v>582</v>
      </c>
      <c r="J275" s="195">
        <v>11634532722</v>
      </c>
      <c r="K275" s="181"/>
      <c r="L275" s="108">
        <v>22307992</v>
      </c>
      <c r="M275" s="32">
        <v>5217299396821</v>
      </c>
      <c r="N275" s="170" t="s">
        <v>32</v>
      </c>
      <c r="O275" s="49">
        <v>3875.93</v>
      </c>
      <c r="P275" s="96">
        <v>879</v>
      </c>
      <c r="Q275" s="11">
        <v>1162.78</v>
      </c>
      <c r="R275" s="12">
        <v>-879</v>
      </c>
      <c r="S275" s="71"/>
      <c r="T275" s="10"/>
      <c r="U275" s="97"/>
      <c r="V275" s="1"/>
      <c r="X275" s="101">
        <v>1</v>
      </c>
    </row>
    <row r="276" spans="2:24" hidden="1">
      <c r="B276" s="23">
        <v>46149.54583333333</v>
      </c>
      <c r="C276" s="23">
        <v>46208.546527777777</v>
      </c>
      <c r="D276" s="6" t="s">
        <v>24</v>
      </c>
      <c r="E276" s="6"/>
      <c r="F276" s="27">
        <v>46208</v>
      </c>
      <c r="G276" s="27">
        <v>46119</v>
      </c>
      <c r="H276" s="6" t="s">
        <v>145</v>
      </c>
      <c r="I276" s="6"/>
      <c r="J276" s="196"/>
      <c r="K276" s="180" t="s">
        <v>583</v>
      </c>
      <c r="L276" s="107">
        <v>22301310</v>
      </c>
      <c r="M276" s="31">
        <v>5217712311179</v>
      </c>
      <c r="N276" s="169" t="s">
        <v>32</v>
      </c>
      <c r="O276" s="48">
        <v>3635.76</v>
      </c>
      <c r="P276" s="95">
        <v>848</v>
      </c>
      <c r="Q276" s="8">
        <v>1090.73</v>
      </c>
      <c r="R276" s="13">
        <v>-848</v>
      </c>
      <c r="S276" s="70"/>
      <c r="T276" s="6"/>
      <c r="U276" s="164"/>
      <c r="V276" s="1"/>
      <c r="X276" s="101">
        <v>1</v>
      </c>
    </row>
    <row r="277" spans="2:24" hidden="1">
      <c r="B277" s="24">
        <v>46149.549305555556</v>
      </c>
      <c r="C277" s="24">
        <v>46208.551388888889</v>
      </c>
      <c r="D277" s="10" t="s">
        <v>24</v>
      </c>
      <c r="E277" s="10"/>
      <c r="F277" s="27">
        <v>46208</v>
      </c>
      <c r="G277" s="28">
        <v>46149</v>
      </c>
      <c r="H277" s="160" t="s">
        <v>26</v>
      </c>
      <c r="I277" s="10" t="s">
        <v>584</v>
      </c>
      <c r="J277" s="195">
        <v>83977817856</v>
      </c>
      <c r="K277" s="182" t="s">
        <v>585</v>
      </c>
      <c r="L277" s="108">
        <v>22311476</v>
      </c>
      <c r="M277" s="32">
        <v>5219993631098</v>
      </c>
      <c r="N277" s="170" t="s">
        <v>28</v>
      </c>
      <c r="O277" s="49">
        <v>5431.73</v>
      </c>
      <c r="P277" s="96"/>
      <c r="Q277" s="11">
        <v>1629.52</v>
      </c>
      <c r="R277" s="14">
        <v>1258.75</v>
      </c>
      <c r="S277" s="71"/>
      <c r="T277" s="10"/>
      <c r="U277" s="97"/>
      <c r="V277" s="1"/>
      <c r="X277" s="101">
        <v>1</v>
      </c>
    </row>
    <row r="278" spans="2:24" hidden="1">
      <c r="B278" s="23">
        <v>46149.54583333333</v>
      </c>
      <c r="C278" s="23">
        <v>46208.552777777775</v>
      </c>
      <c r="D278" s="6" t="s">
        <v>24</v>
      </c>
      <c r="E278" s="6"/>
      <c r="F278" s="27">
        <v>46208</v>
      </c>
      <c r="G278" s="27">
        <v>46149</v>
      </c>
      <c r="H278" s="7" t="s">
        <v>110</v>
      </c>
      <c r="I278" s="6" t="s">
        <v>586</v>
      </c>
      <c r="J278" s="196">
        <v>43876791666</v>
      </c>
      <c r="K278" s="180"/>
      <c r="L278" s="107">
        <v>22309790</v>
      </c>
      <c r="M278" s="31">
        <v>5218129037617</v>
      </c>
      <c r="N278" s="169" t="s">
        <v>32</v>
      </c>
      <c r="O278" s="48">
        <v>3789.49</v>
      </c>
      <c r="P278" s="95">
        <v>848</v>
      </c>
      <c r="Q278" s="8">
        <v>1136.8499999999999</v>
      </c>
      <c r="R278" s="13">
        <v>-848</v>
      </c>
      <c r="S278" s="70"/>
      <c r="T278" s="6"/>
      <c r="U278" s="164"/>
      <c r="V278" s="1"/>
      <c r="X278" s="101">
        <v>1</v>
      </c>
    </row>
    <row r="279" spans="2:24" hidden="1">
      <c r="B279" s="24">
        <v>46149.552777777775</v>
      </c>
      <c r="C279" s="24">
        <v>46208.554861111108</v>
      </c>
      <c r="D279" s="10" t="s">
        <v>24</v>
      </c>
      <c r="E279" s="10"/>
      <c r="F279" s="27">
        <v>46208</v>
      </c>
      <c r="G279" s="28">
        <v>46149</v>
      </c>
      <c r="H279" s="10" t="s">
        <v>93</v>
      </c>
      <c r="I279" s="10" t="s">
        <v>587</v>
      </c>
      <c r="J279" s="195"/>
      <c r="K279" s="181" t="s">
        <v>588</v>
      </c>
      <c r="L279" s="108">
        <v>22311714</v>
      </c>
      <c r="M279" s="32">
        <v>8333942898</v>
      </c>
      <c r="N279" s="170" t="s">
        <v>98</v>
      </c>
      <c r="O279" s="49"/>
      <c r="P279" s="96"/>
      <c r="Q279" s="11">
        <v>0</v>
      </c>
      <c r="R279" s="12">
        <v>0</v>
      </c>
      <c r="S279" s="71"/>
      <c r="T279" s="10"/>
      <c r="U279" s="97"/>
      <c r="V279" s="1"/>
      <c r="X279" s="101">
        <v>0</v>
      </c>
    </row>
    <row r="280" spans="2:24" hidden="1">
      <c r="B280" s="23">
        <v>46149.556250000001</v>
      </c>
      <c r="C280" s="23">
        <v>46208.556944444441</v>
      </c>
      <c r="D280" s="6" t="s">
        <v>24</v>
      </c>
      <c r="E280" s="6"/>
      <c r="F280" s="27">
        <v>46208</v>
      </c>
      <c r="G280" s="27">
        <v>46149</v>
      </c>
      <c r="H280" s="6" t="s">
        <v>145</v>
      </c>
      <c r="I280" s="6"/>
      <c r="J280" s="196">
        <v>16967305372</v>
      </c>
      <c r="K280" s="180" t="s">
        <v>589</v>
      </c>
      <c r="L280" s="107">
        <v>22311702</v>
      </c>
      <c r="M280" s="31">
        <v>5217204020142</v>
      </c>
      <c r="N280" s="169" t="s">
        <v>32</v>
      </c>
      <c r="O280" s="48">
        <v>3491.37</v>
      </c>
      <c r="P280" s="95"/>
      <c r="Q280" s="8">
        <v>1047.4100000000001</v>
      </c>
      <c r="R280" s="13">
        <v>0</v>
      </c>
      <c r="S280" s="70"/>
      <c r="T280" s="6"/>
      <c r="U280" s="164"/>
      <c r="V280" s="1"/>
      <c r="X280" s="101">
        <v>1</v>
      </c>
    </row>
    <row r="281" spans="2:24" hidden="1">
      <c r="B281" s="24">
        <v>46149.563888888886</v>
      </c>
      <c r="C281" s="24">
        <v>46208.56527777778</v>
      </c>
      <c r="D281" s="10" t="s">
        <v>24</v>
      </c>
      <c r="E281" s="10"/>
      <c r="F281" s="27">
        <v>46208</v>
      </c>
      <c r="G281" s="28">
        <v>46149</v>
      </c>
      <c r="H281" s="20" t="s">
        <v>71</v>
      </c>
      <c r="I281" s="10" t="s">
        <v>590</v>
      </c>
      <c r="J281" s="198">
        <v>54816504945</v>
      </c>
      <c r="K281" s="181" t="s">
        <v>591</v>
      </c>
      <c r="L281" s="108">
        <v>22313010</v>
      </c>
      <c r="M281" s="32">
        <v>3111416885</v>
      </c>
      <c r="N281" s="170" t="s">
        <v>37</v>
      </c>
      <c r="O281" s="49">
        <v>11029.03</v>
      </c>
      <c r="P281" s="96">
        <v>3308</v>
      </c>
      <c r="Q281" s="11">
        <v>3308.71</v>
      </c>
      <c r="R281" s="12">
        <v>0.71</v>
      </c>
      <c r="S281" s="71">
        <v>46755</v>
      </c>
      <c r="T281" s="10"/>
      <c r="U281" s="97"/>
      <c r="V281" s="1"/>
      <c r="X281" s="101">
        <v>2</v>
      </c>
    </row>
    <row r="282" spans="2:24" hidden="1">
      <c r="B282" s="23">
        <v>46149.604861111111</v>
      </c>
      <c r="C282" s="23">
        <v>46208.606249999997</v>
      </c>
      <c r="D282" s="6" t="s">
        <v>24</v>
      </c>
      <c r="E282" s="6"/>
      <c r="F282" s="27">
        <v>46208</v>
      </c>
      <c r="G282" s="27">
        <v>46149</v>
      </c>
      <c r="H282" s="161" t="s">
        <v>170</v>
      </c>
      <c r="I282" s="6" t="s">
        <v>592</v>
      </c>
      <c r="J282" s="196">
        <v>53816316755</v>
      </c>
      <c r="K282" s="180" t="s">
        <v>593</v>
      </c>
      <c r="L282" s="107">
        <v>22313002</v>
      </c>
      <c r="M282" s="31">
        <v>5214522035247</v>
      </c>
      <c r="N282" s="169" t="s">
        <v>106</v>
      </c>
      <c r="O282" s="48">
        <v>7128.48</v>
      </c>
      <c r="P282" s="95">
        <v>1890.26</v>
      </c>
      <c r="Q282" s="8">
        <v>2138.54</v>
      </c>
      <c r="R282" s="13">
        <v>248.28</v>
      </c>
      <c r="S282" s="70">
        <v>45668</v>
      </c>
      <c r="T282" s="6"/>
      <c r="U282" s="164"/>
      <c r="V282" s="1"/>
      <c r="X282" s="101">
        <v>2</v>
      </c>
    </row>
    <row r="283" spans="2:24" hidden="1">
      <c r="B283" s="24">
        <v>46149.624305555553</v>
      </c>
      <c r="C283" s="24">
        <v>46208.625</v>
      </c>
      <c r="D283" s="10" t="s">
        <v>24</v>
      </c>
      <c r="E283" s="10"/>
      <c r="F283" s="27">
        <v>46208</v>
      </c>
      <c r="G283" s="28">
        <v>46149</v>
      </c>
      <c r="H283" s="160" t="s">
        <v>110</v>
      </c>
      <c r="I283" s="10" t="s">
        <v>594</v>
      </c>
      <c r="J283" s="195">
        <v>13735701644</v>
      </c>
      <c r="K283" s="181" t="s">
        <v>595</v>
      </c>
      <c r="L283" s="108">
        <v>22311640</v>
      </c>
      <c r="M283" s="32">
        <v>5217713460540</v>
      </c>
      <c r="N283" s="170" t="s">
        <v>28</v>
      </c>
      <c r="O283" s="49">
        <v>16644.53</v>
      </c>
      <c r="P283" s="96"/>
      <c r="Q283" s="11">
        <v>4993.3599999999997</v>
      </c>
      <c r="R283" s="14">
        <v>4993.3599999999997</v>
      </c>
      <c r="S283" s="71"/>
      <c r="T283" s="10"/>
      <c r="U283" s="97"/>
      <c r="V283" s="1"/>
      <c r="X283" s="101">
        <v>1</v>
      </c>
    </row>
    <row r="284" spans="2:24" hidden="1">
      <c r="B284" s="23">
        <v>46149.637499999997</v>
      </c>
      <c r="C284" s="23">
        <v>46208.63958333333</v>
      </c>
      <c r="D284" s="6" t="s">
        <v>24</v>
      </c>
      <c r="E284" s="6"/>
      <c r="F284" s="27">
        <v>46208</v>
      </c>
      <c r="G284" s="27">
        <v>46149</v>
      </c>
      <c r="H284" s="6" t="s">
        <v>61</v>
      </c>
      <c r="I284" s="6" t="s">
        <v>596</v>
      </c>
      <c r="J284" s="196">
        <v>53846902905</v>
      </c>
      <c r="K284" s="180" t="s">
        <v>597</v>
      </c>
      <c r="L284" s="107">
        <v>22302862</v>
      </c>
      <c r="M284" s="31">
        <v>5214521561023</v>
      </c>
      <c r="N284" s="169" t="s">
        <v>74</v>
      </c>
      <c r="O284" s="48"/>
      <c r="P284" s="95"/>
      <c r="Q284" s="8">
        <v>0</v>
      </c>
      <c r="R284" s="13">
        <v>0</v>
      </c>
      <c r="S284" s="70"/>
      <c r="T284" s="6"/>
      <c r="U284" s="164"/>
      <c r="V284" s="1"/>
      <c r="X284" s="101">
        <v>1</v>
      </c>
    </row>
    <row r="285" spans="2:24" hidden="1">
      <c r="B285" s="24">
        <v>46149.642361111109</v>
      </c>
      <c r="C285" s="24">
        <v>46208.643750000003</v>
      </c>
      <c r="D285" s="10" t="s">
        <v>24</v>
      </c>
      <c r="E285" s="10"/>
      <c r="F285" s="27">
        <v>46208</v>
      </c>
      <c r="G285" s="28">
        <v>46149</v>
      </c>
      <c r="H285" s="10" t="s">
        <v>145</v>
      </c>
      <c r="I285" s="10" t="s">
        <v>598</v>
      </c>
      <c r="J285" s="195">
        <v>25968038031</v>
      </c>
      <c r="K285" s="181" t="s">
        <v>599</v>
      </c>
      <c r="L285" s="108">
        <v>22314172</v>
      </c>
      <c r="M285" s="32">
        <v>5216647173388</v>
      </c>
      <c r="N285" s="170" t="s">
        <v>37</v>
      </c>
      <c r="O285" s="49">
        <v>7135.6</v>
      </c>
      <c r="P285" s="96">
        <v>2137.63</v>
      </c>
      <c r="Q285" s="11">
        <v>2140.6799999999998</v>
      </c>
      <c r="R285" s="12">
        <v>3.05</v>
      </c>
      <c r="S285" s="71">
        <v>46756</v>
      </c>
      <c r="T285" s="10"/>
      <c r="U285" s="97"/>
      <c r="V285" s="1"/>
      <c r="X285" s="101">
        <v>2</v>
      </c>
    </row>
    <row r="286" spans="2:24" hidden="1">
      <c r="B286" s="23">
        <v>46149.648611111108</v>
      </c>
      <c r="C286" s="23">
        <v>46208.649305555555</v>
      </c>
      <c r="D286" s="6" t="s">
        <v>24</v>
      </c>
      <c r="E286" s="6"/>
      <c r="F286" s="27">
        <v>46208</v>
      </c>
      <c r="G286" s="27">
        <v>46149</v>
      </c>
      <c r="H286" s="6" t="s">
        <v>103</v>
      </c>
      <c r="I286" s="6"/>
      <c r="J286" s="196">
        <v>32886830770</v>
      </c>
      <c r="K286" s="180"/>
      <c r="L286" s="109">
        <v>1</v>
      </c>
      <c r="M286" s="31">
        <v>8661551979</v>
      </c>
      <c r="N286" s="169" t="s">
        <v>98</v>
      </c>
      <c r="O286" s="48"/>
      <c r="P286" s="95"/>
      <c r="Q286" s="8">
        <v>0</v>
      </c>
      <c r="R286" s="13">
        <v>0</v>
      </c>
      <c r="S286" s="70"/>
      <c r="T286" s="6"/>
      <c r="U286" s="164"/>
      <c r="V286" s="1"/>
      <c r="X286" s="101">
        <v>0</v>
      </c>
    </row>
    <row r="287" spans="2:24" hidden="1">
      <c r="B287" s="24">
        <v>46149.649305555555</v>
      </c>
      <c r="C287" s="24">
        <v>46208.65</v>
      </c>
      <c r="D287" s="10" t="s">
        <v>24</v>
      </c>
      <c r="E287" s="10"/>
      <c r="F287" s="27">
        <v>46208</v>
      </c>
      <c r="G287" s="28">
        <v>46149</v>
      </c>
      <c r="H287" s="10" t="s">
        <v>103</v>
      </c>
      <c r="I287" s="10"/>
      <c r="J287" s="195">
        <v>49816530536</v>
      </c>
      <c r="K287" s="181"/>
      <c r="L287" s="108">
        <v>1</v>
      </c>
      <c r="M287" s="32">
        <v>8999848904</v>
      </c>
      <c r="N287" s="170" t="s">
        <v>37</v>
      </c>
      <c r="O287" s="49">
        <v>9760.32</v>
      </c>
      <c r="P287" s="96">
        <v>2817.36</v>
      </c>
      <c r="Q287" s="11">
        <v>2928.1</v>
      </c>
      <c r="R287" s="12">
        <v>110.74</v>
      </c>
      <c r="S287" s="71">
        <v>46398</v>
      </c>
      <c r="T287" s="10"/>
      <c r="U287" s="97"/>
      <c r="V287" s="1"/>
      <c r="X287" s="101">
        <v>2</v>
      </c>
    </row>
    <row r="288" spans="2:24" hidden="1">
      <c r="B288" s="23">
        <v>46149.662499999999</v>
      </c>
      <c r="C288" s="23">
        <v>46208.664583333331</v>
      </c>
      <c r="D288" s="6" t="s">
        <v>24</v>
      </c>
      <c r="E288" s="6"/>
      <c r="F288" s="27">
        <v>46208</v>
      </c>
      <c r="G288" s="27">
        <v>46149</v>
      </c>
      <c r="H288" s="7" t="s">
        <v>110</v>
      </c>
      <c r="I288" s="6" t="s">
        <v>600</v>
      </c>
      <c r="J288" s="196">
        <v>41057902813</v>
      </c>
      <c r="K288" s="180" t="s">
        <v>601</v>
      </c>
      <c r="L288" s="107">
        <v>22300624</v>
      </c>
      <c r="M288" s="31">
        <v>5214442874427</v>
      </c>
      <c r="N288" s="169" t="s">
        <v>74</v>
      </c>
      <c r="O288" s="48"/>
      <c r="P288" s="95"/>
      <c r="Q288" s="8">
        <v>0</v>
      </c>
      <c r="R288" s="13">
        <v>0</v>
      </c>
      <c r="S288" s="70"/>
      <c r="T288" s="6"/>
      <c r="U288" s="164"/>
      <c r="V288" s="1"/>
      <c r="X288" s="101">
        <v>1</v>
      </c>
    </row>
    <row r="289" spans="2:24" hidden="1">
      <c r="B289" s="24">
        <v>46149.681250000001</v>
      </c>
      <c r="C289" s="24">
        <v>46208.681944444441</v>
      </c>
      <c r="D289" s="10" t="s">
        <v>24</v>
      </c>
      <c r="E289" s="10"/>
      <c r="F289" s="27">
        <v>46208</v>
      </c>
      <c r="G289" s="28">
        <v>46119</v>
      </c>
      <c r="H289" s="20" t="s">
        <v>71</v>
      </c>
      <c r="I289" s="10" t="s">
        <v>602</v>
      </c>
      <c r="J289" s="195"/>
      <c r="K289" s="181" t="s">
        <v>603</v>
      </c>
      <c r="L289" s="108">
        <v>22302784</v>
      </c>
      <c r="M289" s="36">
        <v>22302784</v>
      </c>
      <c r="N289" s="170" t="s">
        <v>37</v>
      </c>
      <c r="O289" s="49">
        <v>9760.32</v>
      </c>
      <c r="P289" s="96">
        <v>2785.36</v>
      </c>
      <c r="Q289" s="11">
        <v>2928.1</v>
      </c>
      <c r="R289" s="12">
        <v>142.74</v>
      </c>
      <c r="S289" s="71">
        <v>46395</v>
      </c>
      <c r="T289" s="10"/>
      <c r="U289" s="97"/>
      <c r="V289" s="1"/>
      <c r="X289" s="101">
        <v>2</v>
      </c>
    </row>
    <row r="290" spans="2:24" hidden="1">
      <c r="B290" s="23">
        <v>46149.629166666666</v>
      </c>
      <c r="C290" s="23">
        <v>46208.68472222222</v>
      </c>
      <c r="D290" s="6" t="s">
        <v>24</v>
      </c>
      <c r="E290" s="6"/>
      <c r="F290" s="27">
        <v>46208</v>
      </c>
      <c r="G290" s="27">
        <v>46149</v>
      </c>
      <c r="H290" s="7" t="s">
        <v>26</v>
      </c>
      <c r="I290" s="6" t="s">
        <v>604</v>
      </c>
      <c r="J290" s="196">
        <v>3856823162</v>
      </c>
      <c r="K290" s="180"/>
      <c r="L290" s="107">
        <v>22301226</v>
      </c>
      <c r="M290" s="31">
        <v>5218129506669</v>
      </c>
      <c r="N290" s="169" t="s">
        <v>98</v>
      </c>
      <c r="O290" s="48"/>
      <c r="P290" s="95"/>
      <c r="Q290" s="8">
        <v>0</v>
      </c>
      <c r="R290" s="13">
        <v>0</v>
      </c>
      <c r="S290" s="70"/>
      <c r="T290" s="6"/>
      <c r="U290" s="164"/>
      <c r="V290" s="1"/>
      <c r="X290" s="101">
        <v>0</v>
      </c>
    </row>
    <row r="291" spans="2:24" hidden="1">
      <c r="B291" s="24">
        <v>46149.68472222222</v>
      </c>
      <c r="C291" s="24">
        <v>46208.685416666667</v>
      </c>
      <c r="D291" s="10" t="s">
        <v>24</v>
      </c>
      <c r="E291" s="10"/>
      <c r="F291" s="27">
        <v>46208</v>
      </c>
      <c r="G291" s="28">
        <v>46149</v>
      </c>
      <c r="H291" s="15" t="s">
        <v>26</v>
      </c>
      <c r="I291" s="10" t="s">
        <v>605</v>
      </c>
      <c r="J291" s="195">
        <v>55846513392</v>
      </c>
      <c r="K291" s="181"/>
      <c r="L291" s="108">
        <v>22313772</v>
      </c>
      <c r="M291" s="32">
        <v>5213112804576</v>
      </c>
      <c r="N291" s="170" t="s">
        <v>37</v>
      </c>
      <c r="O291" s="49">
        <v>9081.52</v>
      </c>
      <c r="P291" s="96">
        <v>2724.46</v>
      </c>
      <c r="Q291" s="11">
        <v>2724.46</v>
      </c>
      <c r="R291" s="12">
        <v>0</v>
      </c>
      <c r="S291" s="71">
        <v>46755</v>
      </c>
      <c r="T291" s="10"/>
      <c r="U291" s="97"/>
      <c r="V291" s="1"/>
      <c r="X291" s="101">
        <v>2</v>
      </c>
    </row>
    <row r="292" spans="2:24" hidden="1">
      <c r="B292" s="23">
        <v>46180.301388888889</v>
      </c>
      <c r="C292" s="23">
        <v>46209.311111111114</v>
      </c>
      <c r="D292" s="6" t="s">
        <v>24</v>
      </c>
      <c r="E292" s="6"/>
      <c r="F292" s="27">
        <v>46209</v>
      </c>
      <c r="G292" s="27">
        <v>46180</v>
      </c>
      <c r="H292" s="6" t="s">
        <v>103</v>
      </c>
      <c r="I292" s="6"/>
      <c r="J292" s="201" t="s">
        <v>606</v>
      </c>
      <c r="K292" s="180"/>
      <c r="L292" s="109">
        <v>1</v>
      </c>
      <c r="M292" s="31">
        <v>8683065891</v>
      </c>
      <c r="N292" s="169" t="s">
        <v>32</v>
      </c>
      <c r="O292" s="48">
        <v>3755.56</v>
      </c>
      <c r="P292" s="95"/>
      <c r="Q292" s="8">
        <v>1126.67</v>
      </c>
      <c r="R292" s="13">
        <v>0</v>
      </c>
      <c r="S292" s="70"/>
      <c r="T292" s="6"/>
      <c r="U292" s="164"/>
      <c r="V292" s="1"/>
      <c r="X292" s="101">
        <v>1</v>
      </c>
    </row>
    <row r="293" spans="2:24" hidden="1">
      <c r="B293" s="24">
        <v>46180.3125</v>
      </c>
      <c r="C293" s="24">
        <v>46209.313888888886</v>
      </c>
      <c r="D293" s="10" t="s">
        <v>24</v>
      </c>
      <c r="E293" s="10"/>
      <c r="F293" s="27">
        <v>46209</v>
      </c>
      <c r="G293" s="28">
        <v>46180</v>
      </c>
      <c r="H293" s="10" t="s">
        <v>103</v>
      </c>
      <c r="I293" s="10" t="s">
        <v>607</v>
      </c>
      <c r="J293" s="195">
        <v>51896805960</v>
      </c>
      <c r="K293" s="181"/>
      <c r="L293" s="111">
        <v>1</v>
      </c>
      <c r="M293" s="32">
        <v>4491510004</v>
      </c>
      <c r="N293" s="170" t="s">
        <v>98</v>
      </c>
      <c r="O293" s="49"/>
      <c r="P293" s="96"/>
      <c r="Q293" s="11">
        <v>0</v>
      </c>
      <c r="R293" s="12">
        <v>0</v>
      </c>
      <c r="S293" s="71"/>
      <c r="T293" s="10"/>
      <c r="U293" s="97"/>
      <c r="V293" s="1"/>
      <c r="X293" s="101">
        <v>0</v>
      </c>
    </row>
    <row r="294" spans="2:24" hidden="1">
      <c r="B294" s="23">
        <v>46180.331250000003</v>
      </c>
      <c r="C294" s="23">
        <v>46209.356249999997</v>
      </c>
      <c r="D294" s="6" t="s">
        <v>24</v>
      </c>
      <c r="E294" s="6"/>
      <c r="F294" s="27">
        <v>46209</v>
      </c>
      <c r="G294" s="27">
        <v>46180</v>
      </c>
      <c r="H294" s="6" t="s">
        <v>90</v>
      </c>
      <c r="I294" s="6" t="s">
        <v>608</v>
      </c>
      <c r="J294" s="197">
        <v>33846700061</v>
      </c>
      <c r="K294" s="180"/>
      <c r="L294" s="108">
        <v>1</v>
      </c>
      <c r="M294" s="31" t="s">
        <v>609</v>
      </c>
      <c r="N294" s="169" t="s">
        <v>37</v>
      </c>
      <c r="O294" s="48">
        <v>4876.6899999999996</v>
      </c>
      <c r="P294" s="95">
        <v>1121</v>
      </c>
      <c r="Q294" s="8">
        <v>1463.01</v>
      </c>
      <c r="R294" s="13">
        <v>-417.29</v>
      </c>
      <c r="S294" s="70">
        <v>46758</v>
      </c>
      <c r="T294" s="6"/>
      <c r="U294" s="164"/>
      <c r="V294" s="1"/>
      <c r="X294" s="101">
        <v>2</v>
      </c>
    </row>
    <row r="295" spans="2:24" hidden="1">
      <c r="B295" s="24">
        <v>46180.35833333333</v>
      </c>
      <c r="C295" s="24">
        <v>46209.359027777777</v>
      </c>
      <c r="D295" s="10" t="s">
        <v>24</v>
      </c>
      <c r="E295" s="10"/>
      <c r="F295" s="27">
        <v>46209</v>
      </c>
      <c r="G295" s="28">
        <v>46149</v>
      </c>
      <c r="H295" s="15" t="s">
        <v>107</v>
      </c>
      <c r="I295" s="124"/>
      <c r="J295" s="195"/>
      <c r="K295" s="181" t="s">
        <v>610</v>
      </c>
      <c r="L295" s="108">
        <v>22311512</v>
      </c>
      <c r="M295" s="32">
        <v>5216862035060</v>
      </c>
      <c r="N295" s="170" t="s">
        <v>37</v>
      </c>
      <c r="O295" s="49">
        <v>5975.57</v>
      </c>
      <c r="P295" s="96">
        <v>1655.36</v>
      </c>
      <c r="Q295" s="11">
        <v>1792.67</v>
      </c>
      <c r="R295" s="12">
        <v>137.31</v>
      </c>
      <c r="S295" s="71">
        <v>46296</v>
      </c>
      <c r="T295" s="10"/>
      <c r="U295" s="97"/>
      <c r="V295" s="1"/>
      <c r="X295" s="101">
        <v>2</v>
      </c>
    </row>
    <row r="296" spans="2:24" hidden="1">
      <c r="B296" s="23">
        <v>46180.336805555555</v>
      </c>
      <c r="C296" s="23">
        <v>46209.375</v>
      </c>
      <c r="D296" s="6" t="s">
        <v>24</v>
      </c>
      <c r="E296" s="6"/>
      <c r="F296" s="27">
        <v>46209</v>
      </c>
      <c r="G296" s="27">
        <v>46149</v>
      </c>
      <c r="H296" s="6" t="s">
        <v>61</v>
      </c>
      <c r="I296" s="6" t="s">
        <v>611</v>
      </c>
      <c r="J296" s="196">
        <v>81876812645</v>
      </c>
      <c r="K296" s="180" t="s">
        <v>612</v>
      </c>
      <c r="L296" s="107">
        <v>22313770</v>
      </c>
      <c r="M296" s="31">
        <v>5219841414495</v>
      </c>
      <c r="N296" s="169" t="s">
        <v>32</v>
      </c>
      <c r="O296" s="48">
        <v>4332.32</v>
      </c>
      <c r="P296" s="95">
        <v>848</v>
      </c>
      <c r="Q296" s="8">
        <v>1299.7</v>
      </c>
      <c r="R296" s="13">
        <v>-688.66</v>
      </c>
      <c r="S296" s="70"/>
      <c r="T296" s="6"/>
      <c r="U296" s="164"/>
      <c r="V296" s="1"/>
      <c r="X296" s="101">
        <v>1</v>
      </c>
    </row>
    <row r="297" spans="2:24" hidden="1">
      <c r="B297" s="24">
        <v>46180.376388888886</v>
      </c>
      <c r="C297" s="24">
        <v>46209.393055555556</v>
      </c>
      <c r="D297" s="10" t="s">
        <v>24</v>
      </c>
      <c r="E297" s="10"/>
      <c r="F297" s="27">
        <v>46209</v>
      </c>
      <c r="G297" s="28">
        <v>46149</v>
      </c>
      <c r="H297" s="10" t="s">
        <v>145</v>
      </c>
      <c r="I297" s="10" t="s">
        <v>613</v>
      </c>
      <c r="J297" s="195">
        <v>4856768470</v>
      </c>
      <c r="K297" s="181" t="s">
        <v>614</v>
      </c>
      <c r="L297" s="108">
        <v>22311960</v>
      </c>
      <c r="M297" s="32">
        <v>5213327527947</v>
      </c>
      <c r="N297" s="170" t="s">
        <v>37</v>
      </c>
      <c r="O297" s="49">
        <v>5814.14</v>
      </c>
      <c r="P297" s="96">
        <v>1605.54</v>
      </c>
      <c r="Q297" s="11">
        <v>1744.24</v>
      </c>
      <c r="R297" s="12">
        <v>35.619999999999997</v>
      </c>
      <c r="S297" s="71">
        <v>46389</v>
      </c>
      <c r="T297" s="10"/>
      <c r="U297" s="97"/>
      <c r="V297" s="1"/>
      <c r="X297" s="101">
        <v>2</v>
      </c>
    </row>
    <row r="298" spans="2:24" hidden="1">
      <c r="B298" s="23">
        <v>46180.394444444442</v>
      </c>
      <c r="C298" s="23">
        <v>46209.397222222222</v>
      </c>
      <c r="D298" s="6" t="s">
        <v>24</v>
      </c>
      <c r="E298" s="6"/>
      <c r="F298" s="27">
        <v>46209</v>
      </c>
      <c r="G298" s="27">
        <v>46149</v>
      </c>
      <c r="H298" s="18" t="s">
        <v>170</v>
      </c>
      <c r="I298" s="6" t="s">
        <v>615</v>
      </c>
      <c r="J298" s="196">
        <v>15695015154</v>
      </c>
      <c r="K298" s="180" t="s">
        <v>616</v>
      </c>
      <c r="L298" s="107">
        <v>22312802</v>
      </c>
      <c r="M298" s="31">
        <v>5217774456077</v>
      </c>
      <c r="N298" s="169" t="s">
        <v>32</v>
      </c>
      <c r="O298" s="48">
        <v>3779.88</v>
      </c>
      <c r="P298" s="95"/>
      <c r="Q298" s="8">
        <v>1133.96</v>
      </c>
      <c r="R298" s="13">
        <v>0</v>
      </c>
      <c r="S298" s="70"/>
      <c r="T298" s="6"/>
      <c r="U298" s="164"/>
      <c r="V298" s="1"/>
      <c r="X298" s="101">
        <v>1</v>
      </c>
    </row>
    <row r="299" spans="2:24" hidden="1">
      <c r="B299" s="24">
        <v>46180.406944444447</v>
      </c>
      <c r="C299" s="24">
        <v>46209.413888888892</v>
      </c>
      <c r="D299" s="10" t="s">
        <v>24</v>
      </c>
      <c r="E299" s="10"/>
      <c r="F299" s="27">
        <v>46209</v>
      </c>
      <c r="G299" s="28">
        <v>46119</v>
      </c>
      <c r="H299" s="10" t="s">
        <v>160</v>
      </c>
      <c r="I299" s="10" t="s">
        <v>617</v>
      </c>
      <c r="J299" s="195">
        <v>62786203695</v>
      </c>
      <c r="K299" s="181" t="s">
        <v>618</v>
      </c>
      <c r="L299" s="108">
        <v>22295310</v>
      </c>
      <c r="M299" s="32">
        <v>5212225324170</v>
      </c>
      <c r="N299" s="170" t="s">
        <v>37</v>
      </c>
      <c r="O299" s="49">
        <v>7116.73</v>
      </c>
      <c r="P299" s="96">
        <v>2059.0300000000002</v>
      </c>
      <c r="Q299" s="11">
        <v>2135.02</v>
      </c>
      <c r="R299" s="12">
        <v>75.989999999999995</v>
      </c>
      <c r="S299" s="71">
        <v>46399</v>
      </c>
      <c r="T299" s="10"/>
      <c r="U299" s="97"/>
      <c r="V299" s="1"/>
      <c r="X299" s="101">
        <v>2</v>
      </c>
    </row>
    <row r="300" spans="2:24" hidden="1">
      <c r="B300" s="23">
        <v>46180.413888888892</v>
      </c>
      <c r="C300" s="23">
        <v>46209.415277777778</v>
      </c>
      <c r="D300" s="6" t="s">
        <v>24</v>
      </c>
      <c r="E300" s="6"/>
      <c r="F300" s="27">
        <v>46209</v>
      </c>
      <c r="G300" s="27">
        <v>46119</v>
      </c>
      <c r="H300" s="6" t="s">
        <v>61</v>
      </c>
      <c r="I300" s="6" t="s">
        <v>619</v>
      </c>
      <c r="J300" s="196"/>
      <c r="K300" s="180" t="s">
        <v>620</v>
      </c>
      <c r="L300" s="108">
        <v>22301914</v>
      </c>
      <c r="M300" s="31" t="s">
        <v>621</v>
      </c>
      <c r="N300" s="169" t="s">
        <v>37</v>
      </c>
      <c r="O300" s="48">
        <v>10171.23</v>
      </c>
      <c r="P300" s="95">
        <v>2940</v>
      </c>
      <c r="Q300" s="8">
        <v>3051.37</v>
      </c>
      <c r="R300" s="13">
        <v>111.37</v>
      </c>
      <c r="S300" s="70">
        <v>46390</v>
      </c>
      <c r="T300" s="6"/>
      <c r="U300" s="164"/>
      <c r="V300" s="1"/>
      <c r="X300" s="101">
        <v>2</v>
      </c>
    </row>
    <row r="301" spans="2:24" hidden="1">
      <c r="B301" s="24">
        <v>46180.413888888892</v>
      </c>
      <c r="C301" s="24">
        <v>46209.427083333336</v>
      </c>
      <c r="D301" s="10" t="s">
        <v>24</v>
      </c>
      <c r="E301" s="10"/>
      <c r="F301" s="27">
        <v>46209</v>
      </c>
      <c r="G301" s="28">
        <v>46119</v>
      </c>
      <c r="H301" s="10" t="s">
        <v>160</v>
      </c>
      <c r="I301" s="10" t="s">
        <v>622</v>
      </c>
      <c r="J301" s="195">
        <v>9957523484</v>
      </c>
      <c r="K301" s="181" t="s">
        <v>623</v>
      </c>
      <c r="L301" s="108">
        <v>22289414</v>
      </c>
      <c r="M301" s="32">
        <v>22289414</v>
      </c>
      <c r="N301" s="170" t="s">
        <v>37</v>
      </c>
      <c r="O301" s="49">
        <v>11712.9</v>
      </c>
      <c r="P301" s="96">
        <v>3386.15</v>
      </c>
      <c r="Q301" s="11">
        <v>3513.87</v>
      </c>
      <c r="R301" s="12">
        <v>127.72</v>
      </c>
      <c r="S301" s="71">
        <v>46395</v>
      </c>
      <c r="T301" s="10"/>
      <c r="U301" s="97"/>
      <c r="V301" s="1"/>
      <c r="X301" s="101">
        <v>2</v>
      </c>
    </row>
    <row r="302" spans="2:24" hidden="1">
      <c r="B302" s="23">
        <v>46180.440972222219</v>
      </c>
      <c r="C302" s="23">
        <v>46209.443749999999</v>
      </c>
      <c r="D302" s="6" t="s">
        <v>24</v>
      </c>
      <c r="E302" s="6"/>
      <c r="F302" s="27">
        <v>46209</v>
      </c>
      <c r="G302" s="27">
        <v>46119</v>
      </c>
      <c r="H302" s="6" t="s">
        <v>160</v>
      </c>
      <c r="I302" s="6" t="s">
        <v>624</v>
      </c>
      <c r="J302" s="197">
        <v>54866506048</v>
      </c>
      <c r="K302" s="180" t="s">
        <v>625</v>
      </c>
      <c r="L302" s="108">
        <v>22294652</v>
      </c>
      <c r="M302" s="31">
        <v>22294652</v>
      </c>
      <c r="N302" s="169" t="s">
        <v>37</v>
      </c>
      <c r="O302" s="48">
        <v>7920.51</v>
      </c>
      <c r="P302" s="95">
        <v>2373.71</v>
      </c>
      <c r="Q302" s="8">
        <v>2376.15</v>
      </c>
      <c r="R302" s="13">
        <v>2.44</v>
      </c>
      <c r="S302" s="70">
        <v>46394</v>
      </c>
      <c r="T302" s="6"/>
      <c r="U302" s="164"/>
      <c r="V302" s="1"/>
      <c r="X302" s="101">
        <v>2</v>
      </c>
    </row>
    <row r="303" spans="2:24" hidden="1">
      <c r="B303" s="24">
        <v>46180.440972222219</v>
      </c>
      <c r="C303" s="24">
        <v>46209.447222222225</v>
      </c>
      <c r="D303" s="10" t="s">
        <v>24</v>
      </c>
      <c r="E303" s="10"/>
      <c r="F303" s="27">
        <v>46209</v>
      </c>
      <c r="G303" s="28">
        <v>46119</v>
      </c>
      <c r="H303" s="10" t="s">
        <v>78</v>
      </c>
      <c r="I303" s="10" t="s">
        <v>626</v>
      </c>
      <c r="J303" s="195">
        <v>4755618917</v>
      </c>
      <c r="K303" s="181" t="s">
        <v>627</v>
      </c>
      <c r="L303" s="108">
        <v>22297622</v>
      </c>
      <c r="M303" s="32">
        <v>5213316211017</v>
      </c>
      <c r="N303" s="170" t="s">
        <v>32</v>
      </c>
      <c r="O303" s="49">
        <v>4386.57</v>
      </c>
      <c r="P303" s="96"/>
      <c r="Q303" s="11">
        <v>1315.97</v>
      </c>
      <c r="R303" s="12">
        <v>213.59</v>
      </c>
      <c r="S303" s="71"/>
      <c r="T303" s="10"/>
      <c r="U303" s="97"/>
      <c r="V303" s="1"/>
      <c r="X303" s="101">
        <v>1</v>
      </c>
    </row>
    <row r="304" spans="2:24" hidden="1">
      <c r="B304" s="23">
        <v>46180.45208333333</v>
      </c>
      <c r="C304" s="23">
        <v>46209.453472222223</v>
      </c>
      <c r="D304" s="6" t="s">
        <v>24</v>
      </c>
      <c r="E304" s="6"/>
      <c r="F304" s="27">
        <v>46209</v>
      </c>
      <c r="G304" s="27">
        <v>46180</v>
      </c>
      <c r="H304" s="6" t="s">
        <v>103</v>
      </c>
      <c r="I304" s="6" t="s">
        <v>628</v>
      </c>
      <c r="J304" s="196">
        <v>33887217041</v>
      </c>
      <c r="K304" s="180"/>
      <c r="L304" s="109">
        <v>1</v>
      </c>
      <c r="M304" s="31">
        <v>8713788256</v>
      </c>
      <c r="N304" s="169" t="s">
        <v>74</v>
      </c>
      <c r="O304" s="48"/>
      <c r="P304" s="95"/>
      <c r="Q304" s="8">
        <v>0</v>
      </c>
      <c r="R304" s="13">
        <v>0</v>
      </c>
      <c r="S304" s="70"/>
      <c r="T304" s="6"/>
      <c r="U304" s="164"/>
      <c r="V304" s="1"/>
      <c r="X304" s="101">
        <v>1</v>
      </c>
    </row>
    <row r="305" spans="2:24" hidden="1">
      <c r="B305" s="24">
        <v>46180.453472222223</v>
      </c>
      <c r="C305" s="24">
        <v>46209.456944444442</v>
      </c>
      <c r="D305" s="10" t="s">
        <v>24</v>
      </c>
      <c r="E305" s="10"/>
      <c r="F305" s="27">
        <v>46209</v>
      </c>
      <c r="G305" s="28">
        <v>46119</v>
      </c>
      <c r="H305" s="10" t="s">
        <v>160</v>
      </c>
      <c r="I305" s="10" t="s">
        <v>629</v>
      </c>
      <c r="J305" s="195"/>
      <c r="K305" s="179" t="s">
        <v>630</v>
      </c>
      <c r="L305" s="108">
        <v>22292864</v>
      </c>
      <c r="M305" s="32">
        <v>22292864</v>
      </c>
      <c r="N305" s="170" t="s">
        <v>32</v>
      </c>
      <c r="O305" s="49">
        <v>4035.69</v>
      </c>
      <c r="P305" s="96"/>
      <c r="Q305" s="11">
        <v>1210.71</v>
      </c>
      <c r="R305" s="12">
        <v>0</v>
      </c>
      <c r="S305" s="71"/>
      <c r="T305" s="10"/>
      <c r="U305" s="97"/>
      <c r="V305" s="1"/>
      <c r="X305" s="101">
        <v>1</v>
      </c>
    </row>
    <row r="306" spans="2:24" hidden="1">
      <c r="B306" s="23">
        <v>46180.397916666669</v>
      </c>
      <c r="C306" s="23">
        <v>46209.479861111111</v>
      </c>
      <c r="D306" s="6" t="s">
        <v>24</v>
      </c>
      <c r="E306" s="6"/>
      <c r="F306" s="27">
        <v>46209</v>
      </c>
      <c r="G306" s="27">
        <v>46088</v>
      </c>
      <c r="H306" s="6" t="s">
        <v>127</v>
      </c>
      <c r="I306" s="6" t="s">
        <v>631</v>
      </c>
      <c r="J306" s="196">
        <v>54705011473</v>
      </c>
      <c r="K306" s="183" t="s">
        <v>632</v>
      </c>
      <c r="L306" s="108">
        <v>22280036</v>
      </c>
      <c r="M306" s="31">
        <v>22280036</v>
      </c>
      <c r="N306" s="169" t="s">
        <v>37</v>
      </c>
      <c r="O306" s="48">
        <v>27210.69</v>
      </c>
      <c r="P306" s="95">
        <v>8163.21</v>
      </c>
      <c r="Q306" s="8">
        <v>8163.21</v>
      </c>
      <c r="R306" s="13">
        <v>0</v>
      </c>
      <c r="S306" s="70">
        <v>46390</v>
      </c>
      <c r="T306" s="6"/>
      <c r="U306" s="164"/>
      <c r="V306" s="1"/>
      <c r="X306" s="101">
        <v>2</v>
      </c>
    </row>
    <row r="307" spans="2:24" hidden="1">
      <c r="B307" s="24">
        <v>46180.379166666666</v>
      </c>
      <c r="C307" s="24">
        <v>46209.480555555558</v>
      </c>
      <c r="D307" s="10" t="s">
        <v>24</v>
      </c>
      <c r="E307" s="10"/>
      <c r="F307" s="27">
        <v>46209</v>
      </c>
      <c r="G307" s="28" t="s">
        <v>633</v>
      </c>
      <c r="H307" s="10" t="s">
        <v>124</v>
      </c>
      <c r="I307" s="10" t="s">
        <v>634</v>
      </c>
      <c r="J307" s="195"/>
      <c r="K307" s="181" t="s">
        <v>635</v>
      </c>
      <c r="L307" s="108">
        <v>22353958</v>
      </c>
      <c r="M307" s="32">
        <v>5218134800504</v>
      </c>
      <c r="N307" s="170" t="s">
        <v>37</v>
      </c>
      <c r="O307" s="49">
        <v>7920.51</v>
      </c>
      <c r="P307" s="96">
        <v>2291.6</v>
      </c>
      <c r="Q307" s="11">
        <v>2376.15</v>
      </c>
      <c r="R307" s="12">
        <v>84.55</v>
      </c>
      <c r="S307" s="71">
        <v>46754</v>
      </c>
      <c r="T307" s="10"/>
      <c r="U307" s="97"/>
      <c r="V307" s="1"/>
      <c r="X307" s="101">
        <v>2</v>
      </c>
    </row>
    <row r="308" spans="2:24" hidden="1">
      <c r="B308" s="23">
        <v>46180.482638888891</v>
      </c>
      <c r="C308" s="23">
        <v>46209.48333333333</v>
      </c>
      <c r="D308" s="6" t="s">
        <v>24</v>
      </c>
      <c r="E308" s="6"/>
      <c r="F308" s="27">
        <v>46209</v>
      </c>
      <c r="G308" s="27">
        <v>46119</v>
      </c>
      <c r="H308" s="10" t="s">
        <v>61</v>
      </c>
      <c r="I308" s="6" t="s">
        <v>636</v>
      </c>
      <c r="J308" s="196"/>
      <c r="K308" s="180" t="s">
        <v>637</v>
      </c>
      <c r="L308" s="107">
        <v>22292842</v>
      </c>
      <c r="M308" s="31" t="s">
        <v>638</v>
      </c>
      <c r="N308" s="169" t="s">
        <v>28</v>
      </c>
      <c r="O308" s="48">
        <v>15407.69</v>
      </c>
      <c r="P308" s="95"/>
      <c r="Q308" s="8">
        <v>4622.3100000000004</v>
      </c>
      <c r="R308" s="9">
        <v>4622.3100000000004</v>
      </c>
      <c r="S308" s="70"/>
      <c r="T308" s="6"/>
      <c r="U308" s="164"/>
      <c r="V308" s="1"/>
      <c r="X308" s="101">
        <v>1</v>
      </c>
    </row>
    <row r="309" spans="2:24" hidden="1">
      <c r="B309" s="24">
        <v>46180.484722222223</v>
      </c>
      <c r="C309" s="24">
        <v>46209.486111111109</v>
      </c>
      <c r="D309" s="10" t="s">
        <v>24</v>
      </c>
      <c r="E309" s="10"/>
      <c r="F309" s="27">
        <v>46209</v>
      </c>
      <c r="G309" s="28">
        <v>46180</v>
      </c>
      <c r="H309" s="10" t="s">
        <v>103</v>
      </c>
      <c r="I309" s="10" t="s">
        <v>639</v>
      </c>
      <c r="J309" s="195"/>
      <c r="K309" s="181" t="s">
        <v>640</v>
      </c>
      <c r="L309" s="111">
        <v>1</v>
      </c>
      <c r="M309" s="32">
        <v>5525679814</v>
      </c>
      <c r="N309" s="170" t="s">
        <v>263</v>
      </c>
      <c r="O309" s="49">
        <v>6262.86</v>
      </c>
      <c r="P309" s="96">
        <v>1532.08</v>
      </c>
      <c r="Q309" s="11">
        <v>1878.86</v>
      </c>
      <c r="R309" s="16">
        <v>346.78</v>
      </c>
      <c r="S309" s="71">
        <v>45302</v>
      </c>
      <c r="T309" s="10"/>
      <c r="U309" s="97"/>
      <c r="V309" s="1"/>
      <c r="X309" s="101">
        <v>2</v>
      </c>
    </row>
    <row r="310" spans="2:24" hidden="1">
      <c r="B310" s="23">
        <v>46180.48333333333</v>
      </c>
      <c r="C310" s="23">
        <v>46209.488888888889</v>
      </c>
      <c r="D310" s="6" t="s">
        <v>24</v>
      </c>
      <c r="E310" s="6"/>
      <c r="F310" s="27">
        <v>46209</v>
      </c>
      <c r="G310" s="27">
        <v>46088</v>
      </c>
      <c r="H310" s="10" t="s">
        <v>81</v>
      </c>
      <c r="I310" s="6" t="s">
        <v>641</v>
      </c>
      <c r="J310" s="196">
        <v>6745819216</v>
      </c>
      <c r="K310" s="180" t="s">
        <v>642</v>
      </c>
      <c r="L310" s="107">
        <v>22267188</v>
      </c>
      <c r="M310" s="31">
        <v>22267188</v>
      </c>
      <c r="N310" s="169" t="s">
        <v>130</v>
      </c>
      <c r="O310" s="48">
        <v>5617.63</v>
      </c>
      <c r="P310" s="95">
        <v>1181.3</v>
      </c>
      <c r="Q310" s="8">
        <v>1685.29</v>
      </c>
      <c r="R310" s="13">
        <v>263.35000000000002</v>
      </c>
      <c r="S310" s="70">
        <v>45295</v>
      </c>
      <c r="T310" s="6"/>
      <c r="U310" s="164"/>
      <c r="V310" s="1"/>
      <c r="X310" s="101">
        <v>2</v>
      </c>
    </row>
    <row r="311" spans="2:24" hidden="1">
      <c r="B311" s="24">
        <v>46180.5</v>
      </c>
      <c r="C311" s="24">
        <v>46209.500694444447</v>
      </c>
      <c r="D311" s="10" t="s">
        <v>24</v>
      </c>
      <c r="E311" s="10"/>
      <c r="F311" s="27">
        <v>46209</v>
      </c>
      <c r="G311" s="28">
        <v>46210</v>
      </c>
      <c r="H311" s="15" t="s">
        <v>26</v>
      </c>
      <c r="I311" s="10" t="s">
        <v>643</v>
      </c>
      <c r="J311" s="195">
        <v>55866621315</v>
      </c>
      <c r="K311" s="181"/>
      <c r="L311" s="108">
        <v>22312396</v>
      </c>
      <c r="M311" s="32">
        <v>5213111125520</v>
      </c>
      <c r="N311" s="170" t="s">
        <v>37</v>
      </c>
      <c r="O311" s="47">
        <v>11029.03</v>
      </c>
      <c r="P311" s="94">
        <v>3308.71</v>
      </c>
      <c r="Q311" s="11">
        <v>3308.71</v>
      </c>
      <c r="R311" s="12">
        <v>0</v>
      </c>
      <c r="S311" s="71">
        <v>46757</v>
      </c>
      <c r="T311" s="10"/>
      <c r="U311" s="97"/>
      <c r="V311" s="1"/>
      <c r="X311" s="101">
        <v>2</v>
      </c>
    </row>
    <row r="312" spans="2:24" hidden="1">
      <c r="B312" s="23">
        <v>46180.518055555556</v>
      </c>
      <c r="C312" s="23">
        <v>46209.523611111108</v>
      </c>
      <c r="D312" s="6" t="s">
        <v>24</v>
      </c>
      <c r="E312" s="6"/>
      <c r="F312" s="27">
        <v>46209</v>
      </c>
      <c r="G312" s="27" t="s">
        <v>644</v>
      </c>
      <c r="H312" s="6" t="s">
        <v>145</v>
      </c>
      <c r="I312" s="6" t="s">
        <v>645</v>
      </c>
      <c r="J312" s="196"/>
      <c r="K312" s="180" t="s">
        <v>646</v>
      </c>
      <c r="L312" s="107">
        <v>21198180</v>
      </c>
      <c r="M312" s="31">
        <v>5216865094692</v>
      </c>
      <c r="N312" s="169" t="s">
        <v>32</v>
      </c>
      <c r="O312" s="46">
        <v>4084.03</v>
      </c>
      <c r="P312" s="93"/>
      <c r="Q312" s="8">
        <v>1225.21</v>
      </c>
      <c r="R312" s="13">
        <v>0</v>
      </c>
      <c r="S312" s="70"/>
      <c r="T312" s="6"/>
      <c r="U312" s="164"/>
      <c r="V312" s="1"/>
      <c r="X312" s="101">
        <v>1</v>
      </c>
    </row>
    <row r="313" spans="2:24" hidden="1">
      <c r="B313" s="24">
        <v>46180.522222222222</v>
      </c>
      <c r="C313" s="24">
        <v>46209.526388888888</v>
      </c>
      <c r="D313" s="10" t="s">
        <v>24</v>
      </c>
      <c r="E313" s="10"/>
      <c r="F313" s="27">
        <v>46209</v>
      </c>
      <c r="G313" s="28">
        <v>46149</v>
      </c>
      <c r="H313" s="15" t="s">
        <v>107</v>
      </c>
      <c r="I313" s="10" t="s">
        <v>647</v>
      </c>
      <c r="J313" s="195"/>
      <c r="K313" s="181" t="s">
        <v>648</v>
      </c>
      <c r="L313" s="108">
        <v>22312796</v>
      </c>
      <c r="M313" s="32">
        <v>5216311771349</v>
      </c>
      <c r="N313" s="170" t="s">
        <v>37</v>
      </c>
      <c r="O313" s="49">
        <v>9760.32</v>
      </c>
      <c r="P313" s="96">
        <v>2823.89</v>
      </c>
      <c r="Q313" s="11">
        <v>2928.1</v>
      </c>
      <c r="R313" s="12">
        <v>104.21</v>
      </c>
      <c r="S313" s="71">
        <v>46399</v>
      </c>
      <c r="T313" s="10"/>
      <c r="U313" s="97"/>
      <c r="V313" s="1"/>
      <c r="X313" s="101">
        <v>2</v>
      </c>
    </row>
    <row r="314" spans="2:24" hidden="1">
      <c r="B314" s="23">
        <v>46180.522916666669</v>
      </c>
      <c r="C314" s="23">
        <v>46209.527777777781</v>
      </c>
      <c r="D314" s="6" t="s">
        <v>24</v>
      </c>
      <c r="E314" s="6"/>
      <c r="F314" s="27">
        <v>46209</v>
      </c>
      <c r="G314" s="27">
        <v>46060</v>
      </c>
      <c r="H314" s="6" t="s">
        <v>269</v>
      </c>
      <c r="I314" s="6" t="s">
        <v>649</v>
      </c>
      <c r="J314" s="196">
        <v>7846704125</v>
      </c>
      <c r="K314" s="180" t="s">
        <v>650</v>
      </c>
      <c r="L314" s="108">
        <v>22254490</v>
      </c>
      <c r="M314" s="31">
        <v>5216647786758</v>
      </c>
      <c r="N314" s="169" t="s">
        <v>37</v>
      </c>
      <c r="O314" s="46">
        <v>7135.6</v>
      </c>
      <c r="P314" s="93">
        <v>2064.5</v>
      </c>
      <c r="Q314" s="8">
        <v>2140.6799999999998</v>
      </c>
      <c r="R314" s="13">
        <v>76.180000000000007</v>
      </c>
      <c r="S314" s="70">
        <v>46399</v>
      </c>
      <c r="T314" s="6"/>
      <c r="U314" s="164"/>
      <c r="V314" s="1"/>
      <c r="X314" s="101">
        <v>2</v>
      </c>
    </row>
    <row r="315" spans="2:24" hidden="1">
      <c r="B315" s="24">
        <v>46180.52847222222</v>
      </c>
      <c r="C315" s="24">
        <v>46209.529166666667</v>
      </c>
      <c r="D315" s="10" t="s">
        <v>24</v>
      </c>
      <c r="E315" s="10"/>
      <c r="F315" s="27">
        <v>46209</v>
      </c>
      <c r="G315" s="28" t="s">
        <v>644</v>
      </c>
      <c r="H315" s="10" t="s">
        <v>93</v>
      </c>
      <c r="I315" s="10" t="s">
        <v>651</v>
      </c>
      <c r="J315" s="195">
        <v>53855900113</v>
      </c>
      <c r="K315" s="181" t="s">
        <v>652</v>
      </c>
      <c r="L315" s="108">
        <v>21189560</v>
      </c>
      <c r="M315" s="32">
        <v>5213313529165</v>
      </c>
      <c r="N315" s="170" t="s">
        <v>106</v>
      </c>
      <c r="O315" s="47">
        <v>16627.439999999999</v>
      </c>
      <c r="P315" s="94">
        <v>4800.5200000000004</v>
      </c>
      <c r="Q315" s="11">
        <v>4988.2299999999996</v>
      </c>
      <c r="R315" s="12">
        <v>187.71</v>
      </c>
      <c r="S315" s="71">
        <v>45662</v>
      </c>
      <c r="T315" s="10"/>
      <c r="U315" s="97"/>
      <c r="V315" s="1"/>
      <c r="X315" s="101">
        <v>2</v>
      </c>
    </row>
    <row r="316" spans="2:24" hidden="1">
      <c r="B316" s="23">
        <v>46180.464583333334</v>
      </c>
      <c r="C316" s="23">
        <v>46209.533333333333</v>
      </c>
      <c r="D316" s="6" t="s">
        <v>24</v>
      </c>
      <c r="E316" s="6"/>
      <c r="F316" s="27">
        <v>46209</v>
      </c>
      <c r="G316" s="27">
        <v>46119</v>
      </c>
      <c r="H316" s="18" t="s">
        <v>87</v>
      </c>
      <c r="I316" s="6" t="s">
        <v>653</v>
      </c>
      <c r="J316" s="196">
        <v>6846401294</v>
      </c>
      <c r="K316" s="180" t="s">
        <v>654</v>
      </c>
      <c r="L316" s="108">
        <v>22299422</v>
      </c>
      <c r="M316" s="31">
        <v>5215618117939</v>
      </c>
      <c r="N316" s="169" t="s">
        <v>37</v>
      </c>
      <c r="O316" s="48">
        <v>9081.52</v>
      </c>
      <c r="P316" s="95">
        <v>2453.87</v>
      </c>
      <c r="Q316" s="8">
        <v>2724.46</v>
      </c>
      <c r="R316" s="13">
        <v>270.58999999999997</v>
      </c>
      <c r="S316" s="70">
        <v>46327</v>
      </c>
      <c r="T316" s="6"/>
      <c r="U316" s="164"/>
      <c r="V316" s="1"/>
      <c r="X316" s="101">
        <v>2</v>
      </c>
    </row>
    <row r="317" spans="2:24" hidden="1">
      <c r="B317" s="24">
        <v>46180.537499999999</v>
      </c>
      <c r="C317" s="24">
        <v>46209.541666666664</v>
      </c>
      <c r="D317" s="10" t="s">
        <v>24</v>
      </c>
      <c r="E317" s="10"/>
      <c r="F317" s="27">
        <v>46209</v>
      </c>
      <c r="G317" s="28">
        <v>46119</v>
      </c>
      <c r="H317" s="20" t="s">
        <v>87</v>
      </c>
      <c r="I317" s="10" t="s">
        <v>655</v>
      </c>
      <c r="J317" s="195">
        <v>30937209218</v>
      </c>
      <c r="K317" s="181" t="s">
        <v>656</v>
      </c>
      <c r="L317" s="108">
        <v>22298564</v>
      </c>
      <c r="M317" s="32">
        <v>5215638517088</v>
      </c>
      <c r="N317" s="170" t="s">
        <v>37</v>
      </c>
      <c r="O317" s="47">
        <v>10006.83</v>
      </c>
      <c r="P317" s="94">
        <v>2895.22</v>
      </c>
      <c r="Q317" s="11">
        <v>3002.05</v>
      </c>
      <c r="R317" s="12">
        <v>106.83</v>
      </c>
      <c r="S317" s="71">
        <v>46759</v>
      </c>
      <c r="T317" s="10" t="s">
        <v>192</v>
      </c>
      <c r="U317" s="97"/>
      <c r="V317" s="1"/>
      <c r="X317" s="101">
        <v>2</v>
      </c>
    </row>
    <row r="318" spans="2:24" hidden="1">
      <c r="B318" s="23">
        <v>46180.569444444445</v>
      </c>
      <c r="C318" s="23">
        <v>46209.571527777778</v>
      </c>
      <c r="D318" s="6" t="s">
        <v>24</v>
      </c>
      <c r="E318" s="6"/>
      <c r="F318" s="27">
        <v>46209</v>
      </c>
      <c r="G318" s="27">
        <v>46180</v>
      </c>
      <c r="H318" s="10" t="s">
        <v>90</v>
      </c>
      <c r="I318" s="6" t="s">
        <v>657</v>
      </c>
      <c r="J318" s="196">
        <v>65906555282</v>
      </c>
      <c r="K318" s="180"/>
      <c r="L318" s="109">
        <v>1</v>
      </c>
      <c r="M318" s="31">
        <v>5631871819</v>
      </c>
      <c r="N318" s="169" t="s">
        <v>28</v>
      </c>
      <c r="O318" s="46">
        <v>9760.32</v>
      </c>
      <c r="P318" s="93">
        <v>879</v>
      </c>
      <c r="Q318" s="8">
        <v>2928.1</v>
      </c>
      <c r="R318" s="9">
        <v>2049.1</v>
      </c>
      <c r="S318" s="70"/>
      <c r="T318" s="6"/>
      <c r="U318" s="164"/>
      <c r="V318" s="1"/>
      <c r="X318" s="101">
        <v>1</v>
      </c>
    </row>
    <row r="319" spans="2:24" hidden="1">
      <c r="B319" s="24">
        <v>46180.578472222223</v>
      </c>
      <c r="C319" s="24">
        <v>46209.580555555556</v>
      </c>
      <c r="D319" s="10" t="s">
        <v>24</v>
      </c>
      <c r="E319" s="10"/>
      <c r="F319" s="27">
        <v>46209</v>
      </c>
      <c r="G319" s="28">
        <v>46088</v>
      </c>
      <c r="H319" s="10" t="s">
        <v>145</v>
      </c>
      <c r="I319" s="10" t="s">
        <v>658</v>
      </c>
      <c r="J319" s="195">
        <v>23927577413</v>
      </c>
      <c r="K319" s="181" t="s">
        <v>659</v>
      </c>
      <c r="L319" s="108">
        <v>22277248</v>
      </c>
      <c r="M319" s="32">
        <v>5216627444478</v>
      </c>
      <c r="N319" s="170" t="s">
        <v>28</v>
      </c>
      <c r="O319" s="47">
        <v>8562.7999999999993</v>
      </c>
      <c r="P319" s="94">
        <v>848</v>
      </c>
      <c r="Q319" s="11">
        <v>2568.84</v>
      </c>
      <c r="R319" s="14">
        <v>1720.84</v>
      </c>
      <c r="S319" s="71"/>
      <c r="T319" s="10"/>
      <c r="U319" s="97"/>
      <c r="V319" s="1"/>
      <c r="X319" s="101">
        <v>1</v>
      </c>
    </row>
    <row r="320" spans="2:24" hidden="1">
      <c r="B320" s="23">
        <v>46180.576388888891</v>
      </c>
      <c r="C320" s="23">
        <v>46209.580555555556</v>
      </c>
      <c r="D320" s="6" t="s">
        <v>24</v>
      </c>
      <c r="E320" s="6"/>
      <c r="F320" s="27">
        <v>46209</v>
      </c>
      <c r="G320" s="27">
        <v>46060</v>
      </c>
      <c r="H320" s="6" t="s">
        <v>54</v>
      </c>
      <c r="I320" s="6" t="s">
        <v>660</v>
      </c>
      <c r="J320" s="196">
        <v>1694924174</v>
      </c>
      <c r="K320" s="180"/>
      <c r="L320" s="107">
        <v>22255206</v>
      </c>
      <c r="M320" s="31">
        <v>5215584757019</v>
      </c>
      <c r="N320" s="169" t="s">
        <v>32</v>
      </c>
      <c r="O320" s="46">
        <v>3882.85</v>
      </c>
      <c r="P320" s="93">
        <v>848</v>
      </c>
      <c r="Q320" s="8">
        <v>1164.8599999999999</v>
      </c>
      <c r="R320" s="13">
        <v>-848</v>
      </c>
      <c r="S320" s="70"/>
      <c r="T320" s="6"/>
      <c r="U320" s="164"/>
      <c r="V320" s="1"/>
      <c r="X320" s="101">
        <v>1</v>
      </c>
    </row>
    <row r="321" spans="2:24" hidden="1">
      <c r="B321" s="24">
        <v>46180.356249999997</v>
      </c>
      <c r="C321" s="24">
        <v>46209.582638888889</v>
      </c>
      <c r="D321" s="10" t="s">
        <v>24</v>
      </c>
      <c r="E321" s="10"/>
      <c r="F321" s="27">
        <v>46209</v>
      </c>
      <c r="G321" s="28">
        <v>46149</v>
      </c>
      <c r="H321" s="15" t="s">
        <v>476</v>
      </c>
      <c r="I321" s="10" t="s">
        <v>661</v>
      </c>
      <c r="J321" s="195"/>
      <c r="K321" s="181" t="s">
        <v>662</v>
      </c>
      <c r="L321" s="108">
        <v>22310560</v>
      </c>
      <c r="M321" s="32">
        <v>5219992638266</v>
      </c>
      <c r="N321" s="170" t="s">
        <v>37</v>
      </c>
      <c r="O321" s="49">
        <v>4764.32</v>
      </c>
      <c r="P321" s="96">
        <v>547.25</v>
      </c>
      <c r="Q321" s="11">
        <v>1429.3</v>
      </c>
      <c r="R321" s="12">
        <v>44.09</v>
      </c>
      <c r="S321" s="71">
        <v>46235</v>
      </c>
      <c r="T321" s="10"/>
      <c r="U321" s="97"/>
      <c r="V321" s="1"/>
      <c r="X321" s="101">
        <v>2</v>
      </c>
    </row>
    <row r="322" spans="2:24" hidden="1">
      <c r="B322" s="23">
        <v>46180.584027777775</v>
      </c>
      <c r="C322" s="23">
        <v>46209.587500000001</v>
      </c>
      <c r="D322" s="6" t="s">
        <v>24</v>
      </c>
      <c r="E322" s="6"/>
      <c r="F322" s="27">
        <v>46209</v>
      </c>
      <c r="G322" s="27" t="s">
        <v>663</v>
      </c>
      <c r="H322" s="10" t="s">
        <v>269</v>
      </c>
      <c r="I322" s="6"/>
      <c r="J322" s="196">
        <v>12765818781</v>
      </c>
      <c r="K322" s="180"/>
      <c r="L322" s="107">
        <v>19888642</v>
      </c>
      <c r="M322" s="31">
        <v>5214611225139</v>
      </c>
      <c r="N322" s="169" t="s">
        <v>28</v>
      </c>
      <c r="O322" s="46">
        <v>14954.45</v>
      </c>
      <c r="P322" s="93"/>
      <c r="Q322" s="8">
        <v>4486.34</v>
      </c>
      <c r="R322" s="9">
        <v>4486.34</v>
      </c>
      <c r="S322" s="70"/>
      <c r="T322" s="6"/>
      <c r="U322" s="164"/>
      <c r="V322" s="1"/>
      <c r="X322" s="101">
        <v>1</v>
      </c>
    </row>
    <row r="323" spans="2:24" hidden="1">
      <c r="B323" s="24">
        <v>46180.480555555558</v>
      </c>
      <c r="C323" s="24">
        <v>46209.593055555553</v>
      </c>
      <c r="D323" s="10" t="s">
        <v>24</v>
      </c>
      <c r="E323" s="10"/>
      <c r="F323" s="27">
        <v>46209</v>
      </c>
      <c r="G323" s="28">
        <v>46119</v>
      </c>
      <c r="H323" s="10" t="s">
        <v>124</v>
      </c>
      <c r="I323" s="10" t="s">
        <v>664</v>
      </c>
      <c r="J323" s="195">
        <v>24816228506</v>
      </c>
      <c r="K323" s="181" t="s">
        <v>665</v>
      </c>
      <c r="L323" s="108">
        <v>22292592</v>
      </c>
      <c r="M323" s="32">
        <v>5216623735530</v>
      </c>
      <c r="N323" s="170" t="s">
        <v>32</v>
      </c>
      <c r="O323" s="47">
        <v>3565.2</v>
      </c>
      <c r="P323" s="94">
        <v>848</v>
      </c>
      <c r="Q323" s="11">
        <v>1069.56</v>
      </c>
      <c r="R323" s="12">
        <v>-848</v>
      </c>
      <c r="S323" s="71"/>
      <c r="T323" s="10"/>
      <c r="U323" s="97"/>
      <c r="V323" s="1"/>
      <c r="X323" s="101">
        <v>1</v>
      </c>
    </row>
    <row r="324" spans="2:24" hidden="1">
      <c r="B324" s="23">
        <v>46180.595138888886</v>
      </c>
      <c r="C324" s="23">
        <v>46209.597916666666</v>
      </c>
      <c r="D324" s="6" t="s">
        <v>24</v>
      </c>
      <c r="E324" s="6"/>
      <c r="F324" s="27">
        <v>46209</v>
      </c>
      <c r="G324" s="27">
        <v>46119</v>
      </c>
      <c r="H324" s="18" t="s">
        <v>87</v>
      </c>
      <c r="I324" s="6" t="s">
        <v>666</v>
      </c>
      <c r="J324" s="196">
        <v>12816531201</v>
      </c>
      <c r="K324" s="180" t="s">
        <v>667</v>
      </c>
      <c r="L324" s="107">
        <v>22298906</v>
      </c>
      <c r="M324" s="31">
        <v>5214645665407</v>
      </c>
      <c r="N324" s="169" t="s">
        <v>32</v>
      </c>
      <c r="O324" s="46">
        <v>3558.64</v>
      </c>
      <c r="P324" s="93">
        <v>848</v>
      </c>
      <c r="Q324" s="8">
        <v>1067.5899999999999</v>
      </c>
      <c r="R324" s="13">
        <v>-848</v>
      </c>
      <c r="S324" s="70"/>
      <c r="T324" s="6"/>
      <c r="U324" s="164"/>
      <c r="V324" s="1"/>
      <c r="X324" s="101">
        <v>1</v>
      </c>
    </row>
    <row r="325" spans="2:24" hidden="1">
      <c r="B325" s="24">
        <v>46180.591666666667</v>
      </c>
      <c r="C325" s="24">
        <v>46209.599999999999</v>
      </c>
      <c r="D325" s="10" t="s">
        <v>24</v>
      </c>
      <c r="E325" s="10"/>
      <c r="F325" s="27">
        <v>46209</v>
      </c>
      <c r="G325" s="28">
        <v>46088</v>
      </c>
      <c r="H325" s="10" t="s">
        <v>78</v>
      </c>
      <c r="I325" s="10" t="s">
        <v>668</v>
      </c>
      <c r="J325" s="195">
        <v>52846809102</v>
      </c>
      <c r="K325" s="181" t="s">
        <v>669</v>
      </c>
      <c r="L325" s="108">
        <v>22266828</v>
      </c>
      <c r="M325" s="32">
        <v>5213141606702</v>
      </c>
      <c r="N325" s="170" t="s">
        <v>28</v>
      </c>
      <c r="O325" s="47">
        <v>8173.37</v>
      </c>
      <c r="P325" s="94"/>
      <c r="Q325" s="11">
        <v>2452.0100000000002</v>
      </c>
      <c r="R325" s="14">
        <v>2452.0100000000002</v>
      </c>
      <c r="S325" s="71"/>
      <c r="T325" s="10"/>
      <c r="U325" s="97"/>
      <c r="V325" s="1"/>
      <c r="X325" s="101">
        <v>1</v>
      </c>
    </row>
    <row r="326" spans="2:24" hidden="1">
      <c r="B326" s="23">
        <v>46180.615277777775</v>
      </c>
      <c r="C326" s="23">
        <v>46209.618055555555</v>
      </c>
      <c r="D326" s="6" t="s">
        <v>24</v>
      </c>
      <c r="E326" s="6"/>
      <c r="F326" s="27">
        <v>46209</v>
      </c>
      <c r="G326" s="27">
        <v>46088</v>
      </c>
      <c r="H326" s="6" t="s">
        <v>160</v>
      </c>
      <c r="I326" s="6" t="s">
        <v>670</v>
      </c>
      <c r="J326" s="196">
        <v>10806244454</v>
      </c>
      <c r="K326" s="180" t="s">
        <v>671</v>
      </c>
      <c r="L326" s="108">
        <v>22268890</v>
      </c>
      <c r="M326" s="31">
        <v>5215642581888</v>
      </c>
      <c r="N326" s="169" t="s">
        <v>37</v>
      </c>
      <c r="O326" s="46">
        <v>7116.73</v>
      </c>
      <c r="P326" s="93">
        <v>2059.0300000000002</v>
      </c>
      <c r="Q326" s="8">
        <v>2135.02</v>
      </c>
      <c r="R326" s="13">
        <v>75.989999999999995</v>
      </c>
      <c r="S326" s="70">
        <v>46754</v>
      </c>
      <c r="T326" s="6"/>
      <c r="U326" s="164"/>
      <c r="V326" s="1"/>
      <c r="X326" s="101">
        <v>2</v>
      </c>
    </row>
    <row r="327" spans="2:24" hidden="1">
      <c r="B327" s="24">
        <v>46180.625694444447</v>
      </c>
      <c r="C327" s="24">
        <v>46209.631944444445</v>
      </c>
      <c r="D327" s="10" t="s">
        <v>24</v>
      </c>
      <c r="E327" s="10"/>
      <c r="F327" s="27">
        <v>46209</v>
      </c>
      <c r="G327" s="28">
        <v>46119</v>
      </c>
      <c r="H327" s="10" t="s">
        <v>127</v>
      </c>
      <c r="I327" s="10" t="s">
        <v>672</v>
      </c>
      <c r="J327" s="195"/>
      <c r="K327" s="181" t="s">
        <v>673</v>
      </c>
      <c r="L327" s="108">
        <v>22293730</v>
      </c>
      <c r="M327" s="32">
        <v>5218118477244</v>
      </c>
      <c r="N327" s="170" t="s">
        <v>47</v>
      </c>
      <c r="O327" s="47">
        <v>4813.6899999999996</v>
      </c>
      <c r="P327" s="94"/>
      <c r="Q327" s="11">
        <v>1444.11</v>
      </c>
      <c r="R327" s="16">
        <v>640.71</v>
      </c>
      <c r="S327" s="71"/>
      <c r="T327" s="10"/>
      <c r="U327" s="97"/>
      <c r="V327" s="1"/>
      <c r="X327" s="101">
        <v>1</v>
      </c>
    </row>
    <row r="328" spans="2:24" hidden="1">
      <c r="B328" s="23">
        <v>46180.660416666666</v>
      </c>
      <c r="C328" s="23">
        <v>46209.663888888892</v>
      </c>
      <c r="D328" s="6" t="s">
        <v>24</v>
      </c>
      <c r="E328" s="6"/>
      <c r="F328" s="27">
        <v>46209</v>
      </c>
      <c r="G328" s="27">
        <v>46119</v>
      </c>
      <c r="H328" s="6" t="s">
        <v>160</v>
      </c>
      <c r="I328" s="6" t="s">
        <v>674</v>
      </c>
      <c r="J328" s="196">
        <v>52967308694</v>
      </c>
      <c r="K328" s="180" t="s">
        <v>675</v>
      </c>
      <c r="L328" s="107">
        <v>22282766</v>
      </c>
      <c r="M328" s="31">
        <v>5215610313868</v>
      </c>
      <c r="N328" s="169" t="s">
        <v>32</v>
      </c>
      <c r="O328" s="46">
        <v>3440.19</v>
      </c>
      <c r="P328" s="93">
        <v>829</v>
      </c>
      <c r="Q328" s="8">
        <v>1032.06</v>
      </c>
      <c r="R328" s="13">
        <v>-829</v>
      </c>
      <c r="S328" s="70"/>
      <c r="T328" s="6"/>
      <c r="U328" s="164"/>
      <c r="V328" s="1"/>
      <c r="X328" s="101">
        <v>1</v>
      </c>
    </row>
    <row r="329" spans="2:24" hidden="1">
      <c r="B329" s="24">
        <v>46180.322916666664</v>
      </c>
      <c r="C329" s="24">
        <v>46209.6875</v>
      </c>
      <c r="D329" s="10" t="s">
        <v>24</v>
      </c>
      <c r="E329" s="10"/>
      <c r="F329" s="27">
        <v>46209</v>
      </c>
      <c r="G329" s="28">
        <v>46180</v>
      </c>
      <c r="H329" s="10" t="s">
        <v>103</v>
      </c>
      <c r="I329" s="10" t="s">
        <v>676</v>
      </c>
      <c r="J329" s="195">
        <v>32866479093</v>
      </c>
      <c r="K329" s="181" t="s">
        <v>677</v>
      </c>
      <c r="L329" s="108">
        <v>1</v>
      </c>
      <c r="M329" s="32">
        <v>8442904750</v>
      </c>
      <c r="N329" s="170" t="s">
        <v>37</v>
      </c>
      <c r="O329" s="47">
        <v>18132.66</v>
      </c>
      <c r="P329" s="94">
        <v>5237.53</v>
      </c>
      <c r="Q329" s="11">
        <v>5439.8</v>
      </c>
      <c r="R329" s="12">
        <v>202.27</v>
      </c>
      <c r="S329" s="71">
        <v>46394</v>
      </c>
      <c r="T329" s="10"/>
      <c r="U329" s="97"/>
      <c r="V329" s="1"/>
      <c r="X329" s="101">
        <v>2</v>
      </c>
    </row>
    <row r="330" spans="2:24" hidden="1">
      <c r="B330" s="23">
        <v>46180.693055555559</v>
      </c>
      <c r="C330" s="23">
        <v>46209.694444444445</v>
      </c>
      <c r="D330" s="6" t="s">
        <v>24</v>
      </c>
      <c r="E330" s="6"/>
      <c r="F330" s="27">
        <v>46209</v>
      </c>
      <c r="G330" s="27" t="s">
        <v>523</v>
      </c>
      <c r="H330" s="6" t="s">
        <v>68</v>
      </c>
      <c r="I330" s="6" t="s">
        <v>678</v>
      </c>
      <c r="J330" s="196">
        <v>6796264742</v>
      </c>
      <c r="K330" s="180" t="s">
        <v>679</v>
      </c>
      <c r="L330" s="108">
        <v>21886580</v>
      </c>
      <c r="M330" s="31">
        <v>5217202521886</v>
      </c>
      <c r="N330" s="169" t="s">
        <v>37</v>
      </c>
      <c r="O330" s="48">
        <v>7920.51</v>
      </c>
      <c r="P330" s="95">
        <v>2291.59</v>
      </c>
      <c r="Q330" s="8">
        <v>2376.15</v>
      </c>
      <c r="R330" s="13">
        <v>84.56</v>
      </c>
      <c r="S330" s="70">
        <v>46399</v>
      </c>
      <c r="T330" s="6"/>
      <c r="U330" s="164"/>
      <c r="V330" s="1"/>
      <c r="X330" s="101">
        <v>2</v>
      </c>
    </row>
    <row r="331" spans="2:24" hidden="1">
      <c r="B331" s="24">
        <v>46180.674305555556</v>
      </c>
      <c r="C331" s="24">
        <v>46209.695833333331</v>
      </c>
      <c r="D331" s="10" t="s">
        <v>24</v>
      </c>
      <c r="E331" s="10"/>
      <c r="F331" s="27">
        <v>46209</v>
      </c>
      <c r="G331" s="28">
        <v>46180</v>
      </c>
      <c r="H331" s="10" t="s">
        <v>39</v>
      </c>
      <c r="I331" s="10" t="s">
        <v>680</v>
      </c>
      <c r="J331" s="195">
        <v>82816010399</v>
      </c>
      <c r="K331" s="181" t="s">
        <v>681</v>
      </c>
      <c r="L331" s="108">
        <v>22381150</v>
      </c>
      <c r="M331" s="32">
        <v>5219833238732</v>
      </c>
      <c r="N331" s="170" t="s">
        <v>37</v>
      </c>
      <c r="O331" s="49">
        <v>7920.51</v>
      </c>
      <c r="P331" s="96">
        <v>2291.59</v>
      </c>
      <c r="Q331" s="11">
        <v>2376.15</v>
      </c>
      <c r="R331" s="12">
        <v>84.56</v>
      </c>
      <c r="S331" s="71">
        <v>46398</v>
      </c>
      <c r="T331" s="10"/>
      <c r="U331" s="97"/>
      <c r="V331" s="1"/>
      <c r="X331" s="101">
        <v>2</v>
      </c>
    </row>
    <row r="332" spans="2:24" hidden="1">
      <c r="B332" s="23">
        <v>46180.707638888889</v>
      </c>
      <c r="C332" s="23">
        <v>46209.709027777775</v>
      </c>
      <c r="D332" s="6" t="s">
        <v>24</v>
      </c>
      <c r="E332" s="6"/>
      <c r="F332" s="27">
        <v>46209</v>
      </c>
      <c r="G332" s="27">
        <v>46119</v>
      </c>
      <c r="H332" s="10" t="s">
        <v>269</v>
      </c>
      <c r="I332" s="6" t="s">
        <v>682</v>
      </c>
      <c r="J332" s="192">
        <v>82765703804</v>
      </c>
      <c r="K332" s="180" t="s">
        <v>683</v>
      </c>
      <c r="L332" s="107">
        <v>22296620</v>
      </c>
      <c r="M332" s="31">
        <v>5214361088138</v>
      </c>
      <c r="N332" s="169" t="s">
        <v>263</v>
      </c>
      <c r="O332" s="46">
        <v>5533.43</v>
      </c>
      <c r="P332" s="93">
        <v>1594.54</v>
      </c>
      <c r="Q332" s="8">
        <v>1660.03</v>
      </c>
      <c r="R332" s="13">
        <v>-234.09</v>
      </c>
      <c r="S332" s="70">
        <v>46023</v>
      </c>
      <c r="T332" s="6" t="s">
        <v>192</v>
      </c>
      <c r="U332" s="164"/>
      <c r="V332" s="1"/>
      <c r="X332" s="101">
        <v>2</v>
      </c>
    </row>
    <row r="333" spans="2:24" hidden="1">
      <c r="B333" s="24">
        <v>46180.712500000001</v>
      </c>
      <c r="C333" s="24">
        <v>46209.713194444441</v>
      </c>
      <c r="D333" s="10" t="s">
        <v>24</v>
      </c>
      <c r="E333" s="10"/>
      <c r="F333" s="27">
        <v>46209</v>
      </c>
      <c r="G333" s="28">
        <v>46180</v>
      </c>
      <c r="H333" s="10" t="s">
        <v>103</v>
      </c>
      <c r="I333" s="10" t="s">
        <v>684</v>
      </c>
      <c r="J333" s="193">
        <v>23978200246</v>
      </c>
      <c r="K333" s="181"/>
      <c r="L333" s="111">
        <v>1</v>
      </c>
      <c r="M333" s="32">
        <v>6311431371</v>
      </c>
      <c r="N333" s="170" t="s">
        <v>47</v>
      </c>
      <c r="O333" s="47">
        <v>5642.22</v>
      </c>
      <c r="P333" s="94">
        <v>1145</v>
      </c>
      <c r="Q333" s="11">
        <v>1692.67</v>
      </c>
      <c r="R333" s="16">
        <v>324.24</v>
      </c>
      <c r="S333" s="71">
        <v>46390</v>
      </c>
      <c r="T333" s="10"/>
      <c r="U333" s="97"/>
      <c r="V333" s="1"/>
      <c r="X333" s="101">
        <v>2</v>
      </c>
    </row>
    <row r="334" spans="2:24" hidden="1">
      <c r="B334" s="23">
        <v>46180.718055555553</v>
      </c>
      <c r="C334" s="23">
        <v>46209.720138888886</v>
      </c>
      <c r="D334" s="6" t="s">
        <v>24</v>
      </c>
      <c r="E334" s="6"/>
      <c r="F334" s="27">
        <v>46209</v>
      </c>
      <c r="G334" s="27">
        <v>46119</v>
      </c>
      <c r="H334" s="6" t="s">
        <v>127</v>
      </c>
      <c r="I334" s="6" t="s">
        <v>685</v>
      </c>
      <c r="J334" s="192">
        <v>23866725742</v>
      </c>
      <c r="K334" s="180" t="s">
        <v>686</v>
      </c>
      <c r="L334" s="107">
        <v>22297358</v>
      </c>
      <c r="M334" s="31">
        <v>5216971133877</v>
      </c>
      <c r="N334" s="169" t="s">
        <v>32</v>
      </c>
      <c r="O334" s="46">
        <v>3485.91</v>
      </c>
      <c r="P334" s="93"/>
      <c r="Q334" s="8">
        <v>1045.77</v>
      </c>
      <c r="R334" s="13">
        <v>0</v>
      </c>
      <c r="S334" s="70"/>
      <c r="T334" s="6"/>
      <c r="U334" s="164"/>
      <c r="V334" s="1"/>
      <c r="X334" s="101">
        <v>1</v>
      </c>
    </row>
    <row r="335" spans="2:24" hidden="1">
      <c r="B335" s="24">
        <v>46180.784722222219</v>
      </c>
      <c r="C335" s="24">
        <v>46209.787499999999</v>
      </c>
      <c r="D335" s="10" t="s">
        <v>24</v>
      </c>
      <c r="E335" s="10"/>
      <c r="F335" s="27">
        <v>46209</v>
      </c>
      <c r="G335" s="28">
        <v>46180</v>
      </c>
      <c r="H335" s="10" t="s">
        <v>103</v>
      </c>
      <c r="I335" s="10" t="s">
        <v>687</v>
      </c>
      <c r="J335" s="202">
        <v>43745832410</v>
      </c>
      <c r="K335" s="181"/>
      <c r="L335" s="108">
        <v>1</v>
      </c>
      <c r="M335" s="34">
        <v>8134134828</v>
      </c>
      <c r="N335" s="170" t="s">
        <v>37</v>
      </c>
      <c r="O335" s="49">
        <v>6262.86</v>
      </c>
      <c r="P335" s="96">
        <v>1809.97</v>
      </c>
      <c r="Q335" s="11">
        <v>1878.86</v>
      </c>
      <c r="R335" s="12">
        <v>68.89</v>
      </c>
      <c r="S335" s="71">
        <v>46396</v>
      </c>
      <c r="T335" s="10"/>
      <c r="U335" s="97"/>
      <c r="V335" s="1"/>
      <c r="X335" s="101">
        <v>2</v>
      </c>
    </row>
    <row r="336" spans="2:24" hidden="1">
      <c r="B336" s="23">
        <v>46210.35</v>
      </c>
      <c r="C336" s="23">
        <v>46210.353472222225</v>
      </c>
      <c r="D336" s="6" t="s">
        <v>24</v>
      </c>
      <c r="E336" s="6"/>
      <c r="F336" s="27">
        <v>46210</v>
      </c>
      <c r="G336" s="27">
        <v>46149</v>
      </c>
      <c r="H336" s="6" t="s">
        <v>93</v>
      </c>
      <c r="I336" s="6" t="s">
        <v>688</v>
      </c>
      <c r="J336" s="192"/>
      <c r="K336" s="180" t="s">
        <v>689</v>
      </c>
      <c r="L336" s="107">
        <v>22312708</v>
      </c>
      <c r="M336" s="31">
        <v>5214423297694</v>
      </c>
      <c r="N336" s="169" t="s">
        <v>32</v>
      </c>
      <c r="O336" s="48">
        <v>4035.69</v>
      </c>
      <c r="P336" s="95">
        <v>848</v>
      </c>
      <c r="Q336" s="8">
        <v>1210.71</v>
      </c>
      <c r="R336" s="13">
        <v>-848</v>
      </c>
      <c r="S336" s="70"/>
      <c r="T336" s="6"/>
      <c r="U336" s="164"/>
      <c r="V336" s="1"/>
      <c r="X336" s="101">
        <v>1</v>
      </c>
    </row>
    <row r="337" spans="2:24" hidden="1">
      <c r="B337" s="24">
        <v>46210.35</v>
      </c>
      <c r="C337" s="24">
        <v>46210.354166666664</v>
      </c>
      <c r="D337" s="10" t="s">
        <v>24</v>
      </c>
      <c r="E337" s="10"/>
      <c r="F337" s="28">
        <v>46210</v>
      </c>
      <c r="G337" s="28">
        <v>46060</v>
      </c>
      <c r="H337" s="20" t="s">
        <v>170</v>
      </c>
      <c r="I337" s="10" t="s">
        <v>690</v>
      </c>
      <c r="J337" s="193"/>
      <c r="K337" s="181" t="s">
        <v>691</v>
      </c>
      <c r="L337" s="108">
        <v>22227542</v>
      </c>
      <c r="M337" s="32">
        <v>5217531151603</v>
      </c>
      <c r="N337" s="170" t="s">
        <v>32</v>
      </c>
      <c r="O337" s="49">
        <v>3961.31</v>
      </c>
      <c r="P337" s="96"/>
      <c r="Q337" s="11">
        <v>1188.3900000000001</v>
      </c>
      <c r="R337" s="12">
        <v>0</v>
      </c>
      <c r="S337" s="71"/>
      <c r="T337" s="10"/>
      <c r="U337" s="97"/>
      <c r="V337" s="1"/>
      <c r="X337" s="101">
        <v>1</v>
      </c>
    </row>
    <row r="338" spans="2:24" hidden="1">
      <c r="B338" s="23">
        <v>46210.359027777777</v>
      </c>
      <c r="C338" s="23">
        <v>46210.362500000003</v>
      </c>
      <c r="D338" s="6" t="s">
        <v>24</v>
      </c>
      <c r="E338" s="6"/>
      <c r="F338" s="27">
        <v>46210</v>
      </c>
      <c r="G338" s="27">
        <v>46088</v>
      </c>
      <c r="H338" s="160" t="s">
        <v>26</v>
      </c>
      <c r="I338" s="6" t="s">
        <v>692</v>
      </c>
      <c r="J338" s="192">
        <v>23806337632</v>
      </c>
      <c r="K338" s="180"/>
      <c r="L338" s="107">
        <v>22277902</v>
      </c>
      <c r="M338" s="31">
        <v>15206583756</v>
      </c>
      <c r="N338" s="169" t="s">
        <v>28</v>
      </c>
      <c r="O338" s="48">
        <v>7920.51</v>
      </c>
      <c r="P338" s="95"/>
      <c r="Q338" s="8">
        <v>2376.15</v>
      </c>
      <c r="R338" s="9">
        <v>2376.15</v>
      </c>
      <c r="S338" s="70"/>
      <c r="T338" s="6"/>
      <c r="U338" s="164"/>
      <c r="V338" s="1"/>
      <c r="X338" s="101">
        <v>1</v>
      </c>
    </row>
    <row r="339" spans="2:24" hidden="1">
      <c r="B339" s="24">
        <v>46210.376388888886</v>
      </c>
      <c r="C339" s="24">
        <v>46210.379166666666</v>
      </c>
      <c r="D339" s="10" t="s">
        <v>24</v>
      </c>
      <c r="E339" s="10"/>
      <c r="F339" s="28">
        <v>46210</v>
      </c>
      <c r="G339" s="28">
        <v>46119</v>
      </c>
      <c r="H339" s="10" t="s">
        <v>269</v>
      </c>
      <c r="I339" s="10" t="s">
        <v>693</v>
      </c>
      <c r="J339" s="195">
        <v>32806314269</v>
      </c>
      <c r="K339" s="181"/>
      <c r="L339" s="108">
        <v>22293866</v>
      </c>
      <c r="M339" s="32">
        <v>22293866</v>
      </c>
      <c r="N339" s="170" t="s">
        <v>106</v>
      </c>
      <c r="O339" s="49">
        <v>7358.36</v>
      </c>
      <c r="P339" s="96">
        <v>2042.9</v>
      </c>
      <c r="Q339" s="11">
        <v>2207.5100000000002</v>
      </c>
      <c r="R339" s="12">
        <v>164.61</v>
      </c>
      <c r="S339" s="71">
        <v>46029</v>
      </c>
      <c r="T339" s="10"/>
      <c r="U339" s="97"/>
      <c r="V339" s="1"/>
      <c r="X339" s="101">
        <v>2</v>
      </c>
    </row>
    <row r="340" spans="2:24" hidden="1">
      <c r="B340" s="23">
        <v>46210.379166666666</v>
      </c>
      <c r="C340" s="23">
        <v>46210.396527777775</v>
      </c>
      <c r="D340" s="6" t="s">
        <v>24</v>
      </c>
      <c r="E340" s="6"/>
      <c r="F340" s="27">
        <v>46210</v>
      </c>
      <c r="G340" s="27">
        <v>46060</v>
      </c>
      <c r="H340" s="10" t="s">
        <v>124</v>
      </c>
      <c r="I340" s="6" t="s">
        <v>694</v>
      </c>
      <c r="J340" s="196"/>
      <c r="K340" s="180" t="s">
        <v>695</v>
      </c>
      <c r="L340" s="107">
        <v>22255088</v>
      </c>
      <c r="M340" s="31">
        <v>5218125924532</v>
      </c>
      <c r="N340" s="169" t="s">
        <v>28</v>
      </c>
      <c r="O340" s="48">
        <v>7920.51</v>
      </c>
      <c r="P340" s="95"/>
      <c r="Q340" s="8">
        <v>2376.15</v>
      </c>
      <c r="R340" s="9">
        <v>2376.15</v>
      </c>
      <c r="S340" s="70"/>
      <c r="T340" s="6"/>
      <c r="U340" s="164"/>
      <c r="V340" s="1"/>
      <c r="X340" s="101">
        <v>1</v>
      </c>
    </row>
    <row r="341" spans="2:24" hidden="1">
      <c r="B341" s="24">
        <v>46210.399305555555</v>
      </c>
      <c r="C341" s="24">
        <v>46210.40625</v>
      </c>
      <c r="D341" s="10" t="s">
        <v>24</v>
      </c>
      <c r="E341" s="10"/>
      <c r="F341" s="28">
        <v>46210</v>
      </c>
      <c r="G341" s="28">
        <v>46210</v>
      </c>
      <c r="H341" s="10" t="s">
        <v>78</v>
      </c>
      <c r="I341" s="10" t="s">
        <v>696</v>
      </c>
      <c r="J341" s="195">
        <v>43796089241</v>
      </c>
      <c r="K341" s="181" t="s">
        <v>697</v>
      </c>
      <c r="L341" s="108">
        <v>22422002</v>
      </c>
      <c r="M341" s="32">
        <v>5218281486452</v>
      </c>
      <c r="N341" s="170" t="s">
        <v>130</v>
      </c>
      <c r="O341" s="49">
        <v>6262.86</v>
      </c>
      <c r="P341" s="96">
        <v>1738.79</v>
      </c>
      <c r="Q341" s="11">
        <v>1878.86</v>
      </c>
      <c r="R341" s="12">
        <v>140.07</v>
      </c>
      <c r="S341" s="71">
        <v>46023</v>
      </c>
      <c r="T341" s="10"/>
      <c r="U341" s="97"/>
      <c r="V341" s="1"/>
      <c r="X341" s="101">
        <v>2</v>
      </c>
    </row>
    <row r="342" spans="2:24" hidden="1">
      <c r="B342" s="23">
        <v>46210.409722222219</v>
      </c>
      <c r="C342" s="23">
        <v>46210.411805555559</v>
      </c>
      <c r="D342" s="6" t="s">
        <v>24</v>
      </c>
      <c r="E342" s="6"/>
      <c r="F342" s="27">
        <v>46210</v>
      </c>
      <c r="G342" s="27">
        <v>46119</v>
      </c>
      <c r="H342" s="10" t="s">
        <v>124</v>
      </c>
      <c r="I342" s="6" t="s">
        <v>698</v>
      </c>
      <c r="J342" s="196">
        <v>17846513418</v>
      </c>
      <c r="K342" s="180" t="s">
        <v>699</v>
      </c>
      <c r="L342" s="107">
        <v>22296236</v>
      </c>
      <c r="M342" s="31">
        <v>5215540014081</v>
      </c>
      <c r="N342" s="169" t="s">
        <v>28</v>
      </c>
      <c r="O342" s="48">
        <v>11029.03</v>
      </c>
      <c r="P342" s="95"/>
      <c r="Q342" s="8">
        <v>3308.71</v>
      </c>
      <c r="R342" s="9">
        <v>3308.71</v>
      </c>
      <c r="S342" s="70"/>
      <c r="T342" s="6"/>
      <c r="U342" s="164"/>
      <c r="V342" s="1"/>
      <c r="X342" s="101">
        <v>1</v>
      </c>
    </row>
    <row r="343" spans="2:24" hidden="1">
      <c r="B343" s="24">
        <v>46210.415972222225</v>
      </c>
      <c r="C343" s="24">
        <v>46210.425000000003</v>
      </c>
      <c r="D343" s="10" t="s">
        <v>24</v>
      </c>
      <c r="E343" s="10"/>
      <c r="F343" s="28">
        <v>46210</v>
      </c>
      <c r="G343" s="28">
        <v>46210</v>
      </c>
      <c r="H343" s="10" t="s">
        <v>39</v>
      </c>
      <c r="I343" s="10" t="s">
        <v>700</v>
      </c>
      <c r="J343" s="195">
        <v>4937613901</v>
      </c>
      <c r="K343" s="181" t="s">
        <v>701</v>
      </c>
      <c r="L343" s="108">
        <v>22416326</v>
      </c>
      <c r="M343" s="32">
        <v>5214691268089</v>
      </c>
      <c r="N343" s="170" t="s">
        <v>37</v>
      </c>
      <c r="O343" s="49">
        <v>8784.27</v>
      </c>
      <c r="P343" s="96">
        <v>2541.4899999999998</v>
      </c>
      <c r="Q343" s="11">
        <v>2635.28</v>
      </c>
      <c r="R343" s="12">
        <v>93.79</v>
      </c>
      <c r="S343" s="71">
        <v>46396</v>
      </c>
      <c r="T343" s="10"/>
      <c r="U343" s="97"/>
      <c r="V343" s="1"/>
      <c r="X343" s="101">
        <v>2</v>
      </c>
    </row>
    <row r="344" spans="2:24" hidden="1">
      <c r="B344" s="23">
        <v>46210.436111111114</v>
      </c>
      <c r="C344" s="23">
        <v>46210.438194444447</v>
      </c>
      <c r="D344" s="6" t="s">
        <v>24</v>
      </c>
      <c r="E344" s="6"/>
      <c r="F344" s="27">
        <v>46210</v>
      </c>
      <c r="G344" s="27" t="s">
        <v>149</v>
      </c>
      <c r="H344" s="6" t="s">
        <v>269</v>
      </c>
      <c r="I344" s="19" t="s">
        <v>702</v>
      </c>
      <c r="J344" s="196">
        <v>35978121396</v>
      </c>
      <c r="K344" s="183" t="s">
        <v>703</v>
      </c>
      <c r="L344" s="110">
        <v>21976446</v>
      </c>
      <c r="M344" s="33">
        <v>21976446</v>
      </c>
      <c r="N344" s="169" t="s">
        <v>98</v>
      </c>
      <c r="O344" s="48"/>
      <c r="P344" s="95"/>
      <c r="Q344" s="8">
        <v>0</v>
      </c>
      <c r="R344" s="13">
        <v>0</v>
      </c>
      <c r="S344" s="70"/>
      <c r="T344" s="6"/>
      <c r="U344" s="164"/>
      <c r="V344" s="1"/>
      <c r="X344" s="101">
        <v>0</v>
      </c>
    </row>
    <row r="345" spans="2:24" hidden="1">
      <c r="B345" s="24">
        <v>46210.4375</v>
      </c>
      <c r="C345" s="24">
        <v>46210.438888888886</v>
      </c>
      <c r="D345" s="10" t="s">
        <v>24</v>
      </c>
      <c r="E345" s="10"/>
      <c r="F345" s="28">
        <v>46210</v>
      </c>
      <c r="G345" s="28" t="s">
        <v>25</v>
      </c>
      <c r="H345" s="160" t="s">
        <v>110</v>
      </c>
      <c r="I345" s="10" t="s">
        <v>704</v>
      </c>
      <c r="J345" s="195">
        <v>13806102599</v>
      </c>
      <c r="K345" s="181"/>
      <c r="L345" s="108">
        <v>22081136</v>
      </c>
      <c r="M345" s="32">
        <v>5217751994952</v>
      </c>
      <c r="N345" s="170" t="s">
        <v>28</v>
      </c>
      <c r="O345" s="49">
        <v>10636.54</v>
      </c>
      <c r="P345" s="96"/>
      <c r="Q345" s="11">
        <v>3190.96</v>
      </c>
      <c r="R345" s="14">
        <v>3190.96</v>
      </c>
      <c r="S345" s="71"/>
      <c r="T345" s="10"/>
      <c r="U345" s="97"/>
      <c r="V345" s="1"/>
      <c r="X345" s="101">
        <v>1</v>
      </c>
    </row>
    <row r="346" spans="2:24" hidden="1">
      <c r="B346" s="23">
        <v>46210.436111111114</v>
      </c>
      <c r="C346" s="23">
        <v>46210.443749999999</v>
      </c>
      <c r="D346" s="6" t="s">
        <v>24</v>
      </c>
      <c r="E346" s="6"/>
      <c r="F346" s="27">
        <v>46210</v>
      </c>
      <c r="G346" s="27">
        <v>46119</v>
      </c>
      <c r="H346" s="10" t="s">
        <v>51</v>
      </c>
      <c r="I346" s="6" t="s">
        <v>705</v>
      </c>
      <c r="J346" s="196">
        <v>43796265692</v>
      </c>
      <c r="K346" s="180" t="s">
        <v>706</v>
      </c>
      <c r="L346" s="213">
        <v>22286214</v>
      </c>
      <c r="M346" s="33">
        <v>5218115823366</v>
      </c>
      <c r="N346" s="169" t="s">
        <v>37</v>
      </c>
      <c r="O346" s="48">
        <v>9081.52</v>
      </c>
      <c r="P346" s="95">
        <v>2626.95</v>
      </c>
      <c r="Q346" s="8">
        <v>2724.46</v>
      </c>
      <c r="R346" s="13">
        <v>97.51</v>
      </c>
      <c r="S346" s="70">
        <v>46396</v>
      </c>
      <c r="T346" s="6" t="s">
        <v>84</v>
      </c>
      <c r="U346" s="164"/>
      <c r="V346" s="1"/>
      <c r="X346" s="101">
        <v>2</v>
      </c>
    </row>
    <row r="347" spans="2:24" hidden="1">
      <c r="B347" s="24">
        <v>46210.444444444445</v>
      </c>
      <c r="C347" s="24">
        <v>46210.456944444442</v>
      </c>
      <c r="D347" s="10" t="s">
        <v>24</v>
      </c>
      <c r="E347" s="10"/>
      <c r="F347" s="28">
        <v>46210</v>
      </c>
      <c r="G347" s="28">
        <v>46180</v>
      </c>
      <c r="H347" s="10" t="s">
        <v>81</v>
      </c>
      <c r="I347" s="10" t="s">
        <v>707</v>
      </c>
      <c r="J347" s="195">
        <v>41916203700</v>
      </c>
      <c r="K347" s="181"/>
      <c r="L347" s="108">
        <v>22368426</v>
      </c>
      <c r="M347" s="32">
        <v>22368426</v>
      </c>
      <c r="N347" s="170" t="s">
        <v>28</v>
      </c>
      <c r="O347" s="49">
        <v>7116.73</v>
      </c>
      <c r="P347" s="96">
        <v>848</v>
      </c>
      <c r="Q347" s="11">
        <v>2135.02</v>
      </c>
      <c r="R347" s="14">
        <v>1287.02</v>
      </c>
      <c r="S347" s="71"/>
      <c r="T347" s="10"/>
      <c r="U347" s="97"/>
      <c r="V347" s="1"/>
      <c r="X347" s="101">
        <v>1</v>
      </c>
    </row>
    <row r="348" spans="2:24" hidden="1">
      <c r="B348" s="23">
        <v>46210.444444444445</v>
      </c>
      <c r="C348" s="23">
        <v>46210.464583333334</v>
      </c>
      <c r="D348" s="6" t="s">
        <v>24</v>
      </c>
      <c r="E348" s="6"/>
      <c r="F348" s="27">
        <v>46210</v>
      </c>
      <c r="G348" s="27">
        <v>46210</v>
      </c>
      <c r="H348" s="6" t="s">
        <v>51</v>
      </c>
      <c r="I348" s="6" t="s">
        <v>708</v>
      </c>
      <c r="J348" s="196">
        <v>88836006341</v>
      </c>
      <c r="K348" s="180" t="s">
        <v>709</v>
      </c>
      <c r="L348" s="108">
        <v>22424642</v>
      </c>
      <c r="M348" s="31">
        <v>5125527251343</v>
      </c>
      <c r="N348" s="169" t="s">
        <v>37</v>
      </c>
      <c r="O348" s="48">
        <v>39783.33</v>
      </c>
      <c r="P348" s="95">
        <v>11935</v>
      </c>
      <c r="Q348" s="8">
        <v>11935</v>
      </c>
      <c r="R348" s="13">
        <v>0</v>
      </c>
      <c r="S348" s="70">
        <v>46266</v>
      </c>
      <c r="T348" s="6"/>
      <c r="U348" s="164"/>
      <c r="V348" s="1"/>
      <c r="X348" s="101">
        <v>2</v>
      </c>
    </row>
    <row r="349" spans="2:24" hidden="1">
      <c r="B349" s="24">
        <v>46210.467361111114</v>
      </c>
      <c r="C349" s="24">
        <v>46210.47152777778</v>
      </c>
      <c r="D349" s="10" t="s">
        <v>24</v>
      </c>
      <c r="E349" s="10"/>
      <c r="F349" s="28">
        <v>46210</v>
      </c>
      <c r="G349" s="28" t="s">
        <v>710</v>
      </c>
      <c r="H349" s="10" t="s">
        <v>269</v>
      </c>
      <c r="I349" s="10" t="s">
        <v>711</v>
      </c>
      <c r="J349" s="195">
        <v>9957336655</v>
      </c>
      <c r="K349" s="181" t="s">
        <v>712</v>
      </c>
      <c r="L349" s="108">
        <v>21839214</v>
      </c>
      <c r="M349" s="32">
        <v>21839214</v>
      </c>
      <c r="N349" s="170" t="s">
        <v>37</v>
      </c>
      <c r="O349" s="49">
        <v>5060.93</v>
      </c>
      <c r="P349" s="96">
        <v>856.35</v>
      </c>
      <c r="Q349" s="11">
        <v>1518.28</v>
      </c>
      <c r="R349" s="12">
        <v>31.6</v>
      </c>
      <c r="S349" s="71">
        <v>46395</v>
      </c>
      <c r="T349" s="10"/>
      <c r="U349" s="97"/>
      <c r="V349" s="1"/>
      <c r="X349" s="101">
        <v>2</v>
      </c>
    </row>
    <row r="350" spans="2:24" hidden="1">
      <c r="B350" s="23">
        <v>46210.463194444441</v>
      </c>
      <c r="C350" s="23">
        <v>46210.472222222219</v>
      </c>
      <c r="D350" s="6" t="s">
        <v>24</v>
      </c>
      <c r="E350" s="6"/>
      <c r="F350" s="27">
        <v>46210</v>
      </c>
      <c r="G350" s="27" t="s">
        <v>211</v>
      </c>
      <c r="H350" s="6" t="s">
        <v>39</v>
      </c>
      <c r="I350" s="6" t="s">
        <v>713</v>
      </c>
      <c r="J350" s="196">
        <v>12937792039</v>
      </c>
      <c r="K350" s="183" t="s">
        <v>714</v>
      </c>
      <c r="L350" s="213">
        <v>21763916</v>
      </c>
      <c r="M350" s="33">
        <v>5214611305165</v>
      </c>
      <c r="N350" s="169" t="s">
        <v>37</v>
      </c>
      <c r="O350" s="48">
        <v>8173.37</v>
      </c>
      <c r="P350" s="95">
        <v>2451.98</v>
      </c>
      <c r="Q350" s="8">
        <v>2452.0100000000002</v>
      </c>
      <c r="R350" s="13">
        <v>0.03</v>
      </c>
      <c r="S350" s="70">
        <v>46399</v>
      </c>
      <c r="T350" s="6"/>
      <c r="U350" s="164"/>
      <c r="V350" s="1"/>
      <c r="X350" s="101">
        <v>2</v>
      </c>
    </row>
    <row r="351" spans="2:24" hidden="1">
      <c r="B351" s="24">
        <v>46210.470833333333</v>
      </c>
      <c r="C351" s="24">
        <v>46210.477083333331</v>
      </c>
      <c r="D351" s="10" t="s">
        <v>24</v>
      </c>
      <c r="E351" s="10"/>
      <c r="F351" s="28">
        <v>46210</v>
      </c>
      <c r="G351" s="28">
        <v>46210</v>
      </c>
      <c r="H351" s="10" t="s">
        <v>51</v>
      </c>
      <c r="I351" s="10" t="s">
        <v>715</v>
      </c>
      <c r="J351" s="195">
        <v>43836037978</v>
      </c>
      <c r="K351" s="181" t="s">
        <v>716</v>
      </c>
      <c r="L351" s="213">
        <v>22286214</v>
      </c>
      <c r="M351" s="34">
        <v>5218115823366</v>
      </c>
      <c r="N351" s="170" t="s">
        <v>37</v>
      </c>
      <c r="O351" s="49">
        <v>19307.669999999998</v>
      </c>
      <c r="P351" s="96">
        <v>5570</v>
      </c>
      <c r="Q351" s="11">
        <v>5792.3</v>
      </c>
      <c r="R351" s="12">
        <v>222.3</v>
      </c>
      <c r="S351" s="71">
        <v>46391</v>
      </c>
      <c r="T351" s="10" t="s">
        <v>259</v>
      </c>
      <c r="U351" s="97"/>
      <c r="V351" s="1"/>
      <c r="X351" s="101">
        <v>2</v>
      </c>
    </row>
    <row r="352" spans="2:24" hidden="1">
      <c r="B352" s="23">
        <v>46210.493055555555</v>
      </c>
      <c r="C352" s="23">
        <v>46210.502083333333</v>
      </c>
      <c r="D352" s="6" t="s">
        <v>24</v>
      </c>
      <c r="E352" s="6"/>
      <c r="F352" s="27">
        <v>46210</v>
      </c>
      <c r="G352" s="27">
        <v>46210</v>
      </c>
      <c r="H352" s="10" t="s">
        <v>39</v>
      </c>
      <c r="I352" s="6" t="s">
        <v>717</v>
      </c>
      <c r="J352" s="196">
        <v>62786210021</v>
      </c>
      <c r="K352" s="180" t="s">
        <v>718</v>
      </c>
      <c r="L352" s="107">
        <v>22427004</v>
      </c>
      <c r="M352" s="31">
        <v>5212211144286</v>
      </c>
      <c r="N352" s="169" t="s">
        <v>28</v>
      </c>
      <c r="O352" s="48">
        <v>11029.03</v>
      </c>
      <c r="P352" s="95"/>
      <c r="Q352" s="8">
        <v>3308.71</v>
      </c>
      <c r="R352" s="9">
        <v>3308.71</v>
      </c>
      <c r="S352" s="70"/>
      <c r="T352" s="6"/>
      <c r="U352" s="164"/>
      <c r="V352" s="1"/>
      <c r="X352" s="101">
        <v>1</v>
      </c>
    </row>
    <row r="353" spans="2:24" hidden="1">
      <c r="B353" s="24">
        <v>46210.496527777781</v>
      </c>
      <c r="C353" s="24">
        <v>46210.50277777778</v>
      </c>
      <c r="D353" s="10" t="s">
        <v>24</v>
      </c>
      <c r="E353" s="10"/>
      <c r="F353" s="28">
        <v>46210</v>
      </c>
      <c r="G353" s="28">
        <v>46210</v>
      </c>
      <c r="H353" s="10" t="s">
        <v>39</v>
      </c>
      <c r="I353" s="10" t="s">
        <v>719</v>
      </c>
      <c r="J353" s="195"/>
      <c r="K353" s="181" t="s">
        <v>720</v>
      </c>
      <c r="L353" s="108">
        <v>22389364</v>
      </c>
      <c r="M353" s="32">
        <v>5215548494503</v>
      </c>
      <c r="N353" s="170" t="s">
        <v>37</v>
      </c>
      <c r="O353" s="49">
        <v>5617.63</v>
      </c>
      <c r="P353" s="96">
        <v>1393</v>
      </c>
      <c r="Q353" s="11">
        <v>1685.29</v>
      </c>
      <c r="R353" s="12">
        <v>51.65</v>
      </c>
      <c r="S353" s="71">
        <v>46393</v>
      </c>
      <c r="T353" s="10"/>
      <c r="U353" s="97"/>
      <c r="V353" s="1"/>
      <c r="X353" s="101">
        <v>2</v>
      </c>
    </row>
    <row r="354" spans="2:24" hidden="1">
      <c r="B354" s="23">
        <v>46210.502083333333</v>
      </c>
      <c r="C354" s="23">
        <v>46210.506944444445</v>
      </c>
      <c r="D354" s="6" t="s">
        <v>24</v>
      </c>
      <c r="E354" s="6"/>
      <c r="F354" s="27">
        <v>46210</v>
      </c>
      <c r="G354" s="27">
        <v>46271</v>
      </c>
      <c r="H354" s="6" t="s">
        <v>127</v>
      </c>
      <c r="I354" s="6" t="s">
        <v>721</v>
      </c>
      <c r="J354" s="197">
        <v>43816451009</v>
      </c>
      <c r="K354" s="183" t="s">
        <v>722</v>
      </c>
      <c r="L354" s="108">
        <v>21538532</v>
      </c>
      <c r="M354" s="31">
        <v>21538532</v>
      </c>
      <c r="N354" s="169" t="s">
        <v>37</v>
      </c>
      <c r="O354" s="46">
        <v>9313.11</v>
      </c>
      <c r="P354" s="93">
        <v>2572.9699999999998</v>
      </c>
      <c r="Q354" s="8">
        <v>2793.93</v>
      </c>
      <c r="R354" s="13">
        <v>220.96</v>
      </c>
      <c r="S354" s="70">
        <v>46390</v>
      </c>
      <c r="T354" s="6" t="s">
        <v>84</v>
      </c>
      <c r="U354" s="164"/>
      <c r="V354" s="1"/>
      <c r="X354" s="101">
        <v>2</v>
      </c>
    </row>
    <row r="355" spans="2:24" hidden="1">
      <c r="B355" s="24">
        <v>46210.462500000001</v>
      </c>
      <c r="C355" s="24">
        <v>46210.513194444444</v>
      </c>
      <c r="D355" s="10" t="s">
        <v>24</v>
      </c>
      <c r="E355" s="10"/>
      <c r="F355" s="28">
        <v>46210</v>
      </c>
      <c r="G355" s="28">
        <v>46029</v>
      </c>
      <c r="H355" s="10" t="s">
        <v>54</v>
      </c>
      <c r="I355" s="10" t="s">
        <v>723</v>
      </c>
      <c r="J355" s="195">
        <v>6715202989</v>
      </c>
      <c r="K355" s="179" t="s">
        <v>303</v>
      </c>
      <c r="L355" s="108">
        <v>22156070</v>
      </c>
      <c r="M355" s="32">
        <v>5219531044593</v>
      </c>
      <c r="N355" s="170" t="s">
        <v>37</v>
      </c>
      <c r="O355" s="47">
        <v>5636.59</v>
      </c>
      <c r="P355" s="94">
        <v>1690.66</v>
      </c>
      <c r="Q355" s="11">
        <v>1690.98</v>
      </c>
      <c r="R355" s="12">
        <v>-227.05</v>
      </c>
      <c r="S355" s="71">
        <v>46758</v>
      </c>
      <c r="T355" s="10"/>
      <c r="U355" s="97"/>
      <c r="V355" s="1"/>
      <c r="X355" s="101">
        <v>2</v>
      </c>
    </row>
    <row r="356" spans="2:24" hidden="1">
      <c r="B356" s="23">
        <v>46210.456944444442</v>
      </c>
      <c r="C356" s="23">
        <v>46210.544444444444</v>
      </c>
      <c r="D356" s="6" t="s">
        <v>24</v>
      </c>
      <c r="E356" s="6"/>
      <c r="F356" s="27">
        <v>46210</v>
      </c>
      <c r="G356" s="27">
        <v>46210</v>
      </c>
      <c r="H356" s="6" t="s">
        <v>81</v>
      </c>
      <c r="I356" s="6" t="s">
        <v>724</v>
      </c>
      <c r="J356" s="196">
        <v>67805202966</v>
      </c>
      <c r="K356" s="180" t="s">
        <v>725</v>
      </c>
      <c r="L356" s="107">
        <v>22427686</v>
      </c>
      <c r="M356" s="31">
        <v>5219831027683</v>
      </c>
      <c r="N356" s="169" t="s">
        <v>32</v>
      </c>
      <c r="O356" s="46">
        <v>3869.36</v>
      </c>
      <c r="P356" s="93">
        <v>848</v>
      </c>
      <c r="Q356" s="8">
        <v>1160.81</v>
      </c>
      <c r="R356" s="13">
        <v>-848</v>
      </c>
      <c r="S356" s="70"/>
      <c r="T356" s="6"/>
      <c r="U356" s="164"/>
      <c r="V356" s="1"/>
      <c r="X356" s="101">
        <v>1</v>
      </c>
    </row>
    <row r="357" spans="2:24" hidden="1">
      <c r="B357" s="24">
        <v>46210.539583333331</v>
      </c>
      <c r="C357" s="24">
        <v>46210.546527777777</v>
      </c>
      <c r="D357" s="10" t="s">
        <v>24</v>
      </c>
      <c r="E357" s="10"/>
      <c r="F357" s="28">
        <v>46210</v>
      </c>
      <c r="G357" s="28">
        <v>46210</v>
      </c>
      <c r="H357" s="10" t="s">
        <v>68</v>
      </c>
      <c r="I357" s="10" t="s">
        <v>726</v>
      </c>
      <c r="J357" s="195">
        <v>62725404545</v>
      </c>
      <c r="K357" s="181" t="s">
        <v>727</v>
      </c>
      <c r="L357" s="108">
        <v>22425742</v>
      </c>
      <c r="M357" s="32">
        <v>5212226526694</v>
      </c>
      <c r="N357" s="170" t="s">
        <v>32</v>
      </c>
      <c r="O357" s="47">
        <v>4813.6899999999996</v>
      </c>
      <c r="P357" s="94">
        <v>879</v>
      </c>
      <c r="Q357" s="11">
        <v>1444.11</v>
      </c>
      <c r="R357" s="12">
        <v>-238.29</v>
      </c>
      <c r="S357" s="71"/>
      <c r="T357" s="10"/>
      <c r="U357" s="97"/>
      <c r="V357" s="1"/>
      <c r="X357" s="101">
        <v>1</v>
      </c>
    </row>
    <row r="358" spans="2:24" hidden="1">
      <c r="B358" s="23">
        <v>46210.513194444444</v>
      </c>
      <c r="C358" s="23">
        <v>46210.54791666667</v>
      </c>
      <c r="D358" s="6" t="s">
        <v>24</v>
      </c>
      <c r="E358" s="6"/>
      <c r="F358" s="27">
        <v>46210</v>
      </c>
      <c r="G358" s="27">
        <v>46210</v>
      </c>
      <c r="H358" s="10" t="s">
        <v>54</v>
      </c>
      <c r="I358" s="6" t="s">
        <v>728</v>
      </c>
      <c r="J358" s="196">
        <v>23735514673</v>
      </c>
      <c r="K358" s="180" t="s">
        <v>729</v>
      </c>
      <c r="L358" s="107">
        <v>22429302</v>
      </c>
      <c r="M358" s="31">
        <v>5216692558001</v>
      </c>
      <c r="N358" s="169" t="s">
        <v>28</v>
      </c>
      <c r="O358" s="46">
        <v>9956.98</v>
      </c>
      <c r="P358" s="93">
        <v>640</v>
      </c>
      <c r="Q358" s="8">
        <v>2987.09</v>
      </c>
      <c r="R358" s="9">
        <v>2347.09</v>
      </c>
      <c r="S358" s="70"/>
      <c r="T358" s="6"/>
      <c r="U358" s="164"/>
      <c r="V358" s="1"/>
      <c r="X358" s="101">
        <v>1</v>
      </c>
    </row>
    <row r="359" spans="2:24" hidden="1">
      <c r="B359" s="24">
        <v>46210.54791666667</v>
      </c>
      <c r="C359" s="24">
        <v>46210.551388888889</v>
      </c>
      <c r="D359" s="10" t="s">
        <v>24</v>
      </c>
      <c r="E359" s="10"/>
      <c r="F359" s="28">
        <v>46210</v>
      </c>
      <c r="G359" s="28">
        <v>46029</v>
      </c>
      <c r="H359" s="10" t="s">
        <v>54</v>
      </c>
      <c r="I359" s="10" t="s">
        <v>730</v>
      </c>
      <c r="J359" s="195">
        <v>6856600421</v>
      </c>
      <c r="K359" s="181" t="s">
        <v>731</v>
      </c>
      <c r="L359" s="108">
        <v>22162024</v>
      </c>
      <c r="M359" s="32">
        <v>5217641300945</v>
      </c>
      <c r="N359" s="170" t="s">
        <v>47</v>
      </c>
      <c r="O359" s="47">
        <v>13808.57</v>
      </c>
      <c r="P359" s="94">
        <v>3172.03</v>
      </c>
      <c r="Q359" s="11">
        <v>4142.57</v>
      </c>
      <c r="R359" s="16">
        <v>970.54</v>
      </c>
      <c r="S359" s="71">
        <v>46759</v>
      </c>
      <c r="T359" s="10"/>
      <c r="U359" s="97"/>
      <c r="V359" s="1"/>
      <c r="X359" s="101">
        <v>2</v>
      </c>
    </row>
    <row r="360" spans="2:24" hidden="1">
      <c r="B360" s="23">
        <v>46210.477083333331</v>
      </c>
      <c r="C360" s="23">
        <v>46210.553472222222</v>
      </c>
      <c r="D360" s="6" t="s">
        <v>24</v>
      </c>
      <c r="E360" s="6"/>
      <c r="F360" s="27">
        <v>46210</v>
      </c>
      <c r="G360" s="27">
        <v>46210</v>
      </c>
      <c r="H360" s="6" t="s">
        <v>51</v>
      </c>
      <c r="I360" s="6" t="s">
        <v>732</v>
      </c>
      <c r="J360" s="196">
        <v>37967704844</v>
      </c>
      <c r="K360" s="180" t="s">
        <v>733</v>
      </c>
      <c r="L360" s="108">
        <v>22428270</v>
      </c>
      <c r="M360" s="31">
        <v>5215512936736</v>
      </c>
      <c r="N360" s="169" t="s">
        <v>37</v>
      </c>
      <c r="O360" s="46">
        <v>4783.47</v>
      </c>
      <c r="P360" s="93">
        <v>582.79</v>
      </c>
      <c r="Q360" s="8">
        <v>1435.04</v>
      </c>
      <c r="R360" s="13">
        <v>27.7</v>
      </c>
      <c r="S360" s="70">
        <v>46393</v>
      </c>
      <c r="T360" s="6"/>
      <c r="U360" s="164"/>
      <c r="V360" s="1"/>
      <c r="X360" s="101">
        <v>2</v>
      </c>
    </row>
    <row r="361" spans="2:24" hidden="1">
      <c r="B361" s="24">
        <v>46210.411805555559</v>
      </c>
      <c r="C361" s="24">
        <v>46210.584027777775</v>
      </c>
      <c r="D361" s="10" t="s">
        <v>24</v>
      </c>
      <c r="E361" s="10"/>
      <c r="F361" s="28">
        <v>46210</v>
      </c>
      <c r="G361" s="28">
        <v>46180</v>
      </c>
      <c r="H361" s="10" t="s">
        <v>124</v>
      </c>
      <c r="I361" s="10" t="s">
        <v>734</v>
      </c>
      <c r="J361" s="195">
        <v>65876316518</v>
      </c>
      <c r="K361" s="182" t="s">
        <v>735</v>
      </c>
      <c r="L361" s="108">
        <v>22395060</v>
      </c>
      <c r="M361" s="32">
        <v>22395060</v>
      </c>
      <c r="N361" s="170" t="s">
        <v>37</v>
      </c>
      <c r="O361" s="47">
        <v>6405.06</v>
      </c>
      <c r="P361" s="94">
        <v>1853.14</v>
      </c>
      <c r="Q361" s="11">
        <v>1921.52</v>
      </c>
      <c r="R361" s="12">
        <v>68.38</v>
      </c>
      <c r="S361" s="71">
        <v>46399</v>
      </c>
      <c r="T361" s="10"/>
      <c r="U361" s="97"/>
      <c r="V361" s="1"/>
      <c r="X361" s="101">
        <v>2</v>
      </c>
    </row>
    <row r="362" spans="2:24" hidden="1">
      <c r="B362" s="23">
        <v>46210.553472222222</v>
      </c>
      <c r="C362" s="23">
        <v>46210.590277777781</v>
      </c>
      <c r="D362" s="6" t="s">
        <v>24</v>
      </c>
      <c r="E362" s="6"/>
      <c r="F362" s="27">
        <v>46210</v>
      </c>
      <c r="G362" s="27">
        <v>46210</v>
      </c>
      <c r="H362" s="6" t="s">
        <v>51</v>
      </c>
      <c r="I362" s="6" t="s">
        <v>736</v>
      </c>
      <c r="J362" s="196">
        <v>49915603358</v>
      </c>
      <c r="K362" s="180" t="s">
        <v>737</v>
      </c>
      <c r="L362" s="108">
        <v>22431674</v>
      </c>
      <c r="M362" s="31">
        <v>5218991019974</v>
      </c>
      <c r="N362" s="169" t="s">
        <v>37</v>
      </c>
      <c r="O362" s="46">
        <v>5617.63</v>
      </c>
      <c r="P362" s="93">
        <v>1441.02</v>
      </c>
      <c r="Q362" s="8">
        <v>1685.29</v>
      </c>
      <c r="R362" s="13">
        <v>3.63</v>
      </c>
      <c r="S362" s="70">
        <v>46757</v>
      </c>
      <c r="T362" s="6"/>
      <c r="U362" s="164"/>
      <c r="V362" s="1"/>
      <c r="X362" s="101">
        <v>2</v>
      </c>
    </row>
    <row r="363" spans="2:24" hidden="1">
      <c r="B363" s="24">
        <v>46210.569444444445</v>
      </c>
      <c r="C363" s="24">
        <v>46210.604166666664</v>
      </c>
      <c r="D363" s="10" t="s">
        <v>24</v>
      </c>
      <c r="E363" s="10"/>
      <c r="F363" s="28">
        <v>46210</v>
      </c>
      <c r="G363" s="28">
        <v>46210</v>
      </c>
      <c r="H363" s="10" t="s">
        <v>39</v>
      </c>
      <c r="I363" s="10" t="s">
        <v>738</v>
      </c>
      <c r="J363" s="195">
        <v>45875403276</v>
      </c>
      <c r="K363" s="181" t="s">
        <v>739</v>
      </c>
      <c r="L363" s="108">
        <v>22408450</v>
      </c>
      <c r="M363" s="32">
        <v>5218261234595</v>
      </c>
      <c r="N363" s="170" t="s">
        <v>37</v>
      </c>
      <c r="O363" s="47">
        <v>29228.45</v>
      </c>
      <c r="P363" s="94">
        <v>8767.85</v>
      </c>
      <c r="Q363" s="11">
        <v>8768.5400000000009</v>
      </c>
      <c r="R363" s="12">
        <v>0.68</v>
      </c>
      <c r="S363" s="71">
        <v>46388</v>
      </c>
      <c r="T363" s="10"/>
      <c r="U363" s="97"/>
      <c r="V363" s="1"/>
      <c r="X363" s="101">
        <v>2</v>
      </c>
    </row>
    <row r="364" spans="2:24" hidden="1">
      <c r="B364" s="23">
        <v>46119.741666666669</v>
      </c>
      <c r="C364" s="23">
        <v>46210.622916666667</v>
      </c>
      <c r="D364" s="6" t="s">
        <v>24</v>
      </c>
      <c r="E364" s="6"/>
      <c r="F364" s="27">
        <v>46210</v>
      </c>
      <c r="G364" s="27">
        <v>46119</v>
      </c>
      <c r="H364" s="6" t="s">
        <v>51</v>
      </c>
      <c r="I364" s="6" t="s">
        <v>740</v>
      </c>
      <c r="J364" s="196">
        <v>43765312046</v>
      </c>
      <c r="K364" s="180" t="s">
        <v>741</v>
      </c>
      <c r="L364" s="108">
        <v>22298052</v>
      </c>
      <c r="M364" s="31">
        <v>5218117090523</v>
      </c>
      <c r="N364" s="169" t="s">
        <v>37</v>
      </c>
      <c r="O364" s="46">
        <v>6422.04</v>
      </c>
      <c r="P364" s="93">
        <v>1782.51</v>
      </c>
      <c r="Q364" s="8">
        <v>1926.61</v>
      </c>
      <c r="R364" s="13">
        <v>144.1</v>
      </c>
      <c r="S364" s="70">
        <v>46296</v>
      </c>
      <c r="T364" s="6"/>
      <c r="U364" s="164"/>
      <c r="V364" s="1"/>
      <c r="X364" s="101">
        <v>2</v>
      </c>
    </row>
    <row r="365" spans="2:24" hidden="1">
      <c r="B365" s="24">
        <v>46210.621527777781</v>
      </c>
      <c r="C365" s="24">
        <v>46210.630555555559</v>
      </c>
      <c r="D365" s="10" t="s">
        <v>24</v>
      </c>
      <c r="E365" s="10"/>
      <c r="F365" s="28">
        <v>46210</v>
      </c>
      <c r="G365" s="28">
        <v>46210</v>
      </c>
      <c r="H365" s="10" t="s">
        <v>78</v>
      </c>
      <c r="I365" s="10" t="s">
        <v>742</v>
      </c>
      <c r="J365" s="195"/>
      <c r="K365" s="181" t="s">
        <v>743</v>
      </c>
      <c r="L365" s="108">
        <v>22426210</v>
      </c>
      <c r="M365" s="32">
        <v>5213316062657</v>
      </c>
      <c r="N365" s="170" t="s">
        <v>28</v>
      </c>
      <c r="O365" s="47">
        <v>9760.32</v>
      </c>
      <c r="P365" s="94"/>
      <c r="Q365" s="11">
        <v>2928.1</v>
      </c>
      <c r="R365" s="14">
        <v>2928.1</v>
      </c>
      <c r="S365" s="71"/>
      <c r="T365" s="10"/>
      <c r="U365" s="97"/>
      <c r="V365" s="1"/>
      <c r="X365" s="101">
        <v>1</v>
      </c>
    </row>
    <row r="366" spans="2:24" hidden="1">
      <c r="B366" s="23">
        <v>46210.62777777778</v>
      </c>
      <c r="C366" s="23">
        <v>46210.631249999999</v>
      </c>
      <c r="D366" s="6" t="s">
        <v>24</v>
      </c>
      <c r="E366" s="6"/>
      <c r="F366" s="27">
        <v>46210</v>
      </c>
      <c r="G366" s="27">
        <v>46119</v>
      </c>
      <c r="H366" s="6" t="s">
        <v>127</v>
      </c>
      <c r="I366" s="6" t="s">
        <v>744</v>
      </c>
      <c r="J366" s="196"/>
      <c r="K366" s="180" t="s">
        <v>745</v>
      </c>
      <c r="L366" s="107">
        <v>22294772</v>
      </c>
      <c r="M366" s="31">
        <v>5219212076937</v>
      </c>
      <c r="N366" s="169" t="s">
        <v>32</v>
      </c>
      <c r="O366" s="46">
        <v>4970.8599999999997</v>
      </c>
      <c r="P366" s="93">
        <v>848</v>
      </c>
      <c r="Q366" s="8">
        <v>1491.26</v>
      </c>
      <c r="R366" s="13">
        <v>-50.12</v>
      </c>
      <c r="S366" s="70"/>
      <c r="T366" s="6"/>
      <c r="U366" s="164"/>
      <c r="V366" s="1"/>
      <c r="X366" s="101">
        <v>1</v>
      </c>
    </row>
    <row r="367" spans="2:24" hidden="1">
      <c r="B367" s="24">
        <v>46210.584027777775</v>
      </c>
      <c r="C367" s="24">
        <v>46210.636111111111</v>
      </c>
      <c r="D367" s="10" t="s">
        <v>24</v>
      </c>
      <c r="E367" s="10"/>
      <c r="F367" s="28">
        <v>46210</v>
      </c>
      <c r="G367" s="28">
        <v>46210</v>
      </c>
      <c r="H367" s="10" t="s">
        <v>124</v>
      </c>
      <c r="I367" s="10" t="s">
        <v>746</v>
      </c>
      <c r="J367" s="195"/>
      <c r="K367" s="181" t="s">
        <v>747</v>
      </c>
      <c r="L367" s="108">
        <v>22433674</v>
      </c>
      <c r="M367" s="32">
        <v>5213323716413</v>
      </c>
      <c r="N367" s="170" t="s">
        <v>37</v>
      </c>
      <c r="O367" s="49">
        <v>14554.45</v>
      </c>
      <c r="P367" s="96">
        <v>4202.6499999999996</v>
      </c>
      <c r="Q367" s="11">
        <v>4366.34</v>
      </c>
      <c r="R367" s="12">
        <v>163.69</v>
      </c>
      <c r="S367" s="71">
        <v>46390</v>
      </c>
      <c r="T367" s="10" t="s">
        <v>259</v>
      </c>
      <c r="U367" s="97"/>
      <c r="V367" s="1"/>
      <c r="X367" s="101">
        <v>2</v>
      </c>
    </row>
    <row r="368" spans="2:24" hidden="1">
      <c r="B368" s="23">
        <v>46210.637499999997</v>
      </c>
      <c r="C368" s="23">
        <v>46210.640972222223</v>
      </c>
      <c r="D368" s="6" t="s">
        <v>24</v>
      </c>
      <c r="E368" s="6"/>
      <c r="F368" s="27">
        <v>46210</v>
      </c>
      <c r="G368" s="27">
        <v>46210</v>
      </c>
      <c r="H368" s="6" t="s">
        <v>54</v>
      </c>
      <c r="I368" s="6" t="s">
        <v>748</v>
      </c>
      <c r="J368" s="196">
        <v>62744300294</v>
      </c>
      <c r="K368" s="180" t="s">
        <v>749</v>
      </c>
      <c r="L368" s="108">
        <v>22434526</v>
      </c>
      <c r="M368" s="31">
        <v>5212221745507</v>
      </c>
      <c r="N368" s="169" t="s">
        <v>37</v>
      </c>
      <c r="O368" s="46">
        <v>49260.7</v>
      </c>
      <c r="P368" s="93">
        <v>14775.34</v>
      </c>
      <c r="Q368" s="8">
        <v>14778.21</v>
      </c>
      <c r="R368" s="13">
        <v>2.87</v>
      </c>
      <c r="S368" s="70">
        <v>46399</v>
      </c>
      <c r="T368" s="6" t="s">
        <v>178</v>
      </c>
      <c r="U368" s="164"/>
      <c r="V368" s="1"/>
      <c r="X368" s="101">
        <v>2</v>
      </c>
    </row>
    <row r="369" spans="2:24" hidden="1">
      <c r="B369" s="24">
        <v>46210.637499999997</v>
      </c>
      <c r="C369" s="24">
        <v>46210.640972222223</v>
      </c>
      <c r="D369" s="10" t="s">
        <v>24</v>
      </c>
      <c r="E369" s="10"/>
      <c r="F369" s="28">
        <v>46210</v>
      </c>
      <c r="G369" s="28">
        <v>46210</v>
      </c>
      <c r="H369" s="10" t="s">
        <v>160</v>
      </c>
      <c r="I369" s="10" t="s">
        <v>750</v>
      </c>
      <c r="J369" s="195">
        <v>23785807225</v>
      </c>
      <c r="K369" s="181" t="s">
        <v>751</v>
      </c>
      <c r="L369" s="108">
        <v>22429146</v>
      </c>
      <c r="M369" s="32">
        <v>5216675031022</v>
      </c>
      <c r="N369" s="170" t="s">
        <v>28</v>
      </c>
      <c r="O369" s="49">
        <v>9760.32</v>
      </c>
      <c r="P369" s="96"/>
      <c r="Q369" s="11">
        <v>2928.1</v>
      </c>
      <c r="R369" s="14">
        <v>2928.1</v>
      </c>
      <c r="S369" s="71"/>
      <c r="T369" s="10"/>
      <c r="U369" s="97"/>
      <c r="V369" s="1"/>
      <c r="X369" s="101">
        <v>1</v>
      </c>
    </row>
    <row r="370" spans="2:24" hidden="1">
      <c r="B370" s="23">
        <v>46210.59097222222</v>
      </c>
      <c r="C370" s="23">
        <v>46210.64166666667</v>
      </c>
      <c r="D370" s="6" t="s">
        <v>24</v>
      </c>
      <c r="E370" s="6"/>
      <c r="F370" s="27">
        <v>46210</v>
      </c>
      <c r="G370" s="27">
        <v>46210</v>
      </c>
      <c r="H370" s="6" t="s">
        <v>51</v>
      </c>
      <c r="I370" s="6" t="s">
        <v>752</v>
      </c>
      <c r="J370" s="196">
        <v>82806301261</v>
      </c>
      <c r="K370" s="180" t="s">
        <v>753</v>
      </c>
      <c r="L370" s="108">
        <v>22432082</v>
      </c>
      <c r="M370" s="31">
        <v>5219871009272</v>
      </c>
      <c r="N370" s="169" t="s">
        <v>37</v>
      </c>
      <c r="O370" s="48">
        <v>9760.32</v>
      </c>
      <c r="P370" s="95">
        <v>2928.1</v>
      </c>
      <c r="Q370" s="8">
        <v>2928.1</v>
      </c>
      <c r="R370" s="13">
        <v>0</v>
      </c>
      <c r="S370" s="70">
        <v>46754</v>
      </c>
      <c r="T370" s="6"/>
      <c r="U370" s="164"/>
      <c r="V370" s="1"/>
      <c r="X370" s="101">
        <v>2</v>
      </c>
    </row>
    <row r="371" spans="2:24" hidden="1">
      <c r="B371" s="24">
        <v>46210.640277777777</v>
      </c>
      <c r="C371" s="24">
        <v>46210.644444444442</v>
      </c>
      <c r="D371" s="10" t="s">
        <v>24</v>
      </c>
      <c r="E371" s="10"/>
      <c r="F371" s="28">
        <v>46210</v>
      </c>
      <c r="G371" s="28">
        <v>46210</v>
      </c>
      <c r="H371" s="10" t="s">
        <v>39</v>
      </c>
      <c r="I371" s="10" t="s">
        <v>754</v>
      </c>
      <c r="J371" s="195">
        <v>10806348420</v>
      </c>
      <c r="K371" s="181" t="s">
        <v>755</v>
      </c>
      <c r="L371" s="108">
        <v>22423934</v>
      </c>
      <c r="M371" s="32">
        <v>5215570789323</v>
      </c>
      <c r="N371" s="170" t="s">
        <v>37</v>
      </c>
      <c r="O371" s="47">
        <v>9081.52</v>
      </c>
      <c r="P371" s="94">
        <v>2622.65</v>
      </c>
      <c r="Q371" s="11">
        <v>2724.46</v>
      </c>
      <c r="R371" s="12">
        <v>101.81</v>
      </c>
      <c r="S371" s="71">
        <v>46399</v>
      </c>
      <c r="T371" s="10" t="s">
        <v>178</v>
      </c>
      <c r="U371" s="97"/>
      <c r="V371" s="1"/>
      <c r="X371" s="101">
        <v>2</v>
      </c>
    </row>
    <row r="372" spans="2:24" hidden="1">
      <c r="B372" s="23">
        <v>46210.544444444444</v>
      </c>
      <c r="C372" s="23">
        <v>46210.647222222222</v>
      </c>
      <c r="D372" s="6" t="s">
        <v>24</v>
      </c>
      <c r="E372" s="6"/>
      <c r="F372" s="27">
        <v>46210</v>
      </c>
      <c r="G372" s="27">
        <v>46210</v>
      </c>
      <c r="H372" s="10" t="s">
        <v>81</v>
      </c>
      <c r="I372" s="6" t="s">
        <v>756</v>
      </c>
      <c r="J372" s="192"/>
      <c r="K372" s="169" t="s">
        <v>757</v>
      </c>
      <c r="L372" s="107">
        <v>22433554</v>
      </c>
      <c r="M372" s="37">
        <v>5214791425480</v>
      </c>
      <c r="N372" s="169" t="s">
        <v>28</v>
      </c>
      <c r="O372" s="46">
        <v>7116.73</v>
      </c>
      <c r="P372" s="95"/>
      <c r="Q372" s="13">
        <v>2135.02</v>
      </c>
      <c r="R372" s="9">
        <v>2135.02</v>
      </c>
      <c r="S372" s="72"/>
      <c r="T372" s="6"/>
      <c r="U372" s="164"/>
      <c r="V372" s="1"/>
      <c r="X372" s="101">
        <v>1</v>
      </c>
    </row>
    <row r="373" spans="2:24" hidden="1">
      <c r="B373" s="24">
        <v>46210.647916666669</v>
      </c>
      <c r="C373" s="24">
        <v>46210.651388888888</v>
      </c>
      <c r="D373" s="10" t="s">
        <v>24</v>
      </c>
      <c r="E373" s="10"/>
      <c r="F373" s="28">
        <v>46210</v>
      </c>
      <c r="G373" s="28">
        <v>46210</v>
      </c>
      <c r="H373" s="10" t="s">
        <v>39</v>
      </c>
      <c r="I373" s="10" t="s">
        <v>758</v>
      </c>
      <c r="J373" s="193">
        <v>4175580960</v>
      </c>
      <c r="K373" s="170" t="s">
        <v>759</v>
      </c>
      <c r="L373" s="108">
        <v>22433888</v>
      </c>
      <c r="M373" s="36">
        <v>5214444234572</v>
      </c>
      <c r="N373" s="170" t="s">
        <v>32</v>
      </c>
      <c r="O373" s="47">
        <v>3632.14</v>
      </c>
      <c r="P373" s="96"/>
      <c r="Q373" s="12">
        <v>1089.6400000000001</v>
      </c>
      <c r="R373" s="12">
        <v>0</v>
      </c>
      <c r="S373" s="73"/>
      <c r="T373" s="10"/>
      <c r="U373" s="97"/>
      <c r="V373" s="1"/>
      <c r="X373" s="101">
        <v>1</v>
      </c>
    </row>
    <row r="374" spans="2:24" hidden="1">
      <c r="B374" s="23">
        <v>46210.647222222222</v>
      </c>
      <c r="C374" s="23">
        <v>46210.651388888888</v>
      </c>
      <c r="D374" s="6" t="s">
        <v>24</v>
      </c>
      <c r="E374" s="6"/>
      <c r="F374" s="27">
        <v>46210</v>
      </c>
      <c r="G374" s="27">
        <v>46210</v>
      </c>
      <c r="H374" s="6" t="s">
        <v>81</v>
      </c>
      <c r="I374" s="6" t="s">
        <v>760</v>
      </c>
      <c r="J374" s="192">
        <v>39977982295</v>
      </c>
      <c r="K374" s="169"/>
      <c r="L374" s="107">
        <v>22434708</v>
      </c>
      <c r="M374" s="37">
        <v>5215588185931</v>
      </c>
      <c r="N374" s="169" t="s">
        <v>74</v>
      </c>
      <c r="O374" s="46"/>
      <c r="P374" s="95"/>
      <c r="Q374" s="13">
        <v>0</v>
      </c>
      <c r="R374" s="13">
        <v>0</v>
      </c>
      <c r="S374" s="72"/>
      <c r="T374" s="6"/>
      <c r="U374" s="164"/>
      <c r="V374" s="1"/>
      <c r="X374" s="101">
        <v>1</v>
      </c>
    </row>
    <row r="375" spans="2:24" hidden="1">
      <c r="B375" s="24">
        <v>46210.642361111109</v>
      </c>
      <c r="C375" s="24">
        <v>46210.652777777781</v>
      </c>
      <c r="D375" s="10" t="s">
        <v>24</v>
      </c>
      <c r="E375" s="10"/>
      <c r="F375" s="28">
        <v>46210</v>
      </c>
      <c r="G375" s="28">
        <v>46210</v>
      </c>
      <c r="H375" s="10" t="s">
        <v>51</v>
      </c>
      <c r="I375" s="10" t="s">
        <v>761</v>
      </c>
      <c r="J375" s="193">
        <v>81695410753</v>
      </c>
      <c r="K375" s="170" t="s">
        <v>762</v>
      </c>
      <c r="L375" s="108">
        <v>22403940</v>
      </c>
      <c r="M375" s="36">
        <v>5219901987977</v>
      </c>
      <c r="N375" s="170" t="s">
        <v>37</v>
      </c>
      <c r="O375" s="47">
        <v>8784.2999999999993</v>
      </c>
      <c r="P375" s="94">
        <v>2541.4899999999998</v>
      </c>
      <c r="Q375" s="12">
        <v>2635.29</v>
      </c>
      <c r="R375" s="12">
        <v>93.8</v>
      </c>
      <c r="S375" s="73">
        <v>46397</v>
      </c>
      <c r="T375" s="10"/>
      <c r="U375" s="97"/>
      <c r="V375" s="1"/>
      <c r="X375" s="101">
        <v>2</v>
      </c>
    </row>
    <row r="376" spans="2:24" hidden="1">
      <c r="B376" s="23">
        <v>46210.651388888888</v>
      </c>
      <c r="C376" s="23">
        <v>46210.654861111114</v>
      </c>
      <c r="D376" s="6" t="s">
        <v>24</v>
      </c>
      <c r="E376" s="6"/>
      <c r="F376" s="27">
        <v>46210</v>
      </c>
      <c r="G376" s="27">
        <v>46210</v>
      </c>
      <c r="H376" s="6" t="s">
        <v>39</v>
      </c>
      <c r="I376" s="6" t="s">
        <v>763</v>
      </c>
      <c r="J376" s="192">
        <v>31856615926</v>
      </c>
      <c r="K376" s="169" t="s">
        <v>764</v>
      </c>
      <c r="L376" s="107">
        <v>22434594</v>
      </c>
      <c r="M376" s="37">
        <v>5216562752129</v>
      </c>
      <c r="N376" s="169" t="s">
        <v>32</v>
      </c>
      <c r="O376" s="46">
        <v>3498.07</v>
      </c>
      <c r="P376" s="95">
        <v>848</v>
      </c>
      <c r="Q376" s="13">
        <v>1049.42</v>
      </c>
      <c r="R376" s="13">
        <v>-848</v>
      </c>
      <c r="S376" s="72"/>
      <c r="T376" s="6"/>
      <c r="U376" s="164"/>
      <c r="V376" s="1"/>
      <c r="X376" s="101">
        <v>1</v>
      </c>
    </row>
    <row r="377" spans="2:24" hidden="1">
      <c r="B377" s="24">
        <v>46210.647222222222</v>
      </c>
      <c r="C377" s="24">
        <v>46210.669444444444</v>
      </c>
      <c r="D377" s="10" t="s">
        <v>24</v>
      </c>
      <c r="E377" s="10"/>
      <c r="F377" s="28">
        <v>46210</v>
      </c>
      <c r="G377" s="28">
        <v>46210</v>
      </c>
      <c r="H377" s="10" t="s">
        <v>103</v>
      </c>
      <c r="I377" s="10" t="s">
        <v>684</v>
      </c>
      <c r="J377" s="193">
        <v>19775946494</v>
      </c>
      <c r="K377" s="170"/>
      <c r="L377" s="108">
        <v>1</v>
      </c>
      <c r="M377" s="36">
        <v>8342084822</v>
      </c>
      <c r="N377" s="170" t="s">
        <v>37</v>
      </c>
      <c r="O377" s="47">
        <v>7361.09</v>
      </c>
      <c r="P377" s="94">
        <v>2123.15</v>
      </c>
      <c r="Q377" s="12">
        <v>2208.33</v>
      </c>
      <c r="R377" s="12">
        <v>85.18</v>
      </c>
      <c r="S377" s="73">
        <v>46392</v>
      </c>
      <c r="T377" s="10" t="s">
        <v>84</v>
      </c>
      <c r="U377" s="97"/>
      <c r="V377" s="1"/>
      <c r="X377" s="101">
        <v>2</v>
      </c>
    </row>
    <row r="378" spans="2:24" hidden="1">
      <c r="B378" s="23">
        <v>46210.673611111109</v>
      </c>
      <c r="C378" s="23">
        <v>46210.675000000003</v>
      </c>
      <c r="D378" s="6" t="s">
        <v>24</v>
      </c>
      <c r="E378" s="6"/>
      <c r="F378" s="27">
        <v>46210</v>
      </c>
      <c r="G378" s="27">
        <v>46210</v>
      </c>
      <c r="H378" s="6" t="s">
        <v>103</v>
      </c>
      <c r="I378" s="6" t="s">
        <v>684</v>
      </c>
      <c r="J378" s="192">
        <v>16806204034</v>
      </c>
      <c r="K378" s="169"/>
      <c r="L378" s="108">
        <v>1</v>
      </c>
      <c r="M378" s="37">
        <v>7291506275</v>
      </c>
      <c r="N378" s="169" t="s">
        <v>37</v>
      </c>
      <c r="O378" s="48">
        <v>7116.73</v>
      </c>
      <c r="P378" s="95">
        <v>1867.01</v>
      </c>
      <c r="Q378" s="13">
        <v>2135.02</v>
      </c>
      <c r="R378" s="13">
        <v>268.01</v>
      </c>
      <c r="S378" s="72">
        <v>46398</v>
      </c>
      <c r="T378" s="6"/>
      <c r="U378" s="164"/>
      <c r="V378" s="1"/>
      <c r="X378" s="101">
        <v>2</v>
      </c>
    </row>
    <row r="379" spans="2:24" hidden="1">
      <c r="B379" s="24">
        <v>46210.546527777777</v>
      </c>
      <c r="C379" s="24">
        <v>46210.685416666667</v>
      </c>
      <c r="D379" s="10" t="s">
        <v>24</v>
      </c>
      <c r="E379" s="10"/>
      <c r="F379" s="28">
        <v>46210</v>
      </c>
      <c r="G379" s="28">
        <v>46210</v>
      </c>
      <c r="H379" s="10" t="s">
        <v>68</v>
      </c>
      <c r="I379" s="10" t="s">
        <v>765</v>
      </c>
      <c r="J379" s="193">
        <v>43795961820</v>
      </c>
      <c r="K379" s="170" t="s">
        <v>766</v>
      </c>
      <c r="L379" s="108">
        <v>22435070</v>
      </c>
      <c r="M379" s="36">
        <v>5218180889339</v>
      </c>
      <c r="N379" s="170" t="s">
        <v>130</v>
      </c>
      <c r="O379" s="49">
        <v>17195.97</v>
      </c>
      <c r="P379" s="96">
        <v>4773.8500000000004</v>
      </c>
      <c r="Q379" s="12">
        <v>5158.79</v>
      </c>
      <c r="R379" s="16">
        <v>384.94</v>
      </c>
      <c r="S379" s="73">
        <v>45659</v>
      </c>
      <c r="T379" s="10"/>
      <c r="U379" s="97"/>
      <c r="V379" s="1"/>
      <c r="X379" s="101">
        <v>2</v>
      </c>
    </row>
    <row r="380" spans="2:24" hidden="1">
      <c r="B380" s="23">
        <v>46210.677083333336</v>
      </c>
      <c r="C380" s="23">
        <v>46210.686805555553</v>
      </c>
      <c r="D380" s="6" t="s">
        <v>24</v>
      </c>
      <c r="E380" s="6"/>
      <c r="F380" s="27">
        <v>46210</v>
      </c>
      <c r="G380" s="27">
        <v>46210</v>
      </c>
      <c r="H380" s="10" t="s">
        <v>160</v>
      </c>
      <c r="I380" s="6" t="s">
        <v>767</v>
      </c>
      <c r="J380" s="192">
        <v>24735713281</v>
      </c>
      <c r="K380" s="169" t="s">
        <v>768</v>
      </c>
      <c r="L380" s="107">
        <v>22433392</v>
      </c>
      <c r="M380" s="37">
        <v>5216623681313</v>
      </c>
      <c r="N380" s="169" t="s">
        <v>106</v>
      </c>
      <c r="O380" s="46">
        <v>12818.25</v>
      </c>
      <c r="P380" s="93">
        <v>3708.63</v>
      </c>
      <c r="Q380" s="13">
        <v>3845.48</v>
      </c>
      <c r="R380" s="13">
        <v>136.85</v>
      </c>
      <c r="S380" s="72">
        <v>45302</v>
      </c>
      <c r="T380" s="6"/>
      <c r="U380" s="164"/>
      <c r="V380" s="1"/>
      <c r="X380" s="101">
        <v>2</v>
      </c>
    </row>
    <row r="381" spans="2:24" hidden="1">
      <c r="B381" s="24">
        <v>46210.681944444441</v>
      </c>
      <c r="C381" s="24">
        <v>46210.686805555553</v>
      </c>
      <c r="D381" s="10" t="s">
        <v>24</v>
      </c>
      <c r="E381" s="10"/>
      <c r="F381" s="28">
        <v>46210</v>
      </c>
      <c r="G381" s="28">
        <v>46210</v>
      </c>
      <c r="H381" s="10" t="s">
        <v>68</v>
      </c>
      <c r="I381" s="10" t="s">
        <v>769</v>
      </c>
      <c r="J381" s="195">
        <v>47937730795</v>
      </c>
      <c r="K381" s="170" t="s">
        <v>770</v>
      </c>
      <c r="L381" s="108">
        <v>22433122</v>
      </c>
      <c r="M381" s="36">
        <v>5218123564288</v>
      </c>
      <c r="N381" s="170" t="s">
        <v>106</v>
      </c>
      <c r="O381" s="47">
        <v>5727.08</v>
      </c>
      <c r="P381" s="94">
        <v>2243.89</v>
      </c>
      <c r="Q381" s="12">
        <v>1718.12</v>
      </c>
      <c r="R381" s="12">
        <v>-689.79</v>
      </c>
      <c r="S381" s="73">
        <v>46028</v>
      </c>
      <c r="T381" s="10"/>
      <c r="U381" s="97"/>
      <c r="V381" s="1"/>
      <c r="X381" s="101">
        <v>2</v>
      </c>
    </row>
    <row r="382" spans="2:24" hidden="1">
      <c r="B382" s="23">
        <v>46210.651388888888</v>
      </c>
      <c r="C382" s="23">
        <v>46210.693749999999</v>
      </c>
      <c r="D382" s="6" t="s">
        <v>24</v>
      </c>
      <c r="E382" s="6"/>
      <c r="F382" s="27">
        <v>46210</v>
      </c>
      <c r="G382" s="27">
        <v>46210</v>
      </c>
      <c r="H382" s="6" t="s">
        <v>81</v>
      </c>
      <c r="I382" s="6" t="s">
        <v>771</v>
      </c>
      <c r="J382" s="196">
        <v>54775813410</v>
      </c>
      <c r="K382" s="169"/>
      <c r="L382" s="108">
        <v>22436600</v>
      </c>
      <c r="M382" s="37">
        <v>5213322147147</v>
      </c>
      <c r="N382" s="169" t="s">
        <v>37</v>
      </c>
      <c r="O382" s="48">
        <v>7500.03</v>
      </c>
      <c r="P382" s="95">
        <v>2169.9299999999998</v>
      </c>
      <c r="Q382" s="13">
        <v>2250.0100000000002</v>
      </c>
      <c r="R382" s="13">
        <v>80.08</v>
      </c>
      <c r="S382" s="72">
        <v>46397</v>
      </c>
      <c r="T382" s="6"/>
      <c r="U382" s="164"/>
      <c r="V382" s="1"/>
      <c r="X382" s="101">
        <v>2</v>
      </c>
    </row>
    <row r="383" spans="2:24" hidden="1">
      <c r="B383" s="24">
        <v>46210.702777777777</v>
      </c>
      <c r="C383" s="24">
        <v>46210.704861111109</v>
      </c>
      <c r="D383" s="10" t="s">
        <v>24</v>
      </c>
      <c r="E383" s="10"/>
      <c r="F383" s="28">
        <v>46210</v>
      </c>
      <c r="G383" s="28">
        <v>46210</v>
      </c>
      <c r="H383" s="10" t="s">
        <v>103</v>
      </c>
      <c r="I383" s="10" t="s">
        <v>219</v>
      </c>
      <c r="J383" s="195">
        <v>49815813156</v>
      </c>
      <c r="K383" s="178" t="s">
        <v>684</v>
      </c>
      <c r="L383" s="108">
        <v>1</v>
      </c>
      <c r="M383" s="36">
        <v>8332340066</v>
      </c>
      <c r="N383" s="170" t="s">
        <v>37</v>
      </c>
      <c r="O383" s="49">
        <v>23412.799999999999</v>
      </c>
      <c r="P383" s="96">
        <v>7021.57</v>
      </c>
      <c r="Q383" s="12">
        <v>7023.84</v>
      </c>
      <c r="R383" s="12">
        <v>2.27</v>
      </c>
      <c r="S383" s="73">
        <v>46389</v>
      </c>
      <c r="T383" s="10"/>
      <c r="U383" s="97"/>
      <c r="V383" s="1"/>
      <c r="X383" s="101">
        <v>2</v>
      </c>
    </row>
    <row r="384" spans="2:24" hidden="1">
      <c r="B384" s="23">
        <v>46210.709722222222</v>
      </c>
      <c r="C384" s="23">
        <v>46210.712500000001</v>
      </c>
      <c r="D384" s="6" t="s">
        <v>24</v>
      </c>
      <c r="E384" s="6"/>
      <c r="F384" s="27">
        <v>46210</v>
      </c>
      <c r="G384" s="27">
        <v>45850</v>
      </c>
      <c r="H384" s="6" t="s">
        <v>269</v>
      </c>
      <c r="I384" s="6" t="s">
        <v>772</v>
      </c>
      <c r="J384" s="192">
        <v>4755201177</v>
      </c>
      <c r="K384" s="169" t="s">
        <v>773</v>
      </c>
      <c r="L384" s="108">
        <v>13976718</v>
      </c>
      <c r="M384" s="37">
        <v>5213317503306</v>
      </c>
      <c r="N384" s="169" t="s">
        <v>37</v>
      </c>
      <c r="O384" s="46">
        <v>6876.47</v>
      </c>
      <c r="P384" s="93">
        <v>2062.1799999999998</v>
      </c>
      <c r="Q384" s="13">
        <v>2062.94</v>
      </c>
      <c r="R384" s="13">
        <v>0.76</v>
      </c>
      <c r="S384" s="72">
        <v>46392</v>
      </c>
      <c r="T384" s="6"/>
      <c r="U384" s="164"/>
      <c r="V384" s="1"/>
      <c r="X384" s="101">
        <v>2</v>
      </c>
    </row>
    <row r="385" spans="2:24" hidden="1">
      <c r="B385" s="24">
        <v>46210.636111111111</v>
      </c>
      <c r="C385" s="24">
        <v>46210.713888888888</v>
      </c>
      <c r="D385" s="10" t="s">
        <v>24</v>
      </c>
      <c r="E385" s="10"/>
      <c r="F385" s="28">
        <v>46210</v>
      </c>
      <c r="G385" s="28">
        <v>46210</v>
      </c>
      <c r="H385" s="10" t="s">
        <v>124</v>
      </c>
      <c r="I385" s="10" t="s">
        <v>774</v>
      </c>
      <c r="J385" s="195"/>
      <c r="K385" s="170" t="s">
        <v>775</v>
      </c>
      <c r="L385" s="108">
        <v>22437246</v>
      </c>
      <c r="M385" s="36">
        <v>5216861895674</v>
      </c>
      <c r="N385" s="170" t="s">
        <v>37</v>
      </c>
      <c r="O385" s="47">
        <v>9582.4699999999993</v>
      </c>
      <c r="P385" s="94">
        <v>2871.76</v>
      </c>
      <c r="Q385" s="12">
        <v>2874.74</v>
      </c>
      <c r="R385" s="12">
        <v>2.98</v>
      </c>
      <c r="S385" s="73">
        <v>46758</v>
      </c>
      <c r="T385" s="10"/>
      <c r="U385" s="97"/>
      <c r="V385" s="1"/>
      <c r="X385" s="101">
        <v>2</v>
      </c>
    </row>
    <row r="386" spans="2:24" hidden="1">
      <c r="B386" s="23">
        <v>46210.713888888888</v>
      </c>
      <c r="C386" s="23">
        <v>46210.715277777781</v>
      </c>
      <c r="D386" s="6" t="s">
        <v>24</v>
      </c>
      <c r="E386" s="6"/>
      <c r="F386" s="27">
        <v>46210</v>
      </c>
      <c r="G386" s="27">
        <v>46210</v>
      </c>
      <c r="H386" s="6" t="s">
        <v>124</v>
      </c>
      <c r="I386" s="6" t="s">
        <v>776</v>
      </c>
      <c r="J386" s="196"/>
      <c r="K386" s="169" t="s">
        <v>777</v>
      </c>
      <c r="L386" s="108">
        <v>22436834</v>
      </c>
      <c r="M386" s="37">
        <v>5214441844259</v>
      </c>
      <c r="N386" s="169" t="s">
        <v>37</v>
      </c>
      <c r="O386" s="46">
        <v>52345.599999999999</v>
      </c>
      <c r="P386" s="93">
        <v>15691.7</v>
      </c>
      <c r="Q386" s="13">
        <v>15703.68</v>
      </c>
      <c r="R386" s="13">
        <v>11.98</v>
      </c>
      <c r="S386" s="72">
        <v>46390</v>
      </c>
      <c r="T386" s="6"/>
      <c r="U386" s="164"/>
      <c r="V386" s="1"/>
      <c r="X386" s="101">
        <v>2</v>
      </c>
    </row>
    <row r="387" spans="2:24" hidden="1">
      <c r="B387" s="24">
        <v>46210.694444444445</v>
      </c>
      <c r="C387" s="24">
        <v>46210.720138888886</v>
      </c>
      <c r="D387" s="10" t="s">
        <v>24</v>
      </c>
      <c r="E387" s="10"/>
      <c r="F387" s="28">
        <v>46210</v>
      </c>
      <c r="G387" s="28">
        <v>46210</v>
      </c>
      <c r="H387" s="10" t="s">
        <v>54</v>
      </c>
      <c r="I387" s="10" t="s">
        <v>778</v>
      </c>
      <c r="J387" s="193">
        <v>84826207262</v>
      </c>
      <c r="K387" s="170" t="s">
        <v>779</v>
      </c>
      <c r="L387" s="108">
        <v>22430296</v>
      </c>
      <c r="M387" s="36">
        <v>5219621417431</v>
      </c>
      <c r="N387" s="170" t="s">
        <v>28</v>
      </c>
      <c r="O387" s="49">
        <v>9760.32</v>
      </c>
      <c r="P387" s="96"/>
      <c r="Q387" s="12">
        <v>2928.1</v>
      </c>
      <c r="R387" s="14">
        <v>2928.1</v>
      </c>
      <c r="S387" s="73"/>
      <c r="T387" s="10"/>
      <c r="U387" s="97"/>
      <c r="V387" s="1"/>
      <c r="X387" s="101">
        <v>1</v>
      </c>
    </row>
    <row r="388" spans="2:24" hidden="1">
      <c r="B388" s="23">
        <v>46210.713888888888</v>
      </c>
      <c r="C388" s="23">
        <v>46210.727083333331</v>
      </c>
      <c r="D388" s="6" t="s">
        <v>24</v>
      </c>
      <c r="E388" s="6"/>
      <c r="F388" s="27">
        <v>46210</v>
      </c>
      <c r="G388" s="27">
        <v>46210</v>
      </c>
      <c r="H388" s="10" t="s">
        <v>127</v>
      </c>
      <c r="I388" s="6" t="s">
        <v>780</v>
      </c>
      <c r="J388" s="192">
        <v>780631754</v>
      </c>
      <c r="K388" s="169" t="s">
        <v>781</v>
      </c>
      <c r="L388" s="107">
        <v>22407300</v>
      </c>
      <c r="M388" s="37">
        <v>5215581624816</v>
      </c>
      <c r="N388" s="169" t="s">
        <v>28</v>
      </c>
      <c r="O388" s="48">
        <v>8377</v>
      </c>
      <c r="P388" s="95">
        <v>848</v>
      </c>
      <c r="Q388" s="13">
        <v>2513.1</v>
      </c>
      <c r="R388" s="9">
        <v>1665.1</v>
      </c>
      <c r="S388" s="72"/>
      <c r="T388" s="6"/>
      <c r="U388" s="164"/>
      <c r="V388" s="1"/>
      <c r="X388" s="101">
        <v>1</v>
      </c>
    </row>
    <row r="389" spans="2:24" hidden="1">
      <c r="B389" s="24">
        <v>46210.76458333333</v>
      </c>
      <c r="C389" s="24">
        <v>46210.765277777777</v>
      </c>
      <c r="D389" s="10" t="s">
        <v>24</v>
      </c>
      <c r="E389" s="10"/>
      <c r="F389" s="28">
        <v>46210</v>
      </c>
      <c r="G389" s="28">
        <v>46210</v>
      </c>
      <c r="H389" s="20" t="s">
        <v>135</v>
      </c>
      <c r="I389" s="10"/>
      <c r="J389" s="193">
        <v>84816419927</v>
      </c>
      <c r="K389" s="170" t="s">
        <v>782</v>
      </c>
      <c r="L389" s="108">
        <v>22438810</v>
      </c>
      <c r="M389" s="36">
        <v>5219996385621</v>
      </c>
      <c r="N389" s="170" t="s">
        <v>37</v>
      </c>
      <c r="O389" s="47">
        <v>10171.24</v>
      </c>
      <c r="P389" s="94">
        <v>3050.2</v>
      </c>
      <c r="Q389" s="12">
        <v>3051.37</v>
      </c>
      <c r="R389" s="12">
        <v>1.17</v>
      </c>
      <c r="S389" s="73">
        <v>46398</v>
      </c>
      <c r="T389" s="10" t="s">
        <v>192</v>
      </c>
      <c r="U389" s="97"/>
      <c r="V389" s="1"/>
      <c r="X389" s="101">
        <v>2</v>
      </c>
    </row>
    <row r="390" spans="2:24" hidden="1">
      <c r="B390" s="23">
        <v>46210.76458333333</v>
      </c>
      <c r="C390" s="23">
        <v>46210.76666666667</v>
      </c>
      <c r="D390" s="6" t="s">
        <v>24</v>
      </c>
      <c r="E390" s="6"/>
      <c r="F390" s="27">
        <v>46210</v>
      </c>
      <c r="G390" s="27">
        <v>46210</v>
      </c>
      <c r="H390" s="10" t="s">
        <v>103</v>
      </c>
      <c r="I390" s="6" t="s">
        <v>783</v>
      </c>
      <c r="J390" s="192">
        <v>24886326396</v>
      </c>
      <c r="K390" s="177" t="s">
        <v>784</v>
      </c>
      <c r="L390" s="109">
        <v>1</v>
      </c>
      <c r="M390" s="38">
        <v>6621392553</v>
      </c>
      <c r="N390" s="169" t="s">
        <v>28</v>
      </c>
      <c r="O390" s="48">
        <v>32009.38</v>
      </c>
      <c r="P390" s="95"/>
      <c r="Q390" s="13">
        <v>9602.81</v>
      </c>
      <c r="R390" s="9">
        <v>9602.81</v>
      </c>
      <c r="S390" s="72"/>
      <c r="T390" s="6"/>
      <c r="U390" s="164"/>
      <c r="V390" s="1"/>
      <c r="X390" s="101">
        <v>1</v>
      </c>
    </row>
    <row r="391" spans="2:24" hidden="1">
      <c r="B391" s="24">
        <v>46210.765277777777</v>
      </c>
      <c r="C391" s="24">
        <v>46210.799305555556</v>
      </c>
      <c r="D391" s="10" t="s">
        <v>24</v>
      </c>
      <c r="E391" s="10"/>
      <c r="F391" s="28">
        <v>46210</v>
      </c>
      <c r="G391" s="28">
        <v>46210</v>
      </c>
      <c r="H391" s="20" t="s">
        <v>135</v>
      </c>
      <c r="I391" s="10"/>
      <c r="J391" s="193">
        <v>41835701644</v>
      </c>
      <c r="K391" s="170" t="s">
        <v>785</v>
      </c>
      <c r="L391" s="108">
        <v>22440466</v>
      </c>
      <c r="M391" s="36">
        <v>5214445540360</v>
      </c>
      <c r="N391" s="170" t="s">
        <v>37</v>
      </c>
      <c r="O391" s="49">
        <v>6130.04</v>
      </c>
      <c r="P391" s="96">
        <v>1839.01</v>
      </c>
      <c r="Q391" s="12">
        <v>1839.01</v>
      </c>
      <c r="R391" s="12">
        <v>0</v>
      </c>
      <c r="S391" s="73">
        <v>46296</v>
      </c>
      <c r="T391" s="10"/>
      <c r="U391" s="97"/>
      <c r="V391" s="1"/>
      <c r="X391" s="101">
        <v>2</v>
      </c>
    </row>
    <row r="392" spans="2:24" hidden="1">
      <c r="B392" s="23">
        <v>46210.8</v>
      </c>
      <c r="C392" s="23">
        <v>46210.821527777778</v>
      </c>
      <c r="D392" s="6" t="s">
        <v>24</v>
      </c>
      <c r="E392" s="6"/>
      <c r="F392" s="27">
        <v>46210</v>
      </c>
      <c r="G392" s="27">
        <v>46210</v>
      </c>
      <c r="H392" s="161" t="s">
        <v>135</v>
      </c>
      <c r="I392" s="6" t="s">
        <v>786</v>
      </c>
      <c r="J392" s="192">
        <v>19796033041</v>
      </c>
      <c r="K392" s="169" t="s">
        <v>787</v>
      </c>
      <c r="L392" s="107">
        <v>22440270</v>
      </c>
      <c r="M392" s="37">
        <v>5215544745456</v>
      </c>
      <c r="N392" s="169" t="s">
        <v>130</v>
      </c>
      <c r="O392" s="48">
        <v>7108.77</v>
      </c>
      <c r="P392" s="95">
        <v>943.27</v>
      </c>
      <c r="Q392" s="13">
        <v>2132.63</v>
      </c>
      <c r="R392" s="22">
        <v>1189.3599999999999</v>
      </c>
      <c r="S392" s="72">
        <v>46026</v>
      </c>
      <c r="T392" s="6"/>
      <c r="U392" s="164"/>
      <c r="V392" s="1"/>
      <c r="X392" s="101">
        <v>2</v>
      </c>
    </row>
    <row r="393" spans="2:24" hidden="1">
      <c r="B393" s="24">
        <v>46241.336805555555</v>
      </c>
      <c r="C393" s="24">
        <v>46211.338888888888</v>
      </c>
      <c r="D393" s="10" t="s">
        <v>24</v>
      </c>
      <c r="E393" s="10"/>
      <c r="F393" s="28">
        <v>46211</v>
      </c>
      <c r="G393" s="28">
        <v>46241</v>
      </c>
      <c r="H393" s="10" t="s">
        <v>103</v>
      </c>
      <c r="I393" s="10" t="s">
        <v>788</v>
      </c>
      <c r="J393" s="193">
        <v>3654927593</v>
      </c>
      <c r="K393" s="170" t="s">
        <v>789</v>
      </c>
      <c r="L393" s="111">
        <v>1</v>
      </c>
      <c r="M393" s="36">
        <v>8114746025</v>
      </c>
      <c r="N393" s="170" t="s">
        <v>28</v>
      </c>
      <c r="O393" s="49">
        <v>28095.21</v>
      </c>
      <c r="P393" s="96">
        <v>1151.54</v>
      </c>
      <c r="Q393" s="12">
        <v>8428.56</v>
      </c>
      <c r="R393" s="14">
        <v>7277.02</v>
      </c>
      <c r="S393" s="73"/>
      <c r="T393" s="10"/>
      <c r="U393" s="97"/>
      <c r="V393" s="1"/>
      <c r="X393" s="101">
        <v>1</v>
      </c>
    </row>
    <row r="394" spans="2:24" hidden="1">
      <c r="B394" s="23">
        <v>46241.357638888891</v>
      </c>
      <c r="C394" s="23">
        <v>46211.35833333333</v>
      </c>
      <c r="D394" s="6" t="s">
        <v>24</v>
      </c>
      <c r="E394" s="6"/>
      <c r="F394" s="28">
        <v>46211</v>
      </c>
      <c r="G394" s="27">
        <v>46210</v>
      </c>
      <c r="H394" s="18" t="s">
        <v>71</v>
      </c>
      <c r="I394" s="6" t="s">
        <v>790</v>
      </c>
      <c r="J394" s="192"/>
      <c r="K394" s="169" t="s">
        <v>791</v>
      </c>
      <c r="L394" s="107">
        <v>22445378</v>
      </c>
      <c r="M394" s="37">
        <v>5216631115948</v>
      </c>
      <c r="N394" s="169" t="s">
        <v>32</v>
      </c>
      <c r="O394" s="48">
        <v>1481.69</v>
      </c>
      <c r="P394" s="95"/>
      <c r="Q394" s="13">
        <v>444.51</v>
      </c>
      <c r="R394" s="13">
        <v>0</v>
      </c>
      <c r="S394" s="72"/>
      <c r="T394" s="6"/>
      <c r="U394" s="164"/>
      <c r="V394" s="1"/>
      <c r="X394" s="101">
        <v>1</v>
      </c>
    </row>
    <row r="395" spans="2:24" hidden="1">
      <c r="B395" s="24">
        <v>46241.368055555555</v>
      </c>
      <c r="C395" s="24">
        <v>46211.371527777781</v>
      </c>
      <c r="D395" s="10" t="s">
        <v>24</v>
      </c>
      <c r="E395" s="10"/>
      <c r="F395" s="28">
        <v>46211</v>
      </c>
      <c r="G395" s="28">
        <v>46241</v>
      </c>
      <c r="H395" s="15" t="s">
        <v>476</v>
      </c>
      <c r="I395" s="10" t="s">
        <v>792</v>
      </c>
      <c r="J395" s="193"/>
      <c r="K395" s="170" t="s">
        <v>793</v>
      </c>
      <c r="L395" s="108">
        <v>22451600</v>
      </c>
      <c r="M395" s="36">
        <v>5214442341551</v>
      </c>
      <c r="N395" s="170" t="s">
        <v>235</v>
      </c>
      <c r="O395" s="49"/>
      <c r="P395" s="96"/>
      <c r="Q395" s="12">
        <v>0</v>
      </c>
      <c r="R395" s="12">
        <v>0</v>
      </c>
      <c r="S395" s="73"/>
      <c r="T395" s="10"/>
      <c r="U395" s="97"/>
      <c r="V395" s="1"/>
      <c r="X395" s="101">
        <v>1</v>
      </c>
    </row>
    <row r="396" spans="2:24" hidden="1">
      <c r="B396" s="23">
        <v>46241.381249999999</v>
      </c>
      <c r="C396" s="23">
        <v>46211.381944444445</v>
      </c>
      <c r="D396" s="6" t="s">
        <v>24</v>
      </c>
      <c r="E396" s="6"/>
      <c r="F396" s="28">
        <v>46211</v>
      </c>
      <c r="G396" s="27" t="s">
        <v>794</v>
      </c>
      <c r="H396" s="6" t="s">
        <v>29</v>
      </c>
      <c r="I396" s="6" t="s">
        <v>795</v>
      </c>
      <c r="J396" s="192"/>
      <c r="K396" s="169" t="s">
        <v>796</v>
      </c>
      <c r="L396" s="108">
        <v>21227810</v>
      </c>
      <c r="M396" s="37">
        <v>5215587467826</v>
      </c>
      <c r="N396" s="169" t="s">
        <v>37</v>
      </c>
      <c r="O396" s="48">
        <v>6039.97</v>
      </c>
      <c r="P396" s="95">
        <v>1747.51</v>
      </c>
      <c r="Q396" s="13">
        <v>1811.99</v>
      </c>
      <c r="R396" s="13">
        <v>64.48</v>
      </c>
      <c r="S396" s="72">
        <v>46391</v>
      </c>
      <c r="T396" s="6"/>
      <c r="U396" s="164"/>
      <c r="V396" s="1"/>
      <c r="X396" s="101">
        <v>2</v>
      </c>
    </row>
    <row r="397" spans="2:24" hidden="1">
      <c r="B397" s="24">
        <v>46241.381944444445</v>
      </c>
      <c r="C397" s="24">
        <v>46211.382638888892</v>
      </c>
      <c r="D397" s="10" t="s">
        <v>24</v>
      </c>
      <c r="E397" s="10"/>
      <c r="F397" s="28">
        <v>46211</v>
      </c>
      <c r="G397" s="28">
        <v>46241</v>
      </c>
      <c r="H397" s="20" t="s">
        <v>170</v>
      </c>
      <c r="I397" s="10" t="s">
        <v>797</v>
      </c>
      <c r="J397" s="193"/>
      <c r="K397" s="170" t="s">
        <v>798</v>
      </c>
      <c r="L397" s="108">
        <v>22452226</v>
      </c>
      <c r="M397" s="36">
        <v>5215574689783</v>
      </c>
      <c r="N397" s="170" t="s">
        <v>98</v>
      </c>
      <c r="O397" s="49"/>
      <c r="P397" s="96"/>
      <c r="Q397" s="12">
        <v>0</v>
      </c>
      <c r="R397" s="12">
        <v>0</v>
      </c>
      <c r="S397" s="73"/>
      <c r="T397" s="10"/>
      <c r="U397" s="97"/>
      <c r="V397" s="1"/>
      <c r="X397" s="101">
        <v>0</v>
      </c>
    </row>
    <row r="398" spans="2:24" hidden="1">
      <c r="B398" s="23">
        <v>46241.388888888891</v>
      </c>
      <c r="C398" s="23">
        <v>46211.38958333333</v>
      </c>
      <c r="D398" s="6" t="s">
        <v>24</v>
      </c>
      <c r="E398" s="6"/>
      <c r="F398" s="28">
        <v>46211</v>
      </c>
      <c r="G398" s="27">
        <v>46241</v>
      </c>
      <c r="H398" s="18" t="s">
        <v>170</v>
      </c>
      <c r="I398" s="6" t="s">
        <v>799</v>
      </c>
      <c r="J398" s="192"/>
      <c r="K398" s="169" t="s">
        <v>800</v>
      </c>
      <c r="L398" s="108">
        <v>22456156</v>
      </c>
      <c r="M398" s="37">
        <v>5216182686828</v>
      </c>
      <c r="N398" s="169" t="s">
        <v>37</v>
      </c>
      <c r="O398" s="48">
        <v>15891.49</v>
      </c>
      <c r="P398" s="95">
        <v>4767.03</v>
      </c>
      <c r="Q398" s="13">
        <v>4767.45</v>
      </c>
      <c r="R398" s="13">
        <v>0.42</v>
      </c>
      <c r="S398" s="72">
        <v>46357</v>
      </c>
      <c r="T398" s="6"/>
      <c r="U398" s="164"/>
      <c r="V398" s="1"/>
      <c r="X398" s="101">
        <v>2</v>
      </c>
    </row>
    <row r="399" spans="2:24" hidden="1">
      <c r="B399" s="24">
        <v>46241.37222222222</v>
      </c>
      <c r="C399" s="24">
        <v>46211.39166666667</v>
      </c>
      <c r="D399" s="10" t="s">
        <v>24</v>
      </c>
      <c r="E399" s="10"/>
      <c r="F399" s="28">
        <v>46211</v>
      </c>
      <c r="G399" s="28">
        <v>46210</v>
      </c>
      <c r="H399" s="15" t="s">
        <v>476</v>
      </c>
      <c r="I399" s="10" t="s">
        <v>801</v>
      </c>
      <c r="J399" s="193"/>
      <c r="K399" s="170" t="s">
        <v>802</v>
      </c>
      <c r="L399" s="108">
        <v>22442836</v>
      </c>
      <c r="M399" s="36">
        <v>5219833328426</v>
      </c>
      <c r="N399" s="170" t="s">
        <v>37</v>
      </c>
      <c r="O399" s="49">
        <v>5500.02</v>
      </c>
      <c r="P399" s="96">
        <v>1227.94</v>
      </c>
      <c r="Q399" s="12">
        <v>1650.01</v>
      </c>
      <c r="R399" s="12">
        <v>99.1</v>
      </c>
      <c r="S399" s="73">
        <v>46235</v>
      </c>
      <c r="T399" s="10"/>
      <c r="U399" s="97"/>
      <c r="V399" s="1"/>
      <c r="X399" s="101">
        <v>2</v>
      </c>
    </row>
    <row r="400" spans="2:24" hidden="1">
      <c r="B400" s="23">
        <v>46241.395138888889</v>
      </c>
      <c r="C400" s="23">
        <v>46211.395833333336</v>
      </c>
      <c r="D400" s="6" t="s">
        <v>24</v>
      </c>
      <c r="E400" s="6"/>
      <c r="F400" s="28">
        <v>46211</v>
      </c>
      <c r="G400" s="27">
        <v>46241</v>
      </c>
      <c r="H400" s="18" t="s">
        <v>71</v>
      </c>
      <c r="I400" s="6" t="s">
        <v>803</v>
      </c>
      <c r="J400" s="192"/>
      <c r="K400" s="169" t="s">
        <v>804</v>
      </c>
      <c r="L400" s="107">
        <v>22458368</v>
      </c>
      <c r="M400" s="37">
        <v>5217711511183</v>
      </c>
      <c r="N400" s="169" t="s">
        <v>74</v>
      </c>
      <c r="O400" s="48"/>
      <c r="P400" s="95"/>
      <c r="Q400" s="13">
        <v>0</v>
      </c>
      <c r="R400" s="13">
        <v>0</v>
      </c>
      <c r="S400" s="72"/>
      <c r="T400" s="6"/>
      <c r="U400" s="164"/>
      <c r="V400" s="1"/>
      <c r="X400" s="101">
        <v>1</v>
      </c>
    </row>
    <row r="401" spans="2:24" hidden="1">
      <c r="B401" s="24">
        <v>46241.4</v>
      </c>
      <c r="C401" s="24">
        <v>46211.4</v>
      </c>
      <c r="D401" s="10" t="s">
        <v>24</v>
      </c>
      <c r="E401" s="10"/>
      <c r="F401" s="28">
        <v>46211</v>
      </c>
      <c r="G401" s="28">
        <v>46241</v>
      </c>
      <c r="H401" s="20" t="s">
        <v>71</v>
      </c>
      <c r="I401" s="10" t="s">
        <v>805</v>
      </c>
      <c r="J401" s="193"/>
      <c r="K401" s="170" t="s">
        <v>806</v>
      </c>
      <c r="L401" s="108">
        <v>22456788</v>
      </c>
      <c r="M401" s="36">
        <v>5218335343429</v>
      </c>
      <c r="N401" s="170" t="s">
        <v>37</v>
      </c>
      <c r="O401" s="49">
        <v>4556.6000000000004</v>
      </c>
      <c r="P401" s="96">
        <v>365.63</v>
      </c>
      <c r="Q401" s="12">
        <v>1366.98</v>
      </c>
      <c r="R401" s="12">
        <v>17.989999999999998</v>
      </c>
      <c r="S401" s="73">
        <v>46755</v>
      </c>
      <c r="T401" s="10"/>
      <c r="U401" s="97"/>
      <c r="V401" s="1"/>
      <c r="X401" s="101">
        <v>2</v>
      </c>
    </row>
    <row r="402" spans="2:24" hidden="1">
      <c r="B402" s="23">
        <v>46241.392361111109</v>
      </c>
      <c r="C402" s="23">
        <v>46211.401388888888</v>
      </c>
      <c r="D402" s="6" t="s">
        <v>24</v>
      </c>
      <c r="E402" s="6"/>
      <c r="F402" s="28">
        <v>46211</v>
      </c>
      <c r="G402" s="27">
        <v>46241</v>
      </c>
      <c r="H402" s="160" t="s">
        <v>476</v>
      </c>
      <c r="I402" s="6" t="s">
        <v>807</v>
      </c>
      <c r="J402" s="192">
        <v>15816103186</v>
      </c>
      <c r="K402" s="169" t="s">
        <v>808</v>
      </c>
      <c r="L402" s="107">
        <v>22456412</v>
      </c>
      <c r="M402" s="37">
        <v>5217773776168</v>
      </c>
      <c r="N402" s="169" t="s">
        <v>263</v>
      </c>
      <c r="O402" s="48">
        <v>20716.04</v>
      </c>
      <c r="P402" s="95">
        <v>5750.57</v>
      </c>
      <c r="Q402" s="13">
        <v>6214.81</v>
      </c>
      <c r="R402" s="22">
        <v>464.24</v>
      </c>
      <c r="S402" s="72">
        <v>46027</v>
      </c>
      <c r="T402" s="6" t="s">
        <v>178</v>
      </c>
      <c r="U402" s="164"/>
      <c r="V402" s="1"/>
      <c r="X402" s="101">
        <v>2</v>
      </c>
    </row>
    <row r="403" spans="2:24" hidden="1">
      <c r="B403" s="24">
        <v>46241.401388888888</v>
      </c>
      <c r="C403" s="24">
        <v>46211.402083333334</v>
      </c>
      <c r="D403" s="10" t="s">
        <v>24</v>
      </c>
      <c r="E403" s="10"/>
      <c r="F403" s="28">
        <v>46211</v>
      </c>
      <c r="G403" s="28">
        <v>46210</v>
      </c>
      <c r="H403" s="20" t="s">
        <v>71</v>
      </c>
      <c r="I403" s="10" t="s">
        <v>809</v>
      </c>
      <c r="J403" s="193"/>
      <c r="K403" s="170" t="s">
        <v>810</v>
      </c>
      <c r="L403" s="108">
        <v>22444766</v>
      </c>
      <c r="M403" s="36">
        <v>5215517045666</v>
      </c>
      <c r="N403" s="170" t="s">
        <v>37</v>
      </c>
      <c r="O403" s="49">
        <v>9760.32</v>
      </c>
      <c r="P403" s="96">
        <v>2820</v>
      </c>
      <c r="Q403" s="12">
        <v>2928.1</v>
      </c>
      <c r="R403" s="12">
        <v>108.1</v>
      </c>
      <c r="S403" s="73">
        <v>46753</v>
      </c>
      <c r="T403" s="10"/>
      <c r="U403" s="97"/>
      <c r="V403" s="1"/>
      <c r="X403" s="101">
        <v>2</v>
      </c>
    </row>
    <row r="404" spans="2:24" hidden="1">
      <c r="B404" s="23">
        <v>46241.397222222222</v>
      </c>
      <c r="C404" s="23">
        <v>46211.404166666667</v>
      </c>
      <c r="D404" s="6" t="s">
        <v>24</v>
      </c>
      <c r="E404" s="6"/>
      <c r="F404" s="28">
        <v>46211</v>
      </c>
      <c r="G404" s="27">
        <v>46210</v>
      </c>
      <c r="H404" s="6" t="s">
        <v>160</v>
      </c>
      <c r="I404" s="6" t="s">
        <v>811</v>
      </c>
      <c r="J404" s="192">
        <v>24796213676</v>
      </c>
      <c r="K404" s="169" t="s">
        <v>812</v>
      </c>
      <c r="L404" s="108">
        <v>22437688</v>
      </c>
      <c r="M404" s="37">
        <v>5216622401467</v>
      </c>
      <c r="N404" s="169" t="s">
        <v>37</v>
      </c>
      <c r="O404" s="48">
        <v>8784.2999999999993</v>
      </c>
      <c r="P404" s="95">
        <v>2629.15</v>
      </c>
      <c r="Q404" s="13">
        <v>2635.29</v>
      </c>
      <c r="R404" s="13">
        <v>6.14</v>
      </c>
      <c r="S404" s="72">
        <v>46754</v>
      </c>
      <c r="T404" s="6"/>
      <c r="U404" s="164"/>
      <c r="V404" s="1"/>
      <c r="X404" s="101">
        <v>2</v>
      </c>
    </row>
    <row r="405" spans="2:24" hidden="1">
      <c r="B405" s="24">
        <v>46241.396527777775</v>
      </c>
      <c r="C405" s="24">
        <v>46211.405555555553</v>
      </c>
      <c r="D405" s="10" t="s">
        <v>24</v>
      </c>
      <c r="E405" s="10"/>
      <c r="F405" s="28">
        <v>46211</v>
      </c>
      <c r="G405" s="28" t="s">
        <v>45</v>
      </c>
      <c r="H405" s="10" t="s">
        <v>78</v>
      </c>
      <c r="I405" s="10" t="s">
        <v>813</v>
      </c>
      <c r="J405" s="193">
        <v>16806017766</v>
      </c>
      <c r="K405" s="170" t="s">
        <v>814</v>
      </c>
      <c r="L405" s="108">
        <v>22148420</v>
      </c>
      <c r="M405" s="36">
        <v>5217296102216</v>
      </c>
      <c r="N405" s="170" t="s">
        <v>37</v>
      </c>
      <c r="O405" s="47">
        <v>15743.9</v>
      </c>
      <c r="P405" s="94">
        <v>4555.05</v>
      </c>
      <c r="Q405" s="12">
        <v>4723.17</v>
      </c>
      <c r="R405" s="12">
        <v>168.12</v>
      </c>
      <c r="S405" s="73">
        <v>46389</v>
      </c>
      <c r="T405" s="10"/>
      <c r="U405" s="97"/>
      <c r="V405" s="1"/>
      <c r="X405" s="101">
        <v>2</v>
      </c>
    </row>
    <row r="406" spans="2:24" hidden="1">
      <c r="B406" s="23">
        <v>46241.401388888888</v>
      </c>
      <c r="C406" s="23">
        <v>46211.415277777778</v>
      </c>
      <c r="D406" s="6" t="s">
        <v>24</v>
      </c>
      <c r="E406" s="6"/>
      <c r="F406" s="28">
        <v>46211</v>
      </c>
      <c r="G406" s="27">
        <v>46210</v>
      </c>
      <c r="H406" s="160" t="s">
        <v>476</v>
      </c>
      <c r="I406" s="6" t="s">
        <v>815</v>
      </c>
      <c r="J406" s="192">
        <v>34724900740</v>
      </c>
      <c r="K406" s="169" t="s">
        <v>816</v>
      </c>
      <c r="L406" s="107">
        <v>22443916</v>
      </c>
      <c r="M406" s="37">
        <v>5214494021048</v>
      </c>
      <c r="N406" s="169" t="s">
        <v>28</v>
      </c>
      <c r="O406" s="48">
        <v>9572.89</v>
      </c>
      <c r="P406" s="95"/>
      <c r="Q406" s="13">
        <v>2871.87</v>
      </c>
      <c r="R406" s="9">
        <v>2871.87</v>
      </c>
      <c r="S406" s="72"/>
      <c r="T406" s="6"/>
      <c r="U406" s="164"/>
      <c r="V406" s="1"/>
      <c r="X406" s="101">
        <v>1</v>
      </c>
    </row>
    <row r="407" spans="2:24" hidden="1">
      <c r="B407" s="24">
        <v>46241.439583333333</v>
      </c>
      <c r="C407" s="24">
        <v>46211.44027777778</v>
      </c>
      <c r="D407" s="10" t="s">
        <v>24</v>
      </c>
      <c r="E407" s="10"/>
      <c r="F407" s="28">
        <v>46211</v>
      </c>
      <c r="G407" s="28">
        <v>46241</v>
      </c>
      <c r="H407" s="10" t="s">
        <v>90</v>
      </c>
      <c r="I407" s="10"/>
      <c r="J407" s="193">
        <v>32783800686</v>
      </c>
      <c r="K407" s="170"/>
      <c r="L407" s="111">
        <v>1</v>
      </c>
      <c r="M407" s="36">
        <v>528443274846</v>
      </c>
      <c r="N407" s="170" t="s">
        <v>130</v>
      </c>
      <c r="O407" s="47">
        <v>4554.84</v>
      </c>
      <c r="P407" s="94">
        <v>654.4</v>
      </c>
      <c r="Q407" s="12">
        <v>1366.45</v>
      </c>
      <c r="R407" s="12">
        <v>-272.54000000000002</v>
      </c>
      <c r="S407" s="73">
        <v>45658</v>
      </c>
      <c r="T407" s="10"/>
      <c r="U407" s="97"/>
      <c r="V407" s="1"/>
      <c r="X407" s="101">
        <v>2</v>
      </c>
    </row>
    <row r="408" spans="2:24" hidden="1">
      <c r="B408" s="23">
        <v>46241.447222222225</v>
      </c>
      <c r="C408" s="23">
        <v>46211.447222222225</v>
      </c>
      <c r="D408" s="6" t="s">
        <v>24</v>
      </c>
      <c r="E408" s="6"/>
      <c r="F408" s="28">
        <v>46211</v>
      </c>
      <c r="G408" s="27">
        <v>46241</v>
      </c>
      <c r="H408" s="18" t="s">
        <v>71</v>
      </c>
      <c r="I408" s="6" t="s">
        <v>817</v>
      </c>
      <c r="J408" s="192"/>
      <c r="K408" s="169" t="s">
        <v>818</v>
      </c>
      <c r="L408" s="108">
        <v>22459420</v>
      </c>
      <c r="M408" s="37">
        <v>5218131249939</v>
      </c>
      <c r="N408" s="169" t="s">
        <v>37</v>
      </c>
      <c r="O408" s="46">
        <v>5046.1899999999996</v>
      </c>
      <c r="P408" s="93">
        <v>842</v>
      </c>
      <c r="Q408" s="13">
        <v>1513.86</v>
      </c>
      <c r="R408" s="13">
        <v>31.21</v>
      </c>
      <c r="S408" s="72">
        <v>46391</v>
      </c>
      <c r="T408" s="6"/>
      <c r="U408" s="164"/>
      <c r="V408" s="1"/>
      <c r="X408" s="101">
        <v>2</v>
      </c>
    </row>
    <row r="409" spans="2:24" hidden="1">
      <c r="B409" s="24">
        <v>46241.465277777781</v>
      </c>
      <c r="C409" s="24">
        <v>46211.466666666667</v>
      </c>
      <c r="D409" s="10" t="s">
        <v>24</v>
      </c>
      <c r="E409" s="10"/>
      <c r="F409" s="28">
        <v>46211</v>
      </c>
      <c r="G409" s="28">
        <v>46241</v>
      </c>
      <c r="H409" s="160" t="s">
        <v>107</v>
      </c>
      <c r="I409" s="10" t="s">
        <v>819</v>
      </c>
      <c r="J409" s="193"/>
      <c r="K409" s="170" t="s">
        <v>820</v>
      </c>
      <c r="L409" s="108">
        <v>22455460</v>
      </c>
      <c r="M409" s="36">
        <v>5215631491841</v>
      </c>
      <c r="N409" s="170" t="s">
        <v>28</v>
      </c>
      <c r="O409" s="47">
        <v>10569.39</v>
      </c>
      <c r="P409" s="94"/>
      <c r="Q409" s="12">
        <v>3170.82</v>
      </c>
      <c r="R409" s="14">
        <v>3170.82</v>
      </c>
      <c r="S409" s="73"/>
      <c r="T409" s="10"/>
      <c r="U409" s="97"/>
      <c r="V409" s="1"/>
      <c r="X409" s="101">
        <v>1</v>
      </c>
    </row>
    <row r="410" spans="2:24" hidden="1">
      <c r="B410" s="23">
        <v>46241.462500000001</v>
      </c>
      <c r="C410" s="23">
        <v>46211.468055555553</v>
      </c>
      <c r="D410" s="6" t="s">
        <v>24</v>
      </c>
      <c r="E410" s="6"/>
      <c r="F410" s="28">
        <v>46211</v>
      </c>
      <c r="G410" s="27">
        <v>46210</v>
      </c>
      <c r="H410" s="6" t="s">
        <v>68</v>
      </c>
      <c r="I410" s="6" t="s">
        <v>821</v>
      </c>
      <c r="J410" s="192"/>
      <c r="K410" s="169" t="s">
        <v>822</v>
      </c>
      <c r="L410" s="107">
        <v>22438044</v>
      </c>
      <c r="M410" s="37">
        <v>5216143653700</v>
      </c>
      <c r="N410" s="169" t="s">
        <v>32</v>
      </c>
      <c r="O410" s="46">
        <v>4342.43</v>
      </c>
      <c r="P410" s="93">
        <v>848</v>
      </c>
      <c r="Q410" s="13">
        <v>1302.73</v>
      </c>
      <c r="R410" s="13">
        <v>-678.55</v>
      </c>
      <c r="S410" s="72"/>
      <c r="T410" s="6"/>
      <c r="U410" s="164"/>
      <c r="V410" s="1"/>
      <c r="X410" s="101">
        <v>1</v>
      </c>
    </row>
    <row r="411" spans="2:24" hidden="1">
      <c r="B411" s="24">
        <v>46241.456944444442</v>
      </c>
      <c r="C411" s="24">
        <v>46211.46875</v>
      </c>
      <c r="D411" s="10" t="s">
        <v>24</v>
      </c>
      <c r="E411" s="10"/>
      <c r="F411" s="28">
        <v>46211</v>
      </c>
      <c r="G411" s="28">
        <v>46210</v>
      </c>
      <c r="H411" s="10" t="s">
        <v>54</v>
      </c>
      <c r="I411" s="10" t="s">
        <v>823</v>
      </c>
      <c r="J411" s="193">
        <v>56897214013</v>
      </c>
      <c r="K411" s="170" t="s">
        <v>824</v>
      </c>
      <c r="L411" s="108">
        <v>22437112</v>
      </c>
      <c r="M411" s="36">
        <v>5213321674246</v>
      </c>
      <c r="N411" s="170" t="s">
        <v>32</v>
      </c>
      <c r="O411" s="49">
        <v>4051.79</v>
      </c>
      <c r="P411" s="96">
        <v>347.34</v>
      </c>
      <c r="Q411" s="12">
        <v>1215.54</v>
      </c>
      <c r="R411" s="12">
        <v>-347.34</v>
      </c>
      <c r="S411" s="73"/>
      <c r="T411" s="10"/>
      <c r="U411" s="97"/>
      <c r="V411" s="1"/>
      <c r="X411" s="101">
        <v>1</v>
      </c>
    </row>
    <row r="412" spans="2:24" hidden="1">
      <c r="B412" s="23">
        <v>46241.47152777778</v>
      </c>
      <c r="C412" s="23">
        <v>46211.473611111112</v>
      </c>
      <c r="D412" s="6" t="s">
        <v>24</v>
      </c>
      <c r="E412" s="6"/>
      <c r="F412" s="28">
        <v>46211</v>
      </c>
      <c r="G412" s="27">
        <v>46241</v>
      </c>
      <c r="H412" s="7" t="s">
        <v>107</v>
      </c>
      <c r="I412" s="6" t="s">
        <v>825</v>
      </c>
      <c r="J412" s="192"/>
      <c r="K412" s="169" t="s">
        <v>826</v>
      </c>
      <c r="L412" s="107">
        <v>22461212</v>
      </c>
      <c r="M412" s="37">
        <v>5214493947785</v>
      </c>
      <c r="N412" s="169" t="s">
        <v>32</v>
      </c>
      <c r="O412" s="46">
        <v>2614.4299999999998</v>
      </c>
      <c r="P412" s="93">
        <v>653</v>
      </c>
      <c r="Q412" s="13">
        <v>784.33</v>
      </c>
      <c r="R412" s="13">
        <v>-653</v>
      </c>
      <c r="S412" s="72"/>
      <c r="T412" s="6"/>
      <c r="U412" s="164"/>
      <c r="V412" s="1"/>
      <c r="X412" s="101">
        <v>1</v>
      </c>
    </row>
    <row r="413" spans="2:24" hidden="1">
      <c r="B413" s="24">
        <v>46241.474305555559</v>
      </c>
      <c r="C413" s="24">
        <v>46211.477777777778</v>
      </c>
      <c r="D413" s="10" t="s">
        <v>24</v>
      </c>
      <c r="E413" s="10"/>
      <c r="F413" s="28">
        <v>46211</v>
      </c>
      <c r="G413" s="28">
        <v>46241</v>
      </c>
      <c r="H413" s="20" t="s">
        <v>170</v>
      </c>
      <c r="I413" s="10" t="s">
        <v>827</v>
      </c>
      <c r="J413" s="193">
        <v>3978242794</v>
      </c>
      <c r="K413" s="170"/>
      <c r="L413" s="108">
        <v>22462380</v>
      </c>
      <c r="M413" s="36">
        <v>5218123636792</v>
      </c>
      <c r="N413" s="170" t="s">
        <v>98</v>
      </c>
      <c r="O413" s="47"/>
      <c r="P413" s="94"/>
      <c r="Q413" s="12">
        <v>0</v>
      </c>
      <c r="R413" s="12">
        <v>0</v>
      </c>
      <c r="S413" s="73"/>
      <c r="T413" s="10"/>
      <c r="U413" s="97"/>
      <c r="V413" s="1"/>
      <c r="X413" s="101">
        <v>0</v>
      </c>
    </row>
    <row r="414" spans="2:24" hidden="1">
      <c r="B414" s="23">
        <v>46241.415277777778</v>
      </c>
      <c r="C414" s="23">
        <v>46211.479861111111</v>
      </c>
      <c r="D414" s="6" t="s">
        <v>24</v>
      </c>
      <c r="E414" s="6"/>
      <c r="F414" s="28">
        <v>46211</v>
      </c>
      <c r="G414" s="27">
        <v>46241</v>
      </c>
      <c r="H414" s="160" t="s">
        <v>476</v>
      </c>
      <c r="I414" s="6" t="s">
        <v>828</v>
      </c>
      <c r="J414" s="192"/>
      <c r="K414" s="169" t="s">
        <v>829</v>
      </c>
      <c r="L414" s="107">
        <v>22460000</v>
      </c>
      <c r="M414" s="37">
        <v>5219601485916</v>
      </c>
      <c r="N414" s="169" t="s">
        <v>28</v>
      </c>
      <c r="O414" s="46">
        <v>9760.32</v>
      </c>
      <c r="P414" s="93"/>
      <c r="Q414" s="13">
        <v>2928.1</v>
      </c>
      <c r="R414" s="9">
        <v>2928.1</v>
      </c>
      <c r="S414" s="72"/>
      <c r="T414" s="6"/>
      <c r="U414" s="164"/>
      <c r="V414" s="1"/>
      <c r="X414" s="101">
        <v>1</v>
      </c>
    </row>
    <row r="415" spans="2:24" hidden="1">
      <c r="B415" s="24">
        <v>46241.477777777778</v>
      </c>
      <c r="C415" s="24">
        <v>46211.479861111111</v>
      </c>
      <c r="D415" s="10" t="s">
        <v>24</v>
      </c>
      <c r="E415" s="10"/>
      <c r="F415" s="28">
        <v>46211</v>
      </c>
      <c r="G415" s="28">
        <v>46241</v>
      </c>
      <c r="H415" s="15" t="s">
        <v>26</v>
      </c>
      <c r="I415" s="10" t="s">
        <v>830</v>
      </c>
      <c r="J415" s="193">
        <v>41916808193</v>
      </c>
      <c r="K415" s="170"/>
      <c r="L415" s="108">
        <v>22460998</v>
      </c>
      <c r="M415" s="36">
        <v>5214881206575</v>
      </c>
      <c r="N415" s="170" t="s">
        <v>37</v>
      </c>
      <c r="O415" s="47">
        <v>5642.22</v>
      </c>
      <c r="P415" s="94">
        <v>1359.71</v>
      </c>
      <c r="Q415" s="12">
        <v>1692.67</v>
      </c>
      <c r="R415" s="12">
        <v>109.53</v>
      </c>
      <c r="S415" s="73">
        <v>46266</v>
      </c>
      <c r="T415" s="10"/>
      <c r="U415" s="97"/>
      <c r="V415" s="1"/>
      <c r="X415" s="101">
        <v>2</v>
      </c>
    </row>
    <row r="416" spans="2:24" hidden="1">
      <c r="B416" s="23">
        <v>46241.468055555553</v>
      </c>
      <c r="C416" s="23">
        <v>46211.488888888889</v>
      </c>
      <c r="D416" s="6" t="s">
        <v>24</v>
      </c>
      <c r="E416" s="6"/>
      <c r="F416" s="28">
        <v>46211</v>
      </c>
      <c r="G416" s="27">
        <v>46210</v>
      </c>
      <c r="H416" s="10" t="s">
        <v>68</v>
      </c>
      <c r="I416" s="6" t="s">
        <v>831</v>
      </c>
      <c r="J416" s="192">
        <v>32806118637</v>
      </c>
      <c r="K416" s="169" t="s">
        <v>832</v>
      </c>
      <c r="L416" s="107">
        <v>22431386</v>
      </c>
      <c r="M416" s="37">
        <v>5218661128479</v>
      </c>
      <c r="N416" s="169" t="s">
        <v>28</v>
      </c>
      <c r="O416" s="46">
        <v>28426.720000000001</v>
      </c>
      <c r="P416" s="93"/>
      <c r="Q416" s="13">
        <v>8528.02</v>
      </c>
      <c r="R416" s="9">
        <v>8528.02</v>
      </c>
      <c r="S416" s="72"/>
      <c r="T416" s="6"/>
      <c r="U416" s="164"/>
      <c r="V416" s="1"/>
      <c r="X416" s="101">
        <v>1</v>
      </c>
    </row>
    <row r="417" spans="2:24" hidden="1">
      <c r="B417" s="24">
        <v>46241.524305555555</v>
      </c>
      <c r="C417" s="24">
        <v>46211.531944444447</v>
      </c>
      <c r="D417" s="10" t="s">
        <v>24</v>
      </c>
      <c r="E417" s="10"/>
      <c r="F417" s="28">
        <v>46211</v>
      </c>
      <c r="G417" s="28">
        <v>46060</v>
      </c>
      <c r="H417" s="10" t="s">
        <v>39</v>
      </c>
      <c r="I417" s="10" t="s">
        <v>833</v>
      </c>
      <c r="J417" s="193">
        <v>53885503994</v>
      </c>
      <c r="K417" s="170" t="s">
        <v>834</v>
      </c>
      <c r="L417" s="108">
        <v>22254598</v>
      </c>
      <c r="M417" s="36">
        <v>22254598</v>
      </c>
      <c r="N417" s="170" t="s">
        <v>32</v>
      </c>
      <c r="O417" s="47">
        <v>3882.85</v>
      </c>
      <c r="P417" s="94"/>
      <c r="Q417" s="12">
        <v>1164.8599999999999</v>
      </c>
      <c r="R417" s="12">
        <v>0</v>
      </c>
      <c r="S417" s="73"/>
      <c r="T417" s="10"/>
      <c r="U417" s="97"/>
      <c r="V417" s="1"/>
      <c r="X417" s="101">
        <v>1</v>
      </c>
    </row>
    <row r="418" spans="2:24" hidden="1">
      <c r="B418" s="23">
        <v>46241.540972222225</v>
      </c>
      <c r="C418" s="23">
        <v>46211.543055555558</v>
      </c>
      <c r="D418" s="6" t="s">
        <v>24</v>
      </c>
      <c r="E418" s="6"/>
      <c r="F418" s="28">
        <v>46211</v>
      </c>
      <c r="G418" s="27">
        <v>46210</v>
      </c>
      <c r="H418" s="10" t="s">
        <v>78</v>
      </c>
      <c r="I418" s="6" t="s">
        <v>835</v>
      </c>
      <c r="J418" s="192"/>
      <c r="K418" s="169" t="s">
        <v>836</v>
      </c>
      <c r="L418" s="107">
        <v>22427464</v>
      </c>
      <c r="M418" s="37">
        <v>5217351747949</v>
      </c>
      <c r="N418" s="169" t="s">
        <v>47</v>
      </c>
      <c r="O418" s="48">
        <v>15125.95</v>
      </c>
      <c r="P418" s="95">
        <v>4199.5</v>
      </c>
      <c r="Q418" s="13">
        <v>4537.79</v>
      </c>
      <c r="R418" s="22">
        <v>338.29</v>
      </c>
      <c r="S418" s="72">
        <v>46032</v>
      </c>
      <c r="T418" s="6"/>
      <c r="U418" s="164"/>
      <c r="V418" s="1"/>
      <c r="X418" s="101">
        <v>2</v>
      </c>
    </row>
    <row r="419" spans="2:24" hidden="1">
      <c r="B419" s="24">
        <v>46241.540277777778</v>
      </c>
      <c r="C419" s="24">
        <v>46211.543749999997</v>
      </c>
      <c r="D419" s="10" t="s">
        <v>24</v>
      </c>
      <c r="E419" s="10"/>
      <c r="F419" s="28">
        <v>46211</v>
      </c>
      <c r="G419" s="28">
        <v>46210</v>
      </c>
      <c r="H419" s="10" t="s">
        <v>127</v>
      </c>
      <c r="I419" s="10" t="s">
        <v>837</v>
      </c>
      <c r="J419" s="193"/>
      <c r="K419" s="170" t="s">
        <v>838</v>
      </c>
      <c r="L419" s="108">
        <v>22430898</v>
      </c>
      <c r="M419" s="36">
        <v>5215582179697</v>
      </c>
      <c r="N419" s="170" t="s">
        <v>263</v>
      </c>
      <c r="O419" s="49">
        <v>26061.71</v>
      </c>
      <c r="P419" s="96">
        <v>6896.65</v>
      </c>
      <c r="Q419" s="12">
        <v>7818.51</v>
      </c>
      <c r="R419" s="16">
        <v>921.86</v>
      </c>
      <c r="S419" s="73">
        <v>46394</v>
      </c>
      <c r="T419" s="10"/>
      <c r="U419" s="97"/>
      <c r="V419" s="1"/>
      <c r="X419" s="101">
        <v>2</v>
      </c>
    </row>
    <row r="420" spans="2:24" hidden="1">
      <c r="B420" s="23">
        <v>46241.543055555558</v>
      </c>
      <c r="C420" s="23">
        <v>46211.548611111109</v>
      </c>
      <c r="D420" s="6" t="s">
        <v>24</v>
      </c>
      <c r="E420" s="6"/>
      <c r="F420" s="28">
        <v>46211</v>
      </c>
      <c r="G420" s="27">
        <v>46029</v>
      </c>
      <c r="H420" s="6" t="s">
        <v>127</v>
      </c>
      <c r="I420" s="6" t="s">
        <v>839</v>
      </c>
      <c r="J420" s="192"/>
      <c r="K420" s="169" t="s">
        <v>840</v>
      </c>
      <c r="L420" s="108">
        <v>22176974</v>
      </c>
      <c r="M420" s="37">
        <v>5218181808069</v>
      </c>
      <c r="N420" s="169" t="s">
        <v>37</v>
      </c>
      <c r="O420" s="48">
        <v>6444.37</v>
      </c>
      <c r="P420" s="95">
        <v>1930.76</v>
      </c>
      <c r="Q420" s="13">
        <v>1933.31</v>
      </c>
      <c r="R420" s="13">
        <v>2.5499999999999998</v>
      </c>
      <c r="S420" s="72">
        <v>46759</v>
      </c>
      <c r="T420" s="6"/>
      <c r="U420" s="164"/>
      <c r="V420" s="1"/>
      <c r="X420" s="101">
        <v>2</v>
      </c>
    </row>
    <row r="421" spans="2:24" hidden="1">
      <c r="B421" s="24">
        <v>46241.568749999999</v>
      </c>
      <c r="C421" s="24">
        <v>46211.571527777778</v>
      </c>
      <c r="D421" s="10" t="s">
        <v>24</v>
      </c>
      <c r="E421" s="10"/>
      <c r="F421" s="28">
        <v>46211</v>
      </c>
      <c r="G421" s="28">
        <v>46241</v>
      </c>
      <c r="H421" s="160" t="s">
        <v>107</v>
      </c>
      <c r="I421" s="10" t="s">
        <v>841</v>
      </c>
      <c r="J421" s="193">
        <v>83927627824</v>
      </c>
      <c r="K421" s="170" t="s">
        <v>842</v>
      </c>
      <c r="L421" s="108">
        <v>22461072</v>
      </c>
      <c r="M421" s="36">
        <v>5219932773198</v>
      </c>
      <c r="N421" s="170" t="s">
        <v>106</v>
      </c>
      <c r="O421" s="47">
        <v>6121.36</v>
      </c>
      <c r="P421" s="94">
        <v>2853.42</v>
      </c>
      <c r="Q421" s="12">
        <v>1836.41</v>
      </c>
      <c r="R421" s="12">
        <v>-1017.01</v>
      </c>
      <c r="S421" s="73">
        <v>46029</v>
      </c>
      <c r="T421" s="10"/>
      <c r="U421" s="97"/>
      <c r="V421" s="1"/>
      <c r="X421" s="101">
        <v>2</v>
      </c>
    </row>
    <row r="422" spans="2:24" hidden="1">
      <c r="B422" s="23">
        <v>46241.579861111109</v>
      </c>
      <c r="C422" s="23">
        <v>46211.581944444442</v>
      </c>
      <c r="D422" s="6" t="s">
        <v>24</v>
      </c>
      <c r="E422" s="6"/>
      <c r="F422" s="28">
        <v>46211</v>
      </c>
      <c r="G422" s="27">
        <v>46241</v>
      </c>
      <c r="H422" s="18" t="s">
        <v>170</v>
      </c>
      <c r="I422" s="6" t="s">
        <v>843</v>
      </c>
      <c r="J422" s="192">
        <v>43947426367</v>
      </c>
      <c r="K422" s="169" t="s">
        <v>844</v>
      </c>
      <c r="L422" s="108">
        <v>22469768</v>
      </c>
      <c r="M422" s="37">
        <v>5218126142866</v>
      </c>
      <c r="N422" s="169" t="s">
        <v>37</v>
      </c>
      <c r="O422" s="48">
        <v>5055.87</v>
      </c>
      <c r="P422" s="95">
        <v>1253.93</v>
      </c>
      <c r="Q422" s="13">
        <v>1516.76</v>
      </c>
      <c r="R422" s="13">
        <v>-371.04</v>
      </c>
      <c r="S422" s="72">
        <v>46398</v>
      </c>
      <c r="T422" s="6"/>
      <c r="U422" s="164"/>
      <c r="V422" s="1"/>
      <c r="X422" s="101">
        <v>2</v>
      </c>
    </row>
    <row r="423" spans="2:24" hidden="1">
      <c r="B423" s="24">
        <v>46241.573611111111</v>
      </c>
      <c r="C423" s="24">
        <v>46211.584027777775</v>
      </c>
      <c r="D423" s="10" t="s">
        <v>24</v>
      </c>
      <c r="E423" s="10"/>
      <c r="F423" s="28">
        <v>46211</v>
      </c>
      <c r="G423" s="28">
        <v>46210</v>
      </c>
      <c r="H423" s="20" t="s">
        <v>71</v>
      </c>
      <c r="I423" s="10" t="s">
        <v>845</v>
      </c>
      <c r="J423" s="193"/>
      <c r="K423" s="170" t="s">
        <v>846</v>
      </c>
      <c r="L423" s="108">
        <v>22445204</v>
      </c>
      <c r="M423" s="36">
        <v>5214681371214</v>
      </c>
      <c r="N423" s="170" t="s">
        <v>37</v>
      </c>
      <c r="O423" s="49">
        <v>11029.03</v>
      </c>
      <c r="P423" s="96">
        <v>3308.71</v>
      </c>
      <c r="Q423" s="12">
        <v>3308.71</v>
      </c>
      <c r="R423" s="12">
        <v>0</v>
      </c>
      <c r="S423" s="73">
        <v>46757</v>
      </c>
      <c r="T423" s="10"/>
      <c r="U423" s="97"/>
      <c r="V423" s="1"/>
      <c r="X423" s="101">
        <v>2</v>
      </c>
    </row>
    <row r="424" spans="2:24" hidden="1">
      <c r="B424" s="23">
        <v>46241.584027777775</v>
      </c>
      <c r="C424" s="23">
        <v>46211.584027777775</v>
      </c>
      <c r="D424" s="6" t="s">
        <v>24</v>
      </c>
      <c r="E424" s="6"/>
      <c r="F424" s="28">
        <v>46211</v>
      </c>
      <c r="G424" s="27">
        <v>46241</v>
      </c>
      <c r="H424" s="7" t="s">
        <v>26</v>
      </c>
      <c r="I424" s="6" t="s">
        <v>847</v>
      </c>
      <c r="J424" s="192">
        <v>4673600904</v>
      </c>
      <c r="K424" s="169"/>
      <c r="L424" s="107">
        <v>22469516</v>
      </c>
      <c r="M424" s="37">
        <v>5213751224279</v>
      </c>
      <c r="N424" s="169" t="s">
        <v>98</v>
      </c>
      <c r="O424" s="48"/>
      <c r="P424" s="95"/>
      <c r="Q424" s="13">
        <v>0</v>
      </c>
      <c r="R424" s="13">
        <v>0</v>
      </c>
      <c r="S424" s="72"/>
      <c r="T424" s="6"/>
      <c r="U424" s="164"/>
      <c r="V424" s="1"/>
      <c r="X424" s="101">
        <v>0</v>
      </c>
    </row>
    <row r="425" spans="2:24" hidden="1">
      <c r="B425" s="24">
        <v>46241.590277777781</v>
      </c>
      <c r="C425" s="24">
        <v>46211.590277777781</v>
      </c>
      <c r="D425" s="10" t="s">
        <v>24</v>
      </c>
      <c r="E425" s="10"/>
      <c r="F425" s="28">
        <v>46211</v>
      </c>
      <c r="G425" s="28">
        <v>46241</v>
      </c>
      <c r="H425" s="20" t="s">
        <v>71</v>
      </c>
      <c r="I425" s="10" t="s">
        <v>848</v>
      </c>
      <c r="J425" s="193"/>
      <c r="K425" s="170" t="s">
        <v>849</v>
      </c>
      <c r="L425" s="108">
        <v>22469260</v>
      </c>
      <c r="M425" s="36">
        <v>5215614199165</v>
      </c>
      <c r="N425" s="170" t="s">
        <v>98</v>
      </c>
      <c r="O425" s="49"/>
      <c r="P425" s="96"/>
      <c r="Q425" s="12">
        <v>0</v>
      </c>
      <c r="R425" s="12">
        <v>0</v>
      </c>
      <c r="S425" s="73"/>
      <c r="T425" s="10"/>
      <c r="U425" s="97"/>
      <c r="V425" s="1"/>
      <c r="X425" s="101">
        <v>0</v>
      </c>
    </row>
    <row r="426" spans="2:24" hidden="1">
      <c r="B426" s="23">
        <v>46241.548611111109</v>
      </c>
      <c r="C426" s="23">
        <v>46211.59375</v>
      </c>
      <c r="D426" s="6" t="s">
        <v>24</v>
      </c>
      <c r="E426" s="6"/>
      <c r="F426" s="28">
        <v>46211</v>
      </c>
      <c r="G426" s="27" t="s">
        <v>165</v>
      </c>
      <c r="H426" s="10" t="s">
        <v>127</v>
      </c>
      <c r="I426" s="6" t="s">
        <v>850</v>
      </c>
      <c r="J426" s="192"/>
      <c r="K426" s="169" t="s">
        <v>851</v>
      </c>
      <c r="L426" s="107">
        <v>22096042</v>
      </c>
      <c r="M426" s="37">
        <v>5216623483682</v>
      </c>
      <c r="N426" s="169" t="s">
        <v>47</v>
      </c>
      <c r="O426" s="48">
        <v>4538.28</v>
      </c>
      <c r="P426" s="95"/>
      <c r="Q426" s="13">
        <v>1361.48</v>
      </c>
      <c r="R426" s="22">
        <v>365.3</v>
      </c>
      <c r="S426" s="72"/>
      <c r="T426" s="6"/>
      <c r="U426" s="164"/>
      <c r="V426" s="1"/>
      <c r="X426" s="101">
        <v>1</v>
      </c>
    </row>
    <row r="427" spans="2:24" hidden="1">
      <c r="B427" s="24">
        <v>46241.592361111114</v>
      </c>
      <c r="C427" s="24">
        <v>46211.59375</v>
      </c>
      <c r="D427" s="10" t="s">
        <v>24</v>
      </c>
      <c r="E427" s="10"/>
      <c r="F427" s="28">
        <v>46211</v>
      </c>
      <c r="G427" s="28">
        <v>46241</v>
      </c>
      <c r="H427" s="15" t="s">
        <v>476</v>
      </c>
      <c r="I427" s="10" t="s">
        <v>852</v>
      </c>
      <c r="J427" s="193"/>
      <c r="K427" s="170" t="s">
        <v>853</v>
      </c>
      <c r="L427" s="108">
        <v>22455008</v>
      </c>
      <c r="M427" s="36">
        <v>5216141181587</v>
      </c>
      <c r="N427" s="170" t="s">
        <v>37</v>
      </c>
      <c r="O427" s="49">
        <v>11266.23</v>
      </c>
      <c r="P427" s="96">
        <v>3258.07</v>
      </c>
      <c r="Q427" s="12">
        <v>3379.87</v>
      </c>
      <c r="R427" s="12">
        <v>121.8</v>
      </c>
      <c r="S427" s="73">
        <v>46395</v>
      </c>
      <c r="T427" s="10"/>
      <c r="U427" s="97"/>
      <c r="V427" s="1"/>
      <c r="X427" s="101">
        <v>2</v>
      </c>
    </row>
    <row r="428" spans="2:24" hidden="1">
      <c r="B428" s="23">
        <v>46241.59652777778</v>
      </c>
      <c r="C428" s="23">
        <v>46211.597916666666</v>
      </c>
      <c r="D428" s="6" t="s">
        <v>24</v>
      </c>
      <c r="E428" s="6"/>
      <c r="F428" s="28">
        <v>46211</v>
      </c>
      <c r="G428" s="27">
        <v>46241</v>
      </c>
      <c r="H428" s="18" t="s">
        <v>170</v>
      </c>
      <c r="I428" s="6" t="s">
        <v>854</v>
      </c>
      <c r="J428" s="192">
        <v>6846213210</v>
      </c>
      <c r="K428" s="169"/>
      <c r="L428" s="108">
        <v>22455676</v>
      </c>
      <c r="M428" s="37">
        <v>5215529184095</v>
      </c>
      <c r="N428" s="169" t="s">
        <v>37</v>
      </c>
      <c r="O428" s="48">
        <v>9081.52</v>
      </c>
      <c r="P428" s="95">
        <v>2625.64</v>
      </c>
      <c r="Q428" s="13">
        <v>2724.46</v>
      </c>
      <c r="R428" s="13">
        <v>98.82</v>
      </c>
      <c r="S428" s="72">
        <v>46389</v>
      </c>
      <c r="T428" s="6"/>
      <c r="U428" s="164"/>
      <c r="V428" s="1"/>
      <c r="X428" s="101">
        <v>2</v>
      </c>
    </row>
    <row r="429" spans="2:24" hidden="1">
      <c r="B429" s="24">
        <v>46241.59652777778</v>
      </c>
      <c r="C429" s="24">
        <v>46211.602083333331</v>
      </c>
      <c r="D429" s="10" t="s">
        <v>24</v>
      </c>
      <c r="E429" s="10"/>
      <c r="F429" s="28">
        <v>46211</v>
      </c>
      <c r="G429" s="28">
        <v>46119</v>
      </c>
      <c r="H429" s="10" t="s">
        <v>78</v>
      </c>
      <c r="I429" s="10" t="s">
        <v>855</v>
      </c>
      <c r="J429" s="193">
        <v>11614411400</v>
      </c>
      <c r="K429" s="170" t="s">
        <v>856</v>
      </c>
      <c r="L429" s="108">
        <v>22283428</v>
      </c>
      <c r="M429" s="36">
        <v>5215524227440</v>
      </c>
      <c r="N429" s="170" t="s">
        <v>130</v>
      </c>
      <c r="O429" s="49">
        <v>6193.88</v>
      </c>
      <c r="P429" s="96">
        <v>1792.04</v>
      </c>
      <c r="Q429" s="12">
        <v>1858.16</v>
      </c>
      <c r="R429" s="12">
        <v>66.12</v>
      </c>
      <c r="S429" s="73">
        <v>45660</v>
      </c>
      <c r="T429" s="10"/>
      <c r="U429" s="97"/>
      <c r="V429" s="1"/>
      <c r="X429" s="101">
        <v>2</v>
      </c>
    </row>
    <row r="430" spans="2:24" hidden="1">
      <c r="B430" s="23">
        <v>46241.601388888892</v>
      </c>
      <c r="C430" s="23">
        <v>46211.602083333331</v>
      </c>
      <c r="D430" s="6" t="s">
        <v>24</v>
      </c>
      <c r="E430" s="6"/>
      <c r="F430" s="28">
        <v>46211</v>
      </c>
      <c r="G430" s="27">
        <v>46241</v>
      </c>
      <c r="H430" s="18" t="s">
        <v>170</v>
      </c>
      <c r="I430" s="6" t="s">
        <v>857</v>
      </c>
      <c r="J430" s="192">
        <v>32988086123</v>
      </c>
      <c r="K430" s="169" t="s">
        <v>858</v>
      </c>
      <c r="L430" s="107">
        <v>22464158</v>
      </c>
      <c r="M430" s="37">
        <v>5218781368573</v>
      </c>
      <c r="N430" s="169" t="s">
        <v>74</v>
      </c>
      <c r="O430" s="48"/>
      <c r="P430" s="95"/>
      <c r="Q430" s="13">
        <v>0</v>
      </c>
      <c r="R430" s="13">
        <v>0</v>
      </c>
      <c r="S430" s="72"/>
      <c r="T430" s="6"/>
      <c r="U430" s="164"/>
      <c r="V430" s="1"/>
      <c r="X430" s="101">
        <v>1</v>
      </c>
    </row>
    <row r="431" spans="2:24" hidden="1">
      <c r="B431" s="24">
        <v>46241.61041666667</v>
      </c>
      <c r="C431" s="24">
        <v>46211.611111111109</v>
      </c>
      <c r="D431" s="10" t="s">
        <v>24</v>
      </c>
      <c r="E431" s="10"/>
      <c r="F431" s="28">
        <v>46211</v>
      </c>
      <c r="G431" s="28">
        <v>46241</v>
      </c>
      <c r="H431" s="20" t="s">
        <v>170</v>
      </c>
      <c r="I431" s="10" t="s">
        <v>859</v>
      </c>
      <c r="J431" s="193">
        <v>7816222405</v>
      </c>
      <c r="K431" s="170"/>
      <c r="L431" s="108">
        <v>22471338</v>
      </c>
      <c r="M431" s="36">
        <v>5215574150718</v>
      </c>
      <c r="N431" s="170" t="s">
        <v>37</v>
      </c>
      <c r="O431" s="49">
        <v>9081.52</v>
      </c>
      <c r="P431" s="96">
        <v>2611.14</v>
      </c>
      <c r="Q431" s="12">
        <v>2724.46</v>
      </c>
      <c r="R431" s="12">
        <v>113.32</v>
      </c>
      <c r="S431" s="73">
        <v>46753</v>
      </c>
      <c r="T431" s="10"/>
      <c r="U431" s="97"/>
      <c r="V431" s="1"/>
      <c r="X431" s="101">
        <v>2</v>
      </c>
    </row>
    <row r="432" spans="2:24" hidden="1">
      <c r="B432" s="23">
        <v>46241.628472222219</v>
      </c>
      <c r="C432" s="23">
        <v>46211.628472222219</v>
      </c>
      <c r="D432" s="6" t="s">
        <v>24</v>
      </c>
      <c r="E432" s="6"/>
      <c r="F432" s="28">
        <v>46211</v>
      </c>
      <c r="G432" s="27" t="s">
        <v>710</v>
      </c>
      <c r="H432" s="6" t="s">
        <v>29</v>
      </c>
      <c r="I432" s="6" t="s">
        <v>860</v>
      </c>
      <c r="J432" s="192">
        <v>15563412814</v>
      </c>
      <c r="K432" s="169" t="s">
        <v>861</v>
      </c>
      <c r="L432" s="107">
        <v>21849748</v>
      </c>
      <c r="M432" s="37">
        <v>5217772058173</v>
      </c>
      <c r="N432" s="169" t="s">
        <v>32</v>
      </c>
      <c r="O432" s="48">
        <v>3599.27</v>
      </c>
      <c r="P432" s="95">
        <v>848</v>
      </c>
      <c r="Q432" s="13">
        <v>1079.78</v>
      </c>
      <c r="R432" s="13">
        <v>-848</v>
      </c>
      <c r="S432" s="72"/>
      <c r="T432" s="6"/>
      <c r="U432" s="164"/>
      <c r="V432" s="1"/>
      <c r="X432" s="101">
        <v>1</v>
      </c>
    </row>
    <row r="433" spans="2:24" hidden="1">
      <c r="B433" s="24">
        <v>46241.453472222223</v>
      </c>
      <c r="C433" s="24">
        <v>46211.636805555558</v>
      </c>
      <c r="D433" s="10" t="s">
        <v>24</v>
      </c>
      <c r="E433" s="10"/>
      <c r="F433" s="28">
        <v>46211</v>
      </c>
      <c r="G433" s="28">
        <v>46241</v>
      </c>
      <c r="H433" s="161" t="s">
        <v>135</v>
      </c>
      <c r="I433" s="10" t="s">
        <v>862</v>
      </c>
      <c r="J433" s="193">
        <v>23896405398</v>
      </c>
      <c r="K433" s="170" t="s">
        <v>863</v>
      </c>
      <c r="L433" s="108">
        <v>21952838</v>
      </c>
      <c r="M433" s="36">
        <v>5216674845599</v>
      </c>
      <c r="N433" s="170" t="s">
        <v>28</v>
      </c>
      <c r="O433" s="49">
        <v>11029.03</v>
      </c>
      <c r="P433" s="96"/>
      <c r="Q433" s="12">
        <v>3308.71</v>
      </c>
      <c r="R433" s="14">
        <v>3308.71</v>
      </c>
      <c r="S433" s="73"/>
      <c r="T433" s="10"/>
      <c r="U433" s="97"/>
      <c r="V433" s="1"/>
      <c r="X433" s="101">
        <v>1</v>
      </c>
    </row>
    <row r="434" spans="2:24" hidden="1">
      <c r="B434" s="23">
        <v>46241.643750000003</v>
      </c>
      <c r="C434" s="23">
        <v>46211.645138888889</v>
      </c>
      <c r="D434" s="6" t="s">
        <v>24</v>
      </c>
      <c r="E434" s="6"/>
      <c r="F434" s="28">
        <v>46211</v>
      </c>
      <c r="G434" s="27">
        <v>46060</v>
      </c>
      <c r="H434" s="18" t="s">
        <v>170</v>
      </c>
      <c r="I434" s="6" t="s">
        <v>864</v>
      </c>
      <c r="J434" s="192">
        <v>1917354878</v>
      </c>
      <c r="K434" s="169" t="s">
        <v>865</v>
      </c>
      <c r="L434" s="107">
        <v>22241722</v>
      </c>
      <c r="M434" s="37">
        <v>5217227604603</v>
      </c>
      <c r="N434" s="169" t="s">
        <v>98</v>
      </c>
      <c r="O434" s="48"/>
      <c r="P434" s="95"/>
      <c r="Q434" s="13">
        <v>0</v>
      </c>
      <c r="R434" s="13">
        <v>0</v>
      </c>
      <c r="S434" s="72"/>
      <c r="T434" s="6"/>
      <c r="U434" s="164"/>
      <c r="V434" s="1"/>
      <c r="X434" s="101">
        <v>0</v>
      </c>
    </row>
    <row r="435" spans="2:24" hidden="1">
      <c r="B435" s="24">
        <v>46241.645833333336</v>
      </c>
      <c r="C435" s="24">
        <v>46211.663194444445</v>
      </c>
      <c r="D435" s="10" t="s">
        <v>24</v>
      </c>
      <c r="E435" s="10"/>
      <c r="F435" s="28">
        <v>46211</v>
      </c>
      <c r="G435" s="28">
        <v>46241</v>
      </c>
      <c r="H435" s="20" t="s">
        <v>170</v>
      </c>
      <c r="I435" s="10" t="s">
        <v>866</v>
      </c>
      <c r="J435" s="193">
        <v>11715009426</v>
      </c>
      <c r="K435" s="170" t="s">
        <v>867</v>
      </c>
      <c r="L435" s="108">
        <v>22470248</v>
      </c>
      <c r="M435" s="36">
        <v>5216641922261</v>
      </c>
      <c r="N435" s="170" t="s">
        <v>32</v>
      </c>
      <c r="O435" s="49">
        <v>3623.38</v>
      </c>
      <c r="P435" s="96">
        <v>848</v>
      </c>
      <c r="Q435" s="12">
        <v>1087.01</v>
      </c>
      <c r="R435" s="12">
        <v>-848</v>
      </c>
      <c r="S435" s="73"/>
      <c r="T435" s="10"/>
      <c r="U435" s="97"/>
      <c r="V435" s="1"/>
      <c r="X435" s="101">
        <v>1</v>
      </c>
    </row>
    <row r="436" spans="2:24" hidden="1">
      <c r="B436" s="23">
        <v>46241.665277777778</v>
      </c>
      <c r="C436" s="23">
        <v>46211.667361111111</v>
      </c>
      <c r="D436" s="6" t="s">
        <v>24</v>
      </c>
      <c r="E436" s="6"/>
      <c r="F436" s="28">
        <v>46211</v>
      </c>
      <c r="G436" s="27" t="s">
        <v>347</v>
      </c>
      <c r="H436" s="10" t="s">
        <v>269</v>
      </c>
      <c r="I436" s="6" t="s">
        <v>868</v>
      </c>
      <c r="J436" s="192"/>
      <c r="K436" s="169" t="s">
        <v>869</v>
      </c>
      <c r="L436" s="107">
        <v>21907488</v>
      </c>
      <c r="M436" s="37">
        <v>5218186537201</v>
      </c>
      <c r="N436" s="169" t="s">
        <v>28</v>
      </c>
      <c r="O436" s="48">
        <v>15283.99</v>
      </c>
      <c r="P436" s="95">
        <v>848</v>
      </c>
      <c r="Q436" s="13">
        <v>4585.2</v>
      </c>
      <c r="R436" s="9">
        <v>3737.2</v>
      </c>
      <c r="S436" s="72"/>
      <c r="T436" s="6"/>
      <c r="U436" s="164"/>
      <c r="V436" s="1"/>
      <c r="X436" s="101">
        <v>1</v>
      </c>
    </row>
    <row r="437" spans="2:24" hidden="1">
      <c r="B437" s="24">
        <v>46241.377083333333</v>
      </c>
      <c r="C437" s="24">
        <v>46211.668055555558</v>
      </c>
      <c r="D437" s="10" t="s">
        <v>24</v>
      </c>
      <c r="E437" s="10"/>
      <c r="F437" s="28">
        <v>46211</v>
      </c>
      <c r="G437" s="28">
        <v>46210</v>
      </c>
      <c r="H437" s="10" t="s">
        <v>124</v>
      </c>
      <c r="I437" s="10" t="s">
        <v>870</v>
      </c>
      <c r="J437" s="193">
        <v>32826521158</v>
      </c>
      <c r="K437" s="170" t="s">
        <v>871</v>
      </c>
      <c r="L437" s="108">
        <v>22424456</v>
      </c>
      <c r="M437" s="36">
        <v>5218442258773</v>
      </c>
      <c r="N437" s="170" t="s">
        <v>32</v>
      </c>
      <c r="O437" s="49">
        <v>2312.9</v>
      </c>
      <c r="P437" s="96"/>
      <c r="Q437" s="12">
        <v>693.87</v>
      </c>
      <c r="R437" s="12">
        <v>0</v>
      </c>
      <c r="S437" s="73"/>
      <c r="T437" s="10"/>
      <c r="U437" s="97"/>
      <c r="V437" s="1"/>
      <c r="X437" s="101">
        <v>1</v>
      </c>
    </row>
    <row r="438" spans="2:24" hidden="1">
      <c r="B438" s="23">
        <v>46241.680555555555</v>
      </c>
      <c r="C438" s="23">
        <v>46211.681944444441</v>
      </c>
      <c r="D438" s="6" t="s">
        <v>24</v>
      </c>
      <c r="E438" s="6"/>
      <c r="F438" s="28">
        <v>46211</v>
      </c>
      <c r="G438" s="27">
        <v>46241</v>
      </c>
      <c r="H438" s="18" t="s">
        <v>71</v>
      </c>
      <c r="I438" s="6" t="s">
        <v>872</v>
      </c>
      <c r="J438" s="192">
        <v>41018418032</v>
      </c>
      <c r="K438" s="169"/>
      <c r="L438" s="107">
        <v>22473586</v>
      </c>
      <c r="M438" s="37">
        <v>5214131203424</v>
      </c>
      <c r="N438" s="169" t="s">
        <v>74</v>
      </c>
      <c r="O438" s="48"/>
      <c r="P438" s="95"/>
      <c r="Q438" s="13">
        <v>0</v>
      </c>
      <c r="R438" s="13">
        <v>0</v>
      </c>
      <c r="S438" s="72"/>
      <c r="T438" s="6"/>
      <c r="U438" s="164"/>
      <c r="V438" s="1"/>
      <c r="X438" s="101">
        <v>1</v>
      </c>
    </row>
    <row r="439" spans="2:24" hidden="1">
      <c r="B439" s="24">
        <v>46241.6875</v>
      </c>
      <c r="C439" s="24">
        <v>46211.695138888892</v>
      </c>
      <c r="D439" s="10" t="s">
        <v>24</v>
      </c>
      <c r="E439" s="10"/>
      <c r="F439" s="28">
        <v>46211</v>
      </c>
      <c r="G439" s="28">
        <v>46241</v>
      </c>
      <c r="H439" s="160" t="s">
        <v>26</v>
      </c>
      <c r="I439" s="10" t="s">
        <v>873</v>
      </c>
      <c r="J439" s="193">
        <v>11705250857</v>
      </c>
      <c r="K439" s="170"/>
      <c r="L439" s="108">
        <v>21880216</v>
      </c>
      <c r="M439" s="36">
        <v>5215582856876</v>
      </c>
      <c r="N439" s="170" t="s">
        <v>28</v>
      </c>
      <c r="O439" s="49">
        <v>12091.18</v>
      </c>
      <c r="P439" s="96"/>
      <c r="Q439" s="12">
        <v>3627.35</v>
      </c>
      <c r="R439" s="14">
        <v>3627.35</v>
      </c>
      <c r="S439" s="73"/>
      <c r="T439" s="10"/>
      <c r="U439" s="97"/>
      <c r="V439" s="1"/>
      <c r="X439" s="101">
        <v>1</v>
      </c>
    </row>
    <row r="440" spans="2:24" hidden="1">
      <c r="B440" s="23">
        <v>46241.46875</v>
      </c>
      <c r="C440" s="23">
        <v>46211.707638888889</v>
      </c>
      <c r="D440" s="6" t="s">
        <v>24</v>
      </c>
      <c r="E440" s="6"/>
      <c r="F440" s="28">
        <v>46211</v>
      </c>
      <c r="G440" s="27">
        <v>46060</v>
      </c>
      <c r="H440" s="6" t="s">
        <v>54</v>
      </c>
      <c r="I440" s="6" t="s">
        <v>874</v>
      </c>
      <c r="J440" s="192">
        <v>23704817669</v>
      </c>
      <c r="K440" s="169" t="s">
        <v>875</v>
      </c>
      <c r="L440" s="107">
        <v>22251234</v>
      </c>
      <c r="M440" s="37">
        <v>5216141751962</v>
      </c>
      <c r="N440" s="169" t="s">
        <v>32</v>
      </c>
      <c r="O440" s="48">
        <v>3961.31</v>
      </c>
      <c r="P440" s="95"/>
      <c r="Q440" s="13">
        <v>1188.3900000000001</v>
      </c>
      <c r="R440" s="13">
        <v>0</v>
      </c>
      <c r="S440" s="72"/>
      <c r="T440" s="6"/>
      <c r="U440" s="164"/>
      <c r="V440" s="1"/>
      <c r="X440" s="101">
        <v>1</v>
      </c>
    </row>
    <row r="441" spans="2:24" hidden="1">
      <c r="B441" s="24">
        <v>46241.713194444441</v>
      </c>
      <c r="C441" s="24">
        <v>46211.718055555553</v>
      </c>
      <c r="D441" s="10" t="s">
        <v>24</v>
      </c>
      <c r="E441" s="10"/>
      <c r="F441" s="28">
        <v>46211</v>
      </c>
      <c r="G441" s="28">
        <v>46210</v>
      </c>
      <c r="H441" s="10" t="s">
        <v>160</v>
      </c>
      <c r="I441" s="10" t="s">
        <v>876</v>
      </c>
      <c r="J441" s="193">
        <v>21846729941</v>
      </c>
      <c r="K441" s="170" t="s">
        <v>877</v>
      </c>
      <c r="L441" s="108">
        <v>22431826</v>
      </c>
      <c r="M441" s="36">
        <v>5216861479732</v>
      </c>
      <c r="N441" s="170" t="s">
        <v>37</v>
      </c>
      <c r="O441" s="47">
        <v>5642.22</v>
      </c>
      <c r="P441" s="94">
        <v>1460</v>
      </c>
      <c r="Q441" s="12">
        <v>1692.67</v>
      </c>
      <c r="R441" s="12">
        <v>9.24</v>
      </c>
      <c r="S441" s="73">
        <v>46397</v>
      </c>
      <c r="T441" s="10"/>
      <c r="U441" s="97"/>
      <c r="V441" s="1"/>
      <c r="X441" s="101">
        <v>2</v>
      </c>
    </row>
    <row r="442" spans="2:24" hidden="1">
      <c r="B442" s="23">
        <v>46241.720833333333</v>
      </c>
      <c r="C442" s="23">
        <v>46211.722916666666</v>
      </c>
      <c r="D442" s="6" t="s">
        <v>24</v>
      </c>
      <c r="E442" s="6"/>
      <c r="F442" s="28">
        <v>46211</v>
      </c>
      <c r="G442" s="27">
        <v>46060</v>
      </c>
      <c r="H442" s="10" t="s">
        <v>160</v>
      </c>
      <c r="I442" s="6" t="s">
        <v>878</v>
      </c>
      <c r="J442" s="192">
        <v>43786094979</v>
      </c>
      <c r="K442" s="169" t="s">
        <v>879</v>
      </c>
      <c r="L442" s="107">
        <v>22254392</v>
      </c>
      <c r="M442" s="37">
        <v>5218136094220</v>
      </c>
      <c r="N442" s="169" t="s">
        <v>28</v>
      </c>
      <c r="O442" s="46">
        <v>14152.81</v>
      </c>
      <c r="P442" s="93">
        <v>2981.22</v>
      </c>
      <c r="Q442" s="13">
        <v>4245.84</v>
      </c>
      <c r="R442" s="9">
        <v>1264.6199999999999</v>
      </c>
      <c r="S442" s="72">
        <v>46032</v>
      </c>
      <c r="T442" s="6"/>
      <c r="U442" s="164"/>
      <c r="V442" s="1"/>
      <c r="X442" s="101">
        <v>2</v>
      </c>
    </row>
    <row r="443" spans="2:24" hidden="1">
      <c r="B443" s="24">
        <v>46241.723611111112</v>
      </c>
      <c r="C443" s="24">
        <v>46211.725694444445</v>
      </c>
      <c r="D443" s="10" t="s">
        <v>24</v>
      </c>
      <c r="E443" s="10"/>
      <c r="F443" s="28">
        <v>46211</v>
      </c>
      <c r="G443" s="28">
        <v>46119</v>
      </c>
      <c r="H443" s="10" t="s">
        <v>127</v>
      </c>
      <c r="I443" s="10" t="s">
        <v>880</v>
      </c>
      <c r="J443" s="193"/>
      <c r="K443" s="170" t="s">
        <v>881</v>
      </c>
      <c r="L443" s="108">
        <v>22293406</v>
      </c>
      <c r="M443" s="36">
        <v>5216645707581</v>
      </c>
      <c r="N443" s="170" t="s">
        <v>47</v>
      </c>
      <c r="O443" s="49">
        <v>5085.96</v>
      </c>
      <c r="P443" s="96"/>
      <c r="Q443" s="12">
        <v>1525.79</v>
      </c>
      <c r="R443" s="16">
        <v>912.98</v>
      </c>
      <c r="S443" s="73"/>
      <c r="T443" s="10"/>
      <c r="U443" s="97"/>
      <c r="V443" s="1"/>
      <c r="X443" s="101">
        <v>1</v>
      </c>
    </row>
    <row r="444" spans="2:24" hidden="1">
      <c r="B444" s="23">
        <v>46241.758333333331</v>
      </c>
      <c r="C444" s="23">
        <v>46211.786111111112</v>
      </c>
      <c r="D444" s="6" t="s">
        <v>24</v>
      </c>
      <c r="E444" s="6"/>
      <c r="F444" s="28">
        <v>46211</v>
      </c>
      <c r="G444" s="27">
        <v>46241</v>
      </c>
      <c r="H444" s="18" t="s">
        <v>135</v>
      </c>
      <c r="I444" s="6" t="s">
        <v>882</v>
      </c>
      <c r="J444" s="192">
        <v>51876503932</v>
      </c>
      <c r="K444" s="169" t="s">
        <v>883</v>
      </c>
      <c r="L444" s="108">
        <v>22477566</v>
      </c>
      <c r="M444" s="37">
        <v>5214494010887</v>
      </c>
      <c r="N444" s="169" t="s">
        <v>37</v>
      </c>
      <c r="O444" s="46">
        <v>5538.65</v>
      </c>
      <c r="P444" s="93">
        <v>1365.64</v>
      </c>
      <c r="Q444" s="13">
        <v>1661.6</v>
      </c>
      <c r="R444" s="13">
        <v>0.03</v>
      </c>
      <c r="S444" s="72">
        <v>46391</v>
      </c>
      <c r="T444" s="6"/>
      <c r="U444" s="164"/>
      <c r="V444" s="1"/>
      <c r="X444" s="101">
        <v>2</v>
      </c>
    </row>
    <row r="445" spans="2:24" hidden="1">
      <c r="B445" s="24">
        <v>46241.786805555559</v>
      </c>
      <c r="C445" s="24">
        <v>46211.807638888888</v>
      </c>
      <c r="D445" s="10" t="s">
        <v>24</v>
      </c>
      <c r="E445" s="10"/>
      <c r="F445" s="28">
        <v>46211</v>
      </c>
      <c r="G445" s="28">
        <v>46241</v>
      </c>
      <c r="H445" s="20" t="s">
        <v>135</v>
      </c>
      <c r="I445" s="10" t="s">
        <v>884</v>
      </c>
      <c r="J445" s="193">
        <v>4856733524</v>
      </c>
      <c r="K445" s="170" t="s">
        <v>885</v>
      </c>
      <c r="L445" s="108">
        <v>22479252</v>
      </c>
      <c r="M445" s="36">
        <v>5216863315016</v>
      </c>
      <c r="N445" s="170" t="s">
        <v>98</v>
      </c>
      <c r="O445" s="47"/>
      <c r="P445" s="94"/>
      <c r="Q445" s="12">
        <v>0</v>
      </c>
      <c r="R445" s="12">
        <v>0</v>
      </c>
      <c r="S445" s="73"/>
      <c r="T445" s="10"/>
      <c r="U445" s="97"/>
      <c r="V445" s="1"/>
      <c r="X445" s="101">
        <v>0</v>
      </c>
    </row>
    <row r="446" spans="2:24" hidden="1">
      <c r="B446" s="23">
        <v>46241.807638888888</v>
      </c>
      <c r="C446" s="23">
        <v>46211.828472222223</v>
      </c>
      <c r="D446" s="6" t="s">
        <v>24</v>
      </c>
      <c r="E446" s="6"/>
      <c r="F446" s="28">
        <v>46211</v>
      </c>
      <c r="G446" s="27">
        <v>46241</v>
      </c>
      <c r="H446" s="18" t="s">
        <v>135</v>
      </c>
      <c r="I446" s="6"/>
      <c r="J446" s="192">
        <v>7895766205</v>
      </c>
      <c r="K446" s="169" t="s">
        <v>886</v>
      </c>
      <c r="L446" s="107">
        <v>22478972</v>
      </c>
      <c r="M446" s="37">
        <v>5214141198460</v>
      </c>
      <c r="N446" s="169" t="s">
        <v>32</v>
      </c>
      <c r="O446" s="46">
        <v>4350.78</v>
      </c>
      <c r="P446" s="93">
        <v>848</v>
      </c>
      <c r="Q446" s="13">
        <v>1305.23</v>
      </c>
      <c r="R446" s="13">
        <v>-670.2</v>
      </c>
      <c r="S446" s="72"/>
      <c r="T446" s="6"/>
      <c r="U446" s="164"/>
      <c r="V446" s="1"/>
      <c r="X446" s="101">
        <v>1</v>
      </c>
    </row>
    <row r="447" spans="2:24" hidden="1">
      <c r="B447" s="24">
        <v>46241.854166666664</v>
      </c>
      <c r="C447" s="24">
        <v>46211.856249999997</v>
      </c>
      <c r="D447" s="10" t="s">
        <v>24</v>
      </c>
      <c r="E447" s="10"/>
      <c r="F447" s="28">
        <v>46211</v>
      </c>
      <c r="G447" s="28">
        <v>46241</v>
      </c>
      <c r="H447" s="161" t="s">
        <v>135</v>
      </c>
      <c r="I447" s="10" t="s">
        <v>887</v>
      </c>
      <c r="J447" s="193">
        <v>12927444252</v>
      </c>
      <c r="K447" s="170" t="s">
        <v>888</v>
      </c>
      <c r="L447" s="108">
        <v>22480544</v>
      </c>
      <c r="M447" s="36">
        <v>5214791011803</v>
      </c>
      <c r="N447" s="170" t="s">
        <v>28</v>
      </c>
      <c r="O447" s="47">
        <v>5810.12</v>
      </c>
      <c r="P447" s="94"/>
      <c r="Q447" s="12">
        <v>1743.04</v>
      </c>
      <c r="R447" s="14">
        <v>1637.14</v>
      </c>
      <c r="S447" s="73"/>
      <c r="T447" s="10"/>
      <c r="U447" s="97"/>
      <c r="V447" s="1"/>
      <c r="X447" s="101">
        <v>1</v>
      </c>
    </row>
    <row r="448" spans="2:24" hidden="1">
      <c r="B448" s="23">
        <v>46272.348611111112</v>
      </c>
      <c r="C448" s="23">
        <v>46212.349305555559</v>
      </c>
      <c r="D448" s="6" t="s">
        <v>24</v>
      </c>
      <c r="E448" s="6"/>
      <c r="F448" s="27">
        <v>46212</v>
      </c>
      <c r="G448" s="27">
        <v>46241</v>
      </c>
      <c r="H448" s="161" t="s">
        <v>71</v>
      </c>
      <c r="I448" s="6" t="s">
        <v>889</v>
      </c>
      <c r="J448" s="192"/>
      <c r="K448" s="169" t="s">
        <v>890</v>
      </c>
      <c r="L448" s="107">
        <v>22475746</v>
      </c>
      <c r="M448" s="37">
        <v>0</v>
      </c>
      <c r="N448" s="169" t="s">
        <v>28</v>
      </c>
      <c r="O448" s="46">
        <v>6262.86</v>
      </c>
      <c r="P448" s="93"/>
      <c r="Q448" s="13">
        <v>1878.86</v>
      </c>
      <c r="R448" s="9">
        <v>1878.86</v>
      </c>
      <c r="S448" s="72"/>
      <c r="T448" s="6"/>
      <c r="U448" s="164"/>
      <c r="V448" s="1"/>
      <c r="X448" s="101">
        <v>1</v>
      </c>
    </row>
    <row r="449" spans="2:24" hidden="1">
      <c r="B449" s="24">
        <v>46272.348611111112</v>
      </c>
      <c r="C449" s="24">
        <v>46212.349305555559</v>
      </c>
      <c r="D449" s="10" t="s">
        <v>24</v>
      </c>
      <c r="E449" s="10"/>
      <c r="F449" s="27">
        <v>46212</v>
      </c>
      <c r="G449" s="28">
        <v>46241</v>
      </c>
      <c r="H449" s="15" t="s">
        <v>26</v>
      </c>
      <c r="I449" s="10" t="s">
        <v>891</v>
      </c>
      <c r="J449" s="193">
        <v>32937570896</v>
      </c>
      <c r="K449" s="170" t="s">
        <v>892</v>
      </c>
      <c r="L449" s="108">
        <v>22475502</v>
      </c>
      <c r="M449" s="36">
        <v>5218641032323</v>
      </c>
      <c r="N449" s="170" t="s">
        <v>74</v>
      </c>
      <c r="O449" s="47"/>
      <c r="P449" s="94"/>
      <c r="Q449" s="12">
        <v>0</v>
      </c>
      <c r="R449" s="12">
        <v>0</v>
      </c>
      <c r="S449" s="73"/>
      <c r="T449" s="10"/>
      <c r="U449" s="97"/>
      <c r="V449" s="1"/>
      <c r="X449" s="101">
        <v>1</v>
      </c>
    </row>
    <row r="450" spans="2:24" hidden="1">
      <c r="B450" s="23">
        <v>46272.398611111108</v>
      </c>
      <c r="C450" s="23">
        <v>46212.402777777781</v>
      </c>
      <c r="D450" s="6" t="s">
        <v>24</v>
      </c>
      <c r="E450" s="6"/>
      <c r="F450" s="27">
        <v>46212</v>
      </c>
      <c r="G450" s="27">
        <v>46272</v>
      </c>
      <c r="H450" s="6" t="s">
        <v>54</v>
      </c>
      <c r="I450" s="6" t="s">
        <v>893</v>
      </c>
      <c r="J450" s="192">
        <v>10856418628</v>
      </c>
      <c r="K450" s="169" t="s">
        <v>894</v>
      </c>
      <c r="L450" s="108">
        <v>22497672</v>
      </c>
      <c r="M450" s="37">
        <v>5215575615053</v>
      </c>
      <c r="N450" s="169" t="s">
        <v>37</v>
      </c>
      <c r="O450" s="48">
        <v>9504.7000000000007</v>
      </c>
      <c r="P450" s="95">
        <v>2749.94</v>
      </c>
      <c r="Q450" s="13">
        <v>2851.41</v>
      </c>
      <c r="R450" s="13">
        <v>101.47</v>
      </c>
      <c r="S450" s="72">
        <v>46395</v>
      </c>
      <c r="T450" s="6"/>
      <c r="U450" s="164"/>
      <c r="V450" s="1"/>
      <c r="X450" s="101">
        <v>2</v>
      </c>
    </row>
    <row r="451" spans="2:24" hidden="1">
      <c r="B451" s="24">
        <v>46272.431250000001</v>
      </c>
      <c r="C451" s="24">
        <v>46212.432638888888</v>
      </c>
      <c r="D451" s="10" t="s">
        <v>24</v>
      </c>
      <c r="E451" s="10"/>
      <c r="F451" s="27">
        <v>46212</v>
      </c>
      <c r="G451" s="28" t="s">
        <v>710</v>
      </c>
      <c r="H451" s="15" t="s">
        <v>107</v>
      </c>
      <c r="I451" s="10" t="s">
        <v>895</v>
      </c>
      <c r="J451" s="193"/>
      <c r="K451" s="170" t="s">
        <v>896</v>
      </c>
      <c r="L451" s="108">
        <v>21849676</v>
      </c>
      <c r="M451" s="36">
        <v>5212227488960</v>
      </c>
      <c r="N451" s="170" t="s">
        <v>37</v>
      </c>
      <c r="O451" s="49">
        <v>29218.63</v>
      </c>
      <c r="P451" s="96">
        <v>8764.2900000000009</v>
      </c>
      <c r="Q451" s="12">
        <v>8765.59</v>
      </c>
      <c r="R451" s="12">
        <v>1.3</v>
      </c>
      <c r="S451" s="73">
        <v>46389</v>
      </c>
      <c r="T451" s="10"/>
      <c r="U451" s="97"/>
      <c r="V451" s="1"/>
      <c r="X451" s="101">
        <v>2</v>
      </c>
    </row>
    <row r="452" spans="2:24" hidden="1">
      <c r="B452" s="23">
        <v>46272.430555555555</v>
      </c>
      <c r="C452" s="23">
        <v>46212.435416666667</v>
      </c>
      <c r="D452" s="6" t="s">
        <v>24</v>
      </c>
      <c r="E452" s="6"/>
      <c r="F452" s="27">
        <v>46212</v>
      </c>
      <c r="G452" s="27">
        <v>46241</v>
      </c>
      <c r="H452" s="18" t="s">
        <v>87</v>
      </c>
      <c r="I452" s="6" t="s">
        <v>897</v>
      </c>
      <c r="J452" s="192">
        <v>67957871659</v>
      </c>
      <c r="K452" s="169" t="s">
        <v>898</v>
      </c>
      <c r="L452" s="107">
        <v>22479452</v>
      </c>
      <c r="M452" s="37">
        <v>5219982229170</v>
      </c>
      <c r="N452" s="169" t="s">
        <v>32</v>
      </c>
      <c r="O452" s="48">
        <v>3779.88</v>
      </c>
      <c r="P452" s="95"/>
      <c r="Q452" s="13">
        <v>1133.96</v>
      </c>
      <c r="R452" s="13">
        <v>0</v>
      </c>
      <c r="S452" s="72"/>
      <c r="T452" s="6"/>
      <c r="U452" s="164"/>
      <c r="V452" s="1"/>
      <c r="X452" s="101">
        <v>1</v>
      </c>
    </row>
    <row r="453" spans="2:24" hidden="1">
      <c r="B453" s="24">
        <v>46272.415972222225</v>
      </c>
      <c r="C453" s="24">
        <v>46212.445138888892</v>
      </c>
      <c r="D453" s="10" t="s">
        <v>24</v>
      </c>
      <c r="E453" s="10"/>
      <c r="F453" s="27">
        <v>46212</v>
      </c>
      <c r="G453" s="28">
        <v>46272</v>
      </c>
      <c r="H453" s="10" t="s">
        <v>160</v>
      </c>
      <c r="I453" s="10" t="s">
        <v>899</v>
      </c>
      <c r="J453" s="193">
        <v>62695219832</v>
      </c>
      <c r="K453" s="170" t="s">
        <v>900</v>
      </c>
      <c r="L453" s="108">
        <v>22497658</v>
      </c>
      <c r="M453" s="36">
        <v>5212225727730</v>
      </c>
      <c r="N453" s="170" t="s">
        <v>37</v>
      </c>
      <c r="O453" s="49">
        <v>6421.16</v>
      </c>
      <c r="P453" s="96">
        <v>1780.51</v>
      </c>
      <c r="Q453" s="12">
        <v>1926.35</v>
      </c>
      <c r="R453" s="12">
        <v>145.84</v>
      </c>
      <c r="S453" s="73">
        <v>46235</v>
      </c>
      <c r="T453" s="10"/>
      <c r="U453" s="97"/>
      <c r="V453" s="1"/>
      <c r="X453" s="101">
        <v>2</v>
      </c>
    </row>
    <row r="454" spans="2:24" hidden="1">
      <c r="B454" s="23">
        <v>46272.402777777781</v>
      </c>
      <c r="C454" s="23">
        <v>46212.447222222225</v>
      </c>
      <c r="D454" s="6" t="s">
        <v>24</v>
      </c>
      <c r="E454" s="6"/>
      <c r="F454" s="27">
        <v>46212</v>
      </c>
      <c r="G454" s="27">
        <v>46180</v>
      </c>
      <c r="H454" s="6" t="s">
        <v>54</v>
      </c>
      <c r="I454" s="6" t="s">
        <v>901</v>
      </c>
      <c r="J454" s="192">
        <v>10765712633</v>
      </c>
      <c r="K454" s="169" t="s">
        <v>902</v>
      </c>
      <c r="L454" s="108">
        <v>22379540</v>
      </c>
      <c r="M454" s="37">
        <v>22379540</v>
      </c>
      <c r="N454" s="169" t="s">
        <v>37</v>
      </c>
      <c r="O454" s="48">
        <v>14731.39</v>
      </c>
      <c r="P454" s="95">
        <v>4261.09</v>
      </c>
      <c r="Q454" s="13">
        <v>4419.42</v>
      </c>
      <c r="R454" s="13">
        <v>158.33000000000001</v>
      </c>
      <c r="S454" s="72">
        <v>46391</v>
      </c>
      <c r="T454" s="6"/>
      <c r="U454" s="164"/>
      <c r="V454" s="1"/>
      <c r="X454" s="101">
        <v>2</v>
      </c>
    </row>
    <row r="455" spans="2:24" hidden="1">
      <c r="B455" s="24">
        <v>46272.384027777778</v>
      </c>
      <c r="C455" s="24">
        <v>46212.447916666664</v>
      </c>
      <c r="D455" s="10" t="s">
        <v>24</v>
      </c>
      <c r="E455" s="10"/>
      <c r="F455" s="27">
        <v>46212</v>
      </c>
      <c r="G455" s="28">
        <v>46241</v>
      </c>
      <c r="H455" s="10" t="s">
        <v>124</v>
      </c>
      <c r="I455" s="10" t="s">
        <v>903</v>
      </c>
      <c r="J455" s="193">
        <v>1643703786</v>
      </c>
      <c r="K455" s="170" t="s">
        <v>904</v>
      </c>
      <c r="L455" s="108">
        <v>22481758</v>
      </c>
      <c r="M455" s="36">
        <v>5214131653193</v>
      </c>
      <c r="N455" s="170" t="s">
        <v>32</v>
      </c>
      <c r="O455" s="49">
        <v>3599.33</v>
      </c>
      <c r="P455" s="96">
        <v>848</v>
      </c>
      <c r="Q455" s="12">
        <v>1079.8</v>
      </c>
      <c r="R455" s="12">
        <v>-848</v>
      </c>
      <c r="S455" s="73"/>
      <c r="T455" s="10"/>
      <c r="U455" s="97"/>
      <c r="V455" s="1"/>
      <c r="X455" s="101">
        <v>1</v>
      </c>
    </row>
    <row r="456" spans="2:24" hidden="1">
      <c r="B456" s="23">
        <v>46272.441666666666</v>
      </c>
      <c r="C456" s="23">
        <v>46212.448611111111</v>
      </c>
      <c r="D456" s="6" t="s">
        <v>24</v>
      </c>
      <c r="E456" s="6"/>
      <c r="F456" s="27">
        <v>46212</v>
      </c>
      <c r="G456" s="27">
        <v>46241</v>
      </c>
      <c r="H456" s="6" t="s">
        <v>127</v>
      </c>
      <c r="I456" s="6" t="s">
        <v>905</v>
      </c>
      <c r="J456" s="192">
        <v>54786012689</v>
      </c>
      <c r="K456" s="169" t="s">
        <v>906</v>
      </c>
      <c r="L456" s="108">
        <v>22483218</v>
      </c>
      <c r="M456" s="37">
        <v>5213173818085</v>
      </c>
      <c r="N456" s="169" t="s">
        <v>37</v>
      </c>
      <c r="O456" s="48">
        <v>14656.58</v>
      </c>
      <c r="P456" s="95">
        <v>4387.68</v>
      </c>
      <c r="Q456" s="13">
        <v>4396.97</v>
      </c>
      <c r="R456" s="13">
        <v>9.2899999999999991</v>
      </c>
      <c r="S456" s="72">
        <v>46357</v>
      </c>
      <c r="T456" s="6"/>
      <c r="U456" s="164"/>
      <c r="V456" s="1"/>
      <c r="X456" s="101">
        <v>2</v>
      </c>
    </row>
    <row r="457" spans="2:24" hidden="1">
      <c r="B457" s="24">
        <v>46272.449305555558</v>
      </c>
      <c r="C457" s="24">
        <v>46212.450694444444</v>
      </c>
      <c r="D457" s="10" t="s">
        <v>24</v>
      </c>
      <c r="E457" s="10"/>
      <c r="F457" s="27">
        <v>46212</v>
      </c>
      <c r="G457" s="28">
        <v>46241</v>
      </c>
      <c r="H457" s="15" t="s">
        <v>107</v>
      </c>
      <c r="I457" s="10" t="s">
        <v>907</v>
      </c>
      <c r="J457" s="193"/>
      <c r="K457" s="170" t="s">
        <v>908</v>
      </c>
      <c r="L457" s="108">
        <v>22456046</v>
      </c>
      <c r="M457" s="36">
        <v>5214423240822</v>
      </c>
      <c r="N457" s="170" t="s">
        <v>37</v>
      </c>
      <c r="O457" s="49">
        <v>4861.96</v>
      </c>
      <c r="P457" s="96">
        <v>634.55999999999995</v>
      </c>
      <c r="Q457" s="12">
        <v>1458.59</v>
      </c>
      <c r="R457" s="12">
        <v>54.42</v>
      </c>
      <c r="S457" s="73">
        <v>46327</v>
      </c>
      <c r="T457" s="10" t="s">
        <v>909</v>
      </c>
      <c r="U457" s="97"/>
      <c r="V457" s="1"/>
      <c r="X457" s="101">
        <v>2</v>
      </c>
    </row>
    <row r="458" spans="2:24" hidden="1">
      <c r="B458" s="23">
        <v>46272.447916666664</v>
      </c>
      <c r="C458" s="23">
        <v>46212.45208333333</v>
      </c>
      <c r="D458" s="6" t="s">
        <v>24</v>
      </c>
      <c r="E458" s="6"/>
      <c r="F458" s="27">
        <v>46212</v>
      </c>
      <c r="G458" s="27">
        <v>46272</v>
      </c>
      <c r="H458" s="6" t="s">
        <v>124</v>
      </c>
      <c r="I458" s="6" t="s">
        <v>910</v>
      </c>
      <c r="J458" s="192"/>
      <c r="K458" s="169" t="s">
        <v>911</v>
      </c>
      <c r="L458" s="108">
        <v>22497428</v>
      </c>
      <c r="M458" s="37">
        <v>5214441703953</v>
      </c>
      <c r="N458" s="169" t="s">
        <v>37</v>
      </c>
      <c r="O458" s="48">
        <v>6263.58</v>
      </c>
      <c r="P458" s="95">
        <v>1736.8</v>
      </c>
      <c r="Q458" s="13">
        <v>1879.07</v>
      </c>
      <c r="R458" s="13">
        <v>142.27000000000001</v>
      </c>
      <c r="S458" s="72">
        <v>46235</v>
      </c>
      <c r="T458" s="6" t="s">
        <v>178</v>
      </c>
      <c r="U458" s="164"/>
      <c r="V458" s="1"/>
      <c r="X458" s="101">
        <v>2</v>
      </c>
    </row>
    <row r="459" spans="2:24" hidden="1">
      <c r="B459" s="24">
        <v>46272.448611111111</v>
      </c>
      <c r="C459" s="24">
        <v>46212.456250000003</v>
      </c>
      <c r="D459" s="10" t="s">
        <v>24</v>
      </c>
      <c r="E459" s="10"/>
      <c r="F459" s="27">
        <v>46212</v>
      </c>
      <c r="G459" s="28">
        <v>46241</v>
      </c>
      <c r="H459" s="10" t="s">
        <v>127</v>
      </c>
      <c r="I459" s="10" t="s">
        <v>912</v>
      </c>
      <c r="J459" s="193">
        <v>1188682037</v>
      </c>
      <c r="K459" s="170" t="s">
        <v>913</v>
      </c>
      <c r="L459" s="108">
        <v>22484046</v>
      </c>
      <c r="M459" s="36">
        <v>5215524481933</v>
      </c>
      <c r="N459" s="170" t="s">
        <v>37</v>
      </c>
      <c r="O459" s="49">
        <v>5636.59</v>
      </c>
      <c r="P459" s="96">
        <v>1628.94</v>
      </c>
      <c r="Q459" s="12">
        <v>1690.98</v>
      </c>
      <c r="R459" s="12">
        <v>-165.33</v>
      </c>
      <c r="S459" s="73">
        <v>46388</v>
      </c>
      <c r="T459" s="10"/>
      <c r="U459" s="97"/>
      <c r="V459" s="1"/>
      <c r="X459" s="101">
        <v>2</v>
      </c>
    </row>
    <row r="460" spans="2:24" hidden="1">
      <c r="B460" s="23">
        <v>46272.377083333333</v>
      </c>
      <c r="C460" s="23">
        <v>46212.458333333336</v>
      </c>
      <c r="D460" s="6" t="s">
        <v>24</v>
      </c>
      <c r="E460" s="6"/>
      <c r="F460" s="27">
        <v>46212</v>
      </c>
      <c r="G460" s="27">
        <v>46119</v>
      </c>
      <c r="H460" s="10" t="s">
        <v>78</v>
      </c>
      <c r="I460" s="6" t="s">
        <v>914</v>
      </c>
      <c r="J460" s="192">
        <v>7866501377</v>
      </c>
      <c r="K460" s="169" t="s">
        <v>915</v>
      </c>
      <c r="L460" s="107">
        <v>22292548</v>
      </c>
      <c r="M460" s="37">
        <v>5215663967910</v>
      </c>
      <c r="N460" s="169" t="s">
        <v>28</v>
      </c>
      <c r="O460" s="48">
        <v>7580.38</v>
      </c>
      <c r="P460" s="95">
        <v>848</v>
      </c>
      <c r="Q460" s="13">
        <v>2274.11</v>
      </c>
      <c r="R460" s="9">
        <v>1426.11</v>
      </c>
      <c r="S460" s="72"/>
      <c r="T460" s="6"/>
      <c r="U460" s="164"/>
      <c r="V460" s="1"/>
      <c r="X460" s="101">
        <v>1</v>
      </c>
    </row>
    <row r="461" spans="2:24" hidden="1">
      <c r="B461" s="24">
        <v>46272.45416666667</v>
      </c>
      <c r="C461" s="24">
        <v>46212.459027777775</v>
      </c>
      <c r="D461" s="10" t="s">
        <v>24</v>
      </c>
      <c r="E461" s="10"/>
      <c r="F461" s="27">
        <v>46212</v>
      </c>
      <c r="G461" s="28">
        <v>46272</v>
      </c>
      <c r="H461" s="10" t="s">
        <v>39</v>
      </c>
      <c r="I461" s="10" t="s">
        <v>916</v>
      </c>
      <c r="J461" s="193">
        <v>33775920649</v>
      </c>
      <c r="K461" s="170" t="s">
        <v>917</v>
      </c>
      <c r="L461" s="108">
        <v>22500470</v>
      </c>
      <c r="M461" s="36">
        <v>5216144610107</v>
      </c>
      <c r="N461" s="170" t="s">
        <v>37</v>
      </c>
      <c r="O461" s="49">
        <v>8554.24</v>
      </c>
      <c r="P461" s="96">
        <v>2563.39</v>
      </c>
      <c r="Q461" s="12">
        <v>2566.27</v>
      </c>
      <c r="R461" s="12">
        <v>2.88</v>
      </c>
      <c r="S461" s="73">
        <v>46758</v>
      </c>
      <c r="T461" s="10"/>
      <c r="U461" s="97"/>
      <c r="V461" s="1"/>
      <c r="X461" s="101">
        <v>2</v>
      </c>
    </row>
    <row r="462" spans="2:24" hidden="1">
      <c r="B462" s="23">
        <v>46272.432638888888</v>
      </c>
      <c r="C462" s="23">
        <v>46212.460416666669</v>
      </c>
      <c r="D462" s="6" t="s">
        <v>24</v>
      </c>
      <c r="E462" s="6"/>
      <c r="F462" s="27">
        <v>46212</v>
      </c>
      <c r="G462" s="27">
        <v>46241</v>
      </c>
      <c r="H462" s="6" t="s">
        <v>78</v>
      </c>
      <c r="I462" s="6" t="s">
        <v>918</v>
      </c>
      <c r="J462" s="192">
        <v>24877101733</v>
      </c>
      <c r="K462" s="169" t="s">
        <v>919</v>
      </c>
      <c r="L462" s="108">
        <v>22482398</v>
      </c>
      <c r="M462" s="37">
        <v>5216331356287</v>
      </c>
      <c r="N462" s="169" t="s">
        <v>37</v>
      </c>
      <c r="O462" s="48">
        <v>7135.6</v>
      </c>
      <c r="P462" s="95">
        <v>2137.5700000000002</v>
      </c>
      <c r="Q462" s="13">
        <v>2140.6799999999998</v>
      </c>
      <c r="R462" s="13">
        <v>3.11</v>
      </c>
      <c r="S462" s="72">
        <v>46754</v>
      </c>
      <c r="T462" s="6"/>
      <c r="U462" s="164"/>
      <c r="V462" s="1"/>
      <c r="X462" s="101">
        <v>2</v>
      </c>
    </row>
    <row r="463" spans="2:24" hidden="1">
      <c r="B463" s="24">
        <v>46272.456250000003</v>
      </c>
      <c r="C463" s="24">
        <v>46212.461111111108</v>
      </c>
      <c r="D463" s="10" t="s">
        <v>24</v>
      </c>
      <c r="E463" s="10"/>
      <c r="F463" s="27">
        <v>46212</v>
      </c>
      <c r="G463" s="28">
        <v>46272</v>
      </c>
      <c r="H463" s="10" t="s">
        <v>127</v>
      </c>
      <c r="I463" s="10" t="s">
        <v>920</v>
      </c>
      <c r="J463" s="193"/>
      <c r="K463" s="170" t="s">
        <v>921</v>
      </c>
      <c r="L463" s="108">
        <v>22495124</v>
      </c>
      <c r="M463" s="36">
        <v>5213881011171</v>
      </c>
      <c r="N463" s="170" t="s">
        <v>37</v>
      </c>
      <c r="O463" s="49">
        <v>8539.89</v>
      </c>
      <c r="P463" s="96">
        <v>2368.3200000000002</v>
      </c>
      <c r="Q463" s="12">
        <v>2561.9699999999998</v>
      </c>
      <c r="R463" s="12">
        <v>193.65</v>
      </c>
      <c r="S463" s="73">
        <v>46235</v>
      </c>
      <c r="T463" s="10"/>
      <c r="U463" s="97"/>
      <c r="V463" s="1"/>
      <c r="X463" s="101">
        <v>2</v>
      </c>
    </row>
    <row r="464" spans="2:24" hidden="1">
      <c r="B464" s="23">
        <v>46272.432638888888</v>
      </c>
      <c r="C464" s="23">
        <v>46212.461805555555</v>
      </c>
      <c r="D464" s="6" t="s">
        <v>24</v>
      </c>
      <c r="E464" s="6"/>
      <c r="F464" s="27">
        <v>46212</v>
      </c>
      <c r="G464" s="27">
        <v>46272</v>
      </c>
      <c r="H464" s="6" t="s">
        <v>78</v>
      </c>
      <c r="I464" s="6" t="s">
        <v>922</v>
      </c>
      <c r="J464" s="192">
        <v>12896732752</v>
      </c>
      <c r="K464" s="169" t="s">
        <v>923</v>
      </c>
      <c r="L464" s="107">
        <v>22499920</v>
      </c>
      <c r="M464" s="37">
        <v>5214612103803</v>
      </c>
      <c r="N464" s="169" t="s">
        <v>74</v>
      </c>
      <c r="O464" s="48"/>
      <c r="P464" s="95"/>
      <c r="Q464" s="13">
        <v>0</v>
      </c>
      <c r="R464" s="13">
        <v>0</v>
      </c>
      <c r="S464" s="72"/>
      <c r="T464" s="6"/>
      <c r="U464" s="164"/>
      <c r="V464" s="1"/>
      <c r="X464" s="101">
        <v>1</v>
      </c>
    </row>
    <row r="465" spans="2:24" hidden="1">
      <c r="B465" s="24">
        <v>46272.461805555555</v>
      </c>
      <c r="C465" s="24">
        <v>46212.462500000001</v>
      </c>
      <c r="D465" s="10" t="s">
        <v>24</v>
      </c>
      <c r="E465" s="10"/>
      <c r="F465" s="27">
        <v>46212</v>
      </c>
      <c r="G465" s="28">
        <v>46241</v>
      </c>
      <c r="H465" s="20" t="s">
        <v>71</v>
      </c>
      <c r="I465" s="10" t="s">
        <v>924</v>
      </c>
      <c r="J465" s="193"/>
      <c r="K465" s="170" t="s">
        <v>925</v>
      </c>
      <c r="L465" s="108">
        <v>22461372</v>
      </c>
      <c r="M465" s="36">
        <v>5215517050714</v>
      </c>
      <c r="N465" s="170" t="s">
        <v>98</v>
      </c>
      <c r="O465" s="49"/>
      <c r="P465" s="96"/>
      <c r="Q465" s="12">
        <v>0</v>
      </c>
      <c r="R465" s="12">
        <v>0</v>
      </c>
      <c r="S465" s="73"/>
      <c r="T465" s="10"/>
      <c r="U465" s="97"/>
      <c r="V465" s="1"/>
      <c r="X465" s="101">
        <v>0</v>
      </c>
    </row>
    <row r="466" spans="2:24" hidden="1">
      <c r="B466" s="23">
        <v>46272.454861111109</v>
      </c>
      <c r="C466" s="23">
        <v>46212.465277777781</v>
      </c>
      <c r="D466" s="6" t="s">
        <v>24</v>
      </c>
      <c r="E466" s="6"/>
      <c r="F466" s="27">
        <v>46212</v>
      </c>
      <c r="G466" s="27">
        <v>46272</v>
      </c>
      <c r="H466" s="10" t="s">
        <v>78</v>
      </c>
      <c r="I466" s="6" t="s">
        <v>926</v>
      </c>
      <c r="J466" s="192">
        <v>17225679581</v>
      </c>
      <c r="K466" s="169" t="s">
        <v>927</v>
      </c>
      <c r="L466" s="107">
        <v>22502448</v>
      </c>
      <c r="M466" s="37">
        <v>5215581079293</v>
      </c>
      <c r="N466" s="169" t="s">
        <v>28</v>
      </c>
      <c r="O466" s="48">
        <v>9760.32</v>
      </c>
      <c r="P466" s="95"/>
      <c r="Q466" s="13">
        <v>2928.1</v>
      </c>
      <c r="R466" s="9">
        <v>2928.1</v>
      </c>
      <c r="S466" s="72"/>
      <c r="T466" s="6"/>
      <c r="U466" s="164"/>
      <c r="V466" s="1"/>
      <c r="X466" s="101">
        <v>1</v>
      </c>
    </row>
    <row r="467" spans="2:24" hidden="1">
      <c r="B467" s="24">
        <v>46272.447222222225</v>
      </c>
      <c r="C467" s="24">
        <v>46212.480555555558</v>
      </c>
      <c r="D467" s="10" t="s">
        <v>24</v>
      </c>
      <c r="E467" s="10"/>
      <c r="F467" s="27">
        <v>46212</v>
      </c>
      <c r="G467" s="28">
        <v>46272</v>
      </c>
      <c r="H467" s="10" t="s">
        <v>54</v>
      </c>
      <c r="I467" s="10" t="s">
        <v>928</v>
      </c>
      <c r="J467" s="193">
        <v>43785936832</v>
      </c>
      <c r="K467" s="170" t="s">
        <v>929</v>
      </c>
      <c r="L467" s="108">
        <v>22504040</v>
      </c>
      <c r="M467" s="36">
        <v>5218124014056</v>
      </c>
      <c r="N467" s="170" t="s">
        <v>37</v>
      </c>
      <c r="O467" s="47">
        <v>30677.4</v>
      </c>
      <c r="P467" s="94">
        <v>9201.4699999999993</v>
      </c>
      <c r="Q467" s="12">
        <v>9203.2199999999993</v>
      </c>
      <c r="R467" s="12">
        <v>1.75</v>
      </c>
      <c r="S467" s="73">
        <v>46390</v>
      </c>
      <c r="T467" s="10"/>
      <c r="U467" s="97"/>
      <c r="V467" s="1"/>
      <c r="X467" s="101">
        <v>2</v>
      </c>
    </row>
    <row r="468" spans="2:24" hidden="1">
      <c r="B468" s="23">
        <v>46272.45208333333</v>
      </c>
      <c r="C468" s="23">
        <v>46212.481249999997</v>
      </c>
      <c r="D468" s="6" t="s">
        <v>24</v>
      </c>
      <c r="E468" s="6"/>
      <c r="F468" s="27">
        <v>46212</v>
      </c>
      <c r="G468" s="27">
        <v>46272</v>
      </c>
      <c r="H468" s="10" t="s">
        <v>124</v>
      </c>
      <c r="I468" s="6" t="s">
        <v>930</v>
      </c>
      <c r="J468" s="192">
        <v>71653711482</v>
      </c>
      <c r="K468" s="169" t="s">
        <v>931</v>
      </c>
      <c r="L468" s="107">
        <v>22494274</v>
      </c>
      <c r="M468" s="37">
        <v>5219671465811</v>
      </c>
      <c r="N468" s="169" t="s">
        <v>28</v>
      </c>
      <c r="O468" s="48">
        <v>7363.38</v>
      </c>
      <c r="P468" s="95"/>
      <c r="Q468" s="13">
        <v>2209.0100000000002</v>
      </c>
      <c r="R468" s="9">
        <v>2209.0100000000002</v>
      </c>
      <c r="S468" s="72"/>
      <c r="T468" s="6"/>
      <c r="U468" s="164"/>
      <c r="V468" s="1"/>
      <c r="X468" s="101">
        <v>1</v>
      </c>
    </row>
    <row r="469" spans="2:24" hidden="1">
      <c r="B469" s="24">
        <v>46272.481249999997</v>
      </c>
      <c r="C469" s="24">
        <v>46212.486111111109</v>
      </c>
      <c r="D469" s="10" t="s">
        <v>24</v>
      </c>
      <c r="E469" s="10"/>
      <c r="F469" s="27">
        <v>46212</v>
      </c>
      <c r="G469" s="28">
        <v>46241</v>
      </c>
      <c r="H469" s="10" t="s">
        <v>124</v>
      </c>
      <c r="I469" s="10" t="s">
        <v>932</v>
      </c>
      <c r="J469" s="193">
        <v>47906730180</v>
      </c>
      <c r="K469" s="170" t="s">
        <v>933</v>
      </c>
      <c r="L469" s="108">
        <v>22482084</v>
      </c>
      <c r="M469" s="36">
        <v>5218122591421</v>
      </c>
      <c r="N469" s="170" t="s">
        <v>32</v>
      </c>
      <c r="O469" s="49">
        <v>4332.32</v>
      </c>
      <c r="P469" s="96">
        <v>879</v>
      </c>
      <c r="Q469" s="12">
        <v>1299.7</v>
      </c>
      <c r="R469" s="12">
        <v>-719.66</v>
      </c>
      <c r="S469" s="73"/>
      <c r="T469" s="10"/>
      <c r="U469" s="97"/>
      <c r="V469" s="1"/>
      <c r="X469" s="101">
        <v>1</v>
      </c>
    </row>
    <row r="470" spans="2:24" hidden="1">
      <c r="B470" s="23">
        <v>46272.480555555558</v>
      </c>
      <c r="C470" s="23">
        <v>46212.491666666669</v>
      </c>
      <c r="D470" s="6" t="s">
        <v>24</v>
      </c>
      <c r="E470" s="6"/>
      <c r="F470" s="27">
        <v>46212</v>
      </c>
      <c r="G470" s="27">
        <v>46272</v>
      </c>
      <c r="H470" s="6" t="s">
        <v>54</v>
      </c>
      <c r="I470" s="6" t="s">
        <v>934</v>
      </c>
      <c r="J470" s="192">
        <v>62886403203</v>
      </c>
      <c r="K470" s="169" t="s">
        <v>935</v>
      </c>
      <c r="L470" s="108">
        <v>22505946</v>
      </c>
      <c r="M470" s="37">
        <v>5212481191470</v>
      </c>
      <c r="N470" s="169" t="s">
        <v>37</v>
      </c>
      <c r="O470" s="46">
        <v>9081.52</v>
      </c>
      <c r="P470" s="93">
        <v>2622.65</v>
      </c>
      <c r="Q470" s="13">
        <v>2724.46</v>
      </c>
      <c r="R470" s="13">
        <v>101.81</v>
      </c>
      <c r="S470" s="72">
        <v>46399</v>
      </c>
      <c r="T470" s="6" t="s">
        <v>178</v>
      </c>
      <c r="U470" s="164"/>
      <c r="V470" s="1"/>
      <c r="X470" s="101">
        <v>2</v>
      </c>
    </row>
    <row r="471" spans="2:24" hidden="1">
      <c r="B471" s="24">
        <v>46272.484027777777</v>
      </c>
      <c r="C471" s="24">
        <v>46212.491666666669</v>
      </c>
      <c r="D471" s="10" t="s">
        <v>24</v>
      </c>
      <c r="E471" s="10"/>
      <c r="F471" s="27">
        <v>46212</v>
      </c>
      <c r="G471" s="28">
        <v>46272</v>
      </c>
      <c r="H471" s="10" t="s">
        <v>51</v>
      </c>
      <c r="I471" s="10" t="s">
        <v>936</v>
      </c>
      <c r="J471" s="193">
        <v>81897110698</v>
      </c>
      <c r="K471" s="170" t="s">
        <v>937</v>
      </c>
      <c r="L471" s="108">
        <v>22505280</v>
      </c>
      <c r="M471" s="36">
        <v>5219811151981</v>
      </c>
      <c r="N471" s="170" t="s">
        <v>28</v>
      </c>
      <c r="O471" s="49">
        <v>8181.55</v>
      </c>
      <c r="P471" s="96"/>
      <c r="Q471" s="12">
        <v>2454.4699999999998</v>
      </c>
      <c r="R471" s="14">
        <v>2454.4699999999998</v>
      </c>
      <c r="S471" s="73"/>
      <c r="T471" s="10"/>
      <c r="U471" s="97"/>
      <c r="V471" s="1"/>
      <c r="X471" s="101">
        <v>1</v>
      </c>
    </row>
    <row r="472" spans="2:24" hidden="1">
      <c r="B472" s="23">
        <v>46272.493750000001</v>
      </c>
      <c r="C472" s="23">
        <v>46212.49722222222</v>
      </c>
      <c r="D472" s="6" t="s">
        <v>24</v>
      </c>
      <c r="E472" s="6"/>
      <c r="F472" s="27">
        <v>46212</v>
      </c>
      <c r="G472" s="27">
        <v>46272</v>
      </c>
      <c r="H472" s="10" t="s">
        <v>160</v>
      </c>
      <c r="I472" s="6" t="s">
        <v>938</v>
      </c>
      <c r="J472" s="192">
        <v>32816625795</v>
      </c>
      <c r="K472" s="169" t="s">
        <v>939</v>
      </c>
      <c r="L472" s="107">
        <v>22505282</v>
      </c>
      <c r="M472" s="37">
        <v>5218446685591</v>
      </c>
      <c r="N472" s="169" t="s">
        <v>28</v>
      </c>
      <c r="O472" s="48">
        <v>10636.54</v>
      </c>
      <c r="P472" s="95"/>
      <c r="Q472" s="13">
        <v>3190.96</v>
      </c>
      <c r="R472" s="9">
        <v>3190.96</v>
      </c>
      <c r="S472" s="72"/>
      <c r="T472" s="6"/>
      <c r="U472" s="164"/>
      <c r="V472" s="1"/>
      <c r="X472" s="101">
        <v>1</v>
      </c>
    </row>
    <row r="473" spans="2:24" hidden="1">
      <c r="B473" s="24">
        <v>46272.481944444444</v>
      </c>
      <c r="C473" s="24">
        <v>46212.49722222222</v>
      </c>
      <c r="D473" s="10" t="s">
        <v>24</v>
      </c>
      <c r="E473" s="10"/>
      <c r="F473" s="27">
        <v>46212</v>
      </c>
      <c r="G473" s="28">
        <v>46272</v>
      </c>
      <c r="H473" s="10" t="s">
        <v>78</v>
      </c>
      <c r="I473" s="10" t="s">
        <v>940</v>
      </c>
      <c r="J473" s="193">
        <v>32816155660</v>
      </c>
      <c r="K473" s="170" t="s">
        <v>941</v>
      </c>
      <c r="L473" s="108">
        <v>22481716</v>
      </c>
      <c r="M473" s="36">
        <v>5218771188092</v>
      </c>
      <c r="N473" s="170" t="s">
        <v>37</v>
      </c>
      <c r="O473" s="49">
        <v>6262.86</v>
      </c>
      <c r="P473" s="96">
        <v>1875.47</v>
      </c>
      <c r="Q473" s="12">
        <v>1878.86</v>
      </c>
      <c r="R473" s="12">
        <v>3.39</v>
      </c>
      <c r="S473" s="73">
        <v>46357</v>
      </c>
      <c r="T473" s="10" t="s">
        <v>192</v>
      </c>
      <c r="U473" s="97"/>
      <c r="V473" s="1"/>
      <c r="X473" s="101">
        <v>2</v>
      </c>
    </row>
    <row r="474" spans="2:24" hidden="1">
      <c r="B474" s="23">
        <v>46272.509722222225</v>
      </c>
      <c r="C474" s="23">
        <v>46212.518750000003</v>
      </c>
      <c r="D474" s="6" t="s">
        <v>24</v>
      </c>
      <c r="E474" s="6"/>
      <c r="F474" s="27">
        <v>46212</v>
      </c>
      <c r="G474" s="27">
        <v>46272</v>
      </c>
      <c r="H474" s="6" t="s">
        <v>81</v>
      </c>
      <c r="I474" s="6" t="s">
        <v>942</v>
      </c>
      <c r="J474" s="192"/>
      <c r="K474" s="169" t="s">
        <v>943</v>
      </c>
      <c r="L474" s="108">
        <v>22500910</v>
      </c>
      <c r="M474" s="37">
        <v>5219613629898</v>
      </c>
      <c r="N474" s="169" t="s">
        <v>37</v>
      </c>
      <c r="O474" s="48">
        <v>10636.6</v>
      </c>
      <c r="P474" s="95">
        <v>3189.2</v>
      </c>
      <c r="Q474" s="13">
        <v>3190.98</v>
      </c>
      <c r="R474" s="13">
        <v>1.78</v>
      </c>
      <c r="S474" s="72">
        <v>46758</v>
      </c>
      <c r="T474" s="6" t="s">
        <v>192</v>
      </c>
      <c r="U474" s="164"/>
      <c r="V474" s="1"/>
      <c r="X474" s="101">
        <v>2</v>
      </c>
    </row>
    <row r="475" spans="2:24" hidden="1">
      <c r="B475" s="24">
        <v>46272.523611111108</v>
      </c>
      <c r="C475" s="24">
        <v>46212.523611111108</v>
      </c>
      <c r="D475" s="10" t="s">
        <v>24</v>
      </c>
      <c r="E475" s="10"/>
      <c r="F475" s="27">
        <v>46212</v>
      </c>
      <c r="G475" s="28">
        <v>46272</v>
      </c>
      <c r="H475" s="10" t="s">
        <v>90</v>
      </c>
      <c r="I475" s="10"/>
      <c r="J475" s="193">
        <v>85724706792</v>
      </c>
      <c r="K475" s="170"/>
      <c r="L475" s="111">
        <v>1</v>
      </c>
      <c r="M475" s="36" t="s">
        <v>944</v>
      </c>
      <c r="N475" s="170" t="s">
        <v>47</v>
      </c>
      <c r="O475" s="49">
        <v>7913.78</v>
      </c>
      <c r="P475" s="96">
        <v>2029.1</v>
      </c>
      <c r="Q475" s="12">
        <v>2374.13</v>
      </c>
      <c r="R475" s="16">
        <v>345.03</v>
      </c>
      <c r="S475" s="73">
        <v>46391</v>
      </c>
      <c r="T475" s="10"/>
      <c r="U475" s="97"/>
      <c r="V475" s="1"/>
      <c r="X475" s="101">
        <v>2</v>
      </c>
    </row>
    <row r="476" spans="2:24" hidden="1">
      <c r="B476" s="23">
        <v>46272.536111111112</v>
      </c>
      <c r="C476" s="23">
        <v>46212.538888888892</v>
      </c>
      <c r="D476" s="6" t="s">
        <v>24</v>
      </c>
      <c r="E476" s="6"/>
      <c r="F476" s="27">
        <v>46212</v>
      </c>
      <c r="G476" s="27">
        <v>46241</v>
      </c>
      <c r="H476" s="10" t="s">
        <v>160</v>
      </c>
      <c r="I476" s="6" t="s">
        <v>945</v>
      </c>
      <c r="J476" s="192"/>
      <c r="K476" s="169" t="s">
        <v>946</v>
      </c>
      <c r="L476" s="107">
        <v>22482000</v>
      </c>
      <c r="M476" s="37">
        <v>5215560991866</v>
      </c>
      <c r="N476" s="169" t="s">
        <v>130</v>
      </c>
      <c r="O476" s="48">
        <v>4813.6899999999996</v>
      </c>
      <c r="P476" s="95">
        <v>524.64</v>
      </c>
      <c r="Q476" s="13">
        <v>1444.11</v>
      </c>
      <c r="R476" s="13">
        <v>116.07</v>
      </c>
      <c r="S476" s="72">
        <v>45300</v>
      </c>
      <c r="T476" s="6"/>
      <c r="U476" s="164"/>
      <c r="V476" s="1"/>
      <c r="X476" s="101">
        <v>2</v>
      </c>
    </row>
    <row r="477" spans="2:24" hidden="1">
      <c r="B477" s="24">
        <v>46272.54791666667</v>
      </c>
      <c r="C477" s="24">
        <v>46212.552083333336</v>
      </c>
      <c r="D477" s="10" t="s">
        <v>24</v>
      </c>
      <c r="E477" s="10"/>
      <c r="F477" s="27">
        <v>46212</v>
      </c>
      <c r="G477" s="28">
        <v>46241</v>
      </c>
      <c r="H477" s="15" t="s">
        <v>110</v>
      </c>
      <c r="I477" s="10" t="s">
        <v>947</v>
      </c>
      <c r="J477" s="193">
        <v>81887005890</v>
      </c>
      <c r="K477" s="170"/>
      <c r="L477" s="108">
        <v>22470042</v>
      </c>
      <c r="M477" s="36">
        <v>5219381411363</v>
      </c>
      <c r="N477" s="170" t="s">
        <v>32</v>
      </c>
      <c r="O477" s="49">
        <v>5060.93</v>
      </c>
      <c r="P477" s="96">
        <v>848</v>
      </c>
      <c r="Q477" s="12">
        <v>1518.28</v>
      </c>
      <c r="R477" s="12">
        <v>39.950000000000003</v>
      </c>
      <c r="S477" s="73"/>
      <c r="T477" s="10"/>
      <c r="U477" s="97"/>
      <c r="V477" s="1"/>
      <c r="X477" s="101">
        <v>1</v>
      </c>
    </row>
    <row r="478" spans="2:24" hidden="1">
      <c r="B478" s="23">
        <v>46272.464583333334</v>
      </c>
      <c r="C478" s="23">
        <v>46212.561111111114</v>
      </c>
      <c r="D478" s="6" t="s">
        <v>24</v>
      </c>
      <c r="E478" s="6"/>
      <c r="F478" s="27">
        <v>46212</v>
      </c>
      <c r="G478" s="27">
        <v>46241</v>
      </c>
      <c r="H478" s="10" t="s">
        <v>103</v>
      </c>
      <c r="I478" s="6" t="s">
        <v>684</v>
      </c>
      <c r="J478" s="192">
        <v>32936102048</v>
      </c>
      <c r="K478" s="169"/>
      <c r="L478" s="109">
        <v>1</v>
      </c>
      <c r="M478" s="37">
        <v>8714794151</v>
      </c>
      <c r="N478" s="169" t="s">
        <v>47</v>
      </c>
      <c r="O478" s="48">
        <v>6262.86</v>
      </c>
      <c r="P478" s="95">
        <v>848</v>
      </c>
      <c r="Q478" s="13">
        <v>1878.86</v>
      </c>
      <c r="R478" s="22">
        <v>1030.8599999999999</v>
      </c>
      <c r="S478" s="72"/>
      <c r="T478" s="6"/>
      <c r="U478" s="164"/>
      <c r="V478" s="1"/>
      <c r="X478" s="101">
        <v>1</v>
      </c>
    </row>
    <row r="479" spans="2:24" hidden="1">
      <c r="B479" s="24">
        <v>46272.561111111114</v>
      </c>
      <c r="C479" s="24">
        <v>46212.5625</v>
      </c>
      <c r="D479" s="10" t="s">
        <v>24</v>
      </c>
      <c r="E479" s="10"/>
      <c r="F479" s="27">
        <v>46212</v>
      </c>
      <c r="G479" s="28">
        <v>46241</v>
      </c>
      <c r="H479" s="15" t="s">
        <v>110</v>
      </c>
      <c r="I479" s="10"/>
      <c r="J479" s="193">
        <v>65846123027</v>
      </c>
      <c r="K479" s="170"/>
      <c r="L479" s="108">
        <v>22468296</v>
      </c>
      <c r="M479" s="36">
        <v>5217838389803</v>
      </c>
      <c r="N479" s="170" t="s">
        <v>74</v>
      </c>
      <c r="O479" s="49"/>
      <c r="P479" s="96"/>
      <c r="Q479" s="12">
        <v>0</v>
      </c>
      <c r="R479" s="12">
        <v>0</v>
      </c>
      <c r="S479" s="73"/>
      <c r="T479" s="10"/>
      <c r="U479" s="97"/>
      <c r="V479" s="1"/>
      <c r="X479" s="101">
        <v>1</v>
      </c>
    </row>
    <row r="480" spans="2:24" hidden="1">
      <c r="B480" s="23">
        <v>46272.580555555556</v>
      </c>
      <c r="C480" s="23">
        <v>46212.583333333336</v>
      </c>
      <c r="D480" s="6" t="s">
        <v>24</v>
      </c>
      <c r="E480" s="6"/>
      <c r="F480" s="27">
        <v>46212</v>
      </c>
      <c r="G480" s="27">
        <v>46210</v>
      </c>
      <c r="H480" s="7" t="s">
        <v>476</v>
      </c>
      <c r="I480" s="6" t="s">
        <v>948</v>
      </c>
      <c r="J480" s="192"/>
      <c r="K480" s="169" t="s">
        <v>949</v>
      </c>
      <c r="L480" s="108">
        <v>22443590</v>
      </c>
      <c r="M480" s="37">
        <v>5216682222929</v>
      </c>
      <c r="N480" s="169" t="s">
        <v>37</v>
      </c>
      <c r="O480" s="48">
        <v>9102.61</v>
      </c>
      <c r="P480" s="95">
        <v>2527.21</v>
      </c>
      <c r="Q480" s="13">
        <v>2730.78</v>
      </c>
      <c r="R480" s="13">
        <v>203.57</v>
      </c>
      <c r="S480" s="72">
        <v>46296</v>
      </c>
      <c r="T480" s="6"/>
      <c r="U480" s="164"/>
      <c r="V480" s="1"/>
      <c r="X480" s="101">
        <v>2</v>
      </c>
    </row>
    <row r="481" spans="2:24" hidden="1">
      <c r="B481" s="24">
        <v>46272.581250000003</v>
      </c>
      <c r="C481" s="24">
        <v>46212.584722222222</v>
      </c>
      <c r="D481" s="10" t="s">
        <v>24</v>
      </c>
      <c r="E481" s="10"/>
      <c r="F481" s="27">
        <v>46212</v>
      </c>
      <c r="G481" s="28">
        <v>46272</v>
      </c>
      <c r="H481" s="10" t="s">
        <v>103</v>
      </c>
      <c r="I481" s="10" t="s">
        <v>950</v>
      </c>
      <c r="J481" s="193"/>
      <c r="K481" s="170" t="s">
        <v>951</v>
      </c>
      <c r="L481" s="111">
        <v>1</v>
      </c>
      <c r="M481" s="36">
        <v>8993448864</v>
      </c>
      <c r="N481" s="170" t="s">
        <v>47</v>
      </c>
      <c r="O481" s="49">
        <v>7920.51</v>
      </c>
      <c r="P481" s="96">
        <v>1195.94</v>
      </c>
      <c r="Q481" s="12">
        <v>2376.15</v>
      </c>
      <c r="R481" s="16">
        <v>1180.21</v>
      </c>
      <c r="S481" s="73">
        <v>46397</v>
      </c>
      <c r="T481" s="10"/>
      <c r="U481" s="97"/>
      <c r="V481" s="1"/>
      <c r="X481" s="101">
        <v>2</v>
      </c>
    </row>
    <row r="482" spans="2:24" hidden="1">
      <c r="B482" s="23">
        <v>46272.543055555558</v>
      </c>
      <c r="C482" s="23">
        <v>46212.590277777781</v>
      </c>
      <c r="D482" s="6" t="s">
        <v>24</v>
      </c>
      <c r="E482" s="6"/>
      <c r="F482" s="27">
        <v>46212</v>
      </c>
      <c r="G482" s="27">
        <v>46272</v>
      </c>
      <c r="H482" s="6" t="s">
        <v>39</v>
      </c>
      <c r="I482" s="6" t="s">
        <v>952</v>
      </c>
      <c r="J482" s="192">
        <v>4856692308</v>
      </c>
      <c r="K482" s="169" t="s">
        <v>953</v>
      </c>
      <c r="L482" s="107">
        <v>22506434</v>
      </c>
      <c r="M482" s="37">
        <v>5213321760896</v>
      </c>
      <c r="N482" s="169" t="s">
        <v>98</v>
      </c>
      <c r="O482" s="48"/>
      <c r="P482" s="95"/>
      <c r="Q482" s="13">
        <v>0</v>
      </c>
      <c r="R482" s="13">
        <v>0</v>
      </c>
      <c r="S482" s="72"/>
      <c r="T482" s="6"/>
      <c r="U482" s="164"/>
      <c r="V482" s="1"/>
      <c r="X482" s="101">
        <v>0</v>
      </c>
    </row>
    <row r="483" spans="2:24" hidden="1">
      <c r="B483" s="24">
        <v>46272.581944444442</v>
      </c>
      <c r="C483" s="24">
        <v>46212.59097222222</v>
      </c>
      <c r="D483" s="10" t="s">
        <v>24</v>
      </c>
      <c r="E483" s="10"/>
      <c r="F483" s="27">
        <v>46212</v>
      </c>
      <c r="G483" s="28">
        <v>46272</v>
      </c>
      <c r="H483" s="10" t="s">
        <v>78</v>
      </c>
      <c r="I483" s="10" t="s">
        <v>954</v>
      </c>
      <c r="J483" s="193">
        <v>10826111824</v>
      </c>
      <c r="K483" s="170" t="s">
        <v>955</v>
      </c>
      <c r="L483" s="108">
        <v>22506692</v>
      </c>
      <c r="M483" s="36">
        <v>5213319449078</v>
      </c>
      <c r="N483" s="170" t="s">
        <v>28</v>
      </c>
      <c r="O483" s="49">
        <v>12775.03</v>
      </c>
      <c r="P483" s="96"/>
      <c r="Q483" s="12">
        <v>3832.51</v>
      </c>
      <c r="R483" s="14">
        <v>3832.51</v>
      </c>
      <c r="S483" s="73"/>
      <c r="T483" s="10"/>
      <c r="U483" s="97"/>
      <c r="V483" s="1"/>
      <c r="X483" s="101">
        <v>1</v>
      </c>
    </row>
    <row r="484" spans="2:24" hidden="1">
      <c r="B484" s="23">
        <v>46272.572916666664</v>
      </c>
      <c r="C484" s="23">
        <v>46212.599305555559</v>
      </c>
      <c r="D484" s="6" t="s">
        <v>24</v>
      </c>
      <c r="E484" s="6"/>
      <c r="F484" s="27">
        <v>46212</v>
      </c>
      <c r="G484" s="27">
        <v>46272</v>
      </c>
      <c r="H484" s="6" t="s">
        <v>127</v>
      </c>
      <c r="I484" s="6" t="s">
        <v>956</v>
      </c>
      <c r="J484" s="192">
        <v>43806165049</v>
      </c>
      <c r="K484" s="169" t="s">
        <v>957</v>
      </c>
      <c r="L484" s="108">
        <v>22506330</v>
      </c>
      <c r="M484" s="37">
        <v>5218123436878</v>
      </c>
      <c r="N484" s="169" t="s">
        <v>37</v>
      </c>
      <c r="O484" s="46">
        <v>7640.52</v>
      </c>
      <c r="P484" s="93">
        <v>2119.9499999999998</v>
      </c>
      <c r="Q484" s="13">
        <v>2292.16</v>
      </c>
      <c r="R484" s="13">
        <v>172.21</v>
      </c>
      <c r="S484" s="72">
        <v>46235</v>
      </c>
      <c r="T484" s="6"/>
      <c r="U484" s="164"/>
      <c r="V484" s="1"/>
      <c r="X484" s="101">
        <v>2</v>
      </c>
    </row>
    <row r="485" spans="2:24" hidden="1">
      <c r="B485" s="24">
        <v>46272.59097222222</v>
      </c>
      <c r="C485" s="24">
        <v>46212.602083333331</v>
      </c>
      <c r="D485" s="10" t="s">
        <v>24</v>
      </c>
      <c r="E485" s="10"/>
      <c r="F485" s="27">
        <v>46212</v>
      </c>
      <c r="G485" s="28">
        <v>46272</v>
      </c>
      <c r="H485" s="10" t="s">
        <v>78</v>
      </c>
      <c r="I485" s="10" t="s">
        <v>958</v>
      </c>
      <c r="J485" s="193"/>
      <c r="K485" s="170" t="s">
        <v>959</v>
      </c>
      <c r="L485" s="108">
        <v>22509412</v>
      </c>
      <c r="M485" s="36">
        <v>5214423929999</v>
      </c>
      <c r="N485" s="170" t="s">
        <v>37</v>
      </c>
      <c r="O485" s="49">
        <v>32198.95</v>
      </c>
      <c r="P485" s="96">
        <v>9657.36</v>
      </c>
      <c r="Q485" s="12">
        <v>9659.69</v>
      </c>
      <c r="R485" s="12">
        <v>2.3199999999999998</v>
      </c>
      <c r="S485" s="73">
        <v>46266</v>
      </c>
      <c r="T485" s="10"/>
      <c r="U485" s="97"/>
      <c r="V485" s="1"/>
      <c r="X485" s="101">
        <v>2</v>
      </c>
    </row>
    <row r="486" spans="2:24" hidden="1">
      <c r="B486" s="23">
        <v>46272.543055555558</v>
      </c>
      <c r="C486" s="23">
        <v>46212.604861111111</v>
      </c>
      <c r="D486" s="6" t="s">
        <v>24</v>
      </c>
      <c r="E486" s="6"/>
      <c r="F486" s="27">
        <v>46212</v>
      </c>
      <c r="G486" s="27">
        <v>46272</v>
      </c>
      <c r="H486" s="6" t="s">
        <v>160</v>
      </c>
      <c r="I486" s="6" t="s">
        <v>960</v>
      </c>
      <c r="J486" s="192">
        <v>43836547026</v>
      </c>
      <c r="K486" s="169" t="s">
        <v>961</v>
      </c>
      <c r="L486" s="108">
        <v>22508078</v>
      </c>
      <c r="M486" s="37">
        <v>5218128655062</v>
      </c>
      <c r="N486" s="169" t="s">
        <v>37</v>
      </c>
      <c r="O486" s="48">
        <v>9760.9500000000007</v>
      </c>
      <c r="P486" s="95">
        <v>2927.63</v>
      </c>
      <c r="Q486" s="13">
        <v>2928.29</v>
      </c>
      <c r="R486" s="13">
        <v>0.66</v>
      </c>
      <c r="S486" s="72">
        <v>46754</v>
      </c>
      <c r="T486" s="6"/>
      <c r="U486" s="164"/>
      <c r="V486" s="1"/>
      <c r="X486" s="101">
        <v>2</v>
      </c>
    </row>
    <row r="487" spans="2:24" hidden="1">
      <c r="B487" s="24">
        <v>46272.600694444445</v>
      </c>
      <c r="C487" s="24">
        <v>46212.605555555558</v>
      </c>
      <c r="D487" s="10" t="s">
        <v>24</v>
      </c>
      <c r="E487" s="10"/>
      <c r="F487" s="27">
        <v>46212</v>
      </c>
      <c r="G487" s="28">
        <v>46272</v>
      </c>
      <c r="H487" s="10" t="s">
        <v>127</v>
      </c>
      <c r="I487" s="10" t="s">
        <v>962</v>
      </c>
      <c r="J487" s="193">
        <v>78896580228</v>
      </c>
      <c r="K487" s="170" t="s">
        <v>963</v>
      </c>
      <c r="L487" s="108">
        <v>22509970</v>
      </c>
      <c r="M487" s="36">
        <v>5218331016448</v>
      </c>
      <c r="N487" s="170" t="s">
        <v>37</v>
      </c>
      <c r="O487" s="47">
        <v>10895.02</v>
      </c>
      <c r="P487" s="94">
        <v>3152.19</v>
      </c>
      <c r="Q487" s="12">
        <v>3268.51</v>
      </c>
      <c r="R487" s="12">
        <v>116.32</v>
      </c>
      <c r="S487" s="73">
        <v>46398</v>
      </c>
      <c r="T487" s="10"/>
      <c r="U487" s="97"/>
      <c r="V487" s="1"/>
      <c r="X487" s="101">
        <v>2</v>
      </c>
    </row>
    <row r="488" spans="2:24" hidden="1">
      <c r="B488" s="23">
        <v>46272.605555555558</v>
      </c>
      <c r="C488" s="23">
        <v>46212.613194444442</v>
      </c>
      <c r="D488" s="6" t="s">
        <v>24</v>
      </c>
      <c r="E488" s="6"/>
      <c r="F488" s="27">
        <v>46212</v>
      </c>
      <c r="G488" s="27">
        <v>46272</v>
      </c>
      <c r="H488" s="6" t="s">
        <v>160</v>
      </c>
      <c r="I488" s="6" t="s">
        <v>964</v>
      </c>
      <c r="J488" s="192">
        <v>4745658726</v>
      </c>
      <c r="K488" s="169" t="s">
        <v>965</v>
      </c>
      <c r="L488" s="107">
        <v>22508544</v>
      </c>
      <c r="M488" s="37">
        <v>5213314419913</v>
      </c>
      <c r="N488" s="169" t="s">
        <v>32</v>
      </c>
      <c r="O488" s="48">
        <v>4964.5600000000004</v>
      </c>
      <c r="P488" s="95">
        <v>848</v>
      </c>
      <c r="Q488" s="13">
        <v>1489.37</v>
      </c>
      <c r="R488" s="13">
        <v>-56.42</v>
      </c>
      <c r="S488" s="72"/>
      <c r="T488" s="6"/>
      <c r="U488" s="164"/>
      <c r="V488" s="1"/>
      <c r="X488" s="101">
        <v>1</v>
      </c>
    </row>
    <row r="489" spans="2:24" hidden="1">
      <c r="B489" s="24">
        <v>46272.612500000003</v>
      </c>
      <c r="C489" s="24">
        <v>46212.613888888889</v>
      </c>
      <c r="D489" s="10" t="s">
        <v>24</v>
      </c>
      <c r="E489" s="10"/>
      <c r="F489" s="27">
        <v>46212</v>
      </c>
      <c r="G489" s="28" t="s">
        <v>45</v>
      </c>
      <c r="H489" s="20" t="s">
        <v>71</v>
      </c>
      <c r="I489" s="10" t="s">
        <v>966</v>
      </c>
      <c r="J489" s="193"/>
      <c r="K489" s="170" t="s">
        <v>967</v>
      </c>
      <c r="L489" s="108">
        <v>22145164</v>
      </c>
      <c r="M489" s="36">
        <v>5212717407813</v>
      </c>
      <c r="N489" s="170" t="s">
        <v>37</v>
      </c>
      <c r="O489" s="47">
        <v>7116.73</v>
      </c>
      <c r="P489" s="94">
        <v>2132.19</v>
      </c>
      <c r="Q489" s="12">
        <v>2135.02</v>
      </c>
      <c r="R489" s="12">
        <v>2.83</v>
      </c>
      <c r="S489" s="73">
        <v>46758</v>
      </c>
      <c r="T489" s="10"/>
      <c r="U489" s="97"/>
      <c r="V489" s="1"/>
      <c r="X489" s="101">
        <v>2</v>
      </c>
    </row>
    <row r="490" spans="2:24" hidden="1">
      <c r="B490" s="23">
        <v>46272.519444444442</v>
      </c>
      <c r="C490" s="23">
        <v>46212.620138888888</v>
      </c>
      <c r="D490" s="6" t="s">
        <v>24</v>
      </c>
      <c r="E490" s="6"/>
      <c r="F490" s="27">
        <v>46212</v>
      </c>
      <c r="G490" s="27">
        <v>46241</v>
      </c>
      <c r="H490" s="6" t="s">
        <v>81</v>
      </c>
      <c r="I490" s="6" t="s">
        <v>968</v>
      </c>
      <c r="J490" s="192"/>
      <c r="K490" s="169" t="s">
        <v>969</v>
      </c>
      <c r="L490" s="107">
        <v>22481630</v>
      </c>
      <c r="M490" s="37">
        <v>5216871254972</v>
      </c>
      <c r="N490" s="169" t="s">
        <v>32</v>
      </c>
      <c r="O490" s="48">
        <v>4195.87</v>
      </c>
      <c r="P490" s="95">
        <v>848</v>
      </c>
      <c r="Q490" s="13">
        <v>1258.76</v>
      </c>
      <c r="R490" s="13">
        <v>-825.11</v>
      </c>
      <c r="S490" s="72"/>
      <c r="T490" s="6"/>
      <c r="U490" s="164"/>
      <c r="V490" s="1"/>
      <c r="X490" s="101">
        <v>1</v>
      </c>
    </row>
    <row r="491" spans="2:24" hidden="1">
      <c r="B491" s="24">
        <v>46272.615972222222</v>
      </c>
      <c r="C491" s="24">
        <v>46212.620833333334</v>
      </c>
      <c r="D491" s="10" t="s">
        <v>24</v>
      </c>
      <c r="E491" s="10"/>
      <c r="F491" s="27">
        <v>46212</v>
      </c>
      <c r="G491" s="28">
        <v>46272</v>
      </c>
      <c r="H491" s="10" t="s">
        <v>160</v>
      </c>
      <c r="I491" s="10" t="s">
        <v>970</v>
      </c>
      <c r="J491" s="193"/>
      <c r="K491" s="170" t="s">
        <v>971</v>
      </c>
      <c r="L491" s="108">
        <v>22508888</v>
      </c>
      <c r="M491" s="36">
        <v>5217772092010</v>
      </c>
      <c r="N491" s="170" t="s">
        <v>37</v>
      </c>
      <c r="O491" s="49">
        <v>9658.4599999999991</v>
      </c>
      <c r="P491" s="96">
        <v>2895.52</v>
      </c>
      <c r="Q491" s="12">
        <v>2897.54</v>
      </c>
      <c r="R491" s="12">
        <v>2.02</v>
      </c>
      <c r="S491" s="73">
        <v>46392</v>
      </c>
      <c r="T491" s="10"/>
      <c r="U491" s="97"/>
      <c r="V491" s="1"/>
      <c r="X491" s="101">
        <v>2</v>
      </c>
    </row>
    <row r="492" spans="2:24" hidden="1">
      <c r="B492" s="23">
        <v>46272.486111111109</v>
      </c>
      <c r="C492" s="23">
        <v>46212.64166666667</v>
      </c>
      <c r="D492" s="6" t="s">
        <v>24</v>
      </c>
      <c r="E492" s="6"/>
      <c r="F492" s="27">
        <v>46212</v>
      </c>
      <c r="G492" s="27">
        <v>46272</v>
      </c>
      <c r="H492" s="6" t="s">
        <v>124</v>
      </c>
      <c r="I492" s="6" t="s">
        <v>972</v>
      </c>
      <c r="J492" s="201">
        <v>12926222626</v>
      </c>
      <c r="K492" s="169" t="s">
        <v>973</v>
      </c>
      <c r="L492" s="107">
        <v>22499190</v>
      </c>
      <c r="M492" s="37">
        <v>5214612731676</v>
      </c>
      <c r="N492" s="169" t="s">
        <v>74</v>
      </c>
      <c r="O492" s="48"/>
      <c r="P492" s="95"/>
      <c r="Q492" s="13">
        <v>0</v>
      </c>
      <c r="R492" s="13">
        <v>0</v>
      </c>
      <c r="S492" s="72"/>
      <c r="T492" s="6"/>
      <c r="U492" s="164"/>
      <c r="V492" s="1"/>
      <c r="X492" s="101">
        <v>1</v>
      </c>
    </row>
    <row r="493" spans="2:24" hidden="1">
      <c r="B493" s="24">
        <v>46272.631249999999</v>
      </c>
      <c r="C493" s="24">
        <v>46212.643055555556</v>
      </c>
      <c r="D493" s="10" t="s">
        <v>24</v>
      </c>
      <c r="E493" s="10"/>
      <c r="F493" s="27">
        <v>46212</v>
      </c>
      <c r="G493" s="28">
        <v>46272</v>
      </c>
      <c r="H493" s="10" t="s">
        <v>68</v>
      </c>
      <c r="I493" s="10" t="s">
        <v>974</v>
      </c>
      <c r="J493" s="193">
        <v>32816392958</v>
      </c>
      <c r="K493" s="170" t="s">
        <v>975</v>
      </c>
      <c r="L493" s="108">
        <v>22507370</v>
      </c>
      <c r="M493" s="36">
        <v>5218727719493</v>
      </c>
      <c r="N493" s="170" t="s">
        <v>130</v>
      </c>
      <c r="O493" s="49">
        <v>17234.73</v>
      </c>
      <c r="P493" s="96">
        <v>5170.03</v>
      </c>
      <c r="Q493" s="12">
        <v>5170.42</v>
      </c>
      <c r="R493" s="12">
        <v>0.39</v>
      </c>
      <c r="S493" s="73">
        <v>46029</v>
      </c>
      <c r="T493" s="10"/>
      <c r="U493" s="97"/>
      <c r="V493" s="1"/>
      <c r="X493" s="101">
        <v>2</v>
      </c>
    </row>
    <row r="494" spans="2:24" hidden="1">
      <c r="B494" s="23">
        <v>46272.491666666669</v>
      </c>
      <c r="C494" s="23">
        <v>46212.643750000003</v>
      </c>
      <c r="D494" s="6" t="s">
        <v>24</v>
      </c>
      <c r="E494" s="6"/>
      <c r="F494" s="27">
        <v>46212</v>
      </c>
      <c r="G494" s="27">
        <v>46241</v>
      </c>
      <c r="H494" s="6" t="s">
        <v>54</v>
      </c>
      <c r="I494" s="6" t="s">
        <v>976</v>
      </c>
      <c r="J494" s="192">
        <v>10735459074</v>
      </c>
      <c r="K494" s="169" t="s">
        <v>977</v>
      </c>
      <c r="L494" s="107">
        <v>22483414</v>
      </c>
      <c r="M494" s="37">
        <v>5215567904070</v>
      </c>
      <c r="N494" s="169" t="s">
        <v>32</v>
      </c>
      <c r="O494" s="48">
        <v>4451.6400000000003</v>
      </c>
      <c r="P494" s="95"/>
      <c r="Q494" s="13">
        <v>1335.49</v>
      </c>
      <c r="R494" s="13">
        <v>278.66000000000003</v>
      </c>
      <c r="S494" s="72"/>
      <c r="T494" s="6"/>
      <c r="U494" s="164"/>
      <c r="V494" s="1"/>
      <c r="X494" s="101">
        <v>1</v>
      </c>
    </row>
    <row r="495" spans="2:24" hidden="1">
      <c r="B495" s="24">
        <v>46272.634027777778</v>
      </c>
      <c r="C495" s="24">
        <v>46212.647916666669</v>
      </c>
      <c r="D495" s="10" t="s">
        <v>24</v>
      </c>
      <c r="E495" s="10"/>
      <c r="F495" s="27">
        <v>46212</v>
      </c>
      <c r="G495" s="28">
        <v>46272</v>
      </c>
      <c r="H495" s="10" t="s">
        <v>81</v>
      </c>
      <c r="I495" s="10" t="s">
        <v>978</v>
      </c>
      <c r="J495" s="193">
        <v>32685115572</v>
      </c>
      <c r="K495" s="170"/>
      <c r="L495" s="108">
        <v>22510324</v>
      </c>
      <c r="M495" s="36">
        <v>5218661850556</v>
      </c>
      <c r="N495" s="170" t="s">
        <v>37</v>
      </c>
      <c r="O495" s="47">
        <v>5055.88</v>
      </c>
      <c r="P495" s="94">
        <v>1252.93</v>
      </c>
      <c r="Q495" s="12">
        <v>1516.76</v>
      </c>
      <c r="R495" s="12">
        <v>-370.03</v>
      </c>
      <c r="S495" s="73">
        <v>46390</v>
      </c>
      <c r="T495" s="10"/>
      <c r="U495" s="97"/>
      <c r="V495" s="1"/>
      <c r="X495" s="101">
        <v>2</v>
      </c>
    </row>
    <row r="496" spans="2:24" hidden="1">
      <c r="B496" s="23">
        <v>46272.648611111108</v>
      </c>
      <c r="C496" s="23">
        <v>46212.648611111108</v>
      </c>
      <c r="D496" s="6" t="s">
        <v>24</v>
      </c>
      <c r="E496" s="6"/>
      <c r="F496" s="27">
        <v>46212</v>
      </c>
      <c r="G496" s="27">
        <v>46272</v>
      </c>
      <c r="H496" s="6" t="s">
        <v>90</v>
      </c>
      <c r="I496" s="6"/>
      <c r="J496" s="192">
        <v>32976903479</v>
      </c>
      <c r="K496" s="169"/>
      <c r="L496" s="109">
        <v>1</v>
      </c>
      <c r="M496" s="37">
        <v>528443525994</v>
      </c>
      <c r="N496" s="169" t="s">
        <v>32</v>
      </c>
      <c r="O496" s="48">
        <v>2963.37</v>
      </c>
      <c r="P496" s="95"/>
      <c r="Q496" s="13">
        <v>889.01</v>
      </c>
      <c r="R496" s="13">
        <v>0</v>
      </c>
      <c r="S496" s="72"/>
      <c r="T496" s="6"/>
      <c r="U496" s="164"/>
      <c r="V496" s="1"/>
      <c r="X496" s="101">
        <v>1</v>
      </c>
    </row>
    <row r="497" spans="2:24" hidden="1">
      <c r="B497" s="24">
        <v>46272.647916666669</v>
      </c>
      <c r="C497" s="24">
        <v>46212.649305555555</v>
      </c>
      <c r="D497" s="10" t="s">
        <v>24</v>
      </c>
      <c r="E497" s="10"/>
      <c r="F497" s="27">
        <v>46212</v>
      </c>
      <c r="G497" s="28">
        <v>46272</v>
      </c>
      <c r="H497" s="20" t="s">
        <v>135</v>
      </c>
      <c r="I497" s="10"/>
      <c r="J497" s="193">
        <v>1816469082</v>
      </c>
      <c r="K497" s="170" t="s">
        <v>979</v>
      </c>
      <c r="L497" s="108">
        <v>22480278</v>
      </c>
      <c r="M497" s="36">
        <v>5217225302102</v>
      </c>
      <c r="N497" s="170" t="s">
        <v>37</v>
      </c>
      <c r="O497" s="49">
        <v>10379.93</v>
      </c>
      <c r="P497" s="96">
        <v>3113.23</v>
      </c>
      <c r="Q497" s="12">
        <v>3113.98</v>
      </c>
      <c r="R497" s="12">
        <v>0.75</v>
      </c>
      <c r="S497" s="73">
        <v>46395</v>
      </c>
      <c r="T497" s="10"/>
      <c r="U497" s="97"/>
      <c r="V497" s="1"/>
      <c r="X497" s="101">
        <v>2</v>
      </c>
    </row>
    <row r="498" spans="2:24" hidden="1">
      <c r="B498" s="23">
        <v>46272.637499999997</v>
      </c>
      <c r="C498" s="23">
        <v>46212.652777777781</v>
      </c>
      <c r="D498" s="6" t="s">
        <v>24</v>
      </c>
      <c r="E498" s="6"/>
      <c r="F498" s="27">
        <v>46212</v>
      </c>
      <c r="G498" s="27">
        <v>46272</v>
      </c>
      <c r="H498" s="10" t="s">
        <v>68</v>
      </c>
      <c r="I498" s="6" t="s">
        <v>980</v>
      </c>
      <c r="J498" s="192"/>
      <c r="K498" s="169" t="s">
        <v>981</v>
      </c>
      <c r="L498" s="107">
        <v>22509918</v>
      </c>
      <c r="M498" s="37">
        <v>5214423449316</v>
      </c>
      <c r="N498" s="169" t="s">
        <v>106</v>
      </c>
      <c r="O498" s="46">
        <v>6262.86</v>
      </c>
      <c r="P498" s="93">
        <v>1537.22</v>
      </c>
      <c r="Q498" s="13">
        <v>1878.86</v>
      </c>
      <c r="R498" s="22">
        <v>341.64</v>
      </c>
      <c r="S498" s="72">
        <v>45296</v>
      </c>
      <c r="T498" s="6"/>
      <c r="U498" s="164"/>
      <c r="V498" s="1"/>
      <c r="X498" s="101">
        <v>2</v>
      </c>
    </row>
    <row r="499" spans="2:24" hidden="1">
      <c r="B499" s="24">
        <v>46272.65</v>
      </c>
      <c r="C499" s="24">
        <v>46212.658333333333</v>
      </c>
      <c r="D499" s="10" t="s">
        <v>24</v>
      </c>
      <c r="E499" s="10"/>
      <c r="F499" s="27">
        <v>46212</v>
      </c>
      <c r="G499" s="28">
        <v>46210</v>
      </c>
      <c r="H499" s="10" t="s">
        <v>81</v>
      </c>
      <c r="I499" s="10" t="s">
        <v>982</v>
      </c>
      <c r="J499" s="193">
        <v>53825916116</v>
      </c>
      <c r="K499" s="170"/>
      <c r="L499" s="108">
        <v>22425734</v>
      </c>
      <c r="M499" s="36">
        <v>5217733506421</v>
      </c>
      <c r="N499" s="170" t="s">
        <v>28</v>
      </c>
      <c r="O499" s="49">
        <v>11695.97</v>
      </c>
      <c r="P499" s="96"/>
      <c r="Q499" s="12">
        <v>3508.79</v>
      </c>
      <c r="R499" s="14">
        <v>3508.79</v>
      </c>
      <c r="S499" s="73"/>
      <c r="T499" s="10"/>
      <c r="U499" s="97"/>
      <c r="V499" s="1"/>
      <c r="X499" s="101">
        <v>1</v>
      </c>
    </row>
    <row r="500" spans="2:24" hidden="1">
      <c r="B500" s="23">
        <v>46272.668055555558</v>
      </c>
      <c r="C500" s="23">
        <v>46212.669444444444</v>
      </c>
      <c r="D500" s="6" t="s">
        <v>24</v>
      </c>
      <c r="E500" s="6"/>
      <c r="F500" s="27">
        <v>46212</v>
      </c>
      <c r="G500" s="27">
        <v>46272</v>
      </c>
      <c r="H500" s="6" t="s">
        <v>103</v>
      </c>
      <c r="I500" s="6" t="s">
        <v>983</v>
      </c>
      <c r="J500" s="192">
        <v>43866548522</v>
      </c>
      <c r="K500" s="169"/>
      <c r="L500" s="108">
        <v>1</v>
      </c>
      <c r="M500" s="37">
        <v>8132497277</v>
      </c>
      <c r="N500" s="169" t="s">
        <v>37</v>
      </c>
      <c r="O500" s="46">
        <v>9760.32</v>
      </c>
      <c r="P500" s="93">
        <v>2819.17</v>
      </c>
      <c r="Q500" s="13">
        <v>2928.1</v>
      </c>
      <c r="R500" s="13">
        <v>108.93</v>
      </c>
      <c r="S500" s="72">
        <v>46397</v>
      </c>
      <c r="T500" s="6"/>
      <c r="U500" s="164"/>
      <c r="V500" s="1"/>
      <c r="X500" s="101">
        <v>2</v>
      </c>
    </row>
    <row r="501" spans="2:24" hidden="1">
      <c r="B501" s="24">
        <v>46272.65902777778</v>
      </c>
      <c r="C501" s="24">
        <v>46212.677083333336</v>
      </c>
      <c r="D501" s="10" t="s">
        <v>24</v>
      </c>
      <c r="E501" s="10"/>
      <c r="F501" s="27">
        <v>46212</v>
      </c>
      <c r="G501" s="28">
        <v>46272</v>
      </c>
      <c r="H501" s="10" t="s">
        <v>51</v>
      </c>
      <c r="I501" s="10" t="s">
        <v>984</v>
      </c>
      <c r="J501" s="193">
        <v>1289728212</v>
      </c>
      <c r="K501" s="178" t="s">
        <v>985</v>
      </c>
      <c r="L501" s="108">
        <v>22513584</v>
      </c>
      <c r="M501" s="36">
        <v>5214731715685</v>
      </c>
      <c r="N501" s="170" t="s">
        <v>32</v>
      </c>
      <c r="O501" s="47">
        <v>5003.4399999999996</v>
      </c>
      <c r="P501" s="94">
        <v>848</v>
      </c>
      <c r="Q501" s="12">
        <v>1501.03</v>
      </c>
      <c r="R501" s="12">
        <v>-17.54</v>
      </c>
      <c r="S501" s="73"/>
      <c r="T501" s="10"/>
      <c r="U501" s="97"/>
      <c r="V501" s="1"/>
      <c r="X501" s="101">
        <v>1</v>
      </c>
    </row>
    <row r="502" spans="2:24" hidden="1">
      <c r="B502" s="23">
        <v>46272.67291666667</v>
      </c>
      <c r="C502" s="23">
        <v>46212.679166666669</v>
      </c>
      <c r="D502" s="6" t="s">
        <v>24</v>
      </c>
      <c r="E502" s="6"/>
      <c r="F502" s="27">
        <v>46212</v>
      </c>
      <c r="G502" s="27">
        <v>46272</v>
      </c>
      <c r="H502" s="10" t="s">
        <v>81</v>
      </c>
      <c r="I502" s="6" t="s">
        <v>986</v>
      </c>
      <c r="J502" s="192">
        <v>32866507265</v>
      </c>
      <c r="K502" s="169"/>
      <c r="L502" s="107">
        <v>22512452</v>
      </c>
      <c r="M502" s="37">
        <v>5218712055316</v>
      </c>
      <c r="N502" s="169" t="s">
        <v>28</v>
      </c>
      <c r="O502" s="46">
        <v>9760.32</v>
      </c>
      <c r="P502" s="93"/>
      <c r="Q502" s="13">
        <v>2928.1</v>
      </c>
      <c r="R502" s="9">
        <v>2928.1</v>
      </c>
      <c r="S502" s="72"/>
      <c r="T502" s="6"/>
      <c r="U502" s="164"/>
      <c r="V502" s="1"/>
      <c r="X502" s="101">
        <v>1</v>
      </c>
    </row>
    <row r="503" spans="2:24" hidden="1">
      <c r="B503" s="24">
        <v>46272.673611111109</v>
      </c>
      <c r="C503" s="24">
        <v>46212.679166666669</v>
      </c>
      <c r="D503" s="10" t="s">
        <v>24</v>
      </c>
      <c r="E503" s="10"/>
      <c r="F503" s="27">
        <v>46212</v>
      </c>
      <c r="G503" s="28">
        <v>46272</v>
      </c>
      <c r="H503" s="10" t="s">
        <v>78</v>
      </c>
      <c r="I503" s="10" t="s">
        <v>987</v>
      </c>
      <c r="J503" s="193">
        <v>6846309695</v>
      </c>
      <c r="K503" s="170" t="s">
        <v>988</v>
      </c>
      <c r="L503" s="108">
        <v>22513464</v>
      </c>
      <c r="M503" s="36">
        <v>5212222807051</v>
      </c>
      <c r="N503" s="170" t="s">
        <v>37</v>
      </c>
      <c r="O503" s="47">
        <v>7920.51</v>
      </c>
      <c r="P503" s="94">
        <v>2289.4899999999998</v>
      </c>
      <c r="Q503" s="12">
        <v>2376.15</v>
      </c>
      <c r="R503" s="12">
        <v>86.66</v>
      </c>
      <c r="S503" s="73">
        <v>46395</v>
      </c>
      <c r="T503" s="10" t="s">
        <v>259</v>
      </c>
      <c r="U503" s="97"/>
      <c r="V503" s="1"/>
      <c r="X503" s="101">
        <v>2</v>
      </c>
    </row>
    <row r="504" spans="2:24" hidden="1">
      <c r="B504" s="23">
        <v>46272.690972222219</v>
      </c>
      <c r="C504" s="23">
        <v>46212.693055555559</v>
      </c>
      <c r="D504" s="6" t="s">
        <v>24</v>
      </c>
      <c r="E504" s="6"/>
      <c r="F504" s="27">
        <v>46212</v>
      </c>
      <c r="G504" s="27">
        <v>46272</v>
      </c>
      <c r="H504" s="6" t="s">
        <v>39</v>
      </c>
      <c r="I504" s="6" t="s">
        <v>989</v>
      </c>
      <c r="J504" s="192">
        <v>83916003474</v>
      </c>
      <c r="K504" s="169" t="s">
        <v>990</v>
      </c>
      <c r="L504" s="108">
        <v>22513116</v>
      </c>
      <c r="M504" s="37">
        <v>5219371098528</v>
      </c>
      <c r="N504" s="169" t="s">
        <v>37</v>
      </c>
      <c r="O504" s="46">
        <v>5617.63</v>
      </c>
      <c r="P504" s="93">
        <v>1336.16</v>
      </c>
      <c r="Q504" s="13">
        <v>1685.29</v>
      </c>
      <c r="R504" s="13">
        <v>108.49</v>
      </c>
      <c r="S504" s="72">
        <v>46296</v>
      </c>
      <c r="T504" s="6"/>
      <c r="U504" s="164"/>
      <c r="V504" s="1"/>
      <c r="X504" s="101">
        <v>2</v>
      </c>
    </row>
    <row r="505" spans="2:24" hidden="1">
      <c r="B505" s="24">
        <v>46272.692361111112</v>
      </c>
      <c r="C505" s="24">
        <v>46212.698611111111</v>
      </c>
      <c r="D505" s="10" t="s">
        <v>24</v>
      </c>
      <c r="E505" s="10"/>
      <c r="F505" s="27">
        <v>46212</v>
      </c>
      <c r="G505" s="28">
        <v>46272</v>
      </c>
      <c r="H505" s="10" t="s">
        <v>78</v>
      </c>
      <c r="I505" s="10" t="s">
        <v>991</v>
      </c>
      <c r="J505" s="202">
        <v>49846626338</v>
      </c>
      <c r="K505" s="170" t="s">
        <v>992</v>
      </c>
      <c r="L505" s="108">
        <v>22510384</v>
      </c>
      <c r="M505" s="36">
        <v>5218682304824</v>
      </c>
      <c r="N505" s="170" t="s">
        <v>37</v>
      </c>
      <c r="O505" s="49">
        <v>11856.81</v>
      </c>
      <c r="P505" s="96">
        <v>3547.13</v>
      </c>
      <c r="Q505" s="12">
        <v>3557.04</v>
      </c>
      <c r="R505" s="12">
        <v>9.91</v>
      </c>
      <c r="S505" s="73">
        <v>46399</v>
      </c>
      <c r="T505" s="10"/>
      <c r="U505" s="97"/>
      <c r="V505" s="1"/>
      <c r="X505" s="101">
        <v>2</v>
      </c>
    </row>
    <row r="506" spans="2:24" hidden="1">
      <c r="B506" s="23">
        <v>46272.696527777778</v>
      </c>
      <c r="C506" s="23">
        <v>46212.699305555558</v>
      </c>
      <c r="D506" s="6" t="s">
        <v>24</v>
      </c>
      <c r="E506" s="6"/>
      <c r="F506" s="27">
        <v>46212</v>
      </c>
      <c r="G506" s="27">
        <v>46272</v>
      </c>
      <c r="H506" s="10" t="s">
        <v>68</v>
      </c>
      <c r="I506" s="6" t="s">
        <v>993</v>
      </c>
      <c r="J506" s="192"/>
      <c r="K506" s="169" t="s">
        <v>994</v>
      </c>
      <c r="L506" s="107">
        <v>22512658</v>
      </c>
      <c r="M506" s="37">
        <v>5216643666862</v>
      </c>
      <c r="N506" s="169" t="s">
        <v>28</v>
      </c>
      <c r="O506" s="46">
        <v>10636.54</v>
      </c>
      <c r="P506" s="93"/>
      <c r="Q506" s="13">
        <v>3190.96</v>
      </c>
      <c r="R506" s="9">
        <v>3190.96</v>
      </c>
      <c r="S506" s="72"/>
      <c r="T506" s="6"/>
      <c r="U506" s="164"/>
      <c r="V506" s="1"/>
      <c r="X506" s="101">
        <v>1</v>
      </c>
    </row>
    <row r="507" spans="2:24" hidden="1">
      <c r="B507" s="24">
        <v>46272.689583333333</v>
      </c>
      <c r="C507" s="24">
        <v>46212.699305555558</v>
      </c>
      <c r="D507" s="10" t="s">
        <v>24</v>
      </c>
      <c r="E507" s="10"/>
      <c r="F507" s="27">
        <v>46212</v>
      </c>
      <c r="G507" s="28">
        <v>46272</v>
      </c>
      <c r="H507" s="10" t="s">
        <v>103</v>
      </c>
      <c r="I507" s="10" t="s">
        <v>995</v>
      </c>
      <c r="J507" s="193">
        <v>32816552049</v>
      </c>
      <c r="K507" s="170"/>
      <c r="L507" s="108">
        <v>1</v>
      </c>
      <c r="M507" s="36">
        <v>32816552049</v>
      </c>
      <c r="N507" s="170" t="s">
        <v>37</v>
      </c>
      <c r="O507" s="49">
        <v>9760.32</v>
      </c>
      <c r="P507" s="96">
        <v>2823.87</v>
      </c>
      <c r="Q507" s="12">
        <v>2928.1</v>
      </c>
      <c r="R507" s="12">
        <v>104.23</v>
      </c>
      <c r="S507" s="73">
        <v>46396</v>
      </c>
      <c r="T507" s="10"/>
      <c r="U507" s="97"/>
      <c r="V507" s="1"/>
      <c r="X507" s="101">
        <v>2</v>
      </c>
    </row>
    <row r="508" spans="2:24" hidden="1">
      <c r="B508" s="23">
        <v>46272.684027777781</v>
      </c>
      <c r="C508" s="23">
        <v>46212.701388888891</v>
      </c>
      <c r="D508" s="6" t="s">
        <v>24</v>
      </c>
      <c r="E508" s="6"/>
      <c r="F508" s="27">
        <v>46212</v>
      </c>
      <c r="G508" s="27">
        <v>46272</v>
      </c>
      <c r="H508" s="6" t="s">
        <v>127</v>
      </c>
      <c r="I508" s="6" t="s">
        <v>996</v>
      </c>
      <c r="J508" s="192">
        <v>43775818875</v>
      </c>
      <c r="K508" s="169" t="s">
        <v>997</v>
      </c>
      <c r="L508" s="108">
        <v>22510930</v>
      </c>
      <c r="M508" s="37">
        <v>5215643806456</v>
      </c>
      <c r="N508" s="169" t="s">
        <v>37</v>
      </c>
      <c r="O508" s="48">
        <v>22702.55</v>
      </c>
      <c r="P508" s="95">
        <v>6810.75</v>
      </c>
      <c r="Q508" s="13">
        <v>6810.77</v>
      </c>
      <c r="R508" s="13">
        <v>0.01</v>
      </c>
      <c r="S508" s="72">
        <v>46235</v>
      </c>
      <c r="T508" s="6"/>
      <c r="U508" s="164"/>
      <c r="V508" s="1"/>
      <c r="X508" s="101">
        <v>2</v>
      </c>
    </row>
    <row r="509" spans="2:24" hidden="1">
      <c r="B509" s="24">
        <v>46272.701388888891</v>
      </c>
      <c r="C509" s="24">
        <v>46212.711111111108</v>
      </c>
      <c r="D509" s="10" t="s">
        <v>24</v>
      </c>
      <c r="E509" s="10"/>
      <c r="F509" s="27">
        <v>46212</v>
      </c>
      <c r="G509" s="28">
        <v>46272</v>
      </c>
      <c r="H509" s="10" t="s">
        <v>127</v>
      </c>
      <c r="I509" s="10" t="s">
        <v>998</v>
      </c>
      <c r="J509" s="194">
        <v>7866605731</v>
      </c>
      <c r="K509" s="170" t="s">
        <v>999</v>
      </c>
      <c r="L509" s="108">
        <v>22511294</v>
      </c>
      <c r="M509" s="36">
        <v>5215625428961</v>
      </c>
      <c r="N509" s="170" t="s">
        <v>37</v>
      </c>
      <c r="O509" s="49">
        <v>14306.37</v>
      </c>
      <c r="P509" s="96">
        <v>4287.62</v>
      </c>
      <c r="Q509" s="12">
        <v>4291.91</v>
      </c>
      <c r="R509" s="12">
        <v>4.29</v>
      </c>
      <c r="S509" s="73">
        <v>46756</v>
      </c>
      <c r="T509" s="10"/>
      <c r="U509" s="97"/>
      <c r="V509" s="1"/>
      <c r="X509" s="101">
        <v>2</v>
      </c>
    </row>
    <row r="510" spans="2:24" hidden="1">
      <c r="B510" s="23">
        <v>46272.715277777781</v>
      </c>
      <c r="C510" s="23">
        <v>46212.71875</v>
      </c>
      <c r="D510" s="6" t="s">
        <v>24</v>
      </c>
      <c r="E510" s="6"/>
      <c r="F510" s="27">
        <v>46212</v>
      </c>
      <c r="G510" s="27">
        <v>46272</v>
      </c>
      <c r="H510" s="6" t="s">
        <v>127</v>
      </c>
      <c r="I510" s="6" t="s">
        <v>1000</v>
      </c>
      <c r="J510" s="192"/>
      <c r="K510" s="169" t="s">
        <v>1001</v>
      </c>
      <c r="L510" s="108">
        <v>22491182</v>
      </c>
      <c r="M510" s="37">
        <v>5212712667638</v>
      </c>
      <c r="N510" s="169" t="s">
        <v>37</v>
      </c>
      <c r="O510" s="48">
        <v>16066.98</v>
      </c>
      <c r="P510" s="95">
        <v>4818.41</v>
      </c>
      <c r="Q510" s="13">
        <v>4820.09</v>
      </c>
      <c r="R510" s="13">
        <v>1.68</v>
      </c>
      <c r="S510" s="72">
        <v>46327</v>
      </c>
      <c r="T510" s="6"/>
      <c r="U510" s="164"/>
      <c r="V510" s="1"/>
      <c r="X510" s="101">
        <v>2</v>
      </c>
    </row>
    <row r="511" spans="2:24" hidden="1">
      <c r="B511" s="24">
        <v>46272.677083333336</v>
      </c>
      <c r="C511" s="24">
        <v>46212.725694444445</v>
      </c>
      <c r="D511" s="10" t="s">
        <v>24</v>
      </c>
      <c r="E511" s="10"/>
      <c r="F511" s="27">
        <v>46212</v>
      </c>
      <c r="G511" s="28">
        <v>46272</v>
      </c>
      <c r="H511" s="10" t="s">
        <v>51</v>
      </c>
      <c r="I511" s="10" t="s">
        <v>1002</v>
      </c>
      <c r="J511" s="193">
        <v>1725593725</v>
      </c>
      <c r="K511" s="170" t="s">
        <v>1003</v>
      </c>
      <c r="L511" s="108">
        <v>22512834</v>
      </c>
      <c r="M511" s="36">
        <v>5217202165772</v>
      </c>
      <c r="N511" s="170" t="s">
        <v>32</v>
      </c>
      <c r="O511" s="47">
        <v>5033.0600000000004</v>
      </c>
      <c r="P511" s="94">
        <v>848</v>
      </c>
      <c r="Q511" s="12">
        <v>1509.92</v>
      </c>
      <c r="R511" s="12">
        <v>12.08</v>
      </c>
      <c r="S511" s="73"/>
      <c r="T511" s="10"/>
      <c r="U511" s="97"/>
      <c r="V511" s="1"/>
      <c r="X511" s="101">
        <v>1</v>
      </c>
    </row>
    <row r="512" spans="2:24" hidden="1">
      <c r="B512" s="23">
        <v>46272.686111111114</v>
      </c>
      <c r="C512" s="23">
        <v>46212.727083333331</v>
      </c>
      <c r="D512" s="6" t="s">
        <v>24</v>
      </c>
      <c r="E512" s="6"/>
      <c r="F512" s="27">
        <v>46212</v>
      </c>
      <c r="G512" s="27">
        <v>46272</v>
      </c>
      <c r="H512" s="6" t="s">
        <v>81</v>
      </c>
      <c r="I512" s="6" t="s">
        <v>1004</v>
      </c>
      <c r="J512" s="192">
        <v>31964601111</v>
      </c>
      <c r="K512" s="169"/>
      <c r="L512" s="107">
        <v>22515056</v>
      </c>
      <c r="M512" s="37">
        <v>5218713339096</v>
      </c>
      <c r="N512" s="169" t="s">
        <v>74</v>
      </c>
      <c r="O512" s="46"/>
      <c r="P512" s="93"/>
      <c r="Q512" s="13">
        <v>0</v>
      </c>
      <c r="R512" s="13">
        <v>0</v>
      </c>
      <c r="S512" s="72"/>
      <c r="T512" s="6"/>
      <c r="U512" s="164"/>
      <c r="V512" s="1"/>
      <c r="X512" s="101">
        <v>1</v>
      </c>
    </row>
    <row r="513" spans="2:24" hidden="1">
      <c r="B513" s="24">
        <v>46272.700694444444</v>
      </c>
      <c r="C513" s="24">
        <v>46212.75</v>
      </c>
      <c r="D513" s="10" t="s">
        <v>24</v>
      </c>
      <c r="E513" s="10"/>
      <c r="F513" s="27">
        <v>46212</v>
      </c>
      <c r="G513" s="28">
        <v>46272</v>
      </c>
      <c r="H513" s="10" t="s">
        <v>90</v>
      </c>
      <c r="I513" s="10" t="s">
        <v>1005</v>
      </c>
      <c r="J513" s="193">
        <v>31775001097</v>
      </c>
      <c r="K513" s="170"/>
      <c r="L513" s="111">
        <v>1</v>
      </c>
      <c r="M513" s="36" t="s">
        <v>1006</v>
      </c>
      <c r="N513" s="170" t="s">
        <v>263</v>
      </c>
      <c r="O513" s="49">
        <v>4555.82</v>
      </c>
      <c r="P513" s="96">
        <v>548.09</v>
      </c>
      <c r="Q513" s="12">
        <v>1366.75</v>
      </c>
      <c r="R513" s="12">
        <v>-165.25</v>
      </c>
      <c r="S513" s="73">
        <v>45294</v>
      </c>
      <c r="T513" s="10" t="s">
        <v>192</v>
      </c>
      <c r="U513" s="97"/>
      <c r="V513" s="1"/>
      <c r="X513" s="101">
        <v>2</v>
      </c>
    </row>
    <row r="514" spans="2:24" hidden="1">
      <c r="B514" s="23">
        <v>46272.649305555555</v>
      </c>
      <c r="C514" s="23">
        <v>46212.756944444445</v>
      </c>
      <c r="D514" s="6" t="s">
        <v>24</v>
      </c>
      <c r="E514" s="6"/>
      <c r="F514" s="27">
        <v>46212</v>
      </c>
      <c r="G514" s="27">
        <v>46272</v>
      </c>
      <c r="H514" s="18" t="s">
        <v>135</v>
      </c>
      <c r="I514" s="6" t="s">
        <v>1007</v>
      </c>
      <c r="J514" s="192">
        <v>62897114039</v>
      </c>
      <c r="K514" s="169" t="s">
        <v>1008</v>
      </c>
      <c r="L514" s="107">
        <v>22516940</v>
      </c>
      <c r="M514" s="37">
        <v>5212221343256</v>
      </c>
      <c r="N514" s="169" t="s">
        <v>98</v>
      </c>
      <c r="O514" s="48"/>
      <c r="P514" s="95"/>
      <c r="Q514" s="13">
        <v>0</v>
      </c>
      <c r="R514" s="13">
        <v>0</v>
      </c>
      <c r="S514" s="72"/>
      <c r="T514" s="6"/>
      <c r="U514" s="164"/>
      <c r="V514" s="1"/>
      <c r="X514" s="101">
        <v>0</v>
      </c>
    </row>
    <row r="515" spans="2:24" hidden="1">
      <c r="B515" s="24">
        <v>46272.768055555556</v>
      </c>
      <c r="C515" s="24">
        <v>46212.769444444442</v>
      </c>
      <c r="D515" s="10" t="s">
        <v>24</v>
      </c>
      <c r="E515" s="10"/>
      <c r="F515" s="27">
        <v>46212</v>
      </c>
      <c r="G515" s="28">
        <v>46272</v>
      </c>
      <c r="H515" s="20" t="s">
        <v>135</v>
      </c>
      <c r="I515" s="10" t="s">
        <v>1009</v>
      </c>
      <c r="J515" s="193">
        <v>65896807826</v>
      </c>
      <c r="K515" s="170" t="s">
        <v>1010</v>
      </c>
      <c r="L515" s="108">
        <v>22516892</v>
      </c>
      <c r="M515" s="36">
        <v>5212282387028</v>
      </c>
      <c r="N515" s="170" t="s">
        <v>98</v>
      </c>
      <c r="O515" s="49"/>
      <c r="P515" s="96"/>
      <c r="Q515" s="12">
        <v>0</v>
      </c>
      <c r="R515" s="12">
        <v>0</v>
      </c>
      <c r="S515" s="73"/>
      <c r="T515" s="10"/>
      <c r="U515" s="97"/>
      <c r="V515" s="1"/>
      <c r="X515" s="101">
        <v>0</v>
      </c>
    </row>
    <row r="516" spans="2:24" hidden="1">
      <c r="B516" s="23">
        <v>46241.636805555558</v>
      </c>
      <c r="C516" s="23">
        <v>46212.968055555553</v>
      </c>
      <c r="D516" s="6" t="s">
        <v>24</v>
      </c>
      <c r="E516" s="6"/>
      <c r="F516" s="27">
        <v>46212</v>
      </c>
      <c r="G516" s="27">
        <v>46272</v>
      </c>
      <c r="H516" s="18" t="s">
        <v>135</v>
      </c>
      <c r="I516" s="6" t="s">
        <v>1011</v>
      </c>
      <c r="J516" s="203">
        <v>41917702056</v>
      </c>
      <c r="K516" s="169" t="s">
        <v>1012</v>
      </c>
      <c r="L516" s="107">
        <v>22517420</v>
      </c>
      <c r="M516" s="37">
        <v>5214445750649</v>
      </c>
      <c r="N516" s="169" t="s">
        <v>74</v>
      </c>
      <c r="O516" s="48"/>
      <c r="P516" s="95"/>
      <c r="Q516" s="13">
        <v>0</v>
      </c>
      <c r="R516" s="13">
        <v>0</v>
      </c>
      <c r="S516" s="72"/>
      <c r="T516" s="6"/>
      <c r="U516" s="164"/>
      <c r="V516" s="1"/>
      <c r="X516" s="101">
        <v>1</v>
      </c>
    </row>
    <row r="517" spans="2:24" hidden="1">
      <c r="B517" s="24">
        <v>46302.380555555559</v>
      </c>
      <c r="C517" s="24">
        <v>46213.382638888892</v>
      </c>
      <c r="D517" s="10" t="s">
        <v>24</v>
      </c>
      <c r="E517" s="10"/>
      <c r="F517" s="28">
        <v>46213</v>
      </c>
      <c r="G517" s="28">
        <v>46241</v>
      </c>
      <c r="H517" s="20" t="s">
        <v>170</v>
      </c>
      <c r="I517" s="10" t="s">
        <v>1013</v>
      </c>
      <c r="J517" s="193">
        <v>4755300748</v>
      </c>
      <c r="K517" s="170"/>
      <c r="L517" s="108">
        <v>22470870</v>
      </c>
      <c r="M517" s="36">
        <v>5213316942290</v>
      </c>
      <c r="N517" s="170" t="s">
        <v>37</v>
      </c>
      <c r="O517" s="49">
        <v>5906.3</v>
      </c>
      <c r="P517" s="96">
        <v>1671</v>
      </c>
      <c r="Q517" s="12">
        <v>1771.89</v>
      </c>
      <c r="R517" s="12">
        <v>62.32</v>
      </c>
      <c r="S517" s="73">
        <v>46398</v>
      </c>
      <c r="T517" s="10"/>
      <c r="U517" s="97"/>
      <c r="V517" s="1"/>
      <c r="X517" s="101">
        <v>2</v>
      </c>
    </row>
    <row r="518" spans="2:24" hidden="1">
      <c r="B518" s="23">
        <v>46302.387499999997</v>
      </c>
      <c r="C518" s="23">
        <v>46213.387499999997</v>
      </c>
      <c r="D518" s="6" t="s">
        <v>24</v>
      </c>
      <c r="E518" s="6"/>
      <c r="F518" s="28">
        <v>46213</v>
      </c>
      <c r="G518" s="27">
        <v>46302</v>
      </c>
      <c r="H518" s="6" t="s">
        <v>90</v>
      </c>
      <c r="I518" s="6"/>
      <c r="J518" s="192">
        <v>32826473533</v>
      </c>
      <c r="K518" s="169"/>
      <c r="L518" s="108">
        <v>1</v>
      </c>
      <c r="M518" s="39" t="s">
        <v>1014</v>
      </c>
      <c r="N518" s="169" t="s">
        <v>37</v>
      </c>
      <c r="O518" s="48">
        <v>13216.85</v>
      </c>
      <c r="P518" s="95">
        <v>3964.07</v>
      </c>
      <c r="Q518" s="13">
        <v>3965.06</v>
      </c>
      <c r="R518" s="13">
        <v>0.98</v>
      </c>
      <c r="S518" s="72">
        <v>46033</v>
      </c>
      <c r="T518" s="6"/>
      <c r="U518" s="164"/>
      <c r="V518" s="1"/>
      <c r="X518" s="101">
        <v>2</v>
      </c>
    </row>
    <row r="519" spans="2:24" hidden="1">
      <c r="B519" s="24">
        <v>46302.384722222225</v>
      </c>
      <c r="C519" s="24">
        <v>46213.388194444444</v>
      </c>
      <c r="D519" s="10" t="s">
        <v>24</v>
      </c>
      <c r="E519" s="10"/>
      <c r="F519" s="28">
        <v>46213</v>
      </c>
      <c r="G519" s="28">
        <v>46272</v>
      </c>
      <c r="H519" s="10" t="s">
        <v>54</v>
      </c>
      <c r="I519" s="10" t="s">
        <v>1015</v>
      </c>
      <c r="J519" s="193">
        <v>14846625490</v>
      </c>
      <c r="K519" s="170" t="s">
        <v>1016</v>
      </c>
      <c r="L519" s="108">
        <v>22502018</v>
      </c>
      <c r="M519" s="36">
        <v>5214481828414</v>
      </c>
      <c r="N519" s="170" t="s">
        <v>32</v>
      </c>
      <c r="O519" s="49">
        <v>3729.24</v>
      </c>
      <c r="P519" s="96">
        <v>879</v>
      </c>
      <c r="Q519" s="12">
        <v>1118.77</v>
      </c>
      <c r="R519" s="12">
        <v>-879</v>
      </c>
      <c r="S519" s="73"/>
      <c r="T519" s="10"/>
      <c r="U519" s="97"/>
      <c r="V519" s="1"/>
      <c r="X519" s="101">
        <v>1</v>
      </c>
    </row>
    <row r="520" spans="2:24" hidden="1">
      <c r="B520" s="23">
        <v>46302.381249999999</v>
      </c>
      <c r="C520" s="23">
        <v>46213.393750000003</v>
      </c>
      <c r="D520" s="6" t="s">
        <v>24</v>
      </c>
      <c r="E520" s="6"/>
      <c r="F520" s="28">
        <v>46213</v>
      </c>
      <c r="G520" s="27">
        <v>46272</v>
      </c>
      <c r="H520" s="6" t="s">
        <v>124</v>
      </c>
      <c r="I520" s="6" t="s">
        <v>1017</v>
      </c>
      <c r="J520" s="192">
        <v>3654420326</v>
      </c>
      <c r="K520" s="169" t="s">
        <v>1018</v>
      </c>
      <c r="L520" s="107">
        <v>22515890</v>
      </c>
      <c r="M520" s="37">
        <v>5218127658812</v>
      </c>
      <c r="N520" s="169" t="s">
        <v>32</v>
      </c>
      <c r="O520" s="48">
        <v>3547.05</v>
      </c>
      <c r="P520" s="95">
        <v>848</v>
      </c>
      <c r="Q520" s="13">
        <v>1064.1199999999999</v>
      </c>
      <c r="R520" s="13">
        <v>-848</v>
      </c>
      <c r="S520" s="72"/>
      <c r="T520" s="6"/>
      <c r="U520" s="164"/>
      <c r="V520" s="1"/>
      <c r="X520" s="101">
        <v>1</v>
      </c>
    </row>
    <row r="521" spans="2:24" hidden="1">
      <c r="B521" s="24">
        <v>46302.399305555555</v>
      </c>
      <c r="C521" s="24">
        <v>46213.411111111112</v>
      </c>
      <c r="D521" s="10" t="s">
        <v>24</v>
      </c>
      <c r="E521" s="10"/>
      <c r="F521" s="28">
        <v>46213</v>
      </c>
      <c r="G521" s="28">
        <v>46088</v>
      </c>
      <c r="H521" s="10" t="s">
        <v>51</v>
      </c>
      <c r="I521" s="10" t="s">
        <v>1019</v>
      </c>
      <c r="J521" s="193">
        <v>6816502691</v>
      </c>
      <c r="K521" s="181" t="s">
        <v>1020</v>
      </c>
      <c r="L521" s="108">
        <v>22271994</v>
      </c>
      <c r="M521" s="36">
        <v>22271994</v>
      </c>
      <c r="N521" s="170" t="s">
        <v>28</v>
      </c>
      <c r="O521" s="49">
        <v>9760.32</v>
      </c>
      <c r="P521" s="96"/>
      <c r="Q521" s="12">
        <v>2928.1</v>
      </c>
      <c r="R521" s="14">
        <v>2928.1</v>
      </c>
      <c r="S521" s="73"/>
      <c r="T521" s="10"/>
      <c r="U521" s="97"/>
      <c r="V521" s="1"/>
      <c r="X521" s="101">
        <v>1</v>
      </c>
    </row>
    <row r="522" spans="2:24" hidden="1">
      <c r="B522" s="23">
        <v>46302.379166666666</v>
      </c>
      <c r="C522" s="23">
        <v>46213.412499999999</v>
      </c>
      <c r="D522" s="6" t="s">
        <v>24</v>
      </c>
      <c r="E522" s="6"/>
      <c r="F522" s="28">
        <v>46213</v>
      </c>
      <c r="G522" s="27">
        <v>46272</v>
      </c>
      <c r="H522" s="6" t="s">
        <v>81</v>
      </c>
      <c r="I522" s="6" t="s">
        <v>1021</v>
      </c>
      <c r="J522" s="192">
        <v>33926201683</v>
      </c>
      <c r="K522" s="180" t="s">
        <v>1022</v>
      </c>
      <c r="L522" s="108">
        <v>22510740</v>
      </c>
      <c r="M522" s="37">
        <v>5216561063087</v>
      </c>
      <c r="N522" s="169" t="s">
        <v>37</v>
      </c>
      <c r="O522" s="48">
        <v>9760.32</v>
      </c>
      <c r="P522" s="95">
        <v>2822.92</v>
      </c>
      <c r="Q522" s="13">
        <v>2928.1</v>
      </c>
      <c r="R522" s="13">
        <v>105.18</v>
      </c>
      <c r="S522" s="72">
        <v>46397</v>
      </c>
      <c r="T522" s="6"/>
      <c r="U522" s="164"/>
      <c r="V522" s="1"/>
      <c r="X522" s="101">
        <v>2</v>
      </c>
    </row>
    <row r="523" spans="2:24" hidden="1">
      <c r="B523" s="24">
        <v>46302.40347222222</v>
      </c>
      <c r="C523" s="24">
        <v>46213.413194444445</v>
      </c>
      <c r="D523" s="10" t="s">
        <v>24</v>
      </c>
      <c r="E523" s="10"/>
      <c r="F523" s="28">
        <v>46213</v>
      </c>
      <c r="G523" s="28">
        <v>46302</v>
      </c>
      <c r="H523" s="10" t="s">
        <v>68</v>
      </c>
      <c r="I523" s="10" t="s">
        <v>1023</v>
      </c>
      <c r="J523" s="195">
        <v>33806248317</v>
      </c>
      <c r="K523" s="181" t="s">
        <v>1024</v>
      </c>
      <c r="L523" s="108">
        <v>22536240</v>
      </c>
      <c r="M523" s="36">
        <v>5216142406992</v>
      </c>
      <c r="N523" s="170" t="s">
        <v>37</v>
      </c>
      <c r="O523" s="49">
        <v>7116.73</v>
      </c>
      <c r="P523" s="96">
        <v>2058.87</v>
      </c>
      <c r="Q523" s="12">
        <v>2135.02</v>
      </c>
      <c r="R523" s="12">
        <v>76.150000000000006</v>
      </c>
      <c r="S523" s="73">
        <v>46390</v>
      </c>
      <c r="T523" s="10"/>
      <c r="U523" s="97"/>
      <c r="V523" s="1"/>
      <c r="X523" s="101">
        <v>2</v>
      </c>
    </row>
    <row r="524" spans="2:24" hidden="1">
      <c r="B524" s="23">
        <v>46302.40347222222</v>
      </c>
      <c r="C524" s="23">
        <v>46213.413194444445</v>
      </c>
      <c r="D524" s="6" t="s">
        <v>24</v>
      </c>
      <c r="E524" s="6"/>
      <c r="F524" s="28">
        <v>46213</v>
      </c>
      <c r="G524" s="27">
        <v>46272</v>
      </c>
      <c r="H524" s="6" t="s">
        <v>39</v>
      </c>
      <c r="I524" s="6" t="s">
        <v>1025</v>
      </c>
      <c r="J524" s="196"/>
      <c r="K524" s="180" t="s">
        <v>1026</v>
      </c>
      <c r="L524" s="107">
        <v>22511106</v>
      </c>
      <c r="M524" s="37">
        <v>5218282941491</v>
      </c>
      <c r="N524" s="169" t="s">
        <v>32</v>
      </c>
      <c r="O524" s="48">
        <v>4342.43</v>
      </c>
      <c r="P524" s="95"/>
      <c r="Q524" s="13">
        <v>1302.73</v>
      </c>
      <c r="R524" s="13">
        <v>169.45</v>
      </c>
      <c r="S524" s="72"/>
      <c r="T524" s="6"/>
      <c r="U524" s="164"/>
      <c r="V524" s="1"/>
      <c r="X524" s="101">
        <v>1</v>
      </c>
    </row>
    <row r="525" spans="2:24" hidden="1">
      <c r="B525" s="24">
        <v>46302.413194444445</v>
      </c>
      <c r="C525" s="24">
        <v>46213.42291666667</v>
      </c>
      <c r="D525" s="10" t="s">
        <v>24</v>
      </c>
      <c r="E525" s="10"/>
      <c r="F525" s="28">
        <v>46213</v>
      </c>
      <c r="G525" s="28">
        <v>46272</v>
      </c>
      <c r="H525" s="10" t="s">
        <v>68</v>
      </c>
      <c r="I525" s="10" t="s">
        <v>1027</v>
      </c>
      <c r="J525" s="195">
        <v>12845703425</v>
      </c>
      <c r="K525" s="181" t="s">
        <v>1028</v>
      </c>
      <c r="L525" s="108">
        <v>22520292</v>
      </c>
      <c r="M525" s="36">
        <v>5214112177845</v>
      </c>
      <c r="N525" s="170" t="s">
        <v>37</v>
      </c>
      <c r="O525" s="49">
        <v>5172.96</v>
      </c>
      <c r="P525" s="96">
        <v>961.2</v>
      </c>
      <c r="Q525" s="12">
        <v>1551.89</v>
      </c>
      <c r="R525" s="12">
        <v>38.78</v>
      </c>
      <c r="S525" s="73">
        <v>46397</v>
      </c>
      <c r="T525" s="10"/>
      <c r="U525" s="97"/>
      <c r="V525" s="1"/>
      <c r="X525" s="101">
        <v>2</v>
      </c>
    </row>
    <row r="526" spans="2:24" hidden="1">
      <c r="B526" s="23">
        <v>46302.422222222223</v>
      </c>
      <c r="C526" s="23">
        <v>46213.427777777775</v>
      </c>
      <c r="D526" s="6" t="s">
        <v>24</v>
      </c>
      <c r="E526" s="6"/>
      <c r="F526" s="28">
        <v>46213</v>
      </c>
      <c r="G526" s="27">
        <v>46302</v>
      </c>
      <c r="H526" s="10" t="s">
        <v>160</v>
      </c>
      <c r="I526" s="6" t="s">
        <v>1029</v>
      </c>
      <c r="J526" s="192">
        <v>6624502313</v>
      </c>
      <c r="K526" s="180" t="s">
        <v>1030</v>
      </c>
      <c r="L526" s="107">
        <v>22523700</v>
      </c>
      <c r="M526" s="37">
        <v>5215629147954</v>
      </c>
      <c r="N526" s="169" t="s">
        <v>130</v>
      </c>
      <c r="O526" s="48">
        <v>5308.14</v>
      </c>
      <c r="P526" s="95">
        <v>1049.3699999999999</v>
      </c>
      <c r="Q526" s="13">
        <v>1592.44</v>
      </c>
      <c r="R526" s="13">
        <v>85.79</v>
      </c>
      <c r="S526" s="72">
        <v>46025</v>
      </c>
      <c r="T526" s="6"/>
      <c r="U526" s="164"/>
      <c r="V526" s="1"/>
      <c r="X526" s="101">
        <v>2</v>
      </c>
    </row>
    <row r="527" spans="2:24" hidden="1">
      <c r="B527" s="24">
        <v>46302.427083333336</v>
      </c>
      <c r="C527" s="24">
        <v>46213.428472222222</v>
      </c>
      <c r="D527" s="10" t="s">
        <v>24</v>
      </c>
      <c r="E527" s="10"/>
      <c r="F527" s="28">
        <v>46213</v>
      </c>
      <c r="G527" s="28">
        <v>46241</v>
      </c>
      <c r="H527" s="20" t="s">
        <v>170</v>
      </c>
      <c r="I527" s="10" t="s">
        <v>1031</v>
      </c>
      <c r="J527" s="195"/>
      <c r="K527" s="181" t="s">
        <v>1032</v>
      </c>
      <c r="L527" s="108">
        <v>22475718</v>
      </c>
      <c r="M527" s="36">
        <v>5215546355120</v>
      </c>
      <c r="N527" s="170" t="s">
        <v>37</v>
      </c>
      <c r="O527" s="49">
        <v>9081.52</v>
      </c>
      <c r="P527" s="96">
        <v>2724.35</v>
      </c>
      <c r="Q527" s="12">
        <v>2724.46</v>
      </c>
      <c r="R527" s="12">
        <v>0.11</v>
      </c>
      <c r="S527" s="73">
        <v>46755</v>
      </c>
      <c r="T527" s="10"/>
      <c r="U527" s="97"/>
      <c r="V527" s="1"/>
      <c r="X527" s="101">
        <v>2</v>
      </c>
    </row>
    <row r="528" spans="2:24" hidden="1">
      <c r="B528" s="23">
        <v>46302.425000000003</v>
      </c>
      <c r="C528" s="23">
        <v>46213.429166666669</v>
      </c>
      <c r="D528" s="6" t="s">
        <v>24</v>
      </c>
      <c r="E528" s="6"/>
      <c r="F528" s="28">
        <v>46213</v>
      </c>
      <c r="G528" s="27">
        <v>46302</v>
      </c>
      <c r="H528" s="10" t="s">
        <v>39</v>
      </c>
      <c r="I528" s="6" t="s">
        <v>1033</v>
      </c>
      <c r="J528" s="196">
        <v>41764700666</v>
      </c>
      <c r="K528" s="180" t="s">
        <v>1034</v>
      </c>
      <c r="L528" s="107">
        <v>22533548</v>
      </c>
      <c r="M528" s="37">
        <v>5214811135088</v>
      </c>
      <c r="N528" s="169" t="s">
        <v>47</v>
      </c>
      <c r="O528" s="48">
        <v>6405.06</v>
      </c>
      <c r="P528" s="95">
        <v>848</v>
      </c>
      <c r="Q528" s="13">
        <v>1921.52</v>
      </c>
      <c r="R528" s="22">
        <v>1073.52</v>
      </c>
      <c r="S528" s="72"/>
      <c r="T528" s="6"/>
      <c r="U528" s="164"/>
      <c r="V528" s="1"/>
      <c r="X528" s="101">
        <v>1</v>
      </c>
    </row>
    <row r="529" spans="2:24" hidden="1">
      <c r="B529" s="24">
        <v>46272.96875</v>
      </c>
      <c r="C529" s="24">
        <v>46213.436805555553</v>
      </c>
      <c r="D529" s="10" t="s">
        <v>24</v>
      </c>
      <c r="E529" s="10"/>
      <c r="F529" s="28">
        <v>46213</v>
      </c>
      <c r="G529" s="28">
        <v>46302</v>
      </c>
      <c r="H529" s="20" t="s">
        <v>135</v>
      </c>
      <c r="I529" s="10" t="s">
        <v>1035</v>
      </c>
      <c r="J529" s="195">
        <v>83947725350</v>
      </c>
      <c r="K529" s="170" t="s">
        <v>1036</v>
      </c>
      <c r="L529" s="108">
        <v>22516320</v>
      </c>
      <c r="M529" s="36">
        <v>5215615883858</v>
      </c>
      <c r="N529" s="170" t="s">
        <v>98</v>
      </c>
      <c r="O529" s="49"/>
      <c r="P529" s="96"/>
      <c r="Q529" s="12">
        <v>0</v>
      </c>
      <c r="R529" s="12">
        <v>0</v>
      </c>
      <c r="S529" s="73"/>
      <c r="T529" s="10"/>
      <c r="U529" s="97"/>
      <c r="V529" s="1"/>
      <c r="X529" s="101">
        <v>0</v>
      </c>
    </row>
    <row r="530" spans="2:24" hidden="1">
      <c r="B530" s="23">
        <v>46302.434027777781</v>
      </c>
      <c r="C530" s="23">
        <v>46213.438194444447</v>
      </c>
      <c r="D530" s="6" t="s">
        <v>24</v>
      </c>
      <c r="E530" s="6"/>
      <c r="F530" s="28">
        <v>46213</v>
      </c>
      <c r="G530" s="27">
        <v>46302</v>
      </c>
      <c r="H530" s="6" t="s">
        <v>39</v>
      </c>
      <c r="I530" s="6" t="s">
        <v>1037</v>
      </c>
      <c r="J530" s="192">
        <v>64866305853</v>
      </c>
      <c r="K530" s="180" t="s">
        <v>1038</v>
      </c>
      <c r="L530" s="108">
        <v>22520068</v>
      </c>
      <c r="M530" s="37">
        <v>5216311372155</v>
      </c>
      <c r="N530" s="169" t="s">
        <v>37</v>
      </c>
      <c r="O530" s="48">
        <v>7920.51</v>
      </c>
      <c r="P530" s="95">
        <v>2291.6</v>
      </c>
      <c r="Q530" s="13">
        <v>2376.15</v>
      </c>
      <c r="R530" s="13">
        <v>84.55</v>
      </c>
      <c r="S530" s="72">
        <v>46357</v>
      </c>
      <c r="T530" s="6" t="s">
        <v>259</v>
      </c>
      <c r="U530" s="164"/>
      <c r="V530" s="1"/>
      <c r="X530" s="101">
        <v>2</v>
      </c>
    </row>
    <row r="531" spans="2:24" hidden="1">
      <c r="B531" s="24">
        <v>46302.412499999999</v>
      </c>
      <c r="C531" s="24">
        <v>46213.44027777778</v>
      </c>
      <c r="D531" s="10" t="s">
        <v>24</v>
      </c>
      <c r="E531" s="10"/>
      <c r="F531" s="28">
        <v>46213</v>
      </c>
      <c r="G531" s="28">
        <v>46272</v>
      </c>
      <c r="H531" s="10" t="s">
        <v>81</v>
      </c>
      <c r="I531" s="10" t="s">
        <v>1039</v>
      </c>
      <c r="J531" s="193">
        <v>39927322311</v>
      </c>
      <c r="K531" s="181" t="s">
        <v>1040</v>
      </c>
      <c r="L531" s="108">
        <v>22522966</v>
      </c>
      <c r="M531" s="36">
        <v>5215527466342</v>
      </c>
      <c r="N531" s="170" t="s">
        <v>74</v>
      </c>
      <c r="O531" s="49"/>
      <c r="P531" s="96"/>
      <c r="Q531" s="12">
        <v>0</v>
      </c>
      <c r="R531" s="12">
        <v>0</v>
      </c>
      <c r="S531" s="73"/>
      <c r="T531" s="10"/>
      <c r="U531" s="97"/>
      <c r="V531" s="1"/>
      <c r="X531" s="101">
        <v>1</v>
      </c>
    </row>
    <row r="532" spans="2:24" hidden="1">
      <c r="B532" s="23">
        <v>46302.44027777778</v>
      </c>
      <c r="C532" s="23">
        <v>46213.443749999999</v>
      </c>
      <c r="D532" s="6" t="s">
        <v>24</v>
      </c>
      <c r="E532" s="6"/>
      <c r="F532" s="28">
        <v>46213</v>
      </c>
      <c r="G532" s="27">
        <v>46272</v>
      </c>
      <c r="H532" s="6" t="s">
        <v>81</v>
      </c>
      <c r="I532" s="6" t="s">
        <v>1041</v>
      </c>
      <c r="J532" s="196">
        <v>54917159086</v>
      </c>
      <c r="K532" s="180" t="s">
        <v>1042</v>
      </c>
      <c r="L532" s="108">
        <v>22522076</v>
      </c>
      <c r="M532" s="37">
        <v>5213911259955</v>
      </c>
      <c r="N532" s="169" t="s">
        <v>37</v>
      </c>
      <c r="O532" s="48">
        <v>7135.6</v>
      </c>
      <c r="P532" s="95">
        <v>2064.5</v>
      </c>
      <c r="Q532" s="13">
        <v>2140.6799999999998</v>
      </c>
      <c r="R532" s="13">
        <v>76.180000000000007</v>
      </c>
      <c r="S532" s="72">
        <v>46759</v>
      </c>
      <c r="T532" s="6" t="s">
        <v>192</v>
      </c>
      <c r="U532" s="164"/>
      <c r="V532" s="1"/>
      <c r="X532" s="101">
        <v>2</v>
      </c>
    </row>
    <row r="533" spans="2:24" hidden="1">
      <c r="B533" s="24">
        <v>46302.456944444442</v>
      </c>
      <c r="C533" s="24">
        <v>46213.457638888889</v>
      </c>
      <c r="D533" s="10" t="s">
        <v>24</v>
      </c>
      <c r="E533" s="10"/>
      <c r="F533" s="28">
        <v>46213</v>
      </c>
      <c r="G533" s="28">
        <v>46302</v>
      </c>
      <c r="H533" s="10" t="s">
        <v>90</v>
      </c>
      <c r="I533" s="10"/>
      <c r="J533" s="195">
        <v>84866900057</v>
      </c>
      <c r="K533" s="181"/>
      <c r="L533" s="111">
        <v>1</v>
      </c>
      <c r="M533" s="36"/>
      <c r="N533" s="170" t="s">
        <v>28</v>
      </c>
      <c r="O533" s="49">
        <v>6845.98</v>
      </c>
      <c r="P533" s="96"/>
      <c r="Q533" s="12">
        <v>2053.79</v>
      </c>
      <c r="R533" s="14">
        <v>2053.79</v>
      </c>
      <c r="S533" s="73"/>
      <c r="T533" s="10"/>
      <c r="U533" s="97"/>
      <c r="V533" s="1"/>
      <c r="X533" s="101">
        <v>1</v>
      </c>
    </row>
    <row r="534" spans="2:24" hidden="1">
      <c r="B534" s="23">
        <v>46302.388194444444</v>
      </c>
      <c r="C534" s="23">
        <v>46213.458333333336</v>
      </c>
      <c r="D534" s="6" t="s">
        <v>24</v>
      </c>
      <c r="E534" s="6"/>
      <c r="F534" s="28">
        <v>46213</v>
      </c>
      <c r="G534" s="27">
        <v>46272</v>
      </c>
      <c r="H534" s="6" t="s">
        <v>54</v>
      </c>
      <c r="I534" s="6" t="s">
        <v>1043</v>
      </c>
      <c r="J534" s="196">
        <v>489641073</v>
      </c>
      <c r="K534" s="180" t="s">
        <v>1044</v>
      </c>
      <c r="L534" s="108">
        <v>22521014</v>
      </c>
      <c r="M534" s="37">
        <v>5213310181312</v>
      </c>
      <c r="N534" s="169" t="s">
        <v>37</v>
      </c>
      <c r="O534" s="48">
        <v>9440.27</v>
      </c>
      <c r="P534" s="95">
        <v>2731.3</v>
      </c>
      <c r="Q534" s="13">
        <v>2832.08</v>
      </c>
      <c r="R534" s="13">
        <v>100.78</v>
      </c>
      <c r="S534" s="72">
        <v>46397</v>
      </c>
      <c r="T534" s="6"/>
      <c r="U534" s="164"/>
      <c r="V534" s="1"/>
      <c r="X534" s="101">
        <v>2</v>
      </c>
    </row>
    <row r="535" spans="2:24" hidden="1">
      <c r="B535" s="24">
        <v>46302.458333333336</v>
      </c>
      <c r="C535" s="24">
        <v>46213.459722222222</v>
      </c>
      <c r="D535" s="10" t="s">
        <v>24</v>
      </c>
      <c r="E535" s="10"/>
      <c r="F535" s="28">
        <v>46213</v>
      </c>
      <c r="G535" s="28">
        <v>46302</v>
      </c>
      <c r="H535" s="10" t="s">
        <v>103</v>
      </c>
      <c r="I535" s="10"/>
      <c r="J535" s="195">
        <v>43745827576</v>
      </c>
      <c r="K535" s="181"/>
      <c r="L535" s="111">
        <v>1</v>
      </c>
      <c r="M535" s="40">
        <v>6685621563</v>
      </c>
      <c r="N535" s="170" t="s">
        <v>47</v>
      </c>
      <c r="O535" s="49">
        <v>5055.88</v>
      </c>
      <c r="P535" s="96"/>
      <c r="Q535" s="12">
        <v>1516.76</v>
      </c>
      <c r="R535" s="16">
        <v>882.9</v>
      </c>
      <c r="S535" s="73"/>
      <c r="T535" s="10"/>
      <c r="U535" s="97"/>
      <c r="V535" s="1"/>
      <c r="X535" s="101">
        <v>1</v>
      </c>
    </row>
    <row r="536" spans="2:24" hidden="1">
      <c r="B536" s="23">
        <v>46302.47152777778</v>
      </c>
      <c r="C536" s="23">
        <v>46213.472916666666</v>
      </c>
      <c r="D536" s="6" t="s">
        <v>24</v>
      </c>
      <c r="E536" s="6"/>
      <c r="F536" s="28">
        <v>46213</v>
      </c>
      <c r="G536" s="27">
        <v>46302</v>
      </c>
      <c r="H536" s="6" t="s">
        <v>103</v>
      </c>
      <c r="I536" s="6"/>
      <c r="J536" s="196">
        <v>65825407169</v>
      </c>
      <c r="K536" s="180"/>
      <c r="L536" s="108">
        <v>1</v>
      </c>
      <c r="M536" s="37">
        <v>8334489664</v>
      </c>
      <c r="N536" s="169" t="s">
        <v>37</v>
      </c>
      <c r="O536" s="48">
        <v>13662.33</v>
      </c>
      <c r="P536" s="95">
        <v>4078.07</v>
      </c>
      <c r="Q536" s="13">
        <v>4098.7</v>
      </c>
      <c r="R536" s="13">
        <v>20.63</v>
      </c>
      <c r="S536" s="72">
        <v>46758</v>
      </c>
      <c r="T536" s="6"/>
      <c r="U536" s="164"/>
      <c r="V536" s="1"/>
      <c r="X536" s="101">
        <v>2</v>
      </c>
    </row>
    <row r="537" spans="2:24" hidden="1">
      <c r="B537" s="24">
        <v>46302.472916666666</v>
      </c>
      <c r="C537" s="24">
        <v>46213.475694444445</v>
      </c>
      <c r="D537" s="10" t="s">
        <v>24</v>
      </c>
      <c r="E537" s="10"/>
      <c r="F537" s="28">
        <v>46213</v>
      </c>
      <c r="G537" s="28">
        <v>46302</v>
      </c>
      <c r="H537" s="10" t="s">
        <v>124</v>
      </c>
      <c r="I537" s="10" t="s">
        <v>1045</v>
      </c>
      <c r="J537" s="195"/>
      <c r="K537" s="181" t="s">
        <v>1046</v>
      </c>
      <c r="L537" s="108">
        <v>22531190</v>
      </c>
      <c r="M537" s="36">
        <v>5213327997817</v>
      </c>
      <c r="N537" s="170" t="s">
        <v>28</v>
      </c>
      <c r="O537" s="49">
        <v>13469.54</v>
      </c>
      <c r="P537" s="96"/>
      <c r="Q537" s="12">
        <v>4040.86</v>
      </c>
      <c r="R537" s="14">
        <v>4040.86</v>
      </c>
      <c r="S537" s="73"/>
      <c r="T537" s="10"/>
      <c r="U537" s="97"/>
      <c r="V537" s="1"/>
      <c r="X537" s="101">
        <v>1</v>
      </c>
    </row>
    <row r="538" spans="2:24" hidden="1">
      <c r="B538" s="23">
        <v>46302.478472222225</v>
      </c>
      <c r="C538" s="23">
        <v>46213.481249999997</v>
      </c>
      <c r="D538" s="6" t="s">
        <v>24</v>
      </c>
      <c r="E538" s="6"/>
      <c r="F538" s="28">
        <v>46213</v>
      </c>
      <c r="G538" s="27">
        <v>46302</v>
      </c>
      <c r="H538" s="10" t="s">
        <v>39</v>
      </c>
      <c r="I538" s="6" t="s">
        <v>1047</v>
      </c>
      <c r="J538" s="196">
        <v>6695139623</v>
      </c>
      <c r="K538" s="180" t="s">
        <v>1048</v>
      </c>
      <c r="L538" s="107">
        <v>22502054</v>
      </c>
      <c r="M538" s="37">
        <v>5214426539385</v>
      </c>
      <c r="N538" s="169" t="s">
        <v>28</v>
      </c>
      <c r="O538" s="48">
        <v>12090.09</v>
      </c>
      <c r="P538" s="95">
        <v>848</v>
      </c>
      <c r="Q538" s="13">
        <v>3627.03</v>
      </c>
      <c r="R538" s="9">
        <v>2779.03</v>
      </c>
      <c r="S538" s="72"/>
      <c r="T538" s="6"/>
      <c r="U538" s="164"/>
      <c r="V538" s="1"/>
      <c r="X538" s="101">
        <v>1</v>
      </c>
    </row>
    <row r="539" spans="2:24" hidden="1">
      <c r="B539" s="24">
        <v>46302.458333333336</v>
      </c>
      <c r="C539" s="24">
        <v>46213.481249999997</v>
      </c>
      <c r="D539" s="10" t="s">
        <v>24</v>
      </c>
      <c r="E539" s="10"/>
      <c r="F539" s="28">
        <v>46213</v>
      </c>
      <c r="G539" s="28">
        <v>46302</v>
      </c>
      <c r="H539" s="10" t="s">
        <v>54</v>
      </c>
      <c r="I539" s="10" t="s">
        <v>1049</v>
      </c>
      <c r="J539" s="195">
        <v>15907222440</v>
      </c>
      <c r="K539" s="181" t="s">
        <v>1050</v>
      </c>
      <c r="L539" s="108">
        <v>22540136</v>
      </c>
      <c r="M539" s="36">
        <v>5217772173532</v>
      </c>
      <c r="N539" s="170" t="s">
        <v>37</v>
      </c>
      <c r="O539" s="49">
        <v>6888.14</v>
      </c>
      <c r="P539" s="96">
        <v>2065</v>
      </c>
      <c r="Q539" s="12">
        <v>2066.44</v>
      </c>
      <c r="R539" s="12">
        <v>1.44</v>
      </c>
      <c r="S539" s="73">
        <v>46235</v>
      </c>
      <c r="T539" s="10"/>
      <c r="U539" s="97"/>
      <c r="V539" s="1"/>
      <c r="X539" s="101">
        <v>2</v>
      </c>
    </row>
    <row r="540" spans="2:24" hidden="1">
      <c r="B540" s="23">
        <v>46302.482638888891</v>
      </c>
      <c r="C540" s="23">
        <v>46213.484722222223</v>
      </c>
      <c r="D540" s="6" t="s">
        <v>24</v>
      </c>
      <c r="E540" s="6"/>
      <c r="F540" s="28">
        <v>46213</v>
      </c>
      <c r="G540" s="27" t="s">
        <v>1051</v>
      </c>
      <c r="H540" s="6" t="s">
        <v>269</v>
      </c>
      <c r="I540" s="6" t="s">
        <v>1052</v>
      </c>
      <c r="J540" s="192">
        <v>4796105445</v>
      </c>
      <c r="K540" s="180" t="s">
        <v>1053</v>
      </c>
      <c r="L540" s="108">
        <v>18830940</v>
      </c>
      <c r="M540" s="37">
        <v>5213320768146</v>
      </c>
      <c r="N540" s="169" t="s">
        <v>37</v>
      </c>
      <c r="O540" s="48">
        <v>7116.73</v>
      </c>
      <c r="P540" s="95">
        <v>2134.98</v>
      </c>
      <c r="Q540" s="13">
        <v>2135.02</v>
      </c>
      <c r="R540" s="13">
        <v>0.04</v>
      </c>
      <c r="S540" s="72">
        <v>46758</v>
      </c>
      <c r="T540" s="6"/>
      <c r="U540" s="164"/>
      <c r="V540" s="1"/>
      <c r="X540" s="101">
        <v>2</v>
      </c>
    </row>
    <row r="541" spans="2:24" hidden="1">
      <c r="B541" s="24">
        <v>46302.481249999997</v>
      </c>
      <c r="C541" s="24">
        <v>46213.486111111109</v>
      </c>
      <c r="D541" s="10" t="s">
        <v>24</v>
      </c>
      <c r="E541" s="10"/>
      <c r="F541" s="28">
        <v>46213</v>
      </c>
      <c r="G541" s="28">
        <v>46272</v>
      </c>
      <c r="H541" s="10" t="s">
        <v>51</v>
      </c>
      <c r="I541" s="10" t="s">
        <v>1054</v>
      </c>
      <c r="J541" s="193">
        <v>15958070888</v>
      </c>
      <c r="K541" s="179" t="s">
        <v>1055</v>
      </c>
      <c r="L541" s="108">
        <v>22522440</v>
      </c>
      <c r="M541" s="36">
        <v>5217341427665</v>
      </c>
      <c r="N541" s="170" t="s">
        <v>47</v>
      </c>
      <c r="O541" s="49">
        <v>4678.1099999999997</v>
      </c>
      <c r="P541" s="96"/>
      <c r="Q541" s="12">
        <v>1403.43</v>
      </c>
      <c r="R541" s="16">
        <v>505.13</v>
      </c>
      <c r="S541" s="73"/>
      <c r="T541" s="10"/>
      <c r="U541" s="97"/>
      <c r="V541" s="1"/>
      <c r="X541" s="101">
        <v>1</v>
      </c>
    </row>
    <row r="542" spans="2:24" hidden="1">
      <c r="B542" s="23">
        <v>46302.466666666667</v>
      </c>
      <c r="C542" s="23">
        <v>46213.488194444442</v>
      </c>
      <c r="D542" s="6" t="s">
        <v>24</v>
      </c>
      <c r="E542" s="6"/>
      <c r="F542" s="28">
        <v>46213</v>
      </c>
      <c r="G542" s="27">
        <v>46272</v>
      </c>
      <c r="H542" s="10" t="s">
        <v>78</v>
      </c>
      <c r="I542" s="6" t="s">
        <v>1056</v>
      </c>
      <c r="J542" s="192">
        <v>43755912722</v>
      </c>
      <c r="K542" s="180" t="s">
        <v>1057</v>
      </c>
      <c r="L542" s="107">
        <v>22499154</v>
      </c>
      <c r="M542" s="37">
        <v>5218123194808</v>
      </c>
      <c r="N542" s="169" t="s">
        <v>106</v>
      </c>
      <c r="O542" s="48">
        <v>14339.1</v>
      </c>
      <c r="P542" s="95">
        <v>3970.08</v>
      </c>
      <c r="Q542" s="13">
        <v>4301.7299999999996</v>
      </c>
      <c r="R542" s="22">
        <v>331.65</v>
      </c>
      <c r="S542" s="72">
        <v>46029</v>
      </c>
      <c r="T542" s="6"/>
      <c r="U542" s="164"/>
      <c r="V542" s="1"/>
      <c r="X542" s="101">
        <v>2</v>
      </c>
    </row>
    <row r="543" spans="2:24" hidden="1">
      <c r="B543" s="24">
        <v>46302.473611111112</v>
      </c>
      <c r="C543" s="24">
        <v>46213.488888888889</v>
      </c>
      <c r="D543" s="10" t="s">
        <v>24</v>
      </c>
      <c r="E543" s="10"/>
      <c r="F543" s="28">
        <v>46213</v>
      </c>
      <c r="G543" s="28">
        <v>46272</v>
      </c>
      <c r="H543" s="10" t="s">
        <v>78</v>
      </c>
      <c r="I543" s="10" t="s">
        <v>1058</v>
      </c>
      <c r="J543" s="193">
        <v>16897020000</v>
      </c>
      <c r="K543" s="181" t="s">
        <v>1059</v>
      </c>
      <c r="L543" s="108">
        <v>22518156</v>
      </c>
      <c r="M543" s="36">
        <v>52170201036499</v>
      </c>
      <c r="N543" s="170" t="s">
        <v>32</v>
      </c>
      <c r="O543" s="49">
        <v>4177.1000000000004</v>
      </c>
      <c r="P543" s="96">
        <v>848</v>
      </c>
      <c r="Q543" s="12">
        <v>1253.1300000000001</v>
      </c>
      <c r="R543" s="12">
        <v>-843.88</v>
      </c>
      <c r="S543" s="73"/>
      <c r="T543" s="10"/>
      <c r="U543" s="97"/>
      <c r="V543" s="1"/>
      <c r="X543" s="101">
        <v>1</v>
      </c>
    </row>
    <row r="544" spans="2:24" hidden="1">
      <c r="B544" s="23">
        <v>46302.475694444445</v>
      </c>
      <c r="C544" s="23">
        <v>46213.489583333336</v>
      </c>
      <c r="D544" s="6" t="s">
        <v>24</v>
      </c>
      <c r="E544" s="6"/>
      <c r="F544" s="28">
        <v>46213</v>
      </c>
      <c r="G544" s="27">
        <v>46302</v>
      </c>
      <c r="H544" s="10" t="s">
        <v>124</v>
      </c>
      <c r="I544" s="6" t="s">
        <v>1060</v>
      </c>
      <c r="J544" s="192">
        <v>49907502410</v>
      </c>
      <c r="K544" s="180" t="s">
        <v>1061</v>
      </c>
      <c r="L544" s="107">
        <v>22533354</v>
      </c>
      <c r="M544" s="37">
        <v>5218136039287</v>
      </c>
      <c r="N544" s="169" t="s">
        <v>28</v>
      </c>
      <c r="O544" s="48">
        <v>5514.8</v>
      </c>
      <c r="P544" s="95"/>
      <c r="Q544" s="13">
        <v>1654.44</v>
      </c>
      <c r="R544" s="9">
        <v>1341.82</v>
      </c>
      <c r="S544" s="72"/>
      <c r="T544" s="6"/>
      <c r="U544" s="164"/>
      <c r="V544" s="1"/>
      <c r="X544" s="101">
        <v>1</v>
      </c>
    </row>
    <row r="545" spans="2:24" hidden="1">
      <c r="B545" s="24">
        <v>46302.488194444442</v>
      </c>
      <c r="C545" s="24">
        <v>46213.490972222222</v>
      </c>
      <c r="D545" s="10" t="s">
        <v>24</v>
      </c>
      <c r="E545" s="10"/>
      <c r="F545" s="28">
        <v>46213</v>
      </c>
      <c r="G545" s="28">
        <v>46302</v>
      </c>
      <c r="H545" s="10" t="s">
        <v>78</v>
      </c>
      <c r="I545" s="10" t="s">
        <v>1062</v>
      </c>
      <c r="J545" s="193">
        <v>90907369988</v>
      </c>
      <c r="K545" s="181" t="s">
        <v>1063</v>
      </c>
      <c r="L545" s="108">
        <v>22539988</v>
      </c>
      <c r="M545" s="36">
        <v>5215584797077</v>
      </c>
      <c r="N545" s="170" t="s">
        <v>47</v>
      </c>
      <c r="O545" s="49">
        <v>4813.68</v>
      </c>
      <c r="P545" s="96"/>
      <c r="Q545" s="12">
        <v>1444.1</v>
      </c>
      <c r="R545" s="16">
        <v>640.70000000000005</v>
      </c>
      <c r="S545" s="73"/>
      <c r="T545" s="10"/>
      <c r="U545" s="97"/>
      <c r="V545" s="1"/>
      <c r="X545" s="101">
        <v>1</v>
      </c>
    </row>
    <row r="546" spans="2:24" hidden="1">
      <c r="B546" s="23">
        <v>46302.490972222222</v>
      </c>
      <c r="C546" s="23">
        <v>46213.492361111108</v>
      </c>
      <c r="D546" s="6" t="s">
        <v>24</v>
      </c>
      <c r="E546" s="6"/>
      <c r="F546" s="28">
        <v>46213</v>
      </c>
      <c r="G546" s="27">
        <v>46302</v>
      </c>
      <c r="H546" s="6" t="s">
        <v>103</v>
      </c>
      <c r="I546" s="6"/>
      <c r="J546" s="192" t="s">
        <v>1064</v>
      </c>
      <c r="K546" s="180"/>
      <c r="L546" s="108">
        <v>1</v>
      </c>
      <c r="M546" s="37" t="s">
        <v>1064</v>
      </c>
      <c r="N546" s="169" t="s">
        <v>37</v>
      </c>
      <c r="O546" s="48">
        <v>9760.32</v>
      </c>
      <c r="P546" s="95">
        <v>2926.94</v>
      </c>
      <c r="Q546" s="13">
        <v>2928.1</v>
      </c>
      <c r="R546" s="13">
        <v>1.1599999999999999</v>
      </c>
      <c r="S546" s="72">
        <v>46398</v>
      </c>
      <c r="T546" s="6"/>
      <c r="U546" s="164"/>
      <c r="V546" s="1"/>
      <c r="X546" s="101">
        <v>2</v>
      </c>
    </row>
    <row r="547" spans="2:24" hidden="1">
      <c r="B547" s="24">
        <v>46302.490972222222</v>
      </c>
      <c r="C547" s="24">
        <v>46213.496527777781</v>
      </c>
      <c r="D547" s="10" t="s">
        <v>24</v>
      </c>
      <c r="E547" s="10"/>
      <c r="F547" s="28">
        <v>46213</v>
      </c>
      <c r="G547" s="28">
        <v>46302</v>
      </c>
      <c r="H547" s="10" t="s">
        <v>39</v>
      </c>
      <c r="I547" s="10" t="s">
        <v>1065</v>
      </c>
      <c r="J547" s="193">
        <v>24856778253</v>
      </c>
      <c r="K547" s="181" t="s">
        <v>1066</v>
      </c>
      <c r="L547" s="108">
        <v>22536038</v>
      </c>
      <c r="M547" s="36">
        <v>5216644205866</v>
      </c>
      <c r="N547" s="170" t="s">
        <v>32</v>
      </c>
      <c r="O547" s="49">
        <v>3547.06</v>
      </c>
      <c r="P547" s="96">
        <v>848</v>
      </c>
      <c r="Q547" s="12">
        <v>1064.1199999999999</v>
      </c>
      <c r="R547" s="12">
        <v>-848</v>
      </c>
      <c r="S547" s="73"/>
      <c r="T547" s="10"/>
      <c r="U547" s="97"/>
      <c r="V547" s="1"/>
      <c r="X547" s="101">
        <v>1</v>
      </c>
    </row>
    <row r="548" spans="2:24" hidden="1">
      <c r="B548" s="23">
        <v>46302.477083333331</v>
      </c>
      <c r="C548" s="23">
        <v>46213.497916666667</v>
      </c>
      <c r="D548" s="6" t="s">
        <v>24</v>
      </c>
      <c r="E548" s="6"/>
      <c r="F548" s="28">
        <v>46213</v>
      </c>
      <c r="G548" s="27">
        <v>46272</v>
      </c>
      <c r="H548" s="6" t="s">
        <v>160</v>
      </c>
      <c r="I548" s="6" t="s">
        <v>1067</v>
      </c>
      <c r="J548" s="192">
        <v>16786202230</v>
      </c>
      <c r="K548" s="180" t="s">
        <v>1068</v>
      </c>
      <c r="L548" s="108">
        <v>22507558</v>
      </c>
      <c r="M548" s="37">
        <v>5217223981126</v>
      </c>
      <c r="N548" s="169" t="s">
        <v>37</v>
      </c>
      <c r="O548" s="48">
        <v>5617.63</v>
      </c>
      <c r="P548" s="95">
        <v>1393.24</v>
      </c>
      <c r="Q548" s="13">
        <v>1685.29</v>
      </c>
      <c r="R548" s="13">
        <v>51.41</v>
      </c>
      <c r="S548" s="72">
        <v>46754</v>
      </c>
      <c r="T548" s="6"/>
      <c r="U548" s="164"/>
      <c r="V548" s="1"/>
      <c r="X548" s="101">
        <v>2</v>
      </c>
    </row>
    <row r="549" spans="2:24" hidden="1">
      <c r="B549" s="24">
        <v>46302.497916666667</v>
      </c>
      <c r="C549" s="24">
        <v>46213.502083333333</v>
      </c>
      <c r="D549" s="10" t="s">
        <v>24</v>
      </c>
      <c r="E549" s="10"/>
      <c r="F549" s="28">
        <v>46213</v>
      </c>
      <c r="G549" s="28">
        <v>46302</v>
      </c>
      <c r="H549" s="10" t="s">
        <v>127</v>
      </c>
      <c r="I549" s="10" t="s">
        <v>1069</v>
      </c>
      <c r="J549" s="193">
        <v>32745637242</v>
      </c>
      <c r="K549" s="181" t="s">
        <v>1070</v>
      </c>
      <c r="L549" s="108">
        <v>22536362</v>
      </c>
      <c r="M549" s="36">
        <v>5218611328650</v>
      </c>
      <c r="N549" s="170" t="s">
        <v>32</v>
      </c>
      <c r="O549" s="49">
        <v>3961.31</v>
      </c>
      <c r="P549" s="96">
        <v>879</v>
      </c>
      <c r="Q549" s="12">
        <v>1188.3900000000001</v>
      </c>
      <c r="R549" s="12">
        <v>-879</v>
      </c>
      <c r="S549" s="73"/>
      <c r="T549" s="10"/>
      <c r="U549" s="97"/>
      <c r="V549" s="1"/>
      <c r="X549" s="101">
        <v>1</v>
      </c>
    </row>
    <row r="550" spans="2:24" hidden="1">
      <c r="B550" s="23">
        <v>46302.519444444442</v>
      </c>
      <c r="C550" s="23">
        <v>46213.52847222222</v>
      </c>
      <c r="D550" s="6" t="s">
        <v>24</v>
      </c>
      <c r="E550" s="6"/>
      <c r="F550" s="28">
        <v>46213</v>
      </c>
      <c r="G550" s="27">
        <v>46302</v>
      </c>
      <c r="H550" s="10" t="s">
        <v>103</v>
      </c>
      <c r="I550" s="6" t="s">
        <v>1071</v>
      </c>
      <c r="J550" s="192">
        <v>12917278157</v>
      </c>
      <c r="K550" s="180"/>
      <c r="L550" s="109">
        <v>1</v>
      </c>
      <c r="M550" s="38">
        <v>3315472266</v>
      </c>
      <c r="N550" s="169" t="s">
        <v>106</v>
      </c>
      <c r="O550" s="48">
        <v>12581.43</v>
      </c>
      <c r="P550" s="95">
        <v>3492.07</v>
      </c>
      <c r="Q550" s="13">
        <v>3774.43</v>
      </c>
      <c r="R550" s="13">
        <v>282.36</v>
      </c>
      <c r="S550" s="72">
        <v>46029</v>
      </c>
      <c r="T550" s="6"/>
      <c r="U550" s="164"/>
      <c r="V550" s="1"/>
      <c r="X550" s="101">
        <v>2</v>
      </c>
    </row>
    <row r="551" spans="2:24" hidden="1">
      <c r="B551" s="24">
        <v>46302.525694444441</v>
      </c>
      <c r="C551" s="24">
        <v>46213.529861111114</v>
      </c>
      <c r="D551" s="10" t="s">
        <v>24</v>
      </c>
      <c r="E551" s="10"/>
      <c r="F551" s="28">
        <v>46213</v>
      </c>
      <c r="G551" s="28">
        <v>46302</v>
      </c>
      <c r="H551" s="10" t="s">
        <v>39</v>
      </c>
      <c r="I551" s="10" t="s">
        <v>1072</v>
      </c>
      <c r="J551" s="193"/>
      <c r="K551" s="181" t="s">
        <v>1073</v>
      </c>
      <c r="L551" s="108">
        <v>22534820</v>
      </c>
      <c r="M551" s="36">
        <v>5213311600935</v>
      </c>
      <c r="N551" s="170" t="s">
        <v>28</v>
      </c>
      <c r="O551" s="49">
        <v>10369.39</v>
      </c>
      <c r="P551" s="96"/>
      <c r="Q551" s="12">
        <v>3110.82</v>
      </c>
      <c r="R551" s="14">
        <v>3110.82</v>
      </c>
      <c r="S551" s="73"/>
      <c r="T551" s="10"/>
      <c r="U551" s="97"/>
      <c r="V551" s="1"/>
      <c r="X551" s="101">
        <v>1</v>
      </c>
    </row>
    <row r="552" spans="2:24" hidden="1">
      <c r="B552" s="23">
        <v>46302.536805555559</v>
      </c>
      <c r="C552" s="23">
        <v>46213.553472222222</v>
      </c>
      <c r="D552" s="6" t="s">
        <v>24</v>
      </c>
      <c r="E552" s="6"/>
      <c r="F552" s="28">
        <v>46213</v>
      </c>
      <c r="G552" s="27">
        <v>46302</v>
      </c>
      <c r="H552" s="10" t="s">
        <v>103</v>
      </c>
      <c r="I552" s="6" t="s">
        <v>684</v>
      </c>
      <c r="J552" s="192">
        <v>32836635105</v>
      </c>
      <c r="K552" s="180"/>
      <c r="L552" s="109">
        <v>1</v>
      </c>
      <c r="M552" s="37">
        <v>8444945742</v>
      </c>
      <c r="N552" s="169" t="s">
        <v>28</v>
      </c>
      <c r="O552" s="48">
        <v>9081.52</v>
      </c>
      <c r="P552" s="95"/>
      <c r="Q552" s="13">
        <v>2724.46</v>
      </c>
      <c r="R552" s="9">
        <v>2724.46</v>
      </c>
      <c r="S552" s="72"/>
      <c r="T552" s="6"/>
      <c r="U552" s="164"/>
      <c r="V552" s="1"/>
      <c r="X552" s="101">
        <v>1</v>
      </c>
    </row>
    <row r="553" spans="2:24" hidden="1">
      <c r="B553" s="24">
        <v>46302.443749999999</v>
      </c>
      <c r="C553" s="24">
        <v>46213.559027777781</v>
      </c>
      <c r="D553" s="10" t="s">
        <v>24</v>
      </c>
      <c r="E553" s="10"/>
      <c r="F553" s="28">
        <v>46213</v>
      </c>
      <c r="G553" s="28">
        <v>46272</v>
      </c>
      <c r="H553" s="10" t="s">
        <v>81</v>
      </c>
      <c r="I553" s="10" t="s">
        <v>1074</v>
      </c>
      <c r="J553" s="193">
        <v>6725313305</v>
      </c>
      <c r="K553" s="181"/>
      <c r="L553" s="108">
        <v>22513386</v>
      </c>
      <c r="M553" s="36">
        <v>5216441527112</v>
      </c>
      <c r="N553" s="170" t="s">
        <v>32</v>
      </c>
      <c r="O553" s="49">
        <v>4623.93</v>
      </c>
      <c r="P553" s="96">
        <v>848</v>
      </c>
      <c r="Q553" s="12">
        <v>1387.18</v>
      </c>
      <c r="R553" s="12">
        <v>-397.05</v>
      </c>
      <c r="S553" s="73"/>
      <c r="T553" s="10"/>
      <c r="U553" s="97"/>
      <c r="V553" s="1"/>
      <c r="X553" s="101">
        <v>1</v>
      </c>
    </row>
    <row r="554" spans="2:24" hidden="1">
      <c r="B554" s="23">
        <v>46302.56527777778</v>
      </c>
      <c r="C554" s="23">
        <v>46213.566666666666</v>
      </c>
      <c r="D554" s="6" t="s">
        <v>24</v>
      </c>
      <c r="E554" s="6"/>
      <c r="F554" s="28">
        <v>46213</v>
      </c>
      <c r="G554" s="27">
        <v>46302</v>
      </c>
      <c r="H554" s="6" t="s">
        <v>103</v>
      </c>
      <c r="I554" s="6" t="s">
        <v>1075</v>
      </c>
      <c r="J554" s="203">
        <v>64806032369</v>
      </c>
      <c r="K554" s="180"/>
      <c r="L554" s="108">
        <v>1</v>
      </c>
      <c r="M554" s="37">
        <v>3123096967</v>
      </c>
      <c r="N554" s="169" t="s">
        <v>37</v>
      </c>
      <c r="O554" s="48">
        <v>6262.86</v>
      </c>
      <c r="P554" s="95">
        <v>1778.56</v>
      </c>
      <c r="Q554" s="13">
        <v>1878.86</v>
      </c>
      <c r="R554" s="13">
        <v>100.3</v>
      </c>
      <c r="S554" s="72">
        <v>46391</v>
      </c>
      <c r="T554" s="6"/>
      <c r="U554" s="164"/>
      <c r="V554" s="1"/>
      <c r="X554" s="101">
        <v>2</v>
      </c>
    </row>
    <row r="555" spans="2:24" hidden="1">
      <c r="B555" s="24">
        <v>46302.540277777778</v>
      </c>
      <c r="C555" s="24">
        <v>46213.588888888888</v>
      </c>
      <c r="D555" s="10" t="s">
        <v>24</v>
      </c>
      <c r="E555" s="10"/>
      <c r="F555" s="28">
        <v>46213</v>
      </c>
      <c r="G555" s="28">
        <v>46302</v>
      </c>
      <c r="H555" s="10" t="s">
        <v>127</v>
      </c>
      <c r="I555" s="10"/>
      <c r="J555" s="193">
        <v>32886025751</v>
      </c>
      <c r="K555" s="181"/>
      <c r="L555" s="108">
        <v>22524300</v>
      </c>
      <c r="M555" s="36">
        <v>5218661857579</v>
      </c>
      <c r="N555" s="170" t="s">
        <v>130</v>
      </c>
      <c r="O555" s="49">
        <v>6262.86</v>
      </c>
      <c r="P555" s="96">
        <v>1738.79</v>
      </c>
      <c r="Q555" s="12">
        <v>1878.86</v>
      </c>
      <c r="R555" s="12">
        <v>140.07</v>
      </c>
      <c r="S555" s="73">
        <v>45667</v>
      </c>
      <c r="T555" s="10"/>
      <c r="U555" s="97"/>
      <c r="V555" s="1"/>
      <c r="X555" s="101">
        <v>2</v>
      </c>
    </row>
    <row r="556" spans="2:24" hidden="1">
      <c r="B556" s="23">
        <v>46302.556944444441</v>
      </c>
      <c r="C556" s="23">
        <v>46213.589583333334</v>
      </c>
      <c r="D556" s="6" t="s">
        <v>24</v>
      </c>
      <c r="E556" s="6"/>
      <c r="F556" s="28">
        <v>46213</v>
      </c>
      <c r="G556" s="27">
        <v>46029</v>
      </c>
      <c r="H556" s="10" t="s">
        <v>160</v>
      </c>
      <c r="I556" s="6" t="s">
        <v>1076</v>
      </c>
      <c r="J556" s="196">
        <v>1704572153</v>
      </c>
      <c r="K556" s="180" t="s">
        <v>1077</v>
      </c>
      <c r="L556" s="107">
        <v>22177178</v>
      </c>
      <c r="M556" s="37">
        <v>5217716840041</v>
      </c>
      <c r="N556" s="169" t="s">
        <v>28</v>
      </c>
      <c r="O556" s="48">
        <v>18288.509999999998</v>
      </c>
      <c r="P556" s="95"/>
      <c r="Q556" s="13">
        <v>5486.55</v>
      </c>
      <c r="R556" s="9">
        <v>5486.55</v>
      </c>
      <c r="S556" s="72"/>
      <c r="T556" s="6"/>
      <c r="U556" s="164"/>
      <c r="V556" s="1"/>
      <c r="X556" s="101">
        <v>1</v>
      </c>
    </row>
    <row r="557" spans="2:24" hidden="1">
      <c r="B557" s="24">
        <v>46302.569444444445</v>
      </c>
      <c r="C557" s="24">
        <v>46213.591666666667</v>
      </c>
      <c r="D557" s="10" t="s">
        <v>24</v>
      </c>
      <c r="E557" s="10"/>
      <c r="F557" s="28">
        <v>46213</v>
      </c>
      <c r="G557" s="28">
        <v>46302</v>
      </c>
      <c r="H557" s="10" t="s">
        <v>160</v>
      </c>
      <c r="I557" s="10" t="s">
        <v>1078</v>
      </c>
      <c r="J557" s="195">
        <v>72856134563</v>
      </c>
      <c r="K557" s="181" t="s">
        <v>1079</v>
      </c>
      <c r="L557" s="108">
        <v>22540714</v>
      </c>
      <c r="M557" s="36">
        <v>5217442252950</v>
      </c>
      <c r="N557" s="170" t="s">
        <v>37</v>
      </c>
      <c r="O557" s="49">
        <v>15245.54</v>
      </c>
      <c r="P557" s="96">
        <v>4410.8999999999996</v>
      </c>
      <c r="Q557" s="12">
        <v>4573.66</v>
      </c>
      <c r="R557" s="12">
        <v>162.76</v>
      </c>
      <c r="S557" s="73">
        <v>46392</v>
      </c>
      <c r="T557" s="10"/>
      <c r="U557" s="97"/>
      <c r="V557" s="1"/>
      <c r="X557" s="101">
        <v>2</v>
      </c>
    </row>
    <row r="558" spans="2:24" hidden="1">
      <c r="B558" s="23">
        <v>46302.592361111114</v>
      </c>
      <c r="C558" s="23">
        <v>46213.595833333333</v>
      </c>
      <c r="D558" s="6" t="s">
        <v>24</v>
      </c>
      <c r="E558" s="6"/>
      <c r="F558" s="28">
        <v>46213</v>
      </c>
      <c r="G558" s="27">
        <v>46302</v>
      </c>
      <c r="H558" s="6" t="s">
        <v>160</v>
      </c>
      <c r="I558" s="6" t="s">
        <v>1080</v>
      </c>
      <c r="J558" s="196">
        <v>4826610703</v>
      </c>
      <c r="K558" s="180" t="s">
        <v>1081</v>
      </c>
      <c r="L558" s="108">
        <v>22548292</v>
      </c>
      <c r="M558" s="37">
        <v>5213344504667</v>
      </c>
      <c r="N558" s="169" t="s">
        <v>37</v>
      </c>
      <c r="O558" s="48">
        <v>19326.61</v>
      </c>
      <c r="P558" s="95">
        <v>5795.94</v>
      </c>
      <c r="Q558" s="13">
        <v>5797.98</v>
      </c>
      <c r="R558" s="13">
        <v>2.04</v>
      </c>
      <c r="S558" s="72">
        <v>46758</v>
      </c>
      <c r="T558" s="6"/>
      <c r="U558" s="164"/>
      <c r="V558" s="1"/>
      <c r="X558" s="101">
        <v>2</v>
      </c>
    </row>
    <row r="559" spans="2:24" hidden="1">
      <c r="B559" s="24">
        <v>46302.588888888888</v>
      </c>
      <c r="C559" s="24">
        <v>46213.599305555559</v>
      </c>
      <c r="D559" s="10" t="s">
        <v>24</v>
      </c>
      <c r="E559" s="10"/>
      <c r="F559" s="28">
        <v>46213</v>
      </c>
      <c r="G559" s="28">
        <v>46302</v>
      </c>
      <c r="H559" s="10" t="s">
        <v>127</v>
      </c>
      <c r="I559" s="10" t="s">
        <v>1082</v>
      </c>
      <c r="J559" s="195">
        <v>43795834647</v>
      </c>
      <c r="K559" s="181" t="s">
        <v>1083</v>
      </c>
      <c r="L559" s="108">
        <v>22540004</v>
      </c>
      <c r="M559" s="36">
        <v>5218123059185</v>
      </c>
      <c r="N559" s="170" t="s">
        <v>37</v>
      </c>
      <c r="O559" s="49">
        <v>5921.89</v>
      </c>
      <c r="P559" s="96">
        <v>1686.29</v>
      </c>
      <c r="Q559" s="12">
        <v>1776.57</v>
      </c>
      <c r="R559" s="12">
        <v>62.62</v>
      </c>
      <c r="S559" s="73">
        <v>46753</v>
      </c>
      <c r="T559" s="10"/>
      <c r="U559" s="97"/>
      <c r="V559" s="1"/>
      <c r="X559" s="101">
        <v>2</v>
      </c>
    </row>
    <row r="560" spans="2:24" hidden="1">
      <c r="B560" s="23">
        <v>46302.42291666667</v>
      </c>
      <c r="C560" s="23">
        <v>46213.601388888892</v>
      </c>
      <c r="D560" s="6" t="s">
        <v>24</v>
      </c>
      <c r="E560" s="6"/>
      <c r="F560" s="28">
        <v>46213</v>
      </c>
      <c r="G560" s="27">
        <v>46302</v>
      </c>
      <c r="H560" s="6" t="s">
        <v>68</v>
      </c>
      <c r="I560" s="6" t="s">
        <v>1084</v>
      </c>
      <c r="J560" s="196">
        <v>43704714955</v>
      </c>
      <c r="K560" s="180" t="s">
        <v>1085</v>
      </c>
      <c r="L560" s="107">
        <v>22530928</v>
      </c>
      <c r="M560" s="37">
        <v>5216143135188</v>
      </c>
      <c r="N560" s="169" t="s">
        <v>32</v>
      </c>
      <c r="O560" s="48">
        <v>4407.67</v>
      </c>
      <c r="P560" s="95">
        <v>848</v>
      </c>
      <c r="Q560" s="13">
        <v>1322.3</v>
      </c>
      <c r="R560" s="13">
        <v>-613.30999999999995</v>
      </c>
      <c r="S560" s="72"/>
      <c r="T560" s="6"/>
      <c r="U560" s="164"/>
      <c r="V560" s="1"/>
      <c r="X560" s="101">
        <v>1</v>
      </c>
    </row>
    <row r="561" spans="2:24" hidden="1">
      <c r="B561" s="24">
        <v>46302.591666666667</v>
      </c>
      <c r="C561" s="24">
        <v>46213.602083333331</v>
      </c>
      <c r="D561" s="10" t="s">
        <v>24</v>
      </c>
      <c r="E561" s="10"/>
      <c r="F561" s="28">
        <v>46213</v>
      </c>
      <c r="G561" s="28">
        <v>46302</v>
      </c>
      <c r="H561" s="10" t="s">
        <v>68</v>
      </c>
      <c r="I561" s="10" t="s">
        <v>1086</v>
      </c>
      <c r="J561" s="195">
        <v>54785731669</v>
      </c>
      <c r="K561" s="181" t="s">
        <v>1087</v>
      </c>
      <c r="L561" s="108">
        <v>22532638</v>
      </c>
      <c r="M561" s="36">
        <v>5213222415798</v>
      </c>
      <c r="N561" s="170" t="s">
        <v>32</v>
      </c>
      <c r="O561" s="49">
        <v>4342.43</v>
      </c>
      <c r="P561" s="96">
        <v>848</v>
      </c>
      <c r="Q561" s="12">
        <v>1302.73</v>
      </c>
      <c r="R561" s="12">
        <v>-678.55</v>
      </c>
      <c r="S561" s="73"/>
      <c r="T561" s="10"/>
      <c r="U561" s="97"/>
      <c r="V561" s="1"/>
      <c r="X561" s="101">
        <v>1</v>
      </c>
    </row>
    <row r="562" spans="2:24" hidden="1">
      <c r="B562" s="23">
        <v>46302.489583333336</v>
      </c>
      <c r="C562" s="23">
        <v>46213.613888888889</v>
      </c>
      <c r="D562" s="6" t="s">
        <v>24</v>
      </c>
      <c r="E562" s="6"/>
      <c r="F562" s="28">
        <v>46213</v>
      </c>
      <c r="G562" s="27">
        <v>46302</v>
      </c>
      <c r="H562" s="6" t="s">
        <v>124</v>
      </c>
      <c r="I562" s="6" t="s">
        <v>1088</v>
      </c>
      <c r="J562" s="196"/>
      <c r="K562" s="180" t="s">
        <v>1089</v>
      </c>
      <c r="L562" s="107">
        <v>22535662</v>
      </c>
      <c r="M562" s="37">
        <v>5216461244723</v>
      </c>
      <c r="N562" s="169" t="s">
        <v>32</v>
      </c>
      <c r="O562" s="48">
        <v>2903.32</v>
      </c>
      <c r="P562" s="95">
        <v>700</v>
      </c>
      <c r="Q562" s="13">
        <v>871</v>
      </c>
      <c r="R562" s="13">
        <v>-700</v>
      </c>
      <c r="S562" s="72"/>
      <c r="T562" s="6"/>
      <c r="U562" s="164"/>
      <c r="V562" s="1"/>
      <c r="X562" s="101">
        <v>1</v>
      </c>
    </row>
    <row r="563" spans="2:24" hidden="1">
      <c r="B563" s="24">
        <v>46302.613888888889</v>
      </c>
      <c r="C563" s="24">
        <v>46213.617361111108</v>
      </c>
      <c r="D563" s="10" t="s">
        <v>24</v>
      </c>
      <c r="E563" s="10"/>
      <c r="F563" s="28">
        <v>46213</v>
      </c>
      <c r="G563" s="28">
        <v>46302</v>
      </c>
      <c r="H563" s="10" t="s">
        <v>39</v>
      </c>
      <c r="I563" s="10" t="s">
        <v>1090</v>
      </c>
      <c r="J563" s="198">
        <v>54806188725</v>
      </c>
      <c r="K563" s="179" t="s">
        <v>1091</v>
      </c>
      <c r="L563" s="108">
        <v>22546260</v>
      </c>
      <c r="M563" s="36">
        <v>5213339035370</v>
      </c>
      <c r="N563" s="170" t="s">
        <v>28</v>
      </c>
      <c r="O563" s="49">
        <v>9760.32</v>
      </c>
      <c r="P563" s="96">
        <v>879</v>
      </c>
      <c r="Q563" s="12">
        <v>2928.1</v>
      </c>
      <c r="R563" s="14">
        <v>2049.1</v>
      </c>
      <c r="S563" s="73"/>
      <c r="T563" s="10"/>
      <c r="U563" s="97"/>
      <c r="V563" s="1"/>
      <c r="X563" s="101">
        <v>1</v>
      </c>
    </row>
    <row r="564" spans="2:24" hidden="1">
      <c r="B564" s="23">
        <v>46302.614583333336</v>
      </c>
      <c r="C564" s="23">
        <v>46213.618750000001</v>
      </c>
      <c r="D564" s="6" t="s">
        <v>24</v>
      </c>
      <c r="E564" s="6"/>
      <c r="F564" s="28">
        <v>46213</v>
      </c>
      <c r="G564" s="27">
        <v>46302</v>
      </c>
      <c r="H564" s="6" t="s">
        <v>124</v>
      </c>
      <c r="I564" s="6" t="s">
        <v>1092</v>
      </c>
      <c r="J564" s="196">
        <v>53936426641</v>
      </c>
      <c r="K564" s="180" t="s">
        <v>1093</v>
      </c>
      <c r="L564" s="108">
        <v>22549344</v>
      </c>
      <c r="M564" s="37">
        <v>5217535384361</v>
      </c>
      <c r="N564" s="169" t="s">
        <v>37</v>
      </c>
      <c r="O564" s="48">
        <v>7128.48</v>
      </c>
      <c r="P564" s="95">
        <v>2062.42</v>
      </c>
      <c r="Q564" s="13">
        <v>2138.54</v>
      </c>
      <c r="R564" s="13">
        <v>76.12</v>
      </c>
      <c r="S564" s="72">
        <v>46392</v>
      </c>
      <c r="T564" s="6"/>
      <c r="U564" s="164"/>
      <c r="V564" s="1"/>
      <c r="X564" s="101">
        <v>2</v>
      </c>
    </row>
    <row r="565" spans="2:24" hidden="1">
      <c r="B565" s="24">
        <v>46302.624305555553</v>
      </c>
      <c r="C565" s="24">
        <v>46213.625</v>
      </c>
      <c r="D565" s="10" t="s">
        <v>24</v>
      </c>
      <c r="E565" s="10"/>
      <c r="F565" s="28">
        <v>46213</v>
      </c>
      <c r="G565" s="28">
        <v>46302</v>
      </c>
      <c r="H565" s="10" t="s">
        <v>103</v>
      </c>
      <c r="I565" s="10" t="s">
        <v>1094</v>
      </c>
      <c r="J565" s="195"/>
      <c r="K565" s="181" t="s">
        <v>1095</v>
      </c>
      <c r="L565" s="111">
        <v>1</v>
      </c>
      <c r="M565" s="40">
        <v>3315472266</v>
      </c>
      <c r="N565" s="170" t="s">
        <v>28</v>
      </c>
      <c r="O565" s="49">
        <v>9760.32</v>
      </c>
      <c r="P565" s="96"/>
      <c r="Q565" s="12">
        <v>2928.1</v>
      </c>
      <c r="R565" s="14">
        <v>2928.1</v>
      </c>
      <c r="S565" s="73"/>
      <c r="T565" s="10"/>
      <c r="U565" s="97"/>
      <c r="V565" s="1"/>
      <c r="X565" s="101">
        <v>1</v>
      </c>
    </row>
    <row r="566" spans="2:24" hidden="1">
      <c r="B566" s="23">
        <v>46302.481944444444</v>
      </c>
      <c r="C566" s="23">
        <v>46213.62777777778</v>
      </c>
      <c r="D566" s="6" t="s">
        <v>24</v>
      </c>
      <c r="E566" s="6"/>
      <c r="F566" s="28">
        <v>46213</v>
      </c>
      <c r="G566" s="27">
        <v>46302</v>
      </c>
      <c r="H566" s="6" t="s">
        <v>54</v>
      </c>
      <c r="I566" s="6" t="s">
        <v>1096</v>
      </c>
      <c r="J566" s="196"/>
      <c r="K566" s="180" t="s">
        <v>1097</v>
      </c>
      <c r="L566" s="107">
        <v>22523598</v>
      </c>
      <c r="M566" s="37">
        <v>5214523438470</v>
      </c>
      <c r="N566" s="169" t="s">
        <v>32</v>
      </c>
      <c r="O566" s="48">
        <v>3388.57</v>
      </c>
      <c r="P566" s="95"/>
      <c r="Q566" s="13">
        <v>1016.57</v>
      </c>
      <c r="R566" s="13">
        <v>0</v>
      </c>
      <c r="S566" s="72"/>
      <c r="T566" s="6"/>
      <c r="U566" s="164"/>
      <c r="V566" s="1"/>
      <c r="X566" s="101">
        <v>1</v>
      </c>
    </row>
    <row r="567" spans="2:24" hidden="1">
      <c r="B567" s="24">
        <v>46302.486805555556</v>
      </c>
      <c r="C567" s="24">
        <v>46213.629861111112</v>
      </c>
      <c r="D567" s="10" t="s">
        <v>24</v>
      </c>
      <c r="E567" s="10"/>
      <c r="F567" s="28">
        <v>46213</v>
      </c>
      <c r="G567" s="28">
        <v>46241</v>
      </c>
      <c r="H567" s="10" t="s">
        <v>51</v>
      </c>
      <c r="I567" s="10" t="s">
        <v>1098</v>
      </c>
      <c r="J567" s="195">
        <v>23917370936</v>
      </c>
      <c r="K567" s="181" t="s">
        <v>1099</v>
      </c>
      <c r="L567" s="108">
        <v>22482144</v>
      </c>
      <c r="M567" s="36">
        <v>5216681166440</v>
      </c>
      <c r="N567" s="170" t="s">
        <v>37</v>
      </c>
      <c r="O567" s="49">
        <v>8181.55</v>
      </c>
      <c r="P567" s="96">
        <v>2291.67</v>
      </c>
      <c r="Q567" s="12">
        <v>2454.4699999999998</v>
      </c>
      <c r="R567" s="12">
        <v>162.80000000000001</v>
      </c>
      <c r="S567" s="73">
        <v>46392</v>
      </c>
      <c r="T567" s="10"/>
      <c r="U567" s="97"/>
      <c r="V567" s="1"/>
      <c r="X567" s="101">
        <v>2</v>
      </c>
    </row>
    <row r="568" spans="2:24" hidden="1">
      <c r="B568" s="23">
        <v>46302.618750000001</v>
      </c>
      <c r="C568" s="23">
        <v>46213.636111111111</v>
      </c>
      <c r="D568" s="6" t="s">
        <v>24</v>
      </c>
      <c r="E568" s="6"/>
      <c r="F568" s="28">
        <v>46213</v>
      </c>
      <c r="G568" s="27">
        <v>46272</v>
      </c>
      <c r="H568" s="6" t="s">
        <v>124</v>
      </c>
      <c r="I568" s="6" t="s">
        <v>1100</v>
      </c>
      <c r="J568" s="196"/>
      <c r="K568" s="180" t="s">
        <v>1101</v>
      </c>
      <c r="L568" s="108">
        <v>22522210</v>
      </c>
      <c r="M568" s="37">
        <v>5218110564834</v>
      </c>
      <c r="N568" s="169" t="s">
        <v>37</v>
      </c>
      <c r="O568" s="48">
        <v>7115.6</v>
      </c>
      <c r="P568" s="95">
        <v>1961</v>
      </c>
      <c r="Q568" s="13">
        <v>2134.6799999999998</v>
      </c>
      <c r="R568" s="13">
        <v>173.68</v>
      </c>
      <c r="S568" s="72">
        <v>46296</v>
      </c>
      <c r="T568" s="6"/>
      <c r="U568" s="164"/>
      <c r="V568" s="1"/>
      <c r="X568" s="101">
        <v>2</v>
      </c>
    </row>
    <row r="569" spans="2:24" hidden="1">
      <c r="B569" s="24">
        <v>46302.640277777777</v>
      </c>
      <c r="C569" s="24">
        <v>46213.645833333336</v>
      </c>
      <c r="D569" s="10" t="s">
        <v>24</v>
      </c>
      <c r="E569" s="10"/>
      <c r="F569" s="28">
        <v>46213</v>
      </c>
      <c r="G569" s="28">
        <v>46302</v>
      </c>
      <c r="H569" s="10" t="s">
        <v>39</v>
      </c>
      <c r="I569" s="10" t="s">
        <v>1102</v>
      </c>
      <c r="J569" s="195"/>
      <c r="K569" s="181" t="s">
        <v>1103</v>
      </c>
      <c r="L569" s="108">
        <v>22545864</v>
      </c>
      <c r="M569" s="36">
        <v>5218126023008</v>
      </c>
      <c r="N569" s="170" t="s">
        <v>106</v>
      </c>
      <c r="O569" s="49">
        <v>9081.52</v>
      </c>
      <c r="P569" s="96">
        <v>2724.43</v>
      </c>
      <c r="Q569" s="12">
        <v>2724.46</v>
      </c>
      <c r="R569" s="12">
        <v>0.03</v>
      </c>
      <c r="S569" s="73">
        <v>46029</v>
      </c>
      <c r="T569" s="10"/>
      <c r="U569" s="97"/>
      <c r="V569" s="1"/>
      <c r="X569" s="101">
        <v>2</v>
      </c>
    </row>
    <row r="570" spans="2:24" hidden="1">
      <c r="B570" s="23">
        <v>46302.649305555555</v>
      </c>
      <c r="C570" s="23">
        <v>46213.652777777781</v>
      </c>
      <c r="D570" s="6" t="s">
        <v>24</v>
      </c>
      <c r="E570" s="6"/>
      <c r="F570" s="28">
        <v>46213</v>
      </c>
      <c r="G570" s="27">
        <v>46302</v>
      </c>
      <c r="H570" s="6" t="s">
        <v>39</v>
      </c>
      <c r="I570" s="6" t="s">
        <v>1104</v>
      </c>
      <c r="J570" s="196">
        <v>65735207808</v>
      </c>
      <c r="K570" s="180" t="s">
        <v>1105</v>
      </c>
      <c r="L570" s="108">
        <v>22541848</v>
      </c>
      <c r="M570" s="37">
        <v>5212297810534</v>
      </c>
      <c r="N570" s="169" t="s">
        <v>37</v>
      </c>
      <c r="O570" s="48">
        <v>8775.26</v>
      </c>
      <c r="P570" s="95">
        <v>2632.58</v>
      </c>
      <c r="Q570" s="13">
        <v>2632.58</v>
      </c>
      <c r="R570" s="13">
        <v>0</v>
      </c>
      <c r="S570" s="72">
        <v>46391</v>
      </c>
      <c r="T570" s="6" t="s">
        <v>362</v>
      </c>
      <c r="U570" s="164"/>
      <c r="V570" s="1"/>
      <c r="X570" s="101">
        <v>2</v>
      </c>
    </row>
    <row r="571" spans="2:24" hidden="1">
      <c r="B571" s="24">
        <v>46302.656944444447</v>
      </c>
      <c r="C571" s="24">
        <v>46213.663888888892</v>
      </c>
      <c r="D571" s="10" t="s">
        <v>24</v>
      </c>
      <c r="E571" s="10"/>
      <c r="F571" s="28">
        <v>46213</v>
      </c>
      <c r="G571" s="28">
        <v>46272</v>
      </c>
      <c r="H571" s="10" t="s">
        <v>160</v>
      </c>
      <c r="I571" s="10" t="s">
        <v>1106</v>
      </c>
      <c r="J571" s="195">
        <v>50907384825</v>
      </c>
      <c r="K571" s="181" t="s">
        <v>1107</v>
      </c>
      <c r="L571" s="108">
        <v>22518268</v>
      </c>
      <c r="M571" s="36">
        <v>5216141880496</v>
      </c>
      <c r="N571" s="170" t="s">
        <v>37</v>
      </c>
      <c r="O571" s="49">
        <v>8444.34</v>
      </c>
      <c r="P571" s="96">
        <v>2442.15</v>
      </c>
      <c r="Q571" s="12">
        <v>2533.3000000000002</v>
      </c>
      <c r="R571" s="12">
        <v>91.15</v>
      </c>
      <c r="S571" s="73">
        <v>46395</v>
      </c>
      <c r="T571" s="10"/>
      <c r="U571" s="97"/>
      <c r="V571" s="1"/>
      <c r="X571" s="101">
        <v>2</v>
      </c>
    </row>
    <row r="572" spans="2:24" hidden="1">
      <c r="B572" s="23">
        <v>46302.636111111111</v>
      </c>
      <c r="C572" s="23">
        <v>46213.664583333331</v>
      </c>
      <c r="D572" s="6" t="s">
        <v>24</v>
      </c>
      <c r="E572" s="6"/>
      <c r="F572" s="28">
        <v>46213</v>
      </c>
      <c r="G572" s="27">
        <v>46272</v>
      </c>
      <c r="H572" s="10" t="s">
        <v>124</v>
      </c>
      <c r="I572" s="6" t="s">
        <v>1108</v>
      </c>
      <c r="J572" s="196"/>
      <c r="K572" s="180" t="s">
        <v>1109</v>
      </c>
      <c r="L572" s="107">
        <v>22515654</v>
      </c>
      <c r="M572" s="37">
        <v>5216641224401</v>
      </c>
      <c r="N572" s="169" t="s">
        <v>28</v>
      </c>
      <c r="O572" s="48">
        <v>10636.54</v>
      </c>
      <c r="P572" s="95"/>
      <c r="Q572" s="13">
        <v>3190.96</v>
      </c>
      <c r="R572" s="9">
        <v>3190.96</v>
      </c>
      <c r="S572" s="72"/>
      <c r="T572" s="6"/>
      <c r="U572" s="164"/>
      <c r="V572" s="1"/>
      <c r="X572" s="101">
        <v>1</v>
      </c>
    </row>
    <row r="573" spans="2:24" hidden="1">
      <c r="B573" s="24">
        <v>46302.559027777781</v>
      </c>
      <c r="C573" s="24">
        <v>46213.665972222225</v>
      </c>
      <c r="D573" s="10" t="s">
        <v>24</v>
      </c>
      <c r="E573" s="10"/>
      <c r="F573" s="28">
        <v>46213</v>
      </c>
      <c r="G573" s="28">
        <v>46302</v>
      </c>
      <c r="H573" s="10" t="s">
        <v>81</v>
      </c>
      <c r="I573" s="10" t="s">
        <v>1110</v>
      </c>
      <c r="J573" s="195">
        <v>43886322734</v>
      </c>
      <c r="K573" s="181"/>
      <c r="L573" s="108">
        <v>22548338</v>
      </c>
      <c r="M573" s="36">
        <v>5218116317340</v>
      </c>
      <c r="N573" s="170" t="s">
        <v>37</v>
      </c>
      <c r="O573" s="49">
        <v>7920.51</v>
      </c>
      <c r="P573" s="96">
        <v>2275.54</v>
      </c>
      <c r="Q573" s="12">
        <v>2376.15</v>
      </c>
      <c r="R573" s="12">
        <v>100.61</v>
      </c>
      <c r="S573" s="73">
        <v>46754</v>
      </c>
      <c r="T573" s="10" t="s">
        <v>192</v>
      </c>
      <c r="U573" s="97"/>
      <c r="V573" s="1"/>
      <c r="X573" s="101">
        <v>2</v>
      </c>
    </row>
    <row r="574" spans="2:24" hidden="1">
      <c r="B574" s="23">
        <v>46302.665277777778</v>
      </c>
      <c r="C574" s="23">
        <v>46213.665972222225</v>
      </c>
      <c r="D574" s="6" t="s">
        <v>24</v>
      </c>
      <c r="E574" s="6"/>
      <c r="F574" s="28">
        <v>46213</v>
      </c>
      <c r="G574" s="27">
        <v>46302</v>
      </c>
      <c r="H574" s="6" t="s">
        <v>90</v>
      </c>
      <c r="I574" s="6" t="s">
        <v>1111</v>
      </c>
      <c r="J574" s="197">
        <v>31866807477</v>
      </c>
      <c r="K574" s="180"/>
      <c r="L574" s="108">
        <v>1</v>
      </c>
      <c r="M574" s="37" t="s">
        <v>1112</v>
      </c>
      <c r="N574" s="169" t="s">
        <v>37</v>
      </c>
      <c r="O574" s="48">
        <v>8784.2900000000009</v>
      </c>
      <c r="P574" s="95">
        <v>2633.39</v>
      </c>
      <c r="Q574" s="13">
        <v>2635.29</v>
      </c>
      <c r="R574" s="13">
        <v>1.9</v>
      </c>
      <c r="S574" s="72">
        <v>46756</v>
      </c>
      <c r="T574" s="6"/>
      <c r="U574" s="164"/>
      <c r="V574" s="1"/>
      <c r="X574" s="101">
        <v>2</v>
      </c>
    </row>
    <row r="575" spans="2:24" hidden="1">
      <c r="B575" s="24">
        <v>46302.665972222225</v>
      </c>
      <c r="C575" s="24">
        <v>46213.670138888891</v>
      </c>
      <c r="D575" s="10" t="s">
        <v>24</v>
      </c>
      <c r="E575" s="10"/>
      <c r="F575" s="28">
        <v>46213</v>
      </c>
      <c r="G575" s="28">
        <v>46302</v>
      </c>
      <c r="H575" s="10" t="s">
        <v>39</v>
      </c>
      <c r="I575" s="10" t="s">
        <v>1113</v>
      </c>
      <c r="J575" s="195"/>
      <c r="K575" s="181" t="s">
        <v>1114</v>
      </c>
      <c r="L575" s="108">
        <v>22536870</v>
      </c>
      <c r="M575" s="36">
        <v>5215527597013</v>
      </c>
      <c r="N575" s="170" t="s">
        <v>28</v>
      </c>
      <c r="O575" s="49">
        <v>7920.51</v>
      </c>
      <c r="P575" s="96"/>
      <c r="Q575" s="12">
        <v>2376.15</v>
      </c>
      <c r="R575" s="14">
        <v>2376.15</v>
      </c>
      <c r="S575" s="73"/>
      <c r="T575" s="10"/>
      <c r="U575" s="97"/>
      <c r="V575" s="1"/>
      <c r="X575" s="101">
        <v>1</v>
      </c>
    </row>
    <row r="576" spans="2:24" hidden="1">
      <c r="B576" s="23">
        <v>46302.62777777778</v>
      </c>
      <c r="C576" s="23">
        <v>46213.67291666667</v>
      </c>
      <c r="D576" s="6" t="s">
        <v>24</v>
      </c>
      <c r="E576" s="6"/>
      <c r="F576" s="28">
        <v>46213</v>
      </c>
      <c r="G576" s="27">
        <v>46302</v>
      </c>
      <c r="H576" s="6" t="s">
        <v>54</v>
      </c>
      <c r="I576" s="6" t="s">
        <v>1115</v>
      </c>
      <c r="J576" s="196">
        <v>92886993069</v>
      </c>
      <c r="K576" s="180" t="s">
        <v>1116</v>
      </c>
      <c r="L576" s="107">
        <v>22549424</v>
      </c>
      <c r="M576" s="37">
        <v>5215622116494</v>
      </c>
      <c r="N576" s="169" t="s">
        <v>74</v>
      </c>
      <c r="O576" s="48"/>
      <c r="P576" s="95"/>
      <c r="Q576" s="13">
        <v>0</v>
      </c>
      <c r="R576" s="13">
        <v>0</v>
      </c>
      <c r="S576" s="72"/>
      <c r="T576" s="6"/>
      <c r="U576" s="164"/>
      <c r="V576" s="1"/>
      <c r="X576" s="101">
        <v>1</v>
      </c>
    </row>
    <row r="577" spans="2:24" hidden="1">
      <c r="B577" s="24">
        <v>46302.664583333331</v>
      </c>
      <c r="C577" s="24">
        <v>46213.679166666669</v>
      </c>
      <c r="D577" s="10" t="s">
        <v>24</v>
      </c>
      <c r="E577" s="10"/>
      <c r="F577" s="28">
        <v>46213</v>
      </c>
      <c r="G577" s="28">
        <v>46302</v>
      </c>
      <c r="H577" s="10" t="s">
        <v>124</v>
      </c>
      <c r="I577" s="10" t="s">
        <v>1117</v>
      </c>
      <c r="J577" s="195">
        <v>42805604222</v>
      </c>
      <c r="K577" s="181" t="s">
        <v>1118</v>
      </c>
      <c r="L577" s="108">
        <v>22546102</v>
      </c>
      <c r="M577" s="36">
        <v>5216221146667</v>
      </c>
      <c r="N577" s="170" t="s">
        <v>37</v>
      </c>
      <c r="O577" s="49">
        <v>7913.78</v>
      </c>
      <c r="P577" s="96">
        <v>2289.64</v>
      </c>
      <c r="Q577" s="12">
        <v>2374.13</v>
      </c>
      <c r="R577" s="12">
        <v>84.49</v>
      </c>
      <c r="S577" s="73">
        <v>46754</v>
      </c>
      <c r="T577" s="10"/>
      <c r="U577" s="97"/>
      <c r="V577" s="1"/>
      <c r="X577" s="101">
        <v>2</v>
      </c>
    </row>
    <row r="578" spans="2:24" hidden="1">
      <c r="B578" s="23">
        <v>46302.675000000003</v>
      </c>
      <c r="C578" s="23">
        <v>46213.680555555555</v>
      </c>
      <c r="D578" s="6" t="s">
        <v>24</v>
      </c>
      <c r="E578" s="6"/>
      <c r="F578" s="28">
        <v>46213</v>
      </c>
      <c r="G578" s="27">
        <v>46302</v>
      </c>
      <c r="H578" s="6" t="s">
        <v>78</v>
      </c>
      <c r="I578" s="6" t="s">
        <v>1119</v>
      </c>
      <c r="J578" s="196"/>
      <c r="K578" s="180" t="s">
        <v>1120</v>
      </c>
      <c r="L578" s="108">
        <v>22532912</v>
      </c>
      <c r="M578" s="37">
        <v>5216311903607</v>
      </c>
      <c r="N578" s="169" t="s">
        <v>37</v>
      </c>
      <c r="O578" s="48">
        <v>9760.32</v>
      </c>
      <c r="P578" s="95">
        <v>2636.79</v>
      </c>
      <c r="Q578" s="13">
        <v>2928.1</v>
      </c>
      <c r="R578" s="13">
        <v>291.31</v>
      </c>
      <c r="S578" s="72">
        <v>46399</v>
      </c>
      <c r="T578" s="6"/>
      <c r="U578" s="164"/>
      <c r="V578" s="1"/>
      <c r="X578" s="101">
        <v>2</v>
      </c>
    </row>
    <row r="579" spans="2:24" hidden="1">
      <c r="B579" s="24">
        <v>46302.675000000003</v>
      </c>
      <c r="C579" s="24">
        <v>46213.683333333334</v>
      </c>
      <c r="D579" s="10" t="s">
        <v>24</v>
      </c>
      <c r="E579" s="10"/>
      <c r="F579" s="28">
        <v>46213</v>
      </c>
      <c r="G579" s="28">
        <v>46302</v>
      </c>
      <c r="H579" s="10" t="s">
        <v>127</v>
      </c>
      <c r="I579" s="10" t="s">
        <v>1121</v>
      </c>
      <c r="J579" s="195">
        <v>56977704834</v>
      </c>
      <c r="K579" s="181" t="s">
        <v>1122</v>
      </c>
      <c r="L579" s="108">
        <v>22542084</v>
      </c>
      <c r="M579" s="36">
        <v>5214428319874</v>
      </c>
      <c r="N579" s="170" t="s">
        <v>37</v>
      </c>
      <c r="O579" s="49">
        <v>8181.55</v>
      </c>
      <c r="P579" s="96">
        <v>2367.06</v>
      </c>
      <c r="Q579" s="12">
        <v>2454.4699999999998</v>
      </c>
      <c r="R579" s="12">
        <v>87.41</v>
      </c>
      <c r="S579" s="73">
        <v>46753</v>
      </c>
      <c r="T579" s="10"/>
      <c r="U579" s="97"/>
      <c r="V579" s="1"/>
      <c r="X579" s="101">
        <v>2</v>
      </c>
    </row>
    <row r="580" spans="2:24" hidden="1">
      <c r="B580" s="23">
        <v>46302.601388888892</v>
      </c>
      <c r="C580" s="23">
        <v>46213.685416666667</v>
      </c>
      <c r="D580" s="6" t="s">
        <v>24</v>
      </c>
      <c r="E580" s="6"/>
      <c r="F580" s="28">
        <v>46213</v>
      </c>
      <c r="G580" s="27">
        <v>46302</v>
      </c>
      <c r="H580" s="6" t="s">
        <v>68</v>
      </c>
      <c r="I580" s="6" t="s">
        <v>1123</v>
      </c>
      <c r="J580" s="196">
        <v>4371512966</v>
      </c>
      <c r="K580" s="180" t="s">
        <v>1124</v>
      </c>
      <c r="L580" s="107">
        <v>22545922</v>
      </c>
      <c r="M580" s="37">
        <v>5218125959435</v>
      </c>
      <c r="N580" s="169" t="s">
        <v>32</v>
      </c>
      <c r="O580" s="48">
        <v>3855.42</v>
      </c>
      <c r="P580" s="95">
        <v>848</v>
      </c>
      <c r="Q580" s="13">
        <v>1156.6300000000001</v>
      </c>
      <c r="R580" s="13">
        <v>-848</v>
      </c>
      <c r="S580" s="72"/>
      <c r="T580" s="6"/>
      <c r="U580" s="164"/>
      <c r="V580" s="1"/>
      <c r="X580" s="101">
        <v>1</v>
      </c>
    </row>
    <row r="581" spans="2:24" hidden="1">
      <c r="B581" s="24">
        <v>46302.686111111114</v>
      </c>
      <c r="C581" s="24">
        <v>46213.693749999999</v>
      </c>
      <c r="D581" s="10" t="s">
        <v>24</v>
      </c>
      <c r="E581" s="10"/>
      <c r="F581" s="28">
        <v>46213</v>
      </c>
      <c r="G581" s="28">
        <v>46302</v>
      </c>
      <c r="H581" s="10" t="s">
        <v>160</v>
      </c>
      <c r="I581" s="10" t="s">
        <v>1125</v>
      </c>
      <c r="J581" s="195">
        <v>54795700324</v>
      </c>
      <c r="K581" s="181" t="s">
        <v>1126</v>
      </c>
      <c r="L581" s="108">
        <v>22553700</v>
      </c>
      <c r="M581" s="36">
        <v>5213317415840</v>
      </c>
      <c r="N581" s="170" t="s">
        <v>32</v>
      </c>
      <c r="O581" s="49">
        <v>3623.36</v>
      </c>
      <c r="P581" s="96">
        <v>848</v>
      </c>
      <c r="Q581" s="12">
        <v>1087.01</v>
      </c>
      <c r="R581" s="12">
        <v>-848</v>
      </c>
      <c r="S581" s="73"/>
      <c r="T581" s="10"/>
      <c r="U581" s="97"/>
      <c r="V581" s="1"/>
      <c r="X581" s="101">
        <v>1</v>
      </c>
    </row>
    <row r="582" spans="2:24" hidden="1">
      <c r="B582" s="23">
        <v>46302.690972222219</v>
      </c>
      <c r="C582" s="23">
        <v>46213.700694444444</v>
      </c>
      <c r="D582" s="6" t="s">
        <v>24</v>
      </c>
      <c r="E582" s="6"/>
      <c r="F582" s="28">
        <v>46213</v>
      </c>
      <c r="G582" s="27">
        <v>46302</v>
      </c>
      <c r="H582" s="6" t="s">
        <v>39</v>
      </c>
      <c r="I582" s="6" t="s">
        <v>1127</v>
      </c>
      <c r="J582" s="196">
        <v>12977526040</v>
      </c>
      <c r="K582" s="180" t="s">
        <v>1128</v>
      </c>
      <c r="L582" s="107">
        <v>22548598</v>
      </c>
      <c r="M582" s="37">
        <v>5214611389892</v>
      </c>
      <c r="N582" s="169" t="s">
        <v>32</v>
      </c>
      <c r="O582" s="48">
        <v>3866.64</v>
      </c>
      <c r="P582" s="95">
        <v>879</v>
      </c>
      <c r="Q582" s="13">
        <v>1159.99</v>
      </c>
      <c r="R582" s="13">
        <v>-879</v>
      </c>
      <c r="S582" s="72"/>
      <c r="T582" s="6"/>
      <c r="U582" s="164"/>
      <c r="V582" s="1"/>
      <c r="X582" s="101">
        <v>1</v>
      </c>
    </row>
    <row r="583" spans="2:24" hidden="1">
      <c r="B583" s="24">
        <v>46302.693749999999</v>
      </c>
      <c r="C583" s="24">
        <v>46213.703472222223</v>
      </c>
      <c r="D583" s="10" t="s">
        <v>24</v>
      </c>
      <c r="E583" s="10"/>
      <c r="F583" s="28">
        <v>46213</v>
      </c>
      <c r="G583" s="28">
        <v>46272</v>
      </c>
      <c r="H583" s="10" t="s">
        <v>78</v>
      </c>
      <c r="I583" s="10" t="s">
        <v>1129</v>
      </c>
      <c r="J583" s="195"/>
      <c r="K583" s="181" t="s">
        <v>1130</v>
      </c>
      <c r="L583" s="108">
        <v>22520912</v>
      </c>
      <c r="M583" s="36">
        <v>5218334484642</v>
      </c>
      <c r="N583" s="170" t="s">
        <v>28</v>
      </c>
      <c r="O583" s="49">
        <v>23271.759999999998</v>
      </c>
      <c r="P583" s="96"/>
      <c r="Q583" s="12">
        <v>6981.53</v>
      </c>
      <c r="R583" s="14">
        <v>6981.53</v>
      </c>
      <c r="S583" s="73"/>
      <c r="T583" s="10"/>
      <c r="U583" s="97"/>
      <c r="V583" s="1"/>
      <c r="X583" s="101">
        <v>1</v>
      </c>
    </row>
    <row r="584" spans="2:24" hidden="1">
      <c r="B584" s="23">
        <v>46302.699305555558</v>
      </c>
      <c r="C584" s="23">
        <v>46213.706250000003</v>
      </c>
      <c r="D584" s="6" t="s">
        <v>24</v>
      </c>
      <c r="E584" s="6"/>
      <c r="F584" s="28">
        <v>46213</v>
      </c>
      <c r="G584" s="27">
        <v>46302</v>
      </c>
      <c r="H584" s="6" t="s">
        <v>78</v>
      </c>
      <c r="I584" s="6" t="s">
        <v>1131</v>
      </c>
      <c r="J584" s="196"/>
      <c r="K584" s="180" t="s">
        <v>1132</v>
      </c>
      <c r="L584" s="108">
        <v>22551836</v>
      </c>
      <c r="M584" s="37">
        <v>5215520995861</v>
      </c>
      <c r="N584" s="169" t="s">
        <v>37</v>
      </c>
      <c r="O584" s="48">
        <v>32827.9</v>
      </c>
      <c r="P584" s="95">
        <v>9848.19</v>
      </c>
      <c r="Q584" s="13">
        <v>9848.3700000000008</v>
      </c>
      <c r="R584" s="13">
        <v>0.18</v>
      </c>
      <c r="S584" s="72">
        <v>46755</v>
      </c>
      <c r="T584" s="6"/>
      <c r="U584" s="164"/>
      <c r="V584" s="1"/>
      <c r="X584" s="101">
        <v>2</v>
      </c>
    </row>
    <row r="585" spans="2:24" hidden="1">
      <c r="B585" s="24">
        <v>46302.700694444444</v>
      </c>
      <c r="C585" s="24">
        <v>46213.707638888889</v>
      </c>
      <c r="D585" s="10" t="s">
        <v>24</v>
      </c>
      <c r="E585" s="10"/>
      <c r="F585" s="28">
        <v>46213</v>
      </c>
      <c r="G585" s="28">
        <v>46302</v>
      </c>
      <c r="H585" s="10" t="s">
        <v>39</v>
      </c>
      <c r="I585" s="10" t="s">
        <v>1133</v>
      </c>
      <c r="J585" s="195"/>
      <c r="K585" s="181" t="s">
        <v>1134</v>
      </c>
      <c r="L585" s="108">
        <v>22548950</v>
      </c>
      <c r="M585" s="36">
        <v>5218132788090</v>
      </c>
      <c r="N585" s="170" t="s">
        <v>37</v>
      </c>
      <c r="O585" s="49">
        <v>13715.74</v>
      </c>
      <c r="P585" s="96">
        <v>3968.29</v>
      </c>
      <c r="Q585" s="12">
        <v>4114.72</v>
      </c>
      <c r="R585" s="12">
        <v>146.43</v>
      </c>
      <c r="S585" s="73">
        <v>46756</v>
      </c>
      <c r="T585" s="10"/>
      <c r="U585" s="97"/>
      <c r="V585" s="1"/>
      <c r="X585" s="101">
        <v>2</v>
      </c>
    </row>
    <row r="586" spans="2:24" hidden="1">
      <c r="B586" s="23">
        <v>46302.685416666667</v>
      </c>
      <c r="C586" s="23">
        <v>46213.719444444447</v>
      </c>
      <c r="D586" s="6" t="s">
        <v>24</v>
      </c>
      <c r="E586" s="6"/>
      <c r="F586" s="28">
        <v>46213</v>
      </c>
      <c r="G586" s="27">
        <v>46302</v>
      </c>
      <c r="H586" s="6" t="s">
        <v>68</v>
      </c>
      <c r="I586" s="6" t="s">
        <v>1135</v>
      </c>
      <c r="J586" s="196"/>
      <c r="K586" s="180" t="s">
        <v>1136</v>
      </c>
      <c r="L586" s="108">
        <v>22549152</v>
      </c>
      <c r="M586" s="37">
        <v>5218611321518</v>
      </c>
      <c r="N586" s="169" t="s">
        <v>37</v>
      </c>
      <c r="O586" s="48">
        <v>7037.83</v>
      </c>
      <c r="P586" s="95">
        <v>2110.34</v>
      </c>
      <c r="Q586" s="13">
        <v>2111.35</v>
      </c>
      <c r="R586" s="13">
        <v>1.01</v>
      </c>
      <c r="S586" s="72">
        <v>46357</v>
      </c>
      <c r="T586" s="6"/>
      <c r="U586" s="164"/>
      <c r="V586" s="1"/>
      <c r="X586" s="101">
        <v>2</v>
      </c>
    </row>
    <row r="587" spans="2:24" hidden="1">
      <c r="B587" s="24">
        <v>46302.67291666667</v>
      </c>
      <c r="C587" s="24">
        <v>46213.72152777778</v>
      </c>
      <c r="D587" s="10" t="s">
        <v>24</v>
      </c>
      <c r="E587" s="10"/>
      <c r="F587" s="28">
        <v>46213</v>
      </c>
      <c r="G587" s="28">
        <v>46272</v>
      </c>
      <c r="H587" s="10" t="s">
        <v>54</v>
      </c>
      <c r="I587" s="10" t="s">
        <v>1137</v>
      </c>
      <c r="J587" s="195"/>
      <c r="K587" s="181" t="s">
        <v>1138</v>
      </c>
      <c r="L587" s="108">
        <v>22522330</v>
      </c>
      <c r="M587" s="36">
        <v>5213414380080</v>
      </c>
      <c r="N587" s="170" t="s">
        <v>37</v>
      </c>
      <c r="O587" s="49">
        <v>18300.47</v>
      </c>
      <c r="P587" s="96">
        <v>5275.82</v>
      </c>
      <c r="Q587" s="12">
        <v>5490.14</v>
      </c>
      <c r="R587" s="12">
        <v>214.32</v>
      </c>
      <c r="S587" s="73">
        <v>46394</v>
      </c>
      <c r="T587" s="10"/>
      <c r="U587" s="97"/>
      <c r="V587" s="1"/>
      <c r="X587" s="101">
        <v>2</v>
      </c>
    </row>
    <row r="588" spans="2:24" hidden="1">
      <c r="B588" s="23">
        <v>46302.72152777778</v>
      </c>
      <c r="C588" s="23">
        <v>46213.724305555559</v>
      </c>
      <c r="D588" s="6" t="s">
        <v>24</v>
      </c>
      <c r="E588" s="6"/>
      <c r="F588" s="28">
        <v>46213</v>
      </c>
      <c r="G588" s="27">
        <v>46302</v>
      </c>
      <c r="H588" s="6" t="s">
        <v>54</v>
      </c>
      <c r="I588" s="6" t="s">
        <v>1139</v>
      </c>
      <c r="J588" s="196">
        <v>24745630038</v>
      </c>
      <c r="K588" s="180" t="s">
        <v>1140</v>
      </c>
      <c r="L588" s="108">
        <v>22554686</v>
      </c>
      <c r="M588" s="37">
        <v>5216442115473</v>
      </c>
      <c r="N588" s="169" t="s">
        <v>37</v>
      </c>
      <c r="O588" s="48">
        <v>7128.48</v>
      </c>
      <c r="P588" s="95">
        <v>1978.43</v>
      </c>
      <c r="Q588" s="13">
        <v>2138.54</v>
      </c>
      <c r="R588" s="13">
        <v>160.11000000000001</v>
      </c>
      <c r="S588" s="72">
        <v>46266</v>
      </c>
      <c r="T588" s="6"/>
      <c r="U588" s="164"/>
      <c r="V588" s="1"/>
      <c r="X588" s="101">
        <v>2</v>
      </c>
    </row>
    <row r="589" spans="2:24" hidden="1">
      <c r="B589" s="24">
        <v>46302.665972222225</v>
      </c>
      <c r="C589" s="24">
        <v>46213.727083333331</v>
      </c>
      <c r="D589" s="10" t="s">
        <v>24</v>
      </c>
      <c r="E589" s="10"/>
      <c r="F589" s="28">
        <v>46213</v>
      </c>
      <c r="G589" s="28">
        <v>46302</v>
      </c>
      <c r="H589" s="10" t="s">
        <v>81</v>
      </c>
      <c r="I589" s="10" t="s">
        <v>1141</v>
      </c>
      <c r="J589" s="195">
        <v>14816202734</v>
      </c>
      <c r="K589" s="181"/>
      <c r="L589" s="108">
        <v>22554786</v>
      </c>
      <c r="M589" s="36">
        <v>5214421379424</v>
      </c>
      <c r="N589" s="170" t="s">
        <v>37</v>
      </c>
      <c r="O589" s="49">
        <v>18731.88</v>
      </c>
      <c r="P589" s="96">
        <v>5617.36</v>
      </c>
      <c r="Q589" s="12">
        <v>5619.56</v>
      </c>
      <c r="R589" s="12">
        <v>2.2000000000000002</v>
      </c>
      <c r="S589" s="73">
        <v>46754</v>
      </c>
      <c r="T589" s="10"/>
      <c r="U589" s="97"/>
      <c r="V589" s="1"/>
      <c r="X589" s="101">
        <v>2</v>
      </c>
    </row>
    <row r="590" spans="2:24" hidden="1">
      <c r="B590" s="23">
        <v>46302.725694444445</v>
      </c>
      <c r="C590" s="23">
        <v>46213.729861111111</v>
      </c>
      <c r="D590" s="6" t="s">
        <v>24</v>
      </c>
      <c r="E590" s="6"/>
      <c r="F590" s="28">
        <v>46213</v>
      </c>
      <c r="G590" s="27">
        <v>46272</v>
      </c>
      <c r="H590" s="6" t="s">
        <v>160</v>
      </c>
      <c r="I590" s="6" t="s">
        <v>1142</v>
      </c>
      <c r="J590" s="196">
        <v>53947015169</v>
      </c>
      <c r="K590" s="180" t="s">
        <v>1143</v>
      </c>
      <c r="L590" s="108">
        <v>22510144</v>
      </c>
      <c r="M590" s="37">
        <v>5214131018485</v>
      </c>
      <c r="N590" s="169" t="s">
        <v>37</v>
      </c>
      <c r="O590" s="48">
        <v>8181.55</v>
      </c>
      <c r="P590" s="95">
        <v>2364.06</v>
      </c>
      <c r="Q590" s="13">
        <v>2454.4699999999998</v>
      </c>
      <c r="R590" s="13">
        <v>90.41</v>
      </c>
      <c r="S590" s="72">
        <v>46389</v>
      </c>
      <c r="T590" s="6"/>
      <c r="U590" s="164"/>
      <c r="V590" s="1"/>
      <c r="X590" s="101">
        <v>2</v>
      </c>
    </row>
    <row r="591" spans="2:24" hidden="1">
      <c r="B591" s="24">
        <v>46302.609027777777</v>
      </c>
      <c r="C591" s="24">
        <v>46213.784722222219</v>
      </c>
      <c r="D591" s="10" t="s">
        <v>24</v>
      </c>
      <c r="E591" s="10"/>
      <c r="F591" s="28">
        <v>46213</v>
      </c>
      <c r="G591" s="28">
        <v>46302</v>
      </c>
      <c r="H591" s="161" t="s">
        <v>135</v>
      </c>
      <c r="I591" s="10" t="s">
        <v>1144</v>
      </c>
      <c r="J591" s="195">
        <v>84846102543</v>
      </c>
      <c r="K591" s="181" t="s">
        <v>1145</v>
      </c>
      <c r="L591" s="108">
        <v>22556674</v>
      </c>
      <c r="M591" s="36">
        <v>5219999472978</v>
      </c>
      <c r="N591" s="170" t="s">
        <v>28</v>
      </c>
      <c r="O591" s="49">
        <v>52377.34</v>
      </c>
      <c r="P591" s="96">
        <v>14455.85</v>
      </c>
      <c r="Q591" s="12">
        <v>15713.2</v>
      </c>
      <c r="R591" s="14">
        <v>1257.3499999999999</v>
      </c>
      <c r="S591" s="73">
        <v>46392</v>
      </c>
      <c r="T591" s="10"/>
      <c r="U591" s="97"/>
      <c r="V591" s="1"/>
      <c r="X591" s="101">
        <v>2</v>
      </c>
    </row>
    <row r="592" spans="2:24" hidden="1">
      <c r="B592" s="23">
        <v>46302.436805555553</v>
      </c>
      <c r="C592" s="23">
        <v>46213.931250000001</v>
      </c>
      <c r="D592" s="6" t="s">
        <v>24</v>
      </c>
      <c r="E592" s="6"/>
      <c r="F592" s="28">
        <v>46213</v>
      </c>
      <c r="G592" s="27">
        <v>46302</v>
      </c>
      <c r="H592" s="18" t="s">
        <v>135</v>
      </c>
      <c r="I592" s="6" t="s">
        <v>1146</v>
      </c>
      <c r="J592" s="196">
        <v>49906601072</v>
      </c>
      <c r="K592" s="180" t="s">
        <v>1147</v>
      </c>
      <c r="L592" s="107">
        <v>22557322</v>
      </c>
      <c r="M592" s="37">
        <v>5218125759849</v>
      </c>
      <c r="N592" s="169" t="s">
        <v>98</v>
      </c>
      <c r="O592" s="48"/>
      <c r="P592" s="95"/>
      <c r="Q592" s="13">
        <v>0</v>
      </c>
      <c r="R592" s="13">
        <v>0</v>
      </c>
      <c r="S592" s="72"/>
      <c r="T592" s="6"/>
      <c r="U592" s="164"/>
      <c r="V592" s="1"/>
      <c r="X592" s="101">
        <v>0</v>
      </c>
    </row>
    <row r="593" spans="2:24" hidden="1">
      <c r="B593" s="24">
        <v>46333.009722222225</v>
      </c>
      <c r="C593" s="24">
        <v>46214.011805555558</v>
      </c>
      <c r="D593" s="10" t="s">
        <v>24</v>
      </c>
      <c r="E593" s="10"/>
      <c r="F593" s="28">
        <v>46214</v>
      </c>
      <c r="G593" s="28">
        <v>46333</v>
      </c>
      <c r="H593" s="20" t="s">
        <v>135</v>
      </c>
      <c r="I593" s="10" t="s">
        <v>465</v>
      </c>
      <c r="J593" s="198">
        <v>24795823798</v>
      </c>
      <c r="K593" s="179" t="s">
        <v>1148</v>
      </c>
      <c r="L593" s="108">
        <v>22279060</v>
      </c>
      <c r="M593" s="40">
        <v>5216311525973</v>
      </c>
      <c r="N593" s="170" t="s">
        <v>1149</v>
      </c>
      <c r="O593" s="49"/>
      <c r="P593" s="96"/>
      <c r="Q593" s="12">
        <v>0</v>
      </c>
      <c r="R593" s="12">
        <v>0</v>
      </c>
      <c r="S593" s="73"/>
      <c r="T593" s="10"/>
      <c r="U593" s="97"/>
      <c r="V593" s="1"/>
      <c r="X593" s="101">
        <v>1</v>
      </c>
    </row>
    <row r="594" spans="2:24" hidden="1">
      <c r="B594" s="23">
        <v>46333.363194444442</v>
      </c>
      <c r="C594" s="23">
        <v>46214.363888888889</v>
      </c>
      <c r="D594" s="6" t="s">
        <v>24</v>
      </c>
      <c r="E594" s="6"/>
      <c r="F594" s="28">
        <v>46214</v>
      </c>
      <c r="G594" s="27">
        <v>46333</v>
      </c>
      <c r="H594" s="161" t="s">
        <v>71</v>
      </c>
      <c r="I594" s="6" t="s">
        <v>1150</v>
      </c>
      <c r="J594" s="196">
        <v>4917587380</v>
      </c>
      <c r="K594" s="180"/>
      <c r="L594" s="107">
        <v>22567478</v>
      </c>
      <c r="M594" s="37">
        <v>3318839641</v>
      </c>
      <c r="N594" s="169" t="s">
        <v>47</v>
      </c>
      <c r="O594" s="48">
        <v>5072.45</v>
      </c>
      <c r="P594" s="95"/>
      <c r="Q594" s="13">
        <v>1521.74</v>
      </c>
      <c r="R594" s="22">
        <v>899.47</v>
      </c>
      <c r="S594" s="72"/>
      <c r="T594" s="6"/>
      <c r="U594" s="164"/>
      <c r="V594" s="1"/>
      <c r="X594" s="101">
        <v>1</v>
      </c>
    </row>
    <row r="595" spans="2:24" hidden="1">
      <c r="B595" s="24">
        <v>46333.37777777778</v>
      </c>
      <c r="C595" s="24">
        <v>46214.379166666666</v>
      </c>
      <c r="D595" s="10" t="s">
        <v>24</v>
      </c>
      <c r="E595" s="10"/>
      <c r="F595" s="28">
        <v>46214</v>
      </c>
      <c r="G595" s="28">
        <v>46302</v>
      </c>
      <c r="H595" s="20" t="s">
        <v>71</v>
      </c>
      <c r="I595" s="10" t="s">
        <v>1151</v>
      </c>
      <c r="J595" s="195"/>
      <c r="K595" s="181" t="s">
        <v>1152</v>
      </c>
      <c r="L595" s="108">
        <v>22559738</v>
      </c>
      <c r="M595" s="36">
        <v>6961112602</v>
      </c>
      <c r="N595" s="170" t="s">
        <v>74</v>
      </c>
      <c r="O595" s="49"/>
      <c r="P595" s="96"/>
      <c r="Q595" s="12">
        <v>0</v>
      </c>
      <c r="R595" s="12">
        <v>0</v>
      </c>
      <c r="S595" s="73"/>
      <c r="T595" s="10"/>
      <c r="U595" s="97"/>
      <c r="V595" s="1"/>
      <c r="X595" s="101">
        <v>1</v>
      </c>
    </row>
    <row r="596" spans="2:24" hidden="1">
      <c r="B596" s="23">
        <v>46333.379861111112</v>
      </c>
      <c r="C596" s="23">
        <v>46214.380555555559</v>
      </c>
      <c r="D596" s="6" t="s">
        <v>24</v>
      </c>
      <c r="E596" s="6"/>
      <c r="F596" s="28">
        <v>46214</v>
      </c>
      <c r="G596" s="27">
        <v>46302</v>
      </c>
      <c r="H596" s="18" t="s">
        <v>71</v>
      </c>
      <c r="I596" s="6" t="s">
        <v>1153</v>
      </c>
      <c r="J596" s="196">
        <v>17796020968</v>
      </c>
      <c r="K596" s="180" t="s">
        <v>1154</v>
      </c>
      <c r="L596" s="108">
        <v>22561576</v>
      </c>
      <c r="M596" s="37">
        <v>5624701400</v>
      </c>
      <c r="N596" s="169" t="s">
        <v>37</v>
      </c>
      <c r="O596" s="48">
        <v>5617.63</v>
      </c>
      <c r="P596" s="95">
        <v>1444.64</v>
      </c>
      <c r="Q596" s="13">
        <v>1685.29</v>
      </c>
      <c r="R596" s="13">
        <v>0.01</v>
      </c>
      <c r="S596" s="72">
        <v>46756</v>
      </c>
      <c r="T596" s="6"/>
      <c r="U596" s="164"/>
      <c r="V596" s="1"/>
      <c r="X596" s="101">
        <v>2</v>
      </c>
    </row>
    <row r="597" spans="2:24" hidden="1">
      <c r="B597" s="24">
        <v>46333.382638888892</v>
      </c>
      <c r="C597" s="24">
        <v>46214.384722222225</v>
      </c>
      <c r="D597" s="10" t="s">
        <v>24</v>
      </c>
      <c r="E597" s="10"/>
      <c r="F597" s="28">
        <v>46214</v>
      </c>
      <c r="G597" s="28">
        <v>46333</v>
      </c>
      <c r="H597" s="15" t="s">
        <v>476</v>
      </c>
      <c r="I597" s="10" t="s">
        <v>1155</v>
      </c>
      <c r="J597" s="195">
        <v>65836527401</v>
      </c>
      <c r="K597" s="181"/>
      <c r="L597" s="108">
        <v>22568954</v>
      </c>
      <c r="M597" s="36">
        <v>5217821131726</v>
      </c>
      <c r="N597" s="170" t="s">
        <v>37</v>
      </c>
      <c r="O597" s="49">
        <v>9760.32</v>
      </c>
      <c r="P597" s="96">
        <v>2800.87</v>
      </c>
      <c r="Q597" s="12">
        <v>2928.1</v>
      </c>
      <c r="R597" s="12">
        <v>127.23</v>
      </c>
      <c r="S597" s="73">
        <v>46398</v>
      </c>
      <c r="T597" s="10"/>
      <c r="U597" s="97"/>
      <c r="V597" s="1"/>
      <c r="X597" s="101">
        <v>2</v>
      </c>
    </row>
    <row r="598" spans="2:24" hidden="1">
      <c r="B598" s="23">
        <v>46333.401388888888</v>
      </c>
      <c r="C598" s="23">
        <v>46214.40625</v>
      </c>
      <c r="D598" s="6" t="s">
        <v>24</v>
      </c>
      <c r="E598" s="6"/>
      <c r="F598" s="28">
        <v>46214</v>
      </c>
      <c r="G598" s="27">
        <v>46272</v>
      </c>
      <c r="H598" s="6" t="s">
        <v>54</v>
      </c>
      <c r="I598" s="6" t="s">
        <v>1156</v>
      </c>
      <c r="J598" s="196">
        <v>10815905079</v>
      </c>
      <c r="K598" s="180" t="s">
        <v>1157</v>
      </c>
      <c r="L598" s="108">
        <v>22521826</v>
      </c>
      <c r="M598" s="37">
        <v>5215578642249</v>
      </c>
      <c r="N598" s="169" t="s">
        <v>37</v>
      </c>
      <c r="O598" s="48">
        <v>4813.6899999999996</v>
      </c>
      <c r="P598" s="95">
        <v>610.13</v>
      </c>
      <c r="Q598" s="13">
        <v>1444.11</v>
      </c>
      <c r="R598" s="13">
        <v>30.58</v>
      </c>
      <c r="S598" s="72">
        <v>46399</v>
      </c>
      <c r="T598" s="6"/>
      <c r="U598" s="164"/>
      <c r="V598" s="1"/>
      <c r="X598" s="101">
        <v>2</v>
      </c>
    </row>
    <row r="599" spans="2:24" hidden="1">
      <c r="B599" s="24">
        <v>46333.404861111114</v>
      </c>
      <c r="C599" s="24">
        <v>46214.413194444445</v>
      </c>
      <c r="D599" s="10" t="s">
        <v>24</v>
      </c>
      <c r="E599" s="10"/>
      <c r="F599" s="28">
        <v>46214</v>
      </c>
      <c r="G599" s="28">
        <v>46302</v>
      </c>
      <c r="H599" s="10" t="s">
        <v>127</v>
      </c>
      <c r="I599" s="10" t="s">
        <v>1158</v>
      </c>
      <c r="J599" s="195">
        <v>2394771813</v>
      </c>
      <c r="K599" s="181" t="s">
        <v>1159</v>
      </c>
      <c r="L599" s="108">
        <v>22552720</v>
      </c>
      <c r="M599" s="36">
        <v>5216681443537</v>
      </c>
      <c r="N599" s="170" t="s">
        <v>37</v>
      </c>
      <c r="O599" s="49">
        <v>6411.47</v>
      </c>
      <c r="P599" s="96">
        <v>1847.29</v>
      </c>
      <c r="Q599" s="12">
        <v>1923.44</v>
      </c>
      <c r="R599" s="12">
        <v>76.150000000000006</v>
      </c>
      <c r="S599" s="73">
        <v>46389</v>
      </c>
      <c r="T599" s="10"/>
      <c r="U599" s="97"/>
      <c r="V599" s="1"/>
      <c r="X599" s="101">
        <v>2</v>
      </c>
    </row>
    <row r="600" spans="2:24" hidden="1">
      <c r="B600" s="23">
        <v>46333.415972222225</v>
      </c>
      <c r="C600" s="23">
        <v>46214.417361111111</v>
      </c>
      <c r="D600" s="6" t="s">
        <v>24</v>
      </c>
      <c r="E600" s="6"/>
      <c r="F600" s="28">
        <v>46214</v>
      </c>
      <c r="G600" s="27">
        <v>46333</v>
      </c>
      <c r="H600" s="160" t="s">
        <v>476</v>
      </c>
      <c r="I600" s="6" t="s">
        <v>1160</v>
      </c>
      <c r="J600" s="196">
        <v>49947215429</v>
      </c>
      <c r="K600" s="180"/>
      <c r="L600" s="107">
        <v>22561844</v>
      </c>
      <c r="M600" s="37">
        <v>5218991084353</v>
      </c>
      <c r="N600" s="169" t="s">
        <v>28</v>
      </c>
      <c r="O600" s="48">
        <v>16328.14</v>
      </c>
      <c r="P600" s="95"/>
      <c r="Q600" s="13">
        <v>4898.4399999999996</v>
      </c>
      <c r="R600" s="9">
        <v>4898.4399999999996</v>
      </c>
      <c r="S600" s="72"/>
      <c r="T600" s="6"/>
      <c r="U600" s="164"/>
      <c r="V600" s="1"/>
      <c r="X600" s="101">
        <v>1</v>
      </c>
    </row>
    <row r="601" spans="2:24" hidden="1">
      <c r="B601" s="24">
        <v>46333.416666666664</v>
      </c>
      <c r="C601" s="24">
        <v>46214.417361111111</v>
      </c>
      <c r="D601" s="10" t="s">
        <v>24</v>
      </c>
      <c r="E601" s="10"/>
      <c r="F601" s="28">
        <v>46214</v>
      </c>
      <c r="G601" s="28">
        <v>46302</v>
      </c>
      <c r="H601" s="20" t="s">
        <v>170</v>
      </c>
      <c r="I601" s="10" t="s">
        <v>1161</v>
      </c>
      <c r="J601" s="195"/>
      <c r="K601" s="181" t="s">
        <v>1162</v>
      </c>
      <c r="L601" s="108">
        <v>22561228</v>
      </c>
      <c r="M601" s="36">
        <v>5214857974368</v>
      </c>
      <c r="N601" s="170" t="s">
        <v>98</v>
      </c>
      <c r="O601" s="49"/>
      <c r="P601" s="96"/>
      <c r="Q601" s="12">
        <v>0</v>
      </c>
      <c r="R601" s="12">
        <v>0</v>
      </c>
      <c r="S601" s="73"/>
      <c r="T601" s="10"/>
      <c r="U601" s="97"/>
      <c r="V601" s="1"/>
      <c r="X601" s="101">
        <v>0</v>
      </c>
    </row>
    <row r="602" spans="2:24" hidden="1">
      <c r="B602" s="23">
        <v>46333.431944444441</v>
      </c>
      <c r="C602" s="23">
        <v>46214.433333333334</v>
      </c>
      <c r="D602" s="6" t="s">
        <v>24</v>
      </c>
      <c r="E602" s="6"/>
      <c r="F602" s="28">
        <v>46214</v>
      </c>
      <c r="G602" s="27">
        <v>46333</v>
      </c>
      <c r="H602" s="7" t="s">
        <v>110</v>
      </c>
      <c r="I602" s="6" t="s">
        <v>1163</v>
      </c>
      <c r="J602" s="196">
        <v>92967650208</v>
      </c>
      <c r="K602" s="180" t="s">
        <v>1164</v>
      </c>
      <c r="L602" s="107">
        <v>22571270</v>
      </c>
      <c r="M602" s="37">
        <v>5215582632406</v>
      </c>
      <c r="N602" s="169" t="s">
        <v>32</v>
      </c>
      <c r="O602" s="48">
        <v>3581.59</v>
      </c>
      <c r="P602" s="95"/>
      <c r="Q602" s="13">
        <v>1074.48</v>
      </c>
      <c r="R602" s="13">
        <v>0</v>
      </c>
      <c r="S602" s="72"/>
      <c r="T602" s="6"/>
      <c r="U602" s="164"/>
      <c r="V602" s="1"/>
      <c r="X602" s="101">
        <v>1</v>
      </c>
    </row>
    <row r="603" spans="2:24" hidden="1">
      <c r="B603" s="24">
        <v>46333.4375</v>
      </c>
      <c r="C603" s="24">
        <v>46214.438194444447</v>
      </c>
      <c r="D603" s="10" t="s">
        <v>24</v>
      </c>
      <c r="E603" s="10"/>
      <c r="F603" s="28">
        <v>46214</v>
      </c>
      <c r="G603" s="28">
        <v>46302</v>
      </c>
      <c r="H603" s="161" t="s">
        <v>170</v>
      </c>
      <c r="I603" s="10" t="s">
        <v>1165</v>
      </c>
      <c r="J603" s="195"/>
      <c r="K603" s="181" t="s">
        <v>1166</v>
      </c>
      <c r="L603" s="108">
        <v>22559122</v>
      </c>
      <c r="M603" s="36">
        <v>5218771280996</v>
      </c>
      <c r="N603" s="170" t="s">
        <v>28</v>
      </c>
      <c r="O603" s="49">
        <v>6963.23</v>
      </c>
      <c r="P603" s="96"/>
      <c r="Q603" s="12">
        <v>2088.9699999999998</v>
      </c>
      <c r="R603" s="14">
        <v>2088.9699999999998</v>
      </c>
      <c r="S603" s="73"/>
      <c r="T603" s="10"/>
      <c r="U603" s="97"/>
      <c r="V603" s="1"/>
      <c r="X603" s="101">
        <v>1</v>
      </c>
    </row>
    <row r="604" spans="2:24" hidden="1">
      <c r="B604" s="23">
        <v>46333.416666666664</v>
      </c>
      <c r="C604" s="23">
        <v>46214.451388888891</v>
      </c>
      <c r="D604" s="6" t="s">
        <v>24</v>
      </c>
      <c r="E604" s="6"/>
      <c r="F604" s="28">
        <v>46214</v>
      </c>
      <c r="G604" s="27">
        <v>46333</v>
      </c>
      <c r="H604" s="6" t="s">
        <v>39</v>
      </c>
      <c r="I604" s="6" t="s">
        <v>1167</v>
      </c>
      <c r="J604" s="196">
        <v>23806219210</v>
      </c>
      <c r="K604" s="180" t="s">
        <v>1168</v>
      </c>
      <c r="L604" s="108">
        <v>22571704</v>
      </c>
      <c r="M604" s="37">
        <v>22571704</v>
      </c>
      <c r="N604" s="169" t="s">
        <v>37</v>
      </c>
      <c r="O604" s="48">
        <v>7116.73</v>
      </c>
      <c r="P604" s="95">
        <v>2049.98</v>
      </c>
      <c r="Q604" s="13">
        <v>2135.02</v>
      </c>
      <c r="R604" s="13">
        <v>85.04</v>
      </c>
      <c r="S604" s="72">
        <v>46393</v>
      </c>
      <c r="T604" s="6" t="s">
        <v>192</v>
      </c>
      <c r="U604" s="164"/>
      <c r="V604" s="1"/>
      <c r="X604" s="101">
        <v>2</v>
      </c>
    </row>
    <row r="605" spans="2:24" hidden="1">
      <c r="B605" s="24">
        <v>46333.451388888891</v>
      </c>
      <c r="C605" s="24">
        <v>46214.458333333336</v>
      </c>
      <c r="D605" s="10" t="s">
        <v>24</v>
      </c>
      <c r="E605" s="10"/>
      <c r="F605" s="28">
        <v>46214</v>
      </c>
      <c r="G605" s="28">
        <v>46333</v>
      </c>
      <c r="H605" s="20" t="s">
        <v>71</v>
      </c>
      <c r="I605" s="10" t="s">
        <v>1169</v>
      </c>
      <c r="J605" s="195"/>
      <c r="K605" s="181" t="s">
        <v>1170</v>
      </c>
      <c r="L605" s="108">
        <v>22569482</v>
      </c>
      <c r="M605" s="36">
        <v>3333818705</v>
      </c>
      <c r="N605" s="170" t="s">
        <v>32</v>
      </c>
      <c r="O605" s="49">
        <v>4441.6499999999996</v>
      </c>
      <c r="P605" s="96"/>
      <c r="Q605" s="12">
        <v>1332.5</v>
      </c>
      <c r="R605" s="12">
        <v>268.67</v>
      </c>
      <c r="S605" s="73"/>
      <c r="T605" s="10"/>
      <c r="U605" s="97"/>
      <c r="V605" s="1"/>
      <c r="X605" s="101">
        <v>1</v>
      </c>
    </row>
    <row r="606" spans="2:24" hidden="1">
      <c r="B606" s="23">
        <v>46333.456944444442</v>
      </c>
      <c r="C606" s="23">
        <v>46214.458333333336</v>
      </c>
      <c r="D606" s="6" t="s">
        <v>24</v>
      </c>
      <c r="E606" s="6"/>
      <c r="F606" s="28">
        <v>46214</v>
      </c>
      <c r="G606" s="27">
        <v>46333</v>
      </c>
      <c r="H606" s="6" t="s">
        <v>81</v>
      </c>
      <c r="I606" s="6" t="s">
        <v>1171</v>
      </c>
      <c r="J606" s="196">
        <v>92896301162</v>
      </c>
      <c r="K606" s="180" t="s">
        <v>1172</v>
      </c>
      <c r="L606" s="108">
        <v>22572556</v>
      </c>
      <c r="M606" s="37">
        <v>5215554081383</v>
      </c>
      <c r="N606" s="169" t="s">
        <v>37</v>
      </c>
      <c r="O606" s="48">
        <v>37611.58</v>
      </c>
      <c r="P606" s="95">
        <v>11283.45</v>
      </c>
      <c r="Q606" s="13">
        <v>11283.47</v>
      </c>
      <c r="R606" s="13">
        <v>0.02</v>
      </c>
      <c r="S606" s="72">
        <v>46755</v>
      </c>
      <c r="T606" s="6"/>
      <c r="U606" s="164"/>
      <c r="V606" s="1"/>
      <c r="X606" s="101">
        <v>2</v>
      </c>
    </row>
    <row r="607" spans="2:24" hidden="1">
      <c r="B607" s="24">
        <v>46333.460416666669</v>
      </c>
      <c r="C607" s="24">
        <v>46214.461805555555</v>
      </c>
      <c r="D607" s="10" t="s">
        <v>24</v>
      </c>
      <c r="E607" s="10"/>
      <c r="F607" s="28">
        <v>46214</v>
      </c>
      <c r="G607" s="28">
        <v>46333</v>
      </c>
      <c r="H607" s="161" t="s">
        <v>71</v>
      </c>
      <c r="I607" s="10" t="s">
        <v>1173</v>
      </c>
      <c r="J607" s="195">
        <v>16947301517</v>
      </c>
      <c r="K607" s="181" t="s">
        <v>1174</v>
      </c>
      <c r="L607" s="108">
        <v>22570334</v>
      </c>
      <c r="M607" s="36">
        <v>5217206756692</v>
      </c>
      <c r="N607" s="170" t="s">
        <v>106</v>
      </c>
      <c r="O607" s="49">
        <v>8805.7000000000007</v>
      </c>
      <c r="P607" s="96">
        <v>2424.91</v>
      </c>
      <c r="Q607" s="12">
        <v>2641.71</v>
      </c>
      <c r="R607" s="12">
        <v>216.8</v>
      </c>
      <c r="S607" s="73">
        <v>46026</v>
      </c>
      <c r="T607" s="10"/>
      <c r="U607" s="97"/>
      <c r="V607" s="1"/>
      <c r="X607" s="101">
        <v>2</v>
      </c>
    </row>
    <row r="608" spans="2:24" hidden="1">
      <c r="B608" s="23">
        <v>46333.458333333336</v>
      </c>
      <c r="C608" s="23">
        <v>46214.465277777781</v>
      </c>
      <c r="D608" s="6" t="s">
        <v>24</v>
      </c>
      <c r="E608" s="6"/>
      <c r="F608" s="28">
        <v>46214</v>
      </c>
      <c r="G608" s="27">
        <v>46302</v>
      </c>
      <c r="H608" s="10" t="s">
        <v>78</v>
      </c>
      <c r="I608" s="6" t="s">
        <v>1175</v>
      </c>
      <c r="J608" s="196">
        <v>67877054253</v>
      </c>
      <c r="K608" s="180" t="s">
        <v>1176</v>
      </c>
      <c r="L608" s="107">
        <v>22555574</v>
      </c>
      <c r="M608" s="37">
        <v>5216631233818</v>
      </c>
      <c r="N608" s="169" t="s">
        <v>28</v>
      </c>
      <c r="O608" s="48">
        <v>6405.14</v>
      </c>
      <c r="P608" s="95"/>
      <c r="Q608" s="13">
        <v>1921.54</v>
      </c>
      <c r="R608" s="9">
        <v>1921.54</v>
      </c>
      <c r="S608" s="72"/>
      <c r="T608" s="6"/>
      <c r="U608" s="164"/>
      <c r="V608" s="1"/>
      <c r="X608" s="101">
        <v>1</v>
      </c>
    </row>
    <row r="609" spans="2:24" hidden="1">
      <c r="B609" s="24">
        <v>46333.431250000001</v>
      </c>
      <c r="C609" s="24">
        <v>46214.465277777781</v>
      </c>
      <c r="D609" s="10" t="s">
        <v>24</v>
      </c>
      <c r="E609" s="10"/>
      <c r="F609" s="28">
        <v>46214</v>
      </c>
      <c r="G609" s="28">
        <v>46333</v>
      </c>
      <c r="H609" s="15" t="s">
        <v>107</v>
      </c>
      <c r="I609" s="10" t="s">
        <v>1177</v>
      </c>
      <c r="J609" s="195">
        <v>43957167125</v>
      </c>
      <c r="K609" s="181"/>
      <c r="L609" s="108">
        <v>22563810</v>
      </c>
      <c r="M609" s="36">
        <v>8126135481</v>
      </c>
      <c r="N609" s="170" t="s">
        <v>37</v>
      </c>
      <c r="O609" s="49">
        <v>9820.25</v>
      </c>
      <c r="P609" s="96">
        <v>2841</v>
      </c>
      <c r="Q609" s="12">
        <v>2946.08</v>
      </c>
      <c r="R609" s="12">
        <v>105.08</v>
      </c>
      <c r="S609" s="73">
        <v>46392</v>
      </c>
      <c r="T609" s="10"/>
      <c r="U609" s="97"/>
      <c r="V609" s="1"/>
      <c r="X609" s="101">
        <v>2</v>
      </c>
    </row>
    <row r="610" spans="2:24" hidden="1">
      <c r="B610" s="23">
        <v>46333.467361111114</v>
      </c>
      <c r="C610" s="23">
        <v>46214.468055555553</v>
      </c>
      <c r="D610" s="6" t="s">
        <v>24</v>
      </c>
      <c r="E610" s="6"/>
      <c r="F610" s="28">
        <v>46214</v>
      </c>
      <c r="G610" s="27">
        <v>46333</v>
      </c>
      <c r="H610" s="160" t="s">
        <v>110</v>
      </c>
      <c r="I610" s="6" t="s">
        <v>1178</v>
      </c>
      <c r="J610" s="196">
        <v>39936505708</v>
      </c>
      <c r="K610" s="180"/>
      <c r="L610" s="107">
        <v>22569134</v>
      </c>
      <c r="M610" s="37">
        <v>5215550595928</v>
      </c>
      <c r="N610" s="169" t="s">
        <v>28</v>
      </c>
      <c r="O610" s="48">
        <v>9760.32</v>
      </c>
      <c r="P610" s="95"/>
      <c r="Q610" s="13">
        <v>2928.1</v>
      </c>
      <c r="R610" s="9">
        <v>2928.1</v>
      </c>
      <c r="S610" s="72"/>
      <c r="T610" s="6"/>
      <c r="U610" s="164"/>
      <c r="V610" s="1"/>
      <c r="X610" s="101">
        <v>1</v>
      </c>
    </row>
    <row r="611" spans="2:24" hidden="1">
      <c r="B611" s="24">
        <v>46333.45416666667</v>
      </c>
      <c r="C611" s="24">
        <v>46214.46875</v>
      </c>
      <c r="D611" s="10" t="s">
        <v>24</v>
      </c>
      <c r="E611" s="10"/>
      <c r="F611" s="28">
        <v>46214</v>
      </c>
      <c r="G611" s="28">
        <v>46302</v>
      </c>
      <c r="H611" s="15" t="s">
        <v>476</v>
      </c>
      <c r="I611" s="10" t="s">
        <v>1179</v>
      </c>
      <c r="J611" s="195"/>
      <c r="K611" s="181" t="s">
        <v>1180</v>
      </c>
      <c r="L611" s="108">
        <v>22559734</v>
      </c>
      <c r="M611" s="36">
        <v>5215665657704</v>
      </c>
      <c r="N611" s="170" t="s">
        <v>98</v>
      </c>
      <c r="O611" s="49"/>
      <c r="P611" s="96"/>
      <c r="Q611" s="12">
        <v>0</v>
      </c>
      <c r="R611" s="12">
        <v>0</v>
      </c>
      <c r="S611" s="73"/>
      <c r="T611" s="10"/>
      <c r="U611" s="97"/>
      <c r="V611" s="1"/>
      <c r="X611" s="101">
        <v>0</v>
      </c>
    </row>
    <row r="612" spans="2:24" hidden="1">
      <c r="B612" s="23">
        <v>46333.459027777775</v>
      </c>
      <c r="C612" s="23">
        <v>46214.47152777778</v>
      </c>
      <c r="D612" s="6" t="s">
        <v>24</v>
      </c>
      <c r="E612" s="6"/>
      <c r="F612" s="28">
        <v>46214</v>
      </c>
      <c r="G612" s="27">
        <v>46302</v>
      </c>
      <c r="H612" s="10" t="s">
        <v>78</v>
      </c>
      <c r="I612" s="6" t="s">
        <v>1181</v>
      </c>
      <c r="J612" s="196"/>
      <c r="K612" s="180" t="s">
        <v>1182</v>
      </c>
      <c r="L612" s="107">
        <v>22554670</v>
      </c>
      <c r="M612" s="37">
        <v>5215529016728</v>
      </c>
      <c r="N612" s="169" t="s">
        <v>47</v>
      </c>
      <c r="O612" s="48">
        <v>4662.8500000000004</v>
      </c>
      <c r="P612" s="95">
        <v>35</v>
      </c>
      <c r="Q612" s="13">
        <v>1398.86</v>
      </c>
      <c r="R612" s="22">
        <v>454.87</v>
      </c>
      <c r="S612" s="72"/>
      <c r="T612" s="6"/>
      <c r="U612" s="164"/>
      <c r="V612" s="1"/>
      <c r="X612" s="101">
        <v>1</v>
      </c>
    </row>
    <row r="613" spans="2:24" hidden="1">
      <c r="B613" s="24">
        <v>46333.459027777775</v>
      </c>
      <c r="C613" s="24">
        <v>46214.47152777778</v>
      </c>
      <c r="D613" s="10" t="s">
        <v>24</v>
      </c>
      <c r="E613" s="10"/>
      <c r="F613" s="28">
        <v>46214</v>
      </c>
      <c r="G613" s="28">
        <v>46302</v>
      </c>
      <c r="H613" s="10" t="s">
        <v>78</v>
      </c>
      <c r="I613" s="10" t="s">
        <v>1183</v>
      </c>
      <c r="J613" s="195">
        <v>24897204194</v>
      </c>
      <c r="K613" s="181" t="s">
        <v>1184</v>
      </c>
      <c r="L613" s="108">
        <v>22545976</v>
      </c>
      <c r="M613" s="36">
        <v>5216453338020</v>
      </c>
      <c r="N613" s="170" t="s">
        <v>37</v>
      </c>
      <c r="O613" s="49">
        <v>7128.48</v>
      </c>
      <c r="P613" s="96">
        <v>2124.9299999999998</v>
      </c>
      <c r="Q613" s="12">
        <v>2138.54</v>
      </c>
      <c r="R613" s="12">
        <v>13.61</v>
      </c>
      <c r="S613" s="73">
        <v>46754</v>
      </c>
      <c r="T613" s="10" t="s">
        <v>178</v>
      </c>
      <c r="U613" s="97"/>
      <c r="V613" s="1"/>
      <c r="X613" s="101">
        <v>2</v>
      </c>
    </row>
    <row r="614" spans="2:24" hidden="1">
      <c r="B614" s="23">
        <v>46333.475694444445</v>
      </c>
      <c r="C614" s="23">
        <v>46214.477083333331</v>
      </c>
      <c r="D614" s="6" t="s">
        <v>24</v>
      </c>
      <c r="E614" s="6"/>
      <c r="F614" s="28">
        <v>46214</v>
      </c>
      <c r="G614" s="27">
        <v>46333</v>
      </c>
      <c r="H614" s="7" t="s">
        <v>26</v>
      </c>
      <c r="I614" s="6" t="s">
        <v>1185</v>
      </c>
      <c r="J614" s="196"/>
      <c r="K614" s="180" t="s">
        <v>1186</v>
      </c>
      <c r="L614" s="107">
        <v>22570354</v>
      </c>
      <c r="M614" s="37">
        <v>5214651014654</v>
      </c>
      <c r="N614" s="169" t="s">
        <v>98</v>
      </c>
      <c r="O614" s="48"/>
      <c r="P614" s="95"/>
      <c r="Q614" s="13">
        <v>0</v>
      </c>
      <c r="R614" s="13">
        <v>0</v>
      </c>
      <c r="S614" s="72"/>
      <c r="T614" s="6"/>
      <c r="U614" s="164"/>
      <c r="V614" s="1"/>
      <c r="X614" s="101">
        <v>0</v>
      </c>
    </row>
    <row r="615" spans="2:24" hidden="1">
      <c r="B615" s="24">
        <v>46333.492361111108</v>
      </c>
      <c r="C615" s="24">
        <v>46214.493055555555</v>
      </c>
      <c r="D615" s="10" t="s">
        <v>24</v>
      </c>
      <c r="E615" s="10"/>
      <c r="F615" s="28">
        <v>46214</v>
      </c>
      <c r="G615" s="28">
        <v>46302</v>
      </c>
      <c r="H615" s="161" t="s">
        <v>71</v>
      </c>
      <c r="I615" s="10" t="s">
        <v>1187</v>
      </c>
      <c r="J615" s="195"/>
      <c r="K615" s="181" t="s">
        <v>1188</v>
      </c>
      <c r="L615" s="114">
        <v>22560930</v>
      </c>
      <c r="M615" s="36">
        <v>4774142565</v>
      </c>
      <c r="N615" s="170" t="s">
        <v>28</v>
      </c>
      <c r="O615" s="49">
        <v>9760.32</v>
      </c>
      <c r="P615" s="96"/>
      <c r="Q615" s="12">
        <v>2928.1</v>
      </c>
      <c r="R615" s="14">
        <v>2928.1</v>
      </c>
      <c r="S615" s="73"/>
      <c r="T615" s="10"/>
      <c r="U615" s="97"/>
      <c r="V615" s="1"/>
      <c r="X615" s="101">
        <v>1</v>
      </c>
    </row>
    <row r="616" spans="2:24" hidden="1">
      <c r="B616" s="23">
        <v>46333.504166666666</v>
      </c>
      <c r="C616" s="23">
        <v>46214.504861111112</v>
      </c>
      <c r="D616" s="6" t="s">
        <v>24</v>
      </c>
      <c r="E616" s="6"/>
      <c r="F616" s="28">
        <v>46214</v>
      </c>
      <c r="G616" s="27">
        <v>46333</v>
      </c>
      <c r="H616" s="7" t="s">
        <v>110</v>
      </c>
      <c r="I616" s="6" t="s">
        <v>1189</v>
      </c>
      <c r="J616" s="196"/>
      <c r="K616" s="180" t="s">
        <v>1190</v>
      </c>
      <c r="L616" s="108">
        <v>22574944</v>
      </c>
      <c r="M616" s="37">
        <v>5216143727042</v>
      </c>
      <c r="N616" s="169" t="s">
        <v>37</v>
      </c>
      <c r="O616" s="48">
        <v>7920.51</v>
      </c>
      <c r="P616" s="95">
        <v>2291.6</v>
      </c>
      <c r="Q616" s="13">
        <v>2376.15</v>
      </c>
      <c r="R616" s="13">
        <v>84.55</v>
      </c>
      <c r="S616" s="72">
        <v>46395</v>
      </c>
      <c r="T616" s="6"/>
      <c r="U616" s="164"/>
      <c r="V616" s="1"/>
      <c r="X616" s="101">
        <v>2</v>
      </c>
    </row>
    <row r="617" spans="2:24" hidden="1">
      <c r="B617" s="24">
        <v>46333.344444444447</v>
      </c>
      <c r="C617" s="24">
        <v>46214.519444444442</v>
      </c>
      <c r="D617" s="10" t="s">
        <v>24</v>
      </c>
      <c r="E617" s="10"/>
      <c r="F617" s="28">
        <v>46214</v>
      </c>
      <c r="G617" s="28" t="s">
        <v>211</v>
      </c>
      <c r="H617" s="10" t="s">
        <v>29</v>
      </c>
      <c r="I617" s="10" t="s">
        <v>1191</v>
      </c>
      <c r="J617" s="195"/>
      <c r="K617" s="181" t="s">
        <v>1192</v>
      </c>
      <c r="L617" s="108">
        <v>21781568</v>
      </c>
      <c r="M617" s="36">
        <v>21781568</v>
      </c>
      <c r="N617" s="170" t="s">
        <v>32</v>
      </c>
      <c r="O617" s="49">
        <v>4199.87</v>
      </c>
      <c r="P617" s="96">
        <v>253.63</v>
      </c>
      <c r="Q617" s="12">
        <v>1259.96</v>
      </c>
      <c r="R617" s="12">
        <v>-226.74</v>
      </c>
      <c r="S617" s="73"/>
      <c r="T617" s="10"/>
      <c r="U617" s="97"/>
      <c r="V617" s="1"/>
      <c r="X617" s="101">
        <v>1</v>
      </c>
    </row>
    <row r="618" spans="2:24" hidden="1">
      <c r="B618" s="23">
        <v>46333.56527777778</v>
      </c>
      <c r="C618" s="23">
        <v>46214.56527777778</v>
      </c>
      <c r="D618" s="6" t="s">
        <v>24</v>
      </c>
      <c r="E618" s="6"/>
      <c r="F618" s="28">
        <v>46214</v>
      </c>
      <c r="G618" s="27" t="s">
        <v>523</v>
      </c>
      <c r="H618" s="6" t="s">
        <v>29</v>
      </c>
      <c r="I618" s="6" t="s">
        <v>1193</v>
      </c>
      <c r="J618" s="196"/>
      <c r="K618" s="183" t="s">
        <v>1194</v>
      </c>
      <c r="L618" s="107">
        <v>21883138</v>
      </c>
      <c r="M618" s="37">
        <v>21883138</v>
      </c>
      <c r="N618" s="169" t="s">
        <v>32</v>
      </c>
      <c r="O618" s="48">
        <v>3875.93</v>
      </c>
      <c r="P618" s="95"/>
      <c r="Q618" s="13">
        <v>1162.78</v>
      </c>
      <c r="R618" s="13">
        <v>0</v>
      </c>
      <c r="S618" s="72"/>
      <c r="T618" s="6"/>
      <c r="U618" s="164"/>
      <c r="V618" s="1"/>
      <c r="X618" s="101">
        <v>1</v>
      </c>
    </row>
    <row r="619" spans="2:24" hidden="1">
      <c r="B619" s="24">
        <v>46333.46597222222</v>
      </c>
      <c r="C619" s="24">
        <v>46214.575694444444</v>
      </c>
      <c r="D619" s="10" t="s">
        <v>24</v>
      </c>
      <c r="E619" s="10"/>
      <c r="F619" s="28">
        <v>46214</v>
      </c>
      <c r="G619" s="28">
        <v>46333</v>
      </c>
      <c r="H619" s="160" t="s">
        <v>107</v>
      </c>
      <c r="I619" s="10" t="s">
        <v>1195</v>
      </c>
      <c r="J619" s="195">
        <v>17856001254</v>
      </c>
      <c r="K619" s="181" t="s">
        <v>1196</v>
      </c>
      <c r="L619" s="108">
        <v>22576204</v>
      </c>
      <c r="M619" s="36">
        <v>5585839567</v>
      </c>
      <c r="N619" s="170" t="s">
        <v>28</v>
      </c>
      <c r="O619" s="49">
        <v>11029.03</v>
      </c>
      <c r="P619" s="96"/>
      <c r="Q619" s="12">
        <v>3308.71</v>
      </c>
      <c r="R619" s="14">
        <v>3308.71</v>
      </c>
      <c r="S619" s="73"/>
      <c r="T619" s="10"/>
      <c r="U619" s="97"/>
      <c r="V619" s="1"/>
      <c r="X619" s="101">
        <v>1</v>
      </c>
    </row>
    <row r="620" spans="2:24" hidden="1">
      <c r="B620" s="23">
        <v>46333.578472222223</v>
      </c>
      <c r="C620" s="23">
        <v>46214.57916666667</v>
      </c>
      <c r="D620" s="6" t="s">
        <v>24</v>
      </c>
      <c r="E620" s="6"/>
      <c r="F620" s="28">
        <v>46214</v>
      </c>
      <c r="G620" s="27">
        <v>46333</v>
      </c>
      <c r="H620" s="18" t="s">
        <v>170</v>
      </c>
      <c r="I620" s="6" t="s">
        <v>1197</v>
      </c>
      <c r="J620" s="196">
        <v>62806102190</v>
      </c>
      <c r="K620" s="180"/>
      <c r="L620" s="108">
        <v>22577274</v>
      </c>
      <c r="M620" s="37">
        <v>5216241294168</v>
      </c>
      <c r="N620" s="169" t="s">
        <v>37</v>
      </c>
      <c r="O620" s="48">
        <v>6262.86</v>
      </c>
      <c r="P620" s="95">
        <v>1811.99</v>
      </c>
      <c r="Q620" s="13">
        <v>1878.86</v>
      </c>
      <c r="R620" s="13">
        <v>66.87</v>
      </c>
      <c r="S620" s="72">
        <v>46327</v>
      </c>
      <c r="T620" s="6"/>
      <c r="U620" s="164"/>
      <c r="V620" s="1"/>
      <c r="X620" s="101">
        <v>2</v>
      </c>
    </row>
    <row r="621" spans="2:24" hidden="1">
      <c r="B621" s="24">
        <v>46333.586805555555</v>
      </c>
      <c r="C621" s="24">
        <v>46214.588888888888</v>
      </c>
      <c r="D621" s="10" t="s">
        <v>24</v>
      </c>
      <c r="E621" s="10"/>
      <c r="F621" s="28">
        <v>46214</v>
      </c>
      <c r="G621" s="28">
        <v>46333</v>
      </c>
      <c r="H621" s="15" t="s">
        <v>107</v>
      </c>
      <c r="I621" s="10" t="s">
        <v>1198</v>
      </c>
      <c r="J621" s="195">
        <v>51795905994</v>
      </c>
      <c r="K621" s="181" t="s">
        <v>1199</v>
      </c>
      <c r="L621" s="108">
        <v>22561856</v>
      </c>
      <c r="M621" s="36">
        <v>5567509021</v>
      </c>
      <c r="N621" s="170" t="s">
        <v>37</v>
      </c>
      <c r="O621" s="49">
        <v>9711.81</v>
      </c>
      <c r="P621" s="96">
        <v>2911.98</v>
      </c>
      <c r="Q621" s="12">
        <v>2913.54</v>
      </c>
      <c r="R621" s="12">
        <v>1.56</v>
      </c>
      <c r="S621" s="73">
        <v>46390</v>
      </c>
      <c r="T621" s="10"/>
      <c r="U621" s="97"/>
      <c r="V621" s="1"/>
      <c r="X621" s="101">
        <v>2</v>
      </c>
    </row>
    <row r="622" spans="2:24" hidden="1">
      <c r="B622" s="23">
        <v>46333.556944444441</v>
      </c>
      <c r="C622" s="23">
        <v>46214.606249999997</v>
      </c>
      <c r="D622" s="6" t="s">
        <v>24</v>
      </c>
      <c r="E622" s="6"/>
      <c r="F622" s="28">
        <v>46214</v>
      </c>
      <c r="G622" s="27">
        <v>46333</v>
      </c>
      <c r="H622" s="7" t="s">
        <v>26</v>
      </c>
      <c r="I622" s="6" t="s">
        <v>1200</v>
      </c>
      <c r="J622" s="196">
        <v>94917416839</v>
      </c>
      <c r="K622" s="180" t="s">
        <v>1201</v>
      </c>
      <c r="L622" s="107">
        <v>22575798</v>
      </c>
      <c r="M622" s="37">
        <v>5217714121564</v>
      </c>
      <c r="N622" s="169" t="s">
        <v>98</v>
      </c>
      <c r="O622" s="48"/>
      <c r="P622" s="95"/>
      <c r="Q622" s="13">
        <v>0</v>
      </c>
      <c r="R622" s="13">
        <v>0</v>
      </c>
      <c r="S622" s="72"/>
      <c r="T622" s="6"/>
      <c r="U622" s="164"/>
      <c r="V622" s="1"/>
      <c r="X622" s="101">
        <v>0</v>
      </c>
    </row>
    <row r="623" spans="2:24" hidden="1">
      <c r="B623" s="24">
        <v>46333.605555555558</v>
      </c>
      <c r="C623" s="24">
        <v>46214.606249999997</v>
      </c>
      <c r="D623" s="10" t="s">
        <v>24</v>
      </c>
      <c r="E623" s="10"/>
      <c r="F623" s="28">
        <v>46214</v>
      </c>
      <c r="G623" s="28">
        <v>46333</v>
      </c>
      <c r="H623" s="20" t="s">
        <v>135</v>
      </c>
      <c r="I623" s="10" t="s">
        <v>1202</v>
      </c>
      <c r="J623" s="195">
        <v>21927206330</v>
      </c>
      <c r="K623" s="181" t="s">
        <v>1203</v>
      </c>
      <c r="L623" s="108">
        <v>22557238</v>
      </c>
      <c r="M623" s="36">
        <v>5216463926267</v>
      </c>
      <c r="N623" s="170" t="s">
        <v>37</v>
      </c>
      <c r="O623" s="49">
        <v>13266.15</v>
      </c>
      <c r="P623" s="96">
        <v>3838.18</v>
      </c>
      <c r="Q623" s="12">
        <v>3979.85</v>
      </c>
      <c r="R623" s="12">
        <v>141.66999999999999</v>
      </c>
      <c r="S623" s="73">
        <v>46395</v>
      </c>
      <c r="T623" s="10"/>
      <c r="U623" s="97"/>
      <c r="V623" s="1"/>
      <c r="X623" s="101">
        <v>2</v>
      </c>
    </row>
    <row r="624" spans="2:24" hidden="1">
      <c r="B624" s="23">
        <v>46333.604166666664</v>
      </c>
      <c r="C624" s="23">
        <v>46214.606944444444</v>
      </c>
      <c r="D624" s="6" t="s">
        <v>24</v>
      </c>
      <c r="E624" s="6"/>
      <c r="F624" s="28">
        <v>46214</v>
      </c>
      <c r="G624" s="27">
        <v>46333</v>
      </c>
      <c r="H624" s="7" t="s">
        <v>107</v>
      </c>
      <c r="I624" s="6" t="s">
        <v>1204</v>
      </c>
      <c r="J624" s="196"/>
      <c r="K624" s="180" t="s">
        <v>1205</v>
      </c>
      <c r="L624" s="108">
        <v>22577196</v>
      </c>
      <c r="M624" s="37">
        <v>5540959759</v>
      </c>
      <c r="N624" s="169" t="s">
        <v>37</v>
      </c>
      <c r="O624" s="48">
        <v>23873.31</v>
      </c>
      <c r="P624" s="95">
        <v>7161.67</v>
      </c>
      <c r="Q624" s="13">
        <v>7161.99</v>
      </c>
      <c r="R624" s="13">
        <v>0.32</v>
      </c>
      <c r="S624" s="72">
        <v>46235</v>
      </c>
      <c r="T624" s="6"/>
      <c r="U624" s="164"/>
      <c r="V624" s="1"/>
      <c r="X624" s="101">
        <v>2</v>
      </c>
    </row>
    <row r="625" spans="2:24" hidden="1">
      <c r="B625" s="24">
        <v>46333.611111111109</v>
      </c>
      <c r="C625" s="24">
        <v>46214.611805555556</v>
      </c>
      <c r="D625" s="10" t="s">
        <v>24</v>
      </c>
      <c r="E625" s="10"/>
      <c r="F625" s="28">
        <v>46214</v>
      </c>
      <c r="G625" s="28">
        <v>46333</v>
      </c>
      <c r="H625" s="15" t="s">
        <v>26</v>
      </c>
      <c r="I625" s="10" t="s">
        <v>1206</v>
      </c>
      <c r="J625" s="195">
        <v>62806025656</v>
      </c>
      <c r="K625" s="181" t="s">
        <v>1207</v>
      </c>
      <c r="L625" s="108">
        <v>22055438</v>
      </c>
      <c r="M625" s="36">
        <v>5212461647161</v>
      </c>
      <c r="N625" s="170" t="s">
        <v>37</v>
      </c>
      <c r="O625" s="49">
        <v>8539.89</v>
      </c>
      <c r="P625" s="96">
        <v>2422.0500000000002</v>
      </c>
      <c r="Q625" s="12">
        <v>2561.9699999999998</v>
      </c>
      <c r="R625" s="12">
        <v>139.91999999999999</v>
      </c>
      <c r="S625" s="73">
        <v>46397</v>
      </c>
      <c r="T625" s="10"/>
      <c r="U625" s="97"/>
      <c r="V625" s="1"/>
      <c r="X625" s="101">
        <v>2</v>
      </c>
    </row>
    <row r="626" spans="2:24" hidden="1">
      <c r="B626" s="23">
        <v>46333.620833333334</v>
      </c>
      <c r="C626" s="23">
        <v>46214.621527777781</v>
      </c>
      <c r="D626" s="6" t="s">
        <v>24</v>
      </c>
      <c r="E626" s="6"/>
      <c r="F626" s="28">
        <v>46214</v>
      </c>
      <c r="G626" s="27">
        <v>46333</v>
      </c>
      <c r="H626" s="18" t="s">
        <v>170</v>
      </c>
      <c r="I626" s="6" t="s">
        <v>1208</v>
      </c>
      <c r="J626" s="196"/>
      <c r="K626" s="180" t="s">
        <v>1209</v>
      </c>
      <c r="L626" s="107">
        <v>22561798</v>
      </c>
      <c r="M626" s="37">
        <v>5214433477149</v>
      </c>
      <c r="N626" s="169" t="s">
        <v>32</v>
      </c>
      <c r="O626" s="48">
        <v>3875.93</v>
      </c>
      <c r="P626" s="95"/>
      <c r="Q626" s="13">
        <v>1162.78</v>
      </c>
      <c r="R626" s="13">
        <v>0</v>
      </c>
      <c r="S626" s="72"/>
      <c r="T626" s="6"/>
      <c r="U626" s="164"/>
      <c r="V626" s="1"/>
      <c r="X626" s="101">
        <v>1</v>
      </c>
    </row>
    <row r="627" spans="2:24" hidden="1">
      <c r="B627" s="24">
        <v>46333.388888888891</v>
      </c>
      <c r="C627" s="24">
        <v>46214.642361111109</v>
      </c>
      <c r="D627" s="10" t="s">
        <v>24</v>
      </c>
      <c r="E627" s="10"/>
      <c r="F627" s="28">
        <v>46214</v>
      </c>
      <c r="G627" s="28">
        <v>46333</v>
      </c>
      <c r="H627" s="10" t="s">
        <v>124</v>
      </c>
      <c r="I627" s="10" t="s">
        <v>1210</v>
      </c>
      <c r="J627" s="195">
        <v>4826446462</v>
      </c>
      <c r="K627" s="181" t="s">
        <v>1211</v>
      </c>
      <c r="L627" s="108">
        <v>22572826</v>
      </c>
      <c r="M627" s="36">
        <v>5213332201851</v>
      </c>
      <c r="N627" s="170" t="s">
        <v>37</v>
      </c>
      <c r="O627" s="49">
        <v>9081.52</v>
      </c>
      <c r="P627" s="96">
        <v>2618.84</v>
      </c>
      <c r="Q627" s="12">
        <v>2724.46</v>
      </c>
      <c r="R627" s="12">
        <v>105.62</v>
      </c>
      <c r="S627" s="73">
        <v>46395</v>
      </c>
      <c r="T627" s="10"/>
      <c r="U627" s="97"/>
      <c r="V627" s="1"/>
      <c r="X627" s="101">
        <v>2</v>
      </c>
    </row>
    <row r="628" spans="2:24" hidden="1">
      <c r="B628" s="23">
        <v>46302.629861111112</v>
      </c>
      <c r="C628" s="23">
        <v>46214.65347222222</v>
      </c>
      <c r="D628" s="6" t="s">
        <v>24</v>
      </c>
      <c r="E628" s="6"/>
      <c r="F628" s="28">
        <v>46214</v>
      </c>
      <c r="G628" s="27">
        <v>46302</v>
      </c>
      <c r="H628" s="6" t="s">
        <v>51</v>
      </c>
      <c r="I628" s="6" t="s">
        <v>1212</v>
      </c>
      <c r="J628" s="196">
        <v>6785957108</v>
      </c>
      <c r="K628" s="180" t="s">
        <v>1213</v>
      </c>
      <c r="L628" s="108">
        <v>22549470</v>
      </c>
      <c r="M628" s="37">
        <v>5215519122104</v>
      </c>
      <c r="N628" s="169" t="s">
        <v>37</v>
      </c>
      <c r="O628" s="48">
        <v>6262.86</v>
      </c>
      <c r="P628" s="95">
        <v>1800.79</v>
      </c>
      <c r="Q628" s="13">
        <v>1878.86</v>
      </c>
      <c r="R628" s="13">
        <v>78.069999999999993</v>
      </c>
      <c r="S628" s="72">
        <v>46397</v>
      </c>
      <c r="T628" s="6" t="s">
        <v>178</v>
      </c>
      <c r="U628" s="164"/>
      <c r="V628" s="1"/>
      <c r="X628" s="101">
        <v>2</v>
      </c>
    </row>
    <row r="629" spans="2:24" hidden="1">
      <c r="B629" s="24">
        <v>46333.658333333333</v>
      </c>
      <c r="C629" s="24">
        <v>46214.65902777778</v>
      </c>
      <c r="D629" s="10" t="s">
        <v>24</v>
      </c>
      <c r="E629" s="10"/>
      <c r="F629" s="28">
        <v>46214</v>
      </c>
      <c r="G629" s="28">
        <v>46333</v>
      </c>
      <c r="H629" s="20" t="s">
        <v>71</v>
      </c>
      <c r="I629" s="10" t="s">
        <v>1214</v>
      </c>
      <c r="J629" s="195"/>
      <c r="K629" s="181" t="s">
        <v>1215</v>
      </c>
      <c r="L629" s="108">
        <v>22576508</v>
      </c>
      <c r="M629" s="36">
        <v>5219813729452</v>
      </c>
      <c r="N629" s="170" t="s">
        <v>37</v>
      </c>
      <c r="O629" s="49">
        <v>17812.080000000002</v>
      </c>
      <c r="P629" s="96">
        <v>5342.68</v>
      </c>
      <c r="Q629" s="12">
        <v>5343.62</v>
      </c>
      <c r="R629" s="12">
        <v>0.94</v>
      </c>
      <c r="S629" s="73">
        <v>46757</v>
      </c>
      <c r="T629" s="10"/>
      <c r="U629" s="97"/>
      <c r="V629" s="1"/>
      <c r="X629" s="101">
        <v>2</v>
      </c>
    </row>
    <row r="630" spans="2:24" hidden="1">
      <c r="B630" s="23">
        <v>46333.67291666667</v>
      </c>
      <c r="C630" s="23">
        <v>46214.674305555556</v>
      </c>
      <c r="D630" s="6" t="s">
        <v>24</v>
      </c>
      <c r="E630" s="6"/>
      <c r="F630" s="28">
        <v>46214</v>
      </c>
      <c r="G630" s="27">
        <v>46333</v>
      </c>
      <c r="H630" s="18" t="s">
        <v>71</v>
      </c>
      <c r="I630" s="6" t="s">
        <v>1216</v>
      </c>
      <c r="J630" s="196"/>
      <c r="K630" s="180" t="s">
        <v>1217</v>
      </c>
      <c r="L630" s="107">
        <v>22576244</v>
      </c>
      <c r="M630" s="37">
        <v>5630059502</v>
      </c>
      <c r="N630" s="169" t="s">
        <v>98</v>
      </c>
      <c r="O630" s="48"/>
      <c r="P630" s="95"/>
      <c r="Q630" s="13">
        <v>0</v>
      </c>
      <c r="R630" s="13">
        <v>0</v>
      </c>
      <c r="S630" s="72"/>
      <c r="T630" s="6"/>
      <c r="U630" s="164"/>
      <c r="V630" s="1"/>
      <c r="X630" s="101">
        <v>0</v>
      </c>
    </row>
    <row r="631" spans="2:24" hidden="1">
      <c r="B631" s="24">
        <v>46333.668055555558</v>
      </c>
      <c r="C631" s="24">
        <v>46214.679861111108</v>
      </c>
      <c r="D631" s="10" t="s">
        <v>24</v>
      </c>
      <c r="E631" s="10"/>
      <c r="F631" s="28">
        <v>46214</v>
      </c>
      <c r="G631" s="28">
        <v>46272</v>
      </c>
      <c r="H631" s="10" t="s">
        <v>39</v>
      </c>
      <c r="I631" s="10" t="s">
        <v>1218</v>
      </c>
      <c r="J631" s="195">
        <v>54825141002</v>
      </c>
      <c r="K631" s="181" t="s">
        <v>1219</v>
      </c>
      <c r="L631" s="108">
        <v>22507582</v>
      </c>
      <c r="M631" s="36">
        <v>5213141986754</v>
      </c>
      <c r="N631" s="170" t="s">
        <v>37</v>
      </c>
      <c r="O631" s="49">
        <v>7860.47</v>
      </c>
      <c r="P631" s="96">
        <v>2358</v>
      </c>
      <c r="Q631" s="12">
        <v>2358.14</v>
      </c>
      <c r="R631" s="12">
        <v>0.14000000000000001</v>
      </c>
      <c r="S631" s="73">
        <v>46396</v>
      </c>
      <c r="T631" s="10"/>
      <c r="U631" s="97"/>
      <c r="V631" s="1"/>
      <c r="X631" s="101">
        <v>2</v>
      </c>
    </row>
    <row r="632" spans="2:24" hidden="1">
      <c r="B632" s="23">
        <v>46333.636805555558</v>
      </c>
      <c r="C632" s="23">
        <v>46214.692361111112</v>
      </c>
      <c r="D632" s="6" t="s">
        <v>24</v>
      </c>
      <c r="E632" s="6"/>
      <c r="F632" s="28">
        <v>46214</v>
      </c>
      <c r="G632" s="27">
        <v>46333</v>
      </c>
      <c r="H632" s="10" t="s">
        <v>81</v>
      </c>
      <c r="I632" s="6" t="s">
        <v>1220</v>
      </c>
      <c r="J632" s="196">
        <v>19796023547</v>
      </c>
      <c r="K632" s="180"/>
      <c r="L632" s="107">
        <v>22574168</v>
      </c>
      <c r="M632" s="37">
        <v>5216641898909</v>
      </c>
      <c r="N632" s="169" t="s">
        <v>106</v>
      </c>
      <c r="O632" s="48">
        <v>5776.61</v>
      </c>
      <c r="P632" s="95">
        <v>1445.81</v>
      </c>
      <c r="Q632" s="13">
        <v>1732.98</v>
      </c>
      <c r="R632" s="13">
        <v>157.82</v>
      </c>
      <c r="S632" s="72">
        <v>46028</v>
      </c>
      <c r="T632" s="6"/>
      <c r="U632" s="164"/>
      <c r="V632" s="1"/>
      <c r="X632" s="101">
        <v>2</v>
      </c>
    </row>
    <row r="633" spans="2:24" hidden="1">
      <c r="B633" s="24">
        <v>46333.693749999999</v>
      </c>
      <c r="C633" s="24">
        <v>46214.695833333331</v>
      </c>
      <c r="D633" s="10" t="s">
        <v>24</v>
      </c>
      <c r="E633" s="10"/>
      <c r="F633" s="28">
        <v>46214</v>
      </c>
      <c r="G633" s="28">
        <v>46333</v>
      </c>
      <c r="H633" s="10" t="s">
        <v>78</v>
      </c>
      <c r="I633" s="10" t="s">
        <v>1221</v>
      </c>
      <c r="J633" s="195">
        <v>51825100715</v>
      </c>
      <c r="K633" s="181" t="s">
        <v>1222</v>
      </c>
      <c r="L633" s="108">
        <v>22580054</v>
      </c>
      <c r="M633" s="36">
        <v>5216144675563</v>
      </c>
      <c r="N633" s="170" t="s">
        <v>32</v>
      </c>
      <c r="O633" s="49">
        <v>3855.42</v>
      </c>
      <c r="P633" s="96"/>
      <c r="Q633" s="12">
        <v>1156.6300000000001</v>
      </c>
      <c r="R633" s="12">
        <v>0</v>
      </c>
      <c r="S633" s="73"/>
      <c r="T633" s="10"/>
      <c r="U633" s="97"/>
      <c r="V633" s="1"/>
      <c r="X633" s="101">
        <v>1</v>
      </c>
    </row>
    <row r="634" spans="2:24" hidden="1">
      <c r="B634" s="23">
        <v>46333.693055555559</v>
      </c>
      <c r="C634" s="23">
        <v>46214.698611111111</v>
      </c>
      <c r="D634" s="6" t="s">
        <v>24</v>
      </c>
      <c r="E634" s="6"/>
      <c r="F634" s="28">
        <v>46214</v>
      </c>
      <c r="G634" s="27">
        <v>46302</v>
      </c>
      <c r="H634" s="6" t="s">
        <v>127</v>
      </c>
      <c r="I634" s="6" t="s">
        <v>1223</v>
      </c>
      <c r="J634" s="196"/>
      <c r="K634" s="180" t="s">
        <v>1224</v>
      </c>
      <c r="L634" s="108">
        <v>22549334</v>
      </c>
      <c r="M634" s="37">
        <v>5218119532729</v>
      </c>
      <c r="N634" s="169" t="s">
        <v>37</v>
      </c>
      <c r="O634" s="48">
        <v>6262.86</v>
      </c>
      <c r="P634" s="95">
        <v>1658.31</v>
      </c>
      <c r="Q634" s="13">
        <v>1878.86</v>
      </c>
      <c r="R634" s="13">
        <v>220.55</v>
      </c>
      <c r="S634" s="72">
        <v>46394</v>
      </c>
      <c r="T634" s="6"/>
      <c r="U634" s="164"/>
      <c r="V634" s="1"/>
      <c r="X634" s="101">
        <v>2</v>
      </c>
    </row>
    <row r="635" spans="2:24" hidden="1">
      <c r="B635" s="24">
        <v>46333.70416666667</v>
      </c>
      <c r="C635" s="24">
        <v>46214.70416666667</v>
      </c>
      <c r="D635" s="10" t="s">
        <v>24</v>
      </c>
      <c r="E635" s="10"/>
      <c r="F635" s="28">
        <v>46214</v>
      </c>
      <c r="G635" s="28">
        <v>46333</v>
      </c>
      <c r="H635" s="15" t="s">
        <v>26</v>
      </c>
      <c r="I635" s="10" t="s">
        <v>1225</v>
      </c>
      <c r="J635" s="195"/>
      <c r="K635" s="181" t="s">
        <v>1226</v>
      </c>
      <c r="L635" s="108">
        <v>22576320</v>
      </c>
      <c r="M635" s="36">
        <v>5212881390413</v>
      </c>
      <c r="N635" s="170" t="s">
        <v>32</v>
      </c>
      <c r="O635" s="49">
        <v>3961.31</v>
      </c>
      <c r="P635" s="96"/>
      <c r="Q635" s="12">
        <v>1188.3900000000001</v>
      </c>
      <c r="R635" s="12">
        <v>0</v>
      </c>
      <c r="S635" s="73"/>
      <c r="T635" s="10"/>
      <c r="U635" s="97"/>
      <c r="V635" s="1"/>
      <c r="X635" s="101">
        <v>1</v>
      </c>
    </row>
    <row r="636" spans="2:24" hidden="1">
      <c r="B636" s="23">
        <v>46333.703472222223</v>
      </c>
      <c r="C636" s="23">
        <v>46214.709722222222</v>
      </c>
      <c r="D636" s="6" t="s">
        <v>24</v>
      </c>
      <c r="E636" s="6"/>
      <c r="F636" s="28">
        <v>46214</v>
      </c>
      <c r="G636" s="27">
        <v>46333</v>
      </c>
      <c r="H636" s="6" t="s">
        <v>127</v>
      </c>
      <c r="I636" s="6" t="s">
        <v>1227</v>
      </c>
      <c r="J636" s="204"/>
      <c r="K636" s="180" t="s">
        <v>1228</v>
      </c>
      <c r="L636" s="107">
        <v>22579686</v>
      </c>
      <c r="M636" s="37">
        <v>5215562974895</v>
      </c>
      <c r="N636" s="169" t="s">
        <v>98</v>
      </c>
      <c r="O636" s="48"/>
      <c r="P636" s="95"/>
      <c r="Q636" s="13">
        <v>0</v>
      </c>
      <c r="R636" s="13">
        <v>0</v>
      </c>
      <c r="S636" s="72"/>
      <c r="T636" s="6"/>
      <c r="U636" s="164"/>
      <c r="V636" s="1"/>
      <c r="X636" s="101">
        <v>0</v>
      </c>
    </row>
    <row r="637" spans="2:24" hidden="1">
      <c r="B637" s="24">
        <v>46333.711805555555</v>
      </c>
      <c r="C637" s="24">
        <v>46214.720138888886</v>
      </c>
      <c r="D637" s="10" t="s">
        <v>24</v>
      </c>
      <c r="E637" s="10"/>
      <c r="F637" s="28">
        <v>46214</v>
      </c>
      <c r="G637" s="28">
        <v>46333</v>
      </c>
      <c r="H637" s="10" t="s">
        <v>39</v>
      </c>
      <c r="I637" s="10" t="s">
        <v>1229</v>
      </c>
      <c r="J637" s="195">
        <v>67866001414</v>
      </c>
      <c r="K637" s="181" t="s">
        <v>1230</v>
      </c>
      <c r="L637" s="108">
        <v>22579270</v>
      </c>
      <c r="M637" s="36">
        <v>5212723467898</v>
      </c>
      <c r="N637" s="170" t="s">
        <v>98</v>
      </c>
      <c r="O637" s="49"/>
      <c r="P637" s="96"/>
      <c r="Q637" s="12">
        <v>0</v>
      </c>
      <c r="R637" s="12">
        <v>0</v>
      </c>
      <c r="S637" s="73"/>
      <c r="T637" s="10"/>
      <c r="U637" s="97"/>
      <c r="V637" s="1"/>
      <c r="X637" s="101">
        <v>0</v>
      </c>
    </row>
    <row r="638" spans="2:24" hidden="1">
      <c r="B638" s="23">
        <v>46333.725694444445</v>
      </c>
      <c r="C638" s="23">
        <v>46214.728472222225</v>
      </c>
      <c r="D638" s="6" t="s">
        <v>24</v>
      </c>
      <c r="E638" s="6"/>
      <c r="F638" s="28">
        <v>46214</v>
      </c>
      <c r="G638" s="27">
        <v>46333</v>
      </c>
      <c r="H638" s="10" t="s">
        <v>39</v>
      </c>
      <c r="I638" s="6" t="s">
        <v>1231</v>
      </c>
      <c r="J638" s="196">
        <v>64856637679</v>
      </c>
      <c r="K638" s="180" t="s">
        <v>1232</v>
      </c>
      <c r="L638" s="107">
        <v>22580290</v>
      </c>
      <c r="M638" s="37">
        <v>5214427060893</v>
      </c>
      <c r="N638" s="169" t="s">
        <v>28</v>
      </c>
      <c r="O638" s="48">
        <v>13218.47</v>
      </c>
      <c r="P638" s="95"/>
      <c r="Q638" s="13">
        <v>3965.54</v>
      </c>
      <c r="R638" s="9">
        <v>3965.54</v>
      </c>
      <c r="S638" s="72"/>
      <c r="T638" s="6"/>
      <c r="U638" s="164"/>
      <c r="V638" s="1"/>
      <c r="X638" s="101">
        <v>1</v>
      </c>
    </row>
    <row r="639" spans="2:24" hidden="1">
      <c r="B639" s="24">
        <v>46333.65347222222</v>
      </c>
      <c r="C639" s="24">
        <v>46214.729166666664</v>
      </c>
      <c r="D639" s="10" t="s">
        <v>24</v>
      </c>
      <c r="E639" s="10"/>
      <c r="F639" s="28">
        <v>46214</v>
      </c>
      <c r="G639" s="28">
        <v>46333</v>
      </c>
      <c r="H639" s="10" t="s">
        <v>51</v>
      </c>
      <c r="I639" s="10" t="s">
        <v>1233</v>
      </c>
      <c r="J639" s="195">
        <v>11725551722</v>
      </c>
      <c r="K639" s="181" t="s">
        <v>1234</v>
      </c>
      <c r="L639" s="108">
        <v>22540186</v>
      </c>
      <c r="M639" s="36">
        <v>5214611974979</v>
      </c>
      <c r="N639" s="170" t="s">
        <v>47</v>
      </c>
      <c r="O639" s="49">
        <v>11018.76</v>
      </c>
      <c r="P639" s="96">
        <v>2984.93</v>
      </c>
      <c r="Q639" s="12">
        <v>3305.63</v>
      </c>
      <c r="R639" s="16">
        <v>320.7</v>
      </c>
      <c r="S639" s="73">
        <v>46753</v>
      </c>
      <c r="T639" s="10"/>
      <c r="U639" s="97"/>
      <c r="V639" s="1"/>
      <c r="X639" s="101">
        <v>2</v>
      </c>
    </row>
    <row r="640" spans="2:24" hidden="1">
      <c r="B640" s="23">
        <v>46333.730555555558</v>
      </c>
      <c r="C640" s="23">
        <v>46214.738888888889</v>
      </c>
      <c r="D640" s="6" t="s">
        <v>24</v>
      </c>
      <c r="E640" s="6"/>
      <c r="F640" s="28">
        <v>46214</v>
      </c>
      <c r="G640" s="27">
        <v>46333</v>
      </c>
      <c r="H640" s="6" t="s">
        <v>127</v>
      </c>
      <c r="I640" s="6" t="s">
        <v>1235</v>
      </c>
      <c r="J640" s="196"/>
      <c r="K640" s="180" t="s">
        <v>1236</v>
      </c>
      <c r="L640" s="107">
        <v>22581412</v>
      </c>
      <c r="M640" s="37">
        <v>5216391145289</v>
      </c>
      <c r="N640" s="169" t="s">
        <v>74</v>
      </c>
      <c r="O640" s="48"/>
      <c r="P640" s="95"/>
      <c r="Q640" s="13">
        <v>0</v>
      </c>
      <c r="R640" s="13">
        <v>0</v>
      </c>
      <c r="S640" s="72"/>
      <c r="T640" s="6"/>
      <c r="U640" s="164"/>
      <c r="V640" s="1"/>
      <c r="X640" s="101">
        <v>1</v>
      </c>
    </row>
    <row r="641" spans="2:24" hidden="1">
      <c r="B641" s="24">
        <v>46333.729861111111</v>
      </c>
      <c r="C641" s="24">
        <v>46214.738888888889</v>
      </c>
      <c r="D641" s="10" t="s">
        <v>24</v>
      </c>
      <c r="E641" s="10"/>
      <c r="F641" s="28">
        <v>46214</v>
      </c>
      <c r="G641" s="28" t="s">
        <v>295</v>
      </c>
      <c r="H641" s="10" t="s">
        <v>51</v>
      </c>
      <c r="I641" s="10" t="s">
        <v>1237</v>
      </c>
      <c r="J641" s="195">
        <v>13825701439</v>
      </c>
      <c r="K641" s="181" t="s">
        <v>1238</v>
      </c>
      <c r="L641" s="108">
        <v>22012356</v>
      </c>
      <c r="M641" s="36">
        <v>22012356</v>
      </c>
      <c r="N641" s="170" t="s">
        <v>32</v>
      </c>
      <c r="O641" s="49">
        <v>4199.87</v>
      </c>
      <c r="P641" s="96"/>
      <c r="Q641" s="12">
        <v>1259.96</v>
      </c>
      <c r="R641" s="12">
        <v>26.89</v>
      </c>
      <c r="S641" s="73"/>
      <c r="T641" s="10"/>
      <c r="U641" s="97"/>
      <c r="V641" s="1"/>
      <c r="X641" s="101">
        <v>1</v>
      </c>
    </row>
    <row r="642" spans="2:24" hidden="1">
      <c r="B642" s="23">
        <v>46333.706944444442</v>
      </c>
      <c r="C642" s="23">
        <v>46214.741666666669</v>
      </c>
      <c r="D642" s="6" t="s">
        <v>24</v>
      </c>
      <c r="E642" s="6"/>
      <c r="F642" s="28">
        <v>46214</v>
      </c>
      <c r="G642" s="27">
        <v>46333</v>
      </c>
      <c r="H642" s="6" t="s">
        <v>81</v>
      </c>
      <c r="I642" s="6" t="s">
        <v>1239</v>
      </c>
      <c r="J642" s="196">
        <v>49806422249</v>
      </c>
      <c r="K642" s="180"/>
      <c r="L642" s="108">
        <v>22580388</v>
      </c>
      <c r="M642" s="37">
        <v>5218122514208</v>
      </c>
      <c r="N642" s="169" t="s">
        <v>37</v>
      </c>
      <c r="O642" s="48">
        <v>10443.73</v>
      </c>
      <c r="P642" s="95">
        <v>3131.9</v>
      </c>
      <c r="Q642" s="13">
        <v>3133.12</v>
      </c>
      <c r="R642" s="13">
        <v>1.22</v>
      </c>
      <c r="S642" s="72">
        <v>46296</v>
      </c>
      <c r="T642" s="6"/>
      <c r="U642" s="164"/>
      <c r="V642" s="1"/>
      <c r="X642" s="101">
        <v>2</v>
      </c>
    </row>
    <row r="643" spans="2:24" hidden="1">
      <c r="B643" s="24">
        <v>46333.740972222222</v>
      </c>
      <c r="C643" s="24">
        <v>46214.745138888888</v>
      </c>
      <c r="D643" s="10" t="s">
        <v>24</v>
      </c>
      <c r="E643" s="10"/>
      <c r="F643" s="28">
        <v>46214</v>
      </c>
      <c r="G643" s="28">
        <v>46333</v>
      </c>
      <c r="H643" s="10" t="s">
        <v>160</v>
      </c>
      <c r="I643" s="10" t="s">
        <v>1240</v>
      </c>
      <c r="J643" s="195">
        <v>23856300134</v>
      </c>
      <c r="K643" s="181" t="s">
        <v>1241</v>
      </c>
      <c r="L643" s="108">
        <v>22579892</v>
      </c>
      <c r="M643" s="36">
        <v>5216673444152</v>
      </c>
      <c r="N643" s="170" t="s">
        <v>28</v>
      </c>
      <c r="O643" s="49">
        <v>55672.13</v>
      </c>
      <c r="P643" s="96">
        <v>15360.6</v>
      </c>
      <c r="Q643" s="12">
        <v>16701.64</v>
      </c>
      <c r="R643" s="14">
        <v>1341.04</v>
      </c>
      <c r="S643" s="73">
        <v>46389</v>
      </c>
      <c r="T643" s="10"/>
      <c r="U643" s="97"/>
      <c r="V643" s="1"/>
      <c r="X643" s="101">
        <v>2</v>
      </c>
    </row>
    <row r="644" spans="2:24" hidden="1">
      <c r="B644" s="23">
        <v>46333.746527777781</v>
      </c>
      <c r="C644" s="23">
        <v>46214.750694444447</v>
      </c>
      <c r="D644" s="6" t="s">
        <v>24</v>
      </c>
      <c r="E644" s="6"/>
      <c r="F644" s="28">
        <v>46214</v>
      </c>
      <c r="G644" s="27" t="s">
        <v>211</v>
      </c>
      <c r="H644" s="6" t="s">
        <v>127</v>
      </c>
      <c r="I644" s="6" t="s">
        <v>1242</v>
      </c>
      <c r="J644" s="196">
        <v>33745722273</v>
      </c>
      <c r="K644" s="180" t="s">
        <v>1243</v>
      </c>
      <c r="L644" s="107">
        <v>21759918</v>
      </c>
      <c r="M644" s="37">
        <v>5216566067408</v>
      </c>
      <c r="N644" s="169" t="s">
        <v>32</v>
      </c>
      <c r="O644" s="48">
        <v>3961.31</v>
      </c>
      <c r="P644" s="95">
        <v>848</v>
      </c>
      <c r="Q644" s="13">
        <v>1188.3900000000001</v>
      </c>
      <c r="R644" s="13">
        <v>-848</v>
      </c>
      <c r="S644" s="72"/>
      <c r="T644" s="6"/>
      <c r="U644" s="164"/>
      <c r="V644" s="1"/>
      <c r="X644" s="101">
        <v>1</v>
      </c>
    </row>
    <row r="645" spans="2:24" hidden="1">
      <c r="B645" s="24">
        <v>46363.340277777781</v>
      </c>
      <c r="C645" s="24">
        <v>46215.340277777781</v>
      </c>
      <c r="D645" s="10" t="s">
        <v>24</v>
      </c>
      <c r="E645" s="10"/>
      <c r="F645" s="28">
        <v>46215</v>
      </c>
      <c r="G645" s="28">
        <v>46333</v>
      </c>
      <c r="H645" s="15" t="s">
        <v>26</v>
      </c>
      <c r="I645" s="10" t="s">
        <v>1244</v>
      </c>
      <c r="J645" s="195">
        <v>14685015977</v>
      </c>
      <c r="K645" s="181"/>
      <c r="L645" s="108">
        <v>22582474</v>
      </c>
      <c r="M645" s="36">
        <v>5214463255711</v>
      </c>
      <c r="N645" s="170" t="s">
        <v>37</v>
      </c>
      <c r="O645" s="49">
        <v>41585.980000000003</v>
      </c>
      <c r="P645" s="96">
        <v>12473.44</v>
      </c>
      <c r="Q645" s="12">
        <v>12475.79</v>
      </c>
      <c r="R645" s="12">
        <v>2.35</v>
      </c>
      <c r="S645" s="73">
        <v>46235</v>
      </c>
      <c r="T645" s="10"/>
      <c r="U645" s="97"/>
      <c r="V645" s="1"/>
      <c r="X645" s="101">
        <v>2</v>
      </c>
    </row>
    <row r="646" spans="2:24" hidden="1">
      <c r="B646" s="23">
        <v>46333.670138888891</v>
      </c>
      <c r="C646" s="23">
        <v>46215.342361111114</v>
      </c>
      <c r="D646" s="6" t="s">
        <v>24</v>
      </c>
      <c r="E646" s="6"/>
      <c r="F646" s="28">
        <v>46215</v>
      </c>
      <c r="G646" s="27">
        <v>46333</v>
      </c>
      <c r="H646" s="161" t="s">
        <v>170</v>
      </c>
      <c r="I646" s="6" t="s">
        <v>1245</v>
      </c>
      <c r="J646" s="196">
        <v>19755633211</v>
      </c>
      <c r="K646" s="180"/>
      <c r="L646" s="107">
        <v>22586146</v>
      </c>
      <c r="M646" s="37">
        <v>5214981227367</v>
      </c>
      <c r="N646" s="169" t="s">
        <v>130</v>
      </c>
      <c r="O646" s="48">
        <v>5226.93</v>
      </c>
      <c r="P646" s="95">
        <v>1015.61</v>
      </c>
      <c r="Q646" s="13">
        <v>1568.08</v>
      </c>
      <c r="R646" s="13">
        <v>38.340000000000003</v>
      </c>
      <c r="S646" s="72">
        <v>46028</v>
      </c>
      <c r="T646" s="6"/>
      <c r="U646" s="164"/>
      <c r="V646" s="1"/>
      <c r="X646" s="101">
        <v>2</v>
      </c>
    </row>
    <row r="647" spans="2:24" hidden="1">
      <c r="B647" s="24">
        <v>46363.366666666669</v>
      </c>
      <c r="C647" s="24">
        <v>46215.367361111108</v>
      </c>
      <c r="D647" s="10" t="s">
        <v>24</v>
      </c>
      <c r="E647" s="10"/>
      <c r="F647" s="28">
        <v>46215</v>
      </c>
      <c r="G647" s="28">
        <v>46363</v>
      </c>
      <c r="H647" s="161" t="s">
        <v>71</v>
      </c>
      <c r="I647" s="10" t="s">
        <v>1246</v>
      </c>
      <c r="J647" s="195"/>
      <c r="K647" s="181" t="s">
        <v>1247</v>
      </c>
      <c r="L647" s="108">
        <v>22590640</v>
      </c>
      <c r="M647" s="36">
        <v>18787023992</v>
      </c>
      <c r="N647" s="170" t="s">
        <v>47</v>
      </c>
      <c r="O647" s="49">
        <v>10171.24</v>
      </c>
      <c r="P647" s="96">
        <v>2094.7800000000002</v>
      </c>
      <c r="Q647" s="12">
        <v>3051.37</v>
      </c>
      <c r="R647" s="16">
        <v>956.59</v>
      </c>
      <c r="S647" s="73">
        <v>46395</v>
      </c>
      <c r="T647" s="10"/>
      <c r="U647" s="97"/>
      <c r="V647" s="1"/>
      <c r="X647" s="101">
        <v>2</v>
      </c>
    </row>
    <row r="648" spans="2:24" hidden="1">
      <c r="B648" s="23">
        <v>46363.377083333333</v>
      </c>
      <c r="C648" s="23">
        <v>46215.380555555559</v>
      </c>
      <c r="D648" s="6" t="s">
        <v>24</v>
      </c>
      <c r="E648" s="6"/>
      <c r="F648" s="28">
        <v>46215</v>
      </c>
      <c r="G648" s="27">
        <v>46363</v>
      </c>
      <c r="H648" s="10" t="s">
        <v>93</v>
      </c>
      <c r="I648" s="6" t="s">
        <v>1248</v>
      </c>
      <c r="J648" s="196"/>
      <c r="K648" s="180" t="s">
        <v>1249</v>
      </c>
      <c r="L648" s="107">
        <v>22590704</v>
      </c>
      <c r="M648" s="37">
        <v>5549517967</v>
      </c>
      <c r="N648" s="169" t="s">
        <v>28</v>
      </c>
      <c r="O648" s="48">
        <v>34432.47</v>
      </c>
      <c r="P648" s="95"/>
      <c r="Q648" s="13">
        <v>10329.74</v>
      </c>
      <c r="R648" s="9">
        <v>10329.74</v>
      </c>
      <c r="S648" s="72"/>
      <c r="T648" s="6"/>
      <c r="U648" s="164"/>
      <c r="V648" s="1"/>
      <c r="X648" s="101">
        <v>1</v>
      </c>
    </row>
    <row r="649" spans="2:24" hidden="1">
      <c r="B649" s="24">
        <v>46363.379861111112</v>
      </c>
      <c r="C649" s="24">
        <v>46215.380555555559</v>
      </c>
      <c r="D649" s="10" t="s">
        <v>24</v>
      </c>
      <c r="E649" s="10"/>
      <c r="F649" s="28">
        <v>46215</v>
      </c>
      <c r="G649" s="28">
        <v>46333</v>
      </c>
      <c r="H649" s="20" t="s">
        <v>170</v>
      </c>
      <c r="I649" s="10" t="s">
        <v>1250</v>
      </c>
      <c r="J649" s="195"/>
      <c r="K649" s="181" t="s">
        <v>1251</v>
      </c>
      <c r="L649" s="108">
        <v>22581834</v>
      </c>
      <c r="M649" s="36">
        <v>5215641378406</v>
      </c>
      <c r="N649" s="170" t="s">
        <v>98</v>
      </c>
      <c r="O649" s="49"/>
      <c r="P649" s="96"/>
      <c r="Q649" s="12">
        <v>0</v>
      </c>
      <c r="R649" s="12">
        <v>0</v>
      </c>
      <c r="S649" s="73"/>
      <c r="T649" s="10"/>
      <c r="U649" s="97"/>
      <c r="V649" s="1"/>
      <c r="X649" s="101">
        <v>0</v>
      </c>
    </row>
    <row r="650" spans="2:24" hidden="1">
      <c r="B650" s="23">
        <v>46363.393055555556</v>
      </c>
      <c r="C650" s="23">
        <v>46215.395138888889</v>
      </c>
      <c r="D650" s="6" t="s">
        <v>24</v>
      </c>
      <c r="E650" s="6"/>
      <c r="F650" s="28">
        <v>46215</v>
      </c>
      <c r="G650" s="27">
        <v>46333</v>
      </c>
      <c r="H650" s="7" t="s">
        <v>107</v>
      </c>
      <c r="I650" s="6" t="s">
        <v>1252</v>
      </c>
      <c r="J650" s="196">
        <v>24794900498</v>
      </c>
      <c r="K650" s="180" t="s">
        <v>1253</v>
      </c>
      <c r="L650" s="107">
        <v>22585752</v>
      </c>
      <c r="M650" s="37">
        <v>5216271074195</v>
      </c>
      <c r="N650" s="169" t="s">
        <v>32</v>
      </c>
      <c r="O650" s="48">
        <v>3879.3</v>
      </c>
      <c r="P650" s="95">
        <v>848</v>
      </c>
      <c r="Q650" s="13">
        <v>1163.79</v>
      </c>
      <c r="R650" s="13">
        <v>-848</v>
      </c>
      <c r="S650" s="72"/>
      <c r="T650" s="6"/>
      <c r="U650" s="164"/>
      <c r="V650" s="1"/>
      <c r="X650" s="101">
        <v>1</v>
      </c>
    </row>
    <row r="651" spans="2:24" hidden="1">
      <c r="B651" s="24">
        <v>46363.354861111111</v>
      </c>
      <c r="C651" s="24">
        <v>46215.40347222222</v>
      </c>
      <c r="D651" s="10" t="s">
        <v>24</v>
      </c>
      <c r="E651" s="10"/>
      <c r="F651" s="28">
        <v>46215</v>
      </c>
      <c r="G651" s="28">
        <v>46333</v>
      </c>
      <c r="H651" s="10" t="s">
        <v>145</v>
      </c>
      <c r="I651" s="10" t="s">
        <v>1254</v>
      </c>
      <c r="J651" s="195"/>
      <c r="K651" s="181" t="s">
        <v>1255</v>
      </c>
      <c r="L651" s="108">
        <v>22583264</v>
      </c>
      <c r="M651" s="36">
        <v>5212292462687</v>
      </c>
      <c r="N651" s="170" t="s">
        <v>37</v>
      </c>
      <c r="O651" s="49">
        <v>26300.71</v>
      </c>
      <c r="P651" s="96">
        <v>7888.37</v>
      </c>
      <c r="Q651" s="12">
        <v>7890.21</v>
      </c>
      <c r="R651" s="12">
        <v>1.84</v>
      </c>
      <c r="S651" s="73">
        <v>46399</v>
      </c>
      <c r="T651" s="10" t="s">
        <v>192</v>
      </c>
      <c r="U651" s="97"/>
      <c r="V651" s="1"/>
      <c r="X651" s="101">
        <v>2</v>
      </c>
    </row>
    <row r="652" spans="2:24" hidden="1">
      <c r="B652" s="23">
        <v>46363.411805555559</v>
      </c>
      <c r="C652" s="23">
        <v>46215.412499999999</v>
      </c>
      <c r="D652" s="6" t="s">
        <v>24</v>
      </c>
      <c r="E652" s="6"/>
      <c r="F652" s="28">
        <v>46215</v>
      </c>
      <c r="G652" s="27">
        <v>46333</v>
      </c>
      <c r="H652" s="161" t="s">
        <v>170</v>
      </c>
      <c r="I652" s="6" t="s">
        <v>1256</v>
      </c>
      <c r="J652" s="196"/>
      <c r="K652" s="180" t="s">
        <v>1257</v>
      </c>
      <c r="L652" s="107">
        <v>22583132</v>
      </c>
      <c r="M652" s="37">
        <v>5219231055002</v>
      </c>
      <c r="N652" s="169" t="s">
        <v>28</v>
      </c>
      <c r="O652" s="48">
        <v>7920.51</v>
      </c>
      <c r="P652" s="95"/>
      <c r="Q652" s="13">
        <v>2376.15</v>
      </c>
      <c r="R652" s="9">
        <v>2376.15</v>
      </c>
      <c r="S652" s="72"/>
      <c r="T652" s="6"/>
      <c r="U652" s="164"/>
      <c r="V652" s="1"/>
      <c r="X652" s="101">
        <v>1</v>
      </c>
    </row>
    <row r="653" spans="2:24" hidden="1">
      <c r="B653" s="24">
        <v>46363.428472222222</v>
      </c>
      <c r="C653" s="24">
        <v>46215.429166666669</v>
      </c>
      <c r="D653" s="10" t="s">
        <v>24</v>
      </c>
      <c r="E653" s="10"/>
      <c r="F653" s="28">
        <v>46215</v>
      </c>
      <c r="G653" s="28">
        <v>46333</v>
      </c>
      <c r="H653" s="161" t="s">
        <v>170</v>
      </c>
      <c r="I653" s="10" t="s">
        <v>1258</v>
      </c>
      <c r="J653" s="195"/>
      <c r="K653" s="181" t="s">
        <v>1259</v>
      </c>
      <c r="L653" s="108">
        <v>22582850</v>
      </c>
      <c r="M653" s="36">
        <v>5216444545057</v>
      </c>
      <c r="N653" s="170" t="s">
        <v>47</v>
      </c>
      <c r="O653" s="49">
        <v>6262</v>
      </c>
      <c r="P653" s="96">
        <v>1500</v>
      </c>
      <c r="Q653" s="12">
        <v>1878.6</v>
      </c>
      <c r="R653" s="16">
        <v>378.6</v>
      </c>
      <c r="S653" s="73">
        <v>46396</v>
      </c>
      <c r="T653" s="10"/>
      <c r="U653" s="97"/>
      <c r="V653" s="1"/>
      <c r="X653" s="101">
        <v>2</v>
      </c>
    </row>
    <row r="654" spans="2:24" hidden="1">
      <c r="B654" s="23">
        <v>46363.431944444441</v>
      </c>
      <c r="C654" s="23">
        <v>46215.433333333334</v>
      </c>
      <c r="D654" s="6" t="s">
        <v>24</v>
      </c>
      <c r="E654" s="6"/>
      <c r="F654" s="28">
        <v>46215</v>
      </c>
      <c r="G654" s="27">
        <v>46363</v>
      </c>
      <c r="H654" s="10" t="s">
        <v>93</v>
      </c>
      <c r="I654" s="6" t="s">
        <v>1260</v>
      </c>
      <c r="J654" s="196"/>
      <c r="K654" s="180" t="s">
        <v>1261</v>
      </c>
      <c r="L654" s="107">
        <v>22592718</v>
      </c>
      <c r="M654" s="37">
        <v>4776356283</v>
      </c>
      <c r="N654" s="169" t="s">
        <v>28</v>
      </c>
      <c r="O654" s="48">
        <v>7218</v>
      </c>
      <c r="P654" s="95"/>
      <c r="Q654" s="13">
        <v>2165.4</v>
      </c>
      <c r="R654" s="9">
        <v>2165.4</v>
      </c>
      <c r="S654" s="72"/>
      <c r="T654" s="6"/>
      <c r="U654" s="164"/>
      <c r="V654" s="1"/>
      <c r="X654" s="101">
        <v>1</v>
      </c>
    </row>
    <row r="655" spans="2:24" hidden="1">
      <c r="B655" s="24">
        <v>46363.44027777778</v>
      </c>
      <c r="C655" s="24">
        <v>46215.440972222219</v>
      </c>
      <c r="D655" s="10" t="s">
        <v>24</v>
      </c>
      <c r="E655" s="10"/>
      <c r="F655" s="28">
        <v>46215</v>
      </c>
      <c r="G655" s="28">
        <v>46363</v>
      </c>
      <c r="H655" s="15" t="s">
        <v>26</v>
      </c>
      <c r="I655" s="10" t="s">
        <v>1262</v>
      </c>
      <c r="J655" s="195">
        <v>13927346836</v>
      </c>
      <c r="K655" s="181" t="s">
        <v>1263</v>
      </c>
      <c r="L655" s="108">
        <v>22593986</v>
      </c>
      <c r="M655" s="36">
        <v>5215623212630</v>
      </c>
      <c r="N655" s="170" t="s">
        <v>74</v>
      </c>
      <c r="O655" s="49"/>
      <c r="P655" s="96"/>
      <c r="Q655" s="12">
        <v>0</v>
      </c>
      <c r="R655" s="12">
        <v>0</v>
      </c>
      <c r="S655" s="73"/>
      <c r="T655" s="10"/>
      <c r="U655" s="97"/>
      <c r="V655" s="1"/>
      <c r="X655" s="101">
        <v>1</v>
      </c>
    </row>
    <row r="656" spans="2:24" hidden="1">
      <c r="B656" s="23">
        <v>46363.443749999999</v>
      </c>
      <c r="C656" s="23">
        <v>46215.445138888892</v>
      </c>
      <c r="D656" s="6" t="s">
        <v>24</v>
      </c>
      <c r="E656" s="6"/>
      <c r="F656" s="28">
        <v>46215</v>
      </c>
      <c r="G656" s="27">
        <v>46363</v>
      </c>
      <c r="H656" s="7" t="s">
        <v>110</v>
      </c>
      <c r="I656" s="6"/>
      <c r="J656" s="196">
        <v>54907220807</v>
      </c>
      <c r="K656" s="180"/>
      <c r="L656" s="107">
        <v>22591776</v>
      </c>
      <c r="M656" s="37">
        <v>5213326170267</v>
      </c>
      <c r="N656" s="169" t="s">
        <v>32</v>
      </c>
      <c r="O656" s="48">
        <v>3498.07</v>
      </c>
      <c r="P656" s="95">
        <v>848</v>
      </c>
      <c r="Q656" s="13">
        <v>1049.42</v>
      </c>
      <c r="R656" s="13">
        <v>-848</v>
      </c>
      <c r="S656" s="72"/>
      <c r="T656" s="6"/>
      <c r="U656" s="164"/>
      <c r="V656" s="1"/>
      <c r="X656" s="101">
        <v>1</v>
      </c>
    </row>
    <row r="657" spans="2:24" hidden="1">
      <c r="B657" s="24">
        <v>46363.455555555556</v>
      </c>
      <c r="C657" s="24">
        <v>46215.456250000003</v>
      </c>
      <c r="D657" s="10" t="s">
        <v>24</v>
      </c>
      <c r="E657" s="10"/>
      <c r="F657" s="28">
        <v>46215</v>
      </c>
      <c r="G657" s="28">
        <v>46363</v>
      </c>
      <c r="H657" s="160" t="s">
        <v>26</v>
      </c>
      <c r="I657" s="10" t="s">
        <v>1264</v>
      </c>
      <c r="J657" s="195">
        <v>65846102047</v>
      </c>
      <c r="K657" s="181" t="s">
        <v>1265</v>
      </c>
      <c r="L657" s="108">
        <v>22594470</v>
      </c>
      <c r="M657" s="36">
        <v>5212295215917</v>
      </c>
      <c r="N657" s="170" t="s">
        <v>28</v>
      </c>
      <c r="O657" s="49">
        <v>7640.52</v>
      </c>
      <c r="P657" s="96">
        <v>880.31</v>
      </c>
      <c r="Q657" s="12">
        <v>2292.16</v>
      </c>
      <c r="R657" s="14">
        <v>1411.85</v>
      </c>
      <c r="S657" s="73">
        <v>46755</v>
      </c>
      <c r="T657" s="10"/>
      <c r="U657" s="97"/>
      <c r="V657" s="1"/>
      <c r="X657" s="101">
        <v>2</v>
      </c>
    </row>
    <row r="658" spans="2:24" hidden="1">
      <c r="B658" s="23">
        <v>46363.458333333336</v>
      </c>
      <c r="C658" s="23">
        <v>46215.459027777775</v>
      </c>
      <c r="D658" s="6" t="s">
        <v>24</v>
      </c>
      <c r="E658" s="6"/>
      <c r="F658" s="28">
        <v>46215</v>
      </c>
      <c r="G658" s="27">
        <v>46333</v>
      </c>
      <c r="H658" s="6" t="s">
        <v>93</v>
      </c>
      <c r="I658" s="6" t="s">
        <v>1266</v>
      </c>
      <c r="J658" s="196">
        <v>1806349773</v>
      </c>
      <c r="K658" s="180"/>
      <c r="L658" s="108">
        <v>22584770</v>
      </c>
      <c r="M658" s="37">
        <v>5571096207</v>
      </c>
      <c r="N658" s="169" t="s">
        <v>37</v>
      </c>
      <c r="O658" s="48">
        <v>9081.52</v>
      </c>
      <c r="P658" s="95">
        <v>2715.33</v>
      </c>
      <c r="Q658" s="13">
        <v>2724.46</v>
      </c>
      <c r="R658" s="13">
        <v>9.1300000000000008</v>
      </c>
      <c r="S658" s="72">
        <v>46395</v>
      </c>
      <c r="T658" s="6"/>
      <c r="U658" s="164"/>
      <c r="V658" s="1"/>
      <c r="X658" s="101">
        <v>2</v>
      </c>
    </row>
    <row r="659" spans="2:24" hidden="1">
      <c r="B659" s="24">
        <v>46363.458333333336</v>
      </c>
      <c r="C659" s="24">
        <v>46215.460416666669</v>
      </c>
      <c r="D659" s="10" t="s">
        <v>24</v>
      </c>
      <c r="E659" s="10"/>
      <c r="F659" s="28">
        <v>46215</v>
      </c>
      <c r="G659" s="28">
        <v>46363</v>
      </c>
      <c r="H659" s="15" t="s">
        <v>476</v>
      </c>
      <c r="I659" s="10" t="s">
        <v>1267</v>
      </c>
      <c r="J659" s="195">
        <v>4725229787</v>
      </c>
      <c r="K659" s="181" t="s">
        <v>1268</v>
      </c>
      <c r="L659" s="108">
        <v>22592648</v>
      </c>
      <c r="M659" s="36">
        <v>5213333977955</v>
      </c>
      <c r="N659" s="170" t="s">
        <v>32</v>
      </c>
      <c r="O659" s="49">
        <v>4342.43</v>
      </c>
      <c r="P659" s="96">
        <v>848</v>
      </c>
      <c r="Q659" s="12">
        <v>1302.73</v>
      </c>
      <c r="R659" s="12">
        <v>-678.55</v>
      </c>
      <c r="S659" s="73"/>
      <c r="T659" s="10"/>
      <c r="U659" s="97"/>
      <c r="V659" s="1"/>
      <c r="X659" s="101">
        <v>1</v>
      </c>
    </row>
    <row r="660" spans="2:24" hidden="1">
      <c r="B660" s="23">
        <v>46363.467361111114</v>
      </c>
      <c r="C660" s="23">
        <v>46215.46875</v>
      </c>
      <c r="D660" s="6" t="s">
        <v>24</v>
      </c>
      <c r="E660" s="6"/>
      <c r="F660" s="28">
        <v>46215</v>
      </c>
      <c r="G660" s="27">
        <v>46333</v>
      </c>
      <c r="H660" s="6" t="s">
        <v>93</v>
      </c>
      <c r="I660" s="6" t="s">
        <v>1269</v>
      </c>
      <c r="J660" s="196">
        <v>9897046869</v>
      </c>
      <c r="K660" s="180" t="s">
        <v>1270</v>
      </c>
      <c r="L660" s="108">
        <v>22583662</v>
      </c>
      <c r="M660" s="37">
        <v>7204429025</v>
      </c>
      <c r="N660" s="169" t="s">
        <v>37</v>
      </c>
      <c r="O660" s="48">
        <v>5055.87</v>
      </c>
      <c r="P660" s="95">
        <v>1558.78</v>
      </c>
      <c r="Q660" s="13">
        <v>1516.76</v>
      </c>
      <c r="R660" s="13">
        <v>-675.89</v>
      </c>
      <c r="S660" s="72">
        <v>46235</v>
      </c>
      <c r="T660" s="6" t="s">
        <v>192</v>
      </c>
      <c r="U660" s="164"/>
      <c r="V660" s="1"/>
      <c r="X660" s="101">
        <v>2</v>
      </c>
    </row>
    <row r="661" spans="2:24" hidden="1">
      <c r="B661" s="24">
        <v>46363.474999999999</v>
      </c>
      <c r="C661" s="24">
        <v>46215.476388888892</v>
      </c>
      <c r="D661" s="10" t="s">
        <v>24</v>
      </c>
      <c r="E661" s="10"/>
      <c r="F661" s="28">
        <v>46215</v>
      </c>
      <c r="G661" s="28">
        <v>46333</v>
      </c>
      <c r="H661" s="10" t="s">
        <v>93</v>
      </c>
      <c r="I661" s="10" t="s">
        <v>1271</v>
      </c>
      <c r="J661" s="195">
        <v>3816510113</v>
      </c>
      <c r="K661" s="181" t="s">
        <v>1272</v>
      </c>
      <c r="L661" s="108">
        <v>22583432</v>
      </c>
      <c r="M661" s="36">
        <v>8113683179</v>
      </c>
      <c r="N661" s="170" t="s">
        <v>37</v>
      </c>
      <c r="O661" s="49">
        <v>10149.4</v>
      </c>
      <c r="P661" s="96">
        <v>3044.82</v>
      </c>
      <c r="Q661" s="12">
        <v>3044.82</v>
      </c>
      <c r="R661" s="12">
        <v>0</v>
      </c>
      <c r="S661" s="73">
        <v>46754</v>
      </c>
      <c r="T661" s="10"/>
      <c r="U661" s="97"/>
      <c r="V661" s="1"/>
      <c r="X661" s="101">
        <v>2</v>
      </c>
    </row>
    <row r="662" spans="2:24" hidden="1">
      <c r="B662" s="23">
        <v>46363.48541666667</v>
      </c>
      <c r="C662" s="23">
        <v>46215.487500000003</v>
      </c>
      <c r="D662" s="6" t="s">
        <v>24</v>
      </c>
      <c r="E662" s="6"/>
      <c r="F662" s="28">
        <v>46215</v>
      </c>
      <c r="G662" s="27">
        <v>46333</v>
      </c>
      <c r="H662" s="7" t="s">
        <v>476</v>
      </c>
      <c r="I662" s="6" t="s">
        <v>1273</v>
      </c>
      <c r="J662" s="196">
        <v>16897236168</v>
      </c>
      <c r="K662" s="180" t="s">
        <v>1274</v>
      </c>
      <c r="L662" s="108">
        <v>22571362</v>
      </c>
      <c r="M662" s="37">
        <v>5217297192425</v>
      </c>
      <c r="N662" s="169" t="s">
        <v>37</v>
      </c>
      <c r="O662" s="48">
        <v>12462.75</v>
      </c>
      <c r="P662" s="95">
        <v>3605.08</v>
      </c>
      <c r="Q662" s="13">
        <v>3738.83</v>
      </c>
      <c r="R662" s="13">
        <v>133.75</v>
      </c>
      <c r="S662" s="72">
        <v>46393</v>
      </c>
      <c r="T662" s="6"/>
      <c r="U662" s="164"/>
      <c r="V662" s="1"/>
      <c r="X662" s="101">
        <v>2</v>
      </c>
    </row>
    <row r="663" spans="2:24" hidden="1">
      <c r="B663" s="24">
        <v>46363.48541666667</v>
      </c>
      <c r="C663" s="24">
        <v>46215.487500000003</v>
      </c>
      <c r="D663" s="10" t="s">
        <v>24</v>
      </c>
      <c r="E663" s="10"/>
      <c r="F663" s="28">
        <v>46215</v>
      </c>
      <c r="G663" s="28">
        <v>46363</v>
      </c>
      <c r="H663" s="10" t="s">
        <v>93</v>
      </c>
      <c r="I663" s="10" t="s">
        <v>1275</v>
      </c>
      <c r="J663" s="195">
        <v>49694818227</v>
      </c>
      <c r="K663" s="181" t="s">
        <v>1276</v>
      </c>
      <c r="L663" s="108">
        <v>22592174</v>
      </c>
      <c r="M663" s="36">
        <v>8672231429</v>
      </c>
      <c r="N663" s="170" t="s">
        <v>37</v>
      </c>
      <c r="O663" s="49">
        <v>7995.5</v>
      </c>
      <c r="P663" s="96">
        <v>2298.61</v>
      </c>
      <c r="Q663" s="12">
        <v>2398.65</v>
      </c>
      <c r="R663" s="12">
        <v>100.04</v>
      </c>
      <c r="S663" s="73">
        <v>46753</v>
      </c>
      <c r="T663" s="10"/>
      <c r="U663" s="97"/>
      <c r="V663" s="1"/>
      <c r="X663" s="101">
        <v>2</v>
      </c>
    </row>
    <row r="664" spans="2:24" hidden="1">
      <c r="B664" s="23">
        <v>46363.495138888888</v>
      </c>
      <c r="C664" s="23">
        <v>46215.496527777781</v>
      </c>
      <c r="D664" s="6" t="s">
        <v>24</v>
      </c>
      <c r="E664" s="6"/>
      <c r="F664" s="28">
        <v>46215</v>
      </c>
      <c r="G664" s="27">
        <v>46302</v>
      </c>
      <c r="H664" s="160" t="s">
        <v>107</v>
      </c>
      <c r="I664" s="6" t="s">
        <v>1277</v>
      </c>
      <c r="J664" s="196">
        <v>23745108052</v>
      </c>
      <c r="K664" s="180" t="s">
        <v>1278</v>
      </c>
      <c r="L664" s="107">
        <v>22560062</v>
      </c>
      <c r="M664" s="37">
        <v>5216161159102</v>
      </c>
      <c r="N664" s="169" t="s">
        <v>130</v>
      </c>
      <c r="O664" s="48">
        <v>6405.06</v>
      </c>
      <c r="P664" s="95">
        <v>1833.5</v>
      </c>
      <c r="Q664" s="13">
        <v>1921.52</v>
      </c>
      <c r="R664" s="13">
        <v>88.02</v>
      </c>
      <c r="S664" s="72">
        <v>46024</v>
      </c>
      <c r="T664" s="6"/>
      <c r="U664" s="164"/>
      <c r="V664" s="1"/>
      <c r="X664" s="101">
        <v>2</v>
      </c>
    </row>
    <row r="665" spans="2:24" hidden="1">
      <c r="B665" s="24">
        <v>46363.496527777781</v>
      </c>
      <c r="C665" s="24">
        <v>46215.498611111114</v>
      </c>
      <c r="D665" s="10" t="s">
        <v>24</v>
      </c>
      <c r="E665" s="10"/>
      <c r="F665" s="28">
        <v>46215</v>
      </c>
      <c r="G665" s="28">
        <v>46333</v>
      </c>
      <c r="H665" s="160" t="s">
        <v>476</v>
      </c>
      <c r="I665" s="10" t="s">
        <v>1279</v>
      </c>
      <c r="J665" s="195"/>
      <c r="K665" s="181" t="s">
        <v>1280</v>
      </c>
      <c r="L665" s="108">
        <v>22570758</v>
      </c>
      <c r="M665" s="36">
        <v>5218715857136</v>
      </c>
      <c r="N665" s="170" t="s">
        <v>263</v>
      </c>
      <c r="O665" s="49">
        <v>23604.97</v>
      </c>
      <c r="P665" s="96">
        <v>6829.48</v>
      </c>
      <c r="Q665" s="12">
        <v>7081.49</v>
      </c>
      <c r="R665" s="12">
        <v>252.01</v>
      </c>
      <c r="S665" s="73">
        <v>45665</v>
      </c>
      <c r="T665" s="10"/>
      <c r="U665" s="97"/>
      <c r="V665" s="1"/>
      <c r="X665" s="101">
        <v>2</v>
      </c>
    </row>
    <row r="666" spans="2:24" hidden="1">
      <c r="B666" s="23">
        <v>46363.5</v>
      </c>
      <c r="C666" s="23">
        <v>46215.502083333333</v>
      </c>
      <c r="D666" s="6" t="s">
        <v>24</v>
      </c>
      <c r="E666" s="6"/>
      <c r="F666" s="28">
        <v>46215</v>
      </c>
      <c r="G666" s="27">
        <v>46363</v>
      </c>
      <c r="H666" s="6" t="s">
        <v>61</v>
      </c>
      <c r="I666" s="6" t="s">
        <v>1281</v>
      </c>
      <c r="J666" s="196"/>
      <c r="K666" s="180" t="s">
        <v>1282</v>
      </c>
      <c r="L666" s="108">
        <v>22593268</v>
      </c>
      <c r="M666" s="37">
        <v>5214626045343</v>
      </c>
      <c r="N666" s="169" t="s">
        <v>37</v>
      </c>
      <c r="O666" s="48">
        <v>9817.4699999999993</v>
      </c>
      <c r="P666" s="95">
        <v>2944.45</v>
      </c>
      <c r="Q666" s="13">
        <v>2945.24</v>
      </c>
      <c r="R666" s="13">
        <v>0.79</v>
      </c>
      <c r="S666" s="72">
        <v>46235</v>
      </c>
      <c r="T666" s="6"/>
      <c r="U666" s="164"/>
      <c r="V666" s="1"/>
      <c r="X666" s="101">
        <v>2</v>
      </c>
    </row>
    <row r="667" spans="2:24" hidden="1">
      <c r="B667" s="24">
        <v>46363.502083333333</v>
      </c>
      <c r="C667" s="24">
        <v>46215.503472222219</v>
      </c>
      <c r="D667" s="10" t="s">
        <v>24</v>
      </c>
      <c r="E667" s="10"/>
      <c r="F667" s="28">
        <v>46215</v>
      </c>
      <c r="G667" s="28">
        <v>46363</v>
      </c>
      <c r="H667" s="10" t="s">
        <v>61</v>
      </c>
      <c r="I667" s="10" t="s">
        <v>1283</v>
      </c>
      <c r="J667" s="205"/>
      <c r="K667" s="181" t="s">
        <v>1284</v>
      </c>
      <c r="L667" s="108">
        <v>22588174</v>
      </c>
      <c r="M667" s="36">
        <v>5218126104052</v>
      </c>
      <c r="N667" s="170" t="s">
        <v>37</v>
      </c>
      <c r="O667" s="49">
        <v>9760.32</v>
      </c>
      <c r="P667" s="96">
        <v>2822.57</v>
      </c>
      <c r="Q667" s="12">
        <v>2928.1</v>
      </c>
      <c r="R667" s="12">
        <v>105.53</v>
      </c>
      <c r="S667" s="73">
        <v>46392</v>
      </c>
      <c r="T667" s="10"/>
      <c r="U667" s="97"/>
      <c r="V667" s="1"/>
      <c r="X667" s="101">
        <v>2</v>
      </c>
    </row>
    <row r="668" spans="2:24" hidden="1">
      <c r="B668" s="23">
        <v>46363.503472222219</v>
      </c>
      <c r="C668" s="23">
        <v>46215.504861111112</v>
      </c>
      <c r="D668" s="6" t="s">
        <v>24</v>
      </c>
      <c r="E668" s="6"/>
      <c r="F668" s="28">
        <v>46215</v>
      </c>
      <c r="G668" s="27">
        <v>46333</v>
      </c>
      <c r="H668" s="6" t="s">
        <v>61</v>
      </c>
      <c r="I668" s="6" t="s">
        <v>1285</v>
      </c>
      <c r="J668" s="196">
        <v>16038554461</v>
      </c>
      <c r="K668" s="180" t="s">
        <v>1286</v>
      </c>
      <c r="L668" s="107">
        <v>22583288</v>
      </c>
      <c r="M668" s="37">
        <v>5217224630386</v>
      </c>
      <c r="N668" s="169" t="s">
        <v>74</v>
      </c>
      <c r="O668" s="48"/>
      <c r="P668" s="95"/>
      <c r="Q668" s="13">
        <v>0</v>
      </c>
      <c r="R668" s="13">
        <v>0</v>
      </c>
      <c r="S668" s="72"/>
      <c r="T668" s="6"/>
      <c r="U668" s="164"/>
      <c r="V668" s="1"/>
      <c r="X668" s="101">
        <v>1</v>
      </c>
    </row>
    <row r="669" spans="2:24" hidden="1">
      <c r="B669" s="24">
        <v>46363.504861111112</v>
      </c>
      <c r="C669" s="24">
        <v>46215.506249999999</v>
      </c>
      <c r="D669" s="10" t="s">
        <v>24</v>
      </c>
      <c r="E669" s="10"/>
      <c r="F669" s="28">
        <v>46215</v>
      </c>
      <c r="G669" s="28">
        <v>46363</v>
      </c>
      <c r="H669" s="10" t="s">
        <v>61</v>
      </c>
      <c r="I669" s="10" t="s">
        <v>1287</v>
      </c>
      <c r="J669" s="195">
        <v>54805840821</v>
      </c>
      <c r="K669" s="181" t="s">
        <v>1288</v>
      </c>
      <c r="L669" s="108">
        <v>22594854</v>
      </c>
      <c r="M669" s="36">
        <v>5213310964444</v>
      </c>
      <c r="N669" s="170" t="s">
        <v>32</v>
      </c>
      <c r="O669" s="49">
        <v>3635.53</v>
      </c>
      <c r="P669" s="96"/>
      <c r="Q669" s="12">
        <v>1090.6600000000001</v>
      </c>
      <c r="R669" s="12">
        <v>0</v>
      </c>
      <c r="S669" s="73"/>
      <c r="T669" s="10"/>
      <c r="U669" s="97"/>
      <c r="V669" s="1"/>
      <c r="X669" s="101">
        <v>1</v>
      </c>
    </row>
    <row r="670" spans="2:24" hidden="1">
      <c r="B670" s="23">
        <v>46363.549305555556</v>
      </c>
      <c r="C670" s="23">
        <v>46215.550694444442</v>
      </c>
      <c r="D670" s="6" t="s">
        <v>24</v>
      </c>
      <c r="E670" s="6"/>
      <c r="F670" s="28">
        <v>46215</v>
      </c>
      <c r="G670" s="27">
        <v>46363</v>
      </c>
      <c r="H670" s="10" t="s">
        <v>145</v>
      </c>
      <c r="I670" s="6" t="s">
        <v>1289</v>
      </c>
      <c r="J670" s="196">
        <v>84856905132</v>
      </c>
      <c r="K670" s="180" t="s">
        <v>1290</v>
      </c>
      <c r="L670" s="107">
        <v>22594254</v>
      </c>
      <c r="M670" s="37">
        <v>5219983477889</v>
      </c>
      <c r="N670" s="169" t="s">
        <v>106</v>
      </c>
      <c r="O670" s="48">
        <v>6811.14</v>
      </c>
      <c r="P670" s="95">
        <v>1897.41</v>
      </c>
      <c r="Q670" s="13">
        <v>2043.34</v>
      </c>
      <c r="R670" s="13">
        <v>145.93</v>
      </c>
      <c r="S670" s="72">
        <v>45297</v>
      </c>
      <c r="T670" s="6"/>
      <c r="U670" s="164"/>
      <c r="V670" s="1"/>
      <c r="X670" s="101">
        <v>2</v>
      </c>
    </row>
    <row r="671" spans="2:24" hidden="1">
      <c r="B671" s="24">
        <v>46363.498611111114</v>
      </c>
      <c r="C671" s="24">
        <v>46215.554861111108</v>
      </c>
      <c r="D671" s="10" t="s">
        <v>24</v>
      </c>
      <c r="E671" s="10"/>
      <c r="F671" s="28">
        <v>46215</v>
      </c>
      <c r="G671" s="28">
        <v>46363</v>
      </c>
      <c r="H671" s="15" t="s">
        <v>476</v>
      </c>
      <c r="I671" s="10" t="s">
        <v>1291</v>
      </c>
      <c r="J671" s="195">
        <v>23856513942</v>
      </c>
      <c r="K671" s="181" t="s">
        <v>1292</v>
      </c>
      <c r="L671" s="108">
        <v>22593528</v>
      </c>
      <c r="M671" s="36">
        <v>5216676991461</v>
      </c>
      <c r="N671" s="170" t="s">
        <v>37</v>
      </c>
      <c r="O671" s="49">
        <v>9760.32</v>
      </c>
      <c r="P671" s="96">
        <v>2810.29</v>
      </c>
      <c r="Q671" s="12">
        <v>2928.1</v>
      </c>
      <c r="R671" s="12">
        <v>117.81</v>
      </c>
      <c r="S671" s="73">
        <v>46399</v>
      </c>
      <c r="T671" s="10"/>
      <c r="U671" s="97"/>
      <c r="V671" s="1"/>
      <c r="X671" s="101">
        <v>2</v>
      </c>
    </row>
    <row r="672" spans="2:24" hidden="1">
      <c r="B672" s="23">
        <v>46363.557638888888</v>
      </c>
      <c r="C672" s="23">
        <v>46215.558333333334</v>
      </c>
      <c r="D672" s="6" t="s">
        <v>24</v>
      </c>
      <c r="E672" s="6"/>
      <c r="F672" s="28">
        <v>46215</v>
      </c>
      <c r="G672" s="27">
        <v>46363</v>
      </c>
      <c r="H672" s="18" t="s">
        <v>71</v>
      </c>
      <c r="I672" s="6" t="s">
        <v>1293</v>
      </c>
      <c r="J672" s="196">
        <v>21816520908</v>
      </c>
      <c r="K672" s="180"/>
      <c r="L672" s="108">
        <v>22597686</v>
      </c>
      <c r="M672" s="37">
        <v>5216651136858</v>
      </c>
      <c r="N672" s="169" t="s">
        <v>37</v>
      </c>
      <c r="O672" s="48">
        <v>9760.32</v>
      </c>
      <c r="P672" s="95">
        <v>2823.89</v>
      </c>
      <c r="Q672" s="13">
        <v>2928.1</v>
      </c>
      <c r="R672" s="13">
        <v>104.21</v>
      </c>
      <c r="S672" s="72">
        <v>46395</v>
      </c>
      <c r="T672" s="6"/>
      <c r="U672" s="164"/>
      <c r="V672" s="1"/>
      <c r="X672" s="101">
        <v>2</v>
      </c>
    </row>
    <row r="673" spans="2:24" hidden="1">
      <c r="B673" s="24">
        <v>46363.559027777781</v>
      </c>
      <c r="C673" s="24">
        <v>46215.560416666667</v>
      </c>
      <c r="D673" s="10" t="s">
        <v>24</v>
      </c>
      <c r="E673" s="10"/>
      <c r="F673" s="28">
        <v>46215</v>
      </c>
      <c r="G673" s="28">
        <v>46363</v>
      </c>
      <c r="H673" s="10" t="s">
        <v>61</v>
      </c>
      <c r="I673" s="10" t="s">
        <v>1294</v>
      </c>
      <c r="J673" s="195">
        <v>3685115010</v>
      </c>
      <c r="K673" s="181" t="s">
        <v>1295</v>
      </c>
      <c r="L673" s="108">
        <v>22595438</v>
      </c>
      <c r="M673" s="36">
        <v>5218110769796</v>
      </c>
      <c r="N673" s="170" t="s">
        <v>130</v>
      </c>
      <c r="O673" s="49">
        <v>4943.63</v>
      </c>
      <c r="P673" s="96">
        <v>710.81</v>
      </c>
      <c r="Q673" s="12">
        <v>1483.09</v>
      </c>
      <c r="R673" s="12">
        <v>59.84</v>
      </c>
      <c r="S673" s="73">
        <v>46025</v>
      </c>
      <c r="T673" s="10"/>
      <c r="U673" s="97"/>
      <c r="V673" s="1"/>
      <c r="X673" s="101">
        <v>2</v>
      </c>
    </row>
    <row r="674" spans="2:24" hidden="1">
      <c r="B674" s="23">
        <v>46363.570833333331</v>
      </c>
      <c r="C674" s="23">
        <v>46215.572222222225</v>
      </c>
      <c r="D674" s="6" t="s">
        <v>24</v>
      </c>
      <c r="E674" s="6"/>
      <c r="F674" s="28">
        <v>46215</v>
      </c>
      <c r="G674" s="27">
        <v>46363</v>
      </c>
      <c r="H674" s="160" t="s">
        <v>110</v>
      </c>
      <c r="I674" s="6" t="s">
        <v>1296</v>
      </c>
      <c r="J674" s="196">
        <v>43846250843</v>
      </c>
      <c r="K674" s="180"/>
      <c r="L674" s="107">
        <v>22588722</v>
      </c>
      <c r="M674" s="37">
        <v>5218123625436</v>
      </c>
      <c r="N674" s="169" t="s">
        <v>47</v>
      </c>
      <c r="O674" s="48">
        <v>7116.73</v>
      </c>
      <c r="P674" s="95">
        <v>1547.61</v>
      </c>
      <c r="Q674" s="13">
        <v>2135.02</v>
      </c>
      <c r="R674" s="22">
        <v>587.41</v>
      </c>
      <c r="S674" s="72">
        <v>46031</v>
      </c>
      <c r="T674" s="6"/>
      <c r="U674" s="164"/>
      <c r="V674" s="1"/>
      <c r="X674" s="101">
        <v>2</v>
      </c>
    </row>
    <row r="675" spans="2:24" hidden="1">
      <c r="B675" s="24">
        <v>46363.572222222225</v>
      </c>
      <c r="C675" s="24">
        <v>46215.573611111111</v>
      </c>
      <c r="D675" s="10" t="s">
        <v>24</v>
      </c>
      <c r="E675" s="10"/>
      <c r="F675" s="28">
        <v>46215</v>
      </c>
      <c r="G675" s="28">
        <v>46363</v>
      </c>
      <c r="H675" s="15" t="s">
        <v>110</v>
      </c>
      <c r="I675" s="10" t="s">
        <v>1297</v>
      </c>
      <c r="J675" s="195">
        <v>21866541606</v>
      </c>
      <c r="K675" s="181" t="s">
        <v>1298</v>
      </c>
      <c r="L675" s="108">
        <v>22595630</v>
      </c>
      <c r="M675" s="36">
        <v>5216867218146</v>
      </c>
      <c r="N675" s="170" t="s">
        <v>37</v>
      </c>
      <c r="O675" s="49">
        <v>6405.06</v>
      </c>
      <c r="P675" s="96">
        <v>1853.12</v>
      </c>
      <c r="Q675" s="12">
        <v>1921.52</v>
      </c>
      <c r="R675" s="12">
        <v>68.400000000000006</v>
      </c>
      <c r="S675" s="73">
        <v>46393</v>
      </c>
      <c r="T675" s="10"/>
      <c r="U675" s="97"/>
      <c r="V675" s="1"/>
      <c r="X675" s="101">
        <v>2</v>
      </c>
    </row>
    <row r="676" spans="2:24" hidden="1">
      <c r="B676" s="23">
        <v>46363.573611111111</v>
      </c>
      <c r="C676" s="23">
        <v>46215.574999999997</v>
      </c>
      <c r="D676" s="6" t="s">
        <v>24</v>
      </c>
      <c r="E676" s="6"/>
      <c r="F676" s="28">
        <v>46215</v>
      </c>
      <c r="G676" s="27">
        <v>46363</v>
      </c>
      <c r="H676" s="160" t="s">
        <v>110</v>
      </c>
      <c r="I676" s="6" t="s">
        <v>1299</v>
      </c>
      <c r="J676" s="196"/>
      <c r="K676" s="180" t="s">
        <v>1300</v>
      </c>
      <c r="L676" s="107">
        <v>22597798</v>
      </c>
      <c r="M676" s="37">
        <v>5218119145315</v>
      </c>
      <c r="N676" s="169" t="s">
        <v>263</v>
      </c>
      <c r="O676" s="48">
        <v>5617.63</v>
      </c>
      <c r="P676" s="95">
        <v>1336.94</v>
      </c>
      <c r="Q676" s="13">
        <v>1685.29</v>
      </c>
      <c r="R676" s="13">
        <v>107.71</v>
      </c>
      <c r="S676" s="72">
        <v>46028</v>
      </c>
      <c r="T676" s="6" t="s">
        <v>178</v>
      </c>
      <c r="U676" s="164"/>
      <c r="V676" s="1"/>
      <c r="X676" s="101">
        <v>2</v>
      </c>
    </row>
    <row r="677" spans="2:24" hidden="1">
      <c r="B677" s="24">
        <v>46363.575694444444</v>
      </c>
      <c r="C677" s="24">
        <v>46215.57708333333</v>
      </c>
      <c r="D677" s="10" t="s">
        <v>24</v>
      </c>
      <c r="E677" s="10"/>
      <c r="F677" s="28">
        <v>46215</v>
      </c>
      <c r="G677" s="28">
        <v>46363</v>
      </c>
      <c r="H677" s="10" t="s">
        <v>93</v>
      </c>
      <c r="I677" s="10" t="s">
        <v>1301</v>
      </c>
      <c r="J677" s="195"/>
      <c r="K677" s="181" t="s">
        <v>1302</v>
      </c>
      <c r="L677" s="108">
        <v>22597754</v>
      </c>
      <c r="M677" s="36">
        <v>2211664108</v>
      </c>
      <c r="N677" s="170" t="s">
        <v>47</v>
      </c>
      <c r="O677" s="49">
        <v>4745.3599999999997</v>
      </c>
      <c r="P677" s="96"/>
      <c r="Q677" s="12">
        <v>1423.61</v>
      </c>
      <c r="R677" s="16">
        <v>572.38</v>
      </c>
      <c r="S677" s="73"/>
      <c r="T677" s="10"/>
      <c r="U677" s="97"/>
      <c r="V677" s="1"/>
      <c r="X677" s="101">
        <v>1</v>
      </c>
    </row>
    <row r="678" spans="2:24" hidden="1">
      <c r="B678" s="23">
        <v>46363.586805555555</v>
      </c>
      <c r="C678" s="23">
        <v>46215.587500000001</v>
      </c>
      <c r="D678" s="6" t="s">
        <v>24</v>
      </c>
      <c r="E678" s="6"/>
      <c r="F678" s="28">
        <v>46215</v>
      </c>
      <c r="G678" s="27">
        <v>46363</v>
      </c>
      <c r="H678" s="6" t="s">
        <v>93</v>
      </c>
      <c r="I678" s="6" t="s">
        <v>1303</v>
      </c>
      <c r="J678" s="196">
        <v>42826341606</v>
      </c>
      <c r="K678" s="180"/>
      <c r="L678" s="107">
        <v>22597534</v>
      </c>
      <c r="M678" s="37">
        <v>5619526157</v>
      </c>
      <c r="N678" s="169" t="s">
        <v>32</v>
      </c>
      <c r="O678" s="48">
        <v>3879.3</v>
      </c>
      <c r="P678" s="95"/>
      <c r="Q678" s="13">
        <v>1163.79</v>
      </c>
      <c r="R678" s="13">
        <v>0</v>
      </c>
      <c r="S678" s="72"/>
      <c r="T678" s="6"/>
      <c r="U678" s="164"/>
      <c r="V678" s="1"/>
      <c r="X678" s="101">
        <v>1</v>
      </c>
    </row>
    <row r="679" spans="2:24" hidden="1">
      <c r="B679" s="24">
        <v>46363.592361111114</v>
      </c>
      <c r="C679" s="24">
        <v>46215.595138888886</v>
      </c>
      <c r="D679" s="10" t="s">
        <v>24</v>
      </c>
      <c r="E679" s="10"/>
      <c r="F679" s="28">
        <v>46215</v>
      </c>
      <c r="G679" s="28">
        <v>46333</v>
      </c>
      <c r="H679" s="10" t="s">
        <v>145</v>
      </c>
      <c r="I679" s="10" t="s">
        <v>1304</v>
      </c>
      <c r="J679" s="195"/>
      <c r="K679" s="179" t="s">
        <v>1305</v>
      </c>
      <c r="L679" s="108">
        <v>22582950</v>
      </c>
      <c r="M679" s="36">
        <v>5212283586911</v>
      </c>
      <c r="N679" s="170" t="s">
        <v>37</v>
      </c>
      <c r="O679" s="49">
        <v>5046.1899999999996</v>
      </c>
      <c r="P679" s="96">
        <v>842.13</v>
      </c>
      <c r="Q679" s="12">
        <v>1513.86</v>
      </c>
      <c r="R679" s="12">
        <v>31.08</v>
      </c>
      <c r="S679" s="73">
        <v>46392</v>
      </c>
      <c r="T679" s="10"/>
      <c r="U679" s="97"/>
      <c r="V679" s="1"/>
      <c r="X679" s="101">
        <v>2</v>
      </c>
    </row>
    <row r="680" spans="2:24" hidden="1">
      <c r="B680" s="23">
        <v>46363.595833333333</v>
      </c>
      <c r="C680" s="23">
        <v>46215.597222222219</v>
      </c>
      <c r="D680" s="6" t="s">
        <v>24</v>
      </c>
      <c r="E680" s="6"/>
      <c r="F680" s="28">
        <v>46215</v>
      </c>
      <c r="G680" s="27">
        <v>46333</v>
      </c>
      <c r="H680" s="18" t="s">
        <v>71</v>
      </c>
      <c r="I680" s="6" t="s">
        <v>1306</v>
      </c>
      <c r="J680" s="196">
        <v>3816413532</v>
      </c>
      <c r="K680" s="180" t="s">
        <v>1307</v>
      </c>
      <c r="L680" s="107">
        <v>22577336</v>
      </c>
      <c r="M680" s="37">
        <v>5218116815156</v>
      </c>
      <c r="N680" s="169" t="s">
        <v>74</v>
      </c>
      <c r="O680" s="48"/>
      <c r="P680" s="95"/>
      <c r="Q680" s="13">
        <v>0</v>
      </c>
      <c r="R680" s="13">
        <v>0</v>
      </c>
      <c r="S680" s="72"/>
      <c r="T680" s="6"/>
      <c r="U680" s="164"/>
      <c r="V680" s="1"/>
      <c r="X680" s="101">
        <v>1</v>
      </c>
    </row>
    <row r="681" spans="2:24" hidden="1">
      <c r="B681" s="24">
        <v>46363.622916666667</v>
      </c>
      <c r="C681" s="24">
        <v>46215.623611111114</v>
      </c>
      <c r="D681" s="10" t="s">
        <v>24</v>
      </c>
      <c r="E681" s="10"/>
      <c r="F681" s="28">
        <v>46215</v>
      </c>
      <c r="G681" s="28">
        <v>46363</v>
      </c>
      <c r="H681" s="15" t="s">
        <v>26</v>
      </c>
      <c r="I681" s="10" t="s">
        <v>1308</v>
      </c>
      <c r="J681" s="195">
        <v>71816424650</v>
      </c>
      <c r="K681" s="181" t="s">
        <v>1309</v>
      </c>
      <c r="L681" s="108">
        <v>22598350</v>
      </c>
      <c r="M681" s="36">
        <v>5218771281202</v>
      </c>
      <c r="N681" s="170" t="s">
        <v>37</v>
      </c>
      <c r="O681" s="49">
        <v>9081.52</v>
      </c>
      <c r="P681" s="96">
        <v>2722.18</v>
      </c>
      <c r="Q681" s="12">
        <v>2724.46</v>
      </c>
      <c r="R681" s="12">
        <v>2.2799999999999998</v>
      </c>
      <c r="S681" s="73">
        <v>46296</v>
      </c>
      <c r="T681" s="10" t="s">
        <v>192</v>
      </c>
      <c r="U681" s="97"/>
      <c r="V681" s="1"/>
      <c r="X681" s="101">
        <v>2</v>
      </c>
    </row>
    <row r="682" spans="2:24" hidden="1">
      <c r="B682" s="23">
        <v>46363.628472222219</v>
      </c>
      <c r="C682" s="23">
        <v>46215.629861111112</v>
      </c>
      <c r="D682" s="6" t="s">
        <v>24</v>
      </c>
      <c r="E682" s="6"/>
      <c r="F682" s="28">
        <v>46215</v>
      </c>
      <c r="G682" s="27">
        <v>46333</v>
      </c>
      <c r="H682" s="6" t="s">
        <v>61</v>
      </c>
      <c r="I682" s="6" t="s">
        <v>1310</v>
      </c>
      <c r="J682" s="196"/>
      <c r="K682" s="180" t="s">
        <v>1311</v>
      </c>
      <c r="L682" s="108">
        <v>22584878</v>
      </c>
      <c r="M682" s="37">
        <v>5216321057583</v>
      </c>
      <c r="N682" s="169" t="s">
        <v>130</v>
      </c>
      <c r="O682" s="48">
        <v>5053.22</v>
      </c>
      <c r="P682" s="95">
        <v>774.8</v>
      </c>
      <c r="Q682" s="13">
        <v>1515.97</v>
      </c>
      <c r="R682" s="13">
        <v>105.44</v>
      </c>
      <c r="S682" s="72">
        <v>45660</v>
      </c>
      <c r="T682" s="6"/>
      <c r="U682" s="164"/>
      <c r="V682" s="1"/>
      <c r="X682" s="101">
        <v>2</v>
      </c>
    </row>
    <row r="683" spans="2:24" hidden="1">
      <c r="B683" s="24">
        <v>46363.636805555558</v>
      </c>
      <c r="C683" s="24">
        <v>46215.638194444444</v>
      </c>
      <c r="D683" s="10" t="s">
        <v>24</v>
      </c>
      <c r="E683" s="10"/>
      <c r="F683" s="28">
        <v>46215</v>
      </c>
      <c r="G683" s="28">
        <v>46363</v>
      </c>
      <c r="H683" s="10" t="s">
        <v>93</v>
      </c>
      <c r="I683" s="10" t="s">
        <v>1312</v>
      </c>
      <c r="J683" s="195"/>
      <c r="K683" s="181" t="s">
        <v>1313</v>
      </c>
      <c r="L683" s="108">
        <v>22598808</v>
      </c>
      <c r="M683" s="36">
        <v>8111551313</v>
      </c>
      <c r="N683" s="170" t="s">
        <v>47</v>
      </c>
      <c r="O683" s="49">
        <v>12974.51</v>
      </c>
      <c r="P683" s="96">
        <v>3125.62</v>
      </c>
      <c r="Q683" s="12">
        <v>3892.35</v>
      </c>
      <c r="R683" s="16">
        <v>766.73</v>
      </c>
      <c r="S683" s="73">
        <v>46390</v>
      </c>
      <c r="T683" s="10"/>
      <c r="U683" s="97"/>
      <c r="V683" s="1"/>
      <c r="X683" s="101">
        <v>2</v>
      </c>
    </row>
    <row r="684" spans="2:24" hidden="1">
      <c r="B684" s="23">
        <v>46363.679166666669</v>
      </c>
      <c r="C684" s="23">
        <v>46215.679861111108</v>
      </c>
      <c r="D684" s="6" t="s">
        <v>24</v>
      </c>
      <c r="E684" s="6"/>
      <c r="F684" s="28">
        <v>46215</v>
      </c>
      <c r="G684" s="27">
        <v>46333</v>
      </c>
      <c r="H684" s="161" t="s">
        <v>71</v>
      </c>
      <c r="I684" s="6" t="s">
        <v>1314</v>
      </c>
      <c r="J684" s="196">
        <v>65886131419</v>
      </c>
      <c r="K684" s="180"/>
      <c r="L684" s="107">
        <v>22578524</v>
      </c>
      <c r="M684" s="37">
        <v>5219211411594</v>
      </c>
      <c r="N684" s="169" t="s">
        <v>106</v>
      </c>
      <c r="O684" s="48">
        <v>7116.33</v>
      </c>
      <c r="P684" s="95">
        <v>2058.64</v>
      </c>
      <c r="Q684" s="13">
        <v>2134.9</v>
      </c>
      <c r="R684" s="13">
        <v>76.260000000000005</v>
      </c>
      <c r="S684" s="72">
        <v>45662</v>
      </c>
      <c r="T684" s="6"/>
      <c r="U684" s="164"/>
      <c r="V684" s="1"/>
      <c r="X684" s="101">
        <v>2</v>
      </c>
    </row>
    <row r="685" spans="2:24" hidden="1">
      <c r="B685" s="24">
        <v>46363.554861111108</v>
      </c>
      <c r="C685" s="24">
        <v>46215.682638888888</v>
      </c>
      <c r="D685" s="10" t="s">
        <v>24</v>
      </c>
      <c r="E685" s="10"/>
      <c r="F685" s="28">
        <v>46215</v>
      </c>
      <c r="G685" s="28">
        <v>46363</v>
      </c>
      <c r="H685" s="160" t="s">
        <v>476</v>
      </c>
      <c r="I685" s="10" t="s">
        <v>1315</v>
      </c>
      <c r="J685" s="195"/>
      <c r="K685" s="181" t="s">
        <v>1316</v>
      </c>
      <c r="L685" s="108">
        <v>22605368</v>
      </c>
      <c r="M685" s="36">
        <v>5217224847143</v>
      </c>
      <c r="N685" s="170" t="s">
        <v>263</v>
      </c>
      <c r="O685" s="49">
        <v>11994.41</v>
      </c>
      <c r="P685" s="96">
        <v>2940.31</v>
      </c>
      <c r="Q685" s="12">
        <v>3598.32</v>
      </c>
      <c r="R685" s="16">
        <v>658.01</v>
      </c>
      <c r="S685" s="73">
        <v>45297</v>
      </c>
      <c r="T685" s="10" t="s">
        <v>192</v>
      </c>
      <c r="U685" s="97"/>
      <c r="V685" s="1"/>
      <c r="X685" s="101">
        <v>2</v>
      </c>
    </row>
    <row r="686" spans="2:24" hidden="1">
      <c r="B686" s="23">
        <v>46363.68472222222</v>
      </c>
      <c r="C686" s="23">
        <v>46215.68472222222</v>
      </c>
      <c r="D686" s="6" t="s">
        <v>24</v>
      </c>
      <c r="E686" s="6"/>
      <c r="F686" s="28">
        <v>46215</v>
      </c>
      <c r="G686" s="27">
        <v>46363</v>
      </c>
      <c r="H686" s="7" t="s">
        <v>26</v>
      </c>
      <c r="I686" s="6" t="s">
        <v>1317</v>
      </c>
      <c r="J686" s="196"/>
      <c r="K686" s="180" t="s">
        <v>1318</v>
      </c>
      <c r="L686" s="107">
        <v>22593288</v>
      </c>
      <c r="M686" s="37">
        <v>5217491316541</v>
      </c>
      <c r="N686" s="169" t="s">
        <v>98</v>
      </c>
      <c r="O686" s="48"/>
      <c r="P686" s="95"/>
      <c r="Q686" s="13">
        <v>0</v>
      </c>
      <c r="R686" s="13">
        <v>0</v>
      </c>
      <c r="S686" s="72"/>
      <c r="T686" s="6"/>
      <c r="U686" s="164"/>
      <c r="V686" s="1"/>
      <c r="X686" s="101">
        <v>0</v>
      </c>
    </row>
    <row r="687" spans="2:24" hidden="1">
      <c r="B687" s="24">
        <v>46363.748611111114</v>
      </c>
      <c r="C687" s="24">
        <v>46215.749305555553</v>
      </c>
      <c r="D687" s="10" t="s">
        <v>24</v>
      </c>
      <c r="E687" s="10"/>
      <c r="F687" s="28">
        <v>46215</v>
      </c>
      <c r="G687" s="28">
        <v>46363</v>
      </c>
      <c r="H687" s="15" t="s">
        <v>107</v>
      </c>
      <c r="I687" s="10" t="s">
        <v>1319</v>
      </c>
      <c r="J687" s="195">
        <v>33886713623</v>
      </c>
      <c r="K687" s="181"/>
      <c r="L687" s="108">
        <v>22584580</v>
      </c>
      <c r="M687" s="36">
        <v>5216142897075</v>
      </c>
      <c r="N687" s="170" t="s">
        <v>98</v>
      </c>
      <c r="O687" s="49"/>
      <c r="P687" s="96"/>
      <c r="Q687" s="12">
        <v>0</v>
      </c>
      <c r="R687" s="12">
        <v>0</v>
      </c>
      <c r="S687" s="73"/>
      <c r="T687" s="10"/>
      <c r="U687" s="97"/>
      <c r="V687" s="1"/>
      <c r="X687" s="101">
        <v>0</v>
      </c>
    </row>
    <row r="688" spans="2:24" hidden="1">
      <c r="B688" s="23">
        <v>46363.752083333333</v>
      </c>
      <c r="C688" s="23">
        <v>46215.753472222219</v>
      </c>
      <c r="D688" s="6" t="s">
        <v>24</v>
      </c>
      <c r="E688" s="6"/>
      <c r="F688" s="28">
        <v>46215</v>
      </c>
      <c r="G688" s="27">
        <v>46363</v>
      </c>
      <c r="H688" s="7" t="s">
        <v>107</v>
      </c>
      <c r="I688" s="123"/>
      <c r="J688" s="196"/>
      <c r="K688" s="180" t="s">
        <v>1320</v>
      </c>
      <c r="L688" s="107">
        <v>22599340</v>
      </c>
      <c r="M688" s="37">
        <v>8116932285</v>
      </c>
      <c r="N688" s="169" t="s">
        <v>32</v>
      </c>
      <c r="O688" s="48">
        <v>2236.34</v>
      </c>
      <c r="P688" s="95"/>
      <c r="Q688" s="13">
        <v>670.9</v>
      </c>
      <c r="R688" s="13">
        <v>0</v>
      </c>
      <c r="S688" s="72"/>
      <c r="T688" s="6"/>
      <c r="U688" s="164"/>
      <c r="V688" s="1"/>
      <c r="X688" s="101">
        <v>1</v>
      </c>
    </row>
    <row r="689" spans="2:24" hidden="1">
      <c r="B689" s="10" t="s">
        <v>1321</v>
      </c>
      <c r="C689" s="24">
        <v>46216.327777777777</v>
      </c>
      <c r="D689" s="10" t="s">
        <v>24</v>
      </c>
      <c r="E689" s="10"/>
      <c r="F689" s="28">
        <v>46216</v>
      </c>
      <c r="G689" s="28" t="s">
        <v>633</v>
      </c>
      <c r="H689" s="10" t="s">
        <v>103</v>
      </c>
      <c r="I689" s="10" t="s">
        <v>1322</v>
      </c>
      <c r="J689" s="195">
        <v>82826606947</v>
      </c>
      <c r="K689" s="181"/>
      <c r="L689" s="111">
        <v>1</v>
      </c>
      <c r="M689" s="36">
        <v>9981160303</v>
      </c>
      <c r="N689" s="170" t="s">
        <v>28</v>
      </c>
      <c r="O689" s="49">
        <v>9760.32</v>
      </c>
      <c r="P689" s="96"/>
      <c r="Q689" s="12">
        <v>2928.1</v>
      </c>
      <c r="R689" s="14">
        <v>2928.1</v>
      </c>
      <c r="S689" s="73"/>
      <c r="T689" s="10"/>
      <c r="U689" s="97"/>
      <c r="V689" s="1"/>
      <c r="X689" s="101">
        <v>1</v>
      </c>
    </row>
    <row r="690" spans="2:24" hidden="1">
      <c r="B690" s="6" t="s">
        <v>1323</v>
      </c>
      <c r="C690" s="23">
        <v>46216.35</v>
      </c>
      <c r="D690" s="6" t="s">
        <v>24</v>
      </c>
      <c r="E690" s="6"/>
      <c r="F690" s="28">
        <v>46216</v>
      </c>
      <c r="G690" s="27">
        <v>46333</v>
      </c>
      <c r="H690" s="6" t="s">
        <v>61</v>
      </c>
      <c r="I690" s="6" t="s">
        <v>1324</v>
      </c>
      <c r="J690" s="196"/>
      <c r="K690" s="180" t="s">
        <v>1325</v>
      </c>
      <c r="L690" s="108">
        <v>22584482</v>
      </c>
      <c r="M690" s="37">
        <v>5213531325939</v>
      </c>
      <c r="N690" s="169" t="s">
        <v>37</v>
      </c>
      <c r="O690" s="48">
        <v>9081.52</v>
      </c>
      <c r="P690" s="95">
        <v>2585.84</v>
      </c>
      <c r="Q690" s="13">
        <v>2724.46</v>
      </c>
      <c r="R690" s="13">
        <v>138.62</v>
      </c>
      <c r="S690" s="72">
        <v>46393</v>
      </c>
      <c r="T690" s="6" t="s">
        <v>192</v>
      </c>
      <c r="U690" s="164"/>
      <c r="V690" s="1"/>
      <c r="X690" s="101">
        <v>2</v>
      </c>
    </row>
    <row r="691" spans="2:24" hidden="1">
      <c r="B691" s="10" t="s">
        <v>1326</v>
      </c>
      <c r="C691" s="24">
        <v>46216.37777777778</v>
      </c>
      <c r="D691" s="10" t="s">
        <v>24</v>
      </c>
      <c r="E691" s="10"/>
      <c r="F691" s="28">
        <v>46216</v>
      </c>
      <c r="G691" s="28" t="s">
        <v>1327</v>
      </c>
      <c r="H691" s="10" t="s">
        <v>93</v>
      </c>
      <c r="I691" s="10" t="s">
        <v>1328</v>
      </c>
      <c r="J691" s="195">
        <v>10796127123</v>
      </c>
      <c r="K691" s="181"/>
      <c r="L691" s="108">
        <v>21863716</v>
      </c>
      <c r="M691" s="36">
        <v>5532266950</v>
      </c>
      <c r="N691" s="170" t="s">
        <v>37</v>
      </c>
      <c r="O691" s="49">
        <v>12439.83</v>
      </c>
      <c r="P691" s="96">
        <v>3729</v>
      </c>
      <c r="Q691" s="12">
        <v>3731.95</v>
      </c>
      <c r="R691" s="12">
        <v>2.95</v>
      </c>
      <c r="S691" s="73">
        <v>46394</v>
      </c>
      <c r="T691" s="10" t="s">
        <v>192</v>
      </c>
      <c r="U691" s="97"/>
      <c r="V691" s="1"/>
      <c r="X691" s="101">
        <v>2</v>
      </c>
    </row>
    <row r="692" spans="2:24" hidden="1">
      <c r="B692" s="6" t="s">
        <v>1329</v>
      </c>
      <c r="C692" s="23">
        <v>46216.425000000003</v>
      </c>
      <c r="D692" s="6" t="s">
        <v>24</v>
      </c>
      <c r="E692" s="6"/>
      <c r="F692" s="28">
        <v>46216</v>
      </c>
      <c r="G692" s="27">
        <v>46363</v>
      </c>
      <c r="H692" s="10" t="s">
        <v>124</v>
      </c>
      <c r="I692" s="6" t="s">
        <v>1330</v>
      </c>
      <c r="J692" s="196">
        <v>4896003037</v>
      </c>
      <c r="K692" s="180" t="s">
        <v>1331</v>
      </c>
      <c r="L692" s="107">
        <v>22608392</v>
      </c>
      <c r="M692" s="37">
        <v>5213411499853</v>
      </c>
      <c r="N692" s="169" t="s">
        <v>28</v>
      </c>
      <c r="O692" s="48">
        <v>7920.51</v>
      </c>
      <c r="P692" s="95"/>
      <c r="Q692" s="13">
        <v>2376.15</v>
      </c>
      <c r="R692" s="9">
        <v>2376.15</v>
      </c>
      <c r="S692" s="72"/>
      <c r="T692" s="6"/>
      <c r="U692" s="164"/>
      <c r="V692" s="1"/>
      <c r="X692" s="101">
        <v>1</v>
      </c>
    </row>
    <row r="693" spans="2:24" hidden="1">
      <c r="B693" s="10" t="s">
        <v>1332</v>
      </c>
      <c r="C693" s="24">
        <v>46216.448611111111</v>
      </c>
      <c r="D693" s="10" t="s">
        <v>24</v>
      </c>
      <c r="E693" s="10"/>
      <c r="F693" s="28">
        <v>46216</v>
      </c>
      <c r="G693" s="28" t="s">
        <v>633</v>
      </c>
      <c r="H693" s="10" t="s">
        <v>103</v>
      </c>
      <c r="I693" s="10" t="s">
        <v>684</v>
      </c>
      <c r="J693" s="195">
        <v>42846202697</v>
      </c>
      <c r="K693" s="179" t="s">
        <v>684</v>
      </c>
      <c r="L693" s="111">
        <v>1</v>
      </c>
      <c r="M693" s="36">
        <v>2212185900</v>
      </c>
      <c r="N693" s="170" t="s">
        <v>106</v>
      </c>
      <c r="O693" s="49">
        <v>8539.89</v>
      </c>
      <c r="P693" s="96">
        <v>2364.4299999999998</v>
      </c>
      <c r="Q693" s="12">
        <v>2561.9699999999998</v>
      </c>
      <c r="R693" s="12">
        <v>197.54</v>
      </c>
      <c r="S693" s="73">
        <v>46027</v>
      </c>
      <c r="T693" s="10" t="s">
        <v>178</v>
      </c>
      <c r="U693" s="97"/>
      <c r="V693" s="1"/>
      <c r="X693" s="101">
        <v>2</v>
      </c>
    </row>
    <row r="694" spans="2:24" hidden="1">
      <c r="B694" s="6" t="s">
        <v>1333</v>
      </c>
      <c r="C694" s="23">
        <v>46216.461111111108</v>
      </c>
      <c r="D694" s="6" t="s">
        <v>24</v>
      </c>
      <c r="E694" s="6"/>
      <c r="F694" s="28">
        <v>46216</v>
      </c>
      <c r="G694" s="27">
        <v>46363</v>
      </c>
      <c r="H694" s="161" t="s">
        <v>170</v>
      </c>
      <c r="I694" s="6" t="s">
        <v>1334</v>
      </c>
      <c r="J694" s="196">
        <v>24896326923</v>
      </c>
      <c r="K694" s="180"/>
      <c r="L694" s="107">
        <v>22596168</v>
      </c>
      <c r="M694" s="37">
        <v>5216621712092</v>
      </c>
      <c r="N694" s="169" t="s">
        <v>28</v>
      </c>
      <c r="O694" s="48">
        <v>7920.51</v>
      </c>
      <c r="P694" s="95"/>
      <c r="Q694" s="13">
        <v>2376.15</v>
      </c>
      <c r="R694" s="9">
        <v>2376.15</v>
      </c>
      <c r="S694" s="72"/>
      <c r="T694" s="6"/>
      <c r="U694" s="164"/>
      <c r="V694" s="1"/>
      <c r="X694" s="101">
        <v>1</v>
      </c>
    </row>
    <row r="695" spans="2:24" hidden="1">
      <c r="B695" s="10" t="s">
        <v>1335</v>
      </c>
      <c r="C695" s="24">
        <v>46216.463194444441</v>
      </c>
      <c r="D695" s="10" t="s">
        <v>24</v>
      </c>
      <c r="E695" s="10"/>
      <c r="F695" s="28">
        <v>46216</v>
      </c>
      <c r="G695" s="28">
        <v>46363</v>
      </c>
      <c r="H695" s="10" t="s">
        <v>93</v>
      </c>
      <c r="I695" s="10" t="s">
        <v>1336</v>
      </c>
      <c r="J695" s="195"/>
      <c r="K695" s="181" t="s">
        <v>1337</v>
      </c>
      <c r="L695" s="108">
        <v>22594728</v>
      </c>
      <c r="M695" s="36">
        <v>7151134015</v>
      </c>
      <c r="N695" s="170" t="s">
        <v>28</v>
      </c>
      <c r="O695" s="49">
        <v>7920.53</v>
      </c>
      <c r="P695" s="96"/>
      <c r="Q695" s="12">
        <v>2376.16</v>
      </c>
      <c r="R695" s="14">
        <v>2376.16</v>
      </c>
      <c r="S695" s="73"/>
      <c r="T695" s="10"/>
      <c r="U695" s="97"/>
      <c r="V695" s="1"/>
      <c r="X695" s="101">
        <v>1</v>
      </c>
    </row>
    <row r="696" spans="2:24" hidden="1">
      <c r="B696" s="6" t="s">
        <v>1338</v>
      </c>
      <c r="C696" s="23">
        <v>46216.465277777781</v>
      </c>
      <c r="D696" s="6" t="s">
        <v>24</v>
      </c>
      <c r="E696" s="6"/>
      <c r="F696" s="28">
        <v>46216</v>
      </c>
      <c r="G696" s="27" t="s">
        <v>633</v>
      </c>
      <c r="H696" s="10" t="s">
        <v>81</v>
      </c>
      <c r="I696" s="6" t="s">
        <v>1339</v>
      </c>
      <c r="J696" s="196"/>
      <c r="K696" s="180" t="s">
        <v>1340</v>
      </c>
      <c r="L696" s="107">
        <v>22629466</v>
      </c>
      <c r="M696" s="37">
        <v>5215528638193</v>
      </c>
      <c r="N696" s="169" t="s">
        <v>28</v>
      </c>
      <c r="O696" s="48">
        <v>20107.38</v>
      </c>
      <c r="P696" s="95"/>
      <c r="Q696" s="13">
        <v>6032.21</v>
      </c>
      <c r="R696" s="9">
        <v>6032.21</v>
      </c>
      <c r="S696" s="72"/>
      <c r="T696" s="6"/>
      <c r="U696" s="164"/>
      <c r="V696" s="1"/>
      <c r="X696" s="101">
        <v>1</v>
      </c>
    </row>
    <row r="697" spans="2:24" hidden="1">
      <c r="B697" s="10" t="s">
        <v>1341</v>
      </c>
      <c r="C697" s="24">
        <v>46216.46597222222</v>
      </c>
      <c r="D697" s="10" t="s">
        <v>24</v>
      </c>
      <c r="E697" s="10"/>
      <c r="F697" s="28">
        <v>46216</v>
      </c>
      <c r="G697" s="28" t="s">
        <v>633</v>
      </c>
      <c r="H697" s="10" t="s">
        <v>103</v>
      </c>
      <c r="I697" s="10" t="s">
        <v>684</v>
      </c>
      <c r="J697" s="195">
        <v>33926964595</v>
      </c>
      <c r="K697" s="179" t="s">
        <v>684</v>
      </c>
      <c r="L697" s="111">
        <v>1</v>
      </c>
      <c r="M697" s="36">
        <v>6145048853</v>
      </c>
      <c r="N697" s="170" t="s">
        <v>130</v>
      </c>
      <c r="O697" s="49">
        <v>4714.47</v>
      </c>
      <c r="P697" s="96">
        <v>441.25</v>
      </c>
      <c r="Q697" s="12">
        <v>1414.34</v>
      </c>
      <c r="R697" s="12">
        <v>100.24</v>
      </c>
      <c r="S697" s="73">
        <v>45298</v>
      </c>
      <c r="T697" s="10"/>
      <c r="U697" s="97"/>
      <c r="V697" s="1"/>
      <c r="X697" s="101">
        <v>2</v>
      </c>
    </row>
    <row r="698" spans="2:24" hidden="1">
      <c r="B698" s="6" t="s">
        <v>1333</v>
      </c>
      <c r="C698" s="23">
        <v>46216.467361111114</v>
      </c>
      <c r="D698" s="6" t="s">
        <v>24</v>
      </c>
      <c r="E698" s="6"/>
      <c r="F698" s="28">
        <v>46216</v>
      </c>
      <c r="G698" s="27">
        <v>46363</v>
      </c>
      <c r="H698" s="6" t="s">
        <v>127</v>
      </c>
      <c r="I698" s="6" t="s">
        <v>1342</v>
      </c>
      <c r="J698" s="196">
        <v>43806304556</v>
      </c>
      <c r="K698" s="180"/>
      <c r="L698" s="108">
        <v>22607488</v>
      </c>
      <c r="M698" s="37">
        <v>5218131342300</v>
      </c>
      <c r="N698" s="169" t="s">
        <v>37</v>
      </c>
      <c r="O698" s="48">
        <v>9081.52</v>
      </c>
      <c r="P698" s="95">
        <v>2521.3200000000002</v>
      </c>
      <c r="Q698" s="13">
        <v>2724.46</v>
      </c>
      <c r="R698" s="13">
        <v>203.14</v>
      </c>
      <c r="S698" s="72">
        <v>46235</v>
      </c>
      <c r="T698" s="6"/>
      <c r="U698" s="164"/>
      <c r="V698" s="1"/>
      <c r="X698" s="101">
        <v>2</v>
      </c>
    </row>
    <row r="699" spans="2:24" hidden="1">
      <c r="B699" s="10" t="s">
        <v>1343</v>
      </c>
      <c r="C699" s="24">
        <v>46216.467361111114</v>
      </c>
      <c r="D699" s="10" t="s">
        <v>24</v>
      </c>
      <c r="E699" s="10"/>
      <c r="F699" s="28">
        <v>46216</v>
      </c>
      <c r="G699" s="28" t="s">
        <v>633</v>
      </c>
      <c r="H699" s="10" t="s">
        <v>81</v>
      </c>
      <c r="I699" s="10" t="s">
        <v>1344</v>
      </c>
      <c r="J699" s="195">
        <v>43786001107</v>
      </c>
      <c r="K699" s="181" t="s">
        <v>1345</v>
      </c>
      <c r="L699" s="108">
        <v>22628692</v>
      </c>
      <c r="M699" s="36">
        <v>5218123272231</v>
      </c>
      <c r="N699" s="170" t="s">
        <v>37</v>
      </c>
      <c r="O699" s="49">
        <v>7116.73</v>
      </c>
      <c r="P699" s="96">
        <v>2059.04</v>
      </c>
      <c r="Q699" s="12">
        <v>2135.02</v>
      </c>
      <c r="R699" s="12">
        <v>75.98</v>
      </c>
      <c r="S699" s="73">
        <v>46327</v>
      </c>
      <c r="T699" s="10"/>
      <c r="U699" s="97"/>
      <c r="V699" s="1"/>
      <c r="X699" s="101">
        <v>2</v>
      </c>
    </row>
    <row r="700" spans="2:24" hidden="1">
      <c r="B700" s="6" t="s">
        <v>1346</v>
      </c>
      <c r="C700" s="23">
        <v>46216.469444444447</v>
      </c>
      <c r="D700" s="6" t="s">
        <v>24</v>
      </c>
      <c r="E700" s="6"/>
      <c r="F700" s="28">
        <v>46216</v>
      </c>
      <c r="G700" s="27">
        <v>46302</v>
      </c>
      <c r="H700" s="160" t="s">
        <v>476</v>
      </c>
      <c r="I700" s="6" t="s">
        <v>1347</v>
      </c>
      <c r="J700" s="196"/>
      <c r="K700" s="180" t="s">
        <v>1348</v>
      </c>
      <c r="L700" s="107">
        <v>22560126</v>
      </c>
      <c r="M700" s="37">
        <v>5213841188497</v>
      </c>
      <c r="N700" s="169" t="s">
        <v>263</v>
      </c>
      <c r="O700" s="48">
        <v>6262.86</v>
      </c>
      <c r="P700" s="95">
        <v>1656.78</v>
      </c>
      <c r="Q700" s="13">
        <v>1878.86</v>
      </c>
      <c r="R700" s="13">
        <v>222.08</v>
      </c>
      <c r="S700" s="72">
        <v>45661</v>
      </c>
      <c r="T700" s="6" t="s">
        <v>178</v>
      </c>
      <c r="U700" s="164"/>
      <c r="V700" s="1"/>
      <c r="X700" s="101">
        <v>2</v>
      </c>
    </row>
    <row r="701" spans="2:24" hidden="1">
      <c r="B701" s="10" t="s">
        <v>1349</v>
      </c>
      <c r="C701" s="24">
        <v>46216.472222222219</v>
      </c>
      <c r="D701" s="10" t="s">
        <v>24</v>
      </c>
      <c r="E701" s="10"/>
      <c r="F701" s="28">
        <v>46216</v>
      </c>
      <c r="G701" s="28" t="s">
        <v>633</v>
      </c>
      <c r="H701" s="10" t="s">
        <v>51</v>
      </c>
      <c r="I701" s="10" t="s">
        <v>1350</v>
      </c>
      <c r="J701" s="195">
        <v>54786014719</v>
      </c>
      <c r="K701" s="181" t="s">
        <v>1351</v>
      </c>
      <c r="L701" s="108">
        <v>22616088</v>
      </c>
      <c r="M701" s="36">
        <v>5213324946270</v>
      </c>
      <c r="N701" s="170" t="s">
        <v>130</v>
      </c>
      <c r="O701" s="49">
        <v>29676.15</v>
      </c>
      <c r="P701" s="96">
        <v>8901.02</v>
      </c>
      <c r="Q701" s="12">
        <v>8902.85</v>
      </c>
      <c r="R701" s="12">
        <v>1.82</v>
      </c>
      <c r="S701" s="73">
        <v>46025</v>
      </c>
      <c r="T701" s="10"/>
      <c r="U701" s="97"/>
      <c r="V701" s="1"/>
      <c r="X701" s="101">
        <v>2</v>
      </c>
    </row>
    <row r="702" spans="2:24" hidden="1">
      <c r="B702" s="6" t="s">
        <v>1352</v>
      </c>
      <c r="C702" s="23">
        <v>46216.476388888892</v>
      </c>
      <c r="D702" s="6" t="s">
        <v>24</v>
      </c>
      <c r="E702" s="6"/>
      <c r="F702" s="28">
        <v>46216</v>
      </c>
      <c r="G702" s="27">
        <v>46363</v>
      </c>
      <c r="H702" s="6" t="s">
        <v>81</v>
      </c>
      <c r="I702" s="6" t="s">
        <v>1353</v>
      </c>
      <c r="J702" s="197">
        <v>32845675852</v>
      </c>
      <c r="K702" s="183" t="s">
        <v>1354</v>
      </c>
      <c r="L702" s="107">
        <v>22612088</v>
      </c>
      <c r="M702" s="37">
        <v>5218444963854</v>
      </c>
      <c r="N702" s="169" t="s">
        <v>32</v>
      </c>
      <c r="O702" s="48">
        <v>4379.26</v>
      </c>
      <c r="P702" s="95"/>
      <c r="Q702" s="13">
        <v>1313.78</v>
      </c>
      <c r="R702" s="13">
        <v>206.28</v>
      </c>
      <c r="S702" s="72"/>
      <c r="T702" s="6"/>
      <c r="U702" s="164"/>
      <c r="V702" s="1"/>
      <c r="X702" s="101">
        <v>1</v>
      </c>
    </row>
    <row r="703" spans="2:24" hidden="1">
      <c r="B703" s="10" t="s">
        <v>1355</v>
      </c>
      <c r="C703" s="24">
        <v>46216.481249999997</v>
      </c>
      <c r="D703" s="10" t="s">
        <v>24</v>
      </c>
      <c r="E703" s="10"/>
      <c r="F703" s="28">
        <v>46216</v>
      </c>
      <c r="G703" s="28">
        <v>46363</v>
      </c>
      <c r="H703" s="10" t="s">
        <v>127</v>
      </c>
      <c r="I703" s="10" t="s">
        <v>1356</v>
      </c>
      <c r="J703" s="195">
        <v>3695336200</v>
      </c>
      <c r="K703" s="181" t="s">
        <v>1357</v>
      </c>
      <c r="L703" s="108">
        <v>22612098</v>
      </c>
      <c r="M703" s="36">
        <v>5215519725522</v>
      </c>
      <c r="N703" s="170" t="s">
        <v>47</v>
      </c>
      <c r="O703" s="49">
        <v>4813.6899999999996</v>
      </c>
      <c r="P703" s="96"/>
      <c r="Q703" s="12">
        <v>1444.11</v>
      </c>
      <c r="R703" s="16">
        <v>640.71</v>
      </c>
      <c r="S703" s="73"/>
      <c r="T703" s="10"/>
      <c r="U703" s="97"/>
      <c r="V703" s="1"/>
      <c r="X703" s="101">
        <v>1</v>
      </c>
    </row>
    <row r="704" spans="2:24" hidden="1">
      <c r="B704" s="6" t="s">
        <v>1358</v>
      </c>
      <c r="C704" s="23">
        <v>46216.481249999997</v>
      </c>
      <c r="D704" s="6" t="s">
        <v>24</v>
      </c>
      <c r="E704" s="6"/>
      <c r="F704" s="28">
        <v>46216</v>
      </c>
      <c r="G704" s="27" t="s">
        <v>633</v>
      </c>
      <c r="H704" s="10" t="s">
        <v>124</v>
      </c>
      <c r="I704" s="6" t="s">
        <v>1359</v>
      </c>
      <c r="J704" s="196">
        <v>2604205688</v>
      </c>
      <c r="K704" s="180" t="s">
        <v>1360</v>
      </c>
      <c r="L704" s="107">
        <v>22626936</v>
      </c>
      <c r="M704" s="37">
        <v>5212223849012</v>
      </c>
      <c r="N704" s="169" t="s">
        <v>106</v>
      </c>
      <c r="O704" s="48">
        <v>10350.049999999999</v>
      </c>
      <c r="P704" s="95">
        <v>3104.98</v>
      </c>
      <c r="Q704" s="13">
        <v>3105.02</v>
      </c>
      <c r="R704" s="13">
        <v>0.03</v>
      </c>
      <c r="S704" s="72">
        <v>46029</v>
      </c>
      <c r="T704" s="6"/>
      <c r="U704" s="164"/>
      <c r="V704" s="1"/>
      <c r="X704" s="101">
        <v>2</v>
      </c>
    </row>
    <row r="705" spans="2:24" hidden="1">
      <c r="B705" s="10" t="s">
        <v>1361</v>
      </c>
      <c r="C705" s="24">
        <v>46216.482638888891</v>
      </c>
      <c r="D705" s="10" t="s">
        <v>24</v>
      </c>
      <c r="E705" s="10"/>
      <c r="F705" s="28">
        <v>46216</v>
      </c>
      <c r="G705" s="28">
        <v>46363</v>
      </c>
      <c r="H705" s="10" t="s">
        <v>68</v>
      </c>
      <c r="I705" s="10" t="s">
        <v>1362</v>
      </c>
      <c r="J705" s="195">
        <v>62896564051</v>
      </c>
      <c r="K705" s="181" t="s">
        <v>1363</v>
      </c>
      <c r="L705" s="108">
        <v>22608292</v>
      </c>
      <c r="M705" s="36">
        <v>5212224117276</v>
      </c>
      <c r="N705" s="170" t="s">
        <v>28</v>
      </c>
      <c r="O705" s="49">
        <v>11029.03</v>
      </c>
      <c r="P705" s="96"/>
      <c r="Q705" s="12">
        <v>3308.71</v>
      </c>
      <c r="R705" s="14">
        <v>3308.71</v>
      </c>
      <c r="S705" s="73"/>
      <c r="T705" s="10"/>
      <c r="U705" s="97"/>
      <c r="V705" s="1"/>
      <c r="X705" s="101">
        <v>1</v>
      </c>
    </row>
    <row r="706" spans="2:24" hidden="1">
      <c r="B706" s="6" t="s">
        <v>1364</v>
      </c>
      <c r="C706" s="23">
        <v>46216.48333333333</v>
      </c>
      <c r="D706" s="6" t="s">
        <v>24</v>
      </c>
      <c r="E706" s="6"/>
      <c r="F706" s="28">
        <v>46216</v>
      </c>
      <c r="G706" s="27">
        <v>46363</v>
      </c>
      <c r="H706" s="6" t="s">
        <v>93</v>
      </c>
      <c r="I706" s="6" t="s">
        <v>1365</v>
      </c>
      <c r="J706" s="196">
        <v>20957421611</v>
      </c>
      <c r="K706" s="180"/>
      <c r="L706" s="107">
        <v>22606700</v>
      </c>
      <c r="M706" s="37">
        <v>2471748892</v>
      </c>
      <c r="N706" s="169" t="s">
        <v>74</v>
      </c>
      <c r="O706" s="48"/>
      <c r="P706" s="95"/>
      <c r="Q706" s="13">
        <v>0</v>
      </c>
      <c r="R706" s="13">
        <v>0</v>
      </c>
      <c r="S706" s="72"/>
      <c r="T706" s="6"/>
      <c r="U706" s="164"/>
      <c r="V706" s="1"/>
      <c r="X706" s="101">
        <v>1</v>
      </c>
    </row>
    <row r="707" spans="2:24" hidden="1">
      <c r="B707" s="10" t="s">
        <v>1366</v>
      </c>
      <c r="C707" s="24">
        <v>46216.490277777775</v>
      </c>
      <c r="D707" s="10" t="s">
        <v>24</v>
      </c>
      <c r="E707" s="10"/>
      <c r="F707" s="28">
        <v>46216</v>
      </c>
      <c r="G707" s="28" t="s">
        <v>633</v>
      </c>
      <c r="H707" s="10" t="s">
        <v>51</v>
      </c>
      <c r="I707" s="10" t="s">
        <v>1367</v>
      </c>
      <c r="J707" s="195">
        <v>24875305211</v>
      </c>
      <c r="K707" s="181" t="s">
        <v>1368</v>
      </c>
      <c r="L707" s="108">
        <v>22298108</v>
      </c>
      <c r="M707" s="36">
        <v>5216623504652</v>
      </c>
      <c r="N707" s="170" t="s">
        <v>32</v>
      </c>
      <c r="O707" s="49">
        <v>3881</v>
      </c>
      <c r="P707" s="96"/>
      <c r="Q707" s="12">
        <v>1164.3</v>
      </c>
      <c r="R707" s="12">
        <v>0</v>
      </c>
      <c r="S707" s="73"/>
      <c r="T707" s="10"/>
      <c r="U707" s="97"/>
      <c r="V707" s="1"/>
      <c r="X707" s="101">
        <v>1</v>
      </c>
    </row>
    <row r="708" spans="2:24" hidden="1">
      <c r="B708" s="6" t="s">
        <v>1369</v>
      </c>
      <c r="C708" s="23">
        <v>46216.492361111108</v>
      </c>
      <c r="D708" s="6" t="s">
        <v>24</v>
      </c>
      <c r="E708" s="6"/>
      <c r="F708" s="28">
        <v>46216</v>
      </c>
      <c r="G708" s="27" t="s">
        <v>633</v>
      </c>
      <c r="H708" s="6" t="s">
        <v>61</v>
      </c>
      <c r="I708" s="6" t="s">
        <v>1370</v>
      </c>
      <c r="J708" s="196"/>
      <c r="K708" s="180" t="s">
        <v>1371</v>
      </c>
      <c r="L708" s="108">
        <v>22632864</v>
      </c>
      <c r="M708" s="37">
        <v>5216145395757</v>
      </c>
      <c r="N708" s="169" t="s">
        <v>37</v>
      </c>
      <c r="O708" s="48">
        <v>7403.59</v>
      </c>
      <c r="P708" s="95">
        <v>2221.08</v>
      </c>
      <c r="Q708" s="13">
        <v>2221.08</v>
      </c>
      <c r="R708" s="13">
        <v>0</v>
      </c>
      <c r="S708" s="72">
        <v>46754</v>
      </c>
      <c r="T708" s="6"/>
      <c r="U708" s="164"/>
      <c r="V708" s="1"/>
      <c r="X708" s="101">
        <v>2</v>
      </c>
    </row>
    <row r="709" spans="2:24" hidden="1">
      <c r="B709" s="10" t="s">
        <v>1372</v>
      </c>
      <c r="C709" s="24">
        <v>46216.495833333334</v>
      </c>
      <c r="D709" s="10" t="s">
        <v>24</v>
      </c>
      <c r="E709" s="10"/>
      <c r="F709" s="28">
        <v>46216</v>
      </c>
      <c r="G709" s="28">
        <v>46363</v>
      </c>
      <c r="H709" s="10" t="s">
        <v>81</v>
      </c>
      <c r="I709" s="10" t="s">
        <v>1373</v>
      </c>
      <c r="J709" s="195"/>
      <c r="K709" s="181" t="s">
        <v>1374</v>
      </c>
      <c r="L709" s="108">
        <v>22611442</v>
      </c>
      <c r="M709" s="36">
        <v>5216691070459</v>
      </c>
      <c r="N709" s="170" t="s">
        <v>37</v>
      </c>
      <c r="O709" s="49">
        <v>14489.09</v>
      </c>
      <c r="P709" s="96">
        <v>4343.76</v>
      </c>
      <c r="Q709" s="12">
        <v>4346.7299999999996</v>
      </c>
      <c r="R709" s="12">
        <v>2.97</v>
      </c>
      <c r="S709" s="73">
        <v>46390</v>
      </c>
      <c r="T709" s="10"/>
      <c r="U709" s="97"/>
      <c r="V709" s="1"/>
      <c r="X709" s="101">
        <v>2</v>
      </c>
    </row>
    <row r="710" spans="2:24" hidden="1">
      <c r="B710" s="6" t="s">
        <v>1375</v>
      </c>
      <c r="C710" s="23">
        <v>46216.496527777781</v>
      </c>
      <c r="D710" s="6" t="s">
        <v>24</v>
      </c>
      <c r="E710" s="6"/>
      <c r="F710" s="28">
        <v>46216</v>
      </c>
      <c r="G710" s="27" t="s">
        <v>633</v>
      </c>
      <c r="H710" s="6" t="s">
        <v>78</v>
      </c>
      <c r="I710" s="6" t="s">
        <v>1376</v>
      </c>
      <c r="J710" s="196">
        <v>23825704895</v>
      </c>
      <c r="K710" s="180" t="s">
        <v>1377</v>
      </c>
      <c r="L710" s="108">
        <v>22627494</v>
      </c>
      <c r="M710" s="37">
        <v>5216731182592</v>
      </c>
      <c r="N710" s="169" t="s">
        <v>37</v>
      </c>
      <c r="O710" s="48">
        <v>9081.52</v>
      </c>
      <c r="P710" s="95">
        <v>2521.06</v>
      </c>
      <c r="Q710" s="13">
        <v>2724.46</v>
      </c>
      <c r="R710" s="13">
        <v>203.4</v>
      </c>
      <c r="S710" s="72">
        <v>46266</v>
      </c>
      <c r="T710" s="6"/>
      <c r="U710" s="164"/>
      <c r="V710" s="1"/>
      <c r="X710" s="101">
        <v>2</v>
      </c>
    </row>
    <row r="711" spans="2:24" hidden="1">
      <c r="B711" s="10" t="s">
        <v>1375</v>
      </c>
      <c r="C711" s="24">
        <v>46216.496527777781</v>
      </c>
      <c r="D711" s="10" t="s">
        <v>24</v>
      </c>
      <c r="E711" s="10"/>
      <c r="F711" s="28">
        <v>46216</v>
      </c>
      <c r="G711" s="28" t="s">
        <v>633</v>
      </c>
      <c r="H711" s="10" t="s">
        <v>78</v>
      </c>
      <c r="I711" s="10" t="s">
        <v>1378</v>
      </c>
      <c r="J711" s="195">
        <v>24675113062</v>
      </c>
      <c r="K711" s="181" t="s">
        <v>1379</v>
      </c>
      <c r="L711" s="108">
        <v>22626834</v>
      </c>
      <c r="M711" s="36">
        <v>5216441145775</v>
      </c>
      <c r="N711" s="170" t="s">
        <v>32</v>
      </c>
      <c r="O711" s="49">
        <v>3855.42</v>
      </c>
      <c r="P711" s="96">
        <v>848</v>
      </c>
      <c r="Q711" s="12">
        <v>1156.6300000000001</v>
      </c>
      <c r="R711" s="12">
        <v>-848</v>
      </c>
      <c r="S711" s="73"/>
      <c r="T711" s="10"/>
      <c r="U711" s="97"/>
      <c r="V711" s="1"/>
      <c r="X711" s="101">
        <v>1</v>
      </c>
    </row>
    <row r="712" spans="2:24" hidden="1">
      <c r="B712" s="6" t="s">
        <v>1380</v>
      </c>
      <c r="C712" s="23">
        <v>46216.496527777781</v>
      </c>
      <c r="D712" s="6" t="s">
        <v>24</v>
      </c>
      <c r="E712" s="6"/>
      <c r="F712" s="28">
        <v>46216</v>
      </c>
      <c r="G712" s="27" t="s">
        <v>633</v>
      </c>
      <c r="H712" s="10" t="s">
        <v>78</v>
      </c>
      <c r="I712" s="6" t="s">
        <v>1381</v>
      </c>
      <c r="J712" s="196">
        <v>60887303489</v>
      </c>
      <c r="K712" s="180" t="s">
        <v>1382</v>
      </c>
      <c r="L712" s="107">
        <v>22630922</v>
      </c>
      <c r="M712" s="37">
        <v>5216563283386</v>
      </c>
      <c r="N712" s="169" t="s">
        <v>106</v>
      </c>
      <c r="O712" s="48">
        <v>7135.6</v>
      </c>
      <c r="P712" s="95">
        <v>1976.75</v>
      </c>
      <c r="Q712" s="13">
        <v>2140.6799999999998</v>
      </c>
      <c r="R712" s="13">
        <v>163.93</v>
      </c>
      <c r="S712" s="72">
        <v>46026</v>
      </c>
      <c r="T712" s="6"/>
      <c r="U712" s="164"/>
      <c r="V712" s="1"/>
      <c r="X712" s="101">
        <v>2</v>
      </c>
    </row>
    <row r="713" spans="2:24" hidden="1">
      <c r="B713" s="10" t="s">
        <v>1369</v>
      </c>
      <c r="C713" s="24">
        <v>46216.49722222222</v>
      </c>
      <c r="D713" s="10" t="s">
        <v>24</v>
      </c>
      <c r="E713" s="10"/>
      <c r="F713" s="28">
        <v>46216</v>
      </c>
      <c r="G713" s="28">
        <v>46363</v>
      </c>
      <c r="H713" s="10" t="s">
        <v>127</v>
      </c>
      <c r="I713" s="10" t="s">
        <v>1383</v>
      </c>
      <c r="J713" s="195">
        <v>24725427918</v>
      </c>
      <c r="K713" s="181" t="s">
        <v>1384</v>
      </c>
      <c r="L713" s="108">
        <v>22614272</v>
      </c>
      <c r="M713" s="36">
        <v>5216626003808</v>
      </c>
      <c r="N713" s="170" t="s">
        <v>32</v>
      </c>
      <c r="O713" s="49">
        <v>4342.43</v>
      </c>
      <c r="P713" s="96">
        <v>879</v>
      </c>
      <c r="Q713" s="12">
        <v>1302.73</v>
      </c>
      <c r="R713" s="12">
        <v>-709.55</v>
      </c>
      <c r="S713" s="73"/>
      <c r="T713" s="10"/>
      <c r="U713" s="97"/>
      <c r="V713" s="1"/>
      <c r="X713" s="101">
        <v>1</v>
      </c>
    </row>
    <row r="714" spans="2:24" hidden="1">
      <c r="B714" s="6" t="s">
        <v>1385</v>
      </c>
      <c r="C714" s="23">
        <v>46216.49722222222</v>
      </c>
      <c r="D714" s="6" t="s">
        <v>24</v>
      </c>
      <c r="E714" s="6"/>
      <c r="F714" s="28">
        <v>46216</v>
      </c>
      <c r="G714" s="27">
        <v>46363</v>
      </c>
      <c r="H714" s="10" t="s">
        <v>39</v>
      </c>
      <c r="I714" s="6" t="s">
        <v>1386</v>
      </c>
      <c r="J714" s="196">
        <v>21887164635</v>
      </c>
      <c r="K714" s="180" t="s">
        <v>1387</v>
      </c>
      <c r="L714" s="107">
        <v>22608872</v>
      </c>
      <c r="M714" s="37">
        <v>5216863038381</v>
      </c>
      <c r="N714" s="169" t="s">
        <v>130</v>
      </c>
      <c r="O714" s="48">
        <v>8041.78</v>
      </c>
      <c r="P714" s="95">
        <v>2231.98</v>
      </c>
      <c r="Q714" s="13">
        <v>2412.5300000000002</v>
      </c>
      <c r="R714" s="13">
        <v>180.55</v>
      </c>
      <c r="S714" s="72">
        <v>46023</v>
      </c>
      <c r="T714" s="6"/>
      <c r="U714" s="164"/>
      <c r="V714" s="1"/>
      <c r="X714" s="101">
        <v>2</v>
      </c>
    </row>
    <row r="715" spans="2:24" hidden="1">
      <c r="B715" s="10" t="s">
        <v>1388</v>
      </c>
      <c r="C715" s="24">
        <v>46216.498611111114</v>
      </c>
      <c r="D715" s="10" t="s">
        <v>24</v>
      </c>
      <c r="E715" s="10"/>
      <c r="F715" s="28">
        <v>46216</v>
      </c>
      <c r="G715" s="28">
        <v>46363</v>
      </c>
      <c r="H715" s="10" t="s">
        <v>160</v>
      </c>
      <c r="I715" s="10" t="s">
        <v>1389</v>
      </c>
      <c r="J715" s="193">
        <v>3977394349</v>
      </c>
      <c r="K715" s="181" t="s">
        <v>1390</v>
      </c>
      <c r="L715" s="108">
        <v>22609174</v>
      </c>
      <c r="M715" s="36">
        <v>5216183139447</v>
      </c>
      <c r="N715" s="170" t="s">
        <v>130</v>
      </c>
      <c r="O715" s="49">
        <v>6576.43</v>
      </c>
      <c r="P715" s="96">
        <v>1902</v>
      </c>
      <c r="Q715" s="12">
        <v>1972.93</v>
      </c>
      <c r="R715" s="12">
        <v>70.930000000000007</v>
      </c>
      <c r="S715" s="73">
        <v>45664</v>
      </c>
      <c r="T715" s="10"/>
      <c r="U715" s="97"/>
      <c r="V715" s="1"/>
      <c r="X715" s="101">
        <v>2</v>
      </c>
    </row>
    <row r="716" spans="2:24" hidden="1">
      <c r="B716" s="6" t="s">
        <v>1391</v>
      </c>
      <c r="C716" s="23">
        <v>46216.50277777778</v>
      </c>
      <c r="D716" s="6" t="s">
        <v>24</v>
      </c>
      <c r="E716" s="6"/>
      <c r="F716" s="28">
        <v>46216</v>
      </c>
      <c r="G716" s="27">
        <v>46363</v>
      </c>
      <c r="H716" s="6" t="s">
        <v>39</v>
      </c>
      <c r="I716" s="6" t="s">
        <v>1392</v>
      </c>
      <c r="J716" s="196">
        <v>64806046013</v>
      </c>
      <c r="K716" s="180" t="s">
        <v>1393</v>
      </c>
      <c r="L716" s="108">
        <v>22610436</v>
      </c>
      <c r="M716" s="37">
        <v>5212717401996</v>
      </c>
      <c r="N716" s="169" t="s">
        <v>37</v>
      </c>
      <c r="O716" s="48">
        <v>7913.97</v>
      </c>
      <c r="P716" s="95">
        <v>2284.64</v>
      </c>
      <c r="Q716" s="13">
        <v>2374.19</v>
      </c>
      <c r="R716" s="13">
        <v>89.55</v>
      </c>
      <c r="S716" s="72">
        <v>46394</v>
      </c>
      <c r="T716" s="6"/>
      <c r="U716" s="164"/>
      <c r="V716" s="1"/>
      <c r="X716" s="101">
        <v>2</v>
      </c>
    </row>
    <row r="717" spans="2:24" hidden="1">
      <c r="B717" s="10" t="s">
        <v>1394</v>
      </c>
      <c r="C717" s="24">
        <v>46216.504166666666</v>
      </c>
      <c r="D717" s="10" t="s">
        <v>24</v>
      </c>
      <c r="E717" s="10"/>
      <c r="F717" s="28">
        <v>46216</v>
      </c>
      <c r="G717" s="28">
        <v>46302</v>
      </c>
      <c r="H717" s="10" t="s">
        <v>78</v>
      </c>
      <c r="I717" s="10" t="s">
        <v>1395</v>
      </c>
      <c r="J717" s="195">
        <v>17826003307</v>
      </c>
      <c r="K717" s="181" t="s">
        <v>1396</v>
      </c>
      <c r="L717" s="108">
        <v>22548410</v>
      </c>
      <c r="M717" s="36">
        <v>5218721138927</v>
      </c>
      <c r="N717" s="170" t="s">
        <v>37</v>
      </c>
      <c r="O717" s="49">
        <v>6262.86</v>
      </c>
      <c r="P717" s="96">
        <v>1811.99</v>
      </c>
      <c r="Q717" s="12">
        <v>1878.86</v>
      </c>
      <c r="R717" s="12">
        <v>66.87</v>
      </c>
      <c r="S717" s="73">
        <v>46389</v>
      </c>
      <c r="T717" s="10"/>
      <c r="U717" s="97"/>
      <c r="V717" s="1"/>
      <c r="X717" s="101">
        <v>2</v>
      </c>
    </row>
    <row r="718" spans="2:24" hidden="1">
      <c r="B718" s="6" t="s">
        <v>1394</v>
      </c>
      <c r="C718" s="23">
        <v>46216.504166666666</v>
      </c>
      <c r="D718" s="6" t="s">
        <v>24</v>
      </c>
      <c r="E718" s="6"/>
      <c r="F718" s="28">
        <v>46216</v>
      </c>
      <c r="G718" s="27">
        <v>46302</v>
      </c>
      <c r="H718" s="6" t="s">
        <v>78</v>
      </c>
      <c r="I718" s="6" t="s">
        <v>1397</v>
      </c>
      <c r="J718" s="196">
        <v>6786050291</v>
      </c>
      <c r="K718" s="180" t="s">
        <v>1398</v>
      </c>
      <c r="L718" s="108">
        <v>22541142</v>
      </c>
      <c r="M718" s="37">
        <v>5215527604140</v>
      </c>
      <c r="N718" s="169" t="s">
        <v>37</v>
      </c>
      <c r="O718" s="48">
        <v>5617.63</v>
      </c>
      <c r="P718" s="95">
        <v>1444.64</v>
      </c>
      <c r="Q718" s="13">
        <v>1685.29</v>
      </c>
      <c r="R718" s="13">
        <v>0.01</v>
      </c>
      <c r="S718" s="72">
        <v>46756</v>
      </c>
      <c r="T718" s="6"/>
      <c r="U718" s="164"/>
      <c r="V718" s="1"/>
      <c r="X718" s="101">
        <v>2</v>
      </c>
    </row>
    <row r="719" spans="2:24" hidden="1">
      <c r="B719" s="10" t="s">
        <v>1399</v>
      </c>
      <c r="C719" s="24">
        <v>46216.513888888891</v>
      </c>
      <c r="D719" s="10" t="s">
        <v>24</v>
      </c>
      <c r="E719" s="10"/>
      <c r="F719" s="28">
        <v>46216</v>
      </c>
      <c r="G719" s="28" t="s">
        <v>633</v>
      </c>
      <c r="H719" s="10" t="s">
        <v>39</v>
      </c>
      <c r="I719" s="10" t="s">
        <v>1400</v>
      </c>
      <c r="J719" s="195">
        <v>52805905982</v>
      </c>
      <c r="K719" s="181" t="s">
        <v>1401</v>
      </c>
      <c r="L719" s="108">
        <v>22620492</v>
      </c>
      <c r="M719" s="36">
        <v>5213131500165</v>
      </c>
      <c r="N719" s="170" t="s">
        <v>37</v>
      </c>
      <c r="O719" s="49">
        <v>7116.73</v>
      </c>
      <c r="P719" s="96">
        <v>2059</v>
      </c>
      <c r="Q719" s="12">
        <v>2135.02</v>
      </c>
      <c r="R719" s="12">
        <v>76.02</v>
      </c>
      <c r="S719" s="73">
        <v>46399</v>
      </c>
      <c r="T719" s="10"/>
      <c r="U719" s="97"/>
      <c r="V719" s="1"/>
      <c r="X719" s="101">
        <v>2</v>
      </c>
    </row>
    <row r="720" spans="2:24" hidden="1">
      <c r="B720" s="6" t="s">
        <v>1402</v>
      </c>
      <c r="C720" s="23">
        <v>46216.51458333333</v>
      </c>
      <c r="D720" s="6" t="s">
        <v>24</v>
      </c>
      <c r="E720" s="6"/>
      <c r="F720" s="28">
        <v>46216</v>
      </c>
      <c r="G720" s="27" t="s">
        <v>633</v>
      </c>
      <c r="H720" s="6" t="s">
        <v>124</v>
      </c>
      <c r="I720" s="6" t="s">
        <v>1403</v>
      </c>
      <c r="J720" s="196">
        <v>35866986389</v>
      </c>
      <c r="K720" s="180" t="s">
        <v>1404</v>
      </c>
      <c r="L720" s="107">
        <v>22633938</v>
      </c>
      <c r="M720" s="37">
        <v>5216146041668</v>
      </c>
      <c r="N720" s="169" t="s">
        <v>32</v>
      </c>
      <c r="O720" s="48">
        <v>3779.88</v>
      </c>
      <c r="P720" s="95"/>
      <c r="Q720" s="13">
        <v>1133.96</v>
      </c>
      <c r="R720" s="13">
        <v>0</v>
      </c>
      <c r="S720" s="72"/>
      <c r="T720" s="6"/>
      <c r="U720" s="164"/>
      <c r="V720" s="1"/>
      <c r="X720" s="101">
        <v>1</v>
      </c>
    </row>
    <row r="721" spans="2:24" hidden="1">
      <c r="B721" s="10" t="s">
        <v>1405</v>
      </c>
      <c r="C721" s="24">
        <v>46216.51458333333</v>
      </c>
      <c r="D721" s="10" t="s">
        <v>24</v>
      </c>
      <c r="E721" s="10"/>
      <c r="F721" s="28">
        <v>46216</v>
      </c>
      <c r="G721" s="28">
        <v>46363</v>
      </c>
      <c r="H721" s="10" t="s">
        <v>127</v>
      </c>
      <c r="I721" s="10" t="s">
        <v>1406</v>
      </c>
      <c r="J721" s="195">
        <v>67846667623</v>
      </c>
      <c r="K721" s="181" t="s">
        <v>1407</v>
      </c>
      <c r="L721" s="108">
        <v>22614634</v>
      </c>
      <c r="M721" s="36">
        <v>5219211053546</v>
      </c>
      <c r="N721" s="170" t="s">
        <v>28</v>
      </c>
      <c r="O721" s="49">
        <v>8627.43</v>
      </c>
      <c r="P721" s="96"/>
      <c r="Q721" s="12">
        <v>2588.23</v>
      </c>
      <c r="R721" s="14">
        <v>2588.23</v>
      </c>
      <c r="S721" s="73"/>
      <c r="T721" s="10"/>
      <c r="U721" s="97"/>
      <c r="V721" s="1"/>
      <c r="X721" s="101">
        <v>1</v>
      </c>
    </row>
    <row r="722" spans="2:24" hidden="1">
      <c r="B722" s="6" t="s">
        <v>1408</v>
      </c>
      <c r="C722" s="23">
        <v>46216.519444444442</v>
      </c>
      <c r="D722" s="6" t="s">
        <v>24</v>
      </c>
      <c r="E722" s="6"/>
      <c r="F722" s="28">
        <v>46216</v>
      </c>
      <c r="G722" s="27">
        <v>46363</v>
      </c>
      <c r="H722" s="6" t="s">
        <v>127</v>
      </c>
      <c r="I722" s="6" t="s">
        <v>1409</v>
      </c>
      <c r="J722" s="196"/>
      <c r="K722" s="180" t="s">
        <v>1410</v>
      </c>
      <c r="L722" s="107">
        <v>22608836</v>
      </c>
      <c r="M722" s="37">
        <v>5213328208433</v>
      </c>
      <c r="N722" s="169" t="s">
        <v>32</v>
      </c>
      <c r="O722" s="48">
        <v>3635.76</v>
      </c>
      <c r="P722" s="95">
        <v>879</v>
      </c>
      <c r="Q722" s="13">
        <v>1090.73</v>
      </c>
      <c r="R722" s="13">
        <v>-879</v>
      </c>
      <c r="S722" s="72"/>
      <c r="T722" s="6"/>
      <c r="U722" s="164"/>
      <c r="V722" s="1"/>
      <c r="X722" s="101">
        <v>1</v>
      </c>
    </row>
    <row r="723" spans="2:24" hidden="1">
      <c r="B723" s="10" t="s">
        <v>1411</v>
      </c>
      <c r="C723" s="24">
        <v>46216.520138888889</v>
      </c>
      <c r="D723" s="10" t="s">
        <v>24</v>
      </c>
      <c r="E723" s="10"/>
      <c r="F723" s="28">
        <v>46216</v>
      </c>
      <c r="G723" s="28" t="s">
        <v>633</v>
      </c>
      <c r="H723" s="10" t="s">
        <v>39</v>
      </c>
      <c r="I723" s="10" t="s">
        <v>1412</v>
      </c>
      <c r="J723" s="195">
        <v>81846204790</v>
      </c>
      <c r="K723" s="181" t="s">
        <v>1413</v>
      </c>
      <c r="L723" s="108">
        <v>22627970</v>
      </c>
      <c r="M723" s="36">
        <v>5219211291362</v>
      </c>
      <c r="N723" s="170" t="s">
        <v>47</v>
      </c>
      <c r="O723" s="49">
        <v>11433.38</v>
      </c>
      <c r="P723" s="96">
        <v>3036.23</v>
      </c>
      <c r="Q723" s="12">
        <v>3430.01</v>
      </c>
      <c r="R723" s="16">
        <v>393.78</v>
      </c>
      <c r="S723" s="73">
        <v>46396</v>
      </c>
      <c r="T723" s="10"/>
      <c r="U723" s="97"/>
      <c r="V723" s="1"/>
      <c r="X723" s="101">
        <v>2</v>
      </c>
    </row>
    <row r="724" spans="2:24" hidden="1">
      <c r="B724" s="6" t="s">
        <v>1408</v>
      </c>
      <c r="C724" s="23">
        <v>46216.525000000001</v>
      </c>
      <c r="D724" s="6" t="s">
        <v>24</v>
      </c>
      <c r="E724" s="6"/>
      <c r="F724" s="28">
        <v>46216</v>
      </c>
      <c r="G724" s="27">
        <v>46363</v>
      </c>
      <c r="H724" s="6" t="s">
        <v>124</v>
      </c>
      <c r="I724" s="6" t="s">
        <v>1414</v>
      </c>
      <c r="J724" s="196"/>
      <c r="K724" s="180" t="s">
        <v>1415</v>
      </c>
      <c r="L724" s="107">
        <v>22611830</v>
      </c>
      <c r="M724" s="37">
        <v>5219845885797</v>
      </c>
      <c r="N724" s="169" t="s">
        <v>98</v>
      </c>
      <c r="O724" s="48"/>
      <c r="P724" s="95"/>
      <c r="Q724" s="13">
        <v>0</v>
      </c>
      <c r="R724" s="13">
        <v>0</v>
      </c>
      <c r="S724" s="72"/>
      <c r="T724" s="6"/>
      <c r="U724" s="164"/>
      <c r="V724" s="1"/>
      <c r="X724" s="101">
        <v>0</v>
      </c>
    </row>
    <row r="725" spans="2:24" hidden="1">
      <c r="B725" s="10" t="s">
        <v>1416</v>
      </c>
      <c r="C725" s="24">
        <v>46216.526388888888</v>
      </c>
      <c r="D725" s="10" t="s">
        <v>24</v>
      </c>
      <c r="E725" s="10"/>
      <c r="F725" s="28">
        <v>46216</v>
      </c>
      <c r="G725" s="28" t="s">
        <v>633</v>
      </c>
      <c r="H725" s="10" t="s">
        <v>39</v>
      </c>
      <c r="I725" s="10" t="s">
        <v>1417</v>
      </c>
      <c r="J725" s="195">
        <v>14806217924</v>
      </c>
      <c r="K725" s="181" t="s">
        <v>1418</v>
      </c>
      <c r="L725" s="108">
        <v>22632294</v>
      </c>
      <c r="M725" s="36">
        <v>5214425788378</v>
      </c>
      <c r="N725" s="170" t="s">
        <v>47</v>
      </c>
      <c r="O725" s="49">
        <v>9504.7000000000007</v>
      </c>
      <c r="P725" s="96">
        <v>2408.94</v>
      </c>
      <c r="Q725" s="12">
        <v>2851.41</v>
      </c>
      <c r="R725" s="16">
        <v>442.47</v>
      </c>
      <c r="S725" s="73">
        <v>46394</v>
      </c>
      <c r="T725" s="10"/>
      <c r="U725" s="97"/>
      <c r="V725" s="1"/>
      <c r="X725" s="101">
        <v>2</v>
      </c>
    </row>
    <row r="726" spans="2:24" hidden="1">
      <c r="B726" s="6" t="s">
        <v>1419</v>
      </c>
      <c r="C726" s="23">
        <v>46216.531944444447</v>
      </c>
      <c r="D726" s="6" t="s">
        <v>24</v>
      </c>
      <c r="E726" s="6"/>
      <c r="F726" s="28">
        <v>46216</v>
      </c>
      <c r="G726" s="27" t="s">
        <v>633</v>
      </c>
      <c r="H726" s="6" t="s">
        <v>90</v>
      </c>
      <c r="I726" s="6" t="s">
        <v>1420</v>
      </c>
      <c r="J726" s="197">
        <v>53846323516</v>
      </c>
      <c r="K726" s="180" t="s">
        <v>1421</v>
      </c>
      <c r="L726" s="108">
        <v>1</v>
      </c>
      <c r="M726" s="37" t="s">
        <v>1422</v>
      </c>
      <c r="N726" s="169" t="s">
        <v>37</v>
      </c>
      <c r="O726" s="48">
        <v>9760.32</v>
      </c>
      <c r="P726" s="95">
        <v>2758.23</v>
      </c>
      <c r="Q726" s="13">
        <v>2928.1</v>
      </c>
      <c r="R726" s="13">
        <v>169.87</v>
      </c>
      <c r="S726" s="72">
        <v>46753</v>
      </c>
      <c r="T726" s="6" t="s">
        <v>192</v>
      </c>
      <c r="U726" s="164"/>
      <c r="V726" s="1"/>
      <c r="X726" s="101">
        <v>2</v>
      </c>
    </row>
    <row r="727" spans="2:24" hidden="1">
      <c r="B727" s="10" t="s">
        <v>1423</v>
      </c>
      <c r="C727" s="24">
        <v>46216.532638888886</v>
      </c>
      <c r="D727" s="10" t="s">
        <v>24</v>
      </c>
      <c r="E727" s="10"/>
      <c r="F727" s="28">
        <v>46216</v>
      </c>
      <c r="G727" s="28" t="s">
        <v>633</v>
      </c>
      <c r="H727" s="10" t="s">
        <v>39</v>
      </c>
      <c r="I727" s="10" t="s">
        <v>1424</v>
      </c>
      <c r="J727" s="195">
        <v>53745106178</v>
      </c>
      <c r="K727" s="181" t="s">
        <v>1425</v>
      </c>
      <c r="L727" s="108">
        <v>22621812</v>
      </c>
      <c r="M727" s="36">
        <v>5213221559614</v>
      </c>
      <c r="N727" s="170" t="s">
        <v>37</v>
      </c>
      <c r="O727" s="49">
        <v>7279.53</v>
      </c>
      <c r="P727" s="96">
        <v>2081.65</v>
      </c>
      <c r="Q727" s="12">
        <v>2183.86</v>
      </c>
      <c r="R727" s="12">
        <v>102.21</v>
      </c>
      <c r="S727" s="73">
        <v>46393</v>
      </c>
      <c r="T727" s="10"/>
      <c r="U727" s="97"/>
      <c r="V727" s="1"/>
      <c r="X727" s="101">
        <v>2</v>
      </c>
    </row>
    <row r="728" spans="2:24" hidden="1">
      <c r="B728" s="6" t="s">
        <v>1369</v>
      </c>
      <c r="C728" s="23">
        <v>46216.533333333333</v>
      </c>
      <c r="D728" s="6" t="s">
        <v>24</v>
      </c>
      <c r="E728" s="6"/>
      <c r="F728" s="28">
        <v>46216</v>
      </c>
      <c r="G728" s="27" t="s">
        <v>633</v>
      </c>
      <c r="H728" s="6" t="s">
        <v>51</v>
      </c>
      <c r="I728" s="6" t="s">
        <v>1426</v>
      </c>
      <c r="J728" s="196">
        <v>12896856932</v>
      </c>
      <c r="K728" s="180" t="s">
        <v>1427</v>
      </c>
      <c r="L728" s="107">
        <v>22625876</v>
      </c>
      <c r="M728" s="37">
        <v>5213316372260</v>
      </c>
      <c r="N728" s="169" t="s">
        <v>74</v>
      </c>
      <c r="O728" s="48"/>
      <c r="P728" s="95"/>
      <c r="Q728" s="13">
        <v>0</v>
      </c>
      <c r="R728" s="13">
        <v>0</v>
      </c>
      <c r="S728" s="72"/>
      <c r="T728" s="6"/>
      <c r="U728" s="164"/>
      <c r="V728" s="1"/>
      <c r="X728" s="101">
        <v>1</v>
      </c>
    </row>
    <row r="729" spans="2:24" hidden="1">
      <c r="B729" s="10" t="s">
        <v>1419</v>
      </c>
      <c r="C729" s="24">
        <v>46216.534722222219</v>
      </c>
      <c r="D729" s="10" t="s">
        <v>24</v>
      </c>
      <c r="E729" s="10"/>
      <c r="F729" s="28">
        <v>46216</v>
      </c>
      <c r="G729" s="28" t="s">
        <v>633</v>
      </c>
      <c r="H729" s="10" t="s">
        <v>51</v>
      </c>
      <c r="I729" s="10" t="s">
        <v>1428</v>
      </c>
      <c r="J729" s="195">
        <v>8584200193</v>
      </c>
      <c r="K729" s="181" t="s">
        <v>1429</v>
      </c>
      <c r="L729" s="108">
        <v>22618206</v>
      </c>
      <c r="M729" s="36">
        <v>5219514150342</v>
      </c>
      <c r="N729" s="170" t="s">
        <v>32</v>
      </c>
      <c r="O729" s="49">
        <v>4199.79</v>
      </c>
      <c r="P729" s="96">
        <v>848</v>
      </c>
      <c r="Q729" s="12">
        <v>1259.94</v>
      </c>
      <c r="R729" s="12">
        <v>-821.19</v>
      </c>
      <c r="S729" s="73"/>
      <c r="T729" s="10"/>
      <c r="U729" s="97"/>
      <c r="V729" s="1"/>
      <c r="X729" s="101">
        <v>1</v>
      </c>
    </row>
    <row r="730" spans="2:24" hidden="1">
      <c r="B730" s="6" t="s">
        <v>1430</v>
      </c>
      <c r="C730" s="23">
        <v>46216.535416666666</v>
      </c>
      <c r="D730" s="6" t="s">
        <v>24</v>
      </c>
      <c r="E730" s="6"/>
      <c r="F730" s="28">
        <v>46216</v>
      </c>
      <c r="G730" s="27" t="s">
        <v>633</v>
      </c>
      <c r="H730" s="6" t="s">
        <v>39</v>
      </c>
      <c r="I730" s="6" t="s">
        <v>1431</v>
      </c>
      <c r="J730" s="196">
        <v>96935901445</v>
      </c>
      <c r="K730" s="180" t="s">
        <v>1432</v>
      </c>
      <c r="L730" s="107">
        <v>22633196</v>
      </c>
      <c r="M730" s="37">
        <v>5215618587671</v>
      </c>
      <c r="N730" s="169" t="s">
        <v>32</v>
      </c>
      <c r="O730" s="48">
        <v>4813.6899999999996</v>
      </c>
      <c r="P730" s="95">
        <v>879</v>
      </c>
      <c r="Q730" s="13">
        <v>1444.11</v>
      </c>
      <c r="R730" s="13">
        <v>-238.29</v>
      </c>
      <c r="S730" s="72"/>
      <c r="T730" s="6"/>
      <c r="U730" s="164"/>
      <c r="V730" s="1"/>
      <c r="X730" s="101">
        <v>1</v>
      </c>
    </row>
    <row r="731" spans="2:24" hidden="1">
      <c r="B731" s="24">
        <v>46333.606249999997</v>
      </c>
      <c r="C731" s="24">
        <v>46216.544444444444</v>
      </c>
      <c r="D731" s="10" t="s">
        <v>24</v>
      </c>
      <c r="E731" s="10"/>
      <c r="F731" s="28">
        <v>46216</v>
      </c>
      <c r="G731" s="28" t="s">
        <v>633</v>
      </c>
      <c r="H731" s="20" t="s">
        <v>135</v>
      </c>
      <c r="I731" s="10" t="s">
        <v>1433</v>
      </c>
      <c r="J731" s="195">
        <v>80876884919</v>
      </c>
      <c r="K731" s="181" t="s">
        <v>1434</v>
      </c>
      <c r="L731" s="108">
        <v>22517754</v>
      </c>
      <c r="M731" s="36">
        <v>5219992964723</v>
      </c>
      <c r="N731" s="170" t="s">
        <v>98</v>
      </c>
      <c r="O731" s="49"/>
      <c r="P731" s="96"/>
      <c r="Q731" s="12">
        <v>0</v>
      </c>
      <c r="R731" s="12">
        <v>0</v>
      </c>
      <c r="S731" s="73"/>
      <c r="T731" s="10"/>
      <c r="U731" s="97"/>
      <c r="V731" s="1"/>
      <c r="X731" s="101">
        <v>0</v>
      </c>
    </row>
    <row r="732" spans="2:24" hidden="1">
      <c r="B732" s="6" t="s">
        <v>1435</v>
      </c>
      <c r="C732" s="23">
        <v>46216.555555555555</v>
      </c>
      <c r="D732" s="6" t="s">
        <v>24</v>
      </c>
      <c r="E732" s="6"/>
      <c r="F732" s="28">
        <v>46216</v>
      </c>
      <c r="G732" s="27">
        <v>46363</v>
      </c>
      <c r="H732" s="7" t="s">
        <v>107</v>
      </c>
      <c r="I732" s="6" t="s">
        <v>1436</v>
      </c>
      <c r="J732" s="196"/>
      <c r="K732" s="180" t="s">
        <v>1437</v>
      </c>
      <c r="L732" s="107">
        <v>22590514</v>
      </c>
      <c r="M732" s="37">
        <v>6681504270</v>
      </c>
      <c r="N732" s="169" t="s">
        <v>32</v>
      </c>
      <c r="O732" s="48">
        <v>4342.43</v>
      </c>
      <c r="P732" s="95">
        <v>848</v>
      </c>
      <c r="Q732" s="13">
        <v>1302.73</v>
      </c>
      <c r="R732" s="13">
        <v>-678.55</v>
      </c>
      <c r="S732" s="72"/>
      <c r="T732" s="6"/>
      <c r="U732" s="164"/>
      <c r="V732" s="1"/>
      <c r="X732" s="101">
        <v>1</v>
      </c>
    </row>
    <row r="733" spans="2:24" hidden="1">
      <c r="B733" s="10" t="s">
        <v>1438</v>
      </c>
      <c r="C733" s="24">
        <v>46216.561111111114</v>
      </c>
      <c r="D733" s="10" t="s">
        <v>24</v>
      </c>
      <c r="E733" s="10"/>
      <c r="F733" s="28">
        <v>46216</v>
      </c>
      <c r="G733" s="28">
        <v>46363</v>
      </c>
      <c r="H733" s="10" t="s">
        <v>160</v>
      </c>
      <c r="I733" s="10" t="s">
        <v>1439</v>
      </c>
      <c r="J733" s="195">
        <v>31946100356</v>
      </c>
      <c r="K733" s="181" t="s">
        <v>1440</v>
      </c>
      <c r="L733" s="108">
        <v>22612342</v>
      </c>
      <c r="M733" s="36">
        <v>5216565296926</v>
      </c>
      <c r="N733" s="170" t="s">
        <v>28</v>
      </c>
      <c r="O733" s="49">
        <v>10636.54</v>
      </c>
      <c r="P733" s="96"/>
      <c r="Q733" s="12">
        <v>3190.96</v>
      </c>
      <c r="R733" s="14">
        <v>3190.96</v>
      </c>
      <c r="S733" s="73"/>
      <c r="T733" s="10"/>
      <c r="U733" s="97"/>
      <c r="V733" s="1"/>
      <c r="X733" s="101">
        <v>1</v>
      </c>
    </row>
    <row r="734" spans="2:24" hidden="1">
      <c r="B734" s="6" t="s">
        <v>1441</v>
      </c>
      <c r="C734" s="23">
        <v>46216.561111111114</v>
      </c>
      <c r="D734" s="6" t="s">
        <v>24</v>
      </c>
      <c r="E734" s="6"/>
      <c r="F734" s="28">
        <v>46216</v>
      </c>
      <c r="G734" s="27" t="s">
        <v>633</v>
      </c>
      <c r="H734" s="6" t="s">
        <v>68</v>
      </c>
      <c r="I734" s="6" t="s">
        <v>1442</v>
      </c>
      <c r="J734" s="196">
        <v>43826202749</v>
      </c>
      <c r="K734" s="180" t="s">
        <v>1443</v>
      </c>
      <c r="L734" s="108">
        <v>22625730</v>
      </c>
      <c r="M734" s="37">
        <v>5218131378006</v>
      </c>
      <c r="N734" s="169" t="s">
        <v>37</v>
      </c>
      <c r="O734" s="48">
        <v>29192.93</v>
      </c>
      <c r="P734" s="95">
        <v>8757.6200000000008</v>
      </c>
      <c r="Q734" s="13">
        <v>8757.8799999999992</v>
      </c>
      <c r="R734" s="13">
        <v>0.26</v>
      </c>
      <c r="S734" s="72">
        <v>46391</v>
      </c>
      <c r="T734" s="6"/>
      <c r="U734" s="164"/>
      <c r="V734" s="1"/>
      <c r="X734" s="101">
        <v>2</v>
      </c>
    </row>
    <row r="735" spans="2:24" hidden="1">
      <c r="B735" s="10" t="s">
        <v>1444</v>
      </c>
      <c r="C735" s="24">
        <v>46216.563194444447</v>
      </c>
      <c r="D735" s="10" t="s">
        <v>24</v>
      </c>
      <c r="E735" s="10"/>
      <c r="F735" s="28">
        <v>46216</v>
      </c>
      <c r="G735" s="28">
        <v>46333</v>
      </c>
      <c r="H735" s="10" t="s">
        <v>145</v>
      </c>
      <c r="I735" s="10" t="s">
        <v>1445</v>
      </c>
      <c r="J735" s="199">
        <v>3967367370</v>
      </c>
      <c r="K735" s="181" t="s">
        <v>1446</v>
      </c>
      <c r="L735" s="108">
        <v>22582702</v>
      </c>
      <c r="M735" s="36">
        <v>5218110816915</v>
      </c>
      <c r="N735" s="170" t="s">
        <v>47</v>
      </c>
      <c r="O735" s="49">
        <v>4790.71</v>
      </c>
      <c r="P735" s="96"/>
      <c r="Q735" s="12">
        <v>1437.21</v>
      </c>
      <c r="R735" s="16">
        <v>617.73</v>
      </c>
      <c r="S735" s="73"/>
      <c r="T735" s="10"/>
      <c r="U735" s="97"/>
      <c r="V735" s="1"/>
      <c r="X735" s="101">
        <v>1</v>
      </c>
    </row>
    <row r="736" spans="2:24" hidden="1">
      <c r="B736" s="6" t="s">
        <v>1447</v>
      </c>
      <c r="C736" s="23">
        <v>46216.567361111112</v>
      </c>
      <c r="D736" s="6" t="s">
        <v>24</v>
      </c>
      <c r="E736" s="6"/>
      <c r="F736" s="28">
        <v>46216</v>
      </c>
      <c r="G736" s="27" t="s">
        <v>633</v>
      </c>
      <c r="H736" s="6" t="s">
        <v>61</v>
      </c>
      <c r="I736" s="6" t="s">
        <v>1448</v>
      </c>
      <c r="J736" s="196"/>
      <c r="K736" s="180" t="s">
        <v>1449</v>
      </c>
      <c r="L736" s="108">
        <v>22636776</v>
      </c>
      <c r="M736" s="37">
        <v>5213331721513</v>
      </c>
      <c r="N736" s="169" t="s">
        <v>37</v>
      </c>
      <c r="O736" s="48">
        <v>7116.73</v>
      </c>
      <c r="P736" s="95">
        <v>1974.7</v>
      </c>
      <c r="Q736" s="13">
        <v>2135.02</v>
      </c>
      <c r="R736" s="13">
        <v>160.32</v>
      </c>
      <c r="S736" s="72">
        <v>46296</v>
      </c>
      <c r="T736" s="6" t="s">
        <v>192</v>
      </c>
      <c r="U736" s="164"/>
      <c r="V736" s="1"/>
      <c r="X736" s="101">
        <v>2</v>
      </c>
    </row>
    <row r="737" spans="2:24" hidden="1">
      <c r="B737" s="10" t="s">
        <v>1450</v>
      </c>
      <c r="C737" s="24">
        <v>46216.575694444444</v>
      </c>
      <c r="D737" s="10" t="s">
        <v>24</v>
      </c>
      <c r="E737" s="10"/>
      <c r="F737" s="28">
        <v>46216</v>
      </c>
      <c r="G737" s="28">
        <v>46363</v>
      </c>
      <c r="H737" s="15" t="s">
        <v>110</v>
      </c>
      <c r="I737" s="10" t="s">
        <v>1451</v>
      </c>
      <c r="J737" s="195">
        <v>49735737204</v>
      </c>
      <c r="K737" s="181"/>
      <c r="L737" s="108">
        <v>22599030</v>
      </c>
      <c r="M737" s="36">
        <v>5218311183057</v>
      </c>
      <c r="N737" s="170" t="s">
        <v>37</v>
      </c>
      <c r="O737" s="49">
        <v>7920.51</v>
      </c>
      <c r="P737" s="96">
        <v>2375</v>
      </c>
      <c r="Q737" s="12">
        <v>2376.15</v>
      </c>
      <c r="R737" s="12">
        <v>1.1499999999999999</v>
      </c>
      <c r="S737" s="73">
        <v>46758</v>
      </c>
      <c r="T737" s="10"/>
      <c r="U737" s="97"/>
      <c r="V737" s="1"/>
      <c r="X737" s="101">
        <v>2</v>
      </c>
    </row>
    <row r="738" spans="2:24" hidden="1">
      <c r="B738" s="6" t="s">
        <v>1452</v>
      </c>
      <c r="C738" s="23">
        <v>46216.581944444442</v>
      </c>
      <c r="D738" s="6" t="s">
        <v>24</v>
      </c>
      <c r="E738" s="6"/>
      <c r="F738" s="28">
        <v>46216</v>
      </c>
      <c r="G738" s="27" t="s">
        <v>633</v>
      </c>
      <c r="H738" s="6" t="s">
        <v>103</v>
      </c>
      <c r="I738" s="6" t="s">
        <v>684</v>
      </c>
      <c r="J738" s="206">
        <v>11664945026</v>
      </c>
      <c r="K738" s="180"/>
      <c r="L738" s="109">
        <v>1</v>
      </c>
      <c r="M738" s="37">
        <v>5540443030</v>
      </c>
      <c r="N738" s="169" t="s">
        <v>32</v>
      </c>
      <c r="O738" s="48">
        <v>3904.19</v>
      </c>
      <c r="P738" s="95"/>
      <c r="Q738" s="13">
        <v>1171.26</v>
      </c>
      <c r="R738" s="13">
        <v>0</v>
      </c>
      <c r="S738" s="72"/>
      <c r="T738" s="6"/>
      <c r="U738" s="164"/>
      <c r="V738" s="1"/>
      <c r="X738" s="101">
        <v>1</v>
      </c>
    </row>
    <row r="739" spans="2:24" hidden="1">
      <c r="B739" s="10" t="s">
        <v>1453</v>
      </c>
      <c r="C739" s="24">
        <v>46216.583333333336</v>
      </c>
      <c r="D739" s="10" t="s">
        <v>24</v>
      </c>
      <c r="E739" s="10"/>
      <c r="F739" s="28">
        <v>46216</v>
      </c>
      <c r="G739" s="28">
        <v>46363</v>
      </c>
      <c r="H739" s="15" t="s">
        <v>26</v>
      </c>
      <c r="I739" s="10"/>
      <c r="J739" s="195">
        <v>33816740873</v>
      </c>
      <c r="K739" s="179" t="s">
        <v>1454</v>
      </c>
      <c r="L739" s="108">
        <v>22560634</v>
      </c>
      <c r="M739" s="40">
        <v>5216143703372</v>
      </c>
      <c r="N739" s="170" t="s">
        <v>263</v>
      </c>
      <c r="O739" s="49">
        <v>5056.32</v>
      </c>
      <c r="P739" s="96">
        <v>1239.72</v>
      </c>
      <c r="Q739" s="12">
        <v>1516.9</v>
      </c>
      <c r="R739" s="12">
        <v>-356.38</v>
      </c>
      <c r="S739" s="73">
        <v>46508</v>
      </c>
      <c r="T739" s="10" t="s">
        <v>178</v>
      </c>
      <c r="U739" s="97"/>
      <c r="V739" s="1"/>
      <c r="X739" s="101">
        <v>2</v>
      </c>
    </row>
    <row r="740" spans="2:24" hidden="1">
      <c r="B740" s="6" t="s">
        <v>1455</v>
      </c>
      <c r="C740" s="23">
        <v>46216.585416666669</v>
      </c>
      <c r="D740" s="6" t="s">
        <v>24</v>
      </c>
      <c r="E740" s="6"/>
      <c r="F740" s="28">
        <v>46216</v>
      </c>
      <c r="G740" s="27" t="s">
        <v>633</v>
      </c>
      <c r="H740" s="6" t="s">
        <v>81</v>
      </c>
      <c r="I740" s="6" t="s">
        <v>1456</v>
      </c>
      <c r="J740" s="196">
        <v>33793902868</v>
      </c>
      <c r="K740" s="180" t="s">
        <v>1457</v>
      </c>
      <c r="L740" s="108">
        <v>22636074</v>
      </c>
      <c r="M740" s="37">
        <v>5216351201201</v>
      </c>
      <c r="N740" s="169" t="s">
        <v>37</v>
      </c>
      <c r="O740" s="48">
        <v>6924.25</v>
      </c>
      <c r="P740" s="95">
        <v>2003.36</v>
      </c>
      <c r="Q740" s="13">
        <v>2077.2800000000002</v>
      </c>
      <c r="R740" s="13">
        <v>73.92</v>
      </c>
      <c r="S740" s="72">
        <v>46393</v>
      </c>
      <c r="T740" s="6"/>
      <c r="U740" s="164"/>
      <c r="V740" s="1"/>
      <c r="X740" s="101">
        <v>2</v>
      </c>
    </row>
    <row r="741" spans="2:24" hidden="1">
      <c r="B741" s="10" t="s">
        <v>1458</v>
      </c>
      <c r="C741" s="24">
        <v>46216.597222222219</v>
      </c>
      <c r="D741" s="10" t="s">
        <v>24</v>
      </c>
      <c r="E741" s="10"/>
      <c r="F741" s="28">
        <v>46216</v>
      </c>
      <c r="G741" s="28">
        <v>46333</v>
      </c>
      <c r="H741" s="10" t="s">
        <v>61</v>
      </c>
      <c r="I741" s="10" t="s">
        <v>1459</v>
      </c>
      <c r="J741" s="195"/>
      <c r="K741" s="181" t="s">
        <v>1460</v>
      </c>
      <c r="L741" s="108">
        <v>22582052</v>
      </c>
      <c r="M741" s="36">
        <v>5214494332732</v>
      </c>
      <c r="N741" s="170" t="s">
        <v>28</v>
      </c>
      <c r="O741" s="49">
        <v>10171.24</v>
      </c>
      <c r="P741" s="96"/>
      <c r="Q741" s="12">
        <v>3051.37</v>
      </c>
      <c r="R741" s="14">
        <v>3051.37</v>
      </c>
      <c r="S741" s="73"/>
      <c r="T741" s="10"/>
      <c r="U741" s="97"/>
      <c r="V741" s="1"/>
      <c r="X741" s="101">
        <v>1</v>
      </c>
    </row>
    <row r="742" spans="2:24" hidden="1">
      <c r="B742" s="6" t="s">
        <v>1461</v>
      </c>
      <c r="C742" s="23">
        <v>46216.602083333331</v>
      </c>
      <c r="D742" s="6" t="s">
        <v>24</v>
      </c>
      <c r="E742" s="6"/>
      <c r="F742" s="28">
        <v>46216</v>
      </c>
      <c r="G742" s="27">
        <v>46363</v>
      </c>
      <c r="H742" s="6" t="s">
        <v>124</v>
      </c>
      <c r="I742" s="6" t="s">
        <v>1462</v>
      </c>
      <c r="J742" s="196">
        <v>43816406508</v>
      </c>
      <c r="K742" s="180"/>
      <c r="L742" s="107">
        <v>22613374</v>
      </c>
      <c r="M742" s="37">
        <v>5218132765449</v>
      </c>
      <c r="N742" s="169" t="s">
        <v>74</v>
      </c>
      <c r="O742" s="48"/>
      <c r="P742" s="95"/>
      <c r="Q742" s="13">
        <v>0</v>
      </c>
      <c r="R742" s="13">
        <v>0</v>
      </c>
      <c r="S742" s="72"/>
      <c r="T742" s="6"/>
      <c r="U742" s="164"/>
      <c r="V742" s="1"/>
      <c r="X742" s="101">
        <v>1</v>
      </c>
    </row>
    <row r="743" spans="2:24" hidden="1">
      <c r="B743" s="10" t="s">
        <v>1463</v>
      </c>
      <c r="C743" s="24">
        <v>46216.606249999997</v>
      </c>
      <c r="D743" s="10" t="s">
        <v>24</v>
      </c>
      <c r="E743" s="10"/>
      <c r="F743" s="28">
        <v>46216</v>
      </c>
      <c r="G743" s="28">
        <v>46363</v>
      </c>
      <c r="H743" s="10" t="s">
        <v>78</v>
      </c>
      <c r="I743" s="10" t="s">
        <v>1464</v>
      </c>
      <c r="J743" s="195">
        <v>23765406618</v>
      </c>
      <c r="K743" s="181" t="s">
        <v>1465</v>
      </c>
      <c r="L743" s="108">
        <v>22611264</v>
      </c>
      <c r="M743" s="36">
        <v>5216676958870</v>
      </c>
      <c r="N743" s="170" t="s">
        <v>130</v>
      </c>
      <c r="O743" s="49">
        <v>4807.78</v>
      </c>
      <c r="P743" s="96">
        <v>587.46</v>
      </c>
      <c r="Q743" s="12">
        <v>1442.33</v>
      </c>
      <c r="R743" s="12">
        <v>47.34</v>
      </c>
      <c r="S743" s="73">
        <v>46028</v>
      </c>
      <c r="T743" s="10"/>
      <c r="U743" s="97"/>
      <c r="V743" s="1"/>
      <c r="X743" s="101">
        <v>2</v>
      </c>
    </row>
    <row r="744" spans="2:24" hidden="1">
      <c r="B744" s="6" t="s">
        <v>1463</v>
      </c>
      <c r="C744" s="23">
        <v>46216.606249999997</v>
      </c>
      <c r="D744" s="6" t="s">
        <v>24</v>
      </c>
      <c r="E744" s="6"/>
      <c r="F744" s="28">
        <v>46216</v>
      </c>
      <c r="G744" s="27">
        <v>46363</v>
      </c>
      <c r="H744" s="6" t="s">
        <v>78</v>
      </c>
      <c r="I744" s="6" t="s">
        <v>1466</v>
      </c>
      <c r="J744" s="196">
        <v>19805608148</v>
      </c>
      <c r="K744" s="180" t="s">
        <v>1467</v>
      </c>
      <c r="L744" s="108">
        <v>22609052</v>
      </c>
      <c r="M744" s="37">
        <v>5219999000191</v>
      </c>
      <c r="N744" s="169" t="s">
        <v>37</v>
      </c>
      <c r="O744" s="48">
        <v>56712.3</v>
      </c>
      <c r="P744" s="95">
        <v>17013.689999999999</v>
      </c>
      <c r="Q744" s="13">
        <v>17013.689999999999</v>
      </c>
      <c r="R744" s="13">
        <v>0</v>
      </c>
      <c r="S744" s="72">
        <v>46266</v>
      </c>
      <c r="T744" s="6"/>
      <c r="U744" s="164"/>
      <c r="V744" s="1"/>
      <c r="X744" s="101">
        <v>2</v>
      </c>
    </row>
    <row r="745" spans="2:24" hidden="1">
      <c r="B745" s="10" t="s">
        <v>1468</v>
      </c>
      <c r="C745" s="24">
        <v>46216.609027777777</v>
      </c>
      <c r="D745" s="10" t="s">
        <v>24</v>
      </c>
      <c r="E745" s="10"/>
      <c r="F745" s="28">
        <v>46216</v>
      </c>
      <c r="G745" s="28" t="s">
        <v>633</v>
      </c>
      <c r="H745" s="10" t="s">
        <v>39</v>
      </c>
      <c r="I745" s="10" t="s">
        <v>1469</v>
      </c>
      <c r="J745" s="195">
        <v>12927529763</v>
      </c>
      <c r="K745" s="181" t="s">
        <v>1470</v>
      </c>
      <c r="L745" s="108">
        <v>22626730</v>
      </c>
      <c r="M745" s="36">
        <v>5214772863829</v>
      </c>
      <c r="N745" s="170" t="s">
        <v>37</v>
      </c>
      <c r="O745" s="49">
        <v>5636.59</v>
      </c>
      <c r="P745" s="96">
        <v>1617.42</v>
      </c>
      <c r="Q745" s="12">
        <v>1690.98</v>
      </c>
      <c r="R745" s="12">
        <v>-153.81</v>
      </c>
      <c r="S745" s="73">
        <v>46393</v>
      </c>
      <c r="T745" s="10" t="s">
        <v>192</v>
      </c>
      <c r="U745" s="97"/>
      <c r="V745" s="1"/>
      <c r="X745" s="101">
        <v>2</v>
      </c>
    </row>
    <row r="746" spans="2:24" hidden="1">
      <c r="B746" s="6" t="s">
        <v>1471</v>
      </c>
      <c r="C746" s="23">
        <v>46216.613194444442</v>
      </c>
      <c r="D746" s="6" t="s">
        <v>24</v>
      </c>
      <c r="E746" s="6"/>
      <c r="F746" s="28">
        <v>46216</v>
      </c>
      <c r="G746" s="27" t="s">
        <v>633</v>
      </c>
      <c r="H746" s="6" t="s">
        <v>61</v>
      </c>
      <c r="I746" s="6" t="s">
        <v>1472</v>
      </c>
      <c r="J746" s="196"/>
      <c r="K746" s="180" t="s">
        <v>1473</v>
      </c>
      <c r="L746" s="108">
        <v>22640018</v>
      </c>
      <c r="M746" s="37">
        <v>5215533265050</v>
      </c>
      <c r="N746" s="169" t="s">
        <v>37</v>
      </c>
      <c r="O746" s="48">
        <v>10636.54</v>
      </c>
      <c r="P746" s="95">
        <v>3189.2</v>
      </c>
      <c r="Q746" s="13">
        <v>3190.96</v>
      </c>
      <c r="R746" s="13">
        <v>1.76</v>
      </c>
      <c r="S746" s="72">
        <v>46758</v>
      </c>
      <c r="T746" s="6"/>
      <c r="U746" s="164"/>
      <c r="V746" s="1"/>
      <c r="X746" s="101">
        <v>2</v>
      </c>
    </row>
    <row r="747" spans="2:24" hidden="1">
      <c r="B747" s="10" t="s">
        <v>1474</v>
      </c>
      <c r="C747" s="24">
        <v>46216.613888888889</v>
      </c>
      <c r="D747" s="10" t="s">
        <v>24</v>
      </c>
      <c r="E747" s="10"/>
      <c r="F747" s="28">
        <v>46216</v>
      </c>
      <c r="G747" s="28" t="s">
        <v>633</v>
      </c>
      <c r="H747" s="10" t="s">
        <v>124</v>
      </c>
      <c r="I747" s="10" t="s">
        <v>1475</v>
      </c>
      <c r="J747" s="195">
        <v>72765904460</v>
      </c>
      <c r="K747" s="181" t="s">
        <v>1476</v>
      </c>
      <c r="L747" s="108">
        <v>22623106</v>
      </c>
      <c r="M747" s="36">
        <v>5217443350550</v>
      </c>
      <c r="N747" s="170" t="s">
        <v>37</v>
      </c>
      <c r="O747" s="49">
        <v>9081.52</v>
      </c>
      <c r="P747" s="96">
        <v>2519.08</v>
      </c>
      <c r="Q747" s="12">
        <v>2724.46</v>
      </c>
      <c r="R747" s="12">
        <v>205.38</v>
      </c>
      <c r="S747" s="73">
        <v>46389</v>
      </c>
      <c r="T747" s="10"/>
      <c r="U747" s="97"/>
      <c r="V747" s="1"/>
      <c r="X747" s="101">
        <v>2</v>
      </c>
    </row>
    <row r="748" spans="2:24" hidden="1">
      <c r="B748" s="6" t="s">
        <v>1477</v>
      </c>
      <c r="C748" s="23">
        <v>46216.613888888889</v>
      </c>
      <c r="D748" s="6" t="s">
        <v>24</v>
      </c>
      <c r="E748" s="6"/>
      <c r="F748" s="28">
        <v>46216</v>
      </c>
      <c r="G748" s="27">
        <v>46363</v>
      </c>
      <c r="H748" s="18" t="s">
        <v>170</v>
      </c>
      <c r="I748" s="6" t="s">
        <v>1478</v>
      </c>
      <c r="J748" s="196">
        <v>53887002698</v>
      </c>
      <c r="K748" s="180"/>
      <c r="L748" s="108">
        <v>22594630</v>
      </c>
      <c r="M748" s="37">
        <v>5214581295663</v>
      </c>
      <c r="N748" s="169" t="s">
        <v>37</v>
      </c>
      <c r="O748" s="48">
        <v>6941.78</v>
      </c>
      <c r="P748" s="95">
        <v>1926.9</v>
      </c>
      <c r="Q748" s="13">
        <v>2082.5300000000002</v>
      </c>
      <c r="R748" s="13">
        <v>155.63</v>
      </c>
      <c r="S748" s="72">
        <v>46235</v>
      </c>
      <c r="T748" s="6"/>
      <c r="U748" s="164"/>
      <c r="V748" s="1"/>
      <c r="X748" s="101">
        <v>2</v>
      </c>
    </row>
    <row r="749" spans="2:24" hidden="1">
      <c r="B749" s="10" t="s">
        <v>1479</v>
      </c>
      <c r="C749" s="24">
        <v>46216.614583333336</v>
      </c>
      <c r="D749" s="10" t="s">
        <v>24</v>
      </c>
      <c r="E749" s="10"/>
      <c r="F749" s="28">
        <v>46216</v>
      </c>
      <c r="G749" s="28">
        <v>46333</v>
      </c>
      <c r="H749" s="161" t="s">
        <v>170</v>
      </c>
      <c r="I749" s="10" t="s">
        <v>1480</v>
      </c>
      <c r="J749" s="195"/>
      <c r="K749" s="181" t="s">
        <v>1481</v>
      </c>
      <c r="L749" s="108">
        <v>22568646</v>
      </c>
      <c r="M749" s="36">
        <v>5212281289385</v>
      </c>
      <c r="N749" s="170" t="s">
        <v>28</v>
      </c>
      <c r="O749" s="49">
        <v>16658.41</v>
      </c>
      <c r="P749" s="96"/>
      <c r="Q749" s="12">
        <v>4997.5200000000004</v>
      </c>
      <c r="R749" s="14">
        <v>4997.5200000000004</v>
      </c>
      <c r="S749" s="73"/>
      <c r="T749" s="10"/>
      <c r="U749" s="97"/>
      <c r="V749" s="1"/>
      <c r="X749" s="101">
        <v>1</v>
      </c>
    </row>
    <row r="750" spans="2:24" hidden="1">
      <c r="B750" s="6" t="s">
        <v>1479</v>
      </c>
      <c r="C750" s="23">
        <v>46216.621527777781</v>
      </c>
      <c r="D750" s="6" t="s">
        <v>24</v>
      </c>
      <c r="E750" s="6"/>
      <c r="F750" s="28">
        <v>46216</v>
      </c>
      <c r="G750" s="27" t="s">
        <v>633</v>
      </c>
      <c r="H750" s="6" t="s">
        <v>124</v>
      </c>
      <c r="I750" s="6" t="s">
        <v>1482</v>
      </c>
      <c r="J750" s="196">
        <v>16927260022</v>
      </c>
      <c r="K750" s="180" t="s">
        <v>1483</v>
      </c>
      <c r="L750" s="107">
        <v>22618100</v>
      </c>
      <c r="M750" s="37">
        <v>5215524225515</v>
      </c>
      <c r="N750" s="169" t="s">
        <v>32</v>
      </c>
      <c r="O750" s="48">
        <v>908.94</v>
      </c>
      <c r="P750" s="95"/>
      <c r="Q750" s="13">
        <v>272.68</v>
      </c>
      <c r="R750" s="13">
        <v>0</v>
      </c>
      <c r="S750" s="72"/>
      <c r="T750" s="6"/>
      <c r="U750" s="164"/>
      <c r="V750" s="1"/>
      <c r="X750" s="101">
        <v>1</v>
      </c>
    </row>
    <row r="751" spans="2:24" hidden="1">
      <c r="B751" s="10" t="s">
        <v>1484</v>
      </c>
      <c r="C751" s="24">
        <v>46216.62777777778</v>
      </c>
      <c r="D751" s="10" t="s">
        <v>24</v>
      </c>
      <c r="E751" s="10"/>
      <c r="F751" s="28">
        <v>46216</v>
      </c>
      <c r="G751" s="28" t="s">
        <v>633</v>
      </c>
      <c r="H751" s="10" t="s">
        <v>68</v>
      </c>
      <c r="I751" s="10" t="s">
        <v>1485</v>
      </c>
      <c r="J751" s="195">
        <v>49755731889</v>
      </c>
      <c r="K751" s="181" t="s">
        <v>1486</v>
      </c>
      <c r="L751" s="108">
        <v>22637420</v>
      </c>
      <c r="M751" s="36">
        <v>5218332348109</v>
      </c>
      <c r="N751" s="170" t="s">
        <v>37</v>
      </c>
      <c r="O751" s="49">
        <v>5636.59</v>
      </c>
      <c r="P751" s="96">
        <v>1630.8</v>
      </c>
      <c r="Q751" s="12">
        <v>1690.98</v>
      </c>
      <c r="R751" s="12">
        <v>-167.19</v>
      </c>
      <c r="S751" s="73">
        <v>46389</v>
      </c>
      <c r="T751" s="10"/>
      <c r="U751" s="97"/>
      <c r="V751" s="1"/>
      <c r="X751" s="101">
        <v>2</v>
      </c>
    </row>
    <row r="752" spans="2:24" hidden="1">
      <c r="B752" s="6" t="s">
        <v>1487</v>
      </c>
      <c r="C752" s="23">
        <v>46216.631944444445</v>
      </c>
      <c r="D752" s="6" t="s">
        <v>24</v>
      </c>
      <c r="E752" s="6"/>
      <c r="F752" s="28">
        <v>46216</v>
      </c>
      <c r="G752" s="27" t="s">
        <v>633</v>
      </c>
      <c r="H752" s="6" t="s">
        <v>93</v>
      </c>
      <c r="I752" s="6" t="s">
        <v>1488</v>
      </c>
      <c r="J752" s="196"/>
      <c r="K752" s="180" t="s">
        <v>1489</v>
      </c>
      <c r="L752" s="108">
        <v>22634248</v>
      </c>
      <c r="M752" s="37">
        <v>5214494485496</v>
      </c>
      <c r="N752" s="169" t="s">
        <v>37</v>
      </c>
      <c r="O752" s="48">
        <v>10636.54</v>
      </c>
      <c r="P752" s="95">
        <v>3174.48</v>
      </c>
      <c r="Q752" s="13">
        <v>3190.96</v>
      </c>
      <c r="R752" s="13">
        <v>16.48</v>
      </c>
      <c r="S752" s="72">
        <v>46757</v>
      </c>
      <c r="T752" s="6"/>
      <c r="U752" s="164"/>
      <c r="V752" s="1"/>
      <c r="X752" s="101">
        <v>2</v>
      </c>
    </row>
    <row r="753" spans="2:24" hidden="1">
      <c r="B753" s="10" t="s">
        <v>1490</v>
      </c>
      <c r="C753" s="24">
        <v>46216.636111111111</v>
      </c>
      <c r="D753" s="10" t="s">
        <v>24</v>
      </c>
      <c r="E753" s="10"/>
      <c r="F753" s="28">
        <v>46216</v>
      </c>
      <c r="G753" s="28" t="s">
        <v>633</v>
      </c>
      <c r="H753" s="10" t="s">
        <v>61</v>
      </c>
      <c r="I753" s="10" t="s">
        <v>1491</v>
      </c>
      <c r="J753" s="195"/>
      <c r="K753" s="181" t="s">
        <v>1492</v>
      </c>
      <c r="L753" s="108">
        <v>22636648</v>
      </c>
      <c r="M753" s="36">
        <v>5214778903119</v>
      </c>
      <c r="N753" s="170" t="s">
        <v>106</v>
      </c>
      <c r="O753" s="49">
        <v>7116.73</v>
      </c>
      <c r="P753" s="96">
        <v>1859.05</v>
      </c>
      <c r="Q753" s="12">
        <v>2135.02</v>
      </c>
      <c r="R753" s="12">
        <v>275.97000000000003</v>
      </c>
      <c r="S753" s="73">
        <v>46024</v>
      </c>
      <c r="T753" s="10"/>
      <c r="U753" s="97"/>
      <c r="V753" s="1"/>
      <c r="X753" s="101">
        <v>2</v>
      </c>
    </row>
    <row r="754" spans="2:24" hidden="1">
      <c r="B754" s="6" t="s">
        <v>1493</v>
      </c>
      <c r="C754" s="23">
        <v>46216.648611111108</v>
      </c>
      <c r="D754" s="6" t="s">
        <v>24</v>
      </c>
      <c r="E754" s="6"/>
      <c r="F754" s="28">
        <v>46216</v>
      </c>
      <c r="G754" s="27" t="s">
        <v>633</v>
      </c>
      <c r="H754" s="10" t="s">
        <v>68</v>
      </c>
      <c r="I754" s="6" t="s">
        <v>1494</v>
      </c>
      <c r="J754" s="196">
        <v>6805710594</v>
      </c>
      <c r="K754" s="180" t="s">
        <v>1495</v>
      </c>
      <c r="L754" s="107">
        <v>22655130</v>
      </c>
      <c r="M754" s="37">
        <v>5216632109315</v>
      </c>
      <c r="N754" s="169" t="s">
        <v>106</v>
      </c>
      <c r="O754" s="48">
        <v>7116.73</v>
      </c>
      <c r="P754" s="95">
        <v>1968.44</v>
      </c>
      <c r="Q754" s="13">
        <v>2135.02</v>
      </c>
      <c r="R754" s="13">
        <v>166.58</v>
      </c>
      <c r="S754" s="72">
        <v>46028</v>
      </c>
      <c r="T754" s="6"/>
      <c r="U754" s="164"/>
      <c r="V754" s="1"/>
      <c r="X754" s="101">
        <v>2</v>
      </c>
    </row>
    <row r="755" spans="2:24" hidden="1">
      <c r="B755" s="10" t="s">
        <v>1496</v>
      </c>
      <c r="C755" s="24">
        <v>46216.65347222222</v>
      </c>
      <c r="D755" s="10" t="s">
        <v>24</v>
      </c>
      <c r="E755" s="10"/>
      <c r="F755" s="28">
        <v>46216</v>
      </c>
      <c r="G755" s="28" t="s">
        <v>633</v>
      </c>
      <c r="H755" s="10" t="s">
        <v>68</v>
      </c>
      <c r="I755" s="10"/>
      <c r="J755" s="195">
        <v>32806267855</v>
      </c>
      <c r="K755" s="181"/>
      <c r="L755" s="108">
        <v>22640684</v>
      </c>
      <c r="M755" s="36">
        <v>5218441039950</v>
      </c>
      <c r="N755" s="170" t="s">
        <v>28</v>
      </c>
      <c r="O755" s="49">
        <v>6474.77</v>
      </c>
      <c r="P755" s="96"/>
      <c r="Q755" s="12">
        <v>1942.43</v>
      </c>
      <c r="R755" s="14">
        <v>1942.43</v>
      </c>
      <c r="S755" s="73"/>
      <c r="T755" s="10"/>
      <c r="U755" s="97"/>
      <c r="V755" s="1"/>
      <c r="X755" s="101">
        <v>1</v>
      </c>
    </row>
    <row r="756" spans="2:24" hidden="1">
      <c r="B756" s="6" t="s">
        <v>1497</v>
      </c>
      <c r="C756" s="23">
        <v>46216.654861111114</v>
      </c>
      <c r="D756" s="6" t="s">
        <v>24</v>
      </c>
      <c r="E756" s="6"/>
      <c r="F756" s="28">
        <v>46216</v>
      </c>
      <c r="G756" s="27">
        <v>46302</v>
      </c>
      <c r="H756" s="7" t="s">
        <v>26</v>
      </c>
      <c r="I756" s="6" t="s">
        <v>1498</v>
      </c>
      <c r="J756" s="196">
        <v>33885677813</v>
      </c>
      <c r="K756" s="183" t="s">
        <v>1454</v>
      </c>
      <c r="L756" s="108">
        <v>22560634</v>
      </c>
      <c r="M756" s="38">
        <v>5216143703372</v>
      </c>
      <c r="N756" s="169" t="s">
        <v>37</v>
      </c>
      <c r="O756" s="48">
        <v>7135.6</v>
      </c>
      <c r="P756" s="95">
        <v>2062.5</v>
      </c>
      <c r="Q756" s="13">
        <v>2140.6799999999998</v>
      </c>
      <c r="R756" s="13">
        <v>78.180000000000007</v>
      </c>
      <c r="S756" s="72">
        <v>46392</v>
      </c>
      <c r="T756" s="6" t="s">
        <v>178</v>
      </c>
      <c r="U756" s="164"/>
      <c r="V756" s="1"/>
      <c r="X756" s="101">
        <v>2</v>
      </c>
    </row>
    <row r="757" spans="2:24" hidden="1">
      <c r="B757" s="10" t="s">
        <v>1499</v>
      </c>
      <c r="C757" s="24">
        <v>46216.65902777778</v>
      </c>
      <c r="D757" s="10" t="s">
        <v>24</v>
      </c>
      <c r="E757" s="10"/>
      <c r="F757" s="28">
        <v>46216</v>
      </c>
      <c r="G757" s="28" t="s">
        <v>633</v>
      </c>
      <c r="H757" s="10" t="s">
        <v>61</v>
      </c>
      <c r="I757" s="10" t="s">
        <v>1500</v>
      </c>
      <c r="J757" s="195"/>
      <c r="K757" s="181" t="s">
        <v>1501</v>
      </c>
      <c r="L757" s="108">
        <v>22640350</v>
      </c>
      <c r="M757" s="36">
        <v>5217531157241</v>
      </c>
      <c r="N757" s="170" t="s">
        <v>28</v>
      </c>
      <c r="O757" s="49">
        <v>21658.36</v>
      </c>
      <c r="P757" s="96">
        <v>5197.3599999999997</v>
      </c>
      <c r="Q757" s="12">
        <v>6497.51</v>
      </c>
      <c r="R757" s="14">
        <v>1300.1500000000001</v>
      </c>
      <c r="S757" s="73">
        <v>46033</v>
      </c>
      <c r="T757" s="10"/>
      <c r="U757" s="97"/>
      <c r="V757" s="1"/>
      <c r="X757" s="101">
        <v>2</v>
      </c>
    </row>
    <row r="758" spans="2:24" hidden="1">
      <c r="B758" s="6" t="s">
        <v>1502</v>
      </c>
      <c r="C758" s="23">
        <v>46216.659722222219</v>
      </c>
      <c r="D758" s="6" t="s">
        <v>24</v>
      </c>
      <c r="E758" s="6"/>
      <c r="F758" s="28">
        <v>46216</v>
      </c>
      <c r="G758" s="27" t="s">
        <v>633</v>
      </c>
      <c r="H758" s="6" t="s">
        <v>78</v>
      </c>
      <c r="I758" s="6" t="s">
        <v>1503</v>
      </c>
      <c r="J758" s="196">
        <v>3185500291</v>
      </c>
      <c r="K758" s="180" t="s">
        <v>1504</v>
      </c>
      <c r="L758" s="107">
        <v>22614812</v>
      </c>
      <c r="M758" s="37">
        <v>5216741098699</v>
      </c>
      <c r="N758" s="169" t="s">
        <v>235</v>
      </c>
      <c r="O758" s="48">
        <v>74.3</v>
      </c>
      <c r="P758" s="95"/>
      <c r="Q758" s="13">
        <v>22.29</v>
      </c>
      <c r="R758" s="13">
        <v>0</v>
      </c>
      <c r="S758" s="72"/>
      <c r="T758" s="6"/>
      <c r="U758" s="164"/>
      <c r="V758" s="1"/>
      <c r="X758" s="101">
        <v>1</v>
      </c>
    </row>
    <row r="759" spans="2:24" hidden="1">
      <c r="B759" s="10" t="s">
        <v>1505</v>
      </c>
      <c r="C759" s="24">
        <v>46216.667361111111</v>
      </c>
      <c r="D759" s="10" t="s">
        <v>24</v>
      </c>
      <c r="E759" s="10"/>
      <c r="F759" s="28">
        <v>46216</v>
      </c>
      <c r="G759" s="28" t="s">
        <v>633</v>
      </c>
      <c r="H759" s="10" t="s">
        <v>39</v>
      </c>
      <c r="I759" s="10" t="s">
        <v>1506</v>
      </c>
      <c r="J759" s="193">
        <v>67957353732</v>
      </c>
      <c r="K759" s="181" t="s">
        <v>1507</v>
      </c>
      <c r="L759" s="108">
        <v>22609158</v>
      </c>
      <c r="M759" s="36">
        <v>5219681153922</v>
      </c>
      <c r="N759" s="170" t="s">
        <v>98</v>
      </c>
      <c r="O759" s="49"/>
      <c r="P759" s="96"/>
      <c r="Q759" s="12">
        <v>0</v>
      </c>
      <c r="R759" s="12">
        <v>0</v>
      </c>
      <c r="S759" s="73"/>
      <c r="T759" s="10"/>
      <c r="U759" s="97"/>
      <c r="V759" s="1"/>
      <c r="X759" s="101">
        <v>0</v>
      </c>
    </row>
    <row r="760" spans="2:24" hidden="1">
      <c r="B760" s="6" t="s">
        <v>1497</v>
      </c>
      <c r="C760" s="23">
        <v>46216.668749999997</v>
      </c>
      <c r="D760" s="6" t="s">
        <v>24</v>
      </c>
      <c r="E760" s="6"/>
      <c r="F760" s="28">
        <v>46216</v>
      </c>
      <c r="G760" s="27" t="s">
        <v>633</v>
      </c>
      <c r="H760" s="10" t="s">
        <v>68</v>
      </c>
      <c r="I760" s="6" t="s">
        <v>1508</v>
      </c>
      <c r="J760" s="196"/>
      <c r="K760" s="180" t="s">
        <v>1509</v>
      </c>
      <c r="L760" s="107">
        <v>22638868</v>
      </c>
      <c r="M760" s="37">
        <v>5218130826424</v>
      </c>
      <c r="N760" s="169" t="s">
        <v>28</v>
      </c>
      <c r="O760" s="48">
        <v>7920.51</v>
      </c>
      <c r="P760" s="95"/>
      <c r="Q760" s="13">
        <v>2376.15</v>
      </c>
      <c r="R760" s="9">
        <v>2376.15</v>
      </c>
      <c r="S760" s="72"/>
      <c r="T760" s="6"/>
      <c r="U760" s="164"/>
      <c r="V760" s="1"/>
      <c r="X760" s="101">
        <v>1</v>
      </c>
    </row>
    <row r="761" spans="2:24" hidden="1">
      <c r="B761" s="10" t="s">
        <v>1510</v>
      </c>
      <c r="C761" s="24">
        <v>46216.668749999997</v>
      </c>
      <c r="D761" s="10" t="s">
        <v>24</v>
      </c>
      <c r="E761" s="10"/>
      <c r="F761" s="28">
        <v>46216</v>
      </c>
      <c r="G761" s="28" t="s">
        <v>633</v>
      </c>
      <c r="H761" s="10" t="s">
        <v>160</v>
      </c>
      <c r="I761" s="10" t="s">
        <v>1511</v>
      </c>
      <c r="J761" s="195">
        <v>43735122301</v>
      </c>
      <c r="K761" s="181" t="s">
        <v>1512</v>
      </c>
      <c r="L761" s="108">
        <v>22616442</v>
      </c>
      <c r="M761" s="36">
        <v>5218112557015</v>
      </c>
      <c r="N761" s="170" t="s">
        <v>37</v>
      </c>
      <c r="O761" s="49">
        <v>35943.760000000002</v>
      </c>
      <c r="P761" s="96">
        <v>10782.68</v>
      </c>
      <c r="Q761" s="12">
        <v>10783.13</v>
      </c>
      <c r="R761" s="12">
        <v>0.45</v>
      </c>
      <c r="S761" s="73">
        <v>46389</v>
      </c>
      <c r="T761" s="10"/>
      <c r="U761" s="97"/>
      <c r="V761" s="1"/>
      <c r="X761" s="101">
        <v>2</v>
      </c>
    </row>
    <row r="762" spans="2:24" hidden="1">
      <c r="B762" s="6" t="s">
        <v>1513</v>
      </c>
      <c r="C762" s="23">
        <v>46216.674305555556</v>
      </c>
      <c r="D762" s="6" t="s">
        <v>24</v>
      </c>
      <c r="E762" s="6"/>
      <c r="F762" s="28">
        <v>46216</v>
      </c>
      <c r="G762" s="27" t="s">
        <v>633</v>
      </c>
      <c r="H762" s="6" t="s">
        <v>61</v>
      </c>
      <c r="I762" s="6" t="s">
        <v>1514</v>
      </c>
      <c r="J762" s="196"/>
      <c r="K762" s="180" t="s">
        <v>1515</v>
      </c>
      <c r="L762" s="108">
        <v>22635752</v>
      </c>
      <c r="M762" s="37">
        <v>5216566567091</v>
      </c>
      <c r="N762" s="169" t="s">
        <v>37</v>
      </c>
      <c r="O762" s="48">
        <v>6045.77</v>
      </c>
      <c r="P762" s="95">
        <v>1813.55</v>
      </c>
      <c r="Q762" s="13">
        <v>1813.73</v>
      </c>
      <c r="R762" s="13">
        <v>0.18</v>
      </c>
      <c r="S762" s="72">
        <v>46357</v>
      </c>
      <c r="T762" s="6"/>
      <c r="U762" s="164"/>
      <c r="V762" s="1"/>
      <c r="X762" s="101">
        <v>2</v>
      </c>
    </row>
    <row r="763" spans="2:24" hidden="1">
      <c r="B763" s="10" t="s">
        <v>1516</v>
      </c>
      <c r="C763" s="24">
        <v>46216.679861111108</v>
      </c>
      <c r="D763" s="10" t="s">
        <v>24</v>
      </c>
      <c r="E763" s="10"/>
      <c r="F763" s="28">
        <v>46216</v>
      </c>
      <c r="G763" s="28" t="s">
        <v>633</v>
      </c>
      <c r="H763" s="10" t="s">
        <v>93</v>
      </c>
      <c r="I763" s="10" t="s">
        <v>1517</v>
      </c>
      <c r="J763" s="195"/>
      <c r="K763" s="181" t="s">
        <v>1518</v>
      </c>
      <c r="L763" s="108">
        <v>22663782</v>
      </c>
      <c r="M763" s="36">
        <v>5521831364</v>
      </c>
      <c r="N763" s="170" t="s">
        <v>32</v>
      </c>
      <c r="O763" s="49">
        <v>3912.1</v>
      </c>
      <c r="P763" s="96">
        <v>879</v>
      </c>
      <c r="Q763" s="12">
        <v>1173.6300000000001</v>
      </c>
      <c r="R763" s="12">
        <v>-879</v>
      </c>
      <c r="S763" s="73"/>
      <c r="T763" s="10"/>
      <c r="U763" s="97"/>
      <c r="V763" s="1"/>
      <c r="X763" s="101">
        <v>1</v>
      </c>
    </row>
    <row r="764" spans="2:24" hidden="1">
      <c r="B764" s="6" t="s">
        <v>1513</v>
      </c>
      <c r="C764" s="23">
        <v>46216.680555555555</v>
      </c>
      <c r="D764" s="6" t="s">
        <v>24</v>
      </c>
      <c r="E764" s="6"/>
      <c r="F764" s="28">
        <v>46216</v>
      </c>
      <c r="G764" s="27" t="s">
        <v>633</v>
      </c>
      <c r="H764" s="6" t="s">
        <v>1519</v>
      </c>
      <c r="I764" s="6" t="s">
        <v>1520</v>
      </c>
      <c r="J764" s="196"/>
      <c r="K764" s="180" t="s">
        <v>1521</v>
      </c>
      <c r="L764" s="107">
        <v>22640540</v>
      </c>
      <c r="M764" s="37">
        <v>5213321654596</v>
      </c>
      <c r="N764" s="169" t="s">
        <v>74</v>
      </c>
      <c r="O764" s="48"/>
      <c r="P764" s="95"/>
      <c r="Q764" s="13">
        <v>0</v>
      </c>
      <c r="R764" s="13">
        <v>0</v>
      </c>
      <c r="S764" s="72"/>
      <c r="T764" s="6"/>
      <c r="U764" s="164"/>
      <c r="V764" s="1"/>
      <c r="X764" s="101">
        <v>1</v>
      </c>
    </row>
    <row r="765" spans="2:24" hidden="1">
      <c r="B765" s="10" t="s">
        <v>1522</v>
      </c>
      <c r="C765" s="24">
        <v>46216.680555555555</v>
      </c>
      <c r="D765" s="10" t="s">
        <v>24</v>
      </c>
      <c r="E765" s="10"/>
      <c r="F765" s="28">
        <v>46216</v>
      </c>
      <c r="G765" s="28" t="s">
        <v>633</v>
      </c>
      <c r="H765" s="10" t="s">
        <v>39</v>
      </c>
      <c r="I765" s="10" t="s">
        <v>1523</v>
      </c>
      <c r="J765" s="195">
        <v>83826318749</v>
      </c>
      <c r="K765" s="181" t="s">
        <v>1524</v>
      </c>
      <c r="L765" s="108">
        <v>22611562</v>
      </c>
      <c r="M765" s="36">
        <v>5219364047157</v>
      </c>
      <c r="N765" s="170" t="s">
        <v>37</v>
      </c>
      <c r="O765" s="49">
        <v>9760.32</v>
      </c>
      <c r="P765" s="96">
        <v>2902.97</v>
      </c>
      <c r="Q765" s="12">
        <v>2928.1</v>
      </c>
      <c r="R765" s="12">
        <v>25.13</v>
      </c>
      <c r="S765" s="73">
        <v>46758</v>
      </c>
      <c r="T765" s="10"/>
      <c r="U765" s="97"/>
      <c r="V765" s="1"/>
      <c r="X765" s="101">
        <v>2</v>
      </c>
    </row>
    <row r="766" spans="2:24" hidden="1">
      <c r="B766" s="6" t="s">
        <v>1525</v>
      </c>
      <c r="C766" s="23">
        <v>46216.691666666666</v>
      </c>
      <c r="D766" s="6" t="s">
        <v>24</v>
      </c>
      <c r="E766" s="6"/>
      <c r="F766" s="28">
        <v>46216</v>
      </c>
      <c r="G766" s="27" t="s">
        <v>633</v>
      </c>
      <c r="H766" s="6" t="s">
        <v>61</v>
      </c>
      <c r="I766" s="6" t="s">
        <v>1526</v>
      </c>
      <c r="J766" s="196"/>
      <c r="K766" s="180" t="s">
        <v>1527</v>
      </c>
      <c r="L766" s="107">
        <v>22640534</v>
      </c>
      <c r="M766" s="37">
        <v>5214723001845</v>
      </c>
      <c r="N766" s="169" t="s">
        <v>32</v>
      </c>
      <c r="O766" s="48">
        <v>4199.87</v>
      </c>
      <c r="P766" s="95"/>
      <c r="Q766" s="13">
        <v>1259.96</v>
      </c>
      <c r="R766" s="13">
        <v>26.89</v>
      </c>
      <c r="S766" s="72"/>
      <c r="T766" s="6"/>
      <c r="U766" s="164"/>
      <c r="V766" s="1"/>
      <c r="X766" s="101">
        <v>1</v>
      </c>
    </row>
    <row r="767" spans="2:24" hidden="1">
      <c r="B767" s="10" t="s">
        <v>1528</v>
      </c>
      <c r="C767" s="24">
        <v>46216.711111111108</v>
      </c>
      <c r="D767" s="10" t="s">
        <v>24</v>
      </c>
      <c r="E767" s="10"/>
      <c r="F767" s="28">
        <v>46216</v>
      </c>
      <c r="G767" s="28" t="s">
        <v>633</v>
      </c>
      <c r="H767" s="10" t="s">
        <v>1519</v>
      </c>
      <c r="I767" s="10" t="s">
        <v>1529</v>
      </c>
      <c r="J767" s="195">
        <v>53947525647</v>
      </c>
      <c r="K767" s="181" t="s">
        <v>1530</v>
      </c>
      <c r="L767" s="108">
        <v>22638550</v>
      </c>
      <c r="M767" s="36">
        <v>5214431339457</v>
      </c>
      <c r="N767" s="170" t="s">
        <v>37</v>
      </c>
      <c r="O767" s="49">
        <v>5642.22</v>
      </c>
      <c r="P767" s="96">
        <v>1414.82</v>
      </c>
      <c r="Q767" s="12">
        <v>1692.67</v>
      </c>
      <c r="R767" s="12">
        <v>54.42</v>
      </c>
      <c r="S767" s="73">
        <v>46395</v>
      </c>
      <c r="T767" s="10"/>
      <c r="U767" s="97"/>
      <c r="V767" s="1"/>
      <c r="X767" s="101">
        <v>2</v>
      </c>
    </row>
    <row r="768" spans="2:24" hidden="1">
      <c r="B768" s="6" t="s">
        <v>1531</v>
      </c>
      <c r="C768" s="23">
        <v>46216.73333333333</v>
      </c>
      <c r="D768" s="6" t="s">
        <v>24</v>
      </c>
      <c r="E768" s="6"/>
      <c r="F768" s="28">
        <v>46216</v>
      </c>
      <c r="G768" s="27" t="s">
        <v>633</v>
      </c>
      <c r="H768" s="6" t="s">
        <v>160</v>
      </c>
      <c r="I768" s="6" t="s">
        <v>1532</v>
      </c>
      <c r="J768" s="196">
        <v>23876539612</v>
      </c>
      <c r="K768" s="180" t="s">
        <v>1533</v>
      </c>
      <c r="L768" s="108">
        <v>22666108</v>
      </c>
      <c r="M768" s="37">
        <v>5216681580159</v>
      </c>
      <c r="N768" s="169" t="s">
        <v>37</v>
      </c>
      <c r="O768" s="48">
        <v>10636.54</v>
      </c>
      <c r="P768" s="95">
        <v>3187.07</v>
      </c>
      <c r="Q768" s="13">
        <v>3190.96</v>
      </c>
      <c r="R768" s="13">
        <v>3.89</v>
      </c>
      <c r="S768" s="72">
        <v>46757</v>
      </c>
      <c r="T768" s="6"/>
      <c r="U768" s="164"/>
      <c r="V768" s="1"/>
      <c r="X768" s="101">
        <v>2</v>
      </c>
    </row>
    <row r="769" spans="2:24" hidden="1">
      <c r="B769" s="10" t="s">
        <v>1534</v>
      </c>
      <c r="C769" s="24">
        <v>46216.736111111109</v>
      </c>
      <c r="D769" s="10" t="s">
        <v>24</v>
      </c>
      <c r="E769" s="10"/>
      <c r="F769" s="28">
        <v>46216</v>
      </c>
      <c r="G769" s="28" t="s">
        <v>633</v>
      </c>
      <c r="H769" s="10" t="s">
        <v>51</v>
      </c>
      <c r="I769" s="10" t="s">
        <v>1535</v>
      </c>
      <c r="J769" s="193">
        <v>23705217489</v>
      </c>
      <c r="K769" s="181" t="s">
        <v>1536</v>
      </c>
      <c r="L769" s="108">
        <v>22628336</v>
      </c>
      <c r="M769" s="36">
        <v>5216691508124</v>
      </c>
      <c r="N769" s="170" t="s">
        <v>47</v>
      </c>
      <c r="O769" s="49">
        <v>44411.1</v>
      </c>
      <c r="P769" s="96">
        <v>12849.19</v>
      </c>
      <c r="Q769" s="12">
        <v>13323.33</v>
      </c>
      <c r="R769" s="16">
        <v>474.14</v>
      </c>
      <c r="S769" s="73">
        <v>46753</v>
      </c>
      <c r="T769" s="10"/>
      <c r="U769" s="97"/>
      <c r="V769" s="1"/>
      <c r="X769" s="101">
        <v>2</v>
      </c>
    </row>
    <row r="770" spans="2:24" hidden="1">
      <c r="B770" s="6" t="s">
        <v>1537</v>
      </c>
      <c r="C770" s="23">
        <v>46216.739583333336</v>
      </c>
      <c r="D770" s="6" t="s">
        <v>24</v>
      </c>
      <c r="E770" s="6"/>
      <c r="F770" s="28">
        <v>46216</v>
      </c>
      <c r="G770" s="27" t="s">
        <v>633</v>
      </c>
      <c r="H770" s="10" t="s">
        <v>68</v>
      </c>
      <c r="I770" s="6" t="s">
        <v>1538</v>
      </c>
      <c r="J770" s="192">
        <v>32745719917</v>
      </c>
      <c r="K770" s="180" t="s">
        <v>1539</v>
      </c>
      <c r="L770" s="107">
        <v>22624006</v>
      </c>
      <c r="M770" s="37">
        <v>5218715054614</v>
      </c>
      <c r="N770" s="169" t="s">
        <v>47</v>
      </c>
      <c r="O770" s="48">
        <v>4813.6899999999996</v>
      </c>
      <c r="P770" s="95"/>
      <c r="Q770" s="13">
        <v>1444.11</v>
      </c>
      <c r="R770" s="22">
        <v>640.71</v>
      </c>
      <c r="S770" s="72"/>
      <c r="T770" s="6"/>
      <c r="U770" s="164"/>
      <c r="V770" s="1"/>
      <c r="X770" s="101">
        <v>1</v>
      </c>
    </row>
    <row r="771" spans="2:24" hidden="1">
      <c r="B771" s="10" t="s">
        <v>1540</v>
      </c>
      <c r="C771" s="24">
        <v>46217.361111111109</v>
      </c>
      <c r="D771" s="10" t="s">
        <v>24</v>
      </c>
      <c r="E771" s="10"/>
      <c r="F771" s="28">
        <v>46217</v>
      </c>
      <c r="G771" s="28" t="s">
        <v>633</v>
      </c>
      <c r="H771" s="15" t="s">
        <v>26</v>
      </c>
      <c r="I771" s="10" t="s">
        <v>1541</v>
      </c>
      <c r="J771" s="193"/>
      <c r="K771" s="181" t="s">
        <v>1542</v>
      </c>
      <c r="L771" s="108">
        <v>22674188</v>
      </c>
      <c r="M771" s="36">
        <v>5212284915800</v>
      </c>
      <c r="N771" s="170" t="s">
        <v>98</v>
      </c>
      <c r="O771" s="49"/>
      <c r="P771" s="96"/>
      <c r="Q771" s="12">
        <v>0</v>
      </c>
      <c r="R771" s="12">
        <v>0</v>
      </c>
      <c r="S771" s="73"/>
      <c r="T771" s="10"/>
      <c r="U771" s="97"/>
      <c r="V771" s="1"/>
      <c r="X771" s="101">
        <v>0</v>
      </c>
    </row>
    <row r="772" spans="2:24" hidden="1">
      <c r="B772" s="6" t="s">
        <v>1543</v>
      </c>
      <c r="C772" s="23">
        <v>46217.361805555556</v>
      </c>
      <c r="D772" s="6" t="s">
        <v>24</v>
      </c>
      <c r="E772" s="6"/>
      <c r="F772" s="28">
        <v>46217</v>
      </c>
      <c r="G772" s="27" t="s">
        <v>633</v>
      </c>
      <c r="H772" s="6" t="s">
        <v>61</v>
      </c>
      <c r="I772" s="6" t="s">
        <v>1544</v>
      </c>
      <c r="J772" s="192"/>
      <c r="K772" s="180" t="s">
        <v>1545</v>
      </c>
      <c r="L772" s="107">
        <v>22641068</v>
      </c>
      <c r="M772" s="37">
        <v>5212871659327</v>
      </c>
      <c r="N772" s="169" t="s">
        <v>32</v>
      </c>
      <c r="O772" s="48">
        <v>4636.43</v>
      </c>
      <c r="P772" s="95">
        <v>879</v>
      </c>
      <c r="Q772" s="13">
        <v>1390.93</v>
      </c>
      <c r="R772" s="13">
        <v>-415.55</v>
      </c>
      <c r="S772" s="72"/>
      <c r="T772" s="6"/>
      <c r="U772" s="164"/>
      <c r="V772" s="1"/>
      <c r="X772" s="101">
        <v>1</v>
      </c>
    </row>
    <row r="773" spans="2:24" hidden="1">
      <c r="B773" s="10" t="s">
        <v>1543</v>
      </c>
      <c r="C773" s="24">
        <v>46217.364583333336</v>
      </c>
      <c r="D773" s="10" t="s">
        <v>24</v>
      </c>
      <c r="E773" s="10"/>
      <c r="F773" s="28">
        <v>46217</v>
      </c>
      <c r="G773" s="28" t="s">
        <v>633</v>
      </c>
      <c r="H773" s="15" t="s">
        <v>26</v>
      </c>
      <c r="I773" s="10" t="s">
        <v>1546</v>
      </c>
      <c r="J773" s="193">
        <v>54806137904</v>
      </c>
      <c r="K773" s="181"/>
      <c r="L773" s="108">
        <v>22668054</v>
      </c>
      <c r="M773" s="36">
        <v>5213223303894</v>
      </c>
      <c r="N773" s="170" t="s">
        <v>98</v>
      </c>
      <c r="O773" s="49"/>
      <c r="P773" s="96"/>
      <c r="Q773" s="12">
        <v>0</v>
      </c>
      <c r="R773" s="12">
        <v>0</v>
      </c>
      <c r="S773" s="73"/>
      <c r="T773" s="10"/>
      <c r="U773" s="97"/>
      <c r="V773" s="1"/>
      <c r="X773" s="101">
        <v>0</v>
      </c>
    </row>
    <row r="774" spans="2:24" hidden="1">
      <c r="B774" s="6" t="s">
        <v>1547</v>
      </c>
      <c r="C774" s="23">
        <v>46217.375</v>
      </c>
      <c r="D774" s="6" t="s">
        <v>24</v>
      </c>
      <c r="E774" s="6"/>
      <c r="F774" s="28">
        <v>46217</v>
      </c>
      <c r="G774" s="27">
        <v>46302</v>
      </c>
      <c r="H774" s="161" t="s">
        <v>170</v>
      </c>
      <c r="I774" s="6" t="s">
        <v>1548</v>
      </c>
      <c r="J774" s="192">
        <v>7806300492</v>
      </c>
      <c r="K774" s="180"/>
      <c r="L774" s="107">
        <v>22560130</v>
      </c>
      <c r="M774" s="37">
        <v>5215518041896</v>
      </c>
      <c r="N774" s="169" t="s">
        <v>130</v>
      </c>
      <c r="O774" s="48">
        <v>5617.63</v>
      </c>
      <c r="P774" s="95">
        <v>1393.24</v>
      </c>
      <c r="Q774" s="13">
        <v>1685.29</v>
      </c>
      <c r="R774" s="13">
        <v>51.41</v>
      </c>
      <c r="S774" s="72">
        <v>45666</v>
      </c>
      <c r="T774" s="6"/>
      <c r="U774" s="164"/>
      <c r="V774" s="1"/>
      <c r="X774" s="101">
        <v>2</v>
      </c>
    </row>
    <row r="775" spans="2:24" hidden="1">
      <c r="B775" s="10" t="s">
        <v>1549</v>
      </c>
      <c r="C775" s="24">
        <v>46217.375</v>
      </c>
      <c r="D775" s="10" t="s">
        <v>24</v>
      </c>
      <c r="E775" s="10"/>
      <c r="F775" s="28">
        <v>46217</v>
      </c>
      <c r="G775" s="28" t="s">
        <v>1550</v>
      </c>
      <c r="H775" s="10" t="s">
        <v>90</v>
      </c>
      <c r="I775" s="10"/>
      <c r="J775" s="202">
        <v>41917702056</v>
      </c>
      <c r="K775" s="181"/>
      <c r="L775" s="111">
        <v>1</v>
      </c>
      <c r="M775" s="36" t="s">
        <v>1551</v>
      </c>
      <c r="N775" s="170" t="s">
        <v>74</v>
      </c>
      <c r="O775" s="49"/>
      <c r="P775" s="96"/>
      <c r="Q775" s="12">
        <v>0</v>
      </c>
      <c r="R775" s="12">
        <v>0</v>
      </c>
      <c r="S775" s="73"/>
      <c r="T775" s="10"/>
      <c r="U775" s="97"/>
      <c r="V775" s="1"/>
      <c r="X775" s="101">
        <v>1</v>
      </c>
    </row>
    <row r="776" spans="2:24" hidden="1">
      <c r="B776" s="6" t="s">
        <v>1552</v>
      </c>
      <c r="C776" s="23">
        <v>46217.376388888886</v>
      </c>
      <c r="D776" s="6" t="s">
        <v>24</v>
      </c>
      <c r="E776" s="6"/>
      <c r="F776" s="28">
        <v>46217</v>
      </c>
      <c r="G776" s="27" t="s">
        <v>1550</v>
      </c>
      <c r="H776" s="160" t="s">
        <v>26</v>
      </c>
      <c r="I776" s="6" t="s">
        <v>1553</v>
      </c>
      <c r="J776" s="192">
        <v>54806171580</v>
      </c>
      <c r="K776" s="180" t="s">
        <v>1554</v>
      </c>
      <c r="L776" s="107">
        <v>22667926</v>
      </c>
      <c r="M776" s="37">
        <v>5213332013606</v>
      </c>
      <c r="N776" s="169" t="s">
        <v>47</v>
      </c>
      <c r="O776" s="48">
        <v>33064.39</v>
      </c>
      <c r="P776" s="95">
        <v>9177.4699999999993</v>
      </c>
      <c r="Q776" s="13">
        <v>9919.32</v>
      </c>
      <c r="R776" s="22">
        <v>741.85</v>
      </c>
      <c r="S776" s="72">
        <v>46388</v>
      </c>
      <c r="T776" s="6"/>
      <c r="U776" s="164"/>
      <c r="V776" s="1"/>
      <c r="X776" s="101">
        <v>2</v>
      </c>
    </row>
    <row r="777" spans="2:24" hidden="1">
      <c r="B777" s="10" t="s">
        <v>1555</v>
      </c>
      <c r="C777" s="24">
        <v>46217.37777777778</v>
      </c>
      <c r="D777" s="10" t="s">
        <v>24</v>
      </c>
      <c r="E777" s="10"/>
      <c r="F777" s="28">
        <v>46217</v>
      </c>
      <c r="G777" s="28">
        <v>46333</v>
      </c>
      <c r="H777" s="10" t="s">
        <v>127</v>
      </c>
      <c r="I777" s="10"/>
      <c r="J777" s="193">
        <v>1695404689</v>
      </c>
      <c r="K777" s="181"/>
      <c r="L777" s="108">
        <v>22573174</v>
      </c>
      <c r="M777" s="36">
        <v>5215547820097</v>
      </c>
      <c r="N777" s="170" t="s">
        <v>32</v>
      </c>
      <c r="O777" s="49">
        <v>4166.2299999999996</v>
      </c>
      <c r="P777" s="96">
        <v>848</v>
      </c>
      <c r="Q777" s="12">
        <v>1249.8699999999999</v>
      </c>
      <c r="R777" s="12">
        <v>-848</v>
      </c>
      <c r="S777" s="73"/>
      <c r="T777" s="10"/>
      <c r="U777" s="97"/>
      <c r="V777" s="1"/>
      <c r="X777" s="101">
        <v>1</v>
      </c>
    </row>
    <row r="778" spans="2:24" hidden="1">
      <c r="B778" s="6" t="s">
        <v>1556</v>
      </c>
      <c r="C778" s="23">
        <v>46217.381944444445</v>
      </c>
      <c r="D778" s="6" t="s">
        <v>24</v>
      </c>
      <c r="E778" s="6"/>
      <c r="F778" s="28">
        <v>46217</v>
      </c>
      <c r="G778" s="27" t="s">
        <v>633</v>
      </c>
      <c r="H778" s="10" t="s">
        <v>61</v>
      </c>
      <c r="I778" s="6" t="s">
        <v>1557</v>
      </c>
      <c r="J778" s="192"/>
      <c r="K778" s="180" t="s">
        <v>1558</v>
      </c>
      <c r="L778" s="107">
        <v>22665902</v>
      </c>
      <c r="M778" s="37">
        <v>5212291171782</v>
      </c>
      <c r="N778" s="169" t="s">
        <v>47</v>
      </c>
      <c r="O778" s="48">
        <v>5320.51</v>
      </c>
      <c r="P778" s="95"/>
      <c r="Q778" s="13">
        <v>1596.15</v>
      </c>
      <c r="R778" s="22">
        <v>1147.53</v>
      </c>
      <c r="S778" s="72"/>
      <c r="T778" s="6"/>
      <c r="U778" s="164"/>
      <c r="V778" s="1"/>
      <c r="X778" s="101">
        <v>1</v>
      </c>
    </row>
    <row r="779" spans="2:24" hidden="1">
      <c r="B779" s="10" t="s">
        <v>1559</v>
      </c>
      <c r="C779" s="24">
        <v>46217.387499999997</v>
      </c>
      <c r="D779" s="10" t="s">
        <v>24</v>
      </c>
      <c r="E779" s="10"/>
      <c r="F779" s="28">
        <v>46217</v>
      </c>
      <c r="G779" s="28" t="s">
        <v>633</v>
      </c>
      <c r="H779" s="10" t="s">
        <v>51</v>
      </c>
      <c r="I779" s="10" t="s">
        <v>1560</v>
      </c>
      <c r="J779" s="193">
        <v>14775503098</v>
      </c>
      <c r="K779" s="181" t="s">
        <v>1561</v>
      </c>
      <c r="L779" s="108">
        <v>22637630</v>
      </c>
      <c r="M779" s="36">
        <v>5214427802068</v>
      </c>
      <c r="N779" s="170" t="s">
        <v>37</v>
      </c>
      <c r="O779" s="49">
        <v>29494.89</v>
      </c>
      <c r="P779" s="96">
        <v>8848.4599999999991</v>
      </c>
      <c r="Q779" s="12">
        <v>8848.4699999999993</v>
      </c>
      <c r="R779" s="12">
        <v>0.01</v>
      </c>
      <c r="S779" s="73">
        <v>46388</v>
      </c>
      <c r="T779" s="10" t="s">
        <v>84</v>
      </c>
      <c r="U779" s="97"/>
      <c r="V779" s="1"/>
      <c r="X779" s="101">
        <v>2</v>
      </c>
    </row>
    <row r="780" spans="2:24" hidden="1">
      <c r="B780" s="6" t="s">
        <v>1555</v>
      </c>
      <c r="C780" s="23">
        <v>46217.388194444444</v>
      </c>
      <c r="D780" s="6" t="s">
        <v>24</v>
      </c>
      <c r="E780" s="6"/>
      <c r="F780" s="28">
        <v>46217</v>
      </c>
      <c r="G780" s="27" t="s">
        <v>633</v>
      </c>
      <c r="H780" s="6" t="s">
        <v>68</v>
      </c>
      <c r="I780" s="6" t="s">
        <v>1562</v>
      </c>
      <c r="J780" s="192">
        <v>32826467881</v>
      </c>
      <c r="K780" s="180" t="s">
        <v>1563</v>
      </c>
      <c r="L780" s="108">
        <v>22664404</v>
      </c>
      <c r="M780" s="37">
        <v>5218621105028</v>
      </c>
      <c r="N780" s="169" t="s">
        <v>37</v>
      </c>
      <c r="O780" s="48">
        <v>14003.98</v>
      </c>
      <c r="P780" s="95">
        <v>4201.1899999999996</v>
      </c>
      <c r="Q780" s="13">
        <v>4201.1899999999996</v>
      </c>
      <c r="R780" s="13">
        <v>0</v>
      </c>
      <c r="S780" s="72">
        <v>46389</v>
      </c>
      <c r="T780" s="6"/>
      <c r="U780" s="164"/>
      <c r="V780" s="1"/>
      <c r="X780" s="101">
        <v>2</v>
      </c>
    </row>
    <row r="781" spans="2:24" hidden="1">
      <c r="B781" s="10" t="s">
        <v>1564</v>
      </c>
      <c r="C781" s="24">
        <v>46217.38958333333</v>
      </c>
      <c r="D781" s="10" t="s">
        <v>24</v>
      </c>
      <c r="E781" s="10"/>
      <c r="F781" s="28">
        <v>46217</v>
      </c>
      <c r="G781" s="28" t="s">
        <v>633</v>
      </c>
      <c r="H781" s="15" t="s">
        <v>110</v>
      </c>
      <c r="I781" s="10" t="s">
        <v>1565</v>
      </c>
      <c r="J781" s="193">
        <v>69887008352</v>
      </c>
      <c r="K781" s="181" t="s">
        <v>1566</v>
      </c>
      <c r="L781" s="108">
        <v>22673644</v>
      </c>
      <c r="M781" s="36">
        <v>5215539506347</v>
      </c>
      <c r="N781" s="170" t="s">
        <v>37</v>
      </c>
      <c r="O781" s="49">
        <v>9760.32</v>
      </c>
      <c r="P781" s="96">
        <v>2927.04</v>
      </c>
      <c r="Q781" s="12">
        <v>2928.1</v>
      </c>
      <c r="R781" s="12">
        <v>1.06</v>
      </c>
      <c r="S781" s="73">
        <v>46755</v>
      </c>
      <c r="T781" s="10"/>
      <c r="U781" s="97"/>
      <c r="V781" s="1"/>
      <c r="X781" s="101">
        <v>2</v>
      </c>
    </row>
    <row r="782" spans="2:24" hidden="1">
      <c r="B782" s="6" t="s">
        <v>1567</v>
      </c>
      <c r="C782" s="23">
        <v>46217.395833333336</v>
      </c>
      <c r="D782" s="6" t="s">
        <v>24</v>
      </c>
      <c r="E782" s="6"/>
      <c r="F782" s="28">
        <v>46217</v>
      </c>
      <c r="G782" s="27" t="s">
        <v>1550</v>
      </c>
      <c r="H782" s="10" t="s">
        <v>90</v>
      </c>
      <c r="I782" s="6"/>
      <c r="J782" s="192">
        <v>71826001803</v>
      </c>
      <c r="K782" s="180"/>
      <c r="L782" s="109">
        <v>1</v>
      </c>
      <c r="M782" s="37" t="s">
        <v>1568</v>
      </c>
      <c r="N782" s="169" t="s">
        <v>47</v>
      </c>
      <c r="O782" s="48">
        <v>5617.63</v>
      </c>
      <c r="P782" s="95">
        <v>848</v>
      </c>
      <c r="Q782" s="13">
        <v>1685.29</v>
      </c>
      <c r="R782" s="22">
        <v>596.65</v>
      </c>
      <c r="S782" s="72"/>
      <c r="T782" s="6"/>
      <c r="U782" s="164"/>
      <c r="V782" s="1"/>
      <c r="X782" s="101">
        <v>1</v>
      </c>
    </row>
    <row r="783" spans="2:24" hidden="1">
      <c r="B783" s="10" t="s">
        <v>1569</v>
      </c>
      <c r="C783" s="24">
        <v>46217.40347222222</v>
      </c>
      <c r="D783" s="10" t="s">
        <v>24</v>
      </c>
      <c r="E783" s="10"/>
      <c r="F783" s="28">
        <v>46217</v>
      </c>
      <c r="G783" s="28" t="s">
        <v>633</v>
      </c>
      <c r="H783" s="10" t="s">
        <v>81</v>
      </c>
      <c r="I783" s="10" t="s">
        <v>1570</v>
      </c>
      <c r="J783" s="193">
        <v>1925900530</v>
      </c>
      <c r="K783" s="181"/>
      <c r="L783" s="108">
        <v>22667152</v>
      </c>
      <c r="M783" s="36">
        <v>5215516479379</v>
      </c>
      <c r="N783" s="170" t="s">
        <v>130</v>
      </c>
      <c r="O783" s="49">
        <v>4813.6899999999996</v>
      </c>
      <c r="P783" s="96">
        <v>516.65</v>
      </c>
      <c r="Q783" s="12">
        <v>1444.11</v>
      </c>
      <c r="R783" s="12">
        <v>124.06</v>
      </c>
      <c r="S783" s="73">
        <v>45301</v>
      </c>
      <c r="T783" s="10"/>
      <c r="U783" s="97"/>
      <c r="V783" s="1"/>
      <c r="X783" s="101">
        <v>2</v>
      </c>
    </row>
    <row r="784" spans="2:24" hidden="1">
      <c r="B784" s="6" t="s">
        <v>1571</v>
      </c>
      <c r="C784" s="23">
        <v>46217.40625</v>
      </c>
      <c r="D784" s="6" t="s">
        <v>24</v>
      </c>
      <c r="E784" s="6"/>
      <c r="F784" s="28">
        <v>46217</v>
      </c>
      <c r="G784" s="27" t="s">
        <v>633</v>
      </c>
      <c r="H784" s="10" t="s">
        <v>78</v>
      </c>
      <c r="I784" s="6" t="s">
        <v>1572</v>
      </c>
      <c r="J784" s="192">
        <v>53927357326</v>
      </c>
      <c r="K784" s="180" t="s">
        <v>1573</v>
      </c>
      <c r="L784" s="107">
        <v>22665328</v>
      </c>
      <c r="M784" s="37">
        <v>5214521121270</v>
      </c>
      <c r="N784" s="169" t="s">
        <v>28</v>
      </c>
      <c r="O784" s="48">
        <v>7920.54</v>
      </c>
      <c r="P784" s="95"/>
      <c r="Q784" s="13">
        <v>2376.16</v>
      </c>
      <c r="R784" s="9">
        <v>2376.16</v>
      </c>
      <c r="S784" s="72"/>
      <c r="T784" s="6"/>
      <c r="U784" s="164"/>
      <c r="V784" s="1"/>
      <c r="X784" s="101">
        <v>1</v>
      </c>
    </row>
    <row r="785" spans="2:24" hidden="1">
      <c r="B785" s="10" t="s">
        <v>1574</v>
      </c>
      <c r="C785" s="24">
        <v>46217.414583333331</v>
      </c>
      <c r="D785" s="10" t="s">
        <v>24</v>
      </c>
      <c r="E785" s="10"/>
      <c r="F785" s="28">
        <v>46217</v>
      </c>
      <c r="G785" s="28" t="s">
        <v>633</v>
      </c>
      <c r="H785" s="15" t="s">
        <v>110</v>
      </c>
      <c r="I785" s="10" t="s">
        <v>1575</v>
      </c>
      <c r="J785" s="193"/>
      <c r="K785" s="181" t="s">
        <v>1576</v>
      </c>
      <c r="L785" s="108">
        <v>22673856</v>
      </c>
      <c r="M785" s="36">
        <v>5217291700830</v>
      </c>
      <c r="N785" s="170" t="s">
        <v>235</v>
      </c>
      <c r="O785" s="49"/>
      <c r="P785" s="96"/>
      <c r="Q785" s="12">
        <v>0</v>
      </c>
      <c r="R785" s="12">
        <v>0</v>
      </c>
      <c r="S785" s="73"/>
      <c r="T785" s="10"/>
      <c r="U785" s="97"/>
      <c r="V785" s="1"/>
      <c r="X785" s="101">
        <v>1</v>
      </c>
    </row>
    <row r="786" spans="2:24" hidden="1">
      <c r="B786" s="6" t="s">
        <v>1577</v>
      </c>
      <c r="C786" s="23">
        <v>46217.42083333333</v>
      </c>
      <c r="D786" s="6" t="s">
        <v>24</v>
      </c>
      <c r="E786" s="6"/>
      <c r="F786" s="28">
        <v>46217</v>
      </c>
      <c r="G786" s="27" t="s">
        <v>633</v>
      </c>
      <c r="H786" s="6" t="s">
        <v>81</v>
      </c>
      <c r="I786" s="6" t="s">
        <v>1578</v>
      </c>
      <c r="J786" s="192"/>
      <c r="K786" s="180" t="s">
        <v>1579</v>
      </c>
      <c r="L786" s="108">
        <v>22665252</v>
      </c>
      <c r="M786" s="37">
        <v>5212214322959</v>
      </c>
      <c r="N786" s="169" t="s">
        <v>37</v>
      </c>
      <c r="O786" s="48">
        <v>15950.14</v>
      </c>
      <c r="P786" s="95">
        <v>4775.18</v>
      </c>
      <c r="Q786" s="13">
        <v>4785.04</v>
      </c>
      <c r="R786" s="13">
        <v>9.86</v>
      </c>
      <c r="S786" s="72">
        <v>46759</v>
      </c>
      <c r="T786" s="6" t="s">
        <v>192</v>
      </c>
      <c r="U786" s="164"/>
      <c r="V786" s="1"/>
      <c r="X786" s="101">
        <v>2</v>
      </c>
    </row>
    <row r="787" spans="2:24" hidden="1">
      <c r="B787" s="10" t="s">
        <v>1580</v>
      </c>
      <c r="C787" s="24">
        <v>46217.421527777777</v>
      </c>
      <c r="D787" s="10" t="s">
        <v>24</v>
      </c>
      <c r="E787" s="10"/>
      <c r="F787" s="28">
        <v>46217</v>
      </c>
      <c r="G787" s="28" t="s">
        <v>633</v>
      </c>
      <c r="H787" s="10" t="s">
        <v>127</v>
      </c>
      <c r="I787" s="10" t="s">
        <v>1581</v>
      </c>
      <c r="J787" s="193">
        <v>33896449767</v>
      </c>
      <c r="K787" s="181" t="s">
        <v>1582</v>
      </c>
      <c r="L787" s="108">
        <v>22628398</v>
      </c>
      <c r="M787" s="36">
        <v>5216481247680</v>
      </c>
      <c r="N787" s="170" t="s">
        <v>47</v>
      </c>
      <c r="O787" s="49">
        <v>22574.84</v>
      </c>
      <c r="P787" s="96">
        <v>5769.17</v>
      </c>
      <c r="Q787" s="12">
        <v>6772.45</v>
      </c>
      <c r="R787" s="16">
        <v>1003.28</v>
      </c>
      <c r="S787" s="73">
        <v>46389</v>
      </c>
      <c r="T787" s="10"/>
      <c r="U787" s="97"/>
      <c r="V787" s="1"/>
      <c r="X787" s="101">
        <v>2</v>
      </c>
    </row>
    <row r="788" spans="2:24" hidden="1">
      <c r="B788" s="6" t="s">
        <v>1583</v>
      </c>
      <c r="C788" s="23">
        <v>46217.439583333333</v>
      </c>
      <c r="D788" s="6" t="s">
        <v>24</v>
      </c>
      <c r="E788" s="6"/>
      <c r="F788" s="28">
        <v>46217</v>
      </c>
      <c r="G788" s="27" t="s">
        <v>633</v>
      </c>
      <c r="H788" s="6" t="s">
        <v>93</v>
      </c>
      <c r="I788" s="6" t="s">
        <v>1584</v>
      </c>
      <c r="J788" s="192"/>
      <c r="K788" s="180" t="s">
        <v>1585</v>
      </c>
      <c r="L788" s="107">
        <v>22639886</v>
      </c>
      <c r="M788" s="37">
        <v>6561572554</v>
      </c>
      <c r="N788" s="169" t="s">
        <v>235</v>
      </c>
      <c r="O788" s="48"/>
      <c r="P788" s="95"/>
      <c r="Q788" s="13">
        <v>0</v>
      </c>
      <c r="R788" s="13">
        <v>0</v>
      </c>
      <c r="S788" s="72"/>
      <c r="T788" s="6"/>
      <c r="U788" s="164"/>
      <c r="V788" s="1"/>
      <c r="X788" s="101">
        <v>1</v>
      </c>
    </row>
    <row r="789" spans="2:24" hidden="1">
      <c r="B789" s="10" t="s">
        <v>1586</v>
      </c>
      <c r="C789" s="24">
        <v>46217.440972222219</v>
      </c>
      <c r="D789" s="10" t="s">
        <v>24</v>
      </c>
      <c r="E789" s="10"/>
      <c r="F789" s="28">
        <v>46217</v>
      </c>
      <c r="G789" s="28">
        <v>46363</v>
      </c>
      <c r="H789" s="10" t="s">
        <v>124</v>
      </c>
      <c r="I789" s="10" t="s">
        <v>1587</v>
      </c>
      <c r="J789" s="193">
        <v>53795621787</v>
      </c>
      <c r="K789" s="181"/>
      <c r="L789" s="108">
        <v>22610212</v>
      </c>
      <c r="M789" s="36">
        <v>5214422504274</v>
      </c>
      <c r="N789" s="170" t="s">
        <v>263</v>
      </c>
      <c r="O789" s="49">
        <v>21769.360000000001</v>
      </c>
      <c r="P789" s="96">
        <v>6276.74</v>
      </c>
      <c r="Q789" s="12">
        <v>6530.81</v>
      </c>
      <c r="R789" s="12">
        <v>254.07</v>
      </c>
      <c r="S789" s="73">
        <v>46029</v>
      </c>
      <c r="T789" s="10"/>
      <c r="U789" s="97"/>
      <c r="V789" s="1"/>
      <c r="X789" s="101">
        <v>2</v>
      </c>
    </row>
    <row r="790" spans="2:24" hidden="1">
      <c r="B790" s="6" t="s">
        <v>1588</v>
      </c>
      <c r="C790" s="23">
        <v>46217.45</v>
      </c>
      <c r="D790" s="6" t="s">
        <v>24</v>
      </c>
      <c r="E790" s="6"/>
      <c r="F790" s="28">
        <v>46217</v>
      </c>
      <c r="G790" s="27" t="s">
        <v>633</v>
      </c>
      <c r="H790" s="6" t="s">
        <v>124</v>
      </c>
      <c r="I790" s="6" t="s">
        <v>1589</v>
      </c>
      <c r="J790" s="192">
        <v>63846103248</v>
      </c>
      <c r="K790" s="180" t="s">
        <v>1590</v>
      </c>
      <c r="L790" s="108">
        <v>22632466</v>
      </c>
      <c r="M790" s="37">
        <v>5218129239828</v>
      </c>
      <c r="N790" s="169" t="s">
        <v>37</v>
      </c>
      <c r="O790" s="48">
        <v>9760.32</v>
      </c>
      <c r="P790" s="95">
        <v>2928.1</v>
      </c>
      <c r="Q790" s="13">
        <v>2928.1</v>
      </c>
      <c r="R790" s="13">
        <v>0</v>
      </c>
      <c r="S790" s="72">
        <v>46754</v>
      </c>
      <c r="T790" s="6"/>
      <c r="U790" s="164"/>
      <c r="V790" s="1"/>
      <c r="X790" s="101">
        <v>2</v>
      </c>
    </row>
    <row r="791" spans="2:24" hidden="1">
      <c r="B791" s="10" t="s">
        <v>1591</v>
      </c>
      <c r="C791" s="24">
        <v>46217.45208333333</v>
      </c>
      <c r="D791" s="10" t="s">
        <v>24</v>
      </c>
      <c r="E791" s="10"/>
      <c r="F791" s="28">
        <v>46217</v>
      </c>
      <c r="G791" s="28" t="s">
        <v>1550</v>
      </c>
      <c r="H791" s="10" t="s">
        <v>39</v>
      </c>
      <c r="I791" s="10" t="s">
        <v>1592</v>
      </c>
      <c r="J791" s="195">
        <v>84876204433</v>
      </c>
      <c r="K791" s="181" t="s">
        <v>1593</v>
      </c>
      <c r="L791" s="108">
        <v>22666968</v>
      </c>
      <c r="M791" s="36">
        <v>5219911097339</v>
      </c>
      <c r="N791" s="170" t="s">
        <v>37</v>
      </c>
      <c r="O791" s="49">
        <v>11029.03</v>
      </c>
      <c r="P791" s="96">
        <v>3306.28</v>
      </c>
      <c r="Q791" s="12">
        <v>3308.71</v>
      </c>
      <c r="R791" s="12">
        <v>2.4300000000000002</v>
      </c>
      <c r="S791" s="73">
        <v>46756</v>
      </c>
      <c r="T791" s="10"/>
      <c r="U791" s="97"/>
      <c r="V791" s="1"/>
      <c r="X791" s="101">
        <v>2</v>
      </c>
    </row>
    <row r="792" spans="2:24" hidden="1">
      <c r="B792" s="6" t="s">
        <v>1594</v>
      </c>
      <c r="C792" s="23">
        <v>46217.45208333333</v>
      </c>
      <c r="D792" s="6" t="s">
        <v>24</v>
      </c>
      <c r="E792" s="6"/>
      <c r="F792" s="28">
        <v>46217</v>
      </c>
      <c r="G792" s="27" t="s">
        <v>1550</v>
      </c>
      <c r="H792" s="7" t="s">
        <v>476</v>
      </c>
      <c r="I792" s="6" t="s">
        <v>1595</v>
      </c>
      <c r="J792" s="192">
        <v>82876404243</v>
      </c>
      <c r="K792" s="180" t="s">
        <v>1596</v>
      </c>
      <c r="L792" s="108">
        <v>22674222</v>
      </c>
      <c r="M792" s="37">
        <v>5215539717108</v>
      </c>
      <c r="N792" s="169" t="s">
        <v>37</v>
      </c>
      <c r="O792" s="48">
        <v>9081.52</v>
      </c>
      <c r="P792" s="95">
        <v>2625.62</v>
      </c>
      <c r="Q792" s="13">
        <v>2724.46</v>
      </c>
      <c r="R792" s="13">
        <v>98.84</v>
      </c>
      <c r="S792" s="72">
        <v>46357</v>
      </c>
      <c r="T792" s="6"/>
      <c r="U792" s="164"/>
      <c r="V792" s="1"/>
      <c r="X792" s="101">
        <v>2</v>
      </c>
    </row>
    <row r="793" spans="2:24" hidden="1">
      <c r="B793" s="10" t="s">
        <v>1597</v>
      </c>
      <c r="C793" s="24">
        <v>46217.470833333333</v>
      </c>
      <c r="D793" s="10" t="s">
        <v>24</v>
      </c>
      <c r="E793" s="10"/>
      <c r="F793" s="28">
        <v>46217</v>
      </c>
      <c r="G793" s="28" t="s">
        <v>633</v>
      </c>
      <c r="H793" s="15" t="s">
        <v>476</v>
      </c>
      <c r="I793" s="10" t="s">
        <v>1598</v>
      </c>
      <c r="J793" s="193">
        <v>75816107793</v>
      </c>
      <c r="K793" s="181" t="s">
        <v>1599</v>
      </c>
      <c r="L793" s="112">
        <v>22671688</v>
      </c>
      <c r="M793" s="36">
        <v>5215517800554</v>
      </c>
      <c r="N793" s="170" t="s">
        <v>37</v>
      </c>
      <c r="O793" s="49">
        <v>9081.52</v>
      </c>
      <c r="P793" s="96">
        <v>2627.49</v>
      </c>
      <c r="Q793" s="12">
        <v>2724.46</v>
      </c>
      <c r="R793" s="12">
        <v>96.97</v>
      </c>
      <c r="S793" s="73">
        <v>46393</v>
      </c>
      <c r="T793" s="10"/>
      <c r="U793" s="97"/>
      <c r="V793" s="1"/>
      <c r="X793" s="101">
        <v>2</v>
      </c>
    </row>
    <row r="794" spans="2:24" hidden="1">
      <c r="B794" s="6" t="s">
        <v>1600</v>
      </c>
      <c r="C794" s="23">
        <v>46217.474305555559</v>
      </c>
      <c r="D794" s="6" t="s">
        <v>24</v>
      </c>
      <c r="E794" s="6"/>
      <c r="F794" s="28">
        <v>46217</v>
      </c>
      <c r="G794" s="27" t="s">
        <v>1550</v>
      </c>
      <c r="H794" s="6" t="s">
        <v>81</v>
      </c>
      <c r="I794" s="6" t="s">
        <v>1601</v>
      </c>
      <c r="J794" s="192"/>
      <c r="K794" s="180" t="s">
        <v>1602</v>
      </c>
      <c r="L794" s="108">
        <v>22688956</v>
      </c>
      <c r="M794" s="37">
        <v>5216646145173</v>
      </c>
      <c r="N794" s="169" t="s">
        <v>37</v>
      </c>
      <c r="O794" s="48">
        <v>9081.52</v>
      </c>
      <c r="P794" s="95">
        <v>2627.5</v>
      </c>
      <c r="Q794" s="13">
        <v>2724.46</v>
      </c>
      <c r="R794" s="13">
        <v>96.96</v>
      </c>
      <c r="S794" s="72">
        <v>46393</v>
      </c>
      <c r="T794" s="6"/>
      <c r="U794" s="164"/>
      <c r="V794" s="1"/>
      <c r="X794" s="101">
        <v>2</v>
      </c>
    </row>
    <row r="795" spans="2:24" hidden="1">
      <c r="B795" s="10" t="s">
        <v>1603</v>
      </c>
      <c r="C795" s="24">
        <v>46217.490277777775</v>
      </c>
      <c r="D795" s="10" t="s">
        <v>24</v>
      </c>
      <c r="E795" s="10"/>
      <c r="F795" s="28">
        <v>46217</v>
      </c>
      <c r="G795" s="28" t="s">
        <v>1550</v>
      </c>
      <c r="H795" s="10" t="s">
        <v>39</v>
      </c>
      <c r="I795" s="10" t="s">
        <v>1604</v>
      </c>
      <c r="J795" s="193">
        <v>54806475213</v>
      </c>
      <c r="K795" s="181" t="s">
        <v>1605</v>
      </c>
      <c r="L795" s="108">
        <v>22689350</v>
      </c>
      <c r="M795" s="36">
        <v>5213333266115</v>
      </c>
      <c r="N795" s="170" t="s">
        <v>28</v>
      </c>
      <c r="O795" s="49">
        <v>9760.32</v>
      </c>
      <c r="P795" s="96"/>
      <c r="Q795" s="12">
        <v>2928.1</v>
      </c>
      <c r="R795" s="14">
        <v>2928.1</v>
      </c>
      <c r="S795" s="73"/>
      <c r="T795" s="10"/>
      <c r="U795" s="97"/>
      <c r="V795" s="1"/>
      <c r="X795" s="101">
        <v>1</v>
      </c>
    </row>
    <row r="796" spans="2:24" hidden="1">
      <c r="B796" s="6" t="s">
        <v>1606</v>
      </c>
      <c r="C796" s="23">
        <v>46217.495138888888</v>
      </c>
      <c r="D796" s="6" t="s">
        <v>24</v>
      </c>
      <c r="E796" s="6"/>
      <c r="F796" s="28">
        <v>46217</v>
      </c>
      <c r="G796" s="27" t="s">
        <v>1550</v>
      </c>
      <c r="H796" s="6" t="s">
        <v>1519</v>
      </c>
      <c r="I796" s="6" t="s">
        <v>1607</v>
      </c>
      <c r="J796" s="192">
        <v>43836703074</v>
      </c>
      <c r="K796" s="180" t="s">
        <v>1608</v>
      </c>
      <c r="L796" s="108">
        <v>22690526</v>
      </c>
      <c r="M796" s="37">
        <v>5218115391672</v>
      </c>
      <c r="N796" s="169" t="s">
        <v>37</v>
      </c>
      <c r="O796" s="48">
        <v>8784.17</v>
      </c>
      <c r="P796" s="95">
        <v>2633.16</v>
      </c>
      <c r="Q796" s="13">
        <v>2635.25</v>
      </c>
      <c r="R796" s="13">
        <v>2.09</v>
      </c>
      <c r="S796" s="72">
        <v>46756</v>
      </c>
      <c r="T796" s="6"/>
      <c r="U796" s="164"/>
      <c r="V796" s="1"/>
      <c r="X796" s="101">
        <v>2</v>
      </c>
    </row>
    <row r="797" spans="2:24" hidden="1">
      <c r="B797" s="10" t="s">
        <v>1609</v>
      </c>
      <c r="C797" s="24">
        <v>46217.496527777781</v>
      </c>
      <c r="D797" s="10" t="s">
        <v>24</v>
      </c>
      <c r="E797" s="10"/>
      <c r="F797" s="28">
        <v>46217</v>
      </c>
      <c r="G797" s="28" t="s">
        <v>1550</v>
      </c>
      <c r="H797" s="10" t="s">
        <v>124</v>
      </c>
      <c r="I797" s="10" t="s">
        <v>1610</v>
      </c>
      <c r="J797" s="193">
        <v>1715235253</v>
      </c>
      <c r="K797" s="181" t="s">
        <v>1611</v>
      </c>
      <c r="L797" s="108">
        <v>22690354</v>
      </c>
      <c r="M797" s="36">
        <v>5215579810265</v>
      </c>
      <c r="N797" s="170" t="s">
        <v>28</v>
      </c>
      <c r="O797" s="49">
        <v>8173.36</v>
      </c>
      <c r="P797" s="96"/>
      <c r="Q797" s="12">
        <v>2452.0100000000002</v>
      </c>
      <c r="R797" s="14">
        <v>2452.0100000000002</v>
      </c>
      <c r="S797" s="73"/>
      <c r="T797" s="10"/>
      <c r="U797" s="97"/>
      <c r="V797" s="1"/>
      <c r="X797" s="101">
        <v>1</v>
      </c>
    </row>
    <row r="798" spans="2:24" hidden="1">
      <c r="B798" s="6" t="s">
        <v>1612</v>
      </c>
      <c r="C798" s="23">
        <v>46217.496527777781</v>
      </c>
      <c r="D798" s="6" t="s">
        <v>24</v>
      </c>
      <c r="E798" s="6"/>
      <c r="F798" s="28">
        <v>46217</v>
      </c>
      <c r="G798" s="27" t="s">
        <v>1550</v>
      </c>
      <c r="H798" s="10" t="s">
        <v>51</v>
      </c>
      <c r="I798" s="6" t="s">
        <v>1613</v>
      </c>
      <c r="J798" s="196">
        <v>43796302149</v>
      </c>
      <c r="K798" s="180" t="s">
        <v>1614</v>
      </c>
      <c r="L798" s="107">
        <v>22688094</v>
      </c>
      <c r="M798" s="37">
        <v>5218124111570</v>
      </c>
      <c r="N798" s="169" t="s">
        <v>106</v>
      </c>
      <c r="O798" s="48">
        <v>7920.51</v>
      </c>
      <c r="P798" s="95">
        <v>2101.11</v>
      </c>
      <c r="Q798" s="13">
        <v>2376.15</v>
      </c>
      <c r="R798" s="13">
        <v>275.04000000000002</v>
      </c>
      <c r="S798" s="72">
        <v>45668</v>
      </c>
      <c r="T798" s="6"/>
      <c r="U798" s="164"/>
      <c r="V798" s="1"/>
      <c r="X798" s="101">
        <v>2</v>
      </c>
    </row>
    <row r="799" spans="2:24" hidden="1">
      <c r="B799" s="10" t="s">
        <v>1615</v>
      </c>
      <c r="C799" s="24">
        <v>46217.497916666667</v>
      </c>
      <c r="D799" s="10" t="s">
        <v>24</v>
      </c>
      <c r="E799" s="10"/>
      <c r="F799" s="28">
        <v>46217</v>
      </c>
      <c r="G799" s="28">
        <v>46333</v>
      </c>
      <c r="H799" s="10" t="s">
        <v>78</v>
      </c>
      <c r="I799" s="10" t="s">
        <v>1616</v>
      </c>
      <c r="J799" s="193">
        <v>43896433091</v>
      </c>
      <c r="K799" s="181" t="s">
        <v>1617</v>
      </c>
      <c r="L799" s="108">
        <v>22580480</v>
      </c>
      <c r="M799" s="36">
        <v>5218115138552</v>
      </c>
      <c r="N799" s="170" t="s">
        <v>47</v>
      </c>
      <c r="O799" s="49">
        <v>15237.96</v>
      </c>
      <c r="P799" s="96">
        <v>3559.81</v>
      </c>
      <c r="Q799" s="12">
        <v>4571.3900000000003</v>
      </c>
      <c r="R799" s="16">
        <v>1011.58</v>
      </c>
      <c r="S799" s="73">
        <v>46393</v>
      </c>
      <c r="T799" s="10"/>
      <c r="U799" s="97"/>
      <c r="V799" s="1"/>
      <c r="X799" s="101">
        <v>2</v>
      </c>
    </row>
    <row r="800" spans="2:24" hidden="1">
      <c r="B800" s="6" t="s">
        <v>1618</v>
      </c>
      <c r="C800" s="23">
        <v>46217.502083333333</v>
      </c>
      <c r="D800" s="6" t="s">
        <v>24</v>
      </c>
      <c r="E800" s="6"/>
      <c r="F800" s="28">
        <v>46217</v>
      </c>
      <c r="G800" s="27">
        <v>46333</v>
      </c>
      <c r="H800" s="10" t="s">
        <v>93</v>
      </c>
      <c r="I800" s="6" t="s">
        <v>1619</v>
      </c>
      <c r="J800" s="192"/>
      <c r="K800" s="180" t="s">
        <v>1620</v>
      </c>
      <c r="L800" s="107">
        <v>22585848</v>
      </c>
      <c r="M800" s="37">
        <v>6351116443</v>
      </c>
      <c r="N800" s="169" t="s">
        <v>28</v>
      </c>
      <c r="O800" s="48">
        <v>18599.07</v>
      </c>
      <c r="P800" s="95"/>
      <c r="Q800" s="13">
        <v>5579.72</v>
      </c>
      <c r="R800" s="9">
        <v>5579.72</v>
      </c>
      <c r="S800" s="72"/>
      <c r="T800" s="6"/>
      <c r="U800" s="164"/>
      <c r="V800" s="1"/>
      <c r="X800" s="101">
        <v>1</v>
      </c>
    </row>
    <row r="801" spans="2:24" hidden="1">
      <c r="B801" s="10" t="s">
        <v>1621</v>
      </c>
      <c r="C801" s="24">
        <v>46217.505555555559</v>
      </c>
      <c r="D801" s="10" t="s">
        <v>24</v>
      </c>
      <c r="E801" s="10"/>
      <c r="F801" s="28">
        <v>46217</v>
      </c>
      <c r="G801" s="28" t="s">
        <v>633</v>
      </c>
      <c r="H801" s="10" t="s">
        <v>127</v>
      </c>
      <c r="I801" s="10" t="s">
        <v>1622</v>
      </c>
      <c r="J801" s="193">
        <v>78785909827</v>
      </c>
      <c r="K801" s="181" t="s">
        <v>1623</v>
      </c>
      <c r="L801" s="108">
        <v>22664576</v>
      </c>
      <c r="M801" s="36">
        <v>5219712095328</v>
      </c>
      <c r="N801" s="170" t="s">
        <v>32</v>
      </c>
      <c r="O801" s="49">
        <v>4554.84</v>
      </c>
      <c r="P801" s="96">
        <v>848</v>
      </c>
      <c r="Q801" s="12">
        <v>1366.45</v>
      </c>
      <c r="R801" s="12">
        <v>-466.14</v>
      </c>
      <c r="S801" s="73"/>
      <c r="T801" s="10"/>
      <c r="U801" s="97"/>
      <c r="V801" s="1"/>
      <c r="X801" s="101">
        <v>1</v>
      </c>
    </row>
    <row r="802" spans="2:24" hidden="1">
      <c r="B802" s="6" t="s">
        <v>1624</v>
      </c>
      <c r="C802" s="23">
        <v>46217.510416666664</v>
      </c>
      <c r="D802" s="6" t="s">
        <v>24</v>
      </c>
      <c r="E802" s="6"/>
      <c r="F802" s="28">
        <v>46217</v>
      </c>
      <c r="G802" s="27" t="s">
        <v>1550</v>
      </c>
      <c r="H802" s="10" t="s">
        <v>1625</v>
      </c>
      <c r="I802" s="6" t="s">
        <v>1626</v>
      </c>
      <c r="J802" s="192">
        <v>80917378064</v>
      </c>
      <c r="K802" s="180" t="s">
        <v>1627</v>
      </c>
      <c r="L802" s="115">
        <v>2</v>
      </c>
      <c r="M802" s="37">
        <v>8442638064</v>
      </c>
      <c r="N802" s="169" t="s">
        <v>130</v>
      </c>
      <c r="O802" s="48">
        <v>10482.5</v>
      </c>
      <c r="P802" s="95">
        <v>3139.11</v>
      </c>
      <c r="Q802" s="13">
        <v>3144.75</v>
      </c>
      <c r="R802" s="13">
        <v>5.64</v>
      </c>
      <c r="S802" s="72">
        <v>46029</v>
      </c>
      <c r="T802" s="6"/>
      <c r="U802" s="164"/>
      <c r="V802" s="1"/>
      <c r="X802" s="101">
        <v>2</v>
      </c>
    </row>
    <row r="803" spans="2:24" hidden="1">
      <c r="B803" s="10" t="s">
        <v>1628</v>
      </c>
      <c r="C803" s="24">
        <v>46217.532638888886</v>
      </c>
      <c r="D803" s="10" t="s">
        <v>24</v>
      </c>
      <c r="E803" s="10"/>
      <c r="F803" s="28">
        <v>46217</v>
      </c>
      <c r="G803" s="28" t="s">
        <v>1550</v>
      </c>
      <c r="H803" s="10" t="s">
        <v>1629</v>
      </c>
      <c r="I803" s="10"/>
      <c r="J803" s="193">
        <v>83916805209</v>
      </c>
      <c r="K803" s="182" t="s">
        <v>1630</v>
      </c>
      <c r="L803" s="116">
        <v>2</v>
      </c>
      <c r="M803" s="36">
        <v>9933945229</v>
      </c>
      <c r="N803" s="170" t="s">
        <v>98</v>
      </c>
      <c r="O803" s="49"/>
      <c r="P803" s="96"/>
      <c r="Q803" s="12">
        <v>0</v>
      </c>
      <c r="R803" s="12">
        <v>0</v>
      </c>
      <c r="S803" s="73"/>
      <c r="T803" s="10"/>
      <c r="U803" s="97"/>
      <c r="V803" s="1"/>
      <c r="X803" s="101">
        <v>0</v>
      </c>
    </row>
    <row r="804" spans="2:24" hidden="1">
      <c r="B804" s="6" t="s">
        <v>1631</v>
      </c>
      <c r="C804" s="23">
        <v>46217.538888888892</v>
      </c>
      <c r="D804" s="6" t="s">
        <v>24</v>
      </c>
      <c r="E804" s="6"/>
      <c r="F804" s="28">
        <v>46217</v>
      </c>
      <c r="G804" s="27" t="s">
        <v>633</v>
      </c>
      <c r="H804" s="7" t="s">
        <v>107</v>
      </c>
      <c r="I804" s="6" t="s">
        <v>1632</v>
      </c>
      <c r="J804" s="192">
        <v>1856300957</v>
      </c>
      <c r="K804" s="180"/>
      <c r="L804" s="108">
        <v>22669732</v>
      </c>
      <c r="M804" s="37">
        <v>5215521190796</v>
      </c>
      <c r="N804" s="169" t="s">
        <v>37</v>
      </c>
      <c r="O804" s="48">
        <v>18477.990000000002</v>
      </c>
      <c r="P804" s="95">
        <v>5534.19</v>
      </c>
      <c r="Q804" s="13">
        <v>5543.4</v>
      </c>
      <c r="R804" s="13">
        <v>9.2100000000000009</v>
      </c>
      <c r="S804" s="72">
        <v>46357</v>
      </c>
      <c r="T804" s="6"/>
      <c r="U804" s="164"/>
      <c r="V804" s="1"/>
      <c r="X804" s="101">
        <v>2</v>
      </c>
    </row>
    <row r="805" spans="2:24" hidden="1">
      <c r="B805" s="10" t="s">
        <v>1633</v>
      </c>
      <c r="C805" s="24">
        <v>46217.539583333331</v>
      </c>
      <c r="D805" s="10" t="s">
        <v>24</v>
      </c>
      <c r="E805" s="10"/>
      <c r="F805" s="28">
        <v>46217</v>
      </c>
      <c r="G805" s="28" t="s">
        <v>1550</v>
      </c>
      <c r="H805" s="10" t="s">
        <v>160</v>
      </c>
      <c r="I805" s="10" t="s">
        <v>1634</v>
      </c>
      <c r="J805" s="193"/>
      <c r="K805" s="181" t="s">
        <v>1635</v>
      </c>
      <c r="L805" s="108">
        <v>22690608</v>
      </c>
      <c r="M805" s="40">
        <v>5214931493971</v>
      </c>
      <c r="N805" s="170" t="s">
        <v>32</v>
      </c>
      <c r="O805" s="49">
        <v>3635.76</v>
      </c>
      <c r="P805" s="96">
        <v>848</v>
      </c>
      <c r="Q805" s="12">
        <v>1090.73</v>
      </c>
      <c r="R805" s="12">
        <v>-848</v>
      </c>
      <c r="S805" s="73"/>
      <c r="T805" s="10"/>
      <c r="U805" s="97"/>
      <c r="V805" s="1"/>
      <c r="X805" s="101">
        <v>1</v>
      </c>
    </row>
    <row r="806" spans="2:24" hidden="1">
      <c r="B806" s="6" t="s">
        <v>1636</v>
      </c>
      <c r="C806" s="23">
        <v>46217.545138888891</v>
      </c>
      <c r="D806" s="6" t="s">
        <v>24</v>
      </c>
      <c r="E806" s="6"/>
      <c r="F806" s="28">
        <v>46217</v>
      </c>
      <c r="G806" s="27" t="s">
        <v>1550</v>
      </c>
      <c r="H806" s="10" t="s">
        <v>160</v>
      </c>
      <c r="I806" s="6" t="s">
        <v>1637</v>
      </c>
      <c r="J806" s="192">
        <v>43846425387</v>
      </c>
      <c r="K806" s="180" t="s">
        <v>1638</v>
      </c>
      <c r="L806" s="107">
        <v>22690608</v>
      </c>
      <c r="M806" s="38">
        <v>5214931493971</v>
      </c>
      <c r="N806" s="169" t="s">
        <v>28</v>
      </c>
      <c r="O806" s="48">
        <v>9081.52</v>
      </c>
      <c r="P806" s="95">
        <v>848</v>
      </c>
      <c r="Q806" s="13">
        <v>2724.46</v>
      </c>
      <c r="R806" s="9">
        <v>1876.46</v>
      </c>
      <c r="S806" s="72"/>
      <c r="T806" s="6"/>
      <c r="U806" s="164"/>
      <c r="V806" s="1"/>
      <c r="X806" s="101">
        <v>1</v>
      </c>
    </row>
    <row r="807" spans="2:24" hidden="1">
      <c r="B807" s="10" t="s">
        <v>1639</v>
      </c>
      <c r="C807" s="24">
        <v>46217.552777777775</v>
      </c>
      <c r="D807" s="10" t="s">
        <v>24</v>
      </c>
      <c r="E807" s="10"/>
      <c r="F807" s="28">
        <v>46217</v>
      </c>
      <c r="G807" s="28" t="s">
        <v>1550</v>
      </c>
      <c r="H807" s="10" t="s">
        <v>1629</v>
      </c>
      <c r="I807" s="10" t="s">
        <v>1640</v>
      </c>
      <c r="J807" s="193">
        <v>11977310512</v>
      </c>
      <c r="K807" s="181" t="s">
        <v>1641</v>
      </c>
      <c r="L807" s="116">
        <v>2</v>
      </c>
      <c r="M807" s="36" t="s">
        <v>1642</v>
      </c>
      <c r="N807" s="170" t="s">
        <v>74</v>
      </c>
      <c r="O807" s="49"/>
      <c r="P807" s="96"/>
      <c r="Q807" s="12">
        <v>0</v>
      </c>
      <c r="R807" s="12">
        <v>0</v>
      </c>
      <c r="S807" s="73"/>
      <c r="T807" s="10"/>
      <c r="U807" s="97"/>
      <c r="V807" s="1"/>
      <c r="X807" s="101">
        <v>1</v>
      </c>
    </row>
    <row r="808" spans="2:24" hidden="1">
      <c r="B808" s="6" t="s">
        <v>1643</v>
      </c>
      <c r="C808" s="23">
        <v>46217.570833333331</v>
      </c>
      <c r="D808" s="6" t="s">
        <v>24</v>
      </c>
      <c r="E808" s="6"/>
      <c r="F808" s="28">
        <v>46217</v>
      </c>
      <c r="G808" s="27" t="s">
        <v>633</v>
      </c>
      <c r="H808" s="6" t="s">
        <v>93</v>
      </c>
      <c r="I808" s="6" t="s">
        <v>1644</v>
      </c>
      <c r="J808" s="192">
        <v>75927211138</v>
      </c>
      <c r="K808" s="180"/>
      <c r="L808" s="107">
        <v>22663030</v>
      </c>
      <c r="M808" s="37">
        <v>3339726347</v>
      </c>
      <c r="N808" s="169" t="s">
        <v>235</v>
      </c>
      <c r="O808" s="48">
        <v>2080.96</v>
      </c>
      <c r="P808" s="95"/>
      <c r="Q808" s="13">
        <v>624.29</v>
      </c>
      <c r="R808" s="13">
        <v>0</v>
      </c>
      <c r="S808" s="72"/>
      <c r="T808" s="6"/>
      <c r="U808" s="164"/>
      <c r="V808" s="1"/>
      <c r="X808" s="101">
        <v>1</v>
      </c>
    </row>
    <row r="809" spans="2:24" hidden="1">
      <c r="B809" s="10" t="s">
        <v>1645</v>
      </c>
      <c r="C809" s="24">
        <v>46217.576388888891</v>
      </c>
      <c r="D809" s="10" t="s">
        <v>24</v>
      </c>
      <c r="E809" s="10"/>
      <c r="F809" s="28">
        <v>46217</v>
      </c>
      <c r="G809" s="28" t="s">
        <v>633</v>
      </c>
      <c r="H809" s="10" t="s">
        <v>93</v>
      </c>
      <c r="I809" s="10" t="s">
        <v>1646</v>
      </c>
      <c r="J809" s="193">
        <v>57978000792</v>
      </c>
      <c r="K809" s="181" t="s">
        <v>1647</v>
      </c>
      <c r="L809" s="108">
        <v>22664916</v>
      </c>
      <c r="M809" s="36">
        <v>6442538324</v>
      </c>
      <c r="N809" s="170" t="s">
        <v>74</v>
      </c>
      <c r="O809" s="49"/>
      <c r="P809" s="96"/>
      <c r="Q809" s="12">
        <v>0</v>
      </c>
      <c r="R809" s="12">
        <v>0</v>
      </c>
      <c r="S809" s="73"/>
      <c r="T809" s="10"/>
      <c r="U809" s="97"/>
      <c r="V809" s="1"/>
      <c r="X809" s="101">
        <v>1</v>
      </c>
    </row>
    <row r="810" spans="2:24" hidden="1">
      <c r="B810" s="6" t="s">
        <v>1648</v>
      </c>
      <c r="C810" s="23">
        <v>46217.578472222223</v>
      </c>
      <c r="D810" s="6" t="s">
        <v>24</v>
      </c>
      <c r="E810" s="6"/>
      <c r="F810" s="28">
        <v>46217</v>
      </c>
      <c r="G810" s="27" t="s">
        <v>1550</v>
      </c>
      <c r="H810" s="7" t="s">
        <v>110</v>
      </c>
      <c r="I810" s="6" t="s">
        <v>1649</v>
      </c>
      <c r="J810" s="192">
        <v>33816544705</v>
      </c>
      <c r="K810" s="180"/>
      <c r="L810" s="108">
        <v>22669032</v>
      </c>
      <c r="M810" s="37">
        <v>5216141075794</v>
      </c>
      <c r="N810" s="169" t="s">
        <v>37</v>
      </c>
      <c r="O810" s="48">
        <v>10171.24</v>
      </c>
      <c r="P810" s="95">
        <v>2940.26</v>
      </c>
      <c r="Q810" s="13">
        <v>3051.37</v>
      </c>
      <c r="R810" s="13">
        <v>111.11</v>
      </c>
      <c r="S810" s="72">
        <v>46392</v>
      </c>
      <c r="T810" s="6"/>
      <c r="U810" s="164"/>
      <c r="V810" s="1"/>
      <c r="X810" s="101">
        <v>2</v>
      </c>
    </row>
    <row r="811" spans="2:24" hidden="1">
      <c r="B811" s="10" t="s">
        <v>1650</v>
      </c>
      <c r="C811" s="24">
        <v>46217.581944444442</v>
      </c>
      <c r="D811" s="10" t="s">
        <v>24</v>
      </c>
      <c r="E811" s="10"/>
      <c r="F811" s="28">
        <v>46217</v>
      </c>
      <c r="G811" s="28" t="s">
        <v>633</v>
      </c>
      <c r="H811" s="161" t="s">
        <v>170</v>
      </c>
      <c r="I811" s="10" t="s">
        <v>1651</v>
      </c>
      <c r="J811" s="193"/>
      <c r="K811" s="181" t="s">
        <v>1652</v>
      </c>
      <c r="L811" s="108">
        <v>22669924</v>
      </c>
      <c r="M811" s="36">
        <v>5216623287799</v>
      </c>
      <c r="N811" s="170" t="s">
        <v>47</v>
      </c>
      <c r="O811" s="49">
        <v>12103.68</v>
      </c>
      <c r="P811" s="96">
        <v>3240.99</v>
      </c>
      <c r="Q811" s="12">
        <v>3631.1</v>
      </c>
      <c r="R811" s="16">
        <v>390.11</v>
      </c>
      <c r="S811" s="73">
        <v>46395</v>
      </c>
      <c r="T811" s="10"/>
      <c r="U811" s="97"/>
      <c r="V811" s="1"/>
      <c r="X811" s="101">
        <v>2</v>
      </c>
    </row>
    <row r="812" spans="2:24" hidden="1">
      <c r="B812" s="6" t="s">
        <v>1653</v>
      </c>
      <c r="C812" s="23">
        <v>46217.587500000001</v>
      </c>
      <c r="D812" s="6" t="s">
        <v>24</v>
      </c>
      <c r="E812" s="6"/>
      <c r="F812" s="28">
        <v>46217</v>
      </c>
      <c r="G812" s="27">
        <v>46363</v>
      </c>
      <c r="H812" s="6" t="s">
        <v>51</v>
      </c>
      <c r="I812" s="6" t="s">
        <v>1654</v>
      </c>
      <c r="J812" s="192">
        <v>44856788138</v>
      </c>
      <c r="K812" s="180" t="s">
        <v>1655</v>
      </c>
      <c r="L812" s="107">
        <v>22610852</v>
      </c>
      <c r="M812" s="37">
        <v>5216627473764</v>
      </c>
      <c r="N812" s="169" t="s">
        <v>98</v>
      </c>
      <c r="O812" s="48"/>
      <c r="P812" s="95"/>
      <c r="Q812" s="13">
        <v>0</v>
      </c>
      <c r="R812" s="13">
        <v>0</v>
      </c>
      <c r="S812" s="72"/>
      <c r="T812" s="6"/>
      <c r="U812" s="164"/>
      <c r="V812" s="1"/>
      <c r="X812" s="101">
        <v>0</v>
      </c>
    </row>
    <row r="813" spans="2:24" hidden="1">
      <c r="B813" s="10" t="s">
        <v>1656</v>
      </c>
      <c r="C813" s="24">
        <v>46217.600694444445</v>
      </c>
      <c r="D813" s="10" t="s">
        <v>24</v>
      </c>
      <c r="E813" s="10"/>
      <c r="F813" s="28">
        <v>46217</v>
      </c>
      <c r="G813" s="28" t="s">
        <v>1550</v>
      </c>
      <c r="H813" s="10" t="s">
        <v>51</v>
      </c>
      <c r="I813" s="10" t="s">
        <v>1657</v>
      </c>
      <c r="J813" s="193">
        <v>52796001528</v>
      </c>
      <c r="K813" s="181" t="s">
        <v>1658</v>
      </c>
      <c r="L813" s="108">
        <v>22580608</v>
      </c>
      <c r="M813" s="36">
        <v>5213121423695</v>
      </c>
      <c r="N813" s="170" t="s">
        <v>37</v>
      </c>
      <c r="O813" s="49">
        <v>6262.86</v>
      </c>
      <c r="P813" s="96">
        <v>1719.96</v>
      </c>
      <c r="Q813" s="12">
        <v>1878.86</v>
      </c>
      <c r="R813" s="12">
        <v>158.9</v>
      </c>
      <c r="S813" s="73">
        <v>46396</v>
      </c>
      <c r="T813" s="10"/>
      <c r="U813" s="97"/>
      <c r="V813" s="1"/>
      <c r="X813" s="101">
        <v>2</v>
      </c>
    </row>
    <row r="814" spans="2:24" hidden="1">
      <c r="B814" s="6" t="s">
        <v>1659</v>
      </c>
      <c r="C814" s="23">
        <v>46217.602083333331</v>
      </c>
      <c r="D814" s="6" t="s">
        <v>24</v>
      </c>
      <c r="E814" s="6"/>
      <c r="F814" s="28">
        <v>46217</v>
      </c>
      <c r="G814" s="27" t="s">
        <v>633</v>
      </c>
      <c r="H814" s="18" t="s">
        <v>170</v>
      </c>
      <c r="I814" s="6" t="s">
        <v>1660</v>
      </c>
      <c r="J814" s="192"/>
      <c r="K814" s="180" t="s">
        <v>1661</v>
      </c>
      <c r="L814" s="108">
        <v>22673550</v>
      </c>
      <c r="M814" s="37">
        <v>5215575567247</v>
      </c>
      <c r="N814" s="169" t="s">
        <v>37</v>
      </c>
      <c r="O814" s="48">
        <v>5617.63</v>
      </c>
      <c r="P814" s="95">
        <v>1332.18</v>
      </c>
      <c r="Q814" s="13">
        <v>1685.29</v>
      </c>
      <c r="R814" s="13">
        <v>112.47</v>
      </c>
      <c r="S814" s="72">
        <v>46389</v>
      </c>
      <c r="T814" s="6" t="s">
        <v>259</v>
      </c>
      <c r="U814" s="164"/>
      <c r="V814" s="1"/>
      <c r="X814" s="101">
        <v>2</v>
      </c>
    </row>
    <row r="815" spans="2:24" hidden="1">
      <c r="B815" s="10" t="s">
        <v>1653</v>
      </c>
      <c r="C815" s="24">
        <v>46217.602777777778</v>
      </c>
      <c r="D815" s="10" t="s">
        <v>24</v>
      </c>
      <c r="E815" s="10"/>
      <c r="F815" s="28">
        <v>46217</v>
      </c>
      <c r="G815" s="28" t="s">
        <v>1550</v>
      </c>
      <c r="H815" s="10" t="s">
        <v>124</v>
      </c>
      <c r="I815" s="10" t="s">
        <v>1662</v>
      </c>
      <c r="J815" s="193"/>
      <c r="K815" s="181" t="s">
        <v>1663</v>
      </c>
      <c r="L815" s="108">
        <v>22687172</v>
      </c>
      <c r="M815" s="40">
        <v>5217772965573</v>
      </c>
      <c r="N815" s="170" t="s">
        <v>37</v>
      </c>
      <c r="O815" s="49">
        <v>16285.87</v>
      </c>
      <c r="P815" s="96">
        <v>4711.8900000000003</v>
      </c>
      <c r="Q815" s="12">
        <v>4885.76</v>
      </c>
      <c r="R815" s="12">
        <v>173.87</v>
      </c>
      <c r="S815" s="73">
        <v>46390</v>
      </c>
      <c r="T815" s="10"/>
      <c r="U815" s="97"/>
      <c r="V815" s="1"/>
      <c r="X815" s="101">
        <v>2</v>
      </c>
    </row>
    <row r="816" spans="2:24" hidden="1">
      <c r="B816" s="6" t="s">
        <v>1664</v>
      </c>
      <c r="C816" s="23">
        <v>46217.604166666664</v>
      </c>
      <c r="D816" s="6" t="s">
        <v>24</v>
      </c>
      <c r="E816" s="6"/>
      <c r="F816" s="28">
        <v>46217</v>
      </c>
      <c r="G816" s="27">
        <v>46060</v>
      </c>
      <c r="H816" s="6" t="s">
        <v>160</v>
      </c>
      <c r="I816" s="6" t="s">
        <v>1665</v>
      </c>
      <c r="J816" s="192">
        <v>83785811460</v>
      </c>
      <c r="K816" s="180" t="s">
        <v>1666</v>
      </c>
      <c r="L816" s="107">
        <v>22250642</v>
      </c>
      <c r="M816" s="37">
        <v>5219171010336</v>
      </c>
      <c r="N816" s="169" t="s">
        <v>32</v>
      </c>
      <c r="O816" s="48">
        <v>4342.43</v>
      </c>
      <c r="P816" s="95"/>
      <c r="Q816" s="13">
        <v>1302.73</v>
      </c>
      <c r="R816" s="13">
        <v>169.45</v>
      </c>
      <c r="S816" s="72"/>
      <c r="T816" s="6"/>
      <c r="U816" s="164"/>
      <c r="V816" s="1"/>
      <c r="X816" s="101">
        <v>1</v>
      </c>
    </row>
    <row r="817" spans="2:24" hidden="1">
      <c r="B817" s="10" t="s">
        <v>1667</v>
      </c>
      <c r="C817" s="24">
        <v>46217.615972222222</v>
      </c>
      <c r="D817" s="10" t="s">
        <v>24</v>
      </c>
      <c r="E817" s="10"/>
      <c r="F817" s="28">
        <v>46217</v>
      </c>
      <c r="G817" s="28" t="s">
        <v>633</v>
      </c>
      <c r="H817" s="10" t="s">
        <v>160</v>
      </c>
      <c r="I817" s="10" t="s">
        <v>1668</v>
      </c>
      <c r="J817" s="193">
        <v>64856506189</v>
      </c>
      <c r="K817" s="181" t="s">
        <v>1669</v>
      </c>
      <c r="L817" s="108">
        <v>22614856</v>
      </c>
      <c r="M817" s="36">
        <v>5215621633954</v>
      </c>
      <c r="N817" s="170" t="s">
        <v>37</v>
      </c>
      <c r="O817" s="49">
        <v>9760.32</v>
      </c>
      <c r="P817" s="96">
        <v>2823.87</v>
      </c>
      <c r="Q817" s="12">
        <v>2928.1</v>
      </c>
      <c r="R817" s="12">
        <v>104.23</v>
      </c>
      <c r="S817" s="73">
        <v>46399</v>
      </c>
      <c r="T817" s="10"/>
      <c r="U817" s="97"/>
      <c r="V817" s="1"/>
      <c r="X817" s="101">
        <v>2</v>
      </c>
    </row>
    <row r="818" spans="2:24" hidden="1">
      <c r="B818" s="6" t="s">
        <v>1564</v>
      </c>
      <c r="C818" s="23">
        <v>46217.616666666669</v>
      </c>
      <c r="D818" s="6" t="s">
        <v>24</v>
      </c>
      <c r="E818" s="6"/>
      <c r="F818" s="28">
        <v>46217</v>
      </c>
      <c r="G818" s="27">
        <v>46272</v>
      </c>
      <c r="H818" s="10" t="s">
        <v>68</v>
      </c>
      <c r="I818" s="6" t="s">
        <v>1670</v>
      </c>
      <c r="J818" s="192">
        <v>14937425560</v>
      </c>
      <c r="K818" s="180" t="s">
        <v>1671</v>
      </c>
      <c r="L818" s="107">
        <v>22515090</v>
      </c>
      <c r="M818" s="37">
        <v>5214423465502</v>
      </c>
      <c r="N818" s="169" t="s">
        <v>263</v>
      </c>
      <c r="O818" s="48">
        <v>9572.11</v>
      </c>
      <c r="P818" s="95">
        <v>2657.56</v>
      </c>
      <c r="Q818" s="13">
        <v>2871.63</v>
      </c>
      <c r="R818" s="13">
        <v>214.07</v>
      </c>
      <c r="S818" s="72">
        <v>46029</v>
      </c>
      <c r="T818" s="6" t="s">
        <v>178</v>
      </c>
      <c r="U818" s="164"/>
      <c r="V818" s="1"/>
      <c r="X818" s="101">
        <v>2</v>
      </c>
    </row>
    <row r="819" spans="2:24" hidden="1">
      <c r="B819" s="10" t="s">
        <v>1672</v>
      </c>
      <c r="C819" s="24">
        <v>46217.617361111108</v>
      </c>
      <c r="D819" s="10" t="s">
        <v>24</v>
      </c>
      <c r="E819" s="10"/>
      <c r="F819" s="28">
        <v>46217</v>
      </c>
      <c r="G819" s="28" t="s">
        <v>1550</v>
      </c>
      <c r="H819" s="17" t="s">
        <v>1519</v>
      </c>
      <c r="I819" s="17" t="s">
        <v>1673</v>
      </c>
      <c r="J819" s="193">
        <v>17866826435</v>
      </c>
      <c r="K819" s="184" t="s">
        <v>1674</v>
      </c>
      <c r="L819" s="108">
        <v>22664176</v>
      </c>
      <c r="M819" s="36">
        <v>5215519306122</v>
      </c>
      <c r="N819" s="170" t="s">
        <v>37</v>
      </c>
      <c r="O819" s="49">
        <v>7867.99</v>
      </c>
      <c r="P819" s="96">
        <v>2245.5</v>
      </c>
      <c r="Q819" s="12">
        <v>2360.4</v>
      </c>
      <c r="R819" s="12">
        <v>114.9</v>
      </c>
      <c r="S819" s="73">
        <v>46756</v>
      </c>
      <c r="T819" s="10"/>
      <c r="U819" s="97"/>
      <c r="V819" s="1"/>
      <c r="X819" s="101">
        <v>2</v>
      </c>
    </row>
    <row r="820" spans="2:24" hidden="1">
      <c r="B820" s="6" t="s">
        <v>1675</v>
      </c>
      <c r="C820" s="23">
        <v>46217.617361111108</v>
      </c>
      <c r="D820" s="6" t="s">
        <v>24</v>
      </c>
      <c r="E820" s="6"/>
      <c r="F820" s="28">
        <v>46217</v>
      </c>
      <c r="G820" s="27" t="s">
        <v>633</v>
      </c>
      <c r="H820" s="7" t="s">
        <v>107</v>
      </c>
      <c r="I820" s="6" t="s">
        <v>108</v>
      </c>
      <c r="J820" s="192"/>
      <c r="K820" s="180" t="s">
        <v>1676</v>
      </c>
      <c r="L820" s="108">
        <v>22668112</v>
      </c>
      <c r="M820" s="37">
        <v>5213121046588</v>
      </c>
      <c r="N820" s="169" t="s">
        <v>37</v>
      </c>
      <c r="O820" s="48">
        <v>9567.24</v>
      </c>
      <c r="P820" s="95">
        <v>2870.17</v>
      </c>
      <c r="Q820" s="13">
        <v>2870.17</v>
      </c>
      <c r="R820" s="13">
        <v>0</v>
      </c>
      <c r="S820" s="72">
        <v>46357</v>
      </c>
      <c r="T820" s="6"/>
      <c r="U820" s="164"/>
      <c r="V820" s="1"/>
      <c r="X820" s="101">
        <v>2</v>
      </c>
    </row>
    <row r="821" spans="2:24" ht="30.75" hidden="1">
      <c r="B821" s="10" t="s">
        <v>1677</v>
      </c>
      <c r="C821" s="24">
        <v>46217.633333333331</v>
      </c>
      <c r="D821" s="10" t="s">
        <v>24</v>
      </c>
      <c r="E821" s="10"/>
      <c r="F821" s="28">
        <v>46217</v>
      </c>
      <c r="G821" s="28">
        <v>46363</v>
      </c>
      <c r="H821" s="10" t="s">
        <v>51</v>
      </c>
      <c r="I821" s="10" t="s">
        <v>1678</v>
      </c>
      <c r="J821" s="195" t="s">
        <v>1679</v>
      </c>
      <c r="K821" s="181" t="s">
        <v>1680</v>
      </c>
      <c r="L821" s="108">
        <v>22611444</v>
      </c>
      <c r="M821" s="36">
        <v>5215587919977</v>
      </c>
      <c r="N821" s="170" t="s">
        <v>74</v>
      </c>
      <c r="O821" s="49"/>
      <c r="P821" s="96"/>
      <c r="Q821" s="12">
        <v>0</v>
      </c>
      <c r="R821" s="12">
        <v>0</v>
      </c>
      <c r="S821" s="73"/>
      <c r="T821" s="10"/>
      <c r="U821" s="97"/>
      <c r="V821" s="1"/>
      <c r="X821" s="101">
        <v>1</v>
      </c>
    </row>
    <row r="822" spans="2:24" hidden="1">
      <c r="B822" s="6" t="s">
        <v>1681</v>
      </c>
      <c r="C822" s="23">
        <v>46217.634027777778</v>
      </c>
      <c r="D822" s="6" t="s">
        <v>24</v>
      </c>
      <c r="E822" s="6"/>
      <c r="F822" s="28">
        <v>46217</v>
      </c>
      <c r="G822" s="27" t="s">
        <v>1550</v>
      </c>
      <c r="H822" s="6" t="s">
        <v>160</v>
      </c>
      <c r="I822" s="6" t="s">
        <v>1682</v>
      </c>
      <c r="J822" s="192">
        <v>33836564477</v>
      </c>
      <c r="K822" s="180" t="s">
        <v>1683</v>
      </c>
      <c r="L822" s="108">
        <v>22688356</v>
      </c>
      <c r="M822" s="37">
        <v>5216147878314</v>
      </c>
      <c r="N822" s="169" t="s">
        <v>37</v>
      </c>
      <c r="O822" s="48">
        <v>28241.17</v>
      </c>
      <c r="P822" s="95">
        <v>8464.31</v>
      </c>
      <c r="Q822" s="13">
        <v>8472.35</v>
      </c>
      <c r="R822" s="13">
        <v>8.0399999999999991</v>
      </c>
      <c r="S822" s="72">
        <v>46758</v>
      </c>
      <c r="T822" s="6" t="s">
        <v>192</v>
      </c>
      <c r="U822" s="164"/>
      <c r="V822" s="1"/>
      <c r="X822" s="101">
        <v>2</v>
      </c>
    </row>
    <row r="823" spans="2:24" hidden="1">
      <c r="B823" s="10" t="s">
        <v>1684</v>
      </c>
      <c r="C823" s="24">
        <v>46217.634722222225</v>
      </c>
      <c r="D823" s="10" t="s">
        <v>24</v>
      </c>
      <c r="E823" s="10"/>
      <c r="F823" s="28">
        <v>46217</v>
      </c>
      <c r="G823" s="28" t="s">
        <v>1550</v>
      </c>
      <c r="H823" s="10" t="s">
        <v>1519</v>
      </c>
      <c r="I823" s="10" t="s">
        <v>1685</v>
      </c>
      <c r="J823" s="193">
        <v>43816408686</v>
      </c>
      <c r="K823" s="181" t="s">
        <v>1686</v>
      </c>
      <c r="L823" s="108">
        <v>22698566</v>
      </c>
      <c r="M823" s="36">
        <v>5218120079204</v>
      </c>
      <c r="N823" s="170" t="s">
        <v>28</v>
      </c>
      <c r="O823" s="49">
        <v>34688.980000000003</v>
      </c>
      <c r="P823" s="96">
        <v>9023.91</v>
      </c>
      <c r="Q823" s="12">
        <v>10406.69</v>
      </c>
      <c r="R823" s="14">
        <v>1382.78</v>
      </c>
      <c r="S823" s="73">
        <v>46034</v>
      </c>
      <c r="T823" s="10"/>
      <c r="U823" s="97"/>
      <c r="V823" s="1"/>
      <c r="X823" s="101">
        <v>2</v>
      </c>
    </row>
    <row r="824" spans="2:24" hidden="1">
      <c r="B824" s="6" t="s">
        <v>1687</v>
      </c>
      <c r="C824" s="23">
        <v>46217.636111111111</v>
      </c>
      <c r="D824" s="6" t="s">
        <v>24</v>
      </c>
      <c r="E824" s="6"/>
      <c r="F824" s="28">
        <v>46217</v>
      </c>
      <c r="G824" s="27" t="s">
        <v>633</v>
      </c>
      <c r="H824" s="6" t="s">
        <v>93</v>
      </c>
      <c r="I824" s="6" t="s">
        <v>1688</v>
      </c>
      <c r="J824" s="192"/>
      <c r="K824" s="180" t="s">
        <v>1689</v>
      </c>
      <c r="L824" s="107">
        <v>22665794</v>
      </c>
      <c r="M824" s="37">
        <v>7204540873</v>
      </c>
      <c r="N824" s="169" t="s">
        <v>32</v>
      </c>
      <c r="O824" s="48">
        <v>4346.07</v>
      </c>
      <c r="P824" s="95">
        <v>848</v>
      </c>
      <c r="Q824" s="13">
        <v>1303.82</v>
      </c>
      <c r="R824" s="13">
        <v>-674.91</v>
      </c>
      <c r="S824" s="72"/>
      <c r="T824" s="6"/>
      <c r="U824" s="164"/>
      <c r="V824" s="1"/>
      <c r="X824" s="101">
        <v>1</v>
      </c>
    </row>
    <row r="825" spans="2:24" hidden="1">
      <c r="B825" s="10" t="s">
        <v>1690</v>
      </c>
      <c r="C825" s="24">
        <v>46217.636111111111</v>
      </c>
      <c r="D825" s="10" t="s">
        <v>24</v>
      </c>
      <c r="E825" s="10"/>
      <c r="F825" s="28">
        <v>46217</v>
      </c>
      <c r="G825" s="28" t="s">
        <v>1550</v>
      </c>
      <c r="H825" s="10" t="s">
        <v>78</v>
      </c>
      <c r="I825" s="10" t="s">
        <v>1691</v>
      </c>
      <c r="J825" s="193">
        <v>43856022280</v>
      </c>
      <c r="K825" s="181" t="s">
        <v>1692</v>
      </c>
      <c r="L825" s="108">
        <v>22690880</v>
      </c>
      <c r="M825" s="36">
        <v>5218123409540</v>
      </c>
      <c r="N825" s="170" t="s">
        <v>130</v>
      </c>
      <c r="O825" s="49">
        <v>6262.86</v>
      </c>
      <c r="P825" s="96">
        <v>830.61</v>
      </c>
      <c r="Q825" s="12">
        <v>1878.86</v>
      </c>
      <c r="R825" s="16">
        <v>1048.25</v>
      </c>
      <c r="S825" s="73">
        <v>45299</v>
      </c>
      <c r="T825" s="10"/>
      <c r="U825" s="97"/>
      <c r="V825" s="1"/>
      <c r="X825" s="101">
        <v>2</v>
      </c>
    </row>
    <row r="826" spans="2:24" hidden="1">
      <c r="B826" s="6" t="s">
        <v>1693</v>
      </c>
      <c r="C826" s="23">
        <v>46217.636805555558</v>
      </c>
      <c r="D826" s="6" t="s">
        <v>24</v>
      </c>
      <c r="E826" s="6"/>
      <c r="F826" s="28">
        <v>46217</v>
      </c>
      <c r="G826" s="27" t="s">
        <v>1550</v>
      </c>
      <c r="H826" s="6" t="s">
        <v>78</v>
      </c>
      <c r="I826" s="6" t="s">
        <v>1694</v>
      </c>
      <c r="J826" s="192"/>
      <c r="K826" s="180" t="s">
        <v>1695</v>
      </c>
      <c r="L826" s="108">
        <v>22686468</v>
      </c>
      <c r="M826" s="37">
        <v>5216391026302</v>
      </c>
      <c r="N826" s="169" t="s">
        <v>37</v>
      </c>
      <c r="O826" s="48">
        <v>7920.51</v>
      </c>
      <c r="P826" s="95">
        <v>2291.6</v>
      </c>
      <c r="Q826" s="13">
        <v>2376.15</v>
      </c>
      <c r="R826" s="13">
        <v>84.55</v>
      </c>
      <c r="S826" s="72">
        <v>46753</v>
      </c>
      <c r="T826" s="6"/>
      <c r="U826" s="164"/>
      <c r="V826" s="1"/>
      <c r="X826" s="101">
        <v>2</v>
      </c>
    </row>
    <row r="827" spans="2:24" hidden="1">
      <c r="B827" s="10" t="s">
        <v>1690</v>
      </c>
      <c r="C827" s="24">
        <v>46217.636805555558</v>
      </c>
      <c r="D827" s="10" t="s">
        <v>24</v>
      </c>
      <c r="E827" s="10"/>
      <c r="F827" s="28">
        <v>46217</v>
      </c>
      <c r="G827" s="28" t="s">
        <v>633</v>
      </c>
      <c r="H827" s="10" t="s">
        <v>78</v>
      </c>
      <c r="I827" s="10" t="s">
        <v>1696</v>
      </c>
      <c r="J827" s="193">
        <v>4806305977</v>
      </c>
      <c r="K827" s="181" t="s">
        <v>1697</v>
      </c>
      <c r="L827" s="108">
        <v>22667208</v>
      </c>
      <c r="M827" s="36">
        <v>5218112130618</v>
      </c>
      <c r="N827" s="170" t="s">
        <v>28</v>
      </c>
      <c r="O827" s="49">
        <v>7920.53</v>
      </c>
      <c r="P827" s="96"/>
      <c r="Q827" s="12">
        <v>2376.16</v>
      </c>
      <c r="R827" s="14">
        <v>2376.16</v>
      </c>
      <c r="S827" s="73"/>
      <c r="T827" s="10"/>
      <c r="U827" s="97"/>
      <c r="V827" s="1"/>
      <c r="X827" s="101">
        <v>1</v>
      </c>
    </row>
    <row r="828" spans="2:24" hidden="1">
      <c r="B828" s="6" t="s">
        <v>1698</v>
      </c>
      <c r="C828" s="23">
        <v>46217.645138888889</v>
      </c>
      <c r="D828" s="6" t="s">
        <v>24</v>
      </c>
      <c r="E828" s="6"/>
      <c r="F828" s="28">
        <v>46217</v>
      </c>
      <c r="G828" s="27" t="s">
        <v>1550</v>
      </c>
      <c r="H828" s="6" t="s">
        <v>124</v>
      </c>
      <c r="I828" s="6" t="s">
        <v>1699</v>
      </c>
      <c r="J828" s="192">
        <v>71805703718</v>
      </c>
      <c r="K828" s="180" t="s">
        <v>1700</v>
      </c>
      <c r="L828" s="108">
        <v>22701272</v>
      </c>
      <c r="M828" s="37">
        <v>5219626967021</v>
      </c>
      <c r="N828" s="169" t="s">
        <v>37</v>
      </c>
      <c r="O828" s="48">
        <v>6130.48</v>
      </c>
      <c r="P828" s="95">
        <v>1838.87</v>
      </c>
      <c r="Q828" s="13">
        <v>1839.14</v>
      </c>
      <c r="R828" s="13">
        <v>0.27</v>
      </c>
      <c r="S828" s="72">
        <v>46758</v>
      </c>
      <c r="T828" s="6" t="s">
        <v>178</v>
      </c>
      <c r="U828" s="164"/>
      <c r="V828" s="1"/>
      <c r="X828" s="101">
        <v>2</v>
      </c>
    </row>
    <row r="829" spans="2:24" hidden="1">
      <c r="B829" s="10" t="s">
        <v>1701</v>
      </c>
      <c r="C829" s="24">
        <v>46217.645833333336</v>
      </c>
      <c r="D829" s="10" t="s">
        <v>24</v>
      </c>
      <c r="E829" s="10"/>
      <c r="F829" s="28">
        <v>46217</v>
      </c>
      <c r="G829" s="28" t="s">
        <v>1550</v>
      </c>
      <c r="H829" s="10" t="s">
        <v>81</v>
      </c>
      <c r="I829" s="10" t="s">
        <v>1702</v>
      </c>
      <c r="J829" s="193">
        <v>62826018053</v>
      </c>
      <c r="K829" s="181" t="s">
        <v>1703</v>
      </c>
      <c r="L829" s="108">
        <v>22701026</v>
      </c>
      <c r="M829" s="36">
        <v>5212224714964</v>
      </c>
      <c r="N829" s="170" t="s">
        <v>37</v>
      </c>
      <c r="O829" s="49">
        <v>9760.32</v>
      </c>
      <c r="P829" s="96">
        <v>2928.1</v>
      </c>
      <c r="Q829" s="12">
        <v>2928.1</v>
      </c>
      <c r="R829" s="12">
        <v>0</v>
      </c>
      <c r="S829" s="73">
        <v>46758</v>
      </c>
      <c r="T829" s="10"/>
      <c r="U829" s="97"/>
      <c r="V829" s="1"/>
      <c r="X829" s="101">
        <v>2</v>
      </c>
    </row>
    <row r="830" spans="2:24" hidden="1">
      <c r="B830" s="6" t="s">
        <v>1704</v>
      </c>
      <c r="C830" s="23">
        <v>46217.645833333336</v>
      </c>
      <c r="D830" s="6" t="s">
        <v>24</v>
      </c>
      <c r="E830" s="6"/>
      <c r="F830" s="28">
        <v>46217</v>
      </c>
      <c r="G830" s="27" t="s">
        <v>1550</v>
      </c>
      <c r="H830" s="10" t="s">
        <v>1519</v>
      </c>
      <c r="I830" s="6" t="s">
        <v>1705</v>
      </c>
      <c r="J830" s="196">
        <v>32836529282</v>
      </c>
      <c r="K830" s="180" t="s">
        <v>1706</v>
      </c>
      <c r="L830" s="107">
        <v>22697576</v>
      </c>
      <c r="M830" s="37">
        <v>5218662349794</v>
      </c>
      <c r="N830" s="169" t="s">
        <v>47</v>
      </c>
      <c r="O830" s="48">
        <v>10171.19</v>
      </c>
      <c r="P830" s="95">
        <v>2743.1</v>
      </c>
      <c r="Q830" s="13">
        <v>3051.36</v>
      </c>
      <c r="R830" s="22">
        <v>308.26</v>
      </c>
      <c r="S830" s="72">
        <v>46394</v>
      </c>
      <c r="T830" s="6"/>
      <c r="U830" s="164"/>
      <c r="V830" s="1"/>
      <c r="X830" s="101">
        <v>2</v>
      </c>
    </row>
    <row r="831" spans="2:24" hidden="1">
      <c r="B831" s="10" t="s">
        <v>1707</v>
      </c>
      <c r="C831" s="24">
        <v>46217.645833333336</v>
      </c>
      <c r="D831" s="10" t="s">
        <v>24</v>
      </c>
      <c r="E831" s="10"/>
      <c r="F831" s="28">
        <v>46217</v>
      </c>
      <c r="G831" s="28" t="s">
        <v>1550</v>
      </c>
      <c r="H831" s="10" t="s">
        <v>160</v>
      </c>
      <c r="I831" s="10" t="s">
        <v>1708</v>
      </c>
      <c r="J831" s="193">
        <v>1796330072</v>
      </c>
      <c r="K831" s="181" t="s">
        <v>1709</v>
      </c>
      <c r="L831" s="108">
        <v>22697714</v>
      </c>
      <c r="M831" s="36">
        <v>5216692120144</v>
      </c>
      <c r="N831" s="170" t="s">
        <v>37</v>
      </c>
      <c r="O831" s="49">
        <v>17188.04</v>
      </c>
      <c r="P831" s="96">
        <v>5155</v>
      </c>
      <c r="Q831" s="12">
        <v>5156.41</v>
      </c>
      <c r="R831" s="12">
        <v>1.41</v>
      </c>
      <c r="S831" s="73">
        <v>46327</v>
      </c>
      <c r="T831" s="10"/>
      <c r="U831" s="97"/>
      <c r="V831" s="1"/>
      <c r="X831" s="101">
        <v>2</v>
      </c>
    </row>
    <row r="832" spans="2:24" hidden="1">
      <c r="B832" s="6" t="s">
        <v>1710</v>
      </c>
      <c r="C832" s="23">
        <v>46217.654861111114</v>
      </c>
      <c r="D832" s="6" t="s">
        <v>24</v>
      </c>
      <c r="E832" s="6"/>
      <c r="F832" s="28">
        <v>46217</v>
      </c>
      <c r="G832" s="27" t="s">
        <v>1550</v>
      </c>
      <c r="H832" s="6" t="s">
        <v>124</v>
      </c>
      <c r="I832" s="6" t="s">
        <v>1711</v>
      </c>
      <c r="J832" s="192">
        <v>1927126357</v>
      </c>
      <c r="K832" s="180" t="s">
        <v>1712</v>
      </c>
      <c r="L832" s="107">
        <v>22702172</v>
      </c>
      <c r="M832" s="37">
        <v>5215656667797</v>
      </c>
      <c r="N832" s="169" t="s">
        <v>74</v>
      </c>
      <c r="O832" s="48"/>
      <c r="P832" s="95"/>
      <c r="Q832" s="13">
        <v>0</v>
      </c>
      <c r="R832" s="13">
        <v>0</v>
      </c>
      <c r="S832" s="72"/>
      <c r="T832" s="6"/>
      <c r="U832" s="164"/>
      <c r="V832" s="1"/>
      <c r="X832" s="101">
        <v>1</v>
      </c>
    </row>
    <row r="833" spans="2:24" hidden="1">
      <c r="B833" s="10" t="s">
        <v>1713</v>
      </c>
      <c r="C833" s="24">
        <v>46217.65902777778</v>
      </c>
      <c r="D833" s="10" t="s">
        <v>24</v>
      </c>
      <c r="E833" s="10"/>
      <c r="F833" s="28">
        <v>46217</v>
      </c>
      <c r="G833" s="28" t="s">
        <v>1550</v>
      </c>
      <c r="H833" s="10" t="s">
        <v>127</v>
      </c>
      <c r="I833" s="10" t="s">
        <v>1714</v>
      </c>
      <c r="J833" s="193">
        <v>37886400987</v>
      </c>
      <c r="K833" s="181" t="s">
        <v>1715</v>
      </c>
      <c r="L833" s="108">
        <v>22690438</v>
      </c>
      <c r="M833" s="36">
        <v>5215540411813</v>
      </c>
      <c r="N833" s="170" t="s">
        <v>28</v>
      </c>
      <c r="O833" s="49">
        <v>28949.8</v>
      </c>
      <c r="P833" s="96"/>
      <c r="Q833" s="12">
        <v>8684.94</v>
      </c>
      <c r="R833" s="14">
        <v>8684.94</v>
      </c>
      <c r="S833" s="73"/>
      <c r="T833" s="10"/>
      <c r="U833" s="97"/>
      <c r="V833" s="1"/>
      <c r="X833" s="101">
        <v>1</v>
      </c>
    </row>
    <row r="834" spans="2:24" hidden="1">
      <c r="B834" s="6" t="s">
        <v>1716</v>
      </c>
      <c r="C834" s="23">
        <v>46217.671527777777</v>
      </c>
      <c r="D834" s="6" t="s">
        <v>24</v>
      </c>
      <c r="E834" s="6"/>
      <c r="F834" s="28">
        <v>46217</v>
      </c>
      <c r="G834" s="27" t="s">
        <v>1550</v>
      </c>
      <c r="H834" s="10" t="s">
        <v>127</v>
      </c>
      <c r="I834" s="6" t="s">
        <v>1717</v>
      </c>
      <c r="J834" s="192">
        <v>32786204373</v>
      </c>
      <c r="K834" s="180" t="s">
        <v>1718</v>
      </c>
      <c r="L834" s="107">
        <v>22700936</v>
      </c>
      <c r="M834" s="37">
        <v>5218444602026</v>
      </c>
      <c r="N834" s="169" t="s">
        <v>130</v>
      </c>
      <c r="O834" s="48">
        <v>8859.2099999999991</v>
      </c>
      <c r="P834" s="95">
        <v>2560.73</v>
      </c>
      <c r="Q834" s="13">
        <v>2657.76</v>
      </c>
      <c r="R834" s="13">
        <v>97.03</v>
      </c>
      <c r="S834" s="72">
        <v>46028</v>
      </c>
      <c r="T834" s="6"/>
      <c r="U834" s="164"/>
      <c r="V834" s="1"/>
      <c r="X834" s="101">
        <v>2</v>
      </c>
    </row>
    <row r="835" spans="2:24" hidden="1">
      <c r="B835" s="10" t="s">
        <v>1719</v>
      </c>
      <c r="C835" s="24">
        <v>46217.672222222223</v>
      </c>
      <c r="D835" s="10" t="s">
        <v>24</v>
      </c>
      <c r="E835" s="10"/>
      <c r="F835" s="28">
        <v>46217</v>
      </c>
      <c r="G835" s="28" t="s">
        <v>1550</v>
      </c>
      <c r="H835" s="10" t="s">
        <v>160</v>
      </c>
      <c r="I835" s="10" t="s">
        <v>1720</v>
      </c>
      <c r="J835" s="193">
        <v>70886202467</v>
      </c>
      <c r="K835" s="181" t="s">
        <v>1721</v>
      </c>
      <c r="L835" s="108">
        <v>22700398</v>
      </c>
      <c r="M835" s="36">
        <v>5215558789763</v>
      </c>
      <c r="N835" s="170" t="s">
        <v>28</v>
      </c>
      <c r="O835" s="49">
        <v>7920.53</v>
      </c>
      <c r="P835" s="96"/>
      <c r="Q835" s="12">
        <v>2376.16</v>
      </c>
      <c r="R835" s="14">
        <v>2376.16</v>
      </c>
      <c r="S835" s="73"/>
      <c r="T835" s="10"/>
      <c r="U835" s="97"/>
      <c r="V835" s="1"/>
      <c r="X835" s="101">
        <v>1</v>
      </c>
    </row>
    <row r="836" spans="2:24" hidden="1">
      <c r="B836" s="6" t="s">
        <v>1722</v>
      </c>
      <c r="C836" s="23">
        <v>46217.673611111109</v>
      </c>
      <c r="D836" s="6" t="s">
        <v>24</v>
      </c>
      <c r="E836" s="6"/>
      <c r="F836" s="28">
        <v>46217</v>
      </c>
      <c r="G836" s="27" t="s">
        <v>1550</v>
      </c>
      <c r="H836" s="6" t="s">
        <v>51</v>
      </c>
      <c r="I836" s="6" t="s">
        <v>1723</v>
      </c>
      <c r="J836" s="192">
        <v>12945910847</v>
      </c>
      <c r="K836" s="180" t="s">
        <v>1724</v>
      </c>
      <c r="L836" s="107">
        <v>22702834</v>
      </c>
      <c r="M836" s="37">
        <v>5214171778946</v>
      </c>
      <c r="N836" s="169" t="s">
        <v>32</v>
      </c>
      <c r="O836" s="48">
        <v>3488.31</v>
      </c>
      <c r="P836" s="95"/>
      <c r="Q836" s="13">
        <v>1046.49</v>
      </c>
      <c r="R836" s="13">
        <v>0</v>
      </c>
      <c r="S836" s="72"/>
      <c r="T836" s="6"/>
      <c r="U836" s="164"/>
      <c r="V836" s="1"/>
      <c r="X836" s="101">
        <v>1</v>
      </c>
    </row>
    <row r="837" spans="2:24" hidden="1">
      <c r="B837" s="10" t="s">
        <v>1725</v>
      </c>
      <c r="C837" s="24">
        <v>46217.674305555556</v>
      </c>
      <c r="D837" s="10" t="s">
        <v>24</v>
      </c>
      <c r="E837" s="10"/>
      <c r="F837" s="28">
        <v>46217</v>
      </c>
      <c r="G837" s="28" t="s">
        <v>1550</v>
      </c>
      <c r="H837" s="10" t="s">
        <v>81</v>
      </c>
      <c r="I837" s="10" t="s">
        <v>1726</v>
      </c>
      <c r="J837" s="193">
        <v>42816307559</v>
      </c>
      <c r="K837" s="181" t="s">
        <v>1727</v>
      </c>
      <c r="L837" s="108">
        <v>22699024</v>
      </c>
      <c r="M837" s="36">
        <v>5215648680800</v>
      </c>
      <c r="N837" s="170" t="s">
        <v>28</v>
      </c>
      <c r="O837" s="49">
        <v>7920.51</v>
      </c>
      <c r="P837" s="96"/>
      <c r="Q837" s="12">
        <v>2376.15</v>
      </c>
      <c r="R837" s="14">
        <v>2376.15</v>
      </c>
      <c r="S837" s="73"/>
      <c r="T837" s="10"/>
      <c r="U837" s="97"/>
      <c r="V837" s="1"/>
      <c r="X837" s="101">
        <v>1</v>
      </c>
    </row>
    <row r="838" spans="2:24" hidden="1">
      <c r="B838" s="6" t="s">
        <v>1675</v>
      </c>
      <c r="C838" s="23">
        <v>46217.679861111108</v>
      </c>
      <c r="D838" s="6" t="s">
        <v>24</v>
      </c>
      <c r="E838" s="6"/>
      <c r="F838" s="28">
        <v>46217</v>
      </c>
      <c r="G838" s="27" t="s">
        <v>1550</v>
      </c>
      <c r="H838" s="6" t="s">
        <v>68</v>
      </c>
      <c r="I838" s="6" t="s">
        <v>1728</v>
      </c>
      <c r="J838" s="192"/>
      <c r="K838" s="180" t="s">
        <v>1729</v>
      </c>
      <c r="L838" s="108">
        <v>22697788</v>
      </c>
      <c r="M838" s="37">
        <v>5214271659626</v>
      </c>
      <c r="N838" s="169" t="s">
        <v>37</v>
      </c>
      <c r="O838" s="48">
        <v>27739.16</v>
      </c>
      <c r="P838" s="95">
        <v>8024.42</v>
      </c>
      <c r="Q838" s="13">
        <v>8321.75</v>
      </c>
      <c r="R838" s="13">
        <v>297.33</v>
      </c>
      <c r="S838" s="72">
        <v>46397</v>
      </c>
      <c r="T838" s="6" t="s">
        <v>178</v>
      </c>
      <c r="U838" s="164"/>
      <c r="V838" s="1"/>
      <c r="X838" s="101">
        <v>2</v>
      </c>
    </row>
    <row r="839" spans="2:24" hidden="1">
      <c r="B839" s="10" t="s">
        <v>1730</v>
      </c>
      <c r="C839" s="24">
        <v>46217.681944444441</v>
      </c>
      <c r="D839" s="10" t="s">
        <v>24</v>
      </c>
      <c r="E839" s="10"/>
      <c r="F839" s="28">
        <v>46217</v>
      </c>
      <c r="G839" s="28" t="s">
        <v>1550</v>
      </c>
      <c r="H839" s="10" t="s">
        <v>103</v>
      </c>
      <c r="I839" s="10"/>
      <c r="J839" s="202">
        <v>9017725111</v>
      </c>
      <c r="K839" s="181"/>
      <c r="L839" s="111">
        <v>1</v>
      </c>
      <c r="M839" s="36">
        <v>8994207464</v>
      </c>
      <c r="N839" s="170" t="s">
        <v>98</v>
      </c>
      <c r="O839" s="49"/>
      <c r="P839" s="96"/>
      <c r="Q839" s="12">
        <v>0</v>
      </c>
      <c r="R839" s="12">
        <v>0</v>
      </c>
      <c r="S839" s="73"/>
      <c r="T839" s="10"/>
      <c r="U839" s="97"/>
      <c r="V839" s="1"/>
      <c r="X839" s="101">
        <v>0</v>
      </c>
    </row>
    <row r="840" spans="2:24" hidden="1">
      <c r="B840" s="6" t="s">
        <v>1731</v>
      </c>
      <c r="C840" s="23">
        <v>46217.697222222225</v>
      </c>
      <c r="D840" s="6" t="s">
        <v>24</v>
      </c>
      <c r="E840" s="6"/>
      <c r="F840" s="28">
        <v>46217</v>
      </c>
      <c r="G840" s="27" t="s">
        <v>633</v>
      </c>
      <c r="H840" s="7" t="s">
        <v>110</v>
      </c>
      <c r="I840" s="6" t="s">
        <v>1732</v>
      </c>
      <c r="J840" s="192">
        <v>65907514528</v>
      </c>
      <c r="K840" s="180" t="s">
        <v>1733</v>
      </c>
      <c r="L840" s="107">
        <v>22667718</v>
      </c>
      <c r="M840" s="37">
        <v>5216631098121</v>
      </c>
      <c r="N840" s="169" t="s">
        <v>74</v>
      </c>
      <c r="O840" s="48"/>
      <c r="P840" s="95"/>
      <c r="Q840" s="13">
        <v>0</v>
      </c>
      <c r="R840" s="13">
        <v>0</v>
      </c>
      <c r="S840" s="72"/>
      <c r="T840" s="6"/>
      <c r="U840" s="164"/>
      <c r="V840" s="1"/>
      <c r="X840" s="101">
        <v>1</v>
      </c>
    </row>
    <row r="841" spans="2:24" hidden="1">
      <c r="B841" s="10" t="s">
        <v>1734</v>
      </c>
      <c r="C841" s="24">
        <v>46217.703472222223</v>
      </c>
      <c r="D841" s="10" t="s">
        <v>24</v>
      </c>
      <c r="E841" s="10"/>
      <c r="F841" s="28">
        <v>46217</v>
      </c>
      <c r="G841" s="28">
        <v>46333</v>
      </c>
      <c r="H841" s="10" t="s">
        <v>61</v>
      </c>
      <c r="I841" s="10" t="s">
        <v>1735</v>
      </c>
      <c r="J841" s="193">
        <v>41855300145</v>
      </c>
      <c r="K841" s="179" t="s">
        <v>1736</v>
      </c>
      <c r="L841" s="108">
        <v>22583472</v>
      </c>
      <c r="M841" s="40">
        <v>5214871558806</v>
      </c>
      <c r="N841" s="170" t="s">
        <v>32</v>
      </c>
      <c r="O841" s="49">
        <v>3488.34</v>
      </c>
      <c r="P841" s="96"/>
      <c r="Q841" s="12">
        <v>1046.5</v>
      </c>
      <c r="R841" s="12">
        <v>0</v>
      </c>
      <c r="S841" s="73"/>
      <c r="T841" s="10"/>
      <c r="U841" s="97"/>
      <c r="V841" s="1"/>
      <c r="X841" s="101">
        <v>1</v>
      </c>
    </row>
    <row r="842" spans="2:24" hidden="1">
      <c r="B842" s="6" t="s">
        <v>1737</v>
      </c>
      <c r="C842" s="23">
        <v>46217.709027777775</v>
      </c>
      <c r="D842" s="6" t="s">
        <v>24</v>
      </c>
      <c r="E842" s="6"/>
      <c r="F842" s="28">
        <v>46217</v>
      </c>
      <c r="G842" s="27" t="s">
        <v>1550</v>
      </c>
      <c r="H842" s="6" t="s">
        <v>39</v>
      </c>
      <c r="I842" s="6" t="s">
        <v>1738</v>
      </c>
      <c r="J842" s="192">
        <v>11815910853</v>
      </c>
      <c r="K842" s="180" t="s">
        <v>1739</v>
      </c>
      <c r="L842" s="108">
        <v>22700978</v>
      </c>
      <c r="M842" s="37">
        <v>5215564191840</v>
      </c>
      <c r="N842" s="169" t="s">
        <v>37</v>
      </c>
      <c r="O842" s="48">
        <v>9504.7000000000007</v>
      </c>
      <c r="P842" s="95">
        <v>2749.84</v>
      </c>
      <c r="Q842" s="13">
        <v>2851.41</v>
      </c>
      <c r="R842" s="13">
        <v>101.57</v>
      </c>
      <c r="S842" s="72">
        <v>46327</v>
      </c>
      <c r="T842" s="6"/>
      <c r="U842" s="164"/>
      <c r="V842" s="1"/>
      <c r="X842" s="101">
        <v>2</v>
      </c>
    </row>
    <row r="843" spans="2:24" hidden="1">
      <c r="B843" s="10" t="s">
        <v>1740</v>
      </c>
      <c r="C843" s="24">
        <v>46217.711111111108</v>
      </c>
      <c r="D843" s="10" t="s">
        <v>24</v>
      </c>
      <c r="E843" s="10"/>
      <c r="F843" s="28">
        <v>46217</v>
      </c>
      <c r="G843" s="28" t="s">
        <v>1550</v>
      </c>
      <c r="H843" s="10" t="s">
        <v>51</v>
      </c>
      <c r="I843" s="10" t="s">
        <v>1741</v>
      </c>
      <c r="J843" s="193">
        <v>43745758540</v>
      </c>
      <c r="K843" s="181" t="s">
        <v>1742</v>
      </c>
      <c r="L843" s="108">
        <v>22703858</v>
      </c>
      <c r="M843" s="36">
        <v>5218129126642</v>
      </c>
      <c r="N843" s="170" t="s">
        <v>106</v>
      </c>
      <c r="O843" s="49">
        <v>13842.87</v>
      </c>
      <c r="P843" s="96">
        <v>3843.27</v>
      </c>
      <c r="Q843" s="12">
        <v>4152.8599999999997</v>
      </c>
      <c r="R843" s="16">
        <v>309.58999999999997</v>
      </c>
      <c r="S843" s="73">
        <v>46029</v>
      </c>
      <c r="T843" s="10"/>
      <c r="U843" s="97"/>
      <c r="V843" s="1"/>
      <c r="X843" s="101">
        <v>2</v>
      </c>
    </row>
    <row r="844" spans="2:24" hidden="1">
      <c r="B844" s="6" t="s">
        <v>1743</v>
      </c>
      <c r="C844" s="23">
        <v>46217.718055555553</v>
      </c>
      <c r="D844" s="6" t="s">
        <v>24</v>
      </c>
      <c r="E844" s="6"/>
      <c r="F844" s="28">
        <v>46217</v>
      </c>
      <c r="G844" s="27" t="s">
        <v>1550</v>
      </c>
      <c r="H844" s="10" t="s">
        <v>160</v>
      </c>
      <c r="I844" s="6" t="s">
        <v>1744</v>
      </c>
      <c r="J844" s="192">
        <v>49865711805</v>
      </c>
      <c r="K844" s="180" t="s">
        <v>1745</v>
      </c>
      <c r="L844" s="107">
        <v>22703024</v>
      </c>
      <c r="M844" s="37">
        <v>5218683038595</v>
      </c>
      <c r="N844" s="169" t="s">
        <v>47</v>
      </c>
      <c r="O844" s="48">
        <v>5636.59</v>
      </c>
      <c r="P844" s="95">
        <v>848</v>
      </c>
      <c r="Q844" s="13">
        <v>1690.98</v>
      </c>
      <c r="R844" s="22">
        <v>615.61</v>
      </c>
      <c r="S844" s="72"/>
      <c r="T844" s="6"/>
      <c r="U844" s="164"/>
      <c r="V844" s="1"/>
      <c r="X844" s="101">
        <v>1</v>
      </c>
    </row>
    <row r="845" spans="2:24" hidden="1">
      <c r="B845" s="10" t="s">
        <v>1746</v>
      </c>
      <c r="C845" s="24">
        <v>46217.71875</v>
      </c>
      <c r="D845" s="10" t="s">
        <v>24</v>
      </c>
      <c r="E845" s="10"/>
      <c r="F845" s="28">
        <v>46217</v>
      </c>
      <c r="G845" s="28" t="s">
        <v>1550</v>
      </c>
      <c r="H845" s="10" t="s">
        <v>124</v>
      </c>
      <c r="I845" s="10" t="s">
        <v>1747</v>
      </c>
      <c r="J845" s="193">
        <v>35866832492</v>
      </c>
      <c r="K845" s="181" t="s">
        <v>1748</v>
      </c>
      <c r="L845" s="108">
        <v>22703368</v>
      </c>
      <c r="M845" s="36">
        <v>5216145030756</v>
      </c>
      <c r="N845" s="170" t="s">
        <v>32</v>
      </c>
      <c r="O845" s="49">
        <v>3053.76</v>
      </c>
      <c r="P845" s="96"/>
      <c r="Q845" s="12">
        <v>916.13</v>
      </c>
      <c r="R845" s="12">
        <v>0</v>
      </c>
      <c r="S845" s="73"/>
      <c r="T845" s="10"/>
      <c r="U845" s="97"/>
      <c r="V845" s="1"/>
      <c r="X845" s="101">
        <v>1</v>
      </c>
    </row>
    <row r="846" spans="2:24" hidden="1">
      <c r="B846" s="6" t="s">
        <v>1749</v>
      </c>
      <c r="C846" s="23">
        <v>46217.722916666666</v>
      </c>
      <c r="D846" s="6" t="s">
        <v>24</v>
      </c>
      <c r="E846" s="6"/>
      <c r="F846" s="28">
        <v>46217</v>
      </c>
      <c r="G846" s="27">
        <v>46302</v>
      </c>
      <c r="H846" s="6" t="s">
        <v>68</v>
      </c>
      <c r="I846" s="6" t="s">
        <v>1750</v>
      </c>
      <c r="J846" s="192"/>
      <c r="K846" s="180" t="s">
        <v>1751</v>
      </c>
      <c r="L846" s="108">
        <v>22548842</v>
      </c>
      <c r="M846" s="37">
        <v>5215527458961</v>
      </c>
      <c r="N846" s="169" t="s">
        <v>37</v>
      </c>
      <c r="O846" s="48">
        <v>8006.99</v>
      </c>
      <c r="P846" s="95">
        <v>2316.61</v>
      </c>
      <c r="Q846" s="13">
        <v>2402.1</v>
      </c>
      <c r="R846" s="13">
        <v>85.49</v>
      </c>
      <c r="S846" s="72">
        <v>46393</v>
      </c>
      <c r="T846" s="6"/>
      <c r="U846" s="164"/>
      <c r="V846" s="1"/>
      <c r="X846" s="101">
        <v>2</v>
      </c>
    </row>
    <row r="847" spans="2:24" hidden="1">
      <c r="B847" s="10" t="s">
        <v>1752</v>
      </c>
      <c r="C847" s="24">
        <v>46217.773611111108</v>
      </c>
      <c r="D847" s="10" t="s">
        <v>24</v>
      </c>
      <c r="E847" s="10"/>
      <c r="F847" s="28">
        <v>46217</v>
      </c>
      <c r="G847" s="28" t="s">
        <v>1550</v>
      </c>
      <c r="H847" s="10" t="s">
        <v>103</v>
      </c>
      <c r="I847" s="10"/>
      <c r="J847" s="193">
        <v>49907140310</v>
      </c>
      <c r="K847" s="181"/>
      <c r="L847" s="108">
        <v>1</v>
      </c>
      <c r="M847" s="36">
        <v>8331472605</v>
      </c>
      <c r="N847" s="170" t="s">
        <v>37</v>
      </c>
      <c r="O847" s="49">
        <v>8853.06</v>
      </c>
      <c r="P847" s="96">
        <v>2554.98</v>
      </c>
      <c r="Q847" s="12">
        <v>2655.92</v>
      </c>
      <c r="R847" s="12">
        <v>100.94</v>
      </c>
      <c r="S847" s="73">
        <v>46393</v>
      </c>
      <c r="T847" s="10" t="s">
        <v>84</v>
      </c>
      <c r="U847" s="97"/>
      <c r="V847" s="1"/>
      <c r="X847" s="101">
        <v>2</v>
      </c>
    </row>
    <row r="848" spans="2:24" hidden="1">
      <c r="B848" s="6" t="s">
        <v>1753</v>
      </c>
      <c r="C848" s="23">
        <v>46218.365277777775</v>
      </c>
      <c r="D848" s="6" t="s">
        <v>24</v>
      </c>
      <c r="E848" s="6"/>
      <c r="F848" s="27">
        <v>46218</v>
      </c>
      <c r="G848" s="27" t="s">
        <v>1754</v>
      </c>
      <c r="H848" s="10" t="s">
        <v>103</v>
      </c>
      <c r="I848" s="6" t="s">
        <v>684</v>
      </c>
      <c r="J848" s="192">
        <v>90886948331</v>
      </c>
      <c r="K848" s="180"/>
      <c r="L848" s="109">
        <v>1</v>
      </c>
      <c r="M848" s="37">
        <v>5542558819</v>
      </c>
      <c r="N848" s="169" t="s">
        <v>47</v>
      </c>
      <c r="O848" s="48">
        <v>21022.68</v>
      </c>
      <c r="P848" s="95">
        <v>5803.14</v>
      </c>
      <c r="Q848" s="13">
        <v>6306.8</v>
      </c>
      <c r="R848" s="22">
        <v>503.66</v>
      </c>
      <c r="S848" s="72">
        <v>46031</v>
      </c>
      <c r="T848" s="6"/>
      <c r="U848" s="164"/>
      <c r="V848" s="1"/>
      <c r="X848" s="101">
        <v>2</v>
      </c>
    </row>
    <row r="849" spans="2:24" hidden="1">
      <c r="B849" s="10" t="s">
        <v>1755</v>
      </c>
      <c r="C849" s="24">
        <v>46218.416666666664</v>
      </c>
      <c r="D849" s="10" t="s">
        <v>24</v>
      </c>
      <c r="E849" s="10"/>
      <c r="F849" s="27">
        <v>46218</v>
      </c>
      <c r="G849" s="28" t="s">
        <v>1550</v>
      </c>
      <c r="H849" s="15" t="s">
        <v>110</v>
      </c>
      <c r="I849" s="10" t="s">
        <v>1756</v>
      </c>
      <c r="J849" s="193">
        <v>15836401511</v>
      </c>
      <c r="K849" s="181"/>
      <c r="L849" s="108">
        <v>22673180</v>
      </c>
      <c r="M849" s="36">
        <v>5217772707706</v>
      </c>
      <c r="N849" s="170" t="s">
        <v>37</v>
      </c>
      <c r="O849" s="49">
        <v>30210.63</v>
      </c>
      <c r="P849" s="96">
        <v>9059.64</v>
      </c>
      <c r="Q849" s="12">
        <v>9063.19</v>
      </c>
      <c r="R849" s="12">
        <v>3.55</v>
      </c>
      <c r="S849" s="73">
        <v>46389</v>
      </c>
      <c r="T849" s="10"/>
      <c r="U849" s="97"/>
      <c r="V849" s="1"/>
      <c r="X849" s="101">
        <v>2</v>
      </c>
    </row>
    <row r="850" spans="2:24" hidden="1">
      <c r="B850" s="6" t="s">
        <v>1757</v>
      </c>
      <c r="C850" s="23">
        <v>46218.417361111111</v>
      </c>
      <c r="D850" s="6" t="s">
        <v>24</v>
      </c>
      <c r="E850" s="6"/>
      <c r="F850" s="27">
        <v>46218</v>
      </c>
      <c r="G850" s="27" t="s">
        <v>1754</v>
      </c>
      <c r="H850" s="6" t="s">
        <v>1625</v>
      </c>
      <c r="I850" s="6" t="s">
        <v>1758</v>
      </c>
      <c r="J850" s="192">
        <v>49816234568</v>
      </c>
      <c r="K850" s="180" t="s">
        <v>1759</v>
      </c>
      <c r="L850" s="108">
        <v>2</v>
      </c>
      <c r="M850" s="37">
        <v>8683538434</v>
      </c>
      <c r="N850" s="169" t="s">
        <v>37</v>
      </c>
      <c r="O850" s="48">
        <v>7116.73</v>
      </c>
      <c r="P850" s="95">
        <v>2059</v>
      </c>
      <c r="Q850" s="13">
        <v>2135.02</v>
      </c>
      <c r="R850" s="13">
        <v>76.02</v>
      </c>
      <c r="S850" s="72">
        <v>46393</v>
      </c>
      <c r="T850" s="6"/>
      <c r="U850" s="164"/>
      <c r="V850" s="1"/>
      <c r="X850" s="101">
        <v>2</v>
      </c>
    </row>
    <row r="851" spans="2:24" hidden="1">
      <c r="B851" s="10" t="s">
        <v>1760</v>
      </c>
      <c r="C851" s="24">
        <v>46218.420138888891</v>
      </c>
      <c r="D851" s="10" t="s">
        <v>24</v>
      </c>
      <c r="E851" s="10"/>
      <c r="F851" s="27">
        <v>46218</v>
      </c>
      <c r="G851" s="28" t="s">
        <v>1550</v>
      </c>
      <c r="H851" s="10" t="s">
        <v>39</v>
      </c>
      <c r="I851" s="10" t="s">
        <v>1761</v>
      </c>
      <c r="J851" s="193">
        <v>54815737629</v>
      </c>
      <c r="K851" s="181" t="s">
        <v>1762</v>
      </c>
      <c r="L851" s="108">
        <v>22690592</v>
      </c>
      <c r="M851" s="36">
        <v>22690592</v>
      </c>
      <c r="N851" s="170" t="s">
        <v>32</v>
      </c>
      <c r="O851" s="49">
        <v>4199.87</v>
      </c>
      <c r="P851" s="96">
        <v>848</v>
      </c>
      <c r="Q851" s="12">
        <v>1259.96</v>
      </c>
      <c r="R851" s="12">
        <v>-821.11</v>
      </c>
      <c r="S851" s="73"/>
      <c r="T851" s="10"/>
      <c r="U851" s="97"/>
      <c r="V851" s="1"/>
      <c r="X851" s="101">
        <v>1</v>
      </c>
    </row>
    <row r="852" spans="2:24" hidden="1">
      <c r="B852" s="6" t="s">
        <v>1763</v>
      </c>
      <c r="C852" s="23">
        <v>46218.420138888891</v>
      </c>
      <c r="D852" s="6" t="s">
        <v>24</v>
      </c>
      <c r="E852" s="6"/>
      <c r="F852" s="27">
        <v>46218</v>
      </c>
      <c r="G852" s="27" t="s">
        <v>1754</v>
      </c>
      <c r="H852" s="6" t="s">
        <v>51</v>
      </c>
      <c r="I852" s="6" t="s">
        <v>1764</v>
      </c>
      <c r="J852" s="192">
        <v>45917443496</v>
      </c>
      <c r="K852" s="180" t="s">
        <v>1765</v>
      </c>
      <c r="L852" s="107">
        <v>22720942</v>
      </c>
      <c r="M852" s="37">
        <v>5215549664027</v>
      </c>
      <c r="N852" s="169" t="s">
        <v>32</v>
      </c>
      <c r="O852" s="48">
        <v>3029.19</v>
      </c>
      <c r="P852" s="95">
        <v>879</v>
      </c>
      <c r="Q852" s="13">
        <v>908.76</v>
      </c>
      <c r="R852" s="13">
        <v>-879</v>
      </c>
      <c r="S852" s="72"/>
      <c r="T852" s="6"/>
      <c r="U852" s="164"/>
      <c r="V852" s="1"/>
      <c r="X852" s="101">
        <v>1</v>
      </c>
    </row>
    <row r="853" spans="2:24" hidden="1">
      <c r="B853" s="10" t="s">
        <v>1766</v>
      </c>
      <c r="C853" s="24">
        <v>46218.431944444441</v>
      </c>
      <c r="D853" s="10" t="s">
        <v>24</v>
      </c>
      <c r="E853" s="10"/>
      <c r="F853" s="27">
        <v>46218</v>
      </c>
      <c r="G853" s="28" t="s">
        <v>1754</v>
      </c>
      <c r="H853" s="10" t="s">
        <v>1629</v>
      </c>
      <c r="I853" s="10" t="s">
        <v>1767</v>
      </c>
      <c r="J853" s="193">
        <v>78906412115</v>
      </c>
      <c r="K853" s="181" t="s">
        <v>1768</v>
      </c>
      <c r="L853" s="116">
        <v>2</v>
      </c>
      <c r="M853" s="36">
        <v>2818706606</v>
      </c>
      <c r="N853" s="170" t="s">
        <v>28</v>
      </c>
      <c r="O853" s="49">
        <v>15828.98</v>
      </c>
      <c r="P853" s="96"/>
      <c r="Q853" s="12">
        <v>4748.6899999999996</v>
      </c>
      <c r="R853" s="14">
        <v>4748.6899999999996</v>
      </c>
      <c r="S853" s="73"/>
      <c r="T853" s="10"/>
      <c r="U853" s="97"/>
      <c r="V853" s="1"/>
      <c r="X853" s="101">
        <v>1</v>
      </c>
    </row>
    <row r="854" spans="2:24" hidden="1">
      <c r="B854" s="6" t="s">
        <v>1769</v>
      </c>
      <c r="C854" s="23">
        <v>46218.448611111111</v>
      </c>
      <c r="D854" s="6" t="s">
        <v>24</v>
      </c>
      <c r="E854" s="6"/>
      <c r="F854" s="27">
        <v>46218</v>
      </c>
      <c r="G854" s="27" t="s">
        <v>1550</v>
      </c>
      <c r="H854" s="10" t="s">
        <v>78</v>
      </c>
      <c r="I854" s="6" t="s">
        <v>1770</v>
      </c>
      <c r="J854" s="192">
        <v>43786124990</v>
      </c>
      <c r="K854" s="180" t="s">
        <v>1771</v>
      </c>
      <c r="L854" s="107">
        <v>22703592</v>
      </c>
      <c r="M854" s="37">
        <v>5218119943535</v>
      </c>
      <c r="N854" s="169" t="s">
        <v>130</v>
      </c>
      <c r="O854" s="48">
        <v>19014.38</v>
      </c>
      <c r="P854" s="95">
        <v>5704.31</v>
      </c>
      <c r="Q854" s="13">
        <v>5704.31</v>
      </c>
      <c r="R854" s="13">
        <v>0</v>
      </c>
      <c r="S854" s="72">
        <v>45662</v>
      </c>
      <c r="T854" s="6"/>
      <c r="U854" s="164"/>
      <c r="V854" s="1"/>
      <c r="X854" s="101">
        <v>2</v>
      </c>
    </row>
    <row r="855" spans="2:24" hidden="1">
      <c r="B855" s="10" t="s">
        <v>1772</v>
      </c>
      <c r="C855" s="24">
        <v>46218.45208333333</v>
      </c>
      <c r="D855" s="10" t="s">
        <v>24</v>
      </c>
      <c r="E855" s="10"/>
      <c r="F855" s="27">
        <v>46218</v>
      </c>
      <c r="G855" s="28" t="s">
        <v>1550</v>
      </c>
      <c r="H855" s="10" t="s">
        <v>124</v>
      </c>
      <c r="I855" s="10" t="s">
        <v>1773</v>
      </c>
      <c r="J855" s="193"/>
      <c r="K855" s="181" t="s">
        <v>1774</v>
      </c>
      <c r="L855" s="108">
        <v>22687172</v>
      </c>
      <c r="M855" s="40">
        <v>5217772965573</v>
      </c>
      <c r="N855" s="170" t="s">
        <v>37</v>
      </c>
      <c r="O855" s="49">
        <v>6998.65</v>
      </c>
      <c r="P855" s="96">
        <v>2024.47</v>
      </c>
      <c r="Q855" s="12">
        <v>2099.6</v>
      </c>
      <c r="R855" s="12">
        <v>75.12</v>
      </c>
      <c r="S855" s="73">
        <v>46235</v>
      </c>
      <c r="T855" s="10"/>
      <c r="U855" s="97"/>
      <c r="V855" s="1"/>
      <c r="X855" s="101">
        <v>2</v>
      </c>
    </row>
    <row r="856" spans="2:24" hidden="1">
      <c r="B856" s="6" t="s">
        <v>1775</v>
      </c>
      <c r="C856" s="23">
        <v>46218.453472222223</v>
      </c>
      <c r="D856" s="6" t="s">
        <v>24</v>
      </c>
      <c r="E856" s="6"/>
      <c r="F856" s="27">
        <v>46218</v>
      </c>
      <c r="G856" s="27" t="s">
        <v>1550</v>
      </c>
      <c r="H856" s="6" t="s">
        <v>160</v>
      </c>
      <c r="I856" s="6" t="s">
        <v>1776</v>
      </c>
      <c r="J856" s="192">
        <v>51806305549</v>
      </c>
      <c r="K856" s="180" t="s">
        <v>1777</v>
      </c>
      <c r="L856" s="108">
        <v>22711012</v>
      </c>
      <c r="M856" s="37">
        <v>5214496084154</v>
      </c>
      <c r="N856" s="169" t="s">
        <v>37</v>
      </c>
      <c r="O856" s="48">
        <v>7920.51</v>
      </c>
      <c r="P856" s="95">
        <v>2290.48</v>
      </c>
      <c r="Q856" s="13">
        <v>2376.15</v>
      </c>
      <c r="R856" s="13">
        <v>85.67</v>
      </c>
      <c r="S856" s="72">
        <v>46399</v>
      </c>
      <c r="T856" s="6"/>
      <c r="U856" s="164"/>
      <c r="V856" s="1"/>
      <c r="X856" s="101">
        <v>2</v>
      </c>
    </row>
    <row r="857" spans="2:24" hidden="1">
      <c r="B857" s="10" t="s">
        <v>1778</v>
      </c>
      <c r="C857" s="24">
        <v>46218.454861111109</v>
      </c>
      <c r="D857" s="10" t="s">
        <v>24</v>
      </c>
      <c r="E857" s="10"/>
      <c r="F857" s="27">
        <v>46218</v>
      </c>
      <c r="G857" s="28" t="s">
        <v>1754</v>
      </c>
      <c r="H857" s="10" t="s">
        <v>68</v>
      </c>
      <c r="I857" s="10" t="s">
        <v>1779</v>
      </c>
      <c r="J857" s="193">
        <v>51644212089</v>
      </c>
      <c r="K857" s="181" t="s">
        <v>1780</v>
      </c>
      <c r="L857" s="108">
        <v>22720008</v>
      </c>
      <c r="M857" s="36">
        <v>5214497578985</v>
      </c>
      <c r="N857" s="170" t="s">
        <v>32</v>
      </c>
      <c r="O857" s="49">
        <v>4114.88</v>
      </c>
      <c r="P857" s="96">
        <v>848</v>
      </c>
      <c r="Q857" s="12">
        <v>1234.46</v>
      </c>
      <c r="R857" s="12">
        <v>-848</v>
      </c>
      <c r="S857" s="73"/>
      <c r="T857" s="10"/>
      <c r="U857" s="97"/>
      <c r="V857" s="1"/>
      <c r="X857" s="101">
        <v>1</v>
      </c>
    </row>
    <row r="858" spans="2:24" hidden="1">
      <c r="B858" s="6" t="s">
        <v>1781</v>
      </c>
      <c r="C858" s="23">
        <v>46218.456250000003</v>
      </c>
      <c r="D858" s="6" t="s">
        <v>24</v>
      </c>
      <c r="E858" s="6"/>
      <c r="F858" s="27">
        <v>46218</v>
      </c>
      <c r="G858" s="27">
        <v>46363</v>
      </c>
      <c r="H858" s="10" t="s">
        <v>81</v>
      </c>
      <c r="I858" s="6" t="s">
        <v>1782</v>
      </c>
      <c r="J858" s="192"/>
      <c r="K858" s="180" t="s">
        <v>1783</v>
      </c>
      <c r="L858" s="107">
        <v>22610256</v>
      </c>
      <c r="M858" s="37">
        <v>5216442090455</v>
      </c>
      <c r="N858" s="169" t="s">
        <v>28</v>
      </c>
      <c r="O858" s="48">
        <v>9081.52</v>
      </c>
      <c r="P858" s="95">
        <v>848</v>
      </c>
      <c r="Q858" s="13">
        <v>2724.46</v>
      </c>
      <c r="R858" s="9">
        <v>1876.46</v>
      </c>
      <c r="S858" s="72"/>
      <c r="T858" s="6"/>
      <c r="U858" s="164"/>
      <c r="V858" s="1"/>
      <c r="X858" s="101">
        <v>1</v>
      </c>
    </row>
    <row r="859" spans="2:24" hidden="1">
      <c r="B859" s="10" t="s">
        <v>1784</v>
      </c>
      <c r="C859" s="24">
        <v>46218.464583333334</v>
      </c>
      <c r="D859" s="10" t="s">
        <v>24</v>
      </c>
      <c r="E859" s="10"/>
      <c r="F859" s="27">
        <v>46218</v>
      </c>
      <c r="G859" s="28">
        <v>46363</v>
      </c>
      <c r="H859" s="161" t="s">
        <v>71</v>
      </c>
      <c r="I859" s="10" t="s">
        <v>1785</v>
      </c>
      <c r="J859" s="193">
        <v>67806310107</v>
      </c>
      <c r="K859" s="181"/>
      <c r="L859" s="108">
        <v>22605036</v>
      </c>
      <c r="M859" s="36">
        <v>2724941826</v>
      </c>
      <c r="N859" s="170" t="s">
        <v>106</v>
      </c>
      <c r="O859" s="49">
        <v>7920.51</v>
      </c>
      <c r="P859" s="96">
        <v>2371.37</v>
      </c>
      <c r="Q859" s="12">
        <v>2376.15</v>
      </c>
      <c r="R859" s="12">
        <v>4.78</v>
      </c>
      <c r="S859" s="73">
        <v>46028</v>
      </c>
      <c r="T859" s="10"/>
      <c r="U859" s="97"/>
      <c r="V859" s="1"/>
      <c r="X859" s="101">
        <v>2</v>
      </c>
    </row>
    <row r="860" spans="2:24" hidden="1">
      <c r="B860" s="6" t="s">
        <v>1786</v>
      </c>
      <c r="C860" s="23">
        <v>46218.474305555559</v>
      </c>
      <c r="D860" s="6" t="s">
        <v>24</v>
      </c>
      <c r="E860" s="6"/>
      <c r="F860" s="27">
        <v>46218</v>
      </c>
      <c r="G860" s="27" t="s">
        <v>1754</v>
      </c>
      <c r="H860" s="10" t="s">
        <v>81</v>
      </c>
      <c r="I860" s="6" t="s">
        <v>1787</v>
      </c>
      <c r="J860" s="192"/>
      <c r="K860" s="180" t="s">
        <v>1788</v>
      </c>
      <c r="L860" s="107">
        <v>22724188</v>
      </c>
      <c r="M860" s="37">
        <v>5218714737086</v>
      </c>
      <c r="N860" s="169" t="s">
        <v>263</v>
      </c>
      <c r="O860" s="48">
        <v>4555.82</v>
      </c>
      <c r="P860" s="95">
        <v>548.09</v>
      </c>
      <c r="Q860" s="13">
        <v>1366.75</v>
      </c>
      <c r="R860" s="13">
        <v>-165.25</v>
      </c>
      <c r="S860" s="72">
        <v>45294</v>
      </c>
      <c r="T860" s="6"/>
      <c r="U860" s="164"/>
      <c r="V860" s="1"/>
      <c r="X860" s="101">
        <v>2</v>
      </c>
    </row>
    <row r="861" spans="2:24" hidden="1">
      <c r="B861" s="10" t="s">
        <v>1789</v>
      </c>
      <c r="C861" s="24">
        <v>46218.474305555559</v>
      </c>
      <c r="D861" s="10" t="s">
        <v>24</v>
      </c>
      <c r="E861" s="10"/>
      <c r="F861" s="27">
        <v>46218</v>
      </c>
      <c r="G861" s="28" t="s">
        <v>1754</v>
      </c>
      <c r="H861" s="10" t="s">
        <v>160</v>
      </c>
      <c r="I861" s="10" t="s">
        <v>1790</v>
      </c>
      <c r="J861" s="193">
        <v>19795421213</v>
      </c>
      <c r="K861" s="181" t="s">
        <v>1791</v>
      </c>
      <c r="L861" s="108">
        <v>22723678</v>
      </c>
      <c r="M861" s="36">
        <v>5215626455771</v>
      </c>
      <c r="N861" s="170" t="s">
        <v>32</v>
      </c>
      <c r="O861" s="49">
        <v>3879.3</v>
      </c>
      <c r="P861" s="96">
        <v>879</v>
      </c>
      <c r="Q861" s="12">
        <v>1163.79</v>
      </c>
      <c r="R861" s="12">
        <v>-879</v>
      </c>
      <c r="S861" s="73"/>
      <c r="T861" s="10"/>
      <c r="U861" s="97"/>
      <c r="V861" s="1"/>
      <c r="X861" s="101">
        <v>1</v>
      </c>
    </row>
    <row r="862" spans="2:24" hidden="1">
      <c r="B862" s="6" t="s">
        <v>1792</v>
      </c>
      <c r="C862" s="23">
        <v>46218.475694444445</v>
      </c>
      <c r="D862" s="6" t="s">
        <v>24</v>
      </c>
      <c r="E862" s="6"/>
      <c r="F862" s="27">
        <v>46218</v>
      </c>
      <c r="G862" s="27" t="s">
        <v>1754</v>
      </c>
      <c r="H862" s="6" t="s">
        <v>39</v>
      </c>
      <c r="I862" s="6" t="s">
        <v>1793</v>
      </c>
      <c r="J862" s="192">
        <v>49836603917</v>
      </c>
      <c r="K862" s="180" t="s">
        <v>1794</v>
      </c>
      <c r="L862" s="108">
        <v>22719320</v>
      </c>
      <c r="M862" s="37">
        <v>5218993463044</v>
      </c>
      <c r="N862" s="169" t="s">
        <v>37</v>
      </c>
      <c r="O862" s="48">
        <v>9760.32</v>
      </c>
      <c r="P862" s="95">
        <v>2928.1</v>
      </c>
      <c r="Q862" s="13">
        <v>2928.1</v>
      </c>
      <c r="R862" s="13">
        <v>0</v>
      </c>
      <c r="S862" s="72">
        <v>46754</v>
      </c>
      <c r="T862" s="6"/>
      <c r="U862" s="164"/>
      <c r="V862" s="1"/>
      <c r="X862" s="101">
        <v>2</v>
      </c>
    </row>
    <row r="863" spans="2:24" hidden="1">
      <c r="B863" s="10" t="s">
        <v>1795</v>
      </c>
      <c r="C863" s="24">
        <v>46218.481249999997</v>
      </c>
      <c r="D863" s="10" t="s">
        <v>24</v>
      </c>
      <c r="E863" s="10"/>
      <c r="F863" s="27">
        <v>46218</v>
      </c>
      <c r="G863" s="28" t="s">
        <v>1754</v>
      </c>
      <c r="H863" s="10" t="s">
        <v>78</v>
      </c>
      <c r="I863" s="10" t="s">
        <v>1796</v>
      </c>
      <c r="J863" s="193">
        <v>90927119975</v>
      </c>
      <c r="K863" s="181" t="s">
        <v>1797</v>
      </c>
      <c r="L863" s="108">
        <v>22723750</v>
      </c>
      <c r="M863" s="36">
        <v>5215640006655</v>
      </c>
      <c r="N863" s="170" t="s">
        <v>263</v>
      </c>
      <c r="O863" s="49">
        <v>7128.48</v>
      </c>
      <c r="P863" s="96">
        <v>2138.19</v>
      </c>
      <c r="Q863" s="12">
        <v>2138.54</v>
      </c>
      <c r="R863" s="12">
        <v>0.35</v>
      </c>
      <c r="S863" s="73">
        <v>46026</v>
      </c>
      <c r="T863" s="10" t="s">
        <v>178</v>
      </c>
      <c r="U863" s="97"/>
      <c r="V863" s="1"/>
      <c r="X863" s="101">
        <v>2</v>
      </c>
    </row>
    <row r="864" spans="2:24" hidden="1">
      <c r="B864" s="6" t="s">
        <v>1798</v>
      </c>
      <c r="C864" s="23">
        <v>46218.48333333333</v>
      </c>
      <c r="D864" s="6" t="s">
        <v>24</v>
      </c>
      <c r="E864" s="6"/>
      <c r="F864" s="27">
        <v>46218</v>
      </c>
      <c r="G864" s="27" t="s">
        <v>1754</v>
      </c>
      <c r="H864" s="6" t="s">
        <v>81</v>
      </c>
      <c r="I864" s="6" t="s">
        <v>1799</v>
      </c>
      <c r="J864" s="192">
        <v>11836208493</v>
      </c>
      <c r="K864" s="180"/>
      <c r="L864" s="108">
        <v>22717564</v>
      </c>
      <c r="M864" s="37">
        <v>5215615370491</v>
      </c>
      <c r="N864" s="169" t="s">
        <v>37</v>
      </c>
      <c r="O864" s="48">
        <v>7262.98</v>
      </c>
      <c r="P864" s="95">
        <v>2130.4</v>
      </c>
      <c r="Q864" s="13">
        <v>2178.89</v>
      </c>
      <c r="R864" s="13">
        <v>48.49</v>
      </c>
      <c r="S864" s="72">
        <v>46394</v>
      </c>
      <c r="T864" s="6"/>
      <c r="U864" s="164"/>
      <c r="V864" s="1"/>
      <c r="X864" s="101">
        <v>2</v>
      </c>
    </row>
    <row r="865" spans="2:24" hidden="1">
      <c r="B865" s="10" t="s">
        <v>1800</v>
      </c>
      <c r="C865" s="24">
        <v>46218.489583333336</v>
      </c>
      <c r="D865" s="10" t="s">
        <v>24</v>
      </c>
      <c r="E865" s="10"/>
      <c r="F865" s="27">
        <v>46218</v>
      </c>
      <c r="G865" s="28" t="s">
        <v>1754</v>
      </c>
      <c r="H865" s="10" t="s">
        <v>1625</v>
      </c>
      <c r="I865" s="10" t="s">
        <v>1801</v>
      </c>
      <c r="J865" s="193">
        <v>1795293163</v>
      </c>
      <c r="K865" s="181" t="s">
        <v>1802</v>
      </c>
      <c r="L865" s="116">
        <v>2</v>
      </c>
      <c r="M865" s="36">
        <v>5620289120</v>
      </c>
      <c r="N865" s="170" t="s">
        <v>32</v>
      </c>
      <c r="O865" s="49">
        <v>3961.31</v>
      </c>
      <c r="P865" s="96"/>
      <c r="Q865" s="12">
        <v>1188.3900000000001</v>
      </c>
      <c r="R865" s="12">
        <v>0</v>
      </c>
      <c r="S865" s="73"/>
      <c r="T865" s="10"/>
      <c r="U865" s="97"/>
      <c r="V865" s="1"/>
      <c r="X865" s="101">
        <v>1</v>
      </c>
    </row>
    <row r="866" spans="2:24" hidden="1">
      <c r="B866" s="6" t="s">
        <v>1803</v>
      </c>
      <c r="C866" s="23">
        <v>46218.489583333336</v>
      </c>
      <c r="D866" s="6" t="s">
        <v>24</v>
      </c>
      <c r="E866" s="6"/>
      <c r="F866" s="27">
        <v>46218</v>
      </c>
      <c r="G866" s="27" t="s">
        <v>1754</v>
      </c>
      <c r="H866" s="10" t="s">
        <v>124</v>
      </c>
      <c r="I866" s="6" t="s">
        <v>1804</v>
      </c>
      <c r="J866" s="204"/>
      <c r="K866" s="180" t="s">
        <v>1805</v>
      </c>
      <c r="L866" s="107">
        <v>22723852</v>
      </c>
      <c r="M866" s="37">
        <v>5218117567527</v>
      </c>
      <c r="N866" s="169" t="s">
        <v>28</v>
      </c>
      <c r="O866" s="48">
        <v>13656.88</v>
      </c>
      <c r="P866" s="95"/>
      <c r="Q866" s="13">
        <v>4097.0600000000004</v>
      </c>
      <c r="R866" s="9">
        <v>4097.0600000000004</v>
      </c>
      <c r="S866" s="72"/>
      <c r="T866" s="6"/>
      <c r="U866" s="164"/>
      <c r="V866" s="1"/>
      <c r="X866" s="101">
        <v>1</v>
      </c>
    </row>
    <row r="867" spans="2:24" hidden="1">
      <c r="B867" s="10" t="s">
        <v>1806</v>
      </c>
      <c r="C867" s="24">
        <v>46218.490972222222</v>
      </c>
      <c r="D867" s="10" t="s">
        <v>24</v>
      </c>
      <c r="E867" s="10"/>
      <c r="F867" s="27">
        <v>46218</v>
      </c>
      <c r="G867" s="28" t="s">
        <v>1550</v>
      </c>
      <c r="H867" s="10" t="s">
        <v>127</v>
      </c>
      <c r="I867" s="10" t="s">
        <v>1807</v>
      </c>
      <c r="J867" s="205"/>
      <c r="K867" s="181" t="s">
        <v>1808</v>
      </c>
      <c r="L867" s="108">
        <v>22698490</v>
      </c>
      <c r="M867" s="36">
        <v>5212219144846</v>
      </c>
      <c r="N867" s="170" t="s">
        <v>37</v>
      </c>
      <c r="O867" s="49">
        <v>22746.15</v>
      </c>
      <c r="P867" s="96">
        <v>6823.85</v>
      </c>
      <c r="Q867" s="12">
        <v>6823.85</v>
      </c>
      <c r="R867" s="12">
        <v>-0.01</v>
      </c>
      <c r="S867" s="73">
        <v>46327</v>
      </c>
      <c r="T867" s="10"/>
      <c r="U867" s="97"/>
      <c r="V867" s="1"/>
      <c r="X867" s="101">
        <v>2</v>
      </c>
    </row>
    <row r="868" spans="2:24" hidden="1">
      <c r="B868" s="6" t="s">
        <v>1809</v>
      </c>
      <c r="C868" s="23">
        <v>46218.496527777781</v>
      </c>
      <c r="D868" s="6" t="s">
        <v>24</v>
      </c>
      <c r="E868" s="6"/>
      <c r="F868" s="27">
        <v>46218</v>
      </c>
      <c r="G868" s="27" t="s">
        <v>1754</v>
      </c>
      <c r="H868" s="6" t="s">
        <v>54</v>
      </c>
      <c r="I868" s="6" t="s">
        <v>1810</v>
      </c>
      <c r="J868" s="192">
        <v>20896301809</v>
      </c>
      <c r="K868" s="180" t="s">
        <v>1811</v>
      </c>
      <c r="L868" s="108">
        <v>22726602</v>
      </c>
      <c r="M868" s="37">
        <v>5219331524092</v>
      </c>
      <c r="N868" s="169" t="s">
        <v>37</v>
      </c>
      <c r="O868" s="48">
        <v>16039.45</v>
      </c>
      <c r="P868" s="95">
        <v>4795.59</v>
      </c>
      <c r="Q868" s="13">
        <v>4811.84</v>
      </c>
      <c r="R868" s="13">
        <v>16.239999999999998</v>
      </c>
      <c r="S868" s="72">
        <v>46754</v>
      </c>
      <c r="T868" s="6" t="s">
        <v>259</v>
      </c>
      <c r="U868" s="164"/>
      <c r="V868" s="1"/>
      <c r="X868" s="101">
        <v>2</v>
      </c>
    </row>
    <row r="869" spans="2:24" hidden="1">
      <c r="B869" s="10" t="s">
        <v>1812</v>
      </c>
      <c r="C869" s="24">
        <v>46218.504166666666</v>
      </c>
      <c r="D869" s="10" t="s">
        <v>24</v>
      </c>
      <c r="E869" s="10"/>
      <c r="F869" s="27">
        <v>46218</v>
      </c>
      <c r="G869" s="28" t="s">
        <v>1754</v>
      </c>
      <c r="H869" s="10" t="s">
        <v>39</v>
      </c>
      <c r="I869" s="10" t="s">
        <v>1813</v>
      </c>
      <c r="J869" s="193"/>
      <c r="K869" s="181" t="s">
        <v>1814</v>
      </c>
      <c r="L869" s="108">
        <v>22719794</v>
      </c>
      <c r="M869" s="36">
        <v>5215532610366</v>
      </c>
      <c r="N869" s="170" t="s">
        <v>28</v>
      </c>
      <c r="O869" s="49">
        <v>10303.14</v>
      </c>
      <c r="P869" s="96">
        <v>879</v>
      </c>
      <c r="Q869" s="12">
        <v>3090.94</v>
      </c>
      <c r="R869" s="14">
        <v>2211.94</v>
      </c>
      <c r="S869" s="73"/>
      <c r="T869" s="10"/>
      <c r="U869" s="97"/>
      <c r="V869" s="1"/>
      <c r="X869" s="101">
        <v>1</v>
      </c>
    </row>
    <row r="870" spans="2:24" hidden="1">
      <c r="B870" s="6" t="s">
        <v>1815</v>
      </c>
      <c r="C870" s="23">
        <v>46218.519444444442</v>
      </c>
      <c r="D870" s="6" t="s">
        <v>24</v>
      </c>
      <c r="E870" s="6"/>
      <c r="F870" s="27">
        <v>46218</v>
      </c>
      <c r="G870" s="27" t="s">
        <v>1754</v>
      </c>
      <c r="H870" s="10" t="s">
        <v>51</v>
      </c>
      <c r="I870" s="6" t="s">
        <v>1816</v>
      </c>
      <c r="J870" s="192">
        <v>84815705920</v>
      </c>
      <c r="K870" s="180" t="s">
        <v>1817</v>
      </c>
      <c r="L870" s="107">
        <v>22727644</v>
      </c>
      <c r="M870" s="37">
        <v>5219991340575</v>
      </c>
      <c r="N870" s="169" t="s">
        <v>28</v>
      </c>
      <c r="O870" s="48">
        <v>8234.26</v>
      </c>
      <c r="P870" s="95"/>
      <c r="Q870" s="13">
        <v>2470.2800000000002</v>
      </c>
      <c r="R870" s="9">
        <v>2470.2800000000002</v>
      </c>
      <c r="S870" s="72"/>
      <c r="T870" s="6"/>
      <c r="U870" s="164"/>
      <c r="V870" s="1"/>
      <c r="X870" s="101">
        <v>1</v>
      </c>
    </row>
    <row r="871" spans="2:24" hidden="1">
      <c r="B871" s="10" t="s">
        <v>1818</v>
      </c>
      <c r="C871" s="24">
        <v>46218.525000000001</v>
      </c>
      <c r="D871" s="10" t="s">
        <v>24</v>
      </c>
      <c r="E871" s="10"/>
      <c r="F871" s="27">
        <v>46218</v>
      </c>
      <c r="G871" s="28" t="s">
        <v>1550</v>
      </c>
      <c r="H871" s="10" t="s">
        <v>124</v>
      </c>
      <c r="I871" s="10" t="s">
        <v>1819</v>
      </c>
      <c r="J871" s="193"/>
      <c r="K871" s="181" t="s">
        <v>1820</v>
      </c>
      <c r="L871" s="108">
        <v>22691764</v>
      </c>
      <c r="M871" s="36">
        <v>5218713762739</v>
      </c>
      <c r="N871" s="170" t="s">
        <v>37</v>
      </c>
      <c r="O871" s="49">
        <v>38341.410000000003</v>
      </c>
      <c r="P871" s="96">
        <v>11501.01</v>
      </c>
      <c r="Q871" s="12">
        <v>11502.42</v>
      </c>
      <c r="R871" s="12">
        <v>1.41</v>
      </c>
      <c r="S871" s="73">
        <v>46396</v>
      </c>
      <c r="T871" s="10"/>
      <c r="U871" s="97"/>
      <c r="V871" s="1"/>
      <c r="X871" s="101">
        <v>2</v>
      </c>
    </row>
    <row r="872" spans="2:24" hidden="1">
      <c r="B872" s="6" t="s">
        <v>1821</v>
      </c>
      <c r="C872" s="23">
        <v>46218.525000000001</v>
      </c>
      <c r="D872" s="6" t="s">
        <v>24</v>
      </c>
      <c r="E872" s="6"/>
      <c r="F872" s="27">
        <v>46218</v>
      </c>
      <c r="G872" s="27" t="s">
        <v>1754</v>
      </c>
      <c r="H872" s="10" t="s">
        <v>103</v>
      </c>
      <c r="I872" s="6" t="s">
        <v>684</v>
      </c>
      <c r="J872" s="201">
        <v>83856422429</v>
      </c>
      <c r="K872" s="180"/>
      <c r="L872" s="109">
        <v>1</v>
      </c>
      <c r="M872" s="37">
        <v>2492433571</v>
      </c>
      <c r="N872" s="169" t="s">
        <v>47</v>
      </c>
      <c r="O872" s="48">
        <v>9081.4599999999991</v>
      </c>
      <c r="P872" s="95">
        <v>2418</v>
      </c>
      <c r="Q872" s="13">
        <v>2724.44</v>
      </c>
      <c r="R872" s="22">
        <v>306.44</v>
      </c>
      <c r="S872" s="72">
        <v>46033</v>
      </c>
      <c r="T872" s="6"/>
      <c r="U872" s="164"/>
      <c r="V872" s="1"/>
      <c r="X872" s="101">
        <v>2</v>
      </c>
    </row>
    <row r="873" spans="2:24" hidden="1">
      <c r="B873" s="10" t="s">
        <v>1822</v>
      </c>
      <c r="C873" s="24">
        <v>46218.535416666666</v>
      </c>
      <c r="D873" s="10" t="s">
        <v>24</v>
      </c>
      <c r="E873" s="10"/>
      <c r="F873" s="27">
        <v>46218</v>
      </c>
      <c r="G873" s="28" t="s">
        <v>1754</v>
      </c>
      <c r="H873" s="10" t="s">
        <v>103</v>
      </c>
      <c r="I873" s="10" t="s">
        <v>1823</v>
      </c>
      <c r="J873" s="193">
        <v>54897148174</v>
      </c>
      <c r="K873" s="181" t="s">
        <v>1824</v>
      </c>
      <c r="L873" s="108">
        <v>1</v>
      </c>
      <c r="M873" s="36">
        <v>3861182907</v>
      </c>
      <c r="N873" s="170" t="s">
        <v>37</v>
      </c>
      <c r="O873" s="49">
        <v>6691.69</v>
      </c>
      <c r="P873" s="96">
        <v>2005.42</v>
      </c>
      <c r="Q873" s="12">
        <v>2007.51</v>
      </c>
      <c r="R873" s="12">
        <v>2.09</v>
      </c>
      <c r="S873" s="73">
        <v>46388</v>
      </c>
      <c r="T873" s="10"/>
      <c r="U873" s="97"/>
      <c r="V873" s="1"/>
      <c r="X873" s="101">
        <v>2</v>
      </c>
    </row>
    <row r="874" spans="2:24" hidden="1">
      <c r="B874" s="6" t="s">
        <v>1822</v>
      </c>
      <c r="C874" s="23">
        <v>46218.536111111112</v>
      </c>
      <c r="D874" s="6" t="s">
        <v>24</v>
      </c>
      <c r="E874" s="6"/>
      <c r="F874" s="27">
        <v>46218</v>
      </c>
      <c r="G874" s="27" t="s">
        <v>1754</v>
      </c>
      <c r="H874" s="10" t="s">
        <v>78</v>
      </c>
      <c r="I874" s="6" t="s">
        <v>1825</v>
      </c>
      <c r="J874" s="192">
        <v>21876319290</v>
      </c>
      <c r="K874" s="180" t="s">
        <v>1826</v>
      </c>
      <c r="L874" s="107">
        <v>22718214</v>
      </c>
      <c r="M874" s="37">
        <v>5216866027493</v>
      </c>
      <c r="N874" s="169" t="s">
        <v>28</v>
      </c>
      <c r="O874" s="48">
        <v>16911.82</v>
      </c>
      <c r="P874" s="95">
        <v>2476.06</v>
      </c>
      <c r="Q874" s="13">
        <v>5073.55</v>
      </c>
      <c r="R874" s="9">
        <v>2597.4899999999998</v>
      </c>
      <c r="S874" s="72">
        <v>46754</v>
      </c>
      <c r="T874" s="6"/>
      <c r="U874" s="164"/>
      <c r="V874" s="1"/>
      <c r="X874" s="101">
        <v>2</v>
      </c>
    </row>
    <row r="875" spans="2:24" hidden="1">
      <c r="B875" s="10" t="s">
        <v>1827</v>
      </c>
      <c r="C875" s="24">
        <v>46218.538194444445</v>
      </c>
      <c r="D875" s="10" t="s">
        <v>24</v>
      </c>
      <c r="E875" s="10"/>
      <c r="F875" s="27">
        <v>46218</v>
      </c>
      <c r="G875" s="28" t="s">
        <v>1754</v>
      </c>
      <c r="H875" s="10" t="s">
        <v>127</v>
      </c>
      <c r="I875" s="10" t="s">
        <v>1828</v>
      </c>
      <c r="J875" s="193">
        <v>23846424382</v>
      </c>
      <c r="K875" s="181" t="s">
        <v>1829</v>
      </c>
      <c r="L875" s="108">
        <v>22727846</v>
      </c>
      <c r="M875" s="36">
        <v>5216684728119</v>
      </c>
      <c r="N875" s="170" t="s">
        <v>32</v>
      </c>
      <c r="O875" s="49">
        <v>3577.17</v>
      </c>
      <c r="P875" s="96">
        <v>848</v>
      </c>
      <c r="Q875" s="12">
        <v>1073.1500000000001</v>
      </c>
      <c r="R875" s="12">
        <v>-848</v>
      </c>
      <c r="S875" s="73"/>
      <c r="T875" s="10"/>
      <c r="U875" s="97"/>
      <c r="V875" s="1"/>
      <c r="X875" s="101">
        <v>1</v>
      </c>
    </row>
    <row r="876" spans="2:24" hidden="1">
      <c r="B876" s="6" t="s">
        <v>1830</v>
      </c>
      <c r="C876" s="23">
        <v>46218.544444444444</v>
      </c>
      <c r="D876" s="6" t="s">
        <v>24</v>
      </c>
      <c r="E876" s="6"/>
      <c r="F876" s="27">
        <v>46218</v>
      </c>
      <c r="G876" s="27" t="s">
        <v>633</v>
      </c>
      <c r="H876" s="160" t="s">
        <v>26</v>
      </c>
      <c r="I876" s="6" t="s">
        <v>1831</v>
      </c>
      <c r="J876" s="192">
        <v>11786079464</v>
      </c>
      <c r="K876" s="180" t="s">
        <v>1832</v>
      </c>
      <c r="L876" s="107">
        <v>22669712</v>
      </c>
      <c r="M876" s="37">
        <v>5213317681670</v>
      </c>
      <c r="N876" s="169" t="s">
        <v>28</v>
      </c>
      <c r="O876" s="48">
        <v>9504.7000000000007</v>
      </c>
      <c r="P876" s="95"/>
      <c r="Q876" s="13">
        <v>2851.41</v>
      </c>
      <c r="R876" s="9">
        <v>2851.41</v>
      </c>
      <c r="S876" s="72"/>
      <c r="T876" s="6"/>
      <c r="U876" s="164"/>
      <c r="V876" s="1"/>
      <c r="X876" s="101">
        <v>1</v>
      </c>
    </row>
    <row r="877" spans="2:24" hidden="1">
      <c r="B877" s="10" t="s">
        <v>1833</v>
      </c>
      <c r="C877" s="24">
        <v>46218.54583333333</v>
      </c>
      <c r="D877" s="10" t="s">
        <v>24</v>
      </c>
      <c r="E877" s="10"/>
      <c r="F877" s="27">
        <v>46218</v>
      </c>
      <c r="G877" s="28" t="s">
        <v>633</v>
      </c>
      <c r="H877" s="15" t="s">
        <v>476</v>
      </c>
      <c r="I877" s="10" t="s">
        <v>1834</v>
      </c>
      <c r="J877" s="193"/>
      <c r="K877" s="181" t="s">
        <v>1835</v>
      </c>
      <c r="L877" s="108">
        <v>22668142</v>
      </c>
      <c r="M877" s="36">
        <v>5215612647603</v>
      </c>
      <c r="N877" s="170" t="s">
        <v>37</v>
      </c>
      <c r="O877" s="49">
        <v>14655.39</v>
      </c>
      <c r="P877" s="96">
        <v>4393.96</v>
      </c>
      <c r="Q877" s="12">
        <v>4396.62</v>
      </c>
      <c r="R877" s="12">
        <v>2.66</v>
      </c>
      <c r="S877" s="73">
        <v>46754</v>
      </c>
      <c r="T877" s="10"/>
      <c r="U877" s="97"/>
      <c r="V877" s="1"/>
      <c r="X877" s="101">
        <v>2</v>
      </c>
    </row>
    <row r="878" spans="2:24" hidden="1">
      <c r="B878" s="6" t="s">
        <v>1833</v>
      </c>
      <c r="C878" s="23">
        <v>46218.546527777777</v>
      </c>
      <c r="D878" s="6" t="s">
        <v>24</v>
      </c>
      <c r="E878" s="6"/>
      <c r="F878" s="27">
        <v>46218</v>
      </c>
      <c r="G878" s="27" t="s">
        <v>1550</v>
      </c>
      <c r="H878" s="6" t="s">
        <v>127</v>
      </c>
      <c r="I878" s="6" t="s">
        <v>1836</v>
      </c>
      <c r="J878" s="192">
        <v>51826304233</v>
      </c>
      <c r="K878" s="180" t="s">
        <v>1837</v>
      </c>
      <c r="L878" s="108">
        <v>22703762</v>
      </c>
      <c r="M878" s="37">
        <v>5214492543187</v>
      </c>
      <c r="N878" s="169" t="s">
        <v>37</v>
      </c>
      <c r="O878" s="48">
        <v>6103.5</v>
      </c>
      <c r="P878" s="95">
        <v>1765.89</v>
      </c>
      <c r="Q878" s="13">
        <v>1831.05</v>
      </c>
      <c r="R878" s="13">
        <v>65.16</v>
      </c>
      <c r="S878" s="72">
        <v>46296</v>
      </c>
      <c r="T878" s="6"/>
      <c r="U878" s="164"/>
      <c r="V878" s="1"/>
      <c r="X878" s="101">
        <v>2</v>
      </c>
    </row>
    <row r="879" spans="2:24" hidden="1">
      <c r="B879" s="10" t="s">
        <v>1838</v>
      </c>
      <c r="C879" s="24">
        <v>46218.552777777775</v>
      </c>
      <c r="D879" s="10" t="s">
        <v>24</v>
      </c>
      <c r="E879" s="10"/>
      <c r="F879" s="27">
        <v>46218</v>
      </c>
      <c r="G879" s="28" t="s">
        <v>1754</v>
      </c>
      <c r="H879" s="10" t="s">
        <v>90</v>
      </c>
      <c r="I879" s="10"/>
      <c r="J879" s="194">
        <v>13916730198</v>
      </c>
      <c r="K879" s="181"/>
      <c r="L879" s="108">
        <v>1</v>
      </c>
      <c r="M879" s="36" t="s">
        <v>1839</v>
      </c>
      <c r="N879" s="170" t="s">
        <v>37</v>
      </c>
      <c r="O879" s="49">
        <v>9582.4699999999993</v>
      </c>
      <c r="P879" s="96">
        <v>2861.43</v>
      </c>
      <c r="Q879" s="12">
        <v>2874.74</v>
      </c>
      <c r="R879" s="12">
        <v>13.31</v>
      </c>
      <c r="S879" s="73">
        <v>46757</v>
      </c>
      <c r="T879" s="10"/>
      <c r="U879" s="97"/>
      <c r="V879" s="1"/>
      <c r="X879" s="101">
        <v>2</v>
      </c>
    </row>
    <row r="880" spans="2:24" hidden="1">
      <c r="B880" s="6" t="s">
        <v>1840</v>
      </c>
      <c r="C880" s="23">
        <v>46218.558333333334</v>
      </c>
      <c r="D880" s="6" t="s">
        <v>24</v>
      </c>
      <c r="E880" s="6"/>
      <c r="F880" s="27">
        <v>46218</v>
      </c>
      <c r="G880" s="27" t="s">
        <v>295</v>
      </c>
      <c r="H880" s="10" t="s">
        <v>61</v>
      </c>
      <c r="I880" s="6" t="s">
        <v>1841</v>
      </c>
      <c r="J880" s="192"/>
      <c r="K880" s="180" t="s">
        <v>1842</v>
      </c>
      <c r="L880" s="107">
        <v>22017672</v>
      </c>
      <c r="M880" s="37">
        <v>5213319118413</v>
      </c>
      <c r="N880" s="169" t="s">
        <v>28</v>
      </c>
      <c r="O880" s="48">
        <v>8327.1299999999992</v>
      </c>
      <c r="P880" s="95">
        <v>1191.53</v>
      </c>
      <c r="Q880" s="13">
        <v>2498.14</v>
      </c>
      <c r="R880" s="9">
        <v>1306.6099999999999</v>
      </c>
      <c r="S880" s="72">
        <v>46759</v>
      </c>
      <c r="T880" s="6" t="s">
        <v>178</v>
      </c>
      <c r="U880" s="164"/>
      <c r="V880" s="1"/>
      <c r="X880" s="101">
        <v>2</v>
      </c>
    </row>
    <row r="881" spans="2:24" hidden="1">
      <c r="B881" s="10" t="s">
        <v>1843</v>
      </c>
      <c r="C881" s="24">
        <v>46218.565972222219</v>
      </c>
      <c r="D881" s="10" t="s">
        <v>24</v>
      </c>
      <c r="E881" s="10"/>
      <c r="F881" s="27">
        <v>46218</v>
      </c>
      <c r="G881" s="28" t="s">
        <v>1754</v>
      </c>
      <c r="H881" s="15" t="s">
        <v>110</v>
      </c>
      <c r="I881" s="10" t="s">
        <v>1844</v>
      </c>
      <c r="J881" s="193">
        <v>50927652938</v>
      </c>
      <c r="K881" s="181"/>
      <c r="L881" s="108">
        <v>22730134</v>
      </c>
      <c r="M881" s="36">
        <v>5216391152302</v>
      </c>
      <c r="N881" s="170" t="s">
        <v>37</v>
      </c>
      <c r="O881" s="49">
        <v>5636.59</v>
      </c>
      <c r="P881" s="96">
        <v>1630.8</v>
      </c>
      <c r="Q881" s="12">
        <v>1690.98</v>
      </c>
      <c r="R881" s="12">
        <v>-167.19</v>
      </c>
      <c r="S881" s="73">
        <v>46389</v>
      </c>
      <c r="T881" s="10"/>
      <c r="U881" s="97"/>
      <c r="V881" s="1"/>
      <c r="X881" s="101">
        <v>2</v>
      </c>
    </row>
    <row r="882" spans="2:24" hidden="1">
      <c r="B882" s="6" t="s">
        <v>1845</v>
      </c>
      <c r="C882" s="23">
        <v>46218.572222222225</v>
      </c>
      <c r="D882" s="6" t="s">
        <v>24</v>
      </c>
      <c r="E882" s="6"/>
      <c r="F882" s="27">
        <v>46218</v>
      </c>
      <c r="G882" s="27" t="s">
        <v>1754</v>
      </c>
      <c r="H882" s="10" t="s">
        <v>61</v>
      </c>
      <c r="I882" s="6" t="s">
        <v>1846</v>
      </c>
      <c r="J882" s="192"/>
      <c r="K882" s="180" t="s">
        <v>1847</v>
      </c>
      <c r="L882" s="107">
        <v>22730264</v>
      </c>
      <c r="M882" s="37">
        <v>5214494874150</v>
      </c>
      <c r="N882" s="169" t="s">
        <v>47</v>
      </c>
      <c r="O882" s="48">
        <v>4751.88</v>
      </c>
      <c r="P882" s="95"/>
      <c r="Q882" s="13">
        <v>1425.56</v>
      </c>
      <c r="R882" s="22">
        <v>578.9</v>
      </c>
      <c r="S882" s="72"/>
      <c r="T882" s="6"/>
      <c r="U882" s="164"/>
      <c r="V882" s="1"/>
      <c r="X882" s="101">
        <v>1</v>
      </c>
    </row>
    <row r="883" spans="2:24" hidden="1">
      <c r="B883" s="10" t="s">
        <v>1848</v>
      </c>
      <c r="C883" s="24">
        <v>46218.582638888889</v>
      </c>
      <c r="D883" s="10" t="s">
        <v>24</v>
      </c>
      <c r="E883" s="10"/>
      <c r="F883" s="27">
        <v>46218</v>
      </c>
      <c r="G883" s="28" t="s">
        <v>1754</v>
      </c>
      <c r="H883" s="15" t="s">
        <v>110</v>
      </c>
      <c r="I883" s="10" t="s">
        <v>1849</v>
      </c>
      <c r="J883" s="193">
        <v>11786017928</v>
      </c>
      <c r="K883" s="181"/>
      <c r="L883" s="108">
        <v>22730726</v>
      </c>
      <c r="M883" s="36">
        <v>5215580367074</v>
      </c>
      <c r="N883" s="170" t="s">
        <v>37</v>
      </c>
      <c r="O883" s="49">
        <v>5617.63</v>
      </c>
      <c r="P883" s="96">
        <v>1444.64</v>
      </c>
      <c r="Q883" s="12">
        <v>1685.29</v>
      </c>
      <c r="R883" s="12">
        <v>0.01</v>
      </c>
      <c r="S883" s="73">
        <v>46758</v>
      </c>
      <c r="T883" s="10"/>
      <c r="U883" s="97"/>
      <c r="V883" s="1"/>
      <c r="X883" s="101">
        <v>2</v>
      </c>
    </row>
    <row r="884" spans="2:24" hidden="1">
      <c r="B884" s="6" t="s">
        <v>1850</v>
      </c>
      <c r="C884" s="23">
        <v>46218.584027777775</v>
      </c>
      <c r="D884" s="6" t="s">
        <v>24</v>
      </c>
      <c r="E884" s="6"/>
      <c r="F884" s="27">
        <v>46218</v>
      </c>
      <c r="G884" s="27" t="s">
        <v>1754</v>
      </c>
      <c r="H884" s="10" t="s">
        <v>1625</v>
      </c>
      <c r="I884" s="6" t="s">
        <v>1851</v>
      </c>
      <c r="J884" s="192">
        <v>64866611624</v>
      </c>
      <c r="K884" s="180" t="s">
        <v>1852</v>
      </c>
      <c r="L884" s="115">
        <v>2</v>
      </c>
      <c r="M884" s="37">
        <v>6675759078</v>
      </c>
      <c r="N884" s="169" t="s">
        <v>28</v>
      </c>
      <c r="O884" s="48">
        <v>60058.12</v>
      </c>
      <c r="P884" s="95"/>
      <c r="Q884" s="13">
        <v>18017.439999999999</v>
      </c>
      <c r="R884" s="9">
        <v>18017.439999999999</v>
      </c>
      <c r="S884" s="72"/>
      <c r="T884" s="6"/>
      <c r="U884" s="164"/>
      <c r="V884" s="1"/>
      <c r="X884" s="101">
        <v>1</v>
      </c>
    </row>
    <row r="885" spans="2:24" hidden="1">
      <c r="B885" s="10" t="s">
        <v>1850</v>
      </c>
      <c r="C885" s="24">
        <v>46218.584027777775</v>
      </c>
      <c r="D885" s="10" t="s">
        <v>24</v>
      </c>
      <c r="E885" s="10"/>
      <c r="F885" s="27">
        <v>46218</v>
      </c>
      <c r="G885" s="28" t="s">
        <v>1754</v>
      </c>
      <c r="H885" s="15" t="s">
        <v>26</v>
      </c>
      <c r="I885" s="10" t="s">
        <v>1853</v>
      </c>
      <c r="J885" s="193">
        <v>64815920083</v>
      </c>
      <c r="K885" s="181" t="s">
        <v>1854</v>
      </c>
      <c r="L885" s="108">
        <v>22730156</v>
      </c>
      <c r="M885" s="36">
        <v>5215516841427</v>
      </c>
      <c r="N885" s="170" t="s">
        <v>98</v>
      </c>
      <c r="O885" s="49"/>
      <c r="P885" s="96"/>
      <c r="Q885" s="12">
        <v>0</v>
      </c>
      <c r="R885" s="12">
        <v>0</v>
      </c>
      <c r="S885" s="73"/>
      <c r="T885" s="10"/>
      <c r="U885" s="97"/>
      <c r="V885" s="1"/>
      <c r="X885" s="101">
        <v>0</v>
      </c>
    </row>
    <row r="886" spans="2:24" hidden="1">
      <c r="B886" s="6" t="s">
        <v>1855</v>
      </c>
      <c r="C886" s="23">
        <v>46218.584722222222</v>
      </c>
      <c r="D886" s="6" t="s">
        <v>24</v>
      </c>
      <c r="E886" s="6"/>
      <c r="F886" s="27">
        <v>46218</v>
      </c>
      <c r="G886" s="27" t="s">
        <v>1754</v>
      </c>
      <c r="H886" s="7" t="s">
        <v>110</v>
      </c>
      <c r="I886" s="6" t="s">
        <v>1856</v>
      </c>
      <c r="J886" s="192">
        <v>17826434189</v>
      </c>
      <c r="K886" s="180"/>
      <c r="L886" s="108">
        <v>22729732</v>
      </c>
      <c r="M886" s="37">
        <v>5215528437437</v>
      </c>
      <c r="N886" s="169" t="s">
        <v>37</v>
      </c>
      <c r="O886" s="48">
        <v>9081.42</v>
      </c>
      <c r="P886" s="95">
        <v>2722.5</v>
      </c>
      <c r="Q886" s="13">
        <v>2724.43</v>
      </c>
      <c r="R886" s="13">
        <v>1.93</v>
      </c>
      <c r="S886" s="72">
        <v>46392</v>
      </c>
      <c r="T886" s="6"/>
      <c r="U886" s="164"/>
      <c r="V886" s="1"/>
      <c r="X886" s="101">
        <v>2</v>
      </c>
    </row>
    <row r="887" spans="2:24" hidden="1">
      <c r="B887" s="10" t="s">
        <v>1857</v>
      </c>
      <c r="C887" s="24">
        <v>46218.595138888886</v>
      </c>
      <c r="D887" s="10" t="s">
        <v>24</v>
      </c>
      <c r="E887" s="10"/>
      <c r="F887" s="27">
        <v>46218</v>
      </c>
      <c r="G887" s="28">
        <v>46241</v>
      </c>
      <c r="H887" s="15" t="s">
        <v>476</v>
      </c>
      <c r="I887" s="10" t="s">
        <v>1858</v>
      </c>
      <c r="J887" s="193"/>
      <c r="K887" s="181" t="s">
        <v>1859</v>
      </c>
      <c r="L887" s="108">
        <v>22460302</v>
      </c>
      <c r="M887" s="36">
        <v>5214441868737</v>
      </c>
      <c r="N887" s="170" t="s">
        <v>37</v>
      </c>
      <c r="O887" s="49">
        <v>7920.51</v>
      </c>
      <c r="P887" s="96">
        <v>2291.6</v>
      </c>
      <c r="Q887" s="12">
        <v>2376.15</v>
      </c>
      <c r="R887" s="12">
        <v>84.55</v>
      </c>
      <c r="S887" s="73">
        <v>46397</v>
      </c>
      <c r="T887" s="10"/>
      <c r="U887" s="97"/>
      <c r="V887" s="1"/>
      <c r="X887" s="101">
        <v>2</v>
      </c>
    </row>
    <row r="888" spans="2:24" hidden="1">
      <c r="B888" s="6" t="s">
        <v>1860</v>
      </c>
      <c r="C888" s="23">
        <v>46218.597916666666</v>
      </c>
      <c r="D888" s="6" t="s">
        <v>24</v>
      </c>
      <c r="E888" s="6"/>
      <c r="F888" s="27">
        <v>46218</v>
      </c>
      <c r="G888" s="27" t="s">
        <v>1754</v>
      </c>
      <c r="H888" s="6" t="s">
        <v>1625</v>
      </c>
      <c r="I888" s="6" t="s">
        <v>1861</v>
      </c>
      <c r="J888" s="192">
        <v>3179640209</v>
      </c>
      <c r="K888" s="183" t="s">
        <v>1862</v>
      </c>
      <c r="L888" s="108">
        <v>2</v>
      </c>
      <c r="M888" s="37">
        <v>6751229670</v>
      </c>
      <c r="N888" s="169" t="s">
        <v>37</v>
      </c>
      <c r="O888" s="48">
        <v>11029.03</v>
      </c>
      <c r="P888" s="95">
        <v>3300</v>
      </c>
      <c r="Q888" s="13">
        <v>3308.71</v>
      </c>
      <c r="R888" s="13">
        <v>8.7100000000000009</v>
      </c>
      <c r="S888" s="72">
        <v>46755</v>
      </c>
      <c r="T888" s="6" t="s">
        <v>84</v>
      </c>
      <c r="U888" s="164"/>
      <c r="V888" s="1"/>
      <c r="X888" s="101">
        <v>2</v>
      </c>
    </row>
    <row r="889" spans="2:24" hidden="1">
      <c r="B889" s="10" t="s">
        <v>1855</v>
      </c>
      <c r="C889" s="24">
        <v>46218.6</v>
      </c>
      <c r="D889" s="10" t="s">
        <v>24</v>
      </c>
      <c r="E889" s="10"/>
      <c r="F889" s="27">
        <v>46218</v>
      </c>
      <c r="G889" s="28" t="s">
        <v>1754</v>
      </c>
      <c r="H889" s="15" t="s">
        <v>26</v>
      </c>
      <c r="I889" s="10" t="s">
        <v>1863</v>
      </c>
      <c r="J889" s="193">
        <v>12755804361</v>
      </c>
      <c r="K889" s="181" t="s">
        <v>1864</v>
      </c>
      <c r="L889" s="108">
        <v>22729798</v>
      </c>
      <c r="M889" s="36">
        <v>5214612626376</v>
      </c>
      <c r="N889" s="170" t="s">
        <v>37</v>
      </c>
      <c r="O889" s="49">
        <v>5503.22</v>
      </c>
      <c r="P889" s="96">
        <v>1650</v>
      </c>
      <c r="Q889" s="12">
        <v>1650.97</v>
      </c>
      <c r="R889" s="12">
        <v>-319.76</v>
      </c>
      <c r="S889" s="73">
        <v>46756</v>
      </c>
      <c r="T889" s="10"/>
      <c r="U889" s="97"/>
      <c r="V889" s="1"/>
      <c r="X889" s="101">
        <v>2</v>
      </c>
    </row>
    <row r="890" spans="2:24" hidden="1">
      <c r="B890" s="6" t="s">
        <v>1865</v>
      </c>
      <c r="C890" s="23">
        <v>46218.617361111108</v>
      </c>
      <c r="D890" s="6" t="s">
        <v>24</v>
      </c>
      <c r="E890" s="6"/>
      <c r="F890" s="27">
        <v>46218</v>
      </c>
      <c r="G890" s="27" t="s">
        <v>1754</v>
      </c>
      <c r="H890" s="6" t="s">
        <v>61</v>
      </c>
      <c r="I890" s="6" t="s">
        <v>1866</v>
      </c>
      <c r="J890" s="192">
        <v>33895121151</v>
      </c>
      <c r="K890" s="180" t="s">
        <v>1867</v>
      </c>
      <c r="L890" s="107">
        <v>22731682</v>
      </c>
      <c r="M890" s="37">
        <v>5216611023222</v>
      </c>
      <c r="N890" s="169" t="s">
        <v>32</v>
      </c>
      <c r="O890" s="48">
        <v>3505.89</v>
      </c>
      <c r="P890" s="95">
        <v>848</v>
      </c>
      <c r="Q890" s="13">
        <v>1051.77</v>
      </c>
      <c r="R890" s="13">
        <v>-848</v>
      </c>
      <c r="S890" s="72"/>
      <c r="T890" s="6"/>
      <c r="U890" s="164"/>
      <c r="V890" s="1"/>
      <c r="X890" s="101">
        <v>1</v>
      </c>
    </row>
    <row r="891" spans="2:24" hidden="1">
      <c r="B891" s="10" t="s">
        <v>1868</v>
      </c>
      <c r="C891" s="24">
        <v>46218.622916666667</v>
      </c>
      <c r="D891" s="10" t="s">
        <v>24</v>
      </c>
      <c r="E891" s="10"/>
      <c r="F891" s="27">
        <v>46218</v>
      </c>
      <c r="G891" s="28">
        <v>46333</v>
      </c>
      <c r="H891" s="15" t="s">
        <v>476</v>
      </c>
      <c r="I891" s="10" t="s">
        <v>1869</v>
      </c>
      <c r="J891" s="193"/>
      <c r="K891" s="181" t="s">
        <v>1870</v>
      </c>
      <c r="L891" s="108">
        <v>22577422</v>
      </c>
      <c r="M891" s="36">
        <v>5214427207515</v>
      </c>
      <c r="N891" s="170" t="s">
        <v>32</v>
      </c>
      <c r="O891" s="49">
        <v>3747.62</v>
      </c>
      <c r="P891" s="96">
        <v>848</v>
      </c>
      <c r="Q891" s="12">
        <v>1124.29</v>
      </c>
      <c r="R891" s="12">
        <v>-848</v>
      </c>
      <c r="S891" s="73"/>
      <c r="T891" s="10"/>
      <c r="U891" s="97"/>
      <c r="V891" s="1"/>
      <c r="X891" s="101">
        <v>1</v>
      </c>
    </row>
    <row r="892" spans="2:24" hidden="1">
      <c r="B892" s="6" t="s">
        <v>1871</v>
      </c>
      <c r="C892" s="23">
        <v>46218.625</v>
      </c>
      <c r="D892" s="6" t="s">
        <v>24</v>
      </c>
      <c r="E892" s="6"/>
      <c r="F892" s="27">
        <v>46218</v>
      </c>
      <c r="G892" s="27" t="s">
        <v>1754</v>
      </c>
      <c r="H892" s="10" t="s">
        <v>1625</v>
      </c>
      <c r="I892" s="6" t="s">
        <v>1872</v>
      </c>
      <c r="J892" s="192">
        <v>5189317270</v>
      </c>
      <c r="K892" s="180" t="s">
        <v>1873</v>
      </c>
      <c r="L892" s="115">
        <v>2</v>
      </c>
      <c r="M892" s="37">
        <v>4495545244</v>
      </c>
      <c r="N892" s="169" t="s">
        <v>28</v>
      </c>
      <c r="O892" s="48">
        <v>25321.439999999999</v>
      </c>
      <c r="P892" s="95">
        <v>2367.75</v>
      </c>
      <c r="Q892" s="13">
        <v>7596.43</v>
      </c>
      <c r="R892" s="9">
        <v>5228.68</v>
      </c>
      <c r="S892" s="72">
        <v>46031</v>
      </c>
      <c r="T892" s="6"/>
      <c r="U892" s="164"/>
      <c r="V892" s="1"/>
      <c r="X892" s="101">
        <v>2</v>
      </c>
    </row>
    <row r="893" spans="2:24" hidden="1">
      <c r="B893" s="10" t="s">
        <v>1874</v>
      </c>
      <c r="C893" s="24">
        <v>46218.631944444445</v>
      </c>
      <c r="D893" s="10" t="s">
        <v>24</v>
      </c>
      <c r="E893" s="10"/>
      <c r="F893" s="27">
        <v>46218</v>
      </c>
      <c r="G893" s="28" t="s">
        <v>1754</v>
      </c>
      <c r="H893" s="10" t="s">
        <v>1519</v>
      </c>
      <c r="I893" s="10" t="s">
        <v>1875</v>
      </c>
      <c r="J893" s="192">
        <v>54896323497</v>
      </c>
      <c r="K893" s="181" t="s">
        <v>1876</v>
      </c>
      <c r="L893" s="108">
        <v>22729252</v>
      </c>
      <c r="M893" s="36">
        <v>5213221043163</v>
      </c>
      <c r="N893" s="170" t="s">
        <v>37</v>
      </c>
      <c r="O893" s="49">
        <v>7647.21</v>
      </c>
      <c r="P893" s="96">
        <v>2102</v>
      </c>
      <c r="Q893" s="12">
        <v>2294.16</v>
      </c>
      <c r="R893" s="12">
        <v>192.16</v>
      </c>
      <c r="S893" s="73">
        <v>46756</v>
      </c>
      <c r="T893" s="10"/>
      <c r="U893" s="97"/>
      <c r="V893" s="1"/>
      <c r="X893" s="101">
        <v>2</v>
      </c>
    </row>
    <row r="894" spans="2:24" hidden="1">
      <c r="B894" s="6" t="s">
        <v>1877</v>
      </c>
      <c r="C894" s="23">
        <v>46218.636111111111</v>
      </c>
      <c r="D894" s="6" t="s">
        <v>24</v>
      </c>
      <c r="E894" s="6"/>
      <c r="F894" s="27">
        <v>46218</v>
      </c>
      <c r="G894" s="27">
        <v>46302</v>
      </c>
      <c r="H894" s="6" t="s">
        <v>51</v>
      </c>
      <c r="I894" s="6" t="s">
        <v>1878</v>
      </c>
      <c r="J894" s="192">
        <v>78785904497</v>
      </c>
      <c r="K894" s="180" t="s">
        <v>1879</v>
      </c>
      <c r="L894" s="108">
        <v>22553632</v>
      </c>
      <c r="M894" s="37">
        <v>5219211781019</v>
      </c>
      <c r="N894" s="169" t="s">
        <v>37</v>
      </c>
      <c r="O894" s="48">
        <v>31030.91</v>
      </c>
      <c r="P894" s="95">
        <v>9292.2800000000007</v>
      </c>
      <c r="Q894" s="13">
        <v>9309.27</v>
      </c>
      <c r="R894" s="13">
        <v>16.989999999999998</v>
      </c>
      <c r="S894" s="72">
        <v>46397</v>
      </c>
      <c r="T894" s="6"/>
      <c r="U894" s="164"/>
      <c r="V894" s="1"/>
      <c r="X894" s="101">
        <v>2</v>
      </c>
    </row>
    <row r="895" spans="2:24" hidden="1">
      <c r="B895" s="10" t="s">
        <v>1880</v>
      </c>
      <c r="C895" s="24">
        <v>46218.636805555558</v>
      </c>
      <c r="D895" s="10" t="s">
        <v>24</v>
      </c>
      <c r="E895" s="10"/>
      <c r="F895" s="27">
        <v>46218</v>
      </c>
      <c r="G895" s="28" t="s">
        <v>1754</v>
      </c>
      <c r="H895" s="10" t="s">
        <v>68</v>
      </c>
      <c r="I895" s="10" t="s">
        <v>1881</v>
      </c>
      <c r="J895" s="192">
        <v>9917224199</v>
      </c>
      <c r="K895" s="181" t="s">
        <v>1882</v>
      </c>
      <c r="L895" s="108">
        <v>22725274</v>
      </c>
      <c r="M895" s="36">
        <v>5218134121766</v>
      </c>
      <c r="N895" s="170" t="s">
        <v>235</v>
      </c>
      <c r="O895" s="49"/>
      <c r="P895" s="96"/>
      <c r="Q895" s="12">
        <v>0</v>
      </c>
      <c r="R895" s="12">
        <v>0</v>
      </c>
      <c r="S895" s="73"/>
      <c r="T895" s="10"/>
      <c r="U895" s="97"/>
      <c r="V895" s="1"/>
      <c r="X895" s="101">
        <v>1</v>
      </c>
    </row>
    <row r="896" spans="2:24" hidden="1">
      <c r="B896" s="6" t="s">
        <v>1800</v>
      </c>
      <c r="C896" s="23">
        <v>46218.637499999997</v>
      </c>
      <c r="D896" s="6" t="s">
        <v>24</v>
      </c>
      <c r="E896" s="6"/>
      <c r="F896" s="27">
        <v>46218</v>
      </c>
      <c r="G896" s="27" t="s">
        <v>1550</v>
      </c>
      <c r="H896" s="6" t="s">
        <v>81</v>
      </c>
      <c r="I896" s="6" t="s">
        <v>1883</v>
      </c>
      <c r="J896" s="192"/>
      <c r="K896" s="180" t="s">
        <v>1884</v>
      </c>
      <c r="L896" s="108">
        <v>22704702</v>
      </c>
      <c r="M896" s="37">
        <v>5213314683641</v>
      </c>
      <c r="N896" s="169" t="s">
        <v>37</v>
      </c>
      <c r="O896" s="48">
        <v>52906.73</v>
      </c>
      <c r="P896" s="95">
        <v>15869.42</v>
      </c>
      <c r="Q896" s="13">
        <v>15872.02</v>
      </c>
      <c r="R896" s="13">
        <v>2.6</v>
      </c>
      <c r="S896" s="72">
        <v>46296</v>
      </c>
      <c r="T896" s="6"/>
      <c r="U896" s="164"/>
      <c r="V896" s="1"/>
      <c r="X896" s="101">
        <v>2</v>
      </c>
    </row>
    <row r="897" spans="2:24" hidden="1">
      <c r="B897" s="10" t="s">
        <v>1885</v>
      </c>
      <c r="C897" s="24">
        <v>46218.637499999997</v>
      </c>
      <c r="D897" s="10" t="s">
        <v>24</v>
      </c>
      <c r="E897" s="10"/>
      <c r="F897" s="27">
        <v>46218</v>
      </c>
      <c r="G897" s="28" t="s">
        <v>633</v>
      </c>
      <c r="H897" s="10" t="s">
        <v>39</v>
      </c>
      <c r="I897" s="10" t="s">
        <v>1886</v>
      </c>
      <c r="J897" s="192" t="s">
        <v>1887</v>
      </c>
      <c r="K897" s="181" t="s">
        <v>1888</v>
      </c>
      <c r="L897" s="108">
        <v>22633676</v>
      </c>
      <c r="M897" s="36">
        <v>5215517462807</v>
      </c>
      <c r="N897" s="170" t="s">
        <v>32</v>
      </c>
      <c r="O897" s="49">
        <v>4403.5200000000004</v>
      </c>
      <c r="P897" s="96">
        <v>196.5</v>
      </c>
      <c r="Q897" s="12">
        <v>1321.06</v>
      </c>
      <c r="R897" s="12">
        <v>34.04</v>
      </c>
      <c r="S897" s="73"/>
      <c r="T897" s="10"/>
      <c r="U897" s="97"/>
      <c r="V897" s="1"/>
      <c r="X897" s="101">
        <v>1</v>
      </c>
    </row>
    <row r="898" spans="2:24" hidden="1">
      <c r="B898" s="6" t="s">
        <v>1889</v>
      </c>
      <c r="C898" s="23">
        <v>46218.640277777777</v>
      </c>
      <c r="D898" s="6" t="s">
        <v>24</v>
      </c>
      <c r="E898" s="6"/>
      <c r="F898" s="27">
        <v>46218</v>
      </c>
      <c r="G898" s="27" t="s">
        <v>1754</v>
      </c>
      <c r="H898" s="160" t="s">
        <v>107</v>
      </c>
      <c r="I898" s="6" t="s">
        <v>1890</v>
      </c>
      <c r="J898" s="192"/>
      <c r="K898" s="180" t="s">
        <v>1891</v>
      </c>
      <c r="L898" s="107">
        <v>22730182</v>
      </c>
      <c r="M898" s="37">
        <v>6672263095</v>
      </c>
      <c r="N898" s="169" t="s">
        <v>47</v>
      </c>
      <c r="O898" s="48">
        <v>30157.19</v>
      </c>
      <c r="P898" s="95">
        <v>8724.43</v>
      </c>
      <c r="Q898" s="13">
        <v>9047.16</v>
      </c>
      <c r="R898" s="22">
        <v>322.73</v>
      </c>
      <c r="S898" s="72">
        <v>46397</v>
      </c>
      <c r="T898" s="6"/>
      <c r="U898" s="164"/>
      <c r="V898" s="1"/>
      <c r="X898" s="101">
        <v>2</v>
      </c>
    </row>
    <row r="899" spans="2:24" hidden="1">
      <c r="B899" s="10" t="s">
        <v>1892</v>
      </c>
      <c r="C899" s="24">
        <v>46218.642361111109</v>
      </c>
      <c r="D899" s="10" t="s">
        <v>24</v>
      </c>
      <c r="E899" s="10"/>
      <c r="F899" s="27">
        <v>46218</v>
      </c>
      <c r="G899" s="28" t="s">
        <v>1754</v>
      </c>
      <c r="H899" s="10" t="s">
        <v>93</v>
      </c>
      <c r="I899" s="10" t="s">
        <v>1893</v>
      </c>
      <c r="J899" s="193"/>
      <c r="K899" s="181" t="s">
        <v>1894</v>
      </c>
      <c r="L899" s="108">
        <v>22732214</v>
      </c>
      <c r="M899" s="36">
        <v>3322136549</v>
      </c>
      <c r="N899" s="170" t="s">
        <v>32</v>
      </c>
      <c r="O899" s="49">
        <v>4961.32</v>
      </c>
      <c r="P899" s="96">
        <v>879</v>
      </c>
      <c r="Q899" s="12">
        <v>1488.4</v>
      </c>
      <c r="R899" s="12">
        <v>-90.66</v>
      </c>
      <c r="S899" s="73"/>
      <c r="T899" s="10"/>
      <c r="U899" s="97"/>
      <c r="V899" s="1"/>
      <c r="X899" s="101">
        <v>1</v>
      </c>
    </row>
    <row r="900" spans="2:24" hidden="1">
      <c r="B900" s="6" t="s">
        <v>1889</v>
      </c>
      <c r="C900" s="23">
        <v>46218.643750000003</v>
      </c>
      <c r="D900" s="6" t="s">
        <v>24</v>
      </c>
      <c r="E900" s="6"/>
      <c r="F900" s="27">
        <v>46218</v>
      </c>
      <c r="G900" s="27" t="s">
        <v>1550</v>
      </c>
      <c r="H900" s="10" t="s">
        <v>81</v>
      </c>
      <c r="I900" s="6" t="s">
        <v>1895</v>
      </c>
      <c r="J900" s="192">
        <v>1573742143</v>
      </c>
      <c r="K900" s="180"/>
      <c r="L900" s="107">
        <v>22709232</v>
      </c>
      <c r="M900" s="37">
        <v>5215573855099</v>
      </c>
      <c r="N900" s="169" t="s">
        <v>28</v>
      </c>
      <c r="O900" s="48">
        <v>7118.42</v>
      </c>
      <c r="P900" s="95"/>
      <c r="Q900" s="13">
        <v>2135.5300000000002</v>
      </c>
      <c r="R900" s="9">
        <v>2135.5300000000002</v>
      </c>
      <c r="S900" s="72"/>
      <c r="T900" s="6"/>
      <c r="U900" s="164"/>
      <c r="V900" s="1"/>
      <c r="X900" s="101">
        <v>1</v>
      </c>
    </row>
    <row r="901" spans="2:24" hidden="1">
      <c r="B901" s="10" t="s">
        <v>1896</v>
      </c>
      <c r="C901" s="24">
        <v>46218.643750000003</v>
      </c>
      <c r="D901" s="10" t="s">
        <v>24</v>
      </c>
      <c r="E901" s="10"/>
      <c r="F901" s="27">
        <v>46218</v>
      </c>
      <c r="G901" s="28" t="s">
        <v>1550</v>
      </c>
      <c r="H901" s="10" t="s">
        <v>160</v>
      </c>
      <c r="I901" s="10" t="s">
        <v>1897</v>
      </c>
      <c r="J901" s="193">
        <v>21796218127</v>
      </c>
      <c r="K901" s="181" t="s">
        <v>1898</v>
      </c>
      <c r="L901" s="108">
        <v>22703892</v>
      </c>
      <c r="M901" s="36">
        <v>5216657990605</v>
      </c>
      <c r="N901" s="170" t="s">
        <v>37</v>
      </c>
      <c r="O901" s="49">
        <v>7116.73</v>
      </c>
      <c r="P901" s="96">
        <v>2051.1799999999998</v>
      </c>
      <c r="Q901" s="12">
        <v>2135.02</v>
      </c>
      <c r="R901" s="12">
        <v>83.84</v>
      </c>
      <c r="S901" s="73">
        <v>46399</v>
      </c>
      <c r="T901" s="10"/>
      <c r="U901" s="97"/>
      <c r="V901" s="1"/>
      <c r="X901" s="101">
        <v>2</v>
      </c>
    </row>
    <row r="902" spans="2:24" hidden="1">
      <c r="B902" s="6" t="s">
        <v>1899</v>
      </c>
      <c r="C902" s="23">
        <v>46218.645138888889</v>
      </c>
      <c r="D902" s="6" t="s">
        <v>24</v>
      </c>
      <c r="E902" s="6"/>
      <c r="F902" s="27">
        <v>46218</v>
      </c>
      <c r="G902" s="27" t="s">
        <v>1754</v>
      </c>
      <c r="H902" s="10" t="s">
        <v>61</v>
      </c>
      <c r="I902" s="6" t="s">
        <v>1900</v>
      </c>
      <c r="J902" s="192"/>
      <c r="K902" s="180" t="s">
        <v>1901</v>
      </c>
      <c r="L902" s="107">
        <v>22732972</v>
      </c>
      <c r="M902" s="37">
        <v>5214438388080</v>
      </c>
      <c r="N902" s="169" t="s">
        <v>28</v>
      </c>
      <c r="O902" s="48">
        <v>38664.1</v>
      </c>
      <c r="P902" s="95"/>
      <c r="Q902" s="13">
        <v>11599.23</v>
      </c>
      <c r="R902" s="9">
        <v>11599.23</v>
      </c>
      <c r="S902" s="72"/>
      <c r="T902" s="6"/>
      <c r="U902" s="164"/>
      <c r="V902" s="1"/>
      <c r="X902" s="101">
        <v>1</v>
      </c>
    </row>
    <row r="903" spans="2:24" hidden="1">
      <c r="B903" s="10" t="s">
        <v>1902</v>
      </c>
      <c r="C903" s="24">
        <v>46218.649305555555</v>
      </c>
      <c r="D903" s="10" t="s">
        <v>24</v>
      </c>
      <c r="E903" s="10"/>
      <c r="F903" s="27">
        <v>46218</v>
      </c>
      <c r="G903" s="28" t="s">
        <v>1550</v>
      </c>
      <c r="H903" s="10" t="s">
        <v>160</v>
      </c>
      <c r="I903" s="10" t="s">
        <v>1903</v>
      </c>
      <c r="J903" s="193">
        <v>65715406412</v>
      </c>
      <c r="K903" s="181" t="s">
        <v>1904</v>
      </c>
      <c r="L903" s="108">
        <v>22704696</v>
      </c>
      <c r="M903" s="36">
        <v>5219211204212</v>
      </c>
      <c r="N903" s="170" t="s">
        <v>37</v>
      </c>
      <c r="O903" s="49">
        <v>5188.04</v>
      </c>
      <c r="P903" s="96">
        <v>1380.52</v>
      </c>
      <c r="Q903" s="12">
        <v>1556.41</v>
      </c>
      <c r="R903" s="12">
        <v>-365.46</v>
      </c>
      <c r="S903" s="73">
        <v>46391</v>
      </c>
      <c r="T903" s="10"/>
      <c r="U903" s="97"/>
      <c r="V903" s="1"/>
      <c r="X903" s="101">
        <v>2</v>
      </c>
    </row>
    <row r="904" spans="2:24" hidden="1">
      <c r="B904" s="6" t="s">
        <v>1905</v>
      </c>
      <c r="C904" s="23">
        <v>46218.654166666667</v>
      </c>
      <c r="D904" s="6" t="s">
        <v>24</v>
      </c>
      <c r="E904" s="6"/>
      <c r="F904" s="27">
        <v>46218</v>
      </c>
      <c r="G904" s="27" t="s">
        <v>1754</v>
      </c>
      <c r="H904" s="10" t="s">
        <v>81</v>
      </c>
      <c r="I904" s="6" t="s">
        <v>1906</v>
      </c>
      <c r="J904" s="192"/>
      <c r="K904" s="183" t="s">
        <v>1907</v>
      </c>
      <c r="L904" s="107">
        <v>22726374</v>
      </c>
      <c r="M904" s="37">
        <v>5213314780753</v>
      </c>
      <c r="N904" s="169" t="s">
        <v>47</v>
      </c>
      <c r="O904" s="48">
        <v>46367.06</v>
      </c>
      <c r="P904" s="95">
        <v>13199.86</v>
      </c>
      <c r="Q904" s="13">
        <v>13910.12</v>
      </c>
      <c r="R904" s="22">
        <v>710.26</v>
      </c>
      <c r="S904" s="72">
        <v>46753</v>
      </c>
      <c r="T904" s="6"/>
      <c r="U904" s="164"/>
      <c r="V904" s="1"/>
      <c r="X904" s="101">
        <v>2</v>
      </c>
    </row>
    <row r="905" spans="2:24" hidden="1">
      <c r="B905" s="10" t="s">
        <v>1908</v>
      </c>
      <c r="C905" s="24">
        <v>46218.657638888886</v>
      </c>
      <c r="D905" s="10" t="s">
        <v>24</v>
      </c>
      <c r="E905" s="10"/>
      <c r="F905" s="27">
        <v>46218</v>
      </c>
      <c r="G905" s="28" t="s">
        <v>1754</v>
      </c>
      <c r="H905" s="10" t="s">
        <v>81</v>
      </c>
      <c r="I905" s="10" t="s">
        <v>1909</v>
      </c>
      <c r="J905" s="193"/>
      <c r="K905" s="181" t="s">
        <v>1910</v>
      </c>
      <c r="L905" s="108">
        <v>22728078</v>
      </c>
      <c r="M905" s="36">
        <v>5212881321318</v>
      </c>
      <c r="N905" s="170" t="s">
        <v>37</v>
      </c>
      <c r="O905" s="49">
        <v>7640.52</v>
      </c>
      <c r="P905" s="96">
        <v>2206.58</v>
      </c>
      <c r="Q905" s="12">
        <v>2292.16</v>
      </c>
      <c r="R905" s="12">
        <v>85.58</v>
      </c>
      <c r="S905" s="73">
        <v>46393</v>
      </c>
      <c r="T905" s="10"/>
      <c r="U905" s="97"/>
      <c r="V905" s="1"/>
      <c r="X905" s="101">
        <v>2</v>
      </c>
    </row>
    <row r="906" spans="2:24" hidden="1">
      <c r="B906" s="6" t="s">
        <v>1911</v>
      </c>
      <c r="C906" s="23">
        <v>46218.659722222219</v>
      </c>
      <c r="D906" s="6" t="s">
        <v>24</v>
      </c>
      <c r="E906" s="6"/>
      <c r="F906" s="27">
        <v>46218</v>
      </c>
      <c r="G906" s="27" t="s">
        <v>1754</v>
      </c>
      <c r="H906" s="6" t="s">
        <v>93</v>
      </c>
      <c r="I906" s="6" t="s">
        <v>1912</v>
      </c>
      <c r="J906" s="192"/>
      <c r="K906" s="180" t="s">
        <v>1913</v>
      </c>
      <c r="L906" s="107">
        <v>22733220</v>
      </c>
      <c r="M906" s="37">
        <v>3111490876</v>
      </c>
      <c r="N906" s="169" t="s">
        <v>74</v>
      </c>
      <c r="O906" s="48"/>
      <c r="P906" s="95"/>
      <c r="Q906" s="13">
        <v>0</v>
      </c>
      <c r="R906" s="13">
        <v>0</v>
      </c>
      <c r="S906" s="72"/>
      <c r="T906" s="6"/>
      <c r="U906" s="164"/>
      <c r="V906" s="1"/>
      <c r="X906" s="101">
        <v>1</v>
      </c>
    </row>
    <row r="907" spans="2:24" hidden="1">
      <c r="B907" s="10" t="s">
        <v>1821</v>
      </c>
      <c r="C907" s="24">
        <v>46218.667361111111</v>
      </c>
      <c r="D907" s="10" t="s">
        <v>24</v>
      </c>
      <c r="E907" s="10"/>
      <c r="F907" s="27">
        <v>46218</v>
      </c>
      <c r="G907" s="28" t="s">
        <v>1550</v>
      </c>
      <c r="H907" s="10" t="s">
        <v>124</v>
      </c>
      <c r="I907" s="10" t="s">
        <v>1914</v>
      </c>
      <c r="J907" s="193"/>
      <c r="K907" s="181" t="s">
        <v>1915</v>
      </c>
      <c r="L907" s="108">
        <v>22708646</v>
      </c>
      <c r="M907" s="36">
        <v>5215579875518</v>
      </c>
      <c r="N907" s="170" t="s">
        <v>98</v>
      </c>
      <c r="O907" s="49"/>
      <c r="P907" s="96"/>
      <c r="Q907" s="12">
        <v>0</v>
      </c>
      <c r="R907" s="12">
        <v>0</v>
      </c>
      <c r="S907" s="73"/>
      <c r="T907" s="10"/>
      <c r="U907" s="97"/>
      <c r="V907" s="1"/>
      <c r="X907" s="101">
        <v>0</v>
      </c>
    </row>
    <row r="908" spans="2:24" hidden="1">
      <c r="B908" s="6" t="s">
        <v>1916</v>
      </c>
      <c r="C908" s="23">
        <v>46218.674305555556</v>
      </c>
      <c r="D908" s="6" t="s">
        <v>24</v>
      </c>
      <c r="E908" s="6"/>
      <c r="F908" s="27">
        <v>46218</v>
      </c>
      <c r="G908" s="27" t="s">
        <v>1550</v>
      </c>
      <c r="H908" s="6" t="s">
        <v>127</v>
      </c>
      <c r="I908" s="6" t="s">
        <v>1917</v>
      </c>
      <c r="J908" s="192">
        <v>1705000329</v>
      </c>
      <c r="K908" s="180" t="s">
        <v>1918</v>
      </c>
      <c r="L908" s="108">
        <v>22712680</v>
      </c>
      <c r="M908" s="37">
        <v>5214423709663</v>
      </c>
      <c r="N908" s="169" t="s">
        <v>37</v>
      </c>
      <c r="O908" s="48">
        <v>39045.629999999997</v>
      </c>
      <c r="P908" s="95">
        <v>11708.04</v>
      </c>
      <c r="Q908" s="13">
        <v>11713.69</v>
      </c>
      <c r="R908" s="13">
        <v>5.65</v>
      </c>
      <c r="S908" s="72">
        <v>46753</v>
      </c>
      <c r="T908" s="6"/>
      <c r="U908" s="164"/>
      <c r="V908" s="1"/>
      <c r="X908" s="101">
        <v>2</v>
      </c>
    </row>
    <row r="909" spans="2:24" hidden="1">
      <c r="B909" s="10" t="s">
        <v>1919</v>
      </c>
      <c r="C909" s="24">
        <v>46218.679861111108</v>
      </c>
      <c r="D909" s="10" t="s">
        <v>24</v>
      </c>
      <c r="E909" s="10"/>
      <c r="F909" s="27">
        <v>46218</v>
      </c>
      <c r="G909" s="28" t="s">
        <v>1754</v>
      </c>
      <c r="H909" s="20" t="s">
        <v>71</v>
      </c>
      <c r="I909" s="10" t="s">
        <v>1920</v>
      </c>
      <c r="J909" s="193"/>
      <c r="K909" s="181" t="s">
        <v>1921</v>
      </c>
      <c r="L909" s="108">
        <v>22730662</v>
      </c>
      <c r="M909" s="36">
        <v>5218661481244</v>
      </c>
      <c r="N909" s="170" t="s">
        <v>37</v>
      </c>
      <c r="O909" s="49">
        <v>37144.629999999997</v>
      </c>
      <c r="P909" s="96">
        <v>11141.54</v>
      </c>
      <c r="Q909" s="12">
        <v>11143.39</v>
      </c>
      <c r="R909" s="12">
        <v>1.85</v>
      </c>
      <c r="S909" s="73">
        <v>46390</v>
      </c>
      <c r="T909" s="10"/>
      <c r="U909" s="97"/>
      <c r="V909" s="1"/>
      <c r="X909" s="101">
        <v>2</v>
      </c>
    </row>
    <row r="910" spans="2:24" hidden="1">
      <c r="B910" s="6" t="s">
        <v>1922</v>
      </c>
      <c r="C910" s="23">
        <v>46218.681944444441</v>
      </c>
      <c r="D910" s="6" t="s">
        <v>24</v>
      </c>
      <c r="E910" s="6"/>
      <c r="F910" s="27">
        <v>46218</v>
      </c>
      <c r="G910" s="27" t="s">
        <v>1754</v>
      </c>
      <c r="H910" s="7" t="s">
        <v>110</v>
      </c>
      <c r="I910" s="6" t="s">
        <v>884</v>
      </c>
      <c r="J910" s="192">
        <v>3856804475</v>
      </c>
      <c r="K910" s="180"/>
      <c r="L910" s="107">
        <v>22733646</v>
      </c>
      <c r="M910" s="37">
        <v>5218126183385</v>
      </c>
      <c r="N910" s="169" t="s">
        <v>32</v>
      </c>
      <c r="O910" s="48">
        <v>4358.57</v>
      </c>
      <c r="P910" s="95"/>
      <c r="Q910" s="13">
        <v>1307.57</v>
      </c>
      <c r="R910" s="13">
        <v>185.59</v>
      </c>
      <c r="S910" s="72"/>
      <c r="T910" s="6"/>
      <c r="U910" s="164"/>
      <c r="V910" s="1"/>
      <c r="X910" s="101">
        <v>1</v>
      </c>
    </row>
    <row r="911" spans="2:24" hidden="1">
      <c r="B911" s="10" t="s">
        <v>1923</v>
      </c>
      <c r="C911" s="24">
        <v>46218.689583333333</v>
      </c>
      <c r="D911" s="10" t="s">
        <v>24</v>
      </c>
      <c r="E911" s="10"/>
      <c r="F911" s="27">
        <v>46218</v>
      </c>
      <c r="G911" s="28" t="s">
        <v>1754</v>
      </c>
      <c r="H911" s="15" t="s">
        <v>110</v>
      </c>
      <c r="I911" s="10" t="s">
        <v>1924</v>
      </c>
      <c r="J911" s="193"/>
      <c r="K911" s="181" t="s">
        <v>1925</v>
      </c>
      <c r="L911" s="108">
        <v>22734044</v>
      </c>
      <c r="M911" s="36">
        <v>5215554337963</v>
      </c>
      <c r="N911" s="170" t="s">
        <v>37</v>
      </c>
      <c r="O911" s="49">
        <v>23757.99</v>
      </c>
      <c r="P911" s="96">
        <v>7125.39</v>
      </c>
      <c r="Q911" s="12">
        <v>7127.4</v>
      </c>
      <c r="R911" s="12">
        <v>2.0099999999999998</v>
      </c>
      <c r="S911" s="73">
        <v>46391</v>
      </c>
      <c r="T911" s="10"/>
      <c r="U911" s="97"/>
      <c r="V911" s="1"/>
      <c r="X911" s="101">
        <v>2</v>
      </c>
    </row>
    <row r="912" spans="2:24" hidden="1">
      <c r="B912" s="6" t="s">
        <v>1926</v>
      </c>
      <c r="C912" s="23">
        <v>46218.69027777778</v>
      </c>
      <c r="D912" s="6" t="s">
        <v>24</v>
      </c>
      <c r="E912" s="6"/>
      <c r="F912" s="27">
        <v>46218</v>
      </c>
      <c r="G912" s="27" t="s">
        <v>1754</v>
      </c>
      <c r="H912" s="161" t="s">
        <v>71</v>
      </c>
      <c r="I912" s="6" t="s">
        <v>1927</v>
      </c>
      <c r="J912" s="192"/>
      <c r="K912" s="180" t="s">
        <v>1928</v>
      </c>
      <c r="L912" s="107">
        <v>22734352</v>
      </c>
      <c r="M912" s="37">
        <v>5216678403375</v>
      </c>
      <c r="N912" s="169" t="s">
        <v>47</v>
      </c>
      <c r="O912" s="48">
        <v>5642.22</v>
      </c>
      <c r="P912" s="95">
        <v>1085</v>
      </c>
      <c r="Q912" s="13">
        <v>1692.67</v>
      </c>
      <c r="R912" s="22">
        <v>384.24</v>
      </c>
      <c r="S912" s="72">
        <v>46389</v>
      </c>
      <c r="T912" s="6"/>
      <c r="U912" s="164"/>
      <c r="V912" s="1"/>
      <c r="X912" s="101">
        <v>2</v>
      </c>
    </row>
    <row r="913" spans="2:24" hidden="1">
      <c r="B913" s="10" t="s">
        <v>1926</v>
      </c>
      <c r="C913" s="24">
        <v>46218.695833333331</v>
      </c>
      <c r="D913" s="10" t="s">
        <v>24</v>
      </c>
      <c r="E913" s="10"/>
      <c r="F913" s="27">
        <v>46218</v>
      </c>
      <c r="G913" s="28" t="s">
        <v>1550</v>
      </c>
      <c r="H913" s="10" t="s">
        <v>160</v>
      </c>
      <c r="I913" s="10" t="s">
        <v>1929</v>
      </c>
      <c r="J913" s="193">
        <v>65786103294</v>
      </c>
      <c r="K913" s="181" t="s">
        <v>1930</v>
      </c>
      <c r="L913" s="108">
        <v>22709128</v>
      </c>
      <c r="M913" s="36">
        <v>5212841001455</v>
      </c>
      <c r="N913" s="170" t="s">
        <v>37</v>
      </c>
      <c r="O913" s="49">
        <v>7920.51</v>
      </c>
      <c r="P913" s="96">
        <v>2196.37</v>
      </c>
      <c r="Q913" s="12">
        <v>2376.15</v>
      </c>
      <c r="R913" s="12">
        <v>179.78</v>
      </c>
      <c r="S913" s="73">
        <v>46235</v>
      </c>
      <c r="T913" s="10"/>
      <c r="U913" s="97"/>
      <c r="V913" s="1"/>
      <c r="X913" s="101">
        <v>2</v>
      </c>
    </row>
    <row r="914" spans="2:24" hidden="1">
      <c r="B914" s="6" t="s">
        <v>1931</v>
      </c>
      <c r="C914" s="23">
        <v>46218.697916666664</v>
      </c>
      <c r="D914" s="6" t="s">
        <v>24</v>
      </c>
      <c r="E914" s="6"/>
      <c r="F914" s="27">
        <v>46218</v>
      </c>
      <c r="G914" s="27" t="s">
        <v>1754</v>
      </c>
      <c r="H914" s="6" t="s">
        <v>78</v>
      </c>
      <c r="I914" s="6" t="s">
        <v>1932</v>
      </c>
      <c r="J914" s="192">
        <v>43755930013</v>
      </c>
      <c r="K914" s="180" t="s">
        <v>1933</v>
      </c>
      <c r="L914" s="108">
        <v>22720068</v>
      </c>
      <c r="M914" s="37">
        <v>5218113987112</v>
      </c>
      <c r="N914" s="169" t="s">
        <v>37</v>
      </c>
      <c r="O914" s="48">
        <v>36318.660000000003</v>
      </c>
      <c r="P914" s="95">
        <v>10060.11</v>
      </c>
      <c r="Q914" s="13">
        <v>10895.6</v>
      </c>
      <c r="R914" s="22">
        <v>835.49</v>
      </c>
      <c r="S914" s="72">
        <v>46357</v>
      </c>
      <c r="T914" s="6"/>
      <c r="U914" s="164"/>
      <c r="V914" s="1"/>
      <c r="X914" s="101">
        <v>2</v>
      </c>
    </row>
    <row r="915" spans="2:24" hidden="1">
      <c r="B915" s="10" t="s">
        <v>1934</v>
      </c>
      <c r="C915" s="24">
        <v>46218.705555555556</v>
      </c>
      <c r="D915" s="10" t="s">
        <v>24</v>
      </c>
      <c r="E915" s="10"/>
      <c r="F915" s="27">
        <v>46218</v>
      </c>
      <c r="G915" s="28" t="s">
        <v>1754</v>
      </c>
      <c r="H915" s="10" t="s">
        <v>1629</v>
      </c>
      <c r="I915" s="10" t="s">
        <v>1935</v>
      </c>
      <c r="J915" s="193">
        <v>11745569357</v>
      </c>
      <c r="K915" s="181" t="s">
        <v>1936</v>
      </c>
      <c r="L915" s="116">
        <v>2</v>
      </c>
      <c r="M915" s="36">
        <v>5521031652</v>
      </c>
      <c r="N915" s="170" t="s">
        <v>28</v>
      </c>
      <c r="O915" s="49">
        <v>9081.52</v>
      </c>
      <c r="P915" s="96"/>
      <c r="Q915" s="12">
        <v>2724.46</v>
      </c>
      <c r="R915" s="14">
        <v>2724.46</v>
      </c>
      <c r="S915" s="73"/>
      <c r="T915" s="10"/>
      <c r="U915" s="97"/>
      <c r="V915" s="1"/>
      <c r="X915" s="101">
        <v>1</v>
      </c>
    </row>
    <row r="916" spans="2:24" hidden="1">
      <c r="B916" s="6" t="s">
        <v>1937</v>
      </c>
      <c r="C916" s="23">
        <v>46218.710416666669</v>
      </c>
      <c r="D916" s="6" t="s">
        <v>24</v>
      </c>
      <c r="E916" s="6"/>
      <c r="F916" s="27">
        <v>46218</v>
      </c>
      <c r="G916" s="27" t="s">
        <v>1754</v>
      </c>
      <c r="H916" s="10" t="s">
        <v>127</v>
      </c>
      <c r="I916" s="6" t="s">
        <v>1938</v>
      </c>
      <c r="J916" s="192"/>
      <c r="K916" s="180" t="s">
        <v>1939</v>
      </c>
      <c r="L916" s="107">
        <v>22719768</v>
      </c>
      <c r="M916" s="37">
        <v>5215613305479</v>
      </c>
      <c r="N916" s="169" t="s">
        <v>130</v>
      </c>
      <c r="O916" s="48">
        <v>5617.63</v>
      </c>
      <c r="P916" s="95">
        <v>1069.5</v>
      </c>
      <c r="Q916" s="13">
        <v>1685.29</v>
      </c>
      <c r="R916" s="22">
        <v>375.15</v>
      </c>
      <c r="S916" s="72">
        <v>44938</v>
      </c>
      <c r="T916" s="6"/>
      <c r="U916" s="164"/>
      <c r="V916" s="1"/>
      <c r="X916" s="101">
        <v>2</v>
      </c>
    </row>
    <row r="917" spans="2:24" hidden="1">
      <c r="B917" s="10" t="s">
        <v>1940</v>
      </c>
      <c r="C917" s="24">
        <v>46218.717361111114</v>
      </c>
      <c r="D917" s="10" t="s">
        <v>24</v>
      </c>
      <c r="E917" s="10"/>
      <c r="F917" s="27">
        <v>46218</v>
      </c>
      <c r="G917" s="28">
        <v>46302</v>
      </c>
      <c r="H917" s="10" t="s">
        <v>51</v>
      </c>
      <c r="I917" s="10" t="s">
        <v>1941</v>
      </c>
      <c r="J917" s="193">
        <v>72735424136</v>
      </c>
      <c r="K917" s="181" t="s">
        <v>1942</v>
      </c>
      <c r="L917" s="108">
        <v>22548902</v>
      </c>
      <c r="M917" s="36">
        <v>5219191664130</v>
      </c>
      <c r="N917" s="170" t="s">
        <v>37</v>
      </c>
      <c r="O917" s="49">
        <v>6262.86</v>
      </c>
      <c r="P917" s="96">
        <v>1878.86</v>
      </c>
      <c r="Q917" s="12">
        <v>1878.86</v>
      </c>
      <c r="R917" s="12">
        <v>0</v>
      </c>
      <c r="S917" s="73">
        <v>46755</v>
      </c>
      <c r="T917" s="10"/>
      <c r="U917" s="97"/>
      <c r="V917" s="1"/>
      <c r="X917" s="101">
        <v>2</v>
      </c>
    </row>
    <row r="918" spans="2:24" hidden="1">
      <c r="B918" s="6" t="s">
        <v>1943</v>
      </c>
      <c r="C918" s="23">
        <v>46218.722916666666</v>
      </c>
      <c r="D918" s="6" t="s">
        <v>24</v>
      </c>
      <c r="E918" s="6"/>
      <c r="F918" s="27">
        <v>46218</v>
      </c>
      <c r="G918" s="27">
        <v>46272</v>
      </c>
      <c r="H918" s="6" t="s">
        <v>39</v>
      </c>
      <c r="I918" s="6" t="s">
        <v>1944</v>
      </c>
      <c r="J918" s="192">
        <v>532204448228</v>
      </c>
      <c r="K918" s="180" t="s">
        <v>1945</v>
      </c>
      <c r="L918" s="107">
        <v>22521406</v>
      </c>
      <c r="M918" s="37">
        <v>5214499438981</v>
      </c>
      <c r="N918" s="169" t="s">
        <v>98</v>
      </c>
      <c r="O918" s="48"/>
      <c r="P918" s="95"/>
      <c r="Q918" s="13">
        <v>0</v>
      </c>
      <c r="R918" s="13">
        <v>0</v>
      </c>
      <c r="S918" s="72"/>
      <c r="T918" s="6"/>
      <c r="U918" s="164"/>
      <c r="V918" s="1"/>
      <c r="X918" s="101">
        <v>0</v>
      </c>
    </row>
    <row r="919" spans="2:24" hidden="1">
      <c r="B919" s="10" t="s">
        <v>1946</v>
      </c>
      <c r="C919" s="24">
        <v>46218.723611111112</v>
      </c>
      <c r="D919" s="10" t="s">
        <v>24</v>
      </c>
      <c r="E919" s="10"/>
      <c r="F919" s="27">
        <v>46218</v>
      </c>
      <c r="G919" s="28" t="s">
        <v>1754</v>
      </c>
      <c r="H919" s="10" t="s">
        <v>160</v>
      </c>
      <c r="I919" s="10" t="s">
        <v>1947</v>
      </c>
      <c r="J919" s="193"/>
      <c r="K919" s="181" t="s">
        <v>1948</v>
      </c>
      <c r="L919" s="108">
        <v>22720424</v>
      </c>
      <c r="M919" s="36">
        <v>5217718234958</v>
      </c>
      <c r="N919" s="170" t="s">
        <v>106</v>
      </c>
      <c r="O919" s="49">
        <v>7214.12</v>
      </c>
      <c r="P919" s="96">
        <v>2002.9</v>
      </c>
      <c r="Q919" s="12">
        <v>2164.2399999999998</v>
      </c>
      <c r="R919" s="12">
        <v>161.34</v>
      </c>
      <c r="S919" s="73">
        <v>46029</v>
      </c>
      <c r="T919" s="10"/>
      <c r="U919" s="97"/>
      <c r="V919" s="1"/>
      <c r="X919" s="101">
        <v>2</v>
      </c>
    </row>
    <row r="920" spans="2:24" hidden="1">
      <c r="B920" s="6" t="s">
        <v>1949</v>
      </c>
      <c r="C920" s="23">
        <v>46218.738194444442</v>
      </c>
      <c r="D920" s="6" t="s">
        <v>24</v>
      </c>
      <c r="E920" s="6"/>
      <c r="F920" s="27">
        <v>46218</v>
      </c>
      <c r="G920" s="27" t="s">
        <v>1550</v>
      </c>
      <c r="H920" s="10" t="s">
        <v>127</v>
      </c>
      <c r="I920" s="6" t="s">
        <v>1950</v>
      </c>
      <c r="J920" s="192">
        <v>43826550923</v>
      </c>
      <c r="K920" s="180" t="s">
        <v>1951</v>
      </c>
      <c r="L920" s="107">
        <v>22710626</v>
      </c>
      <c r="M920" s="37">
        <v>5218132538477</v>
      </c>
      <c r="N920" s="169" t="s">
        <v>28</v>
      </c>
      <c r="O920" s="48">
        <v>9760.32</v>
      </c>
      <c r="P920" s="95"/>
      <c r="Q920" s="13">
        <v>2928.1</v>
      </c>
      <c r="R920" s="9">
        <v>2928.1</v>
      </c>
      <c r="S920" s="72"/>
      <c r="T920" s="6"/>
      <c r="U920" s="164"/>
      <c r="V920" s="1"/>
      <c r="X920" s="101">
        <v>1</v>
      </c>
    </row>
    <row r="921" spans="2:24" hidden="1">
      <c r="B921" s="10" t="s">
        <v>1952</v>
      </c>
      <c r="C921" s="24">
        <v>46219.339583333334</v>
      </c>
      <c r="D921" s="10" t="s">
        <v>24</v>
      </c>
      <c r="E921" s="10"/>
      <c r="F921" s="28">
        <v>46219</v>
      </c>
      <c r="G921" s="28" t="s">
        <v>1953</v>
      </c>
      <c r="H921" s="10" t="s">
        <v>1625</v>
      </c>
      <c r="I921" s="10" t="s">
        <v>1954</v>
      </c>
      <c r="J921" s="193">
        <v>42876003205</v>
      </c>
      <c r="K921" s="181" t="s">
        <v>1955</v>
      </c>
      <c r="L921" s="108">
        <v>2</v>
      </c>
      <c r="M921" s="36">
        <v>5533401918</v>
      </c>
      <c r="N921" s="170" t="s">
        <v>37</v>
      </c>
      <c r="O921" s="49">
        <v>5776.61</v>
      </c>
      <c r="P921" s="96">
        <v>1484.08</v>
      </c>
      <c r="Q921" s="12">
        <v>1732.98</v>
      </c>
      <c r="R921" s="12">
        <v>119.55</v>
      </c>
      <c r="S921" s="73">
        <v>46030</v>
      </c>
      <c r="T921" s="10"/>
      <c r="U921" s="97"/>
      <c r="V921" s="1"/>
      <c r="X921" s="101">
        <v>2</v>
      </c>
    </row>
    <row r="922" spans="2:24" hidden="1">
      <c r="B922" s="6" t="s">
        <v>1956</v>
      </c>
      <c r="C922" s="23">
        <v>46219.357638888891</v>
      </c>
      <c r="D922" s="6" t="s">
        <v>24</v>
      </c>
      <c r="E922" s="6"/>
      <c r="F922" s="28">
        <v>46219</v>
      </c>
      <c r="G922" s="27" t="s">
        <v>1754</v>
      </c>
      <c r="H922" s="10" t="s">
        <v>1957</v>
      </c>
      <c r="I922" s="6" t="s">
        <v>1958</v>
      </c>
      <c r="J922" s="192">
        <v>1654414869</v>
      </c>
      <c r="K922" s="180" t="s">
        <v>1959</v>
      </c>
      <c r="L922" s="115">
        <v>2</v>
      </c>
      <c r="M922" s="37">
        <v>5532535945</v>
      </c>
      <c r="N922" s="169" t="s">
        <v>28</v>
      </c>
      <c r="O922" s="48">
        <v>51457.61</v>
      </c>
      <c r="P922" s="95"/>
      <c r="Q922" s="13">
        <v>15437.28</v>
      </c>
      <c r="R922" s="9">
        <v>15437.28</v>
      </c>
      <c r="S922" s="72"/>
      <c r="T922" s="6"/>
      <c r="U922" s="164"/>
      <c r="V922" s="1"/>
      <c r="X922" s="101">
        <v>1</v>
      </c>
    </row>
    <row r="923" spans="2:24" hidden="1">
      <c r="B923" s="10" t="s">
        <v>1960</v>
      </c>
      <c r="C923" s="24">
        <v>46219.396527777775</v>
      </c>
      <c r="D923" s="10" t="s">
        <v>24</v>
      </c>
      <c r="E923" s="10"/>
      <c r="F923" s="28">
        <v>46219</v>
      </c>
      <c r="G923" s="28" t="s">
        <v>1953</v>
      </c>
      <c r="H923" s="10" t="s">
        <v>1957</v>
      </c>
      <c r="I923" s="10" t="s">
        <v>1961</v>
      </c>
      <c r="J923" s="193">
        <v>30886417838</v>
      </c>
      <c r="K923" s="181" t="s">
        <v>1962</v>
      </c>
      <c r="L923" s="108">
        <v>2</v>
      </c>
      <c r="M923" s="36">
        <v>5519594528</v>
      </c>
      <c r="N923" s="170" t="s">
        <v>37</v>
      </c>
      <c r="O923" s="49">
        <v>9760.32</v>
      </c>
      <c r="P923" s="96">
        <v>2927.84</v>
      </c>
      <c r="Q923" s="12">
        <v>2928.1</v>
      </c>
      <c r="R923" s="12">
        <v>0.26</v>
      </c>
      <c r="S923" s="73">
        <v>46755</v>
      </c>
      <c r="T923" s="10"/>
      <c r="U923" s="97"/>
      <c r="V923" s="1"/>
      <c r="X923" s="101">
        <v>2</v>
      </c>
    </row>
    <row r="924" spans="2:24" hidden="1">
      <c r="B924" s="6" t="s">
        <v>1963</v>
      </c>
      <c r="C924" s="23">
        <v>46219.398611111108</v>
      </c>
      <c r="D924" s="6" t="s">
        <v>24</v>
      </c>
      <c r="E924" s="6"/>
      <c r="F924" s="28">
        <v>46219</v>
      </c>
      <c r="G924" s="27" t="s">
        <v>1953</v>
      </c>
      <c r="H924" s="6" t="s">
        <v>1629</v>
      </c>
      <c r="I924" s="6" t="s">
        <v>1964</v>
      </c>
      <c r="J924" s="192">
        <v>65765610582</v>
      </c>
      <c r="K924" s="180" t="s">
        <v>1965</v>
      </c>
      <c r="L924" s="115">
        <v>2</v>
      </c>
      <c r="M924" s="37">
        <v>2961160725</v>
      </c>
      <c r="N924" s="169" t="s">
        <v>32</v>
      </c>
      <c r="O924" s="48">
        <v>3568.75</v>
      </c>
      <c r="P924" s="95"/>
      <c r="Q924" s="13">
        <v>1070.6300000000001</v>
      </c>
      <c r="R924" s="13">
        <v>0</v>
      </c>
      <c r="S924" s="72"/>
      <c r="T924" s="6"/>
      <c r="U924" s="164"/>
      <c r="V924" s="1"/>
      <c r="X924" s="101">
        <v>1</v>
      </c>
    </row>
    <row r="925" spans="2:24" hidden="1">
      <c r="B925" s="10" t="s">
        <v>1966</v>
      </c>
      <c r="C925" s="24">
        <v>46219.401388888888</v>
      </c>
      <c r="D925" s="10" t="s">
        <v>24</v>
      </c>
      <c r="E925" s="10"/>
      <c r="F925" s="28">
        <v>46219</v>
      </c>
      <c r="G925" s="28" t="s">
        <v>1754</v>
      </c>
      <c r="H925" s="10" t="s">
        <v>51</v>
      </c>
      <c r="I925" s="10" t="s">
        <v>1967</v>
      </c>
      <c r="J925" s="193">
        <v>3978132623</v>
      </c>
      <c r="K925" s="181" t="s">
        <v>1968</v>
      </c>
      <c r="L925" s="108">
        <v>22740212</v>
      </c>
      <c r="M925" s="36">
        <v>5218122989108</v>
      </c>
      <c r="N925" s="170" t="s">
        <v>74</v>
      </c>
      <c r="O925" s="49"/>
      <c r="P925" s="96"/>
      <c r="Q925" s="12">
        <v>0</v>
      </c>
      <c r="R925" s="12">
        <v>0</v>
      </c>
      <c r="S925" s="73"/>
      <c r="T925" s="10"/>
      <c r="U925" s="97"/>
      <c r="V925" s="1"/>
      <c r="X925" s="101">
        <v>1</v>
      </c>
    </row>
    <row r="926" spans="2:24" hidden="1">
      <c r="B926" s="6" t="s">
        <v>1969</v>
      </c>
      <c r="C926" s="23">
        <v>46219.402777777781</v>
      </c>
      <c r="D926" s="6" t="s">
        <v>24</v>
      </c>
      <c r="E926" s="6"/>
      <c r="F926" s="28">
        <v>46219</v>
      </c>
      <c r="G926" s="27" t="s">
        <v>1550</v>
      </c>
      <c r="H926" s="6" t="s">
        <v>78</v>
      </c>
      <c r="I926" s="6" t="s">
        <v>1970</v>
      </c>
      <c r="J926" s="192">
        <v>67846358850</v>
      </c>
      <c r="K926" s="180" t="s">
        <v>1971</v>
      </c>
      <c r="L926" s="107">
        <v>22708440</v>
      </c>
      <c r="M926" s="37">
        <v>5212215725614</v>
      </c>
      <c r="N926" s="169" t="s">
        <v>32</v>
      </c>
      <c r="O926" s="48">
        <v>4052.82</v>
      </c>
      <c r="P926" s="95">
        <v>235.92</v>
      </c>
      <c r="Q926" s="13">
        <v>1215.8499999999999</v>
      </c>
      <c r="R926" s="13">
        <v>-235.92</v>
      </c>
      <c r="S926" s="72"/>
      <c r="T926" s="6"/>
      <c r="U926" s="164"/>
      <c r="V926" s="1"/>
      <c r="X926" s="101">
        <v>1</v>
      </c>
    </row>
    <row r="927" spans="2:24" hidden="1">
      <c r="B927" s="10" t="s">
        <v>1874</v>
      </c>
      <c r="C927" s="24">
        <v>46219.406944444447</v>
      </c>
      <c r="D927" s="10" t="s">
        <v>24</v>
      </c>
      <c r="E927" s="10"/>
      <c r="F927" s="28">
        <v>46219</v>
      </c>
      <c r="G927" s="28" t="s">
        <v>1754</v>
      </c>
      <c r="H927" s="10" t="s">
        <v>54</v>
      </c>
      <c r="I927" s="10" t="s">
        <v>1972</v>
      </c>
      <c r="J927" s="193">
        <v>52876609703</v>
      </c>
      <c r="K927" s="181" t="s">
        <v>1973</v>
      </c>
      <c r="L927" s="108">
        <v>22728004</v>
      </c>
      <c r="M927" s="36">
        <v>5213121118922</v>
      </c>
      <c r="N927" s="170" t="s">
        <v>37</v>
      </c>
      <c r="O927" s="49">
        <v>12021.7</v>
      </c>
      <c r="P927" s="96">
        <v>3602.94</v>
      </c>
      <c r="Q927" s="12">
        <v>3606.51</v>
      </c>
      <c r="R927" s="12">
        <v>3.57</v>
      </c>
      <c r="S927" s="73">
        <v>46758</v>
      </c>
      <c r="T927" s="10" t="s">
        <v>192</v>
      </c>
      <c r="U927" s="97"/>
      <c r="V927" s="1"/>
      <c r="X927" s="101">
        <v>2</v>
      </c>
    </row>
    <row r="928" spans="2:24" hidden="1">
      <c r="B928" s="6" t="s">
        <v>1974</v>
      </c>
      <c r="C928" s="23">
        <v>46219.413194444445</v>
      </c>
      <c r="D928" s="6" t="s">
        <v>24</v>
      </c>
      <c r="E928" s="6"/>
      <c r="F928" s="28">
        <v>46219</v>
      </c>
      <c r="G928" s="27" t="s">
        <v>1953</v>
      </c>
      <c r="H928" s="10" t="s">
        <v>1625</v>
      </c>
      <c r="I928" s="6" t="s">
        <v>1906</v>
      </c>
      <c r="J928" s="192">
        <v>54846513205</v>
      </c>
      <c r="K928" s="183" t="s">
        <v>1907</v>
      </c>
      <c r="L928" s="115">
        <v>2</v>
      </c>
      <c r="M928" s="37">
        <v>3314780753</v>
      </c>
      <c r="N928" s="169" t="s">
        <v>47</v>
      </c>
      <c r="O928" s="48">
        <v>46367.06</v>
      </c>
      <c r="P928" s="95">
        <v>13199.86</v>
      </c>
      <c r="Q928" s="13">
        <v>13910.12</v>
      </c>
      <c r="R928" s="22">
        <v>710.26</v>
      </c>
      <c r="S928" s="72">
        <v>46753</v>
      </c>
      <c r="T928" s="6"/>
      <c r="U928" s="164"/>
      <c r="V928" s="1"/>
      <c r="X928" s="101">
        <v>2</v>
      </c>
    </row>
    <row r="929" spans="2:24" hidden="1">
      <c r="B929" s="10" t="s">
        <v>1975</v>
      </c>
      <c r="C929" s="24">
        <v>46219.419444444444</v>
      </c>
      <c r="D929" s="10" t="s">
        <v>24</v>
      </c>
      <c r="E929" s="10"/>
      <c r="F929" s="28">
        <v>46219</v>
      </c>
      <c r="G929" s="28">
        <v>46272</v>
      </c>
      <c r="H929" s="10" t="s">
        <v>269</v>
      </c>
      <c r="I929" s="10" t="s">
        <v>1976</v>
      </c>
      <c r="J929" s="193">
        <v>3584671505</v>
      </c>
      <c r="K929" s="181" t="s">
        <v>1977</v>
      </c>
      <c r="L929" s="108">
        <v>22523568</v>
      </c>
      <c r="M929" s="36">
        <v>5216565896686</v>
      </c>
      <c r="N929" s="170" t="s">
        <v>263</v>
      </c>
      <c r="O929" s="49">
        <v>22358.77</v>
      </c>
      <c r="P929" s="96">
        <v>6668.9</v>
      </c>
      <c r="Q929" s="12">
        <v>6707.63</v>
      </c>
      <c r="R929" s="12">
        <v>38.729999999999997</v>
      </c>
      <c r="S929" s="73">
        <v>46027</v>
      </c>
      <c r="T929" s="10"/>
      <c r="U929" s="97"/>
      <c r="V929" s="1"/>
      <c r="X929" s="101">
        <v>2</v>
      </c>
    </row>
    <row r="930" spans="2:24" hidden="1">
      <c r="B930" s="6" t="s">
        <v>1978</v>
      </c>
      <c r="C930" s="23">
        <v>46219.424305555556</v>
      </c>
      <c r="D930" s="6" t="s">
        <v>24</v>
      </c>
      <c r="E930" s="6"/>
      <c r="F930" s="28">
        <v>46219</v>
      </c>
      <c r="G930" s="27" t="s">
        <v>1953</v>
      </c>
      <c r="H930" s="6" t="s">
        <v>68</v>
      </c>
      <c r="I930" s="6" t="s">
        <v>1979</v>
      </c>
      <c r="J930" s="203">
        <v>13816603057</v>
      </c>
      <c r="K930" s="180" t="s">
        <v>1980</v>
      </c>
      <c r="L930" s="108">
        <v>22747808</v>
      </c>
      <c r="M930" s="37">
        <v>5217736825268</v>
      </c>
      <c r="N930" s="169" t="s">
        <v>37</v>
      </c>
      <c r="O930" s="48">
        <v>10636.54</v>
      </c>
      <c r="P930" s="95">
        <v>3190.96</v>
      </c>
      <c r="Q930" s="13">
        <v>3190.96</v>
      </c>
      <c r="R930" s="13">
        <v>0</v>
      </c>
      <c r="S930" s="72">
        <v>46756</v>
      </c>
      <c r="T930" s="6"/>
      <c r="U930" s="164"/>
      <c r="V930" s="1"/>
      <c r="X930" s="101">
        <v>2</v>
      </c>
    </row>
    <row r="931" spans="2:24" hidden="1">
      <c r="B931" s="10" t="s">
        <v>1981</v>
      </c>
      <c r="C931" s="24">
        <v>46219.430555555555</v>
      </c>
      <c r="D931" s="10" t="s">
        <v>24</v>
      </c>
      <c r="E931" s="10"/>
      <c r="F931" s="28">
        <v>46219</v>
      </c>
      <c r="G931" s="28" t="s">
        <v>1754</v>
      </c>
      <c r="H931" s="10" t="s">
        <v>160</v>
      </c>
      <c r="I931" s="10" t="s">
        <v>1982</v>
      </c>
      <c r="J931" s="193">
        <v>23856914702</v>
      </c>
      <c r="K931" s="181" t="s">
        <v>1983</v>
      </c>
      <c r="L931" s="108">
        <v>22736576</v>
      </c>
      <c r="M931" s="36">
        <v>5216871594035</v>
      </c>
      <c r="N931" s="170" t="s">
        <v>32</v>
      </c>
      <c r="O931" s="49">
        <v>4463.08</v>
      </c>
      <c r="P931" s="96">
        <v>680</v>
      </c>
      <c r="Q931" s="12">
        <v>1338.92</v>
      </c>
      <c r="R931" s="12">
        <v>-389.9</v>
      </c>
      <c r="S931" s="73"/>
      <c r="T931" s="10"/>
      <c r="U931" s="97"/>
      <c r="V931" s="1"/>
      <c r="X931" s="101">
        <v>1</v>
      </c>
    </row>
    <row r="932" spans="2:24" hidden="1">
      <c r="B932" s="6" t="s">
        <v>1984</v>
      </c>
      <c r="C932" s="23">
        <v>46219.431250000001</v>
      </c>
      <c r="D932" s="6" t="s">
        <v>24</v>
      </c>
      <c r="E932" s="6"/>
      <c r="F932" s="28">
        <v>46219</v>
      </c>
      <c r="G932" s="27" t="s">
        <v>1953</v>
      </c>
      <c r="H932" s="6" t="s">
        <v>51</v>
      </c>
      <c r="I932" s="6" t="s">
        <v>1985</v>
      </c>
      <c r="J932" s="192">
        <v>43816030258</v>
      </c>
      <c r="K932" s="180" t="s">
        <v>1986</v>
      </c>
      <c r="L932" s="108">
        <v>22738772</v>
      </c>
      <c r="M932" s="37">
        <v>5218146164423</v>
      </c>
      <c r="N932" s="169" t="s">
        <v>37</v>
      </c>
      <c r="O932" s="48">
        <v>9617.93</v>
      </c>
      <c r="P932" s="95">
        <v>2714.96</v>
      </c>
      <c r="Q932" s="13">
        <v>2885.38</v>
      </c>
      <c r="R932" s="13">
        <v>170.42</v>
      </c>
      <c r="S932" s="72">
        <v>46392</v>
      </c>
      <c r="T932" s="6"/>
      <c r="U932" s="164"/>
      <c r="V932" s="1"/>
      <c r="X932" s="101">
        <v>2</v>
      </c>
    </row>
    <row r="933" spans="2:24" hidden="1">
      <c r="B933" s="10" t="s">
        <v>1987</v>
      </c>
      <c r="C933" s="24">
        <v>46219.431944444441</v>
      </c>
      <c r="D933" s="10" t="s">
        <v>24</v>
      </c>
      <c r="E933" s="10"/>
      <c r="F933" s="28">
        <v>46219</v>
      </c>
      <c r="G933" s="28" t="s">
        <v>1754</v>
      </c>
      <c r="H933" s="10" t="s">
        <v>54</v>
      </c>
      <c r="I933" s="10" t="s">
        <v>1988</v>
      </c>
      <c r="J933" s="193">
        <v>84806007518</v>
      </c>
      <c r="K933" s="181" t="s">
        <v>1989</v>
      </c>
      <c r="L933" s="108">
        <v>22736916</v>
      </c>
      <c r="M933" s="36">
        <v>5219993504040</v>
      </c>
      <c r="N933" s="170" t="s">
        <v>37</v>
      </c>
      <c r="O933" s="49">
        <v>10430.1</v>
      </c>
      <c r="P933" s="96">
        <v>3129.03</v>
      </c>
      <c r="Q933" s="12">
        <v>3129.03</v>
      </c>
      <c r="R933" s="12">
        <v>0</v>
      </c>
      <c r="S933" s="73">
        <v>46391</v>
      </c>
      <c r="T933" s="10"/>
      <c r="U933" s="97"/>
      <c r="V933" s="1"/>
      <c r="X933" s="101">
        <v>2</v>
      </c>
    </row>
    <row r="934" spans="2:24" hidden="1">
      <c r="B934" s="6" t="s">
        <v>1990</v>
      </c>
      <c r="C934" s="23">
        <v>46219.433333333334</v>
      </c>
      <c r="D934" s="6" t="s">
        <v>24</v>
      </c>
      <c r="E934" s="6"/>
      <c r="F934" s="28">
        <v>46219</v>
      </c>
      <c r="G934" s="27" t="s">
        <v>1754</v>
      </c>
      <c r="H934" s="7" t="s">
        <v>26</v>
      </c>
      <c r="I934" s="6" t="s">
        <v>1991</v>
      </c>
      <c r="J934" s="192">
        <v>49887066444</v>
      </c>
      <c r="K934" s="180"/>
      <c r="L934" s="108">
        <v>22735798</v>
      </c>
      <c r="M934" s="37">
        <v>5218144045908</v>
      </c>
      <c r="N934" s="169" t="s">
        <v>37</v>
      </c>
      <c r="O934" s="48">
        <v>8181.55</v>
      </c>
      <c r="P934" s="95">
        <v>2214.66</v>
      </c>
      <c r="Q934" s="13">
        <v>2454.4699999999998</v>
      </c>
      <c r="R934" s="13">
        <v>239.81</v>
      </c>
      <c r="S934" s="72">
        <v>46389</v>
      </c>
      <c r="T934" s="6"/>
      <c r="U934" s="164"/>
      <c r="V934" s="1"/>
      <c r="X934" s="101">
        <v>2</v>
      </c>
    </row>
    <row r="935" spans="2:24" hidden="1">
      <c r="B935" s="10" t="s">
        <v>1992</v>
      </c>
      <c r="C935" s="24">
        <v>46219.442361111112</v>
      </c>
      <c r="D935" s="10" t="s">
        <v>24</v>
      </c>
      <c r="E935" s="10"/>
      <c r="F935" s="28">
        <v>46219</v>
      </c>
      <c r="G935" s="28" t="s">
        <v>1754</v>
      </c>
      <c r="H935" s="10" t="s">
        <v>78</v>
      </c>
      <c r="I935" s="10" t="s">
        <v>1993</v>
      </c>
      <c r="J935" s="193">
        <v>7815202317</v>
      </c>
      <c r="K935" s="181" t="s">
        <v>1994</v>
      </c>
      <c r="L935" s="108">
        <v>22720754</v>
      </c>
      <c r="M935" s="36">
        <v>5215611847126</v>
      </c>
      <c r="N935" s="170" t="s">
        <v>130</v>
      </c>
      <c r="O935" s="49">
        <v>4784.82</v>
      </c>
      <c r="P935" s="96">
        <v>486.74</v>
      </c>
      <c r="Q935" s="12">
        <v>1435.45</v>
      </c>
      <c r="R935" s="12">
        <v>125.1</v>
      </c>
      <c r="S935" s="73">
        <v>45299</v>
      </c>
      <c r="T935" s="10"/>
      <c r="U935" s="97"/>
      <c r="V935" s="1"/>
      <c r="X935" s="101">
        <v>2</v>
      </c>
    </row>
    <row r="936" spans="2:24" hidden="1">
      <c r="B936" s="6" t="s">
        <v>1995</v>
      </c>
      <c r="C936" s="23">
        <v>46219.451388888891</v>
      </c>
      <c r="D936" s="6" t="s">
        <v>24</v>
      </c>
      <c r="E936" s="6"/>
      <c r="F936" s="28">
        <v>46219</v>
      </c>
      <c r="G936" s="27" t="s">
        <v>1953</v>
      </c>
      <c r="H936" s="6" t="s">
        <v>39</v>
      </c>
      <c r="I936" s="6" t="s">
        <v>1996</v>
      </c>
      <c r="J936" s="192">
        <v>53805916714</v>
      </c>
      <c r="K936" s="180" t="s">
        <v>1997</v>
      </c>
      <c r="L936" s="108">
        <v>22749864</v>
      </c>
      <c r="M936" s="37">
        <v>5214521363159</v>
      </c>
      <c r="N936" s="169" t="s">
        <v>37</v>
      </c>
      <c r="O936" s="48">
        <v>4813.6899999999996</v>
      </c>
      <c r="P936" s="95">
        <v>617</v>
      </c>
      <c r="Q936" s="13">
        <v>1444.11</v>
      </c>
      <c r="R936" s="13">
        <v>23.71</v>
      </c>
      <c r="S936" s="72">
        <v>46392</v>
      </c>
      <c r="T936" s="6"/>
      <c r="U936" s="164"/>
      <c r="V936" s="1"/>
      <c r="X936" s="101">
        <v>2</v>
      </c>
    </row>
    <row r="937" spans="2:24" hidden="1">
      <c r="B937" s="10" t="s">
        <v>1998</v>
      </c>
      <c r="C937" s="24">
        <v>46219.46597222222</v>
      </c>
      <c r="D937" s="10" t="s">
        <v>24</v>
      </c>
      <c r="E937" s="10"/>
      <c r="F937" s="28">
        <v>46219</v>
      </c>
      <c r="G937" s="28" t="s">
        <v>1754</v>
      </c>
      <c r="H937" s="160" t="s">
        <v>107</v>
      </c>
      <c r="I937" s="10" t="s">
        <v>1999</v>
      </c>
      <c r="J937" s="193">
        <v>45967936191</v>
      </c>
      <c r="K937" s="181" t="s">
        <v>2000</v>
      </c>
      <c r="L937" s="108">
        <v>22730838</v>
      </c>
      <c r="M937" s="36">
        <v>5215627117371</v>
      </c>
      <c r="N937" s="170" t="s">
        <v>28</v>
      </c>
      <c r="O937" s="49">
        <v>11193.22</v>
      </c>
      <c r="P937" s="96"/>
      <c r="Q937" s="12">
        <v>3357.97</v>
      </c>
      <c r="R937" s="14">
        <v>3357.97</v>
      </c>
      <c r="S937" s="73"/>
      <c r="T937" s="10"/>
      <c r="U937" s="97"/>
      <c r="V937" s="1"/>
      <c r="X937" s="101">
        <v>1</v>
      </c>
    </row>
    <row r="938" spans="2:24" hidden="1">
      <c r="B938" s="6" t="s">
        <v>2001</v>
      </c>
      <c r="C938" s="23">
        <v>46219.472916666666</v>
      </c>
      <c r="D938" s="6" t="s">
        <v>24</v>
      </c>
      <c r="E938" s="6"/>
      <c r="F938" s="28">
        <v>46219</v>
      </c>
      <c r="G938" s="27" t="s">
        <v>1953</v>
      </c>
      <c r="H938" s="6" t="s">
        <v>1519</v>
      </c>
      <c r="I938" s="6" t="s">
        <v>2002</v>
      </c>
      <c r="J938" s="201">
        <v>6866816108</v>
      </c>
      <c r="K938" s="180" t="s">
        <v>2003</v>
      </c>
      <c r="L938" s="108">
        <v>22750674</v>
      </c>
      <c r="M938" s="37">
        <v>5214171402300</v>
      </c>
      <c r="N938" s="169" t="s">
        <v>37</v>
      </c>
      <c r="O938" s="48">
        <v>7404.12</v>
      </c>
      <c r="P938" s="95">
        <v>2220</v>
      </c>
      <c r="Q938" s="13">
        <v>2221.2399999999998</v>
      </c>
      <c r="R938" s="13">
        <v>1.24</v>
      </c>
      <c r="S938" s="72">
        <v>46327</v>
      </c>
      <c r="T938" s="6"/>
      <c r="U938" s="164"/>
      <c r="V938" s="1"/>
      <c r="X938" s="101">
        <v>2</v>
      </c>
    </row>
    <row r="939" spans="2:24" hidden="1">
      <c r="B939" s="10" t="s">
        <v>2004</v>
      </c>
      <c r="C939" s="24">
        <v>46219.474305555559</v>
      </c>
      <c r="D939" s="10" t="s">
        <v>24</v>
      </c>
      <c r="E939" s="10"/>
      <c r="F939" s="28">
        <v>46219</v>
      </c>
      <c r="G939" s="28" t="s">
        <v>1550</v>
      </c>
      <c r="H939" s="10" t="s">
        <v>39</v>
      </c>
      <c r="I939" s="10" t="s">
        <v>2005</v>
      </c>
      <c r="J939" s="193">
        <v>24795900711</v>
      </c>
      <c r="K939" s="181" t="s">
        <v>2006</v>
      </c>
      <c r="L939" s="108">
        <v>22711822</v>
      </c>
      <c r="M939" s="36">
        <v>5216621159761</v>
      </c>
      <c r="N939" s="170" t="s">
        <v>37</v>
      </c>
      <c r="O939" s="49">
        <v>5776.61</v>
      </c>
      <c r="P939" s="96">
        <v>1586.23</v>
      </c>
      <c r="Q939" s="12">
        <v>1732.98</v>
      </c>
      <c r="R939" s="12">
        <v>17.399999999999999</v>
      </c>
      <c r="S939" s="73">
        <v>46754</v>
      </c>
      <c r="T939" s="10" t="s">
        <v>909</v>
      </c>
      <c r="U939" s="97"/>
      <c r="V939" s="1"/>
      <c r="X939" s="101">
        <v>2</v>
      </c>
    </row>
    <row r="940" spans="2:24" hidden="1">
      <c r="B940" s="6" t="s">
        <v>2007</v>
      </c>
      <c r="C940" s="23">
        <v>46219.476388888892</v>
      </c>
      <c r="D940" s="6" t="s">
        <v>24</v>
      </c>
      <c r="E940" s="6"/>
      <c r="F940" s="28">
        <v>46219</v>
      </c>
      <c r="G940" s="27" t="s">
        <v>1754</v>
      </c>
      <c r="H940" s="6" t="s">
        <v>51</v>
      </c>
      <c r="I940" s="6" t="s">
        <v>2008</v>
      </c>
      <c r="J940" s="192">
        <v>32836381981</v>
      </c>
      <c r="K940" s="180" t="s">
        <v>2009</v>
      </c>
      <c r="L940" s="108">
        <v>22723866</v>
      </c>
      <c r="M940" s="37">
        <v>5218446749853</v>
      </c>
      <c r="N940" s="169" t="s">
        <v>37</v>
      </c>
      <c r="O940" s="48">
        <v>48125.27</v>
      </c>
      <c r="P940" s="95">
        <v>14434.01</v>
      </c>
      <c r="Q940" s="13">
        <v>14437.58</v>
      </c>
      <c r="R940" s="13">
        <v>3.57</v>
      </c>
      <c r="S940" s="72">
        <v>46392</v>
      </c>
      <c r="T940" s="6"/>
      <c r="U940" s="164"/>
      <c r="V940" s="1"/>
      <c r="X940" s="101">
        <v>2</v>
      </c>
    </row>
    <row r="941" spans="2:24" hidden="1">
      <c r="B941" s="10" t="s">
        <v>2010</v>
      </c>
      <c r="C941" s="24">
        <v>46219.480555555558</v>
      </c>
      <c r="D941" s="10" t="s">
        <v>24</v>
      </c>
      <c r="E941" s="10"/>
      <c r="F941" s="28">
        <v>46219</v>
      </c>
      <c r="G941" s="28" t="s">
        <v>1953</v>
      </c>
      <c r="H941" s="10" t="s">
        <v>1519</v>
      </c>
      <c r="I941" s="10" t="s">
        <v>2011</v>
      </c>
      <c r="J941" s="193">
        <v>53977821395</v>
      </c>
      <c r="K941" s="181"/>
      <c r="L941" s="108">
        <v>22740652</v>
      </c>
      <c r="M941" s="36">
        <v>5217861005519</v>
      </c>
      <c r="N941" s="170" t="s">
        <v>74</v>
      </c>
      <c r="O941" s="49"/>
      <c r="P941" s="96"/>
      <c r="Q941" s="12">
        <v>0</v>
      </c>
      <c r="R941" s="12">
        <v>0</v>
      </c>
      <c r="S941" s="73"/>
      <c r="T941" s="10"/>
      <c r="U941" s="97"/>
      <c r="V941" s="1"/>
      <c r="X941" s="101">
        <v>1</v>
      </c>
    </row>
    <row r="942" spans="2:24" hidden="1">
      <c r="B942" s="6" t="s">
        <v>2010</v>
      </c>
      <c r="C942" s="23">
        <v>46219.48333333333</v>
      </c>
      <c r="D942" s="6" t="s">
        <v>24</v>
      </c>
      <c r="E942" s="6"/>
      <c r="F942" s="28">
        <v>46219</v>
      </c>
      <c r="G942" s="27" t="s">
        <v>1953</v>
      </c>
      <c r="H942" s="6" t="s">
        <v>78</v>
      </c>
      <c r="I942" s="6" t="s">
        <v>2012</v>
      </c>
      <c r="J942" s="192">
        <v>43796323939</v>
      </c>
      <c r="K942" s="180" t="s">
        <v>2013</v>
      </c>
      <c r="L942" s="108">
        <v>22742746</v>
      </c>
      <c r="M942" s="37">
        <v>5218186576953</v>
      </c>
      <c r="N942" s="169" t="s">
        <v>37</v>
      </c>
      <c r="O942" s="48">
        <v>7920.51</v>
      </c>
      <c r="P942" s="95">
        <v>2281.38</v>
      </c>
      <c r="Q942" s="13">
        <v>2376.15</v>
      </c>
      <c r="R942" s="13">
        <v>94.77</v>
      </c>
      <c r="S942" s="72">
        <v>46398</v>
      </c>
      <c r="T942" s="6"/>
      <c r="U942" s="164"/>
      <c r="V942" s="1"/>
      <c r="X942" s="101">
        <v>2</v>
      </c>
    </row>
    <row r="943" spans="2:24" hidden="1">
      <c r="B943" s="10" t="s">
        <v>2014</v>
      </c>
      <c r="C943" s="24">
        <v>46219.48333333333</v>
      </c>
      <c r="D943" s="10" t="s">
        <v>24</v>
      </c>
      <c r="E943" s="10"/>
      <c r="F943" s="28">
        <v>46219</v>
      </c>
      <c r="G943" s="28" t="s">
        <v>1754</v>
      </c>
      <c r="H943" s="10" t="s">
        <v>54</v>
      </c>
      <c r="I943" s="10" t="s">
        <v>2015</v>
      </c>
      <c r="J943" s="193">
        <v>31826008745</v>
      </c>
      <c r="K943" s="181" t="s">
        <v>2016</v>
      </c>
      <c r="L943" s="108">
        <v>22738370</v>
      </c>
      <c r="M943" s="36">
        <v>5216188396505</v>
      </c>
      <c r="N943" s="170" t="s">
        <v>37</v>
      </c>
      <c r="O943" s="49">
        <v>5617.63</v>
      </c>
      <c r="P943" s="96">
        <v>1334.97</v>
      </c>
      <c r="Q943" s="12">
        <v>1685.29</v>
      </c>
      <c r="R943" s="12">
        <v>109.68</v>
      </c>
      <c r="S943" s="73">
        <v>46235</v>
      </c>
      <c r="T943" s="10"/>
      <c r="U943" s="97"/>
      <c r="V943" s="1"/>
      <c r="X943" s="101">
        <v>2</v>
      </c>
    </row>
    <row r="944" spans="2:24" hidden="1">
      <c r="B944" s="6" t="s">
        <v>2017</v>
      </c>
      <c r="C944" s="23">
        <v>46219.5</v>
      </c>
      <c r="D944" s="6" t="s">
        <v>24</v>
      </c>
      <c r="E944" s="6"/>
      <c r="F944" s="28">
        <v>46219</v>
      </c>
      <c r="G944" s="27" t="s">
        <v>1953</v>
      </c>
      <c r="H944" s="6" t="s">
        <v>1629</v>
      </c>
      <c r="I944" s="6" t="s">
        <v>2018</v>
      </c>
      <c r="J944" s="192">
        <v>71966900129</v>
      </c>
      <c r="K944" s="180" t="s">
        <v>2019</v>
      </c>
      <c r="L944" s="115">
        <v>2</v>
      </c>
      <c r="M944" s="37">
        <v>6242666706</v>
      </c>
      <c r="N944" s="169" t="s">
        <v>74</v>
      </c>
      <c r="O944" s="48"/>
      <c r="P944" s="95"/>
      <c r="Q944" s="13">
        <v>0</v>
      </c>
      <c r="R944" s="13">
        <v>0</v>
      </c>
      <c r="S944" s="72"/>
      <c r="T944" s="6"/>
      <c r="U944" s="164"/>
      <c r="V944" s="1"/>
      <c r="X944" s="101">
        <v>1</v>
      </c>
    </row>
    <row r="945" spans="2:24" hidden="1">
      <c r="B945" s="10" t="s">
        <v>2020</v>
      </c>
      <c r="C945" s="24">
        <v>46219.501388888886</v>
      </c>
      <c r="D945" s="10" t="s">
        <v>24</v>
      </c>
      <c r="E945" s="10"/>
      <c r="F945" s="28">
        <v>46219</v>
      </c>
      <c r="G945" s="28" t="s">
        <v>1953</v>
      </c>
      <c r="H945" s="10" t="s">
        <v>1625</v>
      </c>
      <c r="I945" s="10" t="s">
        <v>2021</v>
      </c>
      <c r="J945" s="193">
        <v>34786100957</v>
      </c>
      <c r="K945" s="181" t="s">
        <v>2022</v>
      </c>
      <c r="L945" s="116">
        <v>2</v>
      </c>
      <c r="M945" s="36">
        <v>2214285315</v>
      </c>
      <c r="N945" s="170" t="s">
        <v>32</v>
      </c>
      <c r="O945" s="49"/>
      <c r="P945" s="96"/>
      <c r="Q945" s="12">
        <v>0</v>
      </c>
      <c r="R945" s="12">
        <v>0</v>
      </c>
      <c r="S945" s="73"/>
      <c r="T945" s="10"/>
      <c r="U945" s="97"/>
      <c r="V945" s="1"/>
      <c r="X945" s="101">
        <v>1</v>
      </c>
    </row>
    <row r="946" spans="2:24" hidden="1">
      <c r="B946" s="6" t="s">
        <v>2023</v>
      </c>
      <c r="C946" s="23">
        <v>46219.505555555559</v>
      </c>
      <c r="D946" s="6" t="s">
        <v>24</v>
      </c>
      <c r="E946" s="6"/>
      <c r="F946" s="28">
        <v>46219</v>
      </c>
      <c r="G946" s="27" t="s">
        <v>1953</v>
      </c>
      <c r="H946" s="6" t="s">
        <v>78</v>
      </c>
      <c r="I946" s="6" t="s">
        <v>2024</v>
      </c>
      <c r="J946" s="192"/>
      <c r="K946" s="180" t="s">
        <v>2025</v>
      </c>
      <c r="L946" s="108">
        <v>22749486</v>
      </c>
      <c r="M946" s="37">
        <v>5218281464976</v>
      </c>
      <c r="N946" s="169" t="s">
        <v>37</v>
      </c>
      <c r="O946" s="48">
        <v>6271.82</v>
      </c>
      <c r="P946" s="95">
        <v>1811.47</v>
      </c>
      <c r="Q946" s="13">
        <v>1881.55</v>
      </c>
      <c r="R946" s="13">
        <v>70.08</v>
      </c>
      <c r="S946" s="72">
        <v>46396</v>
      </c>
      <c r="T946" s="6"/>
      <c r="U946" s="164"/>
      <c r="V946" s="1"/>
      <c r="X946" s="101">
        <v>2</v>
      </c>
    </row>
    <row r="947" spans="2:24" hidden="1">
      <c r="B947" s="10" t="s">
        <v>2026</v>
      </c>
      <c r="C947" s="24">
        <v>46219.506944444445</v>
      </c>
      <c r="D947" s="10" t="s">
        <v>24</v>
      </c>
      <c r="E947" s="10"/>
      <c r="F947" s="28">
        <v>46219</v>
      </c>
      <c r="G947" s="28" t="s">
        <v>1754</v>
      </c>
      <c r="H947" s="10" t="s">
        <v>54</v>
      </c>
      <c r="I947" s="10" t="s">
        <v>2027</v>
      </c>
      <c r="J947" s="193">
        <v>78916921154</v>
      </c>
      <c r="K947" s="181" t="s">
        <v>2028</v>
      </c>
      <c r="L947" s="108">
        <v>22738440</v>
      </c>
      <c r="M947" s="36">
        <v>5212881356185</v>
      </c>
      <c r="N947" s="170" t="s">
        <v>37</v>
      </c>
      <c r="O947" s="49">
        <v>6434.6</v>
      </c>
      <c r="P947" s="96">
        <v>1786.47</v>
      </c>
      <c r="Q947" s="12">
        <v>1930.38</v>
      </c>
      <c r="R947" s="12">
        <v>143.91</v>
      </c>
      <c r="S947" s="73">
        <v>46388</v>
      </c>
      <c r="T947" s="10" t="s">
        <v>192</v>
      </c>
      <c r="U947" s="97"/>
      <c r="V947" s="1"/>
      <c r="X947" s="101">
        <v>2</v>
      </c>
    </row>
    <row r="948" spans="2:24" hidden="1">
      <c r="B948" s="6" t="s">
        <v>2017</v>
      </c>
      <c r="C948" s="23">
        <v>46219.507638888892</v>
      </c>
      <c r="D948" s="6" t="s">
        <v>24</v>
      </c>
      <c r="E948" s="6"/>
      <c r="F948" s="28">
        <v>46219</v>
      </c>
      <c r="G948" s="27" t="s">
        <v>1754</v>
      </c>
      <c r="H948" s="10" t="s">
        <v>127</v>
      </c>
      <c r="I948" s="6" t="s">
        <v>2029</v>
      </c>
      <c r="J948" s="192">
        <v>43755738838</v>
      </c>
      <c r="K948" s="180" t="s">
        <v>2030</v>
      </c>
      <c r="L948" s="107">
        <v>22738342</v>
      </c>
      <c r="M948" s="37">
        <v>5218123670532</v>
      </c>
      <c r="N948" s="169" t="s">
        <v>106</v>
      </c>
      <c r="O948" s="48">
        <v>8365.1299999999992</v>
      </c>
      <c r="P948" s="95">
        <v>2320</v>
      </c>
      <c r="Q948" s="13">
        <v>2509.54</v>
      </c>
      <c r="R948" s="13">
        <v>189.54</v>
      </c>
      <c r="S948" s="72">
        <v>46028</v>
      </c>
      <c r="T948" s="6"/>
      <c r="U948" s="164"/>
      <c r="V948" s="1"/>
      <c r="X948" s="101">
        <v>2</v>
      </c>
    </row>
    <row r="949" spans="2:24" hidden="1">
      <c r="B949" s="10" t="s">
        <v>2031</v>
      </c>
      <c r="C949" s="24">
        <v>46219.513888888891</v>
      </c>
      <c r="D949" s="10" t="s">
        <v>24</v>
      </c>
      <c r="E949" s="10"/>
      <c r="F949" s="28">
        <v>46219</v>
      </c>
      <c r="G949" s="28" t="s">
        <v>1953</v>
      </c>
      <c r="H949" s="10" t="s">
        <v>68</v>
      </c>
      <c r="I949" s="10" t="s">
        <v>2032</v>
      </c>
      <c r="J949" s="193">
        <v>24745301986</v>
      </c>
      <c r="K949" s="181" t="s">
        <v>2033</v>
      </c>
      <c r="L949" s="108">
        <v>22740548</v>
      </c>
      <c r="M949" s="36">
        <v>5216624589636</v>
      </c>
      <c r="N949" s="170" t="s">
        <v>28</v>
      </c>
      <c r="O949" s="49">
        <v>8173.37</v>
      </c>
      <c r="P949" s="96"/>
      <c r="Q949" s="12">
        <v>2452.0100000000002</v>
      </c>
      <c r="R949" s="14">
        <v>2452.0100000000002</v>
      </c>
      <c r="S949" s="73"/>
      <c r="T949" s="10"/>
      <c r="U949" s="97"/>
      <c r="V949" s="1"/>
      <c r="X949" s="101">
        <v>1</v>
      </c>
    </row>
    <row r="950" spans="2:24" hidden="1">
      <c r="B950" s="6" t="s">
        <v>2034</v>
      </c>
      <c r="C950" s="23">
        <v>46219.522222222222</v>
      </c>
      <c r="D950" s="6" t="s">
        <v>24</v>
      </c>
      <c r="E950" s="6"/>
      <c r="F950" s="28">
        <v>46219</v>
      </c>
      <c r="G950" s="27" t="s">
        <v>1953</v>
      </c>
      <c r="H950" s="6" t="s">
        <v>160</v>
      </c>
      <c r="I950" s="6" t="s">
        <v>2035</v>
      </c>
      <c r="J950" s="192">
        <v>23836214926</v>
      </c>
      <c r="K950" s="180" t="s">
        <v>2036</v>
      </c>
      <c r="L950" s="108">
        <v>22752694</v>
      </c>
      <c r="M950" s="37">
        <v>5216682281496</v>
      </c>
      <c r="N950" s="169" t="s">
        <v>37</v>
      </c>
      <c r="O950" s="48">
        <v>7920.51</v>
      </c>
      <c r="P950" s="95">
        <v>2281.66</v>
      </c>
      <c r="Q950" s="13">
        <v>2376.15</v>
      </c>
      <c r="R950" s="13">
        <v>94.49</v>
      </c>
      <c r="S950" s="72">
        <v>46754</v>
      </c>
      <c r="T950" s="6"/>
      <c r="U950" s="164"/>
      <c r="V950" s="1"/>
      <c r="X950" s="101">
        <v>2</v>
      </c>
    </row>
    <row r="951" spans="2:24" hidden="1">
      <c r="B951" s="10" t="s">
        <v>2037</v>
      </c>
      <c r="C951" s="24">
        <v>46219.531944444447</v>
      </c>
      <c r="D951" s="10" t="s">
        <v>24</v>
      </c>
      <c r="E951" s="10"/>
      <c r="F951" s="28">
        <v>46219</v>
      </c>
      <c r="G951" s="28" t="s">
        <v>1953</v>
      </c>
      <c r="H951" s="10" t="s">
        <v>78</v>
      </c>
      <c r="I951" s="10" t="s">
        <v>2038</v>
      </c>
      <c r="J951" s="193">
        <v>63917414938</v>
      </c>
      <c r="K951" s="181" t="s">
        <v>2039</v>
      </c>
      <c r="L951" s="108">
        <v>22753642</v>
      </c>
      <c r="M951" s="36">
        <v>5214171002479</v>
      </c>
      <c r="N951" s="170" t="s">
        <v>37</v>
      </c>
      <c r="O951" s="49">
        <v>13617.38</v>
      </c>
      <c r="P951" s="96">
        <v>4084.49</v>
      </c>
      <c r="Q951" s="12">
        <v>4085.21</v>
      </c>
      <c r="R951" s="12">
        <v>0.72</v>
      </c>
      <c r="S951" s="73">
        <v>46394</v>
      </c>
      <c r="T951" s="10"/>
      <c r="U951" s="97"/>
      <c r="V951" s="1"/>
      <c r="X951" s="101">
        <v>2</v>
      </c>
    </row>
    <row r="952" spans="2:24" hidden="1">
      <c r="B952" s="6" t="s">
        <v>2040</v>
      </c>
      <c r="C952" s="23">
        <v>46219.538194444445</v>
      </c>
      <c r="D952" s="6" t="s">
        <v>24</v>
      </c>
      <c r="E952" s="6"/>
      <c r="F952" s="28">
        <v>46219</v>
      </c>
      <c r="G952" s="27" t="s">
        <v>1953</v>
      </c>
      <c r="H952" s="6" t="s">
        <v>68</v>
      </c>
      <c r="I952" s="6" t="s">
        <v>2041</v>
      </c>
      <c r="J952" s="192">
        <v>92895300991</v>
      </c>
      <c r="K952" s="180" t="s">
        <v>2042</v>
      </c>
      <c r="L952" s="108">
        <v>22736704</v>
      </c>
      <c r="M952" s="37">
        <v>5215648187981</v>
      </c>
      <c r="N952" s="169" t="s">
        <v>37</v>
      </c>
      <c r="O952" s="48">
        <v>8784.2900000000009</v>
      </c>
      <c r="P952" s="95">
        <v>2634.74</v>
      </c>
      <c r="Q952" s="13">
        <v>2635.29</v>
      </c>
      <c r="R952" s="13">
        <v>0.55000000000000004</v>
      </c>
      <c r="S952" s="72">
        <v>46755</v>
      </c>
      <c r="T952" s="6"/>
      <c r="U952" s="164"/>
      <c r="V952" s="1"/>
      <c r="X952" s="101">
        <v>2</v>
      </c>
    </row>
    <row r="953" spans="2:24" hidden="1">
      <c r="B953" s="10" t="s">
        <v>2043</v>
      </c>
      <c r="C953" s="24">
        <v>46219.538194444445</v>
      </c>
      <c r="D953" s="10" t="s">
        <v>24</v>
      </c>
      <c r="E953" s="10"/>
      <c r="F953" s="28">
        <v>46219</v>
      </c>
      <c r="G953" s="28" t="s">
        <v>1754</v>
      </c>
      <c r="H953" s="10" t="s">
        <v>127</v>
      </c>
      <c r="I953" s="10" t="s">
        <v>2044</v>
      </c>
      <c r="J953" s="193">
        <v>31896506016</v>
      </c>
      <c r="K953" s="181" t="s">
        <v>2045</v>
      </c>
      <c r="L953" s="108">
        <v>22736854</v>
      </c>
      <c r="M953" s="36">
        <v>5216183627121</v>
      </c>
      <c r="N953" s="170" t="s">
        <v>37</v>
      </c>
      <c r="O953" s="49">
        <v>10171.24</v>
      </c>
      <c r="P953" s="96">
        <v>3051.37</v>
      </c>
      <c r="Q953" s="12">
        <v>3051.37</v>
      </c>
      <c r="R953" s="12">
        <v>0</v>
      </c>
      <c r="S953" s="73">
        <v>46390</v>
      </c>
      <c r="T953" s="10"/>
      <c r="U953" s="97"/>
      <c r="V953" s="1"/>
      <c r="X953" s="101">
        <v>2</v>
      </c>
    </row>
    <row r="954" spans="2:24" hidden="1">
      <c r="B954" s="6" t="s">
        <v>2046</v>
      </c>
      <c r="C954" s="23">
        <v>46219.543055555558</v>
      </c>
      <c r="D954" s="6" t="s">
        <v>24</v>
      </c>
      <c r="E954" s="6"/>
      <c r="F954" s="28">
        <v>46219</v>
      </c>
      <c r="G954" s="27" t="s">
        <v>1754</v>
      </c>
      <c r="H954" s="6" t="s">
        <v>51</v>
      </c>
      <c r="I954" s="6" t="s">
        <v>2047</v>
      </c>
      <c r="J954" s="192">
        <v>12816305770</v>
      </c>
      <c r="K954" s="180" t="s">
        <v>2048</v>
      </c>
      <c r="L954" s="108">
        <v>22737262</v>
      </c>
      <c r="M954" s="37">
        <v>5214772567845</v>
      </c>
      <c r="N954" s="169" t="s">
        <v>37</v>
      </c>
      <c r="O954" s="48">
        <v>7920.51</v>
      </c>
      <c r="P954" s="95">
        <v>2291.6</v>
      </c>
      <c r="Q954" s="13">
        <v>2376.15</v>
      </c>
      <c r="R954" s="13">
        <v>84.55</v>
      </c>
      <c r="S954" s="72">
        <v>46390</v>
      </c>
      <c r="T954" s="6"/>
      <c r="U954" s="164"/>
      <c r="V954" s="1"/>
      <c r="X954" s="101">
        <v>2</v>
      </c>
    </row>
    <row r="955" spans="2:24" hidden="1">
      <c r="B955" s="10" t="s">
        <v>2049</v>
      </c>
      <c r="C955" s="24">
        <v>46219.543749999997</v>
      </c>
      <c r="D955" s="10" t="s">
        <v>24</v>
      </c>
      <c r="E955" s="10"/>
      <c r="F955" s="28">
        <v>46219</v>
      </c>
      <c r="G955" s="28" t="s">
        <v>1953</v>
      </c>
      <c r="H955" s="10" t="s">
        <v>1625</v>
      </c>
      <c r="I955" s="10" t="s">
        <v>2050</v>
      </c>
      <c r="J955" s="202">
        <v>15856505720</v>
      </c>
      <c r="K955" s="179" t="s">
        <v>2051</v>
      </c>
      <c r="L955" s="108">
        <v>2</v>
      </c>
      <c r="M955" s="36">
        <v>7772729549</v>
      </c>
      <c r="N955" s="170" t="s">
        <v>37</v>
      </c>
      <c r="O955" s="49">
        <v>10724.29</v>
      </c>
      <c r="P955" s="96">
        <v>3101.08</v>
      </c>
      <c r="Q955" s="12">
        <v>3217.29</v>
      </c>
      <c r="R955" s="12">
        <v>116.21</v>
      </c>
      <c r="S955" s="73">
        <v>46391</v>
      </c>
      <c r="T955" s="10"/>
      <c r="U955" s="97"/>
      <c r="V955" s="1"/>
      <c r="X955" s="101">
        <v>2</v>
      </c>
    </row>
    <row r="956" spans="2:24" hidden="1">
      <c r="B956" s="6" t="s">
        <v>2052</v>
      </c>
      <c r="C956" s="23">
        <v>46219.543749999997</v>
      </c>
      <c r="D956" s="6" t="s">
        <v>24</v>
      </c>
      <c r="E956" s="6"/>
      <c r="F956" s="28">
        <v>46219</v>
      </c>
      <c r="G956" s="27">
        <v>46333</v>
      </c>
      <c r="H956" s="7" t="s">
        <v>26</v>
      </c>
      <c r="I956" s="6" t="s">
        <v>2053</v>
      </c>
      <c r="J956" s="192">
        <v>65755004341</v>
      </c>
      <c r="K956" s="180" t="s">
        <v>2054</v>
      </c>
      <c r="L956" s="107">
        <v>22582788</v>
      </c>
      <c r="M956" s="37">
        <v>5212283125675</v>
      </c>
      <c r="N956" s="169" t="s">
        <v>98</v>
      </c>
      <c r="O956" s="48"/>
      <c r="P956" s="95"/>
      <c r="Q956" s="13">
        <v>0</v>
      </c>
      <c r="R956" s="13">
        <v>0</v>
      </c>
      <c r="S956" s="72"/>
      <c r="T956" s="6"/>
      <c r="U956" s="164"/>
      <c r="V956" s="1"/>
      <c r="X956" s="101">
        <v>0</v>
      </c>
    </row>
    <row r="957" spans="2:24" hidden="1">
      <c r="B957" s="10" t="s">
        <v>2055</v>
      </c>
      <c r="C957" s="24">
        <v>46219.544444444444</v>
      </c>
      <c r="D957" s="10" t="s">
        <v>24</v>
      </c>
      <c r="E957" s="10"/>
      <c r="F957" s="28">
        <v>46219</v>
      </c>
      <c r="G957" s="28" t="s">
        <v>165</v>
      </c>
      <c r="H957" s="10" t="s">
        <v>127</v>
      </c>
      <c r="I957" s="10" t="s">
        <v>2056</v>
      </c>
      <c r="J957" s="193">
        <v>10796109345</v>
      </c>
      <c r="K957" s="181" t="s">
        <v>2057</v>
      </c>
      <c r="L957" s="108">
        <v>22097204</v>
      </c>
      <c r="M957" s="36">
        <v>5215670061893</v>
      </c>
      <c r="N957" s="170" t="s">
        <v>37</v>
      </c>
      <c r="O957" s="49">
        <v>12593.45</v>
      </c>
      <c r="P957" s="96">
        <v>3642.16</v>
      </c>
      <c r="Q957" s="12">
        <v>3778.04</v>
      </c>
      <c r="R957" s="12">
        <v>135.88</v>
      </c>
      <c r="S957" s="73">
        <v>46395</v>
      </c>
      <c r="T957" s="10"/>
      <c r="U957" s="97"/>
      <c r="V957" s="1"/>
      <c r="X957" s="101">
        <v>2</v>
      </c>
    </row>
    <row r="958" spans="2:24" hidden="1">
      <c r="B958" s="6" t="s">
        <v>2058</v>
      </c>
      <c r="C958" s="23">
        <v>46219.544444444444</v>
      </c>
      <c r="D958" s="6" t="s">
        <v>24</v>
      </c>
      <c r="E958" s="6"/>
      <c r="F958" s="28">
        <v>46219</v>
      </c>
      <c r="G958" s="27" t="s">
        <v>1754</v>
      </c>
      <c r="H958" s="7" t="s">
        <v>110</v>
      </c>
      <c r="I958" s="6" t="s">
        <v>2059</v>
      </c>
      <c r="J958" s="192"/>
      <c r="K958" s="180" t="s">
        <v>2060</v>
      </c>
      <c r="L958" s="107">
        <v>22680026</v>
      </c>
      <c r="M958" s="37">
        <v>5215647576118</v>
      </c>
      <c r="N958" s="169" t="s">
        <v>98</v>
      </c>
      <c r="O958" s="48"/>
      <c r="P958" s="95"/>
      <c r="Q958" s="13">
        <v>0</v>
      </c>
      <c r="R958" s="13">
        <v>0</v>
      </c>
      <c r="S958" s="72"/>
      <c r="T958" s="6"/>
      <c r="U958" s="164"/>
      <c r="V958" s="1"/>
      <c r="X958" s="101">
        <v>0</v>
      </c>
    </row>
    <row r="959" spans="2:24" hidden="1">
      <c r="B959" s="10" t="s">
        <v>2061</v>
      </c>
      <c r="C959" s="24">
        <v>46219.544444444444</v>
      </c>
      <c r="D959" s="10" t="s">
        <v>24</v>
      </c>
      <c r="E959" s="10"/>
      <c r="F959" s="28">
        <v>46219</v>
      </c>
      <c r="G959" s="28" t="s">
        <v>1754</v>
      </c>
      <c r="H959" s="10" t="s">
        <v>54</v>
      </c>
      <c r="I959" s="10" t="s">
        <v>2062</v>
      </c>
      <c r="J959" s="193">
        <v>32826557293</v>
      </c>
      <c r="K959" s="181" t="s">
        <v>2063</v>
      </c>
      <c r="L959" s="108">
        <v>22740924</v>
      </c>
      <c r="M959" s="36">
        <v>5218993450908</v>
      </c>
      <c r="N959" s="170" t="s">
        <v>28</v>
      </c>
      <c r="O959" s="49">
        <v>10636.54</v>
      </c>
      <c r="P959" s="96"/>
      <c r="Q959" s="12">
        <v>3190.96</v>
      </c>
      <c r="R959" s="14">
        <v>3190.96</v>
      </c>
      <c r="S959" s="73"/>
      <c r="T959" s="10"/>
      <c r="U959" s="97"/>
      <c r="V959" s="1"/>
      <c r="X959" s="101">
        <v>1</v>
      </c>
    </row>
    <row r="960" spans="2:24" hidden="1">
      <c r="B960" s="6" t="s">
        <v>2064</v>
      </c>
      <c r="C960" s="23">
        <v>46219.54791666667</v>
      </c>
      <c r="D960" s="6" t="s">
        <v>24</v>
      </c>
      <c r="E960" s="6"/>
      <c r="F960" s="28">
        <v>46219</v>
      </c>
      <c r="G960" s="27" t="s">
        <v>1953</v>
      </c>
      <c r="H960" s="6" t="s">
        <v>127</v>
      </c>
      <c r="I960" s="6" t="s">
        <v>2065</v>
      </c>
      <c r="J960" s="192">
        <v>32886477986</v>
      </c>
      <c r="K960" s="180" t="s">
        <v>2066</v>
      </c>
      <c r="L960" s="108">
        <v>22752560</v>
      </c>
      <c r="M960" s="37">
        <v>5218446680147</v>
      </c>
      <c r="N960" s="169" t="s">
        <v>37</v>
      </c>
      <c r="O960" s="48">
        <v>9081.52</v>
      </c>
      <c r="P960" s="95">
        <v>2598.88</v>
      </c>
      <c r="Q960" s="13">
        <v>2724.46</v>
      </c>
      <c r="R960" s="13">
        <v>125.58</v>
      </c>
      <c r="S960" s="72">
        <v>46398</v>
      </c>
      <c r="T960" s="6"/>
      <c r="U960" s="164"/>
      <c r="V960" s="1"/>
      <c r="X960" s="101">
        <v>2</v>
      </c>
    </row>
    <row r="961" spans="2:24" hidden="1">
      <c r="B961" s="10" t="s">
        <v>2067</v>
      </c>
      <c r="C961" s="24">
        <v>46219.55972222222</v>
      </c>
      <c r="D961" s="10" t="s">
        <v>24</v>
      </c>
      <c r="E961" s="10"/>
      <c r="F961" s="28">
        <v>46219</v>
      </c>
      <c r="G961" s="28">
        <v>46333</v>
      </c>
      <c r="H961" s="160" t="s">
        <v>107</v>
      </c>
      <c r="I961" s="10" t="s">
        <v>2068</v>
      </c>
      <c r="J961" s="193">
        <v>33825714802</v>
      </c>
      <c r="K961" s="181" t="s">
        <v>2069</v>
      </c>
      <c r="L961" s="108">
        <v>22584580</v>
      </c>
      <c r="M961" s="36">
        <v>6142897075</v>
      </c>
      <c r="N961" s="170" t="s">
        <v>106</v>
      </c>
      <c r="O961" s="49">
        <v>5636.59</v>
      </c>
      <c r="P961" s="96">
        <v>1564.92</v>
      </c>
      <c r="Q961" s="12">
        <v>1690.98</v>
      </c>
      <c r="R961" s="12">
        <v>-101.31</v>
      </c>
      <c r="S961" s="73">
        <v>46025</v>
      </c>
      <c r="T961" s="10"/>
      <c r="U961" s="97"/>
      <c r="V961" s="1"/>
      <c r="X961" s="101">
        <v>2</v>
      </c>
    </row>
    <row r="962" spans="2:24" hidden="1">
      <c r="B962" s="6" t="s">
        <v>2070</v>
      </c>
      <c r="C962" s="23">
        <v>46219.582638888889</v>
      </c>
      <c r="D962" s="6" t="s">
        <v>24</v>
      </c>
      <c r="E962" s="6"/>
      <c r="F962" s="28">
        <v>46219</v>
      </c>
      <c r="G962" s="27" t="s">
        <v>1953</v>
      </c>
      <c r="H962" s="6" t="s">
        <v>1625</v>
      </c>
      <c r="I962" s="6" t="s">
        <v>2071</v>
      </c>
      <c r="J962" s="203">
        <v>3816302644</v>
      </c>
      <c r="K962" s="180" t="s">
        <v>2072</v>
      </c>
      <c r="L962" s="108">
        <v>2</v>
      </c>
      <c r="M962" s="37">
        <v>8991194806</v>
      </c>
      <c r="N962" s="169" t="s">
        <v>37</v>
      </c>
      <c r="O962" s="48">
        <v>9077.52</v>
      </c>
      <c r="P962" s="95">
        <v>2722.94</v>
      </c>
      <c r="Q962" s="13">
        <v>2723.26</v>
      </c>
      <c r="R962" s="13">
        <v>0.32</v>
      </c>
      <c r="S962" s="72">
        <v>46031</v>
      </c>
      <c r="T962" s="6"/>
      <c r="U962" s="164"/>
      <c r="V962" s="1"/>
      <c r="X962" s="101">
        <v>2</v>
      </c>
    </row>
    <row r="963" spans="2:24" hidden="1">
      <c r="B963" s="10" t="s">
        <v>2073</v>
      </c>
      <c r="C963" s="24">
        <v>46219.584722222222</v>
      </c>
      <c r="D963" s="10" t="s">
        <v>24</v>
      </c>
      <c r="E963" s="10"/>
      <c r="F963" s="28">
        <v>46219</v>
      </c>
      <c r="G963" s="28" t="s">
        <v>1953</v>
      </c>
      <c r="H963" s="15" t="s">
        <v>110</v>
      </c>
      <c r="I963" s="10" t="s">
        <v>2074</v>
      </c>
      <c r="J963" s="193">
        <v>63846308649</v>
      </c>
      <c r="K963" s="181"/>
      <c r="L963" s="108">
        <v>22756490</v>
      </c>
      <c r="M963" s="36">
        <v>5215620875105</v>
      </c>
      <c r="N963" s="170" t="s">
        <v>37</v>
      </c>
      <c r="O963" s="49">
        <v>8385.9599999999991</v>
      </c>
      <c r="P963" s="96">
        <v>2413.4499999999998</v>
      </c>
      <c r="Q963" s="12">
        <v>2515.79</v>
      </c>
      <c r="R963" s="12">
        <v>102.34</v>
      </c>
      <c r="S963" s="73">
        <v>46395</v>
      </c>
      <c r="T963" s="10"/>
      <c r="U963" s="97"/>
      <c r="V963" s="1"/>
      <c r="X963" s="101">
        <v>2</v>
      </c>
    </row>
    <row r="964" spans="2:24" hidden="1">
      <c r="B964" s="6" t="s">
        <v>2075</v>
      </c>
      <c r="C964" s="23">
        <v>46219.605555555558</v>
      </c>
      <c r="D964" s="6" t="s">
        <v>24</v>
      </c>
      <c r="E964" s="6"/>
      <c r="F964" s="28">
        <v>46219</v>
      </c>
      <c r="G964" s="27" t="s">
        <v>1953</v>
      </c>
      <c r="H964" s="6" t="s">
        <v>93</v>
      </c>
      <c r="I964" s="6" t="s">
        <v>2076</v>
      </c>
      <c r="J964" s="192"/>
      <c r="K964" s="180" t="s">
        <v>2077</v>
      </c>
      <c r="L964" s="108">
        <v>22756194</v>
      </c>
      <c r="M964" s="37">
        <v>3322207570</v>
      </c>
      <c r="N964" s="169" t="s">
        <v>37</v>
      </c>
      <c r="O964" s="48">
        <v>7116.73</v>
      </c>
      <c r="P964" s="95">
        <v>2051.4299999999998</v>
      </c>
      <c r="Q964" s="13">
        <v>2135.02</v>
      </c>
      <c r="R964" s="13">
        <v>83.59</v>
      </c>
      <c r="S964" s="72">
        <v>46390</v>
      </c>
      <c r="T964" s="6"/>
      <c r="U964" s="164"/>
      <c r="V964" s="1"/>
      <c r="X964" s="101">
        <v>2</v>
      </c>
    </row>
    <row r="965" spans="2:24" hidden="1">
      <c r="B965" s="10" t="s">
        <v>2078</v>
      </c>
      <c r="C965" s="24">
        <v>46219.625694444447</v>
      </c>
      <c r="D965" s="10" t="s">
        <v>24</v>
      </c>
      <c r="E965" s="10"/>
      <c r="F965" s="28">
        <v>46219</v>
      </c>
      <c r="G965" s="28" t="s">
        <v>1953</v>
      </c>
      <c r="H965" s="20" t="s">
        <v>170</v>
      </c>
      <c r="I965" s="10" t="s">
        <v>2079</v>
      </c>
      <c r="J965" s="193">
        <v>49977751871</v>
      </c>
      <c r="K965" s="181" t="s">
        <v>2080</v>
      </c>
      <c r="L965" s="108">
        <v>22756040</v>
      </c>
      <c r="M965" s="36">
        <v>5218991932851</v>
      </c>
      <c r="N965" s="170" t="s">
        <v>74</v>
      </c>
      <c r="O965" s="49"/>
      <c r="P965" s="96"/>
      <c r="Q965" s="12">
        <v>0</v>
      </c>
      <c r="R965" s="12">
        <v>0</v>
      </c>
      <c r="S965" s="73"/>
      <c r="T965" s="10"/>
      <c r="U965" s="97"/>
      <c r="V965" s="1"/>
      <c r="X965" s="101">
        <v>1</v>
      </c>
    </row>
    <row r="966" spans="2:24" hidden="1">
      <c r="B966" s="6" t="s">
        <v>2081</v>
      </c>
      <c r="C966" s="23">
        <v>46219.629166666666</v>
      </c>
      <c r="D966" s="6" t="s">
        <v>24</v>
      </c>
      <c r="E966" s="6"/>
      <c r="F966" s="28">
        <v>46219</v>
      </c>
      <c r="G966" s="27" t="s">
        <v>1953</v>
      </c>
      <c r="H966" s="6" t="s">
        <v>1519</v>
      </c>
      <c r="I966" s="6"/>
      <c r="J966" s="192">
        <v>81806002424</v>
      </c>
      <c r="K966" s="180"/>
      <c r="L966" s="108">
        <v>22742798</v>
      </c>
      <c r="M966" s="37">
        <v>5219828220987</v>
      </c>
      <c r="N966" s="169" t="s">
        <v>37</v>
      </c>
      <c r="O966" s="48">
        <v>6830.63</v>
      </c>
      <c r="P966" s="95">
        <v>1975.78</v>
      </c>
      <c r="Q966" s="13">
        <v>2049.19</v>
      </c>
      <c r="R966" s="13">
        <v>73.41</v>
      </c>
      <c r="S966" s="72">
        <v>46235</v>
      </c>
      <c r="T966" s="6"/>
      <c r="U966" s="164"/>
      <c r="V966" s="1"/>
      <c r="X966" s="101">
        <v>2</v>
      </c>
    </row>
    <row r="967" spans="2:24" hidden="1">
      <c r="B967" s="10" t="s">
        <v>2082</v>
      </c>
      <c r="C967" s="24">
        <v>46219.631944444445</v>
      </c>
      <c r="D967" s="10" t="s">
        <v>24</v>
      </c>
      <c r="E967" s="10"/>
      <c r="F967" s="28">
        <v>46219</v>
      </c>
      <c r="G967" s="28" t="s">
        <v>1953</v>
      </c>
      <c r="H967" s="10" t="s">
        <v>39</v>
      </c>
      <c r="I967" s="10" t="s">
        <v>2083</v>
      </c>
      <c r="J967" s="193">
        <v>65715509512</v>
      </c>
      <c r="K967" s="181" t="s">
        <v>2084</v>
      </c>
      <c r="L967" s="108">
        <v>22739552</v>
      </c>
      <c r="M967" s="36">
        <v>5215520571005</v>
      </c>
      <c r="N967" s="170" t="s">
        <v>28</v>
      </c>
      <c r="O967" s="49">
        <v>9760.32</v>
      </c>
      <c r="P967" s="96"/>
      <c r="Q967" s="12">
        <v>2928.1</v>
      </c>
      <c r="R967" s="14">
        <v>2928.1</v>
      </c>
      <c r="S967" s="73"/>
      <c r="T967" s="10"/>
      <c r="U967" s="97"/>
      <c r="V967" s="1"/>
      <c r="X967" s="101">
        <v>1</v>
      </c>
    </row>
    <row r="968" spans="2:24" hidden="1">
      <c r="B968" s="6" t="s">
        <v>2085</v>
      </c>
      <c r="C968" s="23">
        <v>46219.633333333331</v>
      </c>
      <c r="D968" s="6" t="s">
        <v>24</v>
      </c>
      <c r="E968" s="6"/>
      <c r="F968" s="28">
        <v>46219</v>
      </c>
      <c r="G968" s="27" t="s">
        <v>633</v>
      </c>
      <c r="H968" s="10" t="s">
        <v>127</v>
      </c>
      <c r="I968" s="6" t="s">
        <v>2086</v>
      </c>
      <c r="J968" s="192"/>
      <c r="K968" s="183" t="s">
        <v>2087</v>
      </c>
      <c r="L968" s="107">
        <v>22632496</v>
      </c>
      <c r="M968" s="38">
        <v>5213931079319</v>
      </c>
      <c r="N968" s="169" t="s">
        <v>235</v>
      </c>
      <c r="O968" s="48"/>
      <c r="P968" s="95"/>
      <c r="Q968" s="13">
        <v>0</v>
      </c>
      <c r="R968" s="13">
        <v>0</v>
      </c>
      <c r="S968" s="72"/>
      <c r="T968" s="6"/>
      <c r="U968" s="164"/>
      <c r="V968" s="1"/>
      <c r="X968" s="101">
        <v>1</v>
      </c>
    </row>
    <row r="969" spans="2:24" hidden="1">
      <c r="B969" s="10" t="s">
        <v>2088</v>
      </c>
      <c r="C969" s="24">
        <v>46219.636111111111</v>
      </c>
      <c r="D969" s="10" t="s">
        <v>24</v>
      </c>
      <c r="E969" s="10"/>
      <c r="F969" s="28">
        <v>46219</v>
      </c>
      <c r="G969" s="28" t="s">
        <v>1754</v>
      </c>
      <c r="H969" s="10" t="s">
        <v>78</v>
      </c>
      <c r="I969" s="10" t="s">
        <v>2089</v>
      </c>
      <c r="J969" s="193"/>
      <c r="K969" s="181" t="s">
        <v>2090</v>
      </c>
      <c r="L969" s="108">
        <v>22736764</v>
      </c>
      <c r="M969" s="36">
        <v>5214251025184</v>
      </c>
      <c r="N969" s="170" t="s">
        <v>37</v>
      </c>
      <c r="O969" s="49">
        <v>9760.32</v>
      </c>
      <c r="P969" s="96">
        <v>2823.11</v>
      </c>
      <c r="Q969" s="12">
        <v>2928.1</v>
      </c>
      <c r="R969" s="12">
        <v>104.99</v>
      </c>
      <c r="S969" s="73">
        <v>46396</v>
      </c>
      <c r="T969" s="10"/>
      <c r="U969" s="97"/>
      <c r="V969" s="1"/>
      <c r="X969" s="101">
        <v>2</v>
      </c>
    </row>
    <row r="970" spans="2:24" hidden="1">
      <c r="B970" s="6" t="s">
        <v>2091</v>
      </c>
      <c r="C970" s="23">
        <v>46219.638194444444</v>
      </c>
      <c r="D970" s="6" t="s">
        <v>24</v>
      </c>
      <c r="E970" s="6"/>
      <c r="F970" s="28">
        <v>46219</v>
      </c>
      <c r="G970" s="27" t="s">
        <v>1953</v>
      </c>
      <c r="H970" s="160" t="s">
        <v>107</v>
      </c>
      <c r="I970" s="6" t="s">
        <v>2092</v>
      </c>
      <c r="J970" s="192"/>
      <c r="K970" s="180" t="s">
        <v>2093</v>
      </c>
      <c r="L970" s="107">
        <v>22756598</v>
      </c>
      <c r="M970" s="37">
        <v>4651083115</v>
      </c>
      <c r="N970" s="169" t="s">
        <v>106</v>
      </c>
      <c r="O970" s="48">
        <v>19163.59</v>
      </c>
      <c r="P970" s="95">
        <v>5320.48</v>
      </c>
      <c r="Q970" s="13">
        <v>5749.08</v>
      </c>
      <c r="R970" s="22">
        <v>428.6</v>
      </c>
      <c r="S970" s="72">
        <v>45302</v>
      </c>
      <c r="T970" s="6"/>
      <c r="U970" s="164"/>
      <c r="V970" s="1"/>
      <c r="X970" s="101">
        <v>2</v>
      </c>
    </row>
    <row r="971" spans="2:24" hidden="1">
      <c r="B971" s="10" t="s">
        <v>2094</v>
      </c>
      <c r="C971" s="24">
        <v>46219.644444444442</v>
      </c>
      <c r="D971" s="10" t="s">
        <v>24</v>
      </c>
      <c r="E971" s="10"/>
      <c r="F971" s="28">
        <v>46219</v>
      </c>
      <c r="G971" s="28" t="s">
        <v>1953</v>
      </c>
      <c r="H971" s="20" t="s">
        <v>170</v>
      </c>
      <c r="I971" s="10" t="s">
        <v>2095</v>
      </c>
      <c r="J971" s="194">
        <v>6765758989</v>
      </c>
      <c r="K971" s="171"/>
      <c r="L971" s="108">
        <v>22758346</v>
      </c>
      <c r="M971" s="36">
        <v>5215657764441</v>
      </c>
      <c r="N971" s="170" t="s">
        <v>37</v>
      </c>
      <c r="O971" s="49">
        <v>10636.54</v>
      </c>
      <c r="P971" s="96">
        <v>3189.2</v>
      </c>
      <c r="Q971" s="12">
        <v>3190.96</v>
      </c>
      <c r="R971" s="12">
        <v>1.76</v>
      </c>
      <c r="S971" s="73">
        <v>46757</v>
      </c>
      <c r="T971" s="10"/>
      <c r="U971" s="97"/>
      <c r="V971" s="1"/>
      <c r="X971" s="101">
        <v>2</v>
      </c>
    </row>
    <row r="972" spans="2:24" hidden="1">
      <c r="B972" s="6" t="s">
        <v>2096</v>
      </c>
      <c r="C972" s="23">
        <v>46219.668055555558</v>
      </c>
      <c r="D972" s="6" t="s">
        <v>24</v>
      </c>
      <c r="E972" s="6"/>
      <c r="F972" s="28">
        <v>46219</v>
      </c>
      <c r="G972" s="27" t="s">
        <v>2097</v>
      </c>
      <c r="H972" s="6" t="s">
        <v>269</v>
      </c>
      <c r="I972" s="6" t="s">
        <v>2098</v>
      </c>
      <c r="J972" s="196">
        <v>4674705929</v>
      </c>
      <c r="K972" s="183" t="s">
        <v>2099</v>
      </c>
      <c r="L972" s="107">
        <v>16144614</v>
      </c>
      <c r="M972" s="38">
        <v>5216621007065</v>
      </c>
      <c r="N972" s="169" t="s">
        <v>74</v>
      </c>
      <c r="O972" s="48"/>
      <c r="P972" s="95"/>
      <c r="Q972" s="13">
        <v>0</v>
      </c>
      <c r="R972" s="13">
        <v>0</v>
      </c>
      <c r="S972" s="72"/>
      <c r="T972" s="6"/>
      <c r="U972" s="164"/>
      <c r="V972" s="1"/>
      <c r="X972" s="101">
        <v>1</v>
      </c>
    </row>
    <row r="973" spans="2:24" hidden="1">
      <c r="B973" s="10" t="s">
        <v>2100</v>
      </c>
      <c r="C973" s="24">
        <v>46219.672222222223</v>
      </c>
      <c r="D973" s="10" t="s">
        <v>24</v>
      </c>
      <c r="E973" s="10"/>
      <c r="F973" s="28">
        <v>46219</v>
      </c>
      <c r="G973" s="28" t="s">
        <v>1754</v>
      </c>
      <c r="H973" s="10" t="s">
        <v>68</v>
      </c>
      <c r="I973" s="10" t="s">
        <v>2101</v>
      </c>
      <c r="J973" s="195"/>
      <c r="K973" s="181" t="s">
        <v>2102</v>
      </c>
      <c r="L973" s="108">
        <v>22737820</v>
      </c>
      <c r="M973" s="36">
        <v>5219613865326</v>
      </c>
      <c r="N973" s="170" t="s">
        <v>37</v>
      </c>
      <c r="O973" s="49">
        <v>24859.7</v>
      </c>
      <c r="P973" s="96">
        <v>7189.02</v>
      </c>
      <c r="Q973" s="12">
        <v>7457.91</v>
      </c>
      <c r="R973" s="12">
        <v>268.89</v>
      </c>
      <c r="S973" s="73">
        <v>46399</v>
      </c>
      <c r="T973" s="10"/>
      <c r="U973" s="97"/>
      <c r="V973" s="1"/>
      <c r="X973" s="101">
        <v>2</v>
      </c>
    </row>
    <row r="974" spans="2:24" hidden="1">
      <c r="B974" s="6" t="s">
        <v>2103</v>
      </c>
      <c r="C974" s="23">
        <v>46219.679861111108</v>
      </c>
      <c r="D974" s="6" t="s">
        <v>24</v>
      </c>
      <c r="E974" s="6"/>
      <c r="F974" s="28">
        <v>46219</v>
      </c>
      <c r="G974" s="27" t="s">
        <v>1953</v>
      </c>
      <c r="H974" s="10" t="s">
        <v>93</v>
      </c>
      <c r="I974" s="6" t="s">
        <v>2104</v>
      </c>
      <c r="J974" s="196"/>
      <c r="K974" s="180" t="s">
        <v>2105</v>
      </c>
      <c r="L974" s="107">
        <v>22759780</v>
      </c>
      <c r="M974" s="37">
        <v>9993212926</v>
      </c>
      <c r="N974" s="169" t="s">
        <v>106</v>
      </c>
      <c r="O974" s="48">
        <v>7920.51</v>
      </c>
      <c r="P974" s="95">
        <v>2291.6</v>
      </c>
      <c r="Q974" s="13">
        <v>2376.15</v>
      </c>
      <c r="R974" s="13">
        <v>84.55</v>
      </c>
      <c r="S974" s="72">
        <v>46028</v>
      </c>
      <c r="T974" s="6"/>
      <c r="U974" s="164"/>
      <c r="V974" s="1"/>
      <c r="X974" s="101">
        <v>2</v>
      </c>
    </row>
    <row r="975" spans="2:24" hidden="1">
      <c r="B975" s="10" t="s">
        <v>2106</v>
      </c>
      <c r="C975" s="24">
        <v>46219.684027777781</v>
      </c>
      <c r="D975" s="10" t="s">
        <v>24</v>
      </c>
      <c r="E975" s="10"/>
      <c r="F975" s="28">
        <v>46219</v>
      </c>
      <c r="G975" s="28">
        <v>46333</v>
      </c>
      <c r="H975" s="10" t="s">
        <v>160</v>
      </c>
      <c r="I975" s="10" t="s">
        <v>2107</v>
      </c>
      <c r="J975" s="195">
        <v>41826203618</v>
      </c>
      <c r="K975" s="181" t="s">
        <v>2108</v>
      </c>
      <c r="L975" s="108">
        <v>22571728</v>
      </c>
      <c r="M975" s="36">
        <v>5214871390058</v>
      </c>
      <c r="N975" s="170" t="s">
        <v>28</v>
      </c>
      <c r="O975" s="49">
        <v>9081.52</v>
      </c>
      <c r="P975" s="96"/>
      <c r="Q975" s="12">
        <v>2724.46</v>
      </c>
      <c r="R975" s="14">
        <v>2724.46</v>
      </c>
      <c r="S975" s="73"/>
      <c r="T975" s="10"/>
      <c r="U975" s="97"/>
      <c r="V975" s="1"/>
      <c r="X975" s="101">
        <v>1</v>
      </c>
    </row>
    <row r="976" spans="2:24" hidden="1">
      <c r="B976" s="6" t="s">
        <v>2109</v>
      </c>
      <c r="C976" s="23">
        <v>46219.686805555553</v>
      </c>
      <c r="D976" s="6" t="s">
        <v>24</v>
      </c>
      <c r="E976" s="6"/>
      <c r="F976" s="28">
        <v>46219</v>
      </c>
      <c r="G976" s="27" t="s">
        <v>633</v>
      </c>
      <c r="H976" s="160" t="s">
        <v>26</v>
      </c>
      <c r="I976" s="6" t="s">
        <v>2110</v>
      </c>
      <c r="J976" s="196">
        <v>76846300721</v>
      </c>
      <c r="K976" s="180" t="s">
        <v>2111</v>
      </c>
      <c r="L976" s="107">
        <v>22672944</v>
      </c>
      <c r="M976" s="37">
        <v>5215548896845</v>
      </c>
      <c r="N976" s="169" t="s">
        <v>106</v>
      </c>
      <c r="O976" s="48">
        <v>7920.51</v>
      </c>
      <c r="P976" s="95">
        <v>2098.06</v>
      </c>
      <c r="Q976" s="13">
        <v>2376.15</v>
      </c>
      <c r="R976" s="13">
        <v>278.08999999999997</v>
      </c>
      <c r="S976" s="72">
        <v>45669</v>
      </c>
      <c r="T976" s="6"/>
      <c r="U976" s="164"/>
      <c r="V976" s="1"/>
      <c r="X976" s="101">
        <v>2</v>
      </c>
    </row>
    <row r="977" spans="2:24" hidden="1">
      <c r="B977" s="10" t="s">
        <v>2112</v>
      </c>
      <c r="C977" s="24">
        <v>46219.688194444447</v>
      </c>
      <c r="D977" s="10" t="s">
        <v>24</v>
      </c>
      <c r="E977" s="10"/>
      <c r="F977" s="28">
        <v>46219</v>
      </c>
      <c r="G977" s="28" t="s">
        <v>1953</v>
      </c>
      <c r="H977" s="10" t="s">
        <v>78</v>
      </c>
      <c r="I977" s="10" t="s">
        <v>2113</v>
      </c>
      <c r="J977" s="195">
        <v>1755563721</v>
      </c>
      <c r="K977" s="181" t="s">
        <v>2114</v>
      </c>
      <c r="L977" s="108">
        <v>22750316</v>
      </c>
      <c r="M977" s="36">
        <v>5215591053819</v>
      </c>
      <c r="N977" s="170" t="s">
        <v>37</v>
      </c>
      <c r="O977" s="49">
        <v>13012.78</v>
      </c>
      <c r="P977" s="96">
        <v>3897.5</v>
      </c>
      <c r="Q977" s="12">
        <v>3903.83</v>
      </c>
      <c r="R977" s="12">
        <v>6.33</v>
      </c>
      <c r="S977" s="73">
        <v>46392</v>
      </c>
      <c r="T977" s="10"/>
      <c r="U977" s="97"/>
      <c r="V977" s="1"/>
      <c r="X977" s="101">
        <v>2</v>
      </c>
    </row>
    <row r="978" spans="2:24" hidden="1">
      <c r="B978" s="6" t="s">
        <v>2115</v>
      </c>
      <c r="C978" s="23">
        <v>46219.692361111112</v>
      </c>
      <c r="D978" s="6" t="s">
        <v>24</v>
      </c>
      <c r="E978" s="6"/>
      <c r="F978" s="28">
        <v>46219</v>
      </c>
      <c r="G978" s="27" t="s">
        <v>1550</v>
      </c>
      <c r="H978" s="6" t="s">
        <v>81</v>
      </c>
      <c r="I978" s="6" t="s">
        <v>2116</v>
      </c>
      <c r="J978" s="196"/>
      <c r="K978" s="180" t="s">
        <v>2117</v>
      </c>
      <c r="L978" s="108">
        <v>22697770</v>
      </c>
      <c r="M978" s="37">
        <v>5219931912538</v>
      </c>
      <c r="N978" s="169" t="s">
        <v>37</v>
      </c>
      <c r="O978" s="48">
        <v>10636.54</v>
      </c>
      <c r="P978" s="95">
        <v>3188.33</v>
      </c>
      <c r="Q978" s="13">
        <v>3190.96</v>
      </c>
      <c r="R978" s="13">
        <v>2.63</v>
      </c>
      <c r="S978" s="72">
        <v>46757</v>
      </c>
      <c r="T978" s="6" t="s">
        <v>362</v>
      </c>
      <c r="U978" s="164"/>
      <c r="V978" s="1"/>
      <c r="X978" s="101">
        <v>2</v>
      </c>
    </row>
    <row r="979" spans="2:24" hidden="1">
      <c r="B979" s="10" t="s">
        <v>2118</v>
      </c>
      <c r="C979" s="24">
        <v>46219.694444444445</v>
      </c>
      <c r="D979" s="10" t="s">
        <v>24</v>
      </c>
      <c r="E979" s="10"/>
      <c r="F979" s="28">
        <v>46219</v>
      </c>
      <c r="G979" s="28" t="s">
        <v>1953</v>
      </c>
      <c r="H979" s="160" t="s">
        <v>107</v>
      </c>
      <c r="I979" s="10" t="s">
        <v>2119</v>
      </c>
      <c r="J979" s="195"/>
      <c r="K979" s="181" t="s">
        <v>2120</v>
      </c>
      <c r="L979" s="108">
        <v>22756980</v>
      </c>
      <c r="M979" s="36">
        <v>5217861436651</v>
      </c>
      <c r="N979" s="170" t="s">
        <v>28</v>
      </c>
      <c r="O979" s="49">
        <v>10570.88</v>
      </c>
      <c r="P979" s="96"/>
      <c r="Q979" s="12">
        <v>3171.26</v>
      </c>
      <c r="R979" s="14">
        <v>3171.26</v>
      </c>
      <c r="S979" s="73"/>
      <c r="T979" s="10"/>
      <c r="U979" s="97"/>
      <c r="V979" s="1"/>
      <c r="X979" s="101">
        <v>1</v>
      </c>
    </row>
    <row r="980" spans="2:24" hidden="1">
      <c r="B980" s="6" t="s">
        <v>2121</v>
      </c>
      <c r="C980" s="23">
        <v>46219.720138888886</v>
      </c>
      <c r="D980" s="6" t="s">
        <v>24</v>
      </c>
      <c r="E980" s="6"/>
      <c r="F980" s="28">
        <v>46219</v>
      </c>
      <c r="G980" s="27" t="s">
        <v>1953</v>
      </c>
      <c r="H980" s="10" t="s">
        <v>39</v>
      </c>
      <c r="I980" s="6" t="s">
        <v>2122</v>
      </c>
      <c r="J980" s="196">
        <v>45886261705</v>
      </c>
      <c r="K980" s="180" t="s">
        <v>2123</v>
      </c>
      <c r="L980" s="107">
        <v>22740450</v>
      </c>
      <c r="M980" s="37">
        <v>5215573953588</v>
      </c>
      <c r="N980" s="169" t="s">
        <v>28</v>
      </c>
      <c r="O980" s="48">
        <v>23691.17</v>
      </c>
      <c r="P980" s="95">
        <v>5121.8500000000004</v>
      </c>
      <c r="Q980" s="13">
        <v>7107.35</v>
      </c>
      <c r="R980" s="9">
        <v>1985.5</v>
      </c>
      <c r="S980" s="72">
        <v>46390</v>
      </c>
      <c r="T980" s="6"/>
      <c r="U980" s="164"/>
      <c r="V980" s="1"/>
      <c r="X980" s="101">
        <v>2</v>
      </c>
    </row>
    <row r="981" spans="2:24" hidden="1">
      <c r="B981" s="10" t="s">
        <v>2124</v>
      </c>
      <c r="C981" s="24">
        <v>46219.722916666666</v>
      </c>
      <c r="D981" s="10" t="s">
        <v>24</v>
      </c>
      <c r="E981" s="10"/>
      <c r="F981" s="28">
        <v>46219</v>
      </c>
      <c r="G981" s="28" t="s">
        <v>633</v>
      </c>
      <c r="H981" s="10" t="s">
        <v>160</v>
      </c>
      <c r="I981" s="10" t="s">
        <v>2125</v>
      </c>
      <c r="J981" s="195">
        <v>32816402492</v>
      </c>
      <c r="K981" s="181" t="s">
        <v>2126</v>
      </c>
      <c r="L981" s="108">
        <v>22663394</v>
      </c>
      <c r="M981" s="36">
        <v>5218711614309</v>
      </c>
      <c r="N981" s="170" t="s">
        <v>37</v>
      </c>
      <c r="O981" s="49">
        <v>10171.24</v>
      </c>
      <c r="P981" s="96">
        <v>3051.37</v>
      </c>
      <c r="Q981" s="12">
        <v>3051.37</v>
      </c>
      <c r="R981" s="12">
        <v>0</v>
      </c>
      <c r="S981" s="73">
        <v>46759</v>
      </c>
      <c r="T981" s="10"/>
      <c r="U981" s="97"/>
      <c r="V981" s="1"/>
      <c r="X981" s="101">
        <v>2</v>
      </c>
    </row>
    <row r="982" spans="2:24" hidden="1">
      <c r="B982" s="6" t="s">
        <v>2127</v>
      </c>
      <c r="C982" s="23">
        <v>46219.729166666664</v>
      </c>
      <c r="D982" s="6" t="s">
        <v>24</v>
      </c>
      <c r="E982" s="6"/>
      <c r="F982" s="28">
        <v>46219</v>
      </c>
      <c r="G982" s="27" t="s">
        <v>1754</v>
      </c>
      <c r="H982" s="10" t="s">
        <v>54</v>
      </c>
      <c r="I982" s="6" t="s">
        <v>2128</v>
      </c>
      <c r="J982" s="196">
        <v>21865400200</v>
      </c>
      <c r="K982" s="180" t="s">
        <v>2129</v>
      </c>
      <c r="L982" s="107">
        <v>22740054</v>
      </c>
      <c r="M982" s="37">
        <v>5216862433196</v>
      </c>
      <c r="N982" s="169" t="s">
        <v>130</v>
      </c>
      <c r="O982" s="48">
        <v>5378.99</v>
      </c>
      <c r="P982" s="95">
        <v>1613.53</v>
      </c>
      <c r="Q982" s="13">
        <v>1613.7</v>
      </c>
      <c r="R982" s="13">
        <v>-407.52</v>
      </c>
      <c r="S982" s="72">
        <v>45299</v>
      </c>
      <c r="T982" s="6"/>
      <c r="U982" s="164"/>
      <c r="V982" s="1"/>
      <c r="X982" s="101">
        <v>2</v>
      </c>
    </row>
    <row r="983" spans="2:24" hidden="1">
      <c r="B983" s="10" t="s">
        <v>2130</v>
      </c>
      <c r="C983" s="24">
        <v>46219.729861111111</v>
      </c>
      <c r="D983" s="10" t="s">
        <v>24</v>
      </c>
      <c r="E983" s="10"/>
      <c r="F983" s="28">
        <v>46219</v>
      </c>
      <c r="G983" s="28" t="s">
        <v>1953</v>
      </c>
      <c r="H983" s="10" t="s">
        <v>61</v>
      </c>
      <c r="I983" s="10" t="s">
        <v>2131</v>
      </c>
      <c r="J983" s="195">
        <v>33816299078</v>
      </c>
      <c r="K983" s="181" t="s">
        <v>2132</v>
      </c>
      <c r="L983" s="108">
        <v>22761296</v>
      </c>
      <c r="M983" s="36">
        <v>5216144733374</v>
      </c>
      <c r="N983" s="170" t="s">
        <v>37</v>
      </c>
      <c r="O983" s="49">
        <v>9081.52</v>
      </c>
      <c r="P983" s="96">
        <v>2616.4699999999998</v>
      </c>
      <c r="Q983" s="12">
        <v>2724.46</v>
      </c>
      <c r="R983" s="12">
        <v>107.99</v>
      </c>
      <c r="S983" s="73">
        <v>46357</v>
      </c>
      <c r="T983" s="10"/>
      <c r="U983" s="97"/>
      <c r="V983" s="1"/>
      <c r="X983" s="101">
        <v>2</v>
      </c>
    </row>
    <row r="984" spans="2:24" hidden="1">
      <c r="B984" s="6" t="s">
        <v>2133</v>
      </c>
      <c r="C984" s="23">
        <v>46219.736111111109</v>
      </c>
      <c r="D984" s="6" t="s">
        <v>24</v>
      </c>
      <c r="E984" s="6"/>
      <c r="F984" s="28">
        <v>46219</v>
      </c>
      <c r="G984" s="27" t="s">
        <v>1953</v>
      </c>
      <c r="H984" s="6" t="s">
        <v>93</v>
      </c>
      <c r="I984" s="6" t="s">
        <v>2134</v>
      </c>
      <c r="J984" s="196"/>
      <c r="K984" s="180" t="s">
        <v>2135</v>
      </c>
      <c r="L984" s="108">
        <v>22757950</v>
      </c>
      <c r="M984" s="37">
        <v>8445363594</v>
      </c>
      <c r="N984" s="169" t="s">
        <v>37</v>
      </c>
      <c r="O984" s="48">
        <v>9760.32</v>
      </c>
      <c r="P984" s="95">
        <v>2927.9</v>
      </c>
      <c r="Q984" s="13">
        <v>2928.1</v>
      </c>
      <c r="R984" s="13">
        <v>0.2</v>
      </c>
      <c r="S984" s="72">
        <v>46395</v>
      </c>
      <c r="T984" s="6"/>
      <c r="U984" s="164"/>
      <c r="V984" s="1"/>
      <c r="X984" s="101">
        <v>2</v>
      </c>
    </row>
    <row r="985" spans="2:24" hidden="1">
      <c r="B985" s="10" t="s">
        <v>2136</v>
      </c>
      <c r="C985" s="24">
        <v>46219.738194444442</v>
      </c>
      <c r="D985" s="10" t="s">
        <v>24</v>
      </c>
      <c r="E985" s="10"/>
      <c r="F985" s="28">
        <v>46219</v>
      </c>
      <c r="G985" s="28" t="s">
        <v>1953</v>
      </c>
      <c r="H985" s="161" t="s">
        <v>71</v>
      </c>
      <c r="I985" s="10" t="s">
        <v>2137</v>
      </c>
      <c r="J985" s="195"/>
      <c r="K985" s="181" t="s">
        <v>2138</v>
      </c>
      <c r="L985" s="108">
        <v>22759452</v>
      </c>
      <c r="M985" s="36">
        <v>5218441471329</v>
      </c>
      <c r="N985" s="170" t="s">
        <v>28</v>
      </c>
      <c r="O985" s="49">
        <v>10636.54</v>
      </c>
      <c r="P985" s="96"/>
      <c r="Q985" s="12">
        <v>3190.96</v>
      </c>
      <c r="R985" s="14">
        <v>3190.96</v>
      </c>
      <c r="S985" s="73"/>
      <c r="T985" s="10"/>
      <c r="U985" s="97"/>
      <c r="V985" s="1"/>
      <c r="X985" s="101">
        <v>1</v>
      </c>
    </row>
    <row r="986" spans="2:24" hidden="1">
      <c r="B986" s="6" t="s">
        <v>2139</v>
      </c>
      <c r="C986" s="23">
        <v>46219.758333333331</v>
      </c>
      <c r="D986" s="6" t="s">
        <v>24</v>
      </c>
      <c r="E986" s="6"/>
      <c r="F986" s="28">
        <v>46219</v>
      </c>
      <c r="G986" s="27" t="s">
        <v>1953</v>
      </c>
      <c r="H986" s="18" t="s">
        <v>170</v>
      </c>
      <c r="I986" s="6" t="s">
        <v>2140</v>
      </c>
      <c r="J986" s="196">
        <v>74917553146</v>
      </c>
      <c r="K986" s="180"/>
      <c r="L986" s="108">
        <v>22762130</v>
      </c>
      <c r="M986" s="37">
        <v>5213313336914</v>
      </c>
      <c r="N986" s="169" t="s">
        <v>37</v>
      </c>
      <c r="O986" s="48">
        <v>6405.06</v>
      </c>
      <c r="P986" s="95">
        <v>1852.14</v>
      </c>
      <c r="Q986" s="13">
        <v>1921.52</v>
      </c>
      <c r="R986" s="13">
        <v>69.38</v>
      </c>
      <c r="S986" s="72">
        <v>46390</v>
      </c>
      <c r="T986" s="6"/>
      <c r="U986" s="164"/>
      <c r="V986" s="1"/>
      <c r="X986" s="101">
        <v>2</v>
      </c>
    </row>
    <row r="987" spans="2:24" hidden="1">
      <c r="B987" s="10" t="s">
        <v>2141</v>
      </c>
      <c r="C987" s="24">
        <v>46220.385416666664</v>
      </c>
      <c r="D987" s="10" t="s">
        <v>24</v>
      </c>
      <c r="E987" s="10"/>
      <c r="F987" s="28">
        <v>46220</v>
      </c>
      <c r="G987" s="28" t="s">
        <v>2142</v>
      </c>
      <c r="H987" s="10" t="s">
        <v>1625</v>
      </c>
      <c r="I987" s="10" t="s">
        <v>2143</v>
      </c>
      <c r="J987" s="195">
        <v>43816243935</v>
      </c>
      <c r="K987" s="181" t="s">
        <v>2144</v>
      </c>
      <c r="L987" s="108">
        <v>2</v>
      </c>
      <c r="M987" s="36">
        <v>8125629130</v>
      </c>
      <c r="N987" s="170" t="s">
        <v>37</v>
      </c>
      <c r="O987" s="49">
        <v>9504.7000000000007</v>
      </c>
      <c r="P987" s="96">
        <v>2847.87</v>
      </c>
      <c r="Q987" s="12">
        <v>2851.41</v>
      </c>
      <c r="R987" s="12">
        <v>3.54</v>
      </c>
      <c r="S987" s="73">
        <v>46756</v>
      </c>
      <c r="T987" s="10" t="s">
        <v>192</v>
      </c>
      <c r="U987" s="97"/>
      <c r="V987" s="1"/>
      <c r="X987" s="101">
        <v>2</v>
      </c>
    </row>
    <row r="988" spans="2:24" hidden="1">
      <c r="B988" s="6" t="s">
        <v>2145</v>
      </c>
      <c r="C988" s="23">
        <v>46220.38958333333</v>
      </c>
      <c r="D988" s="6" t="s">
        <v>24</v>
      </c>
      <c r="E988" s="6"/>
      <c r="F988" s="28">
        <v>46220</v>
      </c>
      <c r="G988" s="27" t="s">
        <v>2142</v>
      </c>
      <c r="H988" s="6" t="s">
        <v>1625</v>
      </c>
      <c r="I988" s="6" t="s">
        <v>2146</v>
      </c>
      <c r="J988" s="196">
        <v>6796154950</v>
      </c>
      <c r="K988" s="180" t="s">
        <v>2147</v>
      </c>
      <c r="L988" s="108">
        <v>2</v>
      </c>
      <c r="M988" s="37" t="s">
        <v>2148</v>
      </c>
      <c r="N988" s="169" t="s">
        <v>37</v>
      </c>
      <c r="O988" s="48">
        <v>17827.189999999999</v>
      </c>
      <c r="P988" s="95">
        <v>5348.16</v>
      </c>
      <c r="Q988" s="13">
        <v>5348.16</v>
      </c>
      <c r="R988" s="13">
        <v>0</v>
      </c>
      <c r="S988" s="72">
        <v>46032</v>
      </c>
      <c r="T988" s="6"/>
      <c r="U988" s="164"/>
      <c r="V988" s="1"/>
      <c r="X988" s="101">
        <v>2</v>
      </c>
    </row>
    <row r="989" spans="2:24" hidden="1">
      <c r="B989" s="10" t="s">
        <v>2149</v>
      </c>
      <c r="C989" s="24">
        <v>46220.402777777781</v>
      </c>
      <c r="D989" s="10" t="s">
        <v>24</v>
      </c>
      <c r="E989" s="10"/>
      <c r="F989" s="28">
        <v>46220</v>
      </c>
      <c r="G989" s="28" t="s">
        <v>2142</v>
      </c>
      <c r="H989" s="10" t="s">
        <v>1629</v>
      </c>
      <c r="I989" s="10" t="s">
        <v>2150</v>
      </c>
      <c r="J989" s="195">
        <v>41806315051</v>
      </c>
      <c r="K989" s="181" t="s">
        <v>2151</v>
      </c>
      <c r="L989" s="108">
        <v>2</v>
      </c>
      <c r="M989" s="36">
        <v>4448457967</v>
      </c>
      <c r="N989" s="170" t="s">
        <v>37</v>
      </c>
      <c r="O989" s="49">
        <v>10636.54</v>
      </c>
      <c r="P989" s="96">
        <v>3190.94</v>
      </c>
      <c r="Q989" s="12">
        <v>3190.96</v>
      </c>
      <c r="R989" s="12">
        <v>0.02</v>
      </c>
      <c r="S989" s="73">
        <v>46757</v>
      </c>
      <c r="T989" s="10" t="s">
        <v>178</v>
      </c>
      <c r="U989" s="97"/>
      <c r="V989" s="1"/>
      <c r="X989" s="101">
        <v>2</v>
      </c>
    </row>
    <row r="990" spans="2:24" hidden="1">
      <c r="B990" s="6" t="s">
        <v>2152</v>
      </c>
      <c r="C990" s="23">
        <v>46220.42291666667</v>
      </c>
      <c r="D990" s="6" t="s">
        <v>24</v>
      </c>
      <c r="E990" s="6"/>
      <c r="F990" s="28">
        <v>46220</v>
      </c>
      <c r="G990" s="27" t="s">
        <v>2142</v>
      </c>
      <c r="H990" s="10" t="s">
        <v>1519</v>
      </c>
      <c r="I990" s="6" t="s">
        <v>2153</v>
      </c>
      <c r="J990" s="196">
        <v>12755204075</v>
      </c>
      <c r="K990" s="180" t="s">
        <v>2154</v>
      </c>
      <c r="L990" s="107">
        <v>22765034</v>
      </c>
      <c r="M990" s="37">
        <v>5214423456322</v>
      </c>
      <c r="N990" s="169" t="s">
        <v>28</v>
      </c>
      <c r="O990" s="48">
        <v>8784.2900000000009</v>
      </c>
      <c r="P990" s="95"/>
      <c r="Q990" s="13">
        <v>2635.29</v>
      </c>
      <c r="R990" s="9">
        <v>2635.29</v>
      </c>
      <c r="S990" s="72"/>
      <c r="T990" s="6"/>
      <c r="U990" s="164"/>
      <c r="V990" s="1"/>
      <c r="X990" s="101">
        <v>1</v>
      </c>
    </row>
    <row r="991" spans="2:24" hidden="1">
      <c r="B991" s="10" t="s">
        <v>2155</v>
      </c>
      <c r="C991" s="24">
        <v>46220.423611111109</v>
      </c>
      <c r="D991" s="10" t="s">
        <v>24</v>
      </c>
      <c r="E991" s="10"/>
      <c r="F991" s="28">
        <v>46220</v>
      </c>
      <c r="G991" s="28" t="s">
        <v>1953</v>
      </c>
      <c r="H991" s="10" t="s">
        <v>68</v>
      </c>
      <c r="I991" s="10" t="s">
        <v>2156</v>
      </c>
      <c r="J991" s="195">
        <v>49846012034</v>
      </c>
      <c r="K991" s="181" t="s">
        <v>2157</v>
      </c>
      <c r="L991" s="108">
        <v>22764050</v>
      </c>
      <c r="M991" s="36">
        <v>5218335363809</v>
      </c>
      <c r="N991" s="170" t="s">
        <v>74</v>
      </c>
      <c r="O991" s="49"/>
      <c r="P991" s="96"/>
      <c r="Q991" s="12">
        <v>0</v>
      </c>
      <c r="R991" s="12">
        <v>0</v>
      </c>
      <c r="S991" s="73"/>
      <c r="T991" s="10"/>
      <c r="U991" s="97"/>
      <c r="V991" s="1"/>
      <c r="X991" s="101">
        <v>1</v>
      </c>
    </row>
    <row r="992" spans="2:24" ht="30.75" hidden="1">
      <c r="B992" s="6" t="s">
        <v>2158</v>
      </c>
      <c r="C992" s="23">
        <v>46220.424305555556</v>
      </c>
      <c r="D992" s="6" t="s">
        <v>24</v>
      </c>
      <c r="E992" s="6"/>
      <c r="F992" s="28">
        <v>46220</v>
      </c>
      <c r="G992" s="27" t="s">
        <v>2142</v>
      </c>
      <c r="H992" s="6" t="s">
        <v>51</v>
      </c>
      <c r="I992" s="6" t="s">
        <v>2159</v>
      </c>
      <c r="J992" s="196" t="s">
        <v>2160</v>
      </c>
      <c r="K992" s="180" t="s">
        <v>2161</v>
      </c>
      <c r="L992" s="107">
        <v>22781166</v>
      </c>
      <c r="M992" s="37">
        <v>5219999094046</v>
      </c>
      <c r="N992" s="169" t="s">
        <v>32</v>
      </c>
      <c r="O992" s="48">
        <v>4342.43</v>
      </c>
      <c r="P992" s="95">
        <v>848</v>
      </c>
      <c r="Q992" s="13">
        <v>1302.73</v>
      </c>
      <c r="R992" s="13">
        <v>-678.55</v>
      </c>
      <c r="S992" s="72"/>
      <c r="T992" s="6"/>
      <c r="U992" s="164"/>
      <c r="V992" s="1"/>
      <c r="X992" s="101">
        <v>1</v>
      </c>
    </row>
    <row r="993" spans="2:24" hidden="1">
      <c r="B993" s="10" t="s">
        <v>2162</v>
      </c>
      <c r="C993" s="24">
        <v>46220.428472222222</v>
      </c>
      <c r="D993" s="10" t="s">
        <v>24</v>
      </c>
      <c r="E993" s="10"/>
      <c r="F993" s="28">
        <v>46220</v>
      </c>
      <c r="G993" s="28" t="s">
        <v>2142</v>
      </c>
      <c r="H993" s="10" t="s">
        <v>1519</v>
      </c>
      <c r="I993" s="10" t="s">
        <v>2163</v>
      </c>
      <c r="J993" s="193">
        <v>34906602528</v>
      </c>
      <c r="K993" s="181" t="s">
        <v>2164</v>
      </c>
      <c r="L993" s="108">
        <v>22765636</v>
      </c>
      <c r="M993" s="36">
        <v>5214921037006</v>
      </c>
      <c r="N993" s="170" t="s">
        <v>28</v>
      </c>
      <c r="O993" s="49">
        <v>10636.54</v>
      </c>
      <c r="P993" s="96">
        <v>1789.65</v>
      </c>
      <c r="Q993" s="12">
        <v>3190.96</v>
      </c>
      <c r="R993" s="14">
        <v>1401.31</v>
      </c>
      <c r="S993" s="73">
        <v>46758</v>
      </c>
      <c r="T993" s="10"/>
      <c r="U993" s="97"/>
      <c r="V993" s="1"/>
      <c r="X993" s="101">
        <v>2</v>
      </c>
    </row>
    <row r="994" spans="2:24" hidden="1">
      <c r="B994" s="6" t="s">
        <v>2165</v>
      </c>
      <c r="C994" s="23">
        <v>46220.431250000001</v>
      </c>
      <c r="D994" s="6" t="s">
        <v>24</v>
      </c>
      <c r="E994" s="6"/>
      <c r="F994" s="28">
        <v>46220</v>
      </c>
      <c r="G994" s="27" t="s">
        <v>2142</v>
      </c>
      <c r="H994" s="6" t="s">
        <v>1629</v>
      </c>
      <c r="I994" s="6" t="s">
        <v>2166</v>
      </c>
      <c r="J994" s="192">
        <v>32806000090</v>
      </c>
      <c r="K994" s="180" t="s">
        <v>2167</v>
      </c>
      <c r="L994" s="108">
        <v>2</v>
      </c>
      <c r="M994" s="37">
        <v>8717686106</v>
      </c>
      <c r="N994" s="169" t="s">
        <v>37</v>
      </c>
      <c r="O994" s="48">
        <v>7753.13</v>
      </c>
      <c r="P994" s="95">
        <v>2243.17</v>
      </c>
      <c r="Q994" s="13">
        <v>2325.94</v>
      </c>
      <c r="R994" s="13">
        <v>82.77</v>
      </c>
      <c r="S994" s="72">
        <v>46393</v>
      </c>
      <c r="T994" s="6"/>
      <c r="U994" s="164"/>
      <c r="V994" s="1"/>
      <c r="X994" s="101">
        <v>2</v>
      </c>
    </row>
    <row r="995" spans="2:24" hidden="1">
      <c r="B995" s="10" t="s">
        <v>2168</v>
      </c>
      <c r="C995" s="24">
        <v>46220.43472222222</v>
      </c>
      <c r="D995" s="10" t="s">
        <v>24</v>
      </c>
      <c r="E995" s="10"/>
      <c r="F995" s="28">
        <v>46220</v>
      </c>
      <c r="G995" s="28" t="s">
        <v>2142</v>
      </c>
      <c r="H995" s="10" t="s">
        <v>1625</v>
      </c>
      <c r="I995" s="10" t="s">
        <v>2169</v>
      </c>
      <c r="J995" s="202">
        <v>62906060678</v>
      </c>
      <c r="K995" s="181" t="s">
        <v>2170</v>
      </c>
      <c r="L995" s="108">
        <v>2</v>
      </c>
      <c r="M995" s="36" t="s">
        <v>2171</v>
      </c>
      <c r="N995" s="170" t="s">
        <v>37</v>
      </c>
      <c r="O995" s="49">
        <v>5617.63</v>
      </c>
      <c r="P995" s="96">
        <v>1389.24</v>
      </c>
      <c r="Q995" s="12">
        <v>1685.29</v>
      </c>
      <c r="R995" s="12">
        <v>55.41</v>
      </c>
      <c r="S995" s="73">
        <v>46031</v>
      </c>
      <c r="T995" s="10"/>
      <c r="U995" s="97"/>
      <c r="V995" s="1"/>
      <c r="X995" s="101">
        <v>2</v>
      </c>
    </row>
    <row r="996" spans="2:24" hidden="1">
      <c r="B996" s="6" t="s">
        <v>2172</v>
      </c>
      <c r="C996" s="23">
        <v>46220.436111111114</v>
      </c>
      <c r="D996" s="6" t="s">
        <v>24</v>
      </c>
      <c r="E996" s="6"/>
      <c r="F996" s="28">
        <v>46220</v>
      </c>
      <c r="G996" s="27" t="s">
        <v>2142</v>
      </c>
      <c r="H996" s="6" t="s">
        <v>81</v>
      </c>
      <c r="I996" s="6" t="s">
        <v>2173</v>
      </c>
      <c r="J996" s="192"/>
      <c r="K996" s="180" t="s">
        <v>2174</v>
      </c>
      <c r="L996" s="108">
        <v>22774872</v>
      </c>
      <c r="M996" s="37">
        <v>5215586781473</v>
      </c>
      <c r="N996" s="169" t="s">
        <v>37</v>
      </c>
      <c r="O996" s="48">
        <v>7116.73</v>
      </c>
      <c r="P996" s="95">
        <v>2132.25</v>
      </c>
      <c r="Q996" s="13">
        <v>2135.02</v>
      </c>
      <c r="R996" s="13">
        <v>2.77</v>
      </c>
      <c r="S996" s="72">
        <v>46389</v>
      </c>
      <c r="T996" s="6"/>
      <c r="U996" s="164"/>
      <c r="V996" s="1"/>
      <c r="X996" s="101">
        <v>2</v>
      </c>
    </row>
    <row r="997" spans="2:24" hidden="1">
      <c r="B997" s="10" t="s">
        <v>2136</v>
      </c>
      <c r="C997" s="24">
        <v>46220.438888888886</v>
      </c>
      <c r="D997" s="10" t="s">
        <v>24</v>
      </c>
      <c r="E997" s="10"/>
      <c r="F997" s="28">
        <v>46220</v>
      </c>
      <c r="G997" s="28" t="s">
        <v>1953</v>
      </c>
      <c r="H997" s="10" t="s">
        <v>39</v>
      </c>
      <c r="I997" s="10" t="s">
        <v>2175</v>
      </c>
      <c r="J997" s="193">
        <v>32816551942</v>
      </c>
      <c r="K997" s="181" t="s">
        <v>2176</v>
      </c>
      <c r="L997" s="108">
        <v>22765192</v>
      </c>
      <c r="M997" s="36">
        <v>5218125900709</v>
      </c>
      <c r="N997" s="170" t="s">
        <v>37</v>
      </c>
      <c r="O997" s="49">
        <v>9760.32</v>
      </c>
      <c r="P997" s="96">
        <v>2758.23</v>
      </c>
      <c r="Q997" s="12">
        <v>2928.1</v>
      </c>
      <c r="R997" s="12">
        <v>169.87</v>
      </c>
      <c r="S997" s="73">
        <v>46754</v>
      </c>
      <c r="T997" s="10" t="s">
        <v>192</v>
      </c>
      <c r="U997" s="97"/>
      <c r="V997" s="1"/>
      <c r="X997" s="101">
        <v>2</v>
      </c>
    </row>
    <row r="998" spans="2:24" hidden="1">
      <c r="B998" s="6" t="s">
        <v>2177</v>
      </c>
      <c r="C998" s="23">
        <v>46220.444444444445</v>
      </c>
      <c r="D998" s="6" t="s">
        <v>24</v>
      </c>
      <c r="E998" s="6"/>
      <c r="F998" s="28">
        <v>46220</v>
      </c>
      <c r="G998" s="27" t="s">
        <v>1754</v>
      </c>
      <c r="H998" s="7" t="s">
        <v>476</v>
      </c>
      <c r="I998" s="6" t="s">
        <v>2178</v>
      </c>
      <c r="J998" s="201">
        <v>24887288108</v>
      </c>
      <c r="K998" s="180" t="s">
        <v>2179</v>
      </c>
      <c r="L998" s="108">
        <v>22729966</v>
      </c>
      <c r="M998" s="37">
        <v>5216624313028</v>
      </c>
      <c r="N998" s="169" t="s">
        <v>37</v>
      </c>
      <c r="O998" s="48">
        <v>6405.06</v>
      </c>
      <c r="P998" s="95">
        <v>1778.27</v>
      </c>
      <c r="Q998" s="13">
        <v>1921.52</v>
      </c>
      <c r="R998" s="13">
        <v>143.25</v>
      </c>
      <c r="S998" s="72">
        <v>46357</v>
      </c>
      <c r="T998" s="6"/>
      <c r="U998" s="164"/>
      <c r="V998" s="1"/>
      <c r="X998" s="101">
        <v>2</v>
      </c>
    </row>
    <row r="999" spans="2:24" hidden="1">
      <c r="B999" s="10" t="s">
        <v>2180</v>
      </c>
      <c r="C999" s="24">
        <v>46220.456944444442</v>
      </c>
      <c r="D999" s="10" t="s">
        <v>24</v>
      </c>
      <c r="E999" s="10"/>
      <c r="F999" s="28">
        <v>46220</v>
      </c>
      <c r="G999" s="28" t="s">
        <v>1953</v>
      </c>
      <c r="H999" s="10" t="s">
        <v>160</v>
      </c>
      <c r="I999" s="10" t="s">
        <v>2181</v>
      </c>
      <c r="J999" s="193">
        <v>12705325152</v>
      </c>
      <c r="K999" s="181" t="s">
        <v>2182</v>
      </c>
      <c r="L999" s="108">
        <v>22765294</v>
      </c>
      <c r="M999" s="36">
        <v>5212291621009</v>
      </c>
      <c r="N999" s="170" t="s">
        <v>28</v>
      </c>
      <c r="O999" s="49">
        <v>10467.25</v>
      </c>
      <c r="P999" s="96"/>
      <c r="Q999" s="12">
        <v>3140.18</v>
      </c>
      <c r="R999" s="14">
        <v>3140.18</v>
      </c>
      <c r="S999" s="73"/>
      <c r="T999" s="10"/>
      <c r="U999" s="97"/>
      <c r="V999" s="1"/>
      <c r="X999" s="101">
        <v>1</v>
      </c>
    </row>
    <row r="1000" spans="2:24" hidden="1">
      <c r="B1000" s="6" t="s">
        <v>2183</v>
      </c>
      <c r="C1000" s="23">
        <v>46220.459027777775</v>
      </c>
      <c r="D1000" s="6" t="s">
        <v>24</v>
      </c>
      <c r="E1000" s="6"/>
      <c r="F1000" s="28">
        <v>46220</v>
      </c>
      <c r="G1000" s="27" t="s">
        <v>2142</v>
      </c>
      <c r="H1000" s="6" t="s">
        <v>160</v>
      </c>
      <c r="I1000" s="6" t="s">
        <v>2184</v>
      </c>
      <c r="J1000" s="192">
        <v>84785506464</v>
      </c>
      <c r="K1000" s="180" t="s">
        <v>2185</v>
      </c>
      <c r="L1000" s="107">
        <v>22780308</v>
      </c>
      <c r="M1000" s="37">
        <v>5219993346693</v>
      </c>
      <c r="N1000" s="169" t="s">
        <v>32</v>
      </c>
      <c r="O1000" s="48">
        <v>4488.12</v>
      </c>
      <c r="P1000" s="95">
        <v>1594.08</v>
      </c>
      <c r="Q1000" s="13">
        <v>1346.44</v>
      </c>
      <c r="R1000" s="13">
        <v>-1278.94</v>
      </c>
      <c r="S1000" s="72"/>
      <c r="T1000" s="6"/>
      <c r="U1000" s="164"/>
      <c r="V1000" s="1"/>
      <c r="X1000" s="101">
        <v>1</v>
      </c>
    </row>
    <row r="1001" spans="2:24" hidden="1">
      <c r="B1001" s="10" t="s">
        <v>2186</v>
      </c>
      <c r="C1001" s="24">
        <v>46220.461111111108</v>
      </c>
      <c r="D1001" s="10" t="s">
        <v>24</v>
      </c>
      <c r="E1001" s="10"/>
      <c r="F1001" s="28">
        <v>46220</v>
      </c>
      <c r="G1001" s="28" t="s">
        <v>1953</v>
      </c>
      <c r="H1001" s="10" t="s">
        <v>39</v>
      </c>
      <c r="I1001" s="10" t="s">
        <v>2187</v>
      </c>
      <c r="J1001" s="193">
        <v>62705217099</v>
      </c>
      <c r="K1001" s="181" t="s">
        <v>2188</v>
      </c>
      <c r="L1001" s="108">
        <v>22773764</v>
      </c>
      <c r="M1001" s="36">
        <v>22773764</v>
      </c>
      <c r="N1001" s="170" t="s">
        <v>37</v>
      </c>
      <c r="O1001" s="49">
        <v>4552.7</v>
      </c>
      <c r="P1001" s="96">
        <v>768.66</v>
      </c>
      <c r="Q1001" s="12">
        <v>1365.81</v>
      </c>
      <c r="R1001" s="12">
        <v>-388.94</v>
      </c>
      <c r="S1001" s="73">
        <v>46395</v>
      </c>
      <c r="T1001" s="10"/>
      <c r="U1001" s="97"/>
      <c r="V1001" s="1"/>
      <c r="X1001" s="101">
        <v>2</v>
      </c>
    </row>
    <row r="1002" spans="2:24" hidden="1">
      <c r="B1002" s="6" t="s">
        <v>2189</v>
      </c>
      <c r="C1002" s="23">
        <v>46220.463888888888</v>
      </c>
      <c r="D1002" s="6" t="s">
        <v>24</v>
      </c>
      <c r="E1002" s="6"/>
      <c r="F1002" s="28">
        <v>46220</v>
      </c>
      <c r="G1002" s="27" t="s">
        <v>2142</v>
      </c>
      <c r="H1002" s="6" t="s">
        <v>51</v>
      </c>
      <c r="I1002" s="6" t="s">
        <v>2190</v>
      </c>
      <c r="J1002" s="192">
        <v>62644711806</v>
      </c>
      <c r="K1002" s="180" t="s">
        <v>2191</v>
      </c>
      <c r="L1002" s="107">
        <v>22784412</v>
      </c>
      <c r="M1002" s="37">
        <v>5212361081717</v>
      </c>
      <c r="N1002" s="169" t="s">
        <v>32</v>
      </c>
      <c r="O1002" s="48">
        <v>3904.19</v>
      </c>
      <c r="P1002" s="95"/>
      <c r="Q1002" s="13">
        <v>1171.26</v>
      </c>
      <c r="R1002" s="13">
        <v>0</v>
      </c>
      <c r="S1002" s="72"/>
      <c r="T1002" s="6"/>
      <c r="U1002" s="164"/>
      <c r="V1002" s="1"/>
      <c r="X1002" s="101">
        <v>1</v>
      </c>
    </row>
    <row r="1003" spans="2:24" hidden="1">
      <c r="B1003" s="10" t="s">
        <v>2192</v>
      </c>
      <c r="C1003" s="24">
        <v>46220.470833333333</v>
      </c>
      <c r="D1003" s="10" t="s">
        <v>24</v>
      </c>
      <c r="E1003" s="10"/>
      <c r="F1003" s="28">
        <v>46220</v>
      </c>
      <c r="G1003" s="28" t="s">
        <v>2142</v>
      </c>
      <c r="H1003" s="10" t="s">
        <v>1625</v>
      </c>
      <c r="I1003" s="10" t="s">
        <v>2193</v>
      </c>
      <c r="J1003" s="193">
        <v>55805802018</v>
      </c>
      <c r="K1003" s="181" t="s">
        <v>2194</v>
      </c>
      <c r="L1003" s="108">
        <v>2</v>
      </c>
      <c r="M1003" s="36">
        <v>3112474147</v>
      </c>
      <c r="N1003" s="170" t="s">
        <v>37</v>
      </c>
      <c r="O1003" s="49">
        <v>24234.17</v>
      </c>
      <c r="P1003" s="96">
        <v>7268.37</v>
      </c>
      <c r="Q1003" s="12">
        <v>7270.25</v>
      </c>
      <c r="R1003" s="12">
        <v>1.88</v>
      </c>
      <c r="S1003" s="73">
        <v>46391</v>
      </c>
      <c r="T1003" s="10"/>
      <c r="U1003" s="97"/>
      <c r="V1003" s="1"/>
      <c r="X1003" s="101">
        <v>2</v>
      </c>
    </row>
    <row r="1004" spans="2:24" hidden="1">
      <c r="B1004" s="6" t="s">
        <v>2195</v>
      </c>
      <c r="C1004" s="23">
        <v>46220.48333333333</v>
      </c>
      <c r="D1004" s="6" t="s">
        <v>24</v>
      </c>
      <c r="E1004" s="6"/>
      <c r="F1004" s="28">
        <v>46220</v>
      </c>
      <c r="G1004" s="27" t="s">
        <v>2142</v>
      </c>
      <c r="H1004" s="10" t="s">
        <v>1629</v>
      </c>
      <c r="I1004" s="6" t="s">
        <v>2196</v>
      </c>
      <c r="J1004" s="192">
        <v>64806116857</v>
      </c>
      <c r="K1004" s="180" t="s">
        <v>2197</v>
      </c>
      <c r="L1004" s="115">
        <v>2</v>
      </c>
      <c r="M1004" s="37">
        <v>7299689395</v>
      </c>
      <c r="N1004" s="169" t="s">
        <v>47</v>
      </c>
      <c r="O1004" s="48">
        <v>29321.29</v>
      </c>
      <c r="P1004" s="95">
        <v>8481.5499999999993</v>
      </c>
      <c r="Q1004" s="13">
        <v>8796.39</v>
      </c>
      <c r="R1004" s="22">
        <v>314.83999999999997</v>
      </c>
      <c r="S1004" s="72">
        <v>46399</v>
      </c>
      <c r="T1004" s="6"/>
      <c r="U1004" s="164"/>
      <c r="V1004" s="1"/>
      <c r="X1004" s="101">
        <v>2</v>
      </c>
    </row>
    <row r="1005" spans="2:24" hidden="1">
      <c r="B1005" s="10" t="s">
        <v>2198</v>
      </c>
      <c r="C1005" s="24">
        <v>46220.489583333336</v>
      </c>
      <c r="D1005" s="10" t="s">
        <v>24</v>
      </c>
      <c r="E1005" s="10"/>
      <c r="F1005" s="28">
        <v>46220</v>
      </c>
      <c r="G1005" s="28" t="s">
        <v>1953</v>
      </c>
      <c r="H1005" s="161" t="s">
        <v>71</v>
      </c>
      <c r="I1005" s="10" t="s">
        <v>2199</v>
      </c>
      <c r="J1005" s="193">
        <v>21836571097</v>
      </c>
      <c r="K1005" s="181" t="s">
        <v>2200</v>
      </c>
      <c r="L1005" s="108">
        <v>22763356</v>
      </c>
      <c r="M1005" s="36">
        <v>5216531760996</v>
      </c>
      <c r="N1005" s="170" t="s">
        <v>47</v>
      </c>
      <c r="O1005" s="49">
        <v>9760.32</v>
      </c>
      <c r="P1005" s="96">
        <v>2206.65</v>
      </c>
      <c r="Q1005" s="12">
        <v>2928.1</v>
      </c>
      <c r="R1005" s="16">
        <v>721.45</v>
      </c>
      <c r="S1005" s="73">
        <v>46759</v>
      </c>
      <c r="T1005" s="10" t="s">
        <v>178</v>
      </c>
      <c r="U1005" s="97"/>
      <c r="V1005" s="1"/>
      <c r="X1005" s="101">
        <v>2</v>
      </c>
    </row>
    <row r="1006" spans="2:24" hidden="1">
      <c r="B1006" s="6" t="s">
        <v>2201</v>
      </c>
      <c r="C1006" s="23">
        <v>46220.49722222222</v>
      </c>
      <c r="D1006" s="6" t="s">
        <v>24</v>
      </c>
      <c r="E1006" s="6"/>
      <c r="F1006" s="28">
        <v>46220</v>
      </c>
      <c r="G1006" s="27" t="s">
        <v>2142</v>
      </c>
      <c r="H1006" s="6" t="s">
        <v>1629</v>
      </c>
      <c r="I1006" s="6" t="s">
        <v>2202</v>
      </c>
      <c r="J1006" s="192">
        <v>32776109343</v>
      </c>
      <c r="K1006" s="180" t="s">
        <v>2203</v>
      </c>
      <c r="L1006" s="108">
        <v>2</v>
      </c>
      <c r="M1006" s="37">
        <v>8445297151</v>
      </c>
      <c r="N1006" s="169" t="s">
        <v>37</v>
      </c>
      <c r="O1006" s="48">
        <v>6263.86</v>
      </c>
      <c r="P1006" s="95">
        <v>1864.01</v>
      </c>
      <c r="Q1006" s="13">
        <v>1879.16</v>
      </c>
      <c r="R1006" s="13">
        <v>15.15</v>
      </c>
      <c r="S1006" s="72">
        <v>46396</v>
      </c>
      <c r="T1006" s="6"/>
      <c r="U1006" s="164"/>
      <c r="V1006" s="1"/>
      <c r="X1006" s="101">
        <v>2</v>
      </c>
    </row>
    <row r="1007" spans="2:24" hidden="1">
      <c r="B1007" s="10" t="s">
        <v>2204</v>
      </c>
      <c r="C1007" s="24">
        <v>46220.507638888892</v>
      </c>
      <c r="D1007" s="10" t="s">
        <v>24</v>
      </c>
      <c r="E1007" s="10"/>
      <c r="F1007" s="28">
        <v>46220</v>
      </c>
      <c r="G1007" s="28" t="s">
        <v>1953</v>
      </c>
      <c r="H1007" s="10" t="s">
        <v>93</v>
      </c>
      <c r="I1007" s="10" t="s">
        <v>2205</v>
      </c>
      <c r="J1007" s="193"/>
      <c r="K1007" s="181" t="s">
        <v>2206</v>
      </c>
      <c r="L1007" s="108">
        <v>22762500</v>
      </c>
      <c r="M1007" s="36">
        <v>4443938539</v>
      </c>
      <c r="N1007" s="170" t="s">
        <v>28</v>
      </c>
      <c r="O1007" s="49">
        <v>9760.32</v>
      </c>
      <c r="P1007" s="96">
        <v>370.66</v>
      </c>
      <c r="Q1007" s="12">
        <v>2928.1</v>
      </c>
      <c r="R1007" s="14">
        <v>2557.44</v>
      </c>
      <c r="S1007" s="73">
        <v>46756</v>
      </c>
      <c r="T1007" s="10"/>
      <c r="U1007" s="97"/>
      <c r="V1007" s="1"/>
      <c r="X1007" s="101">
        <v>2</v>
      </c>
    </row>
    <row r="1008" spans="2:24" hidden="1">
      <c r="B1008" s="6" t="s">
        <v>2207</v>
      </c>
      <c r="C1008" s="23">
        <v>46220.537499999999</v>
      </c>
      <c r="D1008" s="6" t="s">
        <v>24</v>
      </c>
      <c r="E1008" s="6"/>
      <c r="F1008" s="28">
        <v>46220</v>
      </c>
      <c r="G1008" s="27" t="s">
        <v>2142</v>
      </c>
      <c r="H1008" s="6" t="s">
        <v>1625</v>
      </c>
      <c r="I1008" s="6" t="s">
        <v>2208</v>
      </c>
      <c r="J1008" s="192">
        <v>13695313034</v>
      </c>
      <c r="K1008" s="180" t="s">
        <v>2209</v>
      </c>
      <c r="L1008" s="115">
        <v>2</v>
      </c>
      <c r="M1008" s="37">
        <v>7223117537</v>
      </c>
      <c r="N1008" s="169" t="s">
        <v>32</v>
      </c>
      <c r="O1008" s="48">
        <v>3881.65</v>
      </c>
      <c r="P1008" s="95"/>
      <c r="Q1008" s="13">
        <v>1164.5</v>
      </c>
      <c r="R1008" s="13">
        <v>0</v>
      </c>
      <c r="S1008" s="72"/>
      <c r="T1008" s="6"/>
      <c r="U1008" s="164"/>
      <c r="V1008" s="1"/>
      <c r="X1008" s="101">
        <v>1</v>
      </c>
    </row>
    <row r="1009" spans="2:24" hidden="1">
      <c r="B1009" s="10" t="s">
        <v>2210</v>
      </c>
      <c r="C1009" s="24">
        <v>46220.543055555558</v>
      </c>
      <c r="D1009" s="10" t="s">
        <v>24</v>
      </c>
      <c r="E1009" s="10"/>
      <c r="F1009" s="28">
        <v>46220</v>
      </c>
      <c r="G1009" s="28" t="s">
        <v>1953</v>
      </c>
      <c r="H1009" s="161" t="s">
        <v>71</v>
      </c>
      <c r="I1009" s="10" t="s">
        <v>2211</v>
      </c>
      <c r="J1009" s="193"/>
      <c r="K1009" s="181" t="s">
        <v>2212</v>
      </c>
      <c r="L1009" s="108">
        <v>22763566</v>
      </c>
      <c r="M1009" s="36">
        <v>5216381075480</v>
      </c>
      <c r="N1009" s="170" t="s">
        <v>28</v>
      </c>
      <c r="O1009" s="49">
        <v>10171.24</v>
      </c>
      <c r="P1009" s="96">
        <v>879</v>
      </c>
      <c r="Q1009" s="12">
        <v>3051.37</v>
      </c>
      <c r="R1009" s="14">
        <v>2172.37</v>
      </c>
      <c r="S1009" s="73"/>
      <c r="T1009" s="10"/>
      <c r="U1009" s="97"/>
      <c r="V1009" s="1"/>
      <c r="X1009" s="101">
        <v>1</v>
      </c>
    </row>
    <row r="1010" spans="2:24" hidden="1">
      <c r="B1010" s="6" t="s">
        <v>2213</v>
      </c>
      <c r="C1010" s="23">
        <v>46220.551388888889</v>
      </c>
      <c r="D1010" s="6" t="s">
        <v>24</v>
      </c>
      <c r="E1010" s="6"/>
      <c r="F1010" s="28">
        <v>46220</v>
      </c>
      <c r="G1010" s="27" t="s">
        <v>2142</v>
      </c>
      <c r="H1010" s="6" t="s">
        <v>1625</v>
      </c>
      <c r="I1010" s="6" t="s">
        <v>2214</v>
      </c>
      <c r="J1010" s="192">
        <v>32956975166</v>
      </c>
      <c r="K1010" s="180" t="s">
        <v>2215</v>
      </c>
      <c r="L1010" s="108">
        <v>2</v>
      </c>
      <c r="M1010" s="37">
        <v>8442129049</v>
      </c>
      <c r="N1010" s="169" t="s">
        <v>37</v>
      </c>
      <c r="O1010" s="48">
        <v>9760.2999999999993</v>
      </c>
      <c r="P1010" s="95">
        <v>2799.05</v>
      </c>
      <c r="Q1010" s="13">
        <v>2928.09</v>
      </c>
      <c r="R1010" s="13">
        <v>129.04</v>
      </c>
      <c r="S1010" s="72">
        <v>46395</v>
      </c>
      <c r="T1010" s="6"/>
      <c r="U1010" s="164"/>
      <c r="V1010" s="1"/>
      <c r="X1010" s="101">
        <v>2</v>
      </c>
    </row>
    <row r="1011" spans="2:24" hidden="1">
      <c r="B1011" s="10" t="s">
        <v>2216</v>
      </c>
      <c r="C1011" s="24">
        <v>46220.559027777781</v>
      </c>
      <c r="D1011" s="10" t="s">
        <v>24</v>
      </c>
      <c r="E1011" s="10"/>
      <c r="F1011" s="28">
        <v>46220</v>
      </c>
      <c r="G1011" s="28" t="s">
        <v>2142</v>
      </c>
      <c r="H1011" s="10" t="s">
        <v>1625</v>
      </c>
      <c r="I1011" s="10" t="s">
        <v>2217</v>
      </c>
      <c r="J1011" s="193">
        <v>18826200901</v>
      </c>
      <c r="K1011" s="181" t="s">
        <v>2218</v>
      </c>
      <c r="L1011" s="108">
        <v>2</v>
      </c>
      <c r="M1011" s="36" t="s">
        <v>2219</v>
      </c>
      <c r="N1011" s="170" t="s">
        <v>37</v>
      </c>
      <c r="O1011" s="49">
        <v>22462.55</v>
      </c>
      <c r="P1011" s="96">
        <v>6720.34</v>
      </c>
      <c r="Q1011" s="12">
        <v>6738.77</v>
      </c>
      <c r="R1011" s="12">
        <v>18.420000000000002</v>
      </c>
      <c r="S1011" s="73">
        <v>46390</v>
      </c>
      <c r="T1011" s="10"/>
      <c r="U1011" s="97"/>
      <c r="V1011" s="1"/>
      <c r="X1011" s="101">
        <v>2</v>
      </c>
    </row>
    <row r="1012" spans="2:24" hidden="1">
      <c r="B1012" s="6" t="s">
        <v>2220</v>
      </c>
      <c r="C1012" s="23">
        <v>46220.579861111109</v>
      </c>
      <c r="D1012" s="6" t="s">
        <v>24</v>
      </c>
      <c r="E1012" s="6"/>
      <c r="F1012" s="28">
        <v>46220</v>
      </c>
      <c r="G1012" s="27" t="s">
        <v>2142</v>
      </c>
      <c r="H1012" s="6" t="s">
        <v>1625</v>
      </c>
      <c r="I1012" s="6" t="s">
        <v>2221</v>
      </c>
      <c r="J1012" s="203">
        <v>43966405748</v>
      </c>
      <c r="K1012" s="183" t="s">
        <v>2222</v>
      </c>
      <c r="L1012" s="108">
        <v>2</v>
      </c>
      <c r="M1012" s="37" t="s">
        <v>2223</v>
      </c>
      <c r="N1012" s="169" t="s">
        <v>37</v>
      </c>
      <c r="O1012" s="48">
        <v>9081.52</v>
      </c>
      <c r="P1012" s="95">
        <v>2627.49</v>
      </c>
      <c r="Q1012" s="13">
        <v>2724.46</v>
      </c>
      <c r="R1012" s="13">
        <v>96.97</v>
      </c>
      <c r="S1012" s="72">
        <v>46754</v>
      </c>
      <c r="T1012" s="6"/>
      <c r="U1012" s="164"/>
      <c r="V1012" s="1"/>
      <c r="X1012" s="101">
        <v>2</v>
      </c>
    </row>
    <row r="1013" spans="2:24" hidden="1">
      <c r="B1013" s="10" t="s">
        <v>2224</v>
      </c>
      <c r="C1013" s="24">
        <v>46220.579861111109</v>
      </c>
      <c r="D1013" s="10" t="s">
        <v>24</v>
      </c>
      <c r="E1013" s="10"/>
      <c r="F1013" s="28">
        <v>46220</v>
      </c>
      <c r="G1013" s="28" t="s">
        <v>2142</v>
      </c>
      <c r="H1013" s="10" t="s">
        <v>1629</v>
      </c>
      <c r="I1013" s="10" t="s">
        <v>2225</v>
      </c>
      <c r="J1013" s="202">
        <v>54816141714</v>
      </c>
      <c r="K1013" s="179" t="s">
        <v>2226</v>
      </c>
      <c r="L1013" s="116">
        <v>2</v>
      </c>
      <c r="M1013" s="36">
        <v>3412154194</v>
      </c>
      <c r="N1013" s="170" t="s">
        <v>263</v>
      </c>
      <c r="O1013" s="49">
        <v>9504.7000000000007</v>
      </c>
      <c r="P1013" s="96">
        <v>2637.84</v>
      </c>
      <c r="Q1013" s="12">
        <v>2851.41</v>
      </c>
      <c r="R1013" s="12">
        <v>213.57</v>
      </c>
      <c r="S1013" s="73">
        <v>46026</v>
      </c>
      <c r="T1013" s="10" t="s">
        <v>178</v>
      </c>
      <c r="U1013" s="97"/>
      <c r="V1013" s="1"/>
      <c r="X1013" s="101">
        <v>2</v>
      </c>
    </row>
    <row r="1014" spans="2:24" hidden="1">
      <c r="B1014" s="6" t="s">
        <v>2227</v>
      </c>
      <c r="C1014" s="23">
        <v>46220.597222222219</v>
      </c>
      <c r="D1014" s="6" t="s">
        <v>24</v>
      </c>
      <c r="E1014" s="6"/>
      <c r="F1014" s="28">
        <v>46220</v>
      </c>
      <c r="G1014" s="27" t="s">
        <v>2142</v>
      </c>
      <c r="H1014" s="6" t="s">
        <v>160</v>
      </c>
      <c r="I1014" s="6" t="s">
        <v>2228</v>
      </c>
      <c r="J1014" s="192">
        <v>32796318933</v>
      </c>
      <c r="K1014" s="180" t="s">
        <v>2229</v>
      </c>
      <c r="L1014" s="108">
        <v>22771020</v>
      </c>
      <c r="M1014" s="37">
        <v>5218712464517</v>
      </c>
      <c r="N1014" s="169" t="s">
        <v>37</v>
      </c>
      <c r="O1014" s="48">
        <v>7920.51</v>
      </c>
      <c r="P1014" s="95">
        <v>2287.88</v>
      </c>
      <c r="Q1014" s="13">
        <v>2376.15</v>
      </c>
      <c r="R1014" s="13">
        <v>88.27</v>
      </c>
      <c r="S1014" s="72">
        <v>46392</v>
      </c>
      <c r="T1014" s="6"/>
      <c r="U1014" s="164"/>
      <c r="V1014" s="1"/>
      <c r="X1014" s="101">
        <v>2</v>
      </c>
    </row>
    <row r="1015" spans="2:24" hidden="1">
      <c r="B1015" s="10" t="s">
        <v>2230</v>
      </c>
      <c r="C1015" s="24">
        <v>46220.597222222219</v>
      </c>
      <c r="D1015" s="10" t="s">
        <v>24</v>
      </c>
      <c r="E1015" s="10"/>
      <c r="F1015" s="28">
        <v>46220</v>
      </c>
      <c r="G1015" s="28" t="s">
        <v>2142</v>
      </c>
      <c r="H1015" s="10" t="s">
        <v>68</v>
      </c>
      <c r="I1015" s="10"/>
      <c r="J1015" s="193">
        <v>16816321497</v>
      </c>
      <c r="K1015" s="181" t="s">
        <v>2231</v>
      </c>
      <c r="L1015" s="108">
        <v>22779634</v>
      </c>
      <c r="M1015" s="36">
        <v>5217222699700</v>
      </c>
      <c r="N1015" s="170" t="s">
        <v>37</v>
      </c>
      <c r="O1015" s="49">
        <v>20976.2</v>
      </c>
      <c r="P1015" s="96">
        <v>6290.14</v>
      </c>
      <c r="Q1015" s="12">
        <v>6292.86</v>
      </c>
      <c r="R1015" s="12">
        <v>2.72</v>
      </c>
      <c r="S1015" s="73">
        <v>46296</v>
      </c>
      <c r="T1015" s="10"/>
      <c r="U1015" s="97"/>
      <c r="V1015" s="1"/>
      <c r="X1015" s="101">
        <v>2</v>
      </c>
    </row>
    <row r="1016" spans="2:24" hidden="1">
      <c r="B1016" s="6" t="s">
        <v>2232</v>
      </c>
      <c r="C1016" s="23">
        <v>46220.597916666666</v>
      </c>
      <c r="D1016" s="6" t="s">
        <v>24</v>
      </c>
      <c r="E1016" s="6"/>
      <c r="F1016" s="28">
        <v>46220</v>
      </c>
      <c r="G1016" s="27" t="s">
        <v>2142</v>
      </c>
      <c r="H1016" s="6" t="s">
        <v>51</v>
      </c>
      <c r="I1016" s="6" t="s">
        <v>2233</v>
      </c>
      <c r="J1016" s="196">
        <v>24846306785</v>
      </c>
      <c r="K1016" s="180" t="s">
        <v>2234</v>
      </c>
      <c r="L1016" s="108">
        <v>22765672</v>
      </c>
      <c r="M1016" s="37">
        <v>5215510493331</v>
      </c>
      <c r="N1016" s="169" t="s">
        <v>37</v>
      </c>
      <c r="O1016" s="48">
        <v>9081.52</v>
      </c>
      <c r="P1016" s="95">
        <v>2498.39</v>
      </c>
      <c r="Q1016" s="13">
        <v>2724.46</v>
      </c>
      <c r="R1016" s="13">
        <v>226.07</v>
      </c>
      <c r="S1016" s="72">
        <v>46327</v>
      </c>
      <c r="T1016" s="6"/>
      <c r="U1016" s="164"/>
      <c r="V1016" s="1"/>
      <c r="X1016" s="101">
        <v>2</v>
      </c>
    </row>
    <row r="1017" spans="2:24" hidden="1">
      <c r="B1017" s="10" t="s">
        <v>2235</v>
      </c>
      <c r="C1017" s="24">
        <v>46220.6</v>
      </c>
      <c r="D1017" s="10" t="s">
        <v>24</v>
      </c>
      <c r="E1017" s="10"/>
      <c r="F1017" s="28">
        <v>46220</v>
      </c>
      <c r="G1017" s="28" t="s">
        <v>2236</v>
      </c>
      <c r="H1017" s="10" t="s">
        <v>1519</v>
      </c>
      <c r="I1017" s="10" t="s">
        <v>2237</v>
      </c>
      <c r="J1017" s="195">
        <v>14836406570</v>
      </c>
      <c r="K1017" s="181" t="s">
        <v>2238</v>
      </c>
      <c r="L1017" s="108">
        <v>22785942</v>
      </c>
      <c r="M1017" s="36">
        <v>5214271032003</v>
      </c>
      <c r="N1017" s="170" t="s">
        <v>28</v>
      </c>
      <c r="O1017" s="49">
        <v>31418.66</v>
      </c>
      <c r="P1017" s="96">
        <v>5180.49</v>
      </c>
      <c r="Q1017" s="12">
        <v>9425.6</v>
      </c>
      <c r="R1017" s="14">
        <v>4245.1099999999997</v>
      </c>
      <c r="S1017" s="71">
        <v>46396</v>
      </c>
      <c r="T1017" s="10"/>
      <c r="U1017" s="97"/>
      <c r="V1017" s="1"/>
      <c r="X1017" s="101">
        <v>2</v>
      </c>
    </row>
    <row r="1018" spans="2:24" hidden="1">
      <c r="B1018" s="6" t="s">
        <v>2239</v>
      </c>
      <c r="C1018" s="23">
        <v>46220.602777777778</v>
      </c>
      <c r="D1018" s="6" t="s">
        <v>24</v>
      </c>
      <c r="E1018" s="6"/>
      <c r="F1018" s="28">
        <v>46220</v>
      </c>
      <c r="G1018" s="27" t="s">
        <v>2142</v>
      </c>
      <c r="H1018" s="6" t="s">
        <v>68</v>
      </c>
      <c r="I1018" s="6"/>
      <c r="J1018" s="196">
        <v>25977625851</v>
      </c>
      <c r="K1018" s="180"/>
      <c r="L1018" s="107">
        <v>22771380</v>
      </c>
      <c r="M1018" s="37">
        <v>5216682336582</v>
      </c>
      <c r="N1018" s="169" t="s">
        <v>74</v>
      </c>
      <c r="O1018" s="48"/>
      <c r="P1018" s="95"/>
      <c r="Q1018" s="13">
        <v>0</v>
      </c>
      <c r="R1018" s="13">
        <v>0</v>
      </c>
      <c r="S1018" s="72"/>
      <c r="T1018" s="6"/>
      <c r="U1018" s="164"/>
      <c r="V1018" s="1"/>
      <c r="X1018" s="101">
        <v>1</v>
      </c>
    </row>
    <row r="1019" spans="2:24" hidden="1">
      <c r="B1019" s="10" t="s">
        <v>2240</v>
      </c>
      <c r="C1019" s="24">
        <v>46220.602777777778</v>
      </c>
      <c r="D1019" s="10" t="s">
        <v>24</v>
      </c>
      <c r="E1019" s="10"/>
      <c r="F1019" s="28">
        <v>46220</v>
      </c>
      <c r="G1019" s="28" t="s">
        <v>2142</v>
      </c>
      <c r="H1019" s="10" t="s">
        <v>1625</v>
      </c>
      <c r="I1019" s="10" t="s">
        <v>2241</v>
      </c>
      <c r="J1019" s="195">
        <v>1765886971</v>
      </c>
      <c r="K1019" s="181" t="s">
        <v>2242</v>
      </c>
      <c r="L1019" s="108">
        <v>2</v>
      </c>
      <c r="M1019" s="36" t="s">
        <v>2243</v>
      </c>
      <c r="N1019" s="170" t="s">
        <v>37</v>
      </c>
      <c r="O1019" s="49">
        <v>13516.85</v>
      </c>
      <c r="P1019" s="96">
        <v>4060.46</v>
      </c>
      <c r="Q1019" s="12">
        <v>4055.06</v>
      </c>
      <c r="R1019" s="12">
        <v>-5.41</v>
      </c>
      <c r="S1019" s="73">
        <v>46390</v>
      </c>
      <c r="T1019" s="10"/>
      <c r="U1019" s="97"/>
      <c r="V1019" s="1"/>
      <c r="X1019" s="101">
        <v>2</v>
      </c>
    </row>
    <row r="1020" spans="2:24" hidden="1">
      <c r="B1020" s="6" t="s">
        <v>2244</v>
      </c>
      <c r="C1020" s="23">
        <v>46220.603472222225</v>
      </c>
      <c r="D1020" s="6" t="s">
        <v>24</v>
      </c>
      <c r="E1020" s="6"/>
      <c r="F1020" s="28">
        <v>46220</v>
      </c>
      <c r="G1020" s="27" t="s">
        <v>2142</v>
      </c>
      <c r="H1020" s="6" t="s">
        <v>1625</v>
      </c>
      <c r="I1020" s="6" t="s">
        <v>2245</v>
      </c>
      <c r="J1020" s="196">
        <v>10796036795</v>
      </c>
      <c r="K1020" s="180" t="s">
        <v>2246</v>
      </c>
      <c r="L1020" s="108">
        <v>2</v>
      </c>
      <c r="M1020" s="37" t="s">
        <v>2247</v>
      </c>
      <c r="N1020" s="169" t="s">
        <v>37</v>
      </c>
      <c r="O1020" s="48">
        <v>21381.42</v>
      </c>
      <c r="P1020" s="95">
        <v>6186.16</v>
      </c>
      <c r="Q1020" s="13">
        <v>6414.43</v>
      </c>
      <c r="R1020" s="13">
        <v>228.27</v>
      </c>
      <c r="S1020" s="72">
        <v>46393</v>
      </c>
      <c r="T1020" s="6" t="s">
        <v>192</v>
      </c>
      <c r="U1020" s="164"/>
      <c r="V1020" s="1"/>
      <c r="X1020" s="101">
        <v>2</v>
      </c>
    </row>
    <row r="1021" spans="2:24" hidden="1">
      <c r="B1021" s="10" t="s">
        <v>2248</v>
      </c>
      <c r="C1021" s="24">
        <v>46220.604861111111</v>
      </c>
      <c r="D1021" s="10" t="s">
        <v>24</v>
      </c>
      <c r="E1021" s="10"/>
      <c r="F1021" s="28">
        <v>46220</v>
      </c>
      <c r="G1021" s="28" t="s">
        <v>2142</v>
      </c>
      <c r="H1021" s="15" t="s">
        <v>107</v>
      </c>
      <c r="I1021" s="10" t="s">
        <v>2249</v>
      </c>
      <c r="J1021" s="195">
        <v>23897210995</v>
      </c>
      <c r="K1021" s="181"/>
      <c r="L1021" s="108">
        <v>22789282</v>
      </c>
      <c r="M1021" s="36">
        <v>6677856455</v>
      </c>
      <c r="N1021" s="170" t="s">
        <v>32</v>
      </c>
      <c r="O1021" s="49">
        <v>4306.5</v>
      </c>
      <c r="P1021" s="96">
        <v>373.64</v>
      </c>
      <c r="Q1021" s="12">
        <v>1291.95</v>
      </c>
      <c r="R1021" s="12">
        <v>-240.12</v>
      </c>
      <c r="S1021" s="73"/>
      <c r="T1021" s="10"/>
      <c r="U1021" s="97"/>
      <c r="V1021" s="1"/>
      <c r="X1021" s="101">
        <v>1</v>
      </c>
    </row>
    <row r="1022" spans="2:24" hidden="1">
      <c r="B1022" s="6" t="s">
        <v>2250</v>
      </c>
      <c r="C1022" s="23">
        <v>46220.607638888891</v>
      </c>
      <c r="D1022" s="6" t="s">
        <v>24</v>
      </c>
      <c r="E1022" s="6"/>
      <c r="F1022" s="28">
        <v>46220</v>
      </c>
      <c r="G1022" s="27" t="s">
        <v>1953</v>
      </c>
      <c r="H1022" s="6" t="s">
        <v>81</v>
      </c>
      <c r="I1022" s="6" t="s">
        <v>2251</v>
      </c>
      <c r="J1022" s="196"/>
      <c r="K1022" s="180" t="s">
        <v>2252</v>
      </c>
      <c r="L1022" s="107">
        <v>22765758</v>
      </c>
      <c r="M1022" s="37">
        <v>5214426575907</v>
      </c>
      <c r="N1022" s="169" t="s">
        <v>235</v>
      </c>
      <c r="O1022" s="48"/>
      <c r="P1022" s="95"/>
      <c r="Q1022" s="13">
        <v>0</v>
      </c>
      <c r="R1022" s="13">
        <v>0</v>
      </c>
      <c r="S1022" s="72"/>
      <c r="T1022" s="6"/>
      <c r="U1022" s="164"/>
      <c r="V1022" s="1"/>
      <c r="X1022" s="101">
        <v>1</v>
      </c>
    </row>
    <row r="1023" spans="2:24" hidden="1">
      <c r="B1023" s="10" t="s">
        <v>2253</v>
      </c>
      <c r="C1023" s="24">
        <v>46220.618750000001</v>
      </c>
      <c r="D1023" s="10" t="s">
        <v>24</v>
      </c>
      <c r="E1023" s="10"/>
      <c r="F1023" s="28">
        <v>46220</v>
      </c>
      <c r="G1023" s="28" t="s">
        <v>2142</v>
      </c>
      <c r="H1023" s="10" t="s">
        <v>1625</v>
      </c>
      <c r="I1023" s="10" t="s">
        <v>2254</v>
      </c>
      <c r="J1023" s="195">
        <v>51765600898</v>
      </c>
      <c r="K1023" s="181" t="s">
        <v>2255</v>
      </c>
      <c r="L1023" s="108">
        <v>2</v>
      </c>
      <c r="M1023" s="36" t="s">
        <v>2256</v>
      </c>
      <c r="N1023" s="170" t="s">
        <v>37</v>
      </c>
      <c r="O1023" s="49">
        <v>8138.53</v>
      </c>
      <c r="P1023" s="96">
        <v>2353.36</v>
      </c>
      <c r="Q1023" s="12">
        <v>2441.56</v>
      </c>
      <c r="R1023" s="12">
        <v>88.2</v>
      </c>
      <c r="S1023" s="73">
        <v>46396</v>
      </c>
      <c r="T1023" s="10"/>
      <c r="U1023" s="97"/>
      <c r="V1023" s="1"/>
      <c r="X1023" s="101">
        <v>2</v>
      </c>
    </row>
    <row r="1024" spans="2:24" hidden="1">
      <c r="B1024" s="6" t="s">
        <v>2257</v>
      </c>
      <c r="C1024" s="23">
        <v>46220.623611111114</v>
      </c>
      <c r="D1024" s="6" t="s">
        <v>24</v>
      </c>
      <c r="E1024" s="6"/>
      <c r="F1024" s="28">
        <v>46220</v>
      </c>
      <c r="G1024" s="27" t="s">
        <v>2142</v>
      </c>
      <c r="H1024" s="6" t="s">
        <v>78</v>
      </c>
      <c r="I1024" s="6" t="s">
        <v>2258</v>
      </c>
      <c r="J1024" s="196">
        <v>32866576997</v>
      </c>
      <c r="K1024" s="180" t="s">
        <v>2259</v>
      </c>
      <c r="L1024" s="107">
        <v>22780542</v>
      </c>
      <c r="M1024" s="37">
        <v>5218424239128</v>
      </c>
      <c r="N1024" s="169" t="s">
        <v>98</v>
      </c>
      <c r="O1024" s="48"/>
      <c r="P1024" s="95"/>
      <c r="Q1024" s="13">
        <v>0</v>
      </c>
      <c r="R1024" s="13">
        <v>0</v>
      </c>
      <c r="S1024" s="72"/>
      <c r="T1024" s="6"/>
      <c r="U1024" s="164"/>
      <c r="V1024" s="1"/>
      <c r="X1024" s="101">
        <v>0</v>
      </c>
    </row>
    <row r="1025" spans="2:24" hidden="1">
      <c r="B1025" s="10" t="s">
        <v>2244</v>
      </c>
      <c r="C1025" s="24">
        <v>46220.625</v>
      </c>
      <c r="D1025" s="10" t="s">
        <v>24</v>
      </c>
      <c r="E1025" s="10"/>
      <c r="F1025" s="28">
        <v>46220</v>
      </c>
      <c r="G1025" s="28" t="s">
        <v>2142</v>
      </c>
      <c r="H1025" s="10" t="s">
        <v>68</v>
      </c>
      <c r="I1025" s="10" t="s">
        <v>2260</v>
      </c>
      <c r="J1025" s="195">
        <v>65735706072</v>
      </c>
      <c r="K1025" s="181" t="s">
        <v>2261</v>
      </c>
      <c r="L1025" s="108">
        <v>22778062</v>
      </c>
      <c r="M1025" s="36">
        <v>5212285014331</v>
      </c>
      <c r="N1025" s="170" t="s">
        <v>32</v>
      </c>
      <c r="O1025" s="49">
        <v>4342.43</v>
      </c>
      <c r="P1025" s="96"/>
      <c r="Q1025" s="12">
        <v>1302.73</v>
      </c>
      <c r="R1025" s="12">
        <v>169.45</v>
      </c>
      <c r="S1025" s="73"/>
      <c r="T1025" s="10"/>
      <c r="U1025" s="97"/>
      <c r="V1025" s="1"/>
      <c r="X1025" s="101">
        <v>1</v>
      </c>
    </row>
    <row r="1026" spans="2:24" hidden="1">
      <c r="B1026" s="6" t="s">
        <v>2262</v>
      </c>
      <c r="C1026" s="23">
        <v>46220.625694444447</v>
      </c>
      <c r="D1026" s="6" t="s">
        <v>24</v>
      </c>
      <c r="E1026" s="6"/>
      <c r="F1026" s="28">
        <v>46220</v>
      </c>
      <c r="G1026" s="27" t="s">
        <v>2142</v>
      </c>
      <c r="H1026" s="6" t="s">
        <v>1629</v>
      </c>
      <c r="I1026" s="6" t="s">
        <v>2263</v>
      </c>
      <c r="J1026" s="197">
        <v>49734803346</v>
      </c>
      <c r="K1026" s="183" t="s">
        <v>2264</v>
      </c>
      <c r="L1026" s="115">
        <v>2</v>
      </c>
      <c r="M1026" s="37">
        <v>8683934282</v>
      </c>
      <c r="N1026" s="169" t="s">
        <v>98</v>
      </c>
      <c r="O1026" s="48"/>
      <c r="P1026" s="95"/>
      <c r="Q1026" s="13">
        <v>0</v>
      </c>
      <c r="R1026" s="13">
        <v>0</v>
      </c>
      <c r="S1026" s="72"/>
      <c r="T1026" s="6"/>
      <c r="U1026" s="164"/>
      <c r="V1026" s="1"/>
      <c r="X1026" s="101">
        <v>0</v>
      </c>
    </row>
    <row r="1027" spans="2:24" hidden="1">
      <c r="B1027" s="10" t="s">
        <v>2265</v>
      </c>
      <c r="C1027" s="24">
        <v>46220.630555555559</v>
      </c>
      <c r="D1027" s="10" t="s">
        <v>24</v>
      </c>
      <c r="E1027" s="10"/>
      <c r="F1027" s="28">
        <v>46220</v>
      </c>
      <c r="G1027" s="28" t="s">
        <v>2142</v>
      </c>
      <c r="H1027" s="10" t="s">
        <v>39</v>
      </c>
      <c r="I1027" s="10" t="s">
        <v>2266</v>
      </c>
      <c r="J1027" s="195">
        <v>84897314005</v>
      </c>
      <c r="K1027" s="181" t="s">
        <v>2267</v>
      </c>
      <c r="L1027" s="108">
        <v>22783784</v>
      </c>
      <c r="M1027" s="36">
        <v>5219991212434</v>
      </c>
      <c r="N1027" s="170" t="s">
        <v>37</v>
      </c>
      <c r="O1027" s="49">
        <v>8173.37</v>
      </c>
      <c r="P1027" s="96">
        <v>2627.5</v>
      </c>
      <c r="Q1027" s="12">
        <v>2452.0100000000002</v>
      </c>
      <c r="R1027" s="12">
        <v>-175.49</v>
      </c>
      <c r="S1027" s="73">
        <v>46266</v>
      </c>
      <c r="T1027" s="10"/>
      <c r="U1027" s="97"/>
      <c r="V1027" s="1"/>
      <c r="X1027" s="101">
        <v>2</v>
      </c>
    </row>
    <row r="1028" spans="2:24" hidden="1">
      <c r="B1028" s="6" t="s">
        <v>2268</v>
      </c>
      <c r="C1028" s="23">
        <v>46220.631944444445</v>
      </c>
      <c r="D1028" s="6" t="s">
        <v>24</v>
      </c>
      <c r="E1028" s="6"/>
      <c r="F1028" s="28">
        <v>46220</v>
      </c>
      <c r="G1028" s="27" t="s">
        <v>2142</v>
      </c>
      <c r="H1028" s="10" t="s">
        <v>68</v>
      </c>
      <c r="I1028" s="6" t="s">
        <v>2269</v>
      </c>
      <c r="J1028" s="196"/>
      <c r="K1028" s="180" t="s">
        <v>2270</v>
      </c>
      <c r="L1028" s="107">
        <v>22728244</v>
      </c>
      <c r="M1028" s="37">
        <v>5216861658944</v>
      </c>
      <c r="N1028" s="169" t="s">
        <v>28</v>
      </c>
      <c r="O1028" s="48">
        <v>9760.32</v>
      </c>
      <c r="P1028" s="95"/>
      <c r="Q1028" s="13">
        <v>2928.1</v>
      </c>
      <c r="R1028" s="9">
        <v>2928.1</v>
      </c>
      <c r="S1028" s="72"/>
      <c r="T1028" s="6"/>
      <c r="U1028" s="164"/>
      <c r="V1028" s="1"/>
      <c r="X1028" s="101">
        <v>1</v>
      </c>
    </row>
    <row r="1029" spans="2:24" hidden="1">
      <c r="B1029" s="10" t="s">
        <v>2271</v>
      </c>
      <c r="C1029" s="24">
        <v>46220.632638888892</v>
      </c>
      <c r="D1029" s="10" t="s">
        <v>24</v>
      </c>
      <c r="E1029" s="10"/>
      <c r="F1029" s="28">
        <v>46220</v>
      </c>
      <c r="G1029" s="28" t="s">
        <v>2142</v>
      </c>
      <c r="H1029" s="15" t="s">
        <v>476</v>
      </c>
      <c r="I1029" s="10" t="s">
        <v>2272</v>
      </c>
      <c r="J1029" s="195">
        <v>43776108565</v>
      </c>
      <c r="K1029" s="181"/>
      <c r="L1029" s="108">
        <v>22789258</v>
      </c>
      <c r="M1029" s="36">
        <v>5218131593801</v>
      </c>
      <c r="N1029" s="170" t="s">
        <v>37</v>
      </c>
      <c r="O1029" s="49">
        <v>20397.52</v>
      </c>
      <c r="P1029" s="96">
        <v>6118.99</v>
      </c>
      <c r="Q1029" s="12">
        <v>6119.26</v>
      </c>
      <c r="R1029" s="12">
        <v>0.27</v>
      </c>
      <c r="S1029" s="73">
        <v>46754</v>
      </c>
      <c r="T1029" s="10"/>
      <c r="U1029" s="97"/>
      <c r="V1029" s="1"/>
      <c r="X1029" s="101">
        <v>2</v>
      </c>
    </row>
    <row r="1030" spans="2:24" hidden="1">
      <c r="B1030" s="6" t="s">
        <v>2273</v>
      </c>
      <c r="C1030" s="23">
        <v>46220.632638888892</v>
      </c>
      <c r="D1030" s="6" t="s">
        <v>24</v>
      </c>
      <c r="E1030" s="6"/>
      <c r="F1030" s="28">
        <v>46220</v>
      </c>
      <c r="G1030" s="27" t="s">
        <v>2142</v>
      </c>
      <c r="H1030" s="6" t="s">
        <v>54</v>
      </c>
      <c r="I1030" s="6" t="s">
        <v>2274</v>
      </c>
      <c r="J1030" s="196">
        <v>49786039161</v>
      </c>
      <c r="K1030" s="180" t="s">
        <v>2275</v>
      </c>
      <c r="L1030" s="107">
        <v>22782814</v>
      </c>
      <c r="M1030" s="37">
        <v>5218332049036</v>
      </c>
      <c r="N1030" s="169" t="s">
        <v>32</v>
      </c>
      <c r="O1030" s="48">
        <v>2219.63</v>
      </c>
      <c r="P1030" s="95"/>
      <c r="Q1030" s="13">
        <v>665.89</v>
      </c>
      <c r="R1030" s="13">
        <v>0</v>
      </c>
      <c r="S1030" s="72"/>
      <c r="T1030" s="6"/>
      <c r="U1030" s="164"/>
      <c r="V1030" s="1"/>
      <c r="X1030" s="101">
        <v>1</v>
      </c>
    </row>
    <row r="1031" spans="2:24" hidden="1">
      <c r="B1031" s="10" t="s">
        <v>2276</v>
      </c>
      <c r="C1031" s="24">
        <v>46220.634027777778</v>
      </c>
      <c r="D1031" s="10" t="s">
        <v>24</v>
      </c>
      <c r="E1031" s="10"/>
      <c r="F1031" s="28">
        <v>46220</v>
      </c>
      <c r="G1031" s="28" t="s">
        <v>2142</v>
      </c>
      <c r="H1031" s="10" t="s">
        <v>39</v>
      </c>
      <c r="I1031" s="10" t="s">
        <v>2277</v>
      </c>
      <c r="J1031" s="195">
        <v>67955723043</v>
      </c>
      <c r="K1031" s="181" t="s">
        <v>2278</v>
      </c>
      <c r="L1031" s="108">
        <v>22764500</v>
      </c>
      <c r="M1031" s="36">
        <v>5212711952171</v>
      </c>
      <c r="N1031" s="170" t="s">
        <v>32</v>
      </c>
      <c r="O1031" s="49">
        <v>4342.43</v>
      </c>
      <c r="P1031" s="96"/>
      <c r="Q1031" s="12">
        <v>1302.73</v>
      </c>
      <c r="R1031" s="12">
        <v>169.45</v>
      </c>
      <c r="S1031" s="73"/>
      <c r="T1031" s="10"/>
      <c r="U1031" s="97"/>
      <c r="V1031" s="1"/>
      <c r="X1031" s="101">
        <v>1</v>
      </c>
    </row>
    <row r="1032" spans="2:24" hidden="1">
      <c r="B1032" s="6" t="s">
        <v>2279</v>
      </c>
      <c r="C1032" s="23">
        <v>46220.635416666664</v>
      </c>
      <c r="D1032" s="6" t="s">
        <v>24</v>
      </c>
      <c r="E1032" s="6"/>
      <c r="F1032" s="28">
        <v>46220</v>
      </c>
      <c r="G1032" s="27" t="s">
        <v>2142</v>
      </c>
      <c r="H1032" s="6" t="s">
        <v>127</v>
      </c>
      <c r="I1032" s="6" t="s">
        <v>2280</v>
      </c>
      <c r="J1032" s="197">
        <v>13967926919</v>
      </c>
      <c r="K1032" s="183" t="s">
        <v>2281</v>
      </c>
      <c r="L1032" s="107">
        <v>22781484</v>
      </c>
      <c r="M1032" s="37">
        <v>5212214651761</v>
      </c>
      <c r="N1032" s="169" t="s">
        <v>74</v>
      </c>
      <c r="O1032" s="48"/>
      <c r="P1032" s="95"/>
      <c r="Q1032" s="13">
        <v>0</v>
      </c>
      <c r="R1032" s="13">
        <v>0</v>
      </c>
      <c r="S1032" s="72"/>
      <c r="T1032" s="6"/>
      <c r="U1032" s="164"/>
      <c r="V1032" s="1"/>
      <c r="X1032" s="101">
        <v>1</v>
      </c>
    </row>
    <row r="1033" spans="2:24" hidden="1">
      <c r="B1033" s="10" t="s">
        <v>2282</v>
      </c>
      <c r="C1033" s="24">
        <v>46220.637499999997</v>
      </c>
      <c r="D1033" s="10" t="s">
        <v>24</v>
      </c>
      <c r="E1033" s="10"/>
      <c r="F1033" s="28">
        <v>46220</v>
      </c>
      <c r="G1033" s="28" t="s">
        <v>2142</v>
      </c>
      <c r="H1033" s="15" t="s">
        <v>110</v>
      </c>
      <c r="I1033" s="10" t="s">
        <v>2283</v>
      </c>
      <c r="J1033" s="195">
        <v>32937777913</v>
      </c>
      <c r="K1033" s="181"/>
      <c r="L1033" s="108">
        <v>22790330</v>
      </c>
      <c r="M1033" s="36">
        <v>5218443614384</v>
      </c>
      <c r="N1033" s="170" t="s">
        <v>32</v>
      </c>
      <c r="O1033" s="49">
        <v>3537</v>
      </c>
      <c r="P1033" s="96">
        <v>848</v>
      </c>
      <c r="Q1033" s="12">
        <v>1061.0999999999999</v>
      </c>
      <c r="R1033" s="12">
        <v>-848</v>
      </c>
      <c r="S1033" s="73"/>
      <c r="T1033" s="10"/>
      <c r="U1033" s="97"/>
      <c r="V1033" s="1"/>
      <c r="X1033" s="101">
        <v>1</v>
      </c>
    </row>
    <row r="1034" spans="2:24" hidden="1">
      <c r="B1034" s="6" t="s">
        <v>2284</v>
      </c>
      <c r="C1034" s="23">
        <v>46220.640277777777</v>
      </c>
      <c r="D1034" s="6" t="s">
        <v>24</v>
      </c>
      <c r="E1034" s="6"/>
      <c r="F1034" s="28">
        <v>46220</v>
      </c>
      <c r="G1034" s="27" t="s">
        <v>2142</v>
      </c>
      <c r="H1034" s="6" t="s">
        <v>61</v>
      </c>
      <c r="I1034" s="6" t="s">
        <v>2285</v>
      </c>
      <c r="J1034" s="196"/>
      <c r="K1034" s="180" t="s">
        <v>2286</v>
      </c>
      <c r="L1034" s="108">
        <v>22796628</v>
      </c>
      <c r="M1034" s="37">
        <v>5216272792182</v>
      </c>
      <c r="N1034" s="169" t="s">
        <v>37</v>
      </c>
      <c r="O1034" s="48">
        <v>37862.519999999997</v>
      </c>
      <c r="P1034" s="95">
        <v>11358.76</v>
      </c>
      <c r="Q1034" s="13">
        <v>11358.76</v>
      </c>
      <c r="R1034" s="13">
        <v>0</v>
      </c>
      <c r="S1034" s="72">
        <v>46266</v>
      </c>
      <c r="T1034" s="6"/>
      <c r="U1034" s="164"/>
      <c r="V1034" s="1"/>
      <c r="X1034" s="101">
        <v>2</v>
      </c>
    </row>
    <row r="1035" spans="2:24" hidden="1">
      <c r="B1035" s="10" t="s">
        <v>2287</v>
      </c>
      <c r="C1035" s="24">
        <v>46220.648611111108</v>
      </c>
      <c r="D1035" s="10" t="s">
        <v>24</v>
      </c>
      <c r="E1035" s="10"/>
      <c r="F1035" s="28">
        <v>46220</v>
      </c>
      <c r="G1035" s="28" t="s">
        <v>2142</v>
      </c>
      <c r="H1035" s="10" t="s">
        <v>51</v>
      </c>
      <c r="I1035" s="10" t="s">
        <v>2288</v>
      </c>
      <c r="J1035" s="195">
        <v>67725400047</v>
      </c>
      <c r="K1035" s="181" t="s">
        <v>2289</v>
      </c>
      <c r="L1035" s="108">
        <v>22768520</v>
      </c>
      <c r="M1035" s="36">
        <v>5212721381129</v>
      </c>
      <c r="N1035" s="170" t="s">
        <v>37</v>
      </c>
      <c r="O1035" s="49">
        <v>9760.32</v>
      </c>
      <c r="P1035" s="96">
        <v>2823.87</v>
      </c>
      <c r="Q1035" s="12">
        <v>2928.1</v>
      </c>
      <c r="R1035" s="12">
        <v>104.23</v>
      </c>
      <c r="S1035" s="73">
        <v>46397</v>
      </c>
      <c r="T1035" s="10"/>
      <c r="U1035" s="97"/>
      <c r="V1035" s="1"/>
      <c r="X1035" s="101">
        <v>2</v>
      </c>
    </row>
    <row r="1036" spans="2:24" hidden="1">
      <c r="B1036" s="6" t="s">
        <v>2290</v>
      </c>
      <c r="C1036" s="23">
        <v>46220.651388888888</v>
      </c>
      <c r="D1036" s="6" t="s">
        <v>24</v>
      </c>
      <c r="E1036" s="6"/>
      <c r="F1036" s="28">
        <v>46220</v>
      </c>
      <c r="G1036" s="27" t="s">
        <v>2142</v>
      </c>
      <c r="H1036" s="7" t="s">
        <v>476</v>
      </c>
      <c r="I1036" s="6" t="s">
        <v>2291</v>
      </c>
      <c r="J1036" s="197">
        <v>49806120389</v>
      </c>
      <c r="K1036" s="180"/>
      <c r="L1036" s="108">
        <v>22789796</v>
      </c>
      <c r="M1036" s="37">
        <v>5212203638516</v>
      </c>
      <c r="N1036" s="169" t="s">
        <v>37</v>
      </c>
      <c r="O1036" s="48">
        <v>6262.86</v>
      </c>
      <c r="P1036" s="95">
        <v>1809.96</v>
      </c>
      <c r="Q1036" s="13">
        <v>1878.86</v>
      </c>
      <c r="R1036" s="13">
        <v>68.900000000000006</v>
      </c>
      <c r="S1036" s="72">
        <v>46391</v>
      </c>
      <c r="T1036" s="6"/>
      <c r="U1036" s="164"/>
      <c r="V1036" s="1"/>
      <c r="X1036" s="101">
        <v>2</v>
      </c>
    </row>
    <row r="1037" spans="2:24" hidden="1">
      <c r="B1037" s="10" t="s">
        <v>2292</v>
      </c>
      <c r="C1037" s="24">
        <v>46220.656944444447</v>
      </c>
      <c r="D1037" s="10" t="s">
        <v>24</v>
      </c>
      <c r="E1037" s="10"/>
      <c r="F1037" s="28">
        <v>46220</v>
      </c>
      <c r="G1037" s="28" t="s">
        <v>2142</v>
      </c>
      <c r="H1037" s="10" t="s">
        <v>54</v>
      </c>
      <c r="I1037" s="10" t="s">
        <v>2293</v>
      </c>
      <c r="J1037" s="195"/>
      <c r="K1037" s="181" t="s">
        <v>2294</v>
      </c>
      <c r="L1037" s="108">
        <v>22782874</v>
      </c>
      <c r="M1037" s="36">
        <v>5216421233409</v>
      </c>
      <c r="N1037" s="170" t="s">
        <v>37</v>
      </c>
      <c r="O1037" s="49">
        <v>7733.26</v>
      </c>
      <c r="P1037" s="96">
        <v>2237.37</v>
      </c>
      <c r="Q1037" s="12">
        <v>2319.98</v>
      </c>
      <c r="R1037" s="12">
        <v>82.61</v>
      </c>
      <c r="S1037" s="73">
        <v>46398</v>
      </c>
      <c r="T1037" s="10"/>
      <c r="U1037" s="97"/>
      <c r="V1037" s="1"/>
      <c r="X1037" s="101">
        <v>2</v>
      </c>
    </row>
    <row r="1038" spans="2:24" hidden="1">
      <c r="B1038" s="6" t="s">
        <v>2295</v>
      </c>
      <c r="C1038" s="23">
        <v>46220.666666666664</v>
      </c>
      <c r="D1038" s="6" t="s">
        <v>24</v>
      </c>
      <c r="E1038" s="6"/>
      <c r="F1038" s="28">
        <v>46220</v>
      </c>
      <c r="G1038" s="27" t="s">
        <v>2142</v>
      </c>
      <c r="H1038" s="6" t="s">
        <v>1519</v>
      </c>
      <c r="I1038" s="6" t="s">
        <v>2296</v>
      </c>
      <c r="J1038" s="196">
        <v>42866860887</v>
      </c>
      <c r="K1038" s="180" t="s">
        <v>2297</v>
      </c>
      <c r="L1038" s="112">
        <v>22784258</v>
      </c>
      <c r="M1038" s="37">
        <v>5215637397594</v>
      </c>
      <c r="N1038" s="169" t="s">
        <v>37</v>
      </c>
      <c r="O1038" s="48">
        <v>5642.22</v>
      </c>
      <c r="P1038" s="95">
        <v>1469.23</v>
      </c>
      <c r="Q1038" s="13">
        <v>1692.67</v>
      </c>
      <c r="R1038" s="13">
        <v>0.01</v>
      </c>
      <c r="S1038" s="72">
        <v>46235</v>
      </c>
      <c r="T1038" s="6"/>
      <c r="U1038" s="164"/>
      <c r="V1038" s="1"/>
      <c r="X1038" s="101">
        <v>2</v>
      </c>
    </row>
    <row r="1039" spans="2:24" hidden="1">
      <c r="B1039" s="10" t="s">
        <v>2298</v>
      </c>
      <c r="C1039" s="24">
        <v>46220.669444444444</v>
      </c>
      <c r="D1039" s="10" t="s">
        <v>24</v>
      </c>
      <c r="E1039" s="10"/>
      <c r="F1039" s="28">
        <v>46220</v>
      </c>
      <c r="G1039" s="28" t="s">
        <v>2142</v>
      </c>
      <c r="H1039" s="20" t="s">
        <v>71</v>
      </c>
      <c r="I1039" s="10" t="s">
        <v>2299</v>
      </c>
      <c r="J1039" s="195">
        <v>67826476987</v>
      </c>
      <c r="K1039" s="181"/>
      <c r="L1039" s="108">
        <v>22788048</v>
      </c>
      <c r="M1039" s="36">
        <v>5219211199286</v>
      </c>
      <c r="N1039" s="170" t="s">
        <v>37</v>
      </c>
      <c r="O1039" s="49">
        <v>9081.52</v>
      </c>
      <c r="P1039" s="96">
        <v>2724.31</v>
      </c>
      <c r="Q1039" s="12">
        <v>2724.46</v>
      </c>
      <c r="R1039" s="12">
        <v>0.15</v>
      </c>
      <c r="S1039" s="73">
        <v>46388</v>
      </c>
      <c r="T1039" s="10"/>
      <c r="U1039" s="97"/>
      <c r="V1039" s="1"/>
      <c r="X1039" s="101">
        <v>2</v>
      </c>
    </row>
    <row r="1040" spans="2:24" hidden="1">
      <c r="B1040" s="6" t="s">
        <v>2300</v>
      </c>
      <c r="C1040" s="23">
        <v>46220.675000000003</v>
      </c>
      <c r="D1040" s="6" t="s">
        <v>24</v>
      </c>
      <c r="E1040" s="6"/>
      <c r="F1040" s="28">
        <v>46220</v>
      </c>
      <c r="G1040" s="27" t="s">
        <v>2142</v>
      </c>
      <c r="H1040" s="6" t="s">
        <v>54</v>
      </c>
      <c r="I1040" s="6" t="s">
        <v>2301</v>
      </c>
      <c r="J1040" s="196">
        <v>62985509803</v>
      </c>
      <c r="K1040" s="180" t="s">
        <v>2302</v>
      </c>
      <c r="L1040" s="108">
        <v>22782952</v>
      </c>
      <c r="M1040" s="37">
        <v>5212224900205</v>
      </c>
      <c r="N1040" s="169" t="s">
        <v>37</v>
      </c>
      <c r="O1040" s="48">
        <v>9760.32</v>
      </c>
      <c r="P1040" s="95">
        <v>2928.06</v>
      </c>
      <c r="Q1040" s="13">
        <v>2928.1</v>
      </c>
      <c r="R1040" s="13">
        <v>0.04</v>
      </c>
      <c r="S1040" s="72">
        <v>46397</v>
      </c>
      <c r="T1040" s="6"/>
      <c r="U1040" s="164"/>
      <c r="V1040" s="1"/>
      <c r="X1040" s="101">
        <v>2</v>
      </c>
    </row>
    <row r="1041" spans="2:24" hidden="1">
      <c r="B1041" s="10" t="s">
        <v>2303</v>
      </c>
      <c r="C1041" s="24">
        <v>46220.675000000003</v>
      </c>
      <c r="D1041" s="10" t="s">
        <v>24</v>
      </c>
      <c r="E1041" s="10"/>
      <c r="F1041" s="28">
        <v>46220</v>
      </c>
      <c r="G1041" s="28" t="s">
        <v>2142</v>
      </c>
      <c r="H1041" s="15" t="s">
        <v>476</v>
      </c>
      <c r="I1041" s="10" t="s">
        <v>2304</v>
      </c>
      <c r="J1041" s="195"/>
      <c r="K1041" s="181" t="s">
        <v>2305</v>
      </c>
      <c r="L1041" s="108">
        <v>22797984</v>
      </c>
      <c r="M1041" s="36">
        <v>5215574922986</v>
      </c>
      <c r="N1041" s="170" t="s">
        <v>32</v>
      </c>
      <c r="O1041" s="49">
        <v>2671.62</v>
      </c>
      <c r="P1041" s="96"/>
      <c r="Q1041" s="12">
        <v>801.49</v>
      </c>
      <c r="R1041" s="12">
        <v>0</v>
      </c>
      <c r="S1041" s="73"/>
      <c r="T1041" s="10"/>
      <c r="U1041" s="97"/>
      <c r="V1041" s="1"/>
      <c r="X1041" s="101">
        <v>1</v>
      </c>
    </row>
    <row r="1042" spans="2:24" hidden="1">
      <c r="B1042" s="6" t="s">
        <v>2306</v>
      </c>
      <c r="C1042" s="23">
        <v>46220.683333333334</v>
      </c>
      <c r="D1042" s="6" t="s">
        <v>24</v>
      </c>
      <c r="E1042" s="6"/>
      <c r="F1042" s="28">
        <v>46220</v>
      </c>
      <c r="G1042" s="27" t="s">
        <v>2142</v>
      </c>
      <c r="H1042" s="6" t="s">
        <v>51</v>
      </c>
      <c r="I1042" s="6" t="s">
        <v>2307</v>
      </c>
      <c r="J1042" s="196">
        <v>78715601064</v>
      </c>
      <c r="K1042" s="180" t="s">
        <v>2308</v>
      </c>
      <c r="L1042" s="108">
        <v>22787282</v>
      </c>
      <c r="M1042" s="37">
        <v>5219511613857</v>
      </c>
      <c r="N1042" s="169" t="s">
        <v>37</v>
      </c>
      <c r="O1042" s="48">
        <v>30750.86</v>
      </c>
      <c r="P1042" s="95">
        <v>9225.2099999999991</v>
      </c>
      <c r="Q1042" s="13">
        <v>9225.26</v>
      </c>
      <c r="R1042" s="13">
        <v>0.05</v>
      </c>
      <c r="S1042" s="72">
        <v>46390</v>
      </c>
      <c r="T1042" s="6" t="s">
        <v>259</v>
      </c>
      <c r="U1042" s="164"/>
      <c r="V1042" s="1"/>
      <c r="X1042" s="101">
        <v>2</v>
      </c>
    </row>
    <row r="1043" spans="2:24" hidden="1">
      <c r="B1043" s="10" t="s">
        <v>2309</v>
      </c>
      <c r="C1043" s="24">
        <v>46220.685416666667</v>
      </c>
      <c r="D1043" s="10" t="s">
        <v>24</v>
      </c>
      <c r="E1043" s="10"/>
      <c r="F1043" s="28">
        <v>46220</v>
      </c>
      <c r="G1043" s="28" t="s">
        <v>2142</v>
      </c>
      <c r="H1043" s="15" t="s">
        <v>110</v>
      </c>
      <c r="I1043" s="10" t="s">
        <v>2310</v>
      </c>
      <c r="J1043" s="195"/>
      <c r="K1043" s="181" t="s">
        <v>2311</v>
      </c>
      <c r="L1043" s="108">
        <v>22798438</v>
      </c>
      <c r="M1043" s="36">
        <v>5216428532191</v>
      </c>
      <c r="N1043" s="170" t="s">
        <v>37</v>
      </c>
      <c r="O1043" s="49">
        <v>6353.54</v>
      </c>
      <c r="P1043" s="96">
        <v>1837.17</v>
      </c>
      <c r="Q1043" s="12">
        <v>1906.06</v>
      </c>
      <c r="R1043" s="12">
        <v>68.89</v>
      </c>
      <c r="S1043" s="73">
        <v>46398</v>
      </c>
      <c r="T1043" s="10"/>
      <c r="U1043" s="97"/>
      <c r="V1043" s="1"/>
      <c r="X1043" s="101">
        <v>2</v>
      </c>
    </row>
    <row r="1044" spans="2:24" hidden="1">
      <c r="B1044" s="6" t="s">
        <v>2312</v>
      </c>
      <c r="C1044" s="23">
        <v>46220.699305555558</v>
      </c>
      <c r="D1044" s="6" t="s">
        <v>24</v>
      </c>
      <c r="E1044" s="6"/>
      <c r="F1044" s="28">
        <v>46220</v>
      </c>
      <c r="G1044" s="27" t="s">
        <v>2142</v>
      </c>
      <c r="H1044" s="10" t="s">
        <v>93</v>
      </c>
      <c r="I1044" s="6" t="s">
        <v>2313</v>
      </c>
      <c r="J1044" s="196"/>
      <c r="K1044" s="183" t="s">
        <v>2314</v>
      </c>
      <c r="L1044" s="107">
        <v>22789292</v>
      </c>
      <c r="M1044" s="37">
        <v>2222030925</v>
      </c>
      <c r="N1044" s="169" t="s">
        <v>47</v>
      </c>
      <c r="O1044" s="48">
        <v>65289.73</v>
      </c>
      <c r="P1044" s="95">
        <v>18864.12</v>
      </c>
      <c r="Q1044" s="13">
        <v>19586.919999999998</v>
      </c>
      <c r="R1044" s="22">
        <v>722.8</v>
      </c>
      <c r="S1044" s="72">
        <v>46392</v>
      </c>
      <c r="T1044" s="6"/>
      <c r="U1044" s="164"/>
      <c r="V1044" s="1"/>
      <c r="X1044" s="101">
        <v>2</v>
      </c>
    </row>
    <row r="1045" spans="2:24" hidden="1">
      <c r="B1045" s="10" t="s">
        <v>2315</v>
      </c>
      <c r="C1045" s="24">
        <v>46220.700694444444</v>
      </c>
      <c r="D1045" s="10" t="s">
        <v>24</v>
      </c>
      <c r="E1045" s="10"/>
      <c r="F1045" s="28">
        <v>46220</v>
      </c>
      <c r="G1045" s="28" t="s">
        <v>2142</v>
      </c>
      <c r="H1045" s="10" t="s">
        <v>81</v>
      </c>
      <c r="I1045" s="10" t="s">
        <v>2316</v>
      </c>
      <c r="J1045" s="195"/>
      <c r="K1045" s="181" t="s">
        <v>2317</v>
      </c>
      <c r="L1045" s="108">
        <v>22785624</v>
      </c>
      <c r="M1045" s="36">
        <v>5216861983175</v>
      </c>
      <c r="N1045" s="170" t="s">
        <v>37</v>
      </c>
      <c r="O1045" s="49">
        <v>8793.09</v>
      </c>
      <c r="P1045" s="96">
        <v>2524.75</v>
      </c>
      <c r="Q1045" s="12">
        <v>2637.93</v>
      </c>
      <c r="R1045" s="12">
        <v>113.18</v>
      </c>
      <c r="S1045" s="73">
        <v>46394</v>
      </c>
      <c r="T1045" s="10"/>
      <c r="U1045" s="97"/>
      <c r="V1045" s="1"/>
      <c r="X1045" s="101">
        <v>2</v>
      </c>
    </row>
    <row r="1046" spans="2:24" hidden="1">
      <c r="B1046" s="6" t="s">
        <v>2318</v>
      </c>
      <c r="C1046" s="23">
        <v>46220.704861111109</v>
      </c>
      <c r="D1046" s="6" t="s">
        <v>24</v>
      </c>
      <c r="E1046" s="6"/>
      <c r="F1046" s="28">
        <v>46220</v>
      </c>
      <c r="G1046" s="27" t="s">
        <v>2142</v>
      </c>
      <c r="H1046" s="10" t="s">
        <v>78</v>
      </c>
      <c r="I1046" s="6" t="s">
        <v>2319</v>
      </c>
      <c r="J1046" s="196">
        <v>41836700314</v>
      </c>
      <c r="K1046" s="180" t="s">
        <v>2320</v>
      </c>
      <c r="L1046" s="107">
        <v>22781738</v>
      </c>
      <c r="M1046" s="37">
        <v>5214441403644</v>
      </c>
      <c r="N1046" s="169" t="s">
        <v>28</v>
      </c>
      <c r="O1046" s="48">
        <v>8181.55</v>
      </c>
      <c r="P1046" s="95"/>
      <c r="Q1046" s="13">
        <v>2454.4699999999998</v>
      </c>
      <c r="R1046" s="9">
        <v>2454.4699999999998</v>
      </c>
      <c r="S1046" s="72"/>
      <c r="T1046" s="6"/>
      <c r="U1046" s="164"/>
      <c r="V1046" s="1"/>
      <c r="X1046" s="101">
        <v>1</v>
      </c>
    </row>
    <row r="1047" spans="2:24" hidden="1">
      <c r="B1047" s="10" t="s">
        <v>2321</v>
      </c>
      <c r="C1047" s="24">
        <v>46220.714583333334</v>
      </c>
      <c r="D1047" s="10" t="s">
        <v>24</v>
      </c>
      <c r="E1047" s="10"/>
      <c r="F1047" s="28">
        <v>46220</v>
      </c>
      <c r="G1047" s="28" t="s">
        <v>2142</v>
      </c>
      <c r="H1047" s="10" t="s">
        <v>61</v>
      </c>
      <c r="I1047" s="10" t="s">
        <v>2322</v>
      </c>
      <c r="J1047" s="195"/>
      <c r="K1047" s="181" t="s">
        <v>2323</v>
      </c>
      <c r="L1047" s="108">
        <v>22798994</v>
      </c>
      <c r="M1047" s="36">
        <v>5215531585652</v>
      </c>
      <c r="N1047" s="170" t="s">
        <v>37</v>
      </c>
      <c r="O1047" s="49">
        <v>14879.41</v>
      </c>
      <c r="P1047" s="96">
        <v>4303.1899999999996</v>
      </c>
      <c r="Q1047" s="12">
        <v>4463.82</v>
      </c>
      <c r="R1047" s="12">
        <v>160.63</v>
      </c>
      <c r="S1047" s="73">
        <v>46398</v>
      </c>
      <c r="T1047" s="10"/>
      <c r="U1047" s="97"/>
      <c r="V1047" s="1"/>
      <c r="X1047" s="101">
        <v>2</v>
      </c>
    </row>
    <row r="1048" spans="2:24" hidden="1">
      <c r="B1048" s="6" t="s">
        <v>2324</v>
      </c>
      <c r="C1048" s="23">
        <v>46220.720138888886</v>
      </c>
      <c r="D1048" s="6" t="s">
        <v>24</v>
      </c>
      <c r="E1048" s="6"/>
      <c r="F1048" s="28">
        <v>46220</v>
      </c>
      <c r="G1048" s="27" t="s">
        <v>1953</v>
      </c>
      <c r="H1048" s="6" t="s">
        <v>160</v>
      </c>
      <c r="I1048" s="6" t="s">
        <v>2325</v>
      </c>
      <c r="J1048" s="196">
        <v>24896426541</v>
      </c>
      <c r="K1048" s="180" t="s">
        <v>2326</v>
      </c>
      <c r="L1048" s="108">
        <v>22763942</v>
      </c>
      <c r="M1048" s="37">
        <v>5216621010808</v>
      </c>
      <c r="N1048" s="169" t="s">
        <v>37</v>
      </c>
      <c r="O1048" s="48">
        <v>9081.52</v>
      </c>
      <c r="P1048" s="95">
        <v>2721.05</v>
      </c>
      <c r="Q1048" s="13">
        <v>2724.46</v>
      </c>
      <c r="R1048" s="13">
        <v>3.41</v>
      </c>
      <c r="S1048" s="72">
        <v>46395</v>
      </c>
      <c r="T1048" s="6"/>
      <c r="U1048" s="164"/>
      <c r="V1048" s="1"/>
      <c r="X1048" s="101">
        <v>2</v>
      </c>
    </row>
    <row r="1049" spans="2:24" hidden="1">
      <c r="B1049" s="10" t="s">
        <v>2327</v>
      </c>
      <c r="C1049" s="24">
        <v>46220.722916666666</v>
      </c>
      <c r="D1049" s="10" t="s">
        <v>24</v>
      </c>
      <c r="E1049" s="10"/>
      <c r="F1049" s="28">
        <v>46220</v>
      </c>
      <c r="G1049" s="28" t="s">
        <v>2142</v>
      </c>
      <c r="H1049" s="20" t="s">
        <v>71</v>
      </c>
      <c r="I1049" s="10" t="s">
        <v>2328</v>
      </c>
      <c r="J1049" s="195"/>
      <c r="K1049" s="181" t="s">
        <v>2329</v>
      </c>
      <c r="L1049" s="112">
        <v>22798646</v>
      </c>
      <c r="M1049" s="36">
        <v>5213412063114</v>
      </c>
      <c r="N1049" s="170" t="s">
        <v>32</v>
      </c>
      <c r="O1049" s="49">
        <v>4172.99</v>
      </c>
      <c r="P1049" s="96"/>
      <c r="Q1049" s="12">
        <v>1251.9000000000001</v>
      </c>
      <c r="R1049" s="12">
        <v>0.01</v>
      </c>
      <c r="S1049" s="73"/>
      <c r="T1049" s="10"/>
      <c r="U1049" s="97"/>
      <c r="V1049" s="1"/>
      <c r="X1049" s="101">
        <v>1</v>
      </c>
    </row>
    <row r="1050" spans="2:24" hidden="1">
      <c r="B1050" s="6" t="s">
        <v>2327</v>
      </c>
      <c r="C1050" s="23">
        <v>46220.722916666666</v>
      </c>
      <c r="D1050" s="6" t="s">
        <v>24</v>
      </c>
      <c r="E1050" s="6"/>
      <c r="F1050" s="28">
        <v>46220</v>
      </c>
      <c r="G1050" s="27" t="s">
        <v>1953</v>
      </c>
      <c r="H1050" s="6" t="s">
        <v>78</v>
      </c>
      <c r="I1050" s="6" t="s">
        <v>2330</v>
      </c>
      <c r="J1050" s="196">
        <v>43816317556</v>
      </c>
      <c r="K1050" s="180" t="s">
        <v>2331</v>
      </c>
      <c r="L1050" s="108">
        <v>22766612</v>
      </c>
      <c r="M1050" s="37">
        <v>5218121012120</v>
      </c>
      <c r="N1050" s="169" t="s">
        <v>37</v>
      </c>
      <c r="O1050" s="48">
        <v>9760.32</v>
      </c>
      <c r="P1050" s="95">
        <v>2822</v>
      </c>
      <c r="Q1050" s="13">
        <v>2928.1</v>
      </c>
      <c r="R1050" s="13">
        <v>106.1</v>
      </c>
      <c r="S1050" s="72">
        <v>46395</v>
      </c>
      <c r="T1050" s="6"/>
      <c r="U1050" s="164"/>
      <c r="V1050" s="1"/>
      <c r="X1050" s="101">
        <v>2</v>
      </c>
    </row>
    <row r="1051" spans="2:24" hidden="1">
      <c r="B1051" s="10" t="s">
        <v>2332</v>
      </c>
      <c r="C1051" s="24">
        <v>46220.723611111112</v>
      </c>
      <c r="D1051" s="10" t="s">
        <v>24</v>
      </c>
      <c r="E1051" s="10"/>
      <c r="F1051" s="28">
        <v>46220</v>
      </c>
      <c r="G1051" s="28" t="s">
        <v>2142</v>
      </c>
      <c r="H1051" s="10" t="s">
        <v>51</v>
      </c>
      <c r="I1051" s="10" t="s">
        <v>2333</v>
      </c>
      <c r="J1051" s="195">
        <v>31826516911</v>
      </c>
      <c r="K1051" s="181" t="s">
        <v>2334</v>
      </c>
      <c r="L1051" s="108">
        <v>22765048</v>
      </c>
      <c r="M1051" s="36">
        <v>5218771464167</v>
      </c>
      <c r="N1051" s="170" t="s">
        <v>37</v>
      </c>
      <c r="O1051" s="49">
        <v>9760.32</v>
      </c>
      <c r="P1051" s="96">
        <v>2823.89</v>
      </c>
      <c r="Q1051" s="12">
        <v>2928.1</v>
      </c>
      <c r="R1051" s="12">
        <v>104.21</v>
      </c>
      <c r="S1051" s="73">
        <v>46397</v>
      </c>
      <c r="T1051" s="10"/>
      <c r="U1051" s="97"/>
      <c r="V1051" s="1"/>
      <c r="X1051" s="101">
        <v>2</v>
      </c>
    </row>
    <row r="1052" spans="2:24" hidden="1">
      <c r="B1052" s="6" t="s">
        <v>2335</v>
      </c>
      <c r="C1052" s="23">
        <v>46220.734027777777</v>
      </c>
      <c r="D1052" s="6" t="s">
        <v>24</v>
      </c>
      <c r="E1052" s="6"/>
      <c r="F1052" s="28">
        <v>46220</v>
      </c>
      <c r="G1052" s="27" t="s">
        <v>1953</v>
      </c>
      <c r="H1052" s="6" t="s">
        <v>78</v>
      </c>
      <c r="I1052" s="6" t="s">
        <v>2336</v>
      </c>
      <c r="J1052" s="197">
        <v>32644814850</v>
      </c>
      <c r="K1052" s="180"/>
      <c r="L1052" s="108">
        <v>22767518</v>
      </c>
      <c r="M1052" s="37">
        <v>5218113934656</v>
      </c>
      <c r="N1052" s="169" t="s">
        <v>37</v>
      </c>
      <c r="O1052" s="48">
        <v>10861.16</v>
      </c>
      <c r="P1052" s="95">
        <v>3258.02</v>
      </c>
      <c r="Q1052" s="8">
        <v>3258.35</v>
      </c>
      <c r="R1052" s="13">
        <v>0.33</v>
      </c>
      <c r="S1052" s="70">
        <v>46389</v>
      </c>
      <c r="T1052" s="6"/>
      <c r="U1052" s="164"/>
      <c r="V1052" s="1"/>
      <c r="X1052" s="101">
        <v>2</v>
      </c>
    </row>
    <row r="1053" spans="2:24" hidden="1">
      <c r="B1053" s="10" t="s">
        <v>2337</v>
      </c>
      <c r="C1053" s="24">
        <v>46220.740277777775</v>
      </c>
      <c r="D1053" s="10" t="s">
        <v>24</v>
      </c>
      <c r="E1053" s="10"/>
      <c r="F1053" s="28">
        <v>46220</v>
      </c>
      <c r="G1053" s="28" t="s">
        <v>2142</v>
      </c>
      <c r="H1053" s="10" t="s">
        <v>93</v>
      </c>
      <c r="I1053" s="10" t="s">
        <v>2338</v>
      </c>
      <c r="J1053" s="195"/>
      <c r="K1053" s="181" t="s">
        <v>2339</v>
      </c>
      <c r="L1053" s="108">
        <v>22799122</v>
      </c>
      <c r="M1053" s="36">
        <v>7225587980</v>
      </c>
      <c r="N1053" s="170" t="s">
        <v>28</v>
      </c>
      <c r="O1053" s="49">
        <v>10636.54</v>
      </c>
      <c r="P1053" s="96"/>
      <c r="Q1053" s="11">
        <v>3190.96</v>
      </c>
      <c r="R1053" s="14">
        <v>3190.96</v>
      </c>
      <c r="S1053" s="71"/>
      <c r="T1053" s="10"/>
      <c r="U1053" s="97"/>
      <c r="V1053" s="1"/>
      <c r="X1053" s="101">
        <v>1</v>
      </c>
    </row>
    <row r="1054" spans="2:24" hidden="1">
      <c r="B1054" s="6" t="s">
        <v>2340</v>
      </c>
      <c r="C1054" s="23">
        <v>46220.745833333334</v>
      </c>
      <c r="D1054" s="6" t="s">
        <v>24</v>
      </c>
      <c r="E1054" s="6"/>
      <c r="F1054" s="28">
        <v>46220</v>
      </c>
      <c r="G1054" s="27" t="s">
        <v>2142</v>
      </c>
      <c r="H1054" s="6" t="s">
        <v>103</v>
      </c>
      <c r="I1054" s="6" t="s">
        <v>2341</v>
      </c>
      <c r="J1054" s="197">
        <v>32683011210</v>
      </c>
      <c r="K1054" s="183" t="s">
        <v>2342</v>
      </c>
      <c r="L1054" s="109">
        <v>1</v>
      </c>
      <c r="M1054" s="37">
        <v>8713451876</v>
      </c>
      <c r="N1054" s="169" t="s">
        <v>32</v>
      </c>
      <c r="O1054" s="48">
        <v>3272.18</v>
      </c>
      <c r="P1054" s="95"/>
      <c r="Q1054" s="8">
        <v>981.65</v>
      </c>
      <c r="R1054" s="13">
        <v>0</v>
      </c>
      <c r="S1054" s="70"/>
      <c r="T1054" s="6"/>
      <c r="U1054" s="164"/>
      <c r="V1054" s="1"/>
      <c r="X1054" s="101">
        <v>1</v>
      </c>
    </row>
    <row r="1055" spans="2:24" hidden="1">
      <c r="B1055" s="10" t="s">
        <v>2343</v>
      </c>
      <c r="C1055" s="24">
        <v>46220.757638888892</v>
      </c>
      <c r="D1055" s="10" t="s">
        <v>24</v>
      </c>
      <c r="E1055" s="10"/>
      <c r="F1055" s="28">
        <v>46220</v>
      </c>
      <c r="G1055" s="28" t="s">
        <v>2142</v>
      </c>
      <c r="H1055" s="161" t="s">
        <v>71</v>
      </c>
      <c r="I1055" s="10" t="s">
        <v>2344</v>
      </c>
      <c r="J1055" s="195"/>
      <c r="K1055" s="181" t="s">
        <v>2345</v>
      </c>
      <c r="L1055" s="108">
        <v>22799726</v>
      </c>
      <c r="M1055" s="36">
        <v>5214443543156</v>
      </c>
      <c r="N1055" s="170" t="s">
        <v>130</v>
      </c>
      <c r="O1055" s="49">
        <v>17591.439999999999</v>
      </c>
      <c r="P1055" s="96">
        <v>4877.79</v>
      </c>
      <c r="Q1055" s="11">
        <v>5277.43</v>
      </c>
      <c r="R1055" s="16">
        <v>399.64</v>
      </c>
      <c r="S1055" s="71">
        <v>46029</v>
      </c>
      <c r="T1055" s="10"/>
      <c r="U1055" s="97"/>
      <c r="V1055" s="1"/>
      <c r="X1055" s="101">
        <v>2</v>
      </c>
    </row>
    <row r="1056" spans="2:24" hidden="1">
      <c r="B1056" s="6" t="s">
        <v>2346</v>
      </c>
      <c r="C1056" s="23">
        <v>46220.763888888891</v>
      </c>
      <c r="D1056" s="6" t="s">
        <v>24</v>
      </c>
      <c r="E1056" s="6"/>
      <c r="F1056" s="28">
        <v>46220</v>
      </c>
      <c r="G1056" s="27" t="s">
        <v>1754</v>
      </c>
      <c r="H1056" s="6" t="s">
        <v>93</v>
      </c>
      <c r="I1056" s="6" t="s">
        <v>2347</v>
      </c>
      <c r="J1056" s="200">
        <v>51058616197</v>
      </c>
      <c r="K1056" s="180" t="s">
        <v>2348</v>
      </c>
      <c r="L1056" s="107">
        <v>22734110</v>
      </c>
      <c r="M1056" s="37">
        <v>4491780604</v>
      </c>
      <c r="N1056" s="169" t="s">
        <v>74</v>
      </c>
      <c r="O1056" s="48"/>
      <c r="P1056" s="95"/>
      <c r="Q1056" s="8">
        <v>0</v>
      </c>
      <c r="R1056" s="13">
        <v>0</v>
      </c>
      <c r="S1056" s="70"/>
      <c r="T1056" s="6"/>
      <c r="U1056" s="164"/>
      <c r="V1056" s="1"/>
      <c r="X1056" s="101">
        <v>1</v>
      </c>
    </row>
    <row r="1057" spans="2:24" hidden="1">
      <c r="B1057" s="10" t="s">
        <v>2349</v>
      </c>
      <c r="C1057" s="24">
        <v>46220.78125</v>
      </c>
      <c r="D1057" s="10" t="s">
        <v>24</v>
      </c>
      <c r="E1057" s="10"/>
      <c r="F1057" s="28">
        <v>46220</v>
      </c>
      <c r="G1057" s="28" t="s">
        <v>2142</v>
      </c>
      <c r="H1057" s="10" t="s">
        <v>93</v>
      </c>
      <c r="I1057" s="10" t="s">
        <v>2350</v>
      </c>
      <c r="J1057" s="195"/>
      <c r="K1057" s="181" t="s">
        <v>2351</v>
      </c>
      <c r="L1057" s="108">
        <v>22797292</v>
      </c>
      <c r="M1057" s="36">
        <v>5565138159</v>
      </c>
      <c r="N1057" s="170" t="s">
        <v>263</v>
      </c>
      <c r="O1057" s="49">
        <v>4813.6899999999996</v>
      </c>
      <c r="P1057" s="96">
        <v>487.84</v>
      </c>
      <c r="Q1057" s="11">
        <v>1444.11</v>
      </c>
      <c r="R1057" s="12">
        <v>152.87</v>
      </c>
      <c r="S1057" s="71">
        <v>46027</v>
      </c>
      <c r="T1057" s="10" t="s">
        <v>192</v>
      </c>
      <c r="U1057" s="97"/>
      <c r="V1057" s="1"/>
      <c r="X1057" s="101">
        <v>2</v>
      </c>
    </row>
    <row r="1058" spans="2:24" hidden="1">
      <c r="B1058" s="6" t="s">
        <v>2352</v>
      </c>
      <c r="C1058" s="23">
        <v>46220.808333333334</v>
      </c>
      <c r="D1058" s="6" t="s">
        <v>24</v>
      </c>
      <c r="E1058" s="6"/>
      <c r="F1058" s="28">
        <v>46220</v>
      </c>
      <c r="G1058" s="27" t="s">
        <v>2142</v>
      </c>
      <c r="H1058" s="6" t="s">
        <v>61</v>
      </c>
      <c r="I1058" s="6" t="s">
        <v>2353</v>
      </c>
      <c r="J1058" s="196">
        <v>12856832592</v>
      </c>
      <c r="K1058" s="180" t="s">
        <v>2354</v>
      </c>
      <c r="L1058" s="108">
        <v>22800626</v>
      </c>
      <c r="M1058" s="37">
        <v>5214623178833</v>
      </c>
      <c r="N1058" s="169" t="s">
        <v>37</v>
      </c>
      <c r="O1058" s="48">
        <v>15996.28</v>
      </c>
      <c r="P1058" s="95">
        <v>4628.1099999999997</v>
      </c>
      <c r="Q1058" s="8">
        <v>4798.88</v>
      </c>
      <c r="R1058" s="13">
        <v>170.77</v>
      </c>
      <c r="S1058" s="70">
        <v>46397</v>
      </c>
      <c r="T1058" s="6"/>
      <c r="U1058" s="164"/>
      <c r="V1058" s="1"/>
      <c r="X1058" s="101">
        <v>2</v>
      </c>
    </row>
    <row r="1059" spans="2:24" hidden="1">
      <c r="B1059" s="10" t="s">
        <v>2355</v>
      </c>
      <c r="C1059" s="24">
        <v>46221.356249999997</v>
      </c>
      <c r="D1059" s="10" t="s">
        <v>24</v>
      </c>
      <c r="E1059" s="10"/>
      <c r="F1059" s="27">
        <v>46221</v>
      </c>
      <c r="G1059" s="28" t="s">
        <v>2236</v>
      </c>
      <c r="H1059" s="10" t="s">
        <v>103</v>
      </c>
      <c r="I1059" s="10"/>
      <c r="J1059" s="195">
        <v>78937533293</v>
      </c>
      <c r="K1059" s="181"/>
      <c r="L1059" s="108">
        <v>1</v>
      </c>
      <c r="M1059" s="36">
        <v>8331521883</v>
      </c>
      <c r="N1059" s="170" t="s">
        <v>37</v>
      </c>
      <c r="O1059" s="49">
        <v>8181.55</v>
      </c>
      <c r="P1059" s="96">
        <v>2366.2600000000002</v>
      </c>
      <c r="Q1059" s="11">
        <v>2454.4699999999998</v>
      </c>
      <c r="R1059" s="12">
        <v>88.2</v>
      </c>
      <c r="S1059" s="71">
        <v>46390</v>
      </c>
      <c r="T1059" s="10"/>
      <c r="U1059" s="97"/>
      <c r="V1059" s="1"/>
      <c r="X1059" s="101">
        <v>2</v>
      </c>
    </row>
    <row r="1060" spans="2:24" hidden="1">
      <c r="B1060" s="6" t="s">
        <v>2356</v>
      </c>
      <c r="C1060" s="23">
        <v>46221.357638888891</v>
      </c>
      <c r="D1060" s="6" t="s">
        <v>24</v>
      </c>
      <c r="E1060" s="6"/>
      <c r="F1060" s="27">
        <v>46221</v>
      </c>
      <c r="G1060" s="27" t="s">
        <v>2236</v>
      </c>
      <c r="H1060" s="10" t="s">
        <v>103</v>
      </c>
      <c r="I1060" s="6"/>
      <c r="J1060" s="196">
        <v>32836471253</v>
      </c>
      <c r="K1060" s="180"/>
      <c r="L1060" s="109">
        <v>1</v>
      </c>
      <c r="M1060" s="37">
        <v>8616159531</v>
      </c>
      <c r="N1060" s="169" t="s">
        <v>28</v>
      </c>
      <c r="O1060" s="48">
        <v>9081.52</v>
      </c>
      <c r="P1060" s="95">
        <v>1488.22</v>
      </c>
      <c r="Q1060" s="8">
        <v>2724.46</v>
      </c>
      <c r="R1060" s="9">
        <v>1236.24</v>
      </c>
      <c r="S1060" s="70"/>
      <c r="T1060" s="6"/>
      <c r="U1060" s="164"/>
      <c r="V1060" s="1"/>
      <c r="X1060" s="101">
        <v>1</v>
      </c>
    </row>
    <row r="1061" spans="2:24" hidden="1">
      <c r="B1061" s="10" t="s">
        <v>2357</v>
      </c>
      <c r="C1061" s="24">
        <v>46221.416666666664</v>
      </c>
      <c r="D1061" s="10" t="s">
        <v>24</v>
      </c>
      <c r="E1061" s="10"/>
      <c r="F1061" s="27">
        <v>46221</v>
      </c>
      <c r="G1061" s="28" t="s">
        <v>2142</v>
      </c>
      <c r="H1061" s="10" t="s">
        <v>81</v>
      </c>
      <c r="I1061" s="10" t="s">
        <v>2358</v>
      </c>
      <c r="J1061" s="195"/>
      <c r="K1061" s="181" t="s">
        <v>2359</v>
      </c>
      <c r="L1061" s="108">
        <v>22803536</v>
      </c>
      <c r="M1061" s="36">
        <v>5218446921213</v>
      </c>
      <c r="N1061" s="170" t="s">
        <v>37</v>
      </c>
      <c r="O1061" s="49">
        <v>9760.32</v>
      </c>
      <c r="P1061" s="96">
        <v>2823.71</v>
      </c>
      <c r="Q1061" s="11">
        <v>2928.1</v>
      </c>
      <c r="R1061" s="12">
        <v>104.39</v>
      </c>
      <c r="S1061" s="71">
        <v>46754</v>
      </c>
      <c r="T1061" s="10"/>
      <c r="U1061" s="97"/>
      <c r="V1061" s="1"/>
      <c r="X1061" s="101">
        <v>2</v>
      </c>
    </row>
    <row r="1062" spans="2:24" hidden="1">
      <c r="B1062" s="6" t="s">
        <v>2360</v>
      </c>
      <c r="C1062" s="23">
        <v>46221.418749999997</v>
      </c>
      <c r="D1062" s="6" t="s">
        <v>24</v>
      </c>
      <c r="E1062" s="6"/>
      <c r="F1062" s="27">
        <v>46221</v>
      </c>
      <c r="G1062" s="27" t="s">
        <v>2236</v>
      </c>
      <c r="H1062" s="10" t="s">
        <v>51</v>
      </c>
      <c r="I1062" s="6" t="s">
        <v>2361</v>
      </c>
      <c r="J1062" s="196">
        <v>83806107179</v>
      </c>
      <c r="K1062" s="180" t="s">
        <v>2362</v>
      </c>
      <c r="L1062" s="107">
        <v>22804920</v>
      </c>
      <c r="M1062" s="37">
        <v>5219612300061</v>
      </c>
      <c r="N1062" s="169" t="s">
        <v>106</v>
      </c>
      <c r="O1062" s="48">
        <v>43963.74</v>
      </c>
      <c r="P1062" s="95">
        <v>12717.21</v>
      </c>
      <c r="Q1062" s="8">
        <v>13189.12</v>
      </c>
      <c r="R1062" s="22">
        <v>471.91</v>
      </c>
      <c r="S1062" s="70">
        <v>46027</v>
      </c>
      <c r="T1062" s="6"/>
      <c r="U1062" s="164"/>
      <c r="V1062" s="1"/>
      <c r="X1062" s="101">
        <v>2</v>
      </c>
    </row>
    <row r="1063" spans="2:24" hidden="1">
      <c r="B1063" s="10" t="s">
        <v>2363</v>
      </c>
      <c r="C1063" s="24">
        <v>46221.42083333333</v>
      </c>
      <c r="D1063" s="10" t="s">
        <v>24</v>
      </c>
      <c r="E1063" s="10"/>
      <c r="F1063" s="27">
        <v>46221</v>
      </c>
      <c r="G1063" s="28" t="s">
        <v>2236</v>
      </c>
      <c r="H1063" s="10" t="s">
        <v>1519</v>
      </c>
      <c r="I1063" s="10" t="s">
        <v>2364</v>
      </c>
      <c r="J1063" s="195">
        <v>54816614967</v>
      </c>
      <c r="K1063" s="181" t="s">
        <v>2365</v>
      </c>
      <c r="L1063" s="108">
        <v>22785560</v>
      </c>
      <c r="M1063" s="36">
        <v>5214741055737</v>
      </c>
      <c r="N1063" s="170" t="s">
        <v>32</v>
      </c>
      <c r="O1063" s="49">
        <v>3905.96</v>
      </c>
      <c r="P1063" s="96">
        <v>848</v>
      </c>
      <c r="Q1063" s="11">
        <v>1171.79</v>
      </c>
      <c r="R1063" s="12">
        <v>-848</v>
      </c>
      <c r="S1063" s="71"/>
      <c r="T1063" s="10"/>
      <c r="U1063" s="97"/>
      <c r="V1063" s="1"/>
      <c r="X1063" s="101">
        <v>1</v>
      </c>
    </row>
    <row r="1064" spans="2:24" hidden="1">
      <c r="B1064" s="6" t="s">
        <v>2366</v>
      </c>
      <c r="C1064" s="23">
        <v>46221.446527777778</v>
      </c>
      <c r="D1064" s="6" t="s">
        <v>24</v>
      </c>
      <c r="E1064" s="6"/>
      <c r="F1064" s="27">
        <v>46221</v>
      </c>
      <c r="G1064" s="27" t="s">
        <v>1953</v>
      </c>
      <c r="H1064" s="7" t="s">
        <v>26</v>
      </c>
      <c r="I1064" s="6" t="s">
        <v>2367</v>
      </c>
      <c r="J1064" s="196"/>
      <c r="K1064" s="180" t="s">
        <v>2368</v>
      </c>
      <c r="L1064" s="108">
        <v>22761522</v>
      </c>
      <c r="M1064" s="37">
        <v>5219163481148</v>
      </c>
      <c r="N1064" s="169" t="s">
        <v>37</v>
      </c>
      <c r="O1064" s="48">
        <v>9760.32</v>
      </c>
      <c r="P1064" s="95">
        <v>2927.35</v>
      </c>
      <c r="Q1064" s="8">
        <v>2928.1</v>
      </c>
      <c r="R1064" s="13">
        <v>0.75</v>
      </c>
      <c r="S1064" s="70">
        <v>46755</v>
      </c>
      <c r="T1064" s="6"/>
      <c r="U1064" s="164"/>
      <c r="V1064" s="1"/>
      <c r="X1064" s="101">
        <v>2</v>
      </c>
    </row>
    <row r="1065" spans="2:24" hidden="1">
      <c r="B1065" s="10" t="s">
        <v>2369</v>
      </c>
      <c r="C1065" s="24">
        <v>46221.463888888888</v>
      </c>
      <c r="D1065" s="10" t="s">
        <v>24</v>
      </c>
      <c r="E1065" s="10"/>
      <c r="F1065" s="27">
        <v>46221</v>
      </c>
      <c r="G1065" s="28" t="s">
        <v>2236</v>
      </c>
      <c r="H1065" s="10" t="s">
        <v>39</v>
      </c>
      <c r="I1065" s="10"/>
      <c r="J1065" s="195">
        <v>74915601673</v>
      </c>
      <c r="K1065" s="181"/>
      <c r="L1065" s="108">
        <v>22809000</v>
      </c>
      <c r="M1065" s="36">
        <v>5218111621959</v>
      </c>
      <c r="N1065" s="170" t="s">
        <v>32</v>
      </c>
      <c r="O1065" s="49">
        <v>3961.31</v>
      </c>
      <c r="P1065" s="96">
        <v>848</v>
      </c>
      <c r="Q1065" s="11">
        <v>1188.3900000000001</v>
      </c>
      <c r="R1065" s="12">
        <v>-848</v>
      </c>
      <c r="S1065" s="71"/>
      <c r="T1065" s="10"/>
      <c r="U1065" s="97"/>
      <c r="V1065" s="1"/>
      <c r="X1065" s="101">
        <v>1</v>
      </c>
    </row>
    <row r="1066" spans="2:24" hidden="1">
      <c r="B1066" s="6" t="s">
        <v>2370</v>
      </c>
      <c r="C1066" s="23">
        <v>46221.464583333334</v>
      </c>
      <c r="D1066" s="6" t="s">
        <v>24</v>
      </c>
      <c r="E1066" s="6"/>
      <c r="F1066" s="27">
        <v>46221</v>
      </c>
      <c r="G1066" s="27" t="s">
        <v>2236</v>
      </c>
      <c r="H1066" s="6" t="s">
        <v>51</v>
      </c>
      <c r="I1066" s="6" t="s">
        <v>2371</v>
      </c>
      <c r="J1066" s="192">
        <v>62916408180</v>
      </c>
      <c r="K1066" s="180" t="s">
        <v>2372</v>
      </c>
      <c r="L1066" s="108">
        <v>22812012</v>
      </c>
      <c r="M1066" s="37">
        <v>5219931054960</v>
      </c>
      <c r="N1066" s="169" t="s">
        <v>37</v>
      </c>
      <c r="O1066" s="48">
        <v>30105.07</v>
      </c>
      <c r="P1066" s="95">
        <v>9031.24</v>
      </c>
      <c r="Q1066" s="8">
        <v>9031.52</v>
      </c>
      <c r="R1066" s="13">
        <v>0.28000000000000003</v>
      </c>
      <c r="S1066" s="70">
        <v>46399</v>
      </c>
      <c r="T1066" s="6"/>
      <c r="U1066" s="164"/>
      <c r="V1066" s="1"/>
      <c r="X1066" s="101">
        <v>2</v>
      </c>
    </row>
    <row r="1067" spans="2:24" hidden="1">
      <c r="B1067" s="10" t="s">
        <v>2373</v>
      </c>
      <c r="C1067" s="24">
        <v>46221.46875</v>
      </c>
      <c r="D1067" s="10" t="s">
        <v>24</v>
      </c>
      <c r="E1067" s="10"/>
      <c r="F1067" s="27">
        <v>46221</v>
      </c>
      <c r="G1067" s="28" t="s">
        <v>2236</v>
      </c>
      <c r="H1067" s="10" t="s">
        <v>1519</v>
      </c>
      <c r="I1067" s="10" t="s">
        <v>2374</v>
      </c>
      <c r="J1067" s="193">
        <v>24786003038</v>
      </c>
      <c r="K1067" s="181" t="s">
        <v>2375</v>
      </c>
      <c r="L1067" s="108">
        <v>22811986</v>
      </c>
      <c r="M1067" s="36">
        <v>5216626678851</v>
      </c>
      <c r="N1067" s="170" t="s">
        <v>37</v>
      </c>
      <c r="O1067" s="49">
        <v>7116.73</v>
      </c>
      <c r="P1067" s="96">
        <v>1963.09</v>
      </c>
      <c r="Q1067" s="11">
        <v>2135.02</v>
      </c>
      <c r="R1067" s="12">
        <v>171.93</v>
      </c>
      <c r="S1067" s="71">
        <v>46235</v>
      </c>
      <c r="T1067" s="10"/>
      <c r="U1067" s="97"/>
      <c r="V1067" s="1"/>
      <c r="X1067" s="101">
        <v>2</v>
      </c>
    </row>
    <row r="1068" spans="2:24" hidden="1">
      <c r="B1068" s="6" t="s">
        <v>2376</v>
      </c>
      <c r="C1068" s="23">
        <v>46221.46875</v>
      </c>
      <c r="D1068" s="6" t="s">
        <v>24</v>
      </c>
      <c r="E1068" s="6"/>
      <c r="F1068" s="27">
        <v>46221</v>
      </c>
      <c r="G1068" s="27" t="s">
        <v>2236</v>
      </c>
      <c r="H1068" s="6" t="s">
        <v>51</v>
      </c>
      <c r="I1068" s="6" t="s">
        <v>2377</v>
      </c>
      <c r="J1068" s="192">
        <v>12836226048</v>
      </c>
      <c r="K1068" s="180" t="s">
        <v>2378</v>
      </c>
      <c r="L1068" s="108">
        <v>22808874</v>
      </c>
      <c r="M1068" s="37">
        <v>5214771844281</v>
      </c>
      <c r="N1068" s="169" t="s">
        <v>37</v>
      </c>
      <c r="O1068" s="48">
        <v>7116.73</v>
      </c>
      <c r="P1068" s="95">
        <v>2047.42</v>
      </c>
      <c r="Q1068" s="8">
        <v>2135.02</v>
      </c>
      <c r="R1068" s="13">
        <v>87.6</v>
      </c>
      <c r="S1068" s="70">
        <v>46296</v>
      </c>
      <c r="T1068" s="6"/>
      <c r="U1068" s="164"/>
      <c r="V1068" s="1"/>
      <c r="X1068" s="101">
        <v>2</v>
      </c>
    </row>
    <row r="1069" spans="2:24" hidden="1">
      <c r="B1069" s="10" t="s">
        <v>2379</v>
      </c>
      <c r="C1069" s="24">
        <v>46221.479166666664</v>
      </c>
      <c r="D1069" s="10" t="s">
        <v>24</v>
      </c>
      <c r="E1069" s="10"/>
      <c r="F1069" s="27">
        <v>46221</v>
      </c>
      <c r="G1069" s="28" t="s">
        <v>2236</v>
      </c>
      <c r="H1069" s="10" t="s">
        <v>68</v>
      </c>
      <c r="I1069" s="10" t="s">
        <v>2380</v>
      </c>
      <c r="J1069" s="193">
        <v>45966900990</v>
      </c>
      <c r="K1069" s="181" t="s">
        <v>2381</v>
      </c>
      <c r="L1069" s="108">
        <v>22805042</v>
      </c>
      <c r="M1069" s="36">
        <v>5215544705641</v>
      </c>
      <c r="N1069" s="170" t="s">
        <v>37</v>
      </c>
      <c r="O1069" s="49">
        <v>8173.37</v>
      </c>
      <c r="P1069" s="96">
        <v>2363.98</v>
      </c>
      <c r="Q1069" s="11">
        <v>2452.0100000000002</v>
      </c>
      <c r="R1069" s="12">
        <v>88.03</v>
      </c>
      <c r="S1069" s="71">
        <v>46396</v>
      </c>
      <c r="T1069" s="10"/>
      <c r="U1069" s="97"/>
      <c r="V1069" s="1"/>
      <c r="X1069" s="101">
        <v>2</v>
      </c>
    </row>
    <row r="1070" spans="2:24" hidden="1">
      <c r="B1070" s="6" t="s">
        <v>2382</v>
      </c>
      <c r="C1070" s="23">
        <v>46221.479166666664</v>
      </c>
      <c r="D1070" s="6" t="s">
        <v>24</v>
      </c>
      <c r="E1070" s="6"/>
      <c r="F1070" s="27">
        <v>46221</v>
      </c>
      <c r="G1070" s="27" t="s">
        <v>2236</v>
      </c>
      <c r="H1070" s="10" t="s">
        <v>160</v>
      </c>
      <c r="I1070" s="6" t="s">
        <v>2383</v>
      </c>
      <c r="J1070" s="192">
        <v>43886547520</v>
      </c>
      <c r="K1070" s="180" t="s">
        <v>2384</v>
      </c>
      <c r="L1070" s="107">
        <v>22809108</v>
      </c>
      <c r="M1070" s="37">
        <v>5218117256737</v>
      </c>
      <c r="N1070" s="169" t="s">
        <v>47</v>
      </c>
      <c r="O1070" s="48">
        <v>32674.29</v>
      </c>
      <c r="P1070" s="95">
        <v>9309.94</v>
      </c>
      <c r="Q1070" s="8">
        <v>9802.2900000000009</v>
      </c>
      <c r="R1070" s="22">
        <v>492.35</v>
      </c>
      <c r="S1070" s="70">
        <v>46757</v>
      </c>
      <c r="T1070" s="6"/>
      <c r="U1070" s="164"/>
      <c r="V1070" s="1"/>
      <c r="X1070" s="101">
        <v>2</v>
      </c>
    </row>
    <row r="1071" spans="2:24" hidden="1">
      <c r="B1071" s="10" t="s">
        <v>2385</v>
      </c>
      <c r="C1071" s="24">
        <v>46221.481944444444</v>
      </c>
      <c r="D1071" s="10" t="s">
        <v>24</v>
      </c>
      <c r="E1071" s="10"/>
      <c r="F1071" s="27">
        <v>46221</v>
      </c>
      <c r="G1071" s="28" t="s">
        <v>2236</v>
      </c>
      <c r="H1071" s="10" t="s">
        <v>51</v>
      </c>
      <c r="I1071" s="10" t="s">
        <v>2386</v>
      </c>
      <c r="J1071" s="198">
        <v>67786023951</v>
      </c>
      <c r="K1071" s="181" t="s">
        <v>2387</v>
      </c>
      <c r="L1071" s="108">
        <v>22812926</v>
      </c>
      <c r="M1071" s="36">
        <v>5219512612955</v>
      </c>
      <c r="N1071" s="170" t="s">
        <v>37</v>
      </c>
      <c r="O1071" s="49">
        <v>5617.63</v>
      </c>
      <c r="P1071" s="96">
        <v>1393.24</v>
      </c>
      <c r="Q1071" s="11">
        <v>1685.29</v>
      </c>
      <c r="R1071" s="12">
        <v>51.41</v>
      </c>
      <c r="S1071" s="71">
        <v>46391</v>
      </c>
      <c r="T1071" s="10"/>
      <c r="U1071" s="97"/>
      <c r="V1071" s="1"/>
      <c r="X1071" s="101">
        <v>2</v>
      </c>
    </row>
    <row r="1072" spans="2:24" hidden="1">
      <c r="B1072" s="6" t="s">
        <v>2388</v>
      </c>
      <c r="C1072" s="23">
        <v>46221.488194444442</v>
      </c>
      <c r="D1072" s="6" t="s">
        <v>24</v>
      </c>
      <c r="E1072" s="6"/>
      <c r="F1072" s="27">
        <v>46221</v>
      </c>
      <c r="G1072" s="27" t="s">
        <v>2236</v>
      </c>
      <c r="H1072" s="6" t="s">
        <v>51</v>
      </c>
      <c r="I1072" s="6" t="s">
        <v>2389</v>
      </c>
      <c r="J1072" s="196">
        <v>51806503663</v>
      </c>
      <c r="K1072" s="180" t="s">
        <v>2390</v>
      </c>
      <c r="L1072" s="108">
        <v>22811692</v>
      </c>
      <c r="M1072" s="37">
        <v>5218712771387</v>
      </c>
      <c r="N1072" s="169" t="s">
        <v>37</v>
      </c>
      <c r="O1072" s="48">
        <v>9760.32</v>
      </c>
      <c r="P1072" s="95">
        <v>2928.1</v>
      </c>
      <c r="Q1072" s="8">
        <v>2928.1</v>
      </c>
      <c r="R1072" s="13">
        <v>0</v>
      </c>
      <c r="S1072" s="70">
        <v>46756</v>
      </c>
      <c r="T1072" s="6" t="s">
        <v>178</v>
      </c>
      <c r="U1072" s="164"/>
      <c r="V1072" s="1"/>
      <c r="X1072" s="101">
        <v>2</v>
      </c>
    </row>
    <row r="1073" spans="2:24" hidden="1">
      <c r="B1073" s="10" t="s">
        <v>2357</v>
      </c>
      <c r="C1073" s="24">
        <v>46221.490277777775</v>
      </c>
      <c r="D1073" s="10" t="s">
        <v>24</v>
      </c>
      <c r="E1073" s="10"/>
      <c r="F1073" s="27">
        <v>46221</v>
      </c>
      <c r="G1073" s="28">
        <v>46119</v>
      </c>
      <c r="H1073" s="160" t="s">
        <v>476</v>
      </c>
      <c r="I1073" s="10" t="s">
        <v>2391</v>
      </c>
      <c r="J1073" s="195"/>
      <c r="K1073" s="181" t="s">
        <v>2392</v>
      </c>
      <c r="L1073" s="108">
        <v>22295846</v>
      </c>
      <c r="M1073" s="36">
        <v>5214772302136</v>
      </c>
      <c r="N1073" s="170" t="s">
        <v>28</v>
      </c>
      <c r="O1073" s="49">
        <v>5617.63</v>
      </c>
      <c r="P1073" s="96"/>
      <c r="Q1073" s="11">
        <v>1685.29</v>
      </c>
      <c r="R1073" s="14">
        <v>1444.65</v>
      </c>
      <c r="S1073" s="71"/>
      <c r="T1073" s="10"/>
      <c r="U1073" s="97"/>
      <c r="V1073" s="1"/>
      <c r="X1073" s="101">
        <v>1</v>
      </c>
    </row>
    <row r="1074" spans="2:24" hidden="1">
      <c r="B1074" s="6" t="s">
        <v>2379</v>
      </c>
      <c r="C1074" s="23">
        <v>46221.491666666669</v>
      </c>
      <c r="D1074" s="6" t="s">
        <v>24</v>
      </c>
      <c r="E1074" s="6"/>
      <c r="F1074" s="27">
        <v>46221</v>
      </c>
      <c r="G1074" s="27" t="s">
        <v>2236</v>
      </c>
      <c r="H1074" s="6" t="s">
        <v>1519</v>
      </c>
      <c r="I1074" s="6" t="s">
        <v>2393</v>
      </c>
      <c r="J1074" s="196">
        <v>75846504720</v>
      </c>
      <c r="K1074" s="180" t="s">
        <v>2394</v>
      </c>
      <c r="L1074" s="108">
        <v>22812774</v>
      </c>
      <c r="M1074" s="37">
        <v>5214427778125</v>
      </c>
      <c r="N1074" s="169" t="s">
        <v>37</v>
      </c>
      <c r="O1074" s="48">
        <v>40106.230000000003</v>
      </c>
      <c r="P1074" s="95">
        <v>12031.87</v>
      </c>
      <c r="Q1074" s="8">
        <v>12031.87</v>
      </c>
      <c r="R1074" s="13">
        <v>0</v>
      </c>
      <c r="S1074" s="70">
        <v>46395</v>
      </c>
      <c r="T1074" s="6"/>
      <c r="U1074" s="164"/>
      <c r="V1074" s="1"/>
      <c r="X1074" s="101">
        <v>2</v>
      </c>
    </row>
    <row r="1075" spans="2:24" hidden="1">
      <c r="B1075" s="10" t="s">
        <v>2395</v>
      </c>
      <c r="C1075" s="24">
        <v>46221.497916666667</v>
      </c>
      <c r="D1075" s="10" t="s">
        <v>24</v>
      </c>
      <c r="E1075" s="10"/>
      <c r="F1075" s="27">
        <v>46221</v>
      </c>
      <c r="G1075" s="28" t="s">
        <v>2142</v>
      </c>
      <c r="H1075" s="10" t="s">
        <v>160</v>
      </c>
      <c r="I1075" s="10" t="s">
        <v>2396</v>
      </c>
      <c r="J1075" s="195">
        <v>7875903408</v>
      </c>
      <c r="K1075" s="181" t="s">
        <v>2397</v>
      </c>
      <c r="L1075" s="108">
        <v>22786636</v>
      </c>
      <c r="M1075" s="36">
        <v>5215513578840</v>
      </c>
      <c r="N1075" s="170" t="s">
        <v>28</v>
      </c>
      <c r="O1075" s="49">
        <v>6108.48</v>
      </c>
      <c r="P1075" s="96"/>
      <c r="Q1075" s="11">
        <v>1832.54</v>
      </c>
      <c r="R1075" s="14">
        <v>1832.54</v>
      </c>
      <c r="S1075" s="71"/>
      <c r="T1075" s="10"/>
      <c r="U1075" s="97"/>
      <c r="V1075" s="1"/>
      <c r="X1075" s="101">
        <v>1</v>
      </c>
    </row>
    <row r="1076" spans="2:24" hidden="1">
      <c r="B1076" s="6" t="s">
        <v>2398</v>
      </c>
      <c r="C1076" s="23">
        <v>46221.498611111114</v>
      </c>
      <c r="D1076" s="6" t="s">
        <v>24</v>
      </c>
      <c r="E1076" s="6"/>
      <c r="F1076" s="27">
        <v>46221</v>
      </c>
      <c r="G1076" s="27" t="s">
        <v>2236</v>
      </c>
      <c r="H1076" s="10" t="s">
        <v>78</v>
      </c>
      <c r="I1076" s="6" t="s">
        <v>2399</v>
      </c>
      <c r="J1076" s="196"/>
      <c r="K1076" s="180" t="s">
        <v>2400</v>
      </c>
      <c r="L1076" s="107">
        <v>22811570</v>
      </c>
      <c r="M1076" s="37">
        <v>5218115536001</v>
      </c>
      <c r="N1076" s="169" t="s">
        <v>47</v>
      </c>
      <c r="O1076" s="48">
        <v>7116.73</v>
      </c>
      <c r="P1076" s="95">
        <v>999.92</v>
      </c>
      <c r="Q1076" s="8">
        <v>2135.02</v>
      </c>
      <c r="R1076" s="22">
        <v>1135.0999999999999</v>
      </c>
      <c r="S1076" s="70">
        <v>46395</v>
      </c>
      <c r="T1076" s="6"/>
      <c r="U1076" s="164"/>
      <c r="V1076" s="1"/>
      <c r="X1076" s="101">
        <v>2</v>
      </c>
    </row>
    <row r="1077" spans="2:24" hidden="1">
      <c r="B1077" s="10" t="s">
        <v>2401</v>
      </c>
      <c r="C1077" s="24">
        <v>46221.50277777778</v>
      </c>
      <c r="D1077" s="10" t="s">
        <v>24</v>
      </c>
      <c r="E1077" s="10"/>
      <c r="F1077" s="27">
        <v>46221</v>
      </c>
      <c r="G1077" s="28" t="s">
        <v>2236</v>
      </c>
      <c r="H1077" s="10" t="s">
        <v>51</v>
      </c>
      <c r="I1077" s="10" t="s">
        <v>2402</v>
      </c>
      <c r="J1077" s="195">
        <v>31966104817</v>
      </c>
      <c r="K1077" s="181" t="s">
        <v>2403</v>
      </c>
      <c r="L1077" s="108">
        <v>22809458</v>
      </c>
      <c r="M1077" s="36">
        <v>5216144661225</v>
      </c>
      <c r="N1077" s="170" t="s">
        <v>28</v>
      </c>
      <c r="O1077" s="49">
        <v>9564.7000000000007</v>
      </c>
      <c r="P1077" s="96">
        <v>387.31</v>
      </c>
      <c r="Q1077" s="11">
        <v>2869.41</v>
      </c>
      <c r="R1077" s="14">
        <v>2482.1</v>
      </c>
      <c r="S1077" s="71">
        <v>46034</v>
      </c>
      <c r="T1077" s="10"/>
      <c r="U1077" s="97"/>
      <c r="V1077" s="1"/>
      <c r="X1077" s="101">
        <v>2</v>
      </c>
    </row>
    <row r="1078" spans="2:24" hidden="1">
      <c r="B1078" s="6" t="s">
        <v>2404</v>
      </c>
      <c r="C1078" s="23">
        <v>46221.510416666664</v>
      </c>
      <c r="D1078" s="6" t="s">
        <v>24</v>
      </c>
      <c r="E1078" s="6"/>
      <c r="F1078" s="27">
        <v>46221</v>
      </c>
      <c r="G1078" s="27" t="s">
        <v>2236</v>
      </c>
      <c r="H1078" s="10" t="s">
        <v>78</v>
      </c>
      <c r="I1078" s="6" t="s">
        <v>2405</v>
      </c>
      <c r="J1078" s="196">
        <v>23836209744</v>
      </c>
      <c r="K1078" s="180" t="s">
        <v>2406</v>
      </c>
      <c r="L1078" s="107">
        <v>22811956</v>
      </c>
      <c r="M1078" s="37">
        <v>5213113414264</v>
      </c>
      <c r="N1078" s="169" t="s">
        <v>28</v>
      </c>
      <c r="O1078" s="48">
        <v>9760.32</v>
      </c>
      <c r="P1078" s="95">
        <v>848</v>
      </c>
      <c r="Q1078" s="8">
        <v>2928.1</v>
      </c>
      <c r="R1078" s="9">
        <v>2080.1</v>
      </c>
      <c r="S1078" s="70"/>
      <c r="T1078" s="6"/>
      <c r="U1078" s="164"/>
      <c r="V1078" s="1"/>
      <c r="X1078" s="101">
        <v>1</v>
      </c>
    </row>
    <row r="1079" spans="2:24" hidden="1">
      <c r="B1079" s="10" t="s">
        <v>2407</v>
      </c>
      <c r="C1079" s="24">
        <v>46221.511111111111</v>
      </c>
      <c r="D1079" s="10" t="s">
        <v>24</v>
      </c>
      <c r="E1079" s="10"/>
      <c r="F1079" s="27">
        <v>46221</v>
      </c>
      <c r="G1079" s="28" t="s">
        <v>2236</v>
      </c>
      <c r="H1079" s="10" t="s">
        <v>51</v>
      </c>
      <c r="I1079" s="10" t="s">
        <v>2408</v>
      </c>
      <c r="J1079" s="195">
        <v>62836101220</v>
      </c>
      <c r="K1079" s="181" t="s">
        <v>2409</v>
      </c>
      <c r="L1079" s="108">
        <v>22801786</v>
      </c>
      <c r="M1079" s="36">
        <v>5212223565632</v>
      </c>
      <c r="N1079" s="170" t="s">
        <v>37</v>
      </c>
      <c r="O1079" s="49">
        <v>7640.52</v>
      </c>
      <c r="P1079" s="96">
        <v>2194.98</v>
      </c>
      <c r="Q1079" s="11">
        <v>2292.16</v>
      </c>
      <c r="R1079" s="12">
        <v>97.18</v>
      </c>
      <c r="S1079" s="71">
        <v>46389</v>
      </c>
      <c r="T1079" s="10"/>
      <c r="U1079" s="97"/>
      <c r="V1079" s="1"/>
      <c r="X1079" s="101">
        <v>2</v>
      </c>
    </row>
    <row r="1080" spans="2:24" hidden="1">
      <c r="B1080" s="6" t="s">
        <v>2410</v>
      </c>
      <c r="C1080" s="23">
        <v>46221.513888888891</v>
      </c>
      <c r="D1080" s="6" t="s">
        <v>24</v>
      </c>
      <c r="E1080" s="6"/>
      <c r="F1080" s="27">
        <v>46221</v>
      </c>
      <c r="G1080" s="27" t="s">
        <v>2142</v>
      </c>
      <c r="H1080" s="18" t="s">
        <v>71</v>
      </c>
      <c r="I1080" s="6" t="s">
        <v>2411</v>
      </c>
      <c r="J1080" s="196"/>
      <c r="K1080" s="180" t="s">
        <v>2412</v>
      </c>
      <c r="L1080" s="107">
        <v>22797190</v>
      </c>
      <c r="M1080" s="37">
        <v>5219932594603</v>
      </c>
      <c r="N1080" s="169" t="s">
        <v>74</v>
      </c>
      <c r="O1080" s="48"/>
      <c r="P1080" s="95"/>
      <c r="Q1080" s="8">
        <v>0</v>
      </c>
      <c r="R1080" s="13">
        <v>0</v>
      </c>
      <c r="S1080" s="70"/>
      <c r="T1080" s="6"/>
      <c r="U1080" s="164"/>
      <c r="V1080" s="1"/>
      <c r="X1080" s="101">
        <v>1</v>
      </c>
    </row>
    <row r="1081" spans="2:24" hidden="1">
      <c r="B1081" s="10" t="s">
        <v>2413</v>
      </c>
      <c r="C1081" s="24">
        <v>46221.520833333336</v>
      </c>
      <c r="D1081" s="10" t="s">
        <v>24</v>
      </c>
      <c r="E1081" s="10"/>
      <c r="F1081" s="27">
        <v>46221</v>
      </c>
      <c r="G1081" s="28" t="s">
        <v>2236</v>
      </c>
      <c r="H1081" s="10" t="s">
        <v>51</v>
      </c>
      <c r="I1081" s="10" t="s">
        <v>2414</v>
      </c>
      <c r="J1081" s="195">
        <v>81806301685</v>
      </c>
      <c r="K1081" s="181" t="s">
        <v>2415</v>
      </c>
      <c r="L1081" s="108">
        <v>22814840</v>
      </c>
      <c r="M1081" s="36">
        <v>5219383894367</v>
      </c>
      <c r="N1081" s="170" t="s">
        <v>37</v>
      </c>
      <c r="O1081" s="49">
        <v>7920.51</v>
      </c>
      <c r="P1081" s="96">
        <v>2288.83</v>
      </c>
      <c r="Q1081" s="11">
        <v>2376.15</v>
      </c>
      <c r="R1081" s="12">
        <v>87.32</v>
      </c>
      <c r="S1081" s="71">
        <v>46392</v>
      </c>
      <c r="T1081" s="10" t="s">
        <v>259</v>
      </c>
      <c r="U1081" s="97"/>
      <c r="V1081" s="1"/>
      <c r="X1081" s="101">
        <v>2</v>
      </c>
    </row>
    <row r="1082" spans="2:24" hidden="1">
      <c r="B1082" s="6" t="s">
        <v>2416</v>
      </c>
      <c r="C1082" s="23">
        <v>46221.524305555555</v>
      </c>
      <c r="D1082" s="6" t="s">
        <v>24</v>
      </c>
      <c r="E1082" s="6"/>
      <c r="F1082" s="27">
        <v>46221</v>
      </c>
      <c r="G1082" s="27" t="s">
        <v>2142</v>
      </c>
      <c r="H1082" s="6" t="s">
        <v>39</v>
      </c>
      <c r="I1082" s="6" t="s">
        <v>2417</v>
      </c>
      <c r="J1082" s="196">
        <v>32765010924</v>
      </c>
      <c r="K1082" s="180" t="s">
        <v>2418</v>
      </c>
      <c r="L1082" s="108">
        <v>22777954</v>
      </c>
      <c r="M1082" s="37">
        <v>5218641323505</v>
      </c>
      <c r="N1082" s="169" t="s">
        <v>37</v>
      </c>
      <c r="O1082" s="48">
        <v>9926.1299999999992</v>
      </c>
      <c r="P1082" s="95">
        <v>2974.55</v>
      </c>
      <c r="Q1082" s="8">
        <v>2977.84</v>
      </c>
      <c r="R1082" s="13">
        <v>3.29</v>
      </c>
      <c r="S1082" s="70">
        <v>46758</v>
      </c>
      <c r="T1082" s="6"/>
      <c r="U1082" s="164"/>
      <c r="V1082" s="1"/>
      <c r="X1082" s="101">
        <v>2</v>
      </c>
    </row>
    <row r="1083" spans="2:24" hidden="1">
      <c r="B1083" s="10" t="s">
        <v>2410</v>
      </c>
      <c r="C1083" s="24">
        <v>46221.529166666667</v>
      </c>
      <c r="D1083" s="10" t="s">
        <v>24</v>
      </c>
      <c r="E1083" s="10"/>
      <c r="F1083" s="27">
        <v>46221</v>
      </c>
      <c r="G1083" s="28" t="s">
        <v>2236</v>
      </c>
      <c r="H1083" s="10" t="s">
        <v>81</v>
      </c>
      <c r="I1083" s="10" t="s">
        <v>2419</v>
      </c>
      <c r="J1083" s="195"/>
      <c r="K1083" s="181" t="s">
        <v>2420</v>
      </c>
      <c r="L1083" s="108">
        <v>22804742</v>
      </c>
      <c r="M1083" s="36">
        <v>5214426375342</v>
      </c>
      <c r="N1083" s="170" t="s">
        <v>37</v>
      </c>
      <c r="O1083" s="49">
        <v>9464.2000000000007</v>
      </c>
      <c r="P1083" s="96">
        <v>2627.13</v>
      </c>
      <c r="Q1083" s="11">
        <v>2839.26</v>
      </c>
      <c r="R1083" s="12">
        <v>212.13</v>
      </c>
      <c r="S1083" s="71">
        <v>46388</v>
      </c>
      <c r="T1083" s="10" t="s">
        <v>2421</v>
      </c>
      <c r="U1083" s="97"/>
      <c r="V1083" s="1"/>
      <c r="X1083" s="101">
        <v>2</v>
      </c>
    </row>
    <row r="1084" spans="2:24" hidden="1">
      <c r="B1084" s="6" t="s">
        <v>2422</v>
      </c>
      <c r="C1084" s="23">
        <v>46221.53125</v>
      </c>
      <c r="D1084" s="6" t="s">
        <v>24</v>
      </c>
      <c r="E1084" s="6"/>
      <c r="F1084" s="27">
        <v>46221</v>
      </c>
      <c r="G1084" s="27" t="s">
        <v>2236</v>
      </c>
      <c r="H1084" s="6" t="s">
        <v>103</v>
      </c>
      <c r="I1084" s="6" t="s">
        <v>2423</v>
      </c>
      <c r="J1084" s="200">
        <v>32896976886</v>
      </c>
      <c r="K1084" s="180"/>
      <c r="L1084" s="109">
        <v>1</v>
      </c>
      <c r="M1084" s="37">
        <v>8442240301</v>
      </c>
      <c r="N1084" s="169" t="s">
        <v>98</v>
      </c>
      <c r="O1084" s="48"/>
      <c r="P1084" s="95"/>
      <c r="Q1084" s="8">
        <v>0</v>
      </c>
      <c r="R1084" s="13">
        <v>0</v>
      </c>
      <c r="S1084" s="70"/>
      <c r="T1084" s="6"/>
      <c r="U1084" s="164"/>
      <c r="V1084" s="1"/>
      <c r="X1084" s="101">
        <v>0</v>
      </c>
    </row>
    <row r="1085" spans="2:24" hidden="1">
      <c r="B1085" s="10" t="s">
        <v>2424</v>
      </c>
      <c r="C1085" s="24">
        <v>46221.532638888886</v>
      </c>
      <c r="D1085" s="10" t="s">
        <v>24</v>
      </c>
      <c r="E1085" s="10"/>
      <c r="F1085" s="27">
        <v>46221</v>
      </c>
      <c r="G1085" s="28" t="s">
        <v>2236</v>
      </c>
      <c r="H1085" s="10" t="s">
        <v>39</v>
      </c>
      <c r="I1085" s="10" t="s">
        <v>2425</v>
      </c>
      <c r="J1085" s="195">
        <v>23897015758</v>
      </c>
      <c r="K1085" s="181" t="s">
        <v>2426</v>
      </c>
      <c r="L1085" s="108">
        <v>22804698</v>
      </c>
      <c r="M1085" s="36">
        <v>5216421401937</v>
      </c>
      <c r="N1085" s="170" t="s">
        <v>28</v>
      </c>
      <c r="O1085" s="49">
        <v>9572.8799999999992</v>
      </c>
      <c r="P1085" s="96"/>
      <c r="Q1085" s="11">
        <v>2871.86</v>
      </c>
      <c r="R1085" s="14">
        <v>2871.86</v>
      </c>
      <c r="S1085" s="71"/>
      <c r="T1085" s="10"/>
      <c r="U1085" s="97"/>
      <c r="V1085" s="1"/>
      <c r="X1085" s="101">
        <v>1</v>
      </c>
    </row>
    <row r="1086" spans="2:24" hidden="1">
      <c r="B1086" s="6" t="s">
        <v>2427</v>
      </c>
      <c r="C1086" s="23">
        <v>46221.53402777778</v>
      </c>
      <c r="D1086" s="6" t="s">
        <v>24</v>
      </c>
      <c r="E1086" s="6"/>
      <c r="F1086" s="27">
        <v>46221</v>
      </c>
      <c r="G1086" s="27" t="s">
        <v>2236</v>
      </c>
      <c r="H1086" s="10" t="s">
        <v>78</v>
      </c>
      <c r="I1086" s="6" t="s">
        <v>2428</v>
      </c>
      <c r="J1086" s="196">
        <v>24796308211</v>
      </c>
      <c r="K1086" s="180" t="s">
        <v>2429</v>
      </c>
      <c r="L1086" s="107">
        <v>22811300</v>
      </c>
      <c r="M1086" s="37">
        <v>5216333359202</v>
      </c>
      <c r="N1086" s="169" t="s">
        <v>263</v>
      </c>
      <c r="O1086" s="48">
        <v>9081.52</v>
      </c>
      <c r="P1086" s="95">
        <v>2517.33</v>
      </c>
      <c r="Q1086" s="8">
        <v>2724.46</v>
      </c>
      <c r="R1086" s="13">
        <v>207.13</v>
      </c>
      <c r="S1086" s="70">
        <v>46029</v>
      </c>
      <c r="T1086" s="6"/>
      <c r="U1086" s="164"/>
      <c r="V1086" s="1"/>
      <c r="X1086" s="101">
        <v>2</v>
      </c>
    </row>
    <row r="1087" spans="2:24" hidden="1">
      <c r="B1087" s="10" t="s">
        <v>2430</v>
      </c>
      <c r="C1087" s="24">
        <v>46221.557638888888</v>
      </c>
      <c r="D1087" s="10" t="s">
        <v>24</v>
      </c>
      <c r="E1087" s="10"/>
      <c r="F1087" s="27">
        <v>46221</v>
      </c>
      <c r="G1087" s="28" t="s">
        <v>2142</v>
      </c>
      <c r="H1087" s="161" t="s">
        <v>170</v>
      </c>
      <c r="I1087" s="10" t="s">
        <v>2431</v>
      </c>
      <c r="J1087" s="195"/>
      <c r="K1087" s="181" t="s">
        <v>2432</v>
      </c>
      <c r="L1087" s="108">
        <v>22790240</v>
      </c>
      <c r="M1087" s="36">
        <v>5214441113827</v>
      </c>
      <c r="N1087" s="170" t="s">
        <v>28</v>
      </c>
      <c r="O1087" s="49">
        <v>6262.86</v>
      </c>
      <c r="P1087" s="96"/>
      <c r="Q1087" s="11">
        <v>1878.86</v>
      </c>
      <c r="R1087" s="14">
        <v>1878.86</v>
      </c>
      <c r="S1087" s="71"/>
      <c r="T1087" s="10"/>
      <c r="U1087" s="97"/>
      <c r="V1087" s="1"/>
      <c r="X1087" s="101">
        <v>1</v>
      </c>
    </row>
    <row r="1088" spans="2:24" hidden="1">
      <c r="B1088" s="6" t="s">
        <v>2433</v>
      </c>
      <c r="C1088" s="23">
        <v>46221.57916666667</v>
      </c>
      <c r="D1088" s="6" t="s">
        <v>24</v>
      </c>
      <c r="E1088" s="6"/>
      <c r="F1088" s="27">
        <v>46221</v>
      </c>
      <c r="G1088" s="27" t="s">
        <v>2142</v>
      </c>
      <c r="H1088" s="18" t="s">
        <v>170</v>
      </c>
      <c r="I1088" s="6" t="s">
        <v>2434</v>
      </c>
      <c r="J1088" s="196"/>
      <c r="K1088" s="180" t="s">
        <v>2435</v>
      </c>
      <c r="L1088" s="108">
        <v>22796632</v>
      </c>
      <c r="M1088" s="37">
        <v>5215630998811</v>
      </c>
      <c r="N1088" s="169" t="s">
        <v>37</v>
      </c>
      <c r="O1088" s="48">
        <v>14003.54</v>
      </c>
      <c r="P1088" s="95">
        <v>4033.91</v>
      </c>
      <c r="Q1088" s="8">
        <v>4201.0600000000004</v>
      </c>
      <c r="R1088" s="13">
        <v>167.15</v>
      </c>
      <c r="S1088" s="70">
        <v>46397</v>
      </c>
      <c r="T1088" s="6" t="s">
        <v>192</v>
      </c>
      <c r="U1088" s="164"/>
      <c r="V1088" s="1"/>
      <c r="X1088" s="101">
        <v>2</v>
      </c>
    </row>
    <row r="1089" spans="2:24" hidden="1">
      <c r="B1089" s="10" t="s">
        <v>2436</v>
      </c>
      <c r="C1089" s="24">
        <v>46221.592361111114</v>
      </c>
      <c r="D1089" s="10" t="s">
        <v>24</v>
      </c>
      <c r="E1089" s="10"/>
      <c r="F1089" s="27">
        <v>46221</v>
      </c>
      <c r="G1089" s="28" t="s">
        <v>2236</v>
      </c>
      <c r="H1089" s="10" t="s">
        <v>81</v>
      </c>
      <c r="I1089" s="10" t="s">
        <v>2437</v>
      </c>
      <c r="J1089" s="195"/>
      <c r="K1089" s="181" t="s">
        <v>2438</v>
      </c>
      <c r="L1089" s="108">
        <v>22815264</v>
      </c>
      <c r="M1089" s="36">
        <v>5219221857623</v>
      </c>
      <c r="N1089" s="170" t="s">
        <v>32</v>
      </c>
      <c r="O1089" s="49">
        <v>3881.65</v>
      </c>
      <c r="P1089" s="96"/>
      <c r="Q1089" s="11">
        <v>1164.5</v>
      </c>
      <c r="R1089" s="12">
        <v>0</v>
      </c>
      <c r="S1089" s="71"/>
      <c r="T1089" s="10"/>
      <c r="U1089" s="97"/>
      <c r="V1089" s="1"/>
      <c r="X1089" s="101">
        <v>1</v>
      </c>
    </row>
    <row r="1090" spans="2:24" hidden="1">
      <c r="B1090" s="6" t="s">
        <v>2416</v>
      </c>
      <c r="C1090" s="23">
        <v>46221.603472222225</v>
      </c>
      <c r="D1090" s="6" t="s">
        <v>24</v>
      </c>
      <c r="E1090" s="6"/>
      <c r="F1090" s="27">
        <v>46221</v>
      </c>
      <c r="G1090" s="27" t="s">
        <v>2236</v>
      </c>
      <c r="H1090" s="6" t="s">
        <v>51</v>
      </c>
      <c r="I1090" s="6" t="s">
        <v>2439</v>
      </c>
      <c r="J1090" s="196">
        <v>6836423019</v>
      </c>
      <c r="K1090" s="180" t="s">
        <v>2440</v>
      </c>
      <c r="L1090" s="108">
        <v>22785562</v>
      </c>
      <c r="M1090" s="37">
        <v>5218717826960</v>
      </c>
      <c r="N1090" s="169" t="s">
        <v>37</v>
      </c>
      <c r="O1090" s="48">
        <v>60386.34</v>
      </c>
      <c r="P1090" s="95">
        <v>18398.21</v>
      </c>
      <c r="Q1090" s="8">
        <v>18115.900000000001</v>
      </c>
      <c r="R1090" s="13">
        <v>-282.31</v>
      </c>
      <c r="S1090" s="70">
        <v>46393</v>
      </c>
      <c r="T1090" s="6"/>
      <c r="U1090" s="164"/>
      <c r="V1090" s="1"/>
      <c r="X1090" s="101">
        <v>2</v>
      </c>
    </row>
    <row r="1091" spans="2:24" hidden="1">
      <c r="B1091" s="10" t="s">
        <v>2441</v>
      </c>
      <c r="C1091" s="24">
        <v>46221.613888888889</v>
      </c>
      <c r="D1091" s="10" t="s">
        <v>24</v>
      </c>
      <c r="E1091" s="10"/>
      <c r="F1091" s="27">
        <v>46221</v>
      </c>
      <c r="G1091" s="28" t="s">
        <v>2236</v>
      </c>
      <c r="H1091" s="10" t="s">
        <v>39</v>
      </c>
      <c r="I1091" s="10" t="s">
        <v>2442</v>
      </c>
      <c r="J1091" s="195">
        <v>96907404303</v>
      </c>
      <c r="K1091" s="181" t="s">
        <v>2443</v>
      </c>
      <c r="L1091" s="108">
        <v>22815080</v>
      </c>
      <c r="M1091" s="36">
        <v>5216563731705</v>
      </c>
      <c r="N1091" s="170" t="s">
        <v>37</v>
      </c>
      <c r="O1091" s="49">
        <v>7135.6</v>
      </c>
      <c r="P1091" s="96">
        <v>2131.38</v>
      </c>
      <c r="Q1091" s="11">
        <v>2140.6799999999998</v>
      </c>
      <c r="R1091" s="12">
        <v>9.3000000000000007</v>
      </c>
      <c r="S1091" s="71">
        <v>46266</v>
      </c>
      <c r="T1091" s="10"/>
      <c r="U1091" s="97"/>
      <c r="V1091" s="1"/>
      <c r="X1091" s="101">
        <v>2</v>
      </c>
    </row>
    <row r="1092" spans="2:24" hidden="1">
      <c r="B1092" s="6" t="s">
        <v>2444</v>
      </c>
      <c r="C1092" s="23">
        <v>46221.618750000001</v>
      </c>
      <c r="D1092" s="6" t="s">
        <v>24</v>
      </c>
      <c r="E1092" s="6"/>
      <c r="F1092" s="27">
        <v>46221</v>
      </c>
      <c r="G1092" s="27">
        <v>46119</v>
      </c>
      <c r="H1092" s="10" t="s">
        <v>68</v>
      </c>
      <c r="I1092" s="6"/>
      <c r="J1092" s="196">
        <v>11775826297</v>
      </c>
      <c r="K1092" s="180"/>
      <c r="L1092" s="107">
        <v>22288918</v>
      </c>
      <c r="M1092" s="37">
        <v>5219843122690</v>
      </c>
      <c r="N1092" s="169" t="s">
        <v>28</v>
      </c>
      <c r="O1092" s="48">
        <v>10905.17</v>
      </c>
      <c r="P1092" s="95"/>
      <c r="Q1092" s="8">
        <v>3271.55</v>
      </c>
      <c r="R1092" s="9">
        <v>3271.55</v>
      </c>
      <c r="S1092" s="70"/>
      <c r="T1092" s="6"/>
      <c r="U1092" s="164"/>
      <c r="V1092" s="1"/>
      <c r="X1092" s="101">
        <v>1</v>
      </c>
    </row>
    <row r="1093" spans="2:24" hidden="1">
      <c r="B1093" s="10" t="s">
        <v>2445</v>
      </c>
      <c r="C1093" s="24">
        <v>46221.630555555559</v>
      </c>
      <c r="D1093" s="10" t="s">
        <v>24</v>
      </c>
      <c r="E1093" s="10"/>
      <c r="F1093" s="27">
        <v>46221</v>
      </c>
      <c r="G1093" s="28" t="s">
        <v>2236</v>
      </c>
      <c r="H1093" s="10" t="s">
        <v>269</v>
      </c>
      <c r="I1093" s="10" t="s">
        <v>2446</v>
      </c>
      <c r="J1093" s="195">
        <v>43806168720</v>
      </c>
      <c r="K1093" s="181" t="s">
        <v>2447</v>
      </c>
      <c r="L1093" s="108">
        <v>22815404</v>
      </c>
      <c r="M1093" s="36">
        <v>5218126434144</v>
      </c>
      <c r="N1093" s="170" t="s">
        <v>130</v>
      </c>
      <c r="O1093" s="49">
        <v>12220.53</v>
      </c>
      <c r="P1093" s="96">
        <v>3392.85</v>
      </c>
      <c r="Q1093" s="11">
        <v>3666.16</v>
      </c>
      <c r="R1093" s="12">
        <v>273.31</v>
      </c>
      <c r="S1093" s="71">
        <v>45302</v>
      </c>
      <c r="T1093" s="10"/>
      <c r="U1093" s="97"/>
      <c r="V1093" s="1"/>
      <c r="X1093" s="101">
        <v>2</v>
      </c>
    </row>
    <row r="1094" spans="2:24" hidden="1">
      <c r="B1094" s="6" t="s">
        <v>2448</v>
      </c>
      <c r="C1094" s="23">
        <v>46221.634027777778</v>
      </c>
      <c r="D1094" s="6" t="s">
        <v>24</v>
      </c>
      <c r="E1094" s="6"/>
      <c r="F1094" s="27">
        <v>46221</v>
      </c>
      <c r="G1094" s="27" t="s">
        <v>2236</v>
      </c>
      <c r="H1094" s="6" t="s">
        <v>160</v>
      </c>
      <c r="I1094" s="6" t="s">
        <v>2449</v>
      </c>
      <c r="J1094" s="196">
        <v>65886532137</v>
      </c>
      <c r="K1094" s="180" t="s">
        <v>2450</v>
      </c>
      <c r="L1094" s="107">
        <v>22810186</v>
      </c>
      <c r="M1094" s="37">
        <v>5217821059075</v>
      </c>
      <c r="N1094" s="169" t="s">
        <v>74</v>
      </c>
      <c r="O1094" s="48"/>
      <c r="P1094" s="95"/>
      <c r="Q1094" s="8">
        <v>0</v>
      </c>
      <c r="R1094" s="13">
        <v>0</v>
      </c>
      <c r="S1094" s="70"/>
      <c r="T1094" s="6"/>
      <c r="U1094" s="164"/>
      <c r="V1094" s="1"/>
      <c r="X1094" s="101">
        <v>1</v>
      </c>
    </row>
    <row r="1095" spans="2:24" hidden="1">
      <c r="B1095" s="10" t="s">
        <v>2451</v>
      </c>
      <c r="C1095" s="24">
        <v>46221.638194444444</v>
      </c>
      <c r="D1095" s="10" t="s">
        <v>24</v>
      </c>
      <c r="E1095" s="10"/>
      <c r="F1095" s="27">
        <v>46221</v>
      </c>
      <c r="G1095" s="28" t="s">
        <v>2236</v>
      </c>
      <c r="H1095" s="161" t="s">
        <v>71</v>
      </c>
      <c r="I1095" s="10" t="s">
        <v>2452</v>
      </c>
      <c r="J1095" s="193">
        <v>11816122615</v>
      </c>
      <c r="K1095" s="181"/>
      <c r="L1095" s="108">
        <v>22816620</v>
      </c>
      <c r="M1095" s="36">
        <v>5219981668517</v>
      </c>
      <c r="N1095" s="170" t="s">
        <v>106</v>
      </c>
      <c r="O1095" s="49">
        <v>7059.87</v>
      </c>
      <c r="P1095" s="96">
        <v>2117.96</v>
      </c>
      <c r="Q1095" s="11">
        <v>2117.96</v>
      </c>
      <c r="R1095" s="12">
        <v>0</v>
      </c>
      <c r="S1095" s="71">
        <v>46028</v>
      </c>
      <c r="T1095" s="10"/>
      <c r="U1095" s="97"/>
      <c r="V1095" s="1"/>
      <c r="X1095" s="101">
        <v>2</v>
      </c>
    </row>
    <row r="1096" spans="2:24" hidden="1">
      <c r="B1096" s="6" t="s">
        <v>2453</v>
      </c>
      <c r="C1096" s="23">
        <v>46221.638194444444</v>
      </c>
      <c r="D1096" s="6" t="s">
        <v>24</v>
      </c>
      <c r="E1096" s="6"/>
      <c r="F1096" s="27">
        <v>46221</v>
      </c>
      <c r="G1096" s="27" t="s">
        <v>2236</v>
      </c>
      <c r="H1096" s="18" t="s">
        <v>170</v>
      </c>
      <c r="I1096" s="6" t="s">
        <v>2454</v>
      </c>
      <c r="J1096" s="196">
        <v>33715103926</v>
      </c>
      <c r="K1096" s="180" t="s">
        <v>2455</v>
      </c>
      <c r="L1096" s="107">
        <v>22816648</v>
      </c>
      <c r="M1096" s="37">
        <v>5216252068073</v>
      </c>
      <c r="N1096" s="169" t="s">
        <v>98</v>
      </c>
      <c r="O1096" s="48"/>
      <c r="P1096" s="95"/>
      <c r="Q1096" s="8">
        <v>0</v>
      </c>
      <c r="R1096" s="13">
        <v>0</v>
      </c>
      <c r="S1096" s="70"/>
      <c r="T1096" s="6"/>
      <c r="U1096" s="164"/>
      <c r="V1096" s="1"/>
      <c r="X1096" s="101">
        <v>0</v>
      </c>
    </row>
    <row r="1097" spans="2:24" hidden="1">
      <c r="B1097" s="10" t="s">
        <v>2456</v>
      </c>
      <c r="C1097" s="24">
        <v>46221.643055555556</v>
      </c>
      <c r="D1097" s="10" t="s">
        <v>24</v>
      </c>
      <c r="E1097" s="10"/>
      <c r="F1097" s="27">
        <v>46221</v>
      </c>
      <c r="G1097" s="28" t="s">
        <v>2236</v>
      </c>
      <c r="H1097" s="20" t="s">
        <v>170</v>
      </c>
      <c r="I1097" s="10" t="s">
        <v>2457</v>
      </c>
      <c r="J1097" s="195"/>
      <c r="K1097" s="181" t="s">
        <v>2458</v>
      </c>
      <c r="L1097" s="108">
        <v>22817992</v>
      </c>
      <c r="M1097" s="36">
        <v>5218441827321</v>
      </c>
      <c r="N1097" s="170" t="s">
        <v>37</v>
      </c>
      <c r="O1097" s="49">
        <v>9760.33</v>
      </c>
      <c r="P1097" s="96">
        <v>2821.69</v>
      </c>
      <c r="Q1097" s="11">
        <v>2928.1</v>
      </c>
      <c r="R1097" s="12">
        <v>106.41</v>
      </c>
      <c r="S1097" s="71">
        <v>46396</v>
      </c>
      <c r="T1097" s="10"/>
      <c r="U1097" s="97"/>
      <c r="V1097" s="1"/>
      <c r="X1097" s="101">
        <v>2</v>
      </c>
    </row>
    <row r="1098" spans="2:24" hidden="1">
      <c r="B1098" s="6" t="s">
        <v>2459</v>
      </c>
      <c r="C1098" s="23">
        <v>46221.644444444442</v>
      </c>
      <c r="D1098" s="6" t="s">
        <v>24</v>
      </c>
      <c r="E1098" s="6"/>
      <c r="F1098" s="27">
        <v>46221</v>
      </c>
      <c r="G1098" s="27" t="s">
        <v>2236</v>
      </c>
      <c r="H1098" s="18" t="s">
        <v>71</v>
      </c>
      <c r="I1098" s="6" t="s">
        <v>2460</v>
      </c>
      <c r="J1098" s="196"/>
      <c r="K1098" s="180" t="s">
        <v>2461</v>
      </c>
      <c r="L1098" s="107">
        <v>22817454</v>
      </c>
      <c r="M1098" s="37">
        <v>5217757567713</v>
      </c>
      <c r="N1098" s="169" t="s">
        <v>32</v>
      </c>
      <c r="O1098" s="48">
        <v>4074.36</v>
      </c>
      <c r="P1098" s="95">
        <v>848</v>
      </c>
      <c r="Q1098" s="8">
        <v>1222.31</v>
      </c>
      <c r="R1098" s="13">
        <v>-848</v>
      </c>
      <c r="S1098" s="70"/>
      <c r="T1098" s="6"/>
      <c r="U1098" s="164"/>
      <c r="V1098" s="1"/>
      <c r="X1098" s="101">
        <v>1</v>
      </c>
    </row>
    <row r="1099" spans="2:24" hidden="1">
      <c r="B1099" s="10" t="s">
        <v>2462</v>
      </c>
      <c r="C1099" s="24">
        <v>46221.652083333334</v>
      </c>
      <c r="D1099" s="10" t="s">
        <v>24</v>
      </c>
      <c r="E1099" s="10"/>
      <c r="F1099" s="27">
        <v>46221</v>
      </c>
      <c r="G1099" s="28" t="s">
        <v>2142</v>
      </c>
      <c r="H1099" s="10" t="s">
        <v>51</v>
      </c>
      <c r="I1099" s="10" t="s">
        <v>2463</v>
      </c>
      <c r="J1099" s="195">
        <v>17796167876</v>
      </c>
      <c r="K1099" s="181" t="s">
        <v>2464</v>
      </c>
      <c r="L1099" s="108">
        <v>22803380</v>
      </c>
      <c r="M1099" s="36">
        <v>5215530553308</v>
      </c>
      <c r="N1099" s="170" t="s">
        <v>32</v>
      </c>
      <c r="O1099" s="49">
        <v>4117.5200000000004</v>
      </c>
      <c r="P1099" s="96"/>
      <c r="Q1099" s="11">
        <v>1235.26</v>
      </c>
      <c r="R1099" s="12">
        <v>0</v>
      </c>
      <c r="S1099" s="71"/>
      <c r="T1099" s="10"/>
      <c r="U1099" s="97"/>
      <c r="V1099" s="1"/>
      <c r="X1099" s="101">
        <v>1</v>
      </c>
    </row>
    <row r="1100" spans="2:24" hidden="1">
      <c r="B1100" s="6" t="s">
        <v>2465</v>
      </c>
      <c r="C1100" s="23">
        <v>46221.65347222222</v>
      </c>
      <c r="D1100" s="6" t="s">
        <v>24</v>
      </c>
      <c r="E1100" s="6"/>
      <c r="F1100" s="27">
        <v>46221</v>
      </c>
      <c r="G1100" s="27" t="s">
        <v>2236</v>
      </c>
      <c r="H1100" s="18" t="s">
        <v>71</v>
      </c>
      <c r="I1100" s="6" t="s">
        <v>2466</v>
      </c>
      <c r="J1100" s="196"/>
      <c r="K1100" s="180" t="s">
        <v>2467</v>
      </c>
      <c r="L1100" s="107">
        <v>22818066</v>
      </c>
      <c r="M1100" s="37">
        <v>5213327479447</v>
      </c>
      <c r="N1100" s="169" t="s">
        <v>74</v>
      </c>
      <c r="O1100" s="48"/>
      <c r="P1100" s="95"/>
      <c r="Q1100" s="8">
        <v>0</v>
      </c>
      <c r="R1100" s="13">
        <v>0</v>
      </c>
      <c r="S1100" s="70"/>
      <c r="T1100" s="6"/>
      <c r="U1100" s="164"/>
      <c r="V1100" s="1"/>
      <c r="X1100" s="101">
        <v>1</v>
      </c>
    </row>
    <row r="1101" spans="2:24" hidden="1">
      <c r="B1101" s="10" t="s">
        <v>2465</v>
      </c>
      <c r="C1101" s="24">
        <v>46221.654166666667</v>
      </c>
      <c r="D1101" s="10" t="s">
        <v>24</v>
      </c>
      <c r="E1101" s="10"/>
      <c r="F1101" s="27">
        <v>46221</v>
      </c>
      <c r="G1101" s="28" t="s">
        <v>2236</v>
      </c>
      <c r="H1101" s="160" t="s">
        <v>26</v>
      </c>
      <c r="I1101" s="10" t="s">
        <v>2468</v>
      </c>
      <c r="J1101" s="195"/>
      <c r="K1101" s="181" t="s">
        <v>2469</v>
      </c>
      <c r="L1101" s="108">
        <v>22817806</v>
      </c>
      <c r="M1101" s="36">
        <v>5216861440714</v>
      </c>
      <c r="N1101" s="170" t="s">
        <v>263</v>
      </c>
      <c r="O1101" s="49">
        <v>6262.86</v>
      </c>
      <c r="P1101" s="96">
        <v>1656.97</v>
      </c>
      <c r="Q1101" s="11">
        <v>1878.86</v>
      </c>
      <c r="R1101" s="12">
        <v>221.89</v>
      </c>
      <c r="S1101" s="71">
        <v>45663</v>
      </c>
      <c r="T1101" s="10" t="s">
        <v>192</v>
      </c>
      <c r="U1101" s="97"/>
      <c r="V1101" s="1"/>
      <c r="X1101" s="101">
        <v>2</v>
      </c>
    </row>
    <row r="1102" spans="2:24" hidden="1">
      <c r="B1102" s="6" t="s">
        <v>2470</v>
      </c>
      <c r="C1102" s="23">
        <v>46221.654166666667</v>
      </c>
      <c r="D1102" s="6" t="s">
        <v>24</v>
      </c>
      <c r="E1102" s="6"/>
      <c r="F1102" s="27">
        <v>46221</v>
      </c>
      <c r="G1102" s="27" t="s">
        <v>2236</v>
      </c>
      <c r="H1102" s="6" t="s">
        <v>78</v>
      </c>
      <c r="I1102" s="6" t="s">
        <v>2471</v>
      </c>
      <c r="J1102" s="196">
        <v>33806342995</v>
      </c>
      <c r="K1102" s="180" t="s">
        <v>2472</v>
      </c>
      <c r="L1102" s="108">
        <v>22809180</v>
      </c>
      <c r="M1102" s="37">
        <v>5216141127463</v>
      </c>
      <c r="N1102" s="169" t="s">
        <v>37</v>
      </c>
      <c r="O1102" s="48">
        <v>7920.51</v>
      </c>
      <c r="P1102" s="95">
        <v>2361.73</v>
      </c>
      <c r="Q1102" s="8">
        <v>2376.15</v>
      </c>
      <c r="R1102" s="13">
        <v>14.42</v>
      </c>
      <c r="S1102" s="70">
        <v>46757</v>
      </c>
      <c r="T1102" s="6" t="s">
        <v>192</v>
      </c>
      <c r="U1102" s="164"/>
      <c r="V1102" s="1"/>
      <c r="X1102" s="101">
        <v>2</v>
      </c>
    </row>
    <row r="1103" spans="2:24" hidden="1">
      <c r="B1103" s="10" t="s">
        <v>2473</v>
      </c>
      <c r="C1103" s="24">
        <v>46221.660416666666</v>
      </c>
      <c r="D1103" s="10" t="s">
        <v>24</v>
      </c>
      <c r="E1103" s="10"/>
      <c r="F1103" s="27">
        <v>46221</v>
      </c>
      <c r="G1103" s="28" t="s">
        <v>2236</v>
      </c>
      <c r="H1103" s="10" t="s">
        <v>51</v>
      </c>
      <c r="I1103" s="10" t="s">
        <v>2474</v>
      </c>
      <c r="J1103" s="195">
        <v>19765910609</v>
      </c>
      <c r="K1103" s="181" t="s">
        <v>2475</v>
      </c>
      <c r="L1103" s="108">
        <v>22814374</v>
      </c>
      <c r="M1103" s="36">
        <v>5212791059896</v>
      </c>
      <c r="N1103" s="170" t="s">
        <v>32</v>
      </c>
      <c r="O1103" s="49">
        <v>4035.69</v>
      </c>
      <c r="P1103" s="96"/>
      <c r="Q1103" s="11">
        <v>1210.71</v>
      </c>
      <c r="R1103" s="12">
        <v>0</v>
      </c>
      <c r="S1103" s="71"/>
      <c r="T1103" s="10"/>
      <c r="U1103" s="97"/>
      <c r="V1103" s="1"/>
      <c r="X1103" s="101">
        <v>1</v>
      </c>
    </row>
    <row r="1104" spans="2:24" hidden="1">
      <c r="B1104" s="6" t="s">
        <v>2476</v>
      </c>
      <c r="C1104" s="23">
        <v>46221.666666666664</v>
      </c>
      <c r="D1104" s="6" t="s">
        <v>24</v>
      </c>
      <c r="E1104" s="6"/>
      <c r="F1104" s="27">
        <v>46221</v>
      </c>
      <c r="G1104" s="27" t="s">
        <v>2236</v>
      </c>
      <c r="H1104" s="7" t="s">
        <v>26</v>
      </c>
      <c r="I1104" s="6" t="s">
        <v>2477</v>
      </c>
      <c r="J1104" s="196"/>
      <c r="K1104" s="180" t="s">
        <v>2478</v>
      </c>
      <c r="L1104" s="107">
        <v>22818136</v>
      </c>
      <c r="M1104" s="37">
        <v>5218110258446</v>
      </c>
      <c r="N1104" s="169" t="s">
        <v>32</v>
      </c>
      <c r="O1104" s="48">
        <v>3941.18</v>
      </c>
      <c r="P1104" s="95">
        <v>848</v>
      </c>
      <c r="Q1104" s="8">
        <v>1182.3499999999999</v>
      </c>
      <c r="R1104" s="13">
        <v>-848</v>
      </c>
      <c r="S1104" s="70"/>
      <c r="T1104" s="6"/>
      <c r="U1104" s="164"/>
      <c r="V1104" s="1"/>
      <c r="X1104" s="101">
        <v>1</v>
      </c>
    </row>
    <row r="1105" spans="2:24" hidden="1">
      <c r="B1105" s="10" t="s">
        <v>2479</v>
      </c>
      <c r="C1105" s="24">
        <v>46221.672222222223</v>
      </c>
      <c r="D1105" s="10" t="s">
        <v>24</v>
      </c>
      <c r="E1105" s="10"/>
      <c r="F1105" s="27">
        <v>46221</v>
      </c>
      <c r="G1105" s="28" t="s">
        <v>2236</v>
      </c>
      <c r="H1105" s="20" t="s">
        <v>71</v>
      </c>
      <c r="I1105" s="10" t="s">
        <v>2480</v>
      </c>
      <c r="J1105" s="195">
        <v>65684716866</v>
      </c>
      <c r="K1105" s="181" t="s">
        <v>2481</v>
      </c>
      <c r="L1105" s="108">
        <v>22817652</v>
      </c>
      <c r="M1105" s="36">
        <v>5217841336761</v>
      </c>
      <c r="N1105" s="170" t="s">
        <v>32</v>
      </c>
      <c r="O1105" s="49">
        <v>4199.87</v>
      </c>
      <c r="P1105" s="96"/>
      <c r="Q1105" s="11">
        <v>1259.96</v>
      </c>
      <c r="R1105" s="12">
        <v>26.89</v>
      </c>
      <c r="S1105" s="71"/>
      <c r="T1105" s="10"/>
      <c r="U1105" s="97"/>
      <c r="V1105" s="1"/>
      <c r="X1105" s="101">
        <v>1</v>
      </c>
    </row>
    <row r="1106" spans="2:24" hidden="1">
      <c r="B1106" s="6" t="s">
        <v>2482</v>
      </c>
      <c r="C1106" s="23">
        <v>46221.688194444447</v>
      </c>
      <c r="D1106" s="6" t="s">
        <v>24</v>
      </c>
      <c r="E1106" s="6"/>
      <c r="F1106" s="27">
        <v>46221</v>
      </c>
      <c r="G1106" s="27" t="s">
        <v>2236</v>
      </c>
      <c r="H1106" s="6" t="s">
        <v>81</v>
      </c>
      <c r="I1106" s="6" t="s">
        <v>2483</v>
      </c>
      <c r="J1106" s="196"/>
      <c r="K1106" s="180" t="s">
        <v>2484</v>
      </c>
      <c r="L1106" s="108">
        <v>22809478</v>
      </c>
      <c r="M1106" s="37">
        <v>5215520928833</v>
      </c>
      <c r="N1106" s="169" t="s">
        <v>37</v>
      </c>
      <c r="O1106" s="48">
        <v>6185.36</v>
      </c>
      <c r="P1106" s="95">
        <v>1789.57</v>
      </c>
      <c r="Q1106" s="8">
        <v>1855.61</v>
      </c>
      <c r="R1106" s="13">
        <v>66.040000000000006</v>
      </c>
      <c r="S1106" s="70">
        <v>46393</v>
      </c>
      <c r="T1106" s="6"/>
      <c r="U1106" s="164"/>
      <c r="V1106" s="1"/>
      <c r="X1106" s="101">
        <v>2</v>
      </c>
    </row>
    <row r="1107" spans="2:24" hidden="1">
      <c r="B1107" s="10" t="s">
        <v>2485</v>
      </c>
      <c r="C1107" s="24">
        <v>46221.689583333333</v>
      </c>
      <c r="D1107" s="10" t="s">
        <v>24</v>
      </c>
      <c r="E1107" s="10"/>
      <c r="F1107" s="27">
        <v>46221</v>
      </c>
      <c r="G1107" s="28" t="s">
        <v>2236</v>
      </c>
      <c r="H1107" s="10" t="s">
        <v>1519</v>
      </c>
      <c r="I1107" s="10" t="s">
        <v>2486</v>
      </c>
      <c r="J1107" s="199">
        <v>21816442989</v>
      </c>
      <c r="K1107" s="181" t="s">
        <v>2487</v>
      </c>
      <c r="L1107" s="108">
        <v>22803182</v>
      </c>
      <c r="M1107" s="36">
        <v>5216642574095</v>
      </c>
      <c r="N1107" s="170" t="s">
        <v>37</v>
      </c>
      <c r="O1107" s="49">
        <v>7116.73</v>
      </c>
      <c r="P1107" s="96">
        <v>2051.4299999999998</v>
      </c>
      <c r="Q1107" s="11">
        <v>2135.02</v>
      </c>
      <c r="R1107" s="12">
        <v>83.59</v>
      </c>
      <c r="S1107" s="71">
        <v>46394</v>
      </c>
      <c r="T1107" s="10" t="s">
        <v>2488</v>
      </c>
      <c r="U1107" s="97"/>
      <c r="V1107" s="1"/>
      <c r="X1107" s="101">
        <v>2</v>
      </c>
    </row>
    <row r="1108" spans="2:24" hidden="1">
      <c r="B1108" s="6" t="s">
        <v>2489</v>
      </c>
      <c r="C1108" s="23">
        <v>46221.693055555559</v>
      </c>
      <c r="D1108" s="6" t="s">
        <v>24</v>
      </c>
      <c r="E1108" s="6"/>
      <c r="F1108" s="27">
        <v>46221</v>
      </c>
      <c r="G1108" s="27" t="s">
        <v>2236</v>
      </c>
      <c r="H1108" s="6" t="s">
        <v>103</v>
      </c>
      <c r="I1108" s="6" t="s">
        <v>684</v>
      </c>
      <c r="J1108" s="197">
        <v>54796150685</v>
      </c>
      <c r="K1108" s="183" t="s">
        <v>2490</v>
      </c>
      <c r="L1108" s="108">
        <v>1</v>
      </c>
      <c r="M1108" s="38">
        <v>3311302657</v>
      </c>
      <c r="N1108" s="169" t="s">
        <v>37</v>
      </c>
      <c r="O1108" s="48">
        <v>19375.32</v>
      </c>
      <c r="P1108" s="95">
        <v>5599.45</v>
      </c>
      <c r="Q1108" s="8">
        <v>5812.6</v>
      </c>
      <c r="R1108" s="13">
        <v>213.15</v>
      </c>
      <c r="S1108" s="70">
        <v>46033</v>
      </c>
      <c r="T1108" s="6"/>
      <c r="U1108" s="164"/>
      <c r="V1108" s="1"/>
      <c r="X1108" s="101">
        <v>2</v>
      </c>
    </row>
    <row r="1109" spans="2:24" hidden="1">
      <c r="B1109" s="10" t="s">
        <v>2491</v>
      </c>
      <c r="C1109" s="24">
        <v>46221.696527777778</v>
      </c>
      <c r="D1109" s="10" t="s">
        <v>24</v>
      </c>
      <c r="E1109" s="10"/>
      <c r="F1109" s="27">
        <v>46221</v>
      </c>
      <c r="G1109" s="28" t="s">
        <v>2236</v>
      </c>
      <c r="H1109" s="20" t="s">
        <v>71</v>
      </c>
      <c r="I1109" s="10" t="s">
        <v>2492</v>
      </c>
      <c r="J1109" s="195"/>
      <c r="K1109" s="181" t="s">
        <v>2493</v>
      </c>
      <c r="L1109" s="108">
        <v>22818568</v>
      </c>
      <c r="M1109" s="36">
        <v>5215569017074</v>
      </c>
      <c r="N1109" s="170" t="s">
        <v>98</v>
      </c>
      <c r="O1109" s="49"/>
      <c r="P1109" s="96"/>
      <c r="Q1109" s="11">
        <v>0</v>
      </c>
      <c r="R1109" s="12">
        <v>0</v>
      </c>
      <c r="S1109" s="71"/>
      <c r="T1109" s="10"/>
      <c r="U1109" s="97"/>
      <c r="V1109" s="1"/>
      <c r="X1109" s="101">
        <v>0</v>
      </c>
    </row>
    <row r="1110" spans="2:24" hidden="1">
      <c r="B1110" s="6" t="s">
        <v>2494</v>
      </c>
      <c r="C1110" s="23">
        <v>46221.703472222223</v>
      </c>
      <c r="D1110" s="6" t="s">
        <v>24</v>
      </c>
      <c r="E1110" s="6"/>
      <c r="F1110" s="27">
        <v>46221</v>
      </c>
      <c r="G1110" s="27" t="s">
        <v>2236</v>
      </c>
      <c r="H1110" s="7" t="s">
        <v>476</v>
      </c>
      <c r="I1110" s="6" t="s">
        <v>2495</v>
      </c>
      <c r="J1110" s="196">
        <v>31805701021</v>
      </c>
      <c r="K1110" s="180" t="s">
        <v>2496</v>
      </c>
      <c r="L1110" s="108">
        <v>22817650</v>
      </c>
      <c r="M1110" s="37">
        <v>5218714079979</v>
      </c>
      <c r="N1110" s="169" t="s">
        <v>37</v>
      </c>
      <c r="O1110" s="48">
        <v>7128.48</v>
      </c>
      <c r="P1110" s="95">
        <v>2133.36</v>
      </c>
      <c r="Q1110" s="8">
        <v>2138.54</v>
      </c>
      <c r="R1110" s="13">
        <v>5.18</v>
      </c>
      <c r="S1110" s="70">
        <v>46760</v>
      </c>
      <c r="T1110" s="6"/>
      <c r="U1110" s="164"/>
      <c r="V1110" s="1"/>
      <c r="X1110" s="101">
        <v>2</v>
      </c>
    </row>
    <row r="1111" spans="2:24" hidden="1">
      <c r="B1111" s="10" t="s">
        <v>2497</v>
      </c>
      <c r="C1111" s="24">
        <v>46221.711111111108</v>
      </c>
      <c r="D1111" s="10" t="s">
        <v>24</v>
      </c>
      <c r="E1111" s="10"/>
      <c r="F1111" s="27">
        <v>46221</v>
      </c>
      <c r="G1111" s="28" t="s">
        <v>2236</v>
      </c>
      <c r="H1111" s="20" t="s">
        <v>71</v>
      </c>
      <c r="I1111" s="10" t="s">
        <v>2498</v>
      </c>
      <c r="J1111" s="195"/>
      <c r="K1111" s="181" t="s">
        <v>2499</v>
      </c>
      <c r="L1111" s="108">
        <v>22819334</v>
      </c>
      <c r="M1111" s="36">
        <v>5217832269403</v>
      </c>
      <c r="N1111" s="170" t="s">
        <v>98</v>
      </c>
      <c r="O1111" s="49"/>
      <c r="P1111" s="96"/>
      <c r="Q1111" s="11">
        <v>0</v>
      </c>
      <c r="R1111" s="12">
        <v>0</v>
      </c>
      <c r="S1111" s="71"/>
      <c r="T1111" s="10"/>
      <c r="U1111" s="97"/>
      <c r="V1111" s="1"/>
      <c r="X1111" s="101">
        <v>0</v>
      </c>
    </row>
    <row r="1112" spans="2:24" hidden="1">
      <c r="B1112" s="6" t="s">
        <v>2500</v>
      </c>
      <c r="C1112" s="23">
        <v>46221.715277777781</v>
      </c>
      <c r="D1112" s="6" t="s">
        <v>24</v>
      </c>
      <c r="E1112" s="6"/>
      <c r="F1112" s="27">
        <v>46221</v>
      </c>
      <c r="G1112" s="27" t="s">
        <v>2236</v>
      </c>
      <c r="H1112" s="6" t="s">
        <v>160</v>
      </c>
      <c r="I1112" s="6" t="s">
        <v>2501</v>
      </c>
      <c r="J1112" s="196">
        <v>61826202311</v>
      </c>
      <c r="K1112" s="180" t="s">
        <v>2502</v>
      </c>
      <c r="L1112" s="108">
        <v>22808358</v>
      </c>
      <c r="M1112" s="37">
        <v>5212227319459</v>
      </c>
      <c r="N1112" s="169" t="s">
        <v>37</v>
      </c>
      <c r="O1112" s="48">
        <v>9081.52</v>
      </c>
      <c r="P1112" s="95">
        <v>2627.5</v>
      </c>
      <c r="Q1112" s="8">
        <v>2724.46</v>
      </c>
      <c r="R1112" s="13">
        <v>96.96</v>
      </c>
      <c r="S1112" s="70">
        <v>46388</v>
      </c>
      <c r="T1112" s="6" t="s">
        <v>2488</v>
      </c>
      <c r="U1112" s="164"/>
      <c r="V1112" s="1"/>
      <c r="X1112" s="101">
        <v>2</v>
      </c>
    </row>
    <row r="1113" spans="2:24" hidden="1">
      <c r="B1113" s="10" t="s">
        <v>2503</v>
      </c>
      <c r="C1113" s="24">
        <v>46221.720138888886</v>
      </c>
      <c r="D1113" s="10" t="s">
        <v>24</v>
      </c>
      <c r="E1113" s="10"/>
      <c r="F1113" s="27">
        <v>46221</v>
      </c>
      <c r="G1113" s="28" t="s">
        <v>2236</v>
      </c>
      <c r="H1113" s="15" t="s">
        <v>26</v>
      </c>
      <c r="I1113" s="10" t="s">
        <v>2504</v>
      </c>
      <c r="J1113" s="195">
        <v>1805918032</v>
      </c>
      <c r="K1113" s="181" t="s">
        <v>2505</v>
      </c>
      <c r="L1113" s="108">
        <v>22819490</v>
      </c>
      <c r="M1113" s="36">
        <v>5215626111907</v>
      </c>
      <c r="N1113" s="170" t="s">
        <v>37</v>
      </c>
      <c r="O1113" s="49">
        <v>5466.39</v>
      </c>
      <c r="P1113" s="96">
        <v>1181.68</v>
      </c>
      <c r="Q1113" s="11">
        <v>1639.92</v>
      </c>
      <c r="R1113" s="12">
        <v>111.73</v>
      </c>
      <c r="S1113" s="71">
        <v>46388</v>
      </c>
      <c r="T1113" s="10" t="s">
        <v>362</v>
      </c>
      <c r="U1113" s="97"/>
      <c r="V1113" s="1"/>
      <c r="X1113" s="101">
        <v>2</v>
      </c>
    </row>
    <row r="1114" spans="2:24" hidden="1">
      <c r="B1114" s="6" t="s">
        <v>2506</v>
      </c>
      <c r="C1114" s="23">
        <v>46221.725694444445</v>
      </c>
      <c r="D1114" s="6" t="s">
        <v>24</v>
      </c>
      <c r="E1114" s="6"/>
      <c r="F1114" s="27">
        <v>46221</v>
      </c>
      <c r="G1114" s="27" t="s">
        <v>2236</v>
      </c>
      <c r="H1114" s="6" t="s">
        <v>160</v>
      </c>
      <c r="I1114" s="6" t="s">
        <v>2507</v>
      </c>
      <c r="J1114" s="196">
        <v>33816562541</v>
      </c>
      <c r="K1114" s="180" t="s">
        <v>2508</v>
      </c>
      <c r="L1114" s="108">
        <v>22806692</v>
      </c>
      <c r="M1114" s="37">
        <v>5218611312927</v>
      </c>
      <c r="N1114" s="169" t="s">
        <v>37</v>
      </c>
      <c r="O1114" s="48">
        <v>9760.32</v>
      </c>
      <c r="P1114" s="95">
        <v>2800.52</v>
      </c>
      <c r="Q1114" s="8">
        <v>2928.1</v>
      </c>
      <c r="R1114" s="13">
        <v>127.58</v>
      </c>
      <c r="S1114" s="70">
        <v>46398</v>
      </c>
      <c r="T1114" s="6" t="s">
        <v>178</v>
      </c>
      <c r="U1114" s="164"/>
      <c r="V1114" s="1"/>
      <c r="X1114" s="101">
        <v>2</v>
      </c>
    </row>
    <row r="1115" spans="2:24" hidden="1">
      <c r="B1115" s="10" t="s">
        <v>2509</v>
      </c>
      <c r="C1115" s="24">
        <v>46221.728472222225</v>
      </c>
      <c r="D1115" s="10" t="s">
        <v>24</v>
      </c>
      <c r="E1115" s="10"/>
      <c r="F1115" s="27">
        <v>46221</v>
      </c>
      <c r="G1115" s="28" t="s">
        <v>2236</v>
      </c>
      <c r="H1115" s="10" t="s">
        <v>68</v>
      </c>
      <c r="I1115" s="10" t="s">
        <v>2510</v>
      </c>
      <c r="J1115" s="195"/>
      <c r="K1115" s="181" t="s">
        <v>2511</v>
      </c>
      <c r="L1115" s="108">
        <v>22808336</v>
      </c>
      <c r="M1115" s="36">
        <v>5218120405929</v>
      </c>
      <c r="N1115" s="170" t="s">
        <v>37</v>
      </c>
      <c r="O1115" s="49">
        <v>7116.73</v>
      </c>
      <c r="P1115" s="96">
        <v>2058.6</v>
      </c>
      <c r="Q1115" s="11">
        <v>2135.02</v>
      </c>
      <c r="R1115" s="12">
        <v>76.42</v>
      </c>
      <c r="S1115" s="71">
        <v>46393</v>
      </c>
      <c r="T1115" s="10"/>
      <c r="U1115" s="97"/>
      <c r="V1115" s="1"/>
      <c r="X1115" s="101">
        <v>2</v>
      </c>
    </row>
    <row r="1116" spans="2:24" hidden="1">
      <c r="B1116" s="6" t="s">
        <v>2512</v>
      </c>
      <c r="C1116" s="23">
        <v>46221.736111111109</v>
      </c>
      <c r="D1116" s="6" t="s">
        <v>24</v>
      </c>
      <c r="E1116" s="6"/>
      <c r="F1116" s="27">
        <v>46221</v>
      </c>
      <c r="G1116" s="27" t="s">
        <v>2236</v>
      </c>
      <c r="H1116" s="6" t="s">
        <v>81</v>
      </c>
      <c r="I1116" s="6" t="s">
        <v>2513</v>
      </c>
      <c r="J1116" s="196">
        <v>6845500559</v>
      </c>
      <c r="K1116" s="180"/>
      <c r="L1116" s="108">
        <v>22812694</v>
      </c>
      <c r="M1116" s="37">
        <v>5215572931299</v>
      </c>
      <c r="N1116" s="169" t="s">
        <v>37</v>
      </c>
      <c r="O1116" s="48">
        <v>20002.75</v>
      </c>
      <c r="P1116" s="95">
        <v>5999.17</v>
      </c>
      <c r="Q1116" s="8">
        <v>6000.83</v>
      </c>
      <c r="R1116" s="13">
        <v>1.65</v>
      </c>
      <c r="S1116" s="70">
        <v>46389</v>
      </c>
      <c r="T1116" s="6"/>
      <c r="U1116" s="164"/>
      <c r="V1116" s="1"/>
      <c r="X1116" s="101">
        <v>2</v>
      </c>
    </row>
    <row r="1117" spans="2:24" hidden="1">
      <c r="B1117" s="10" t="s">
        <v>2514</v>
      </c>
      <c r="C1117" s="24">
        <v>46221.771527777775</v>
      </c>
      <c r="D1117" s="10" t="s">
        <v>24</v>
      </c>
      <c r="E1117" s="10"/>
      <c r="F1117" s="27">
        <v>46221</v>
      </c>
      <c r="G1117" s="28" t="s">
        <v>2236</v>
      </c>
      <c r="H1117" s="15" t="s">
        <v>476</v>
      </c>
      <c r="I1117" s="10" t="s">
        <v>2515</v>
      </c>
      <c r="J1117" s="195">
        <v>67735308701</v>
      </c>
      <c r="K1117" s="181"/>
      <c r="L1117" s="108">
        <v>22819592</v>
      </c>
      <c r="M1117" s="36">
        <v>5219241275041</v>
      </c>
      <c r="N1117" s="170" t="s">
        <v>32</v>
      </c>
      <c r="O1117" s="49">
        <v>3184.12</v>
      </c>
      <c r="P1117" s="96"/>
      <c r="Q1117" s="11">
        <v>955.24</v>
      </c>
      <c r="R1117" s="12">
        <v>0</v>
      </c>
      <c r="S1117" s="71"/>
      <c r="T1117" s="10"/>
      <c r="U1117" s="97"/>
      <c r="V1117" s="1"/>
      <c r="X1117" s="101">
        <v>1</v>
      </c>
    </row>
    <row r="1118" spans="2:24" hidden="1">
      <c r="B1118" s="6" t="s">
        <v>2516</v>
      </c>
      <c r="C1118" s="23">
        <v>46221.789583333331</v>
      </c>
      <c r="D1118" s="6" t="s">
        <v>24</v>
      </c>
      <c r="E1118" s="6"/>
      <c r="F1118" s="27">
        <v>46221</v>
      </c>
      <c r="G1118" s="27" t="s">
        <v>2236</v>
      </c>
      <c r="H1118" s="7" t="s">
        <v>26</v>
      </c>
      <c r="I1118" s="6" t="s">
        <v>2517</v>
      </c>
      <c r="J1118" s="196">
        <v>25957878073</v>
      </c>
      <c r="K1118" s="180"/>
      <c r="L1118" s="107">
        <v>22820934</v>
      </c>
      <c r="M1118" s="37">
        <v>5215649163640</v>
      </c>
      <c r="N1118" s="169" t="s">
        <v>98</v>
      </c>
      <c r="O1118" s="48"/>
      <c r="P1118" s="95"/>
      <c r="Q1118" s="8">
        <v>0</v>
      </c>
      <c r="R1118" s="13">
        <v>0</v>
      </c>
      <c r="S1118" s="70"/>
      <c r="T1118" s="6"/>
      <c r="U1118" s="164"/>
      <c r="V1118" s="1"/>
      <c r="X1118" s="101">
        <v>0</v>
      </c>
    </row>
    <row r="1119" spans="2:24" hidden="1">
      <c r="B1119" s="10" t="s">
        <v>2518</v>
      </c>
      <c r="C1119" s="24">
        <v>46222.338194444441</v>
      </c>
      <c r="D1119" s="10" t="s">
        <v>24</v>
      </c>
      <c r="E1119" s="10"/>
      <c r="F1119" s="27">
        <v>46222</v>
      </c>
      <c r="G1119" s="28" t="s">
        <v>2236</v>
      </c>
      <c r="H1119" s="15" t="s">
        <v>476</v>
      </c>
      <c r="I1119" s="10" t="s">
        <v>2519</v>
      </c>
      <c r="J1119" s="195"/>
      <c r="K1119" s="181" t="s">
        <v>2520</v>
      </c>
      <c r="L1119" s="108">
        <v>22820464</v>
      </c>
      <c r="M1119" s="36">
        <v>5216771020378</v>
      </c>
      <c r="N1119" s="170" t="s">
        <v>32</v>
      </c>
      <c r="O1119" s="49">
        <v>3919.96</v>
      </c>
      <c r="P1119" s="96"/>
      <c r="Q1119" s="11">
        <v>1175.99</v>
      </c>
      <c r="R1119" s="12">
        <v>0</v>
      </c>
      <c r="S1119" s="71"/>
      <c r="T1119" s="10"/>
      <c r="U1119" s="97"/>
      <c r="V1119" s="1"/>
      <c r="X1119" s="101">
        <v>1</v>
      </c>
    </row>
    <row r="1120" spans="2:24" hidden="1">
      <c r="B1120" s="6" t="s">
        <v>2521</v>
      </c>
      <c r="C1120" s="23">
        <v>46222.344444444447</v>
      </c>
      <c r="D1120" s="6" t="s">
        <v>24</v>
      </c>
      <c r="E1120" s="6"/>
      <c r="F1120" s="27">
        <v>46222</v>
      </c>
      <c r="G1120" s="27" t="s">
        <v>2236</v>
      </c>
      <c r="H1120" s="7" t="s">
        <v>26</v>
      </c>
      <c r="I1120" s="6" t="s">
        <v>2522</v>
      </c>
      <c r="J1120" s="204"/>
      <c r="K1120" s="180" t="s">
        <v>2523</v>
      </c>
      <c r="L1120" s="107">
        <v>22822938</v>
      </c>
      <c r="M1120" s="37">
        <v>5215520303634</v>
      </c>
      <c r="N1120" s="169" t="s">
        <v>98</v>
      </c>
      <c r="O1120" s="48"/>
      <c r="P1120" s="95"/>
      <c r="Q1120" s="8">
        <v>0</v>
      </c>
      <c r="R1120" s="13">
        <v>0</v>
      </c>
      <c r="S1120" s="70"/>
      <c r="T1120" s="6"/>
      <c r="U1120" s="164"/>
      <c r="V1120" s="1"/>
      <c r="X1120" s="101">
        <v>0</v>
      </c>
    </row>
    <row r="1121" spans="2:24" hidden="1">
      <c r="B1121" s="10" t="s">
        <v>2524</v>
      </c>
      <c r="C1121" s="24">
        <v>46222.356944444444</v>
      </c>
      <c r="D1121" s="10" t="s">
        <v>24</v>
      </c>
      <c r="E1121" s="10"/>
      <c r="F1121" s="27">
        <v>46222</v>
      </c>
      <c r="G1121" s="28" t="s">
        <v>2236</v>
      </c>
      <c r="H1121" s="160" t="s">
        <v>476</v>
      </c>
      <c r="I1121" s="10" t="s">
        <v>2525</v>
      </c>
      <c r="J1121" s="195">
        <v>83886944525</v>
      </c>
      <c r="K1121" s="181" t="s">
        <v>2526</v>
      </c>
      <c r="L1121" s="108">
        <v>22821306</v>
      </c>
      <c r="M1121" s="36">
        <v>5219933980111</v>
      </c>
      <c r="N1121" s="170" t="s">
        <v>28</v>
      </c>
      <c r="O1121" s="49">
        <v>9243.5300000000007</v>
      </c>
      <c r="P1121" s="96"/>
      <c r="Q1121" s="11">
        <v>2773.06</v>
      </c>
      <c r="R1121" s="14">
        <v>2773.06</v>
      </c>
      <c r="S1121" s="71"/>
      <c r="T1121" s="10"/>
      <c r="U1121" s="97"/>
      <c r="V1121" s="1"/>
      <c r="X1121" s="101">
        <v>1</v>
      </c>
    </row>
    <row r="1122" spans="2:24" hidden="1">
      <c r="B1122" s="6" t="s">
        <v>2527</v>
      </c>
      <c r="C1122" s="23">
        <v>46222.361111111109</v>
      </c>
      <c r="D1122" s="6" t="s">
        <v>24</v>
      </c>
      <c r="E1122" s="6"/>
      <c r="F1122" s="27">
        <v>46222</v>
      </c>
      <c r="G1122" s="27" t="s">
        <v>2528</v>
      </c>
      <c r="H1122" s="7" t="s">
        <v>476</v>
      </c>
      <c r="I1122" s="6" t="s">
        <v>2529</v>
      </c>
      <c r="J1122" s="196">
        <v>65947362920</v>
      </c>
      <c r="K1122" s="180" t="s">
        <v>2530</v>
      </c>
      <c r="L1122" s="108">
        <v>22826788</v>
      </c>
      <c r="M1122" s="37">
        <v>5212214068650</v>
      </c>
      <c r="N1122" s="169" t="s">
        <v>37</v>
      </c>
      <c r="O1122" s="48">
        <v>8588.98</v>
      </c>
      <c r="P1122" s="95">
        <v>2576.17</v>
      </c>
      <c r="Q1122" s="8">
        <v>2576.69</v>
      </c>
      <c r="R1122" s="13">
        <v>0.52</v>
      </c>
      <c r="S1122" s="70">
        <v>46394</v>
      </c>
      <c r="T1122" s="6"/>
      <c r="U1122" s="164"/>
      <c r="V1122" s="1"/>
      <c r="X1122" s="101">
        <v>2</v>
      </c>
    </row>
    <row r="1123" spans="2:24" hidden="1">
      <c r="B1123" s="10" t="s">
        <v>2531</v>
      </c>
      <c r="C1123" s="24">
        <v>46222.366666666669</v>
      </c>
      <c r="D1123" s="10" t="s">
        <v>24</v>
      </c>
      <c r="E1123" s="10"/>
      <c r="F1123" s="27">
        <v>46222</v>
      </c>
      <c r="G1123" s="28" t="s">
        <v>2236</v>
      </c>
      <c r="H1123" s="161" t="s">
        <v>71</v>
      </c>
      <c r="I1123" s="10" t="s">
        <v>2532</v>
      </c>
      <c r="J1123" s="195"/>
      <c r="K1123" s="181" t="s">
        <v>2533</v>
      </c>
      <c r="L1123" s="108">
        <v>22820370</v>
      </c>
      <c r="M1123" s="36">
        <v>5215656690153</v>
      </c>
      <c r="N1123" s="170" t="s">
        <v>28</v>
      </c>
      <c r="O1123" s="49">
        <v>9760.32</v>
      </c>
      <c r="P1123" s="96"/>
      <c r="Q1123" s="11">
        <v>2928.1</v>
      </c>
      <c r="R1123" s="14">
        <v>2928.1</v>
      </c>
      <c r="S1123" s="71"/>
      <c r="T1123" s="10"/>
      <c r="U1123" s="97"/>
      <c r="V1123" s="1"/>
      <c r="X1123" s="101">
        <v>1</v>
      </c>
    </row>
    <row r="1124" spans="2:24" hidden="1">
      <c r="B1124" s="6" t="s">
        <v>2534</v>
      </c>
      <c r="C1124" s="23">
        <v>46222.380555555559</v>
      </c>
      <c r="D1124" s="6" t="s">
        <v>24</v>
      </c>
      <c r="E1124" s="6"/>
      <c r="F1124" s="27">
        <v>46222</v>
      </c>
      <c r="G1124" s="27" t="s">
        <v>2528</v>
      </c>
      <c r="H1124" s="7" t="s">
        <v>476</v>
      </c>
      <c r="I1124" s="6" t="s">
        <v>2535</v>
      </c>
      <c r="J1124" s="196"/>
      <c r="K1124" s="180" t="s">
        <v>2536</v>
      </c>
      <c r="L1124" s="108">
        <v>22826056</v>
      </c>
      <c r="M1124" s="37">
        <v>5217209120975</v>
      </c>
      <c r="N1124" s="169" t="s">
        <v>37</v>
      </c>
      <c r="O1124" s="48">
        <v>6833.84</v>
      </c>
      <c r="P1124" s="95">
        <v>1976.96</v>
      </c>
      <c r="Q1124" s="8">
        <v>2050.15</v>
      </c>
      <c r="R1124" s="13">
        <v>73.19</v>
      </c>
      <c r="S1124" s="70">
        <v>46392</v>
      </c>
      <c r="T1124" s="6" t="s">
        <v>2488</v>
      </c>
      <c r="U1124" s="164"/>
      <c r="V1124" s="1"/>
      <c r="X1124" s="101">
        <v>2</v>
      </c>
    </row>
    <row r="1125" spans="2:24" hidden="1">
      <c r="B1125" s="10" t="s">
        <v>2537</v>
      </c>
      <c r="C1125" s="24">
        <v>46222.385416666664</v>
      </c>
      <c r="D1125" s="10" t="s">
        <v>24</v>
      </c>
      <c r="E1125" s="10"/>
      <c r="F1125" s="27">
        <v>46222</v>
      </c>
      <c r="G1125" s="28" t="s">
        <v>2236</v>
      </c>
      <c r="H1125" s="20" t="s">
        <v>71</v>
      </c>
      <c r="I1125" s="10" t="s">
        <v>2538</v>
      </c>
      <c r="J1125" s="195">
        <v>31725600287</v>
      </c>
      <c r="K1125" s="181"/>
      <c r="L1125" s="108">
        <v>22823808</v>
      </c>
      <c r="M1125" s="36">
        <v>5216181089166</v>
      </c>
      <c r="N1125" s="170" t="s">
        <v>37</v>
      </c>
      <c r="O1125" s="49">
        <v>18677.86</v>
      </c>
      <c r="P1125" s="96">
        <v>5600.72</v>
      </c>
      <c r="Q1125" s="11">
        <v>5603.36</v>
      </c>
      <c r="R1125" s="12">
        <v>2.64</v>
      </c>
      <c r="S1125" s="71">
        <v>46327</v>
      </c>
      <c r="T1125" s="10"/>
      <c r="U1125" s="97"/>
      <c r="V1125" s="1"/>
      <c r="X1125" s="101">
        <v>2</v>
      </c>
    </row>
    <row r="1126" spans="2:24" hidden="1">
      <c r="B1126" s="6" t="s">
        <v>2539</v>
      </c>
      <c r="C1126" s="23">
        <v>46222.400694444441</v>
      </c>
      <c r="D1126" s="6" t="s">
        <v>24</v>
      </c>
      <c r="E1126" s="6"/>
      <c r="F1126" s="27">
        <v>46222</v>
      </c>
      <c r="G1126" s="27" t="s">
        <v>2528</v>
      </c>
      <c r="H1126" s="18" t="s">
        <v>71</v>
      </c>
      <c r="I1126" s="6" t="s">
        <v>2540</v>
      </c>
      <c r="J1126" s="196"/>
      <c r="K1126" s="180" t="s">
        <v>2541</v>
      </c>
      <c r="L1126" s="107">
        <v>22828500</v>
      </c>
      <c r="M1126" s="37">
        <v>5215621323654</v>
      </c>
      <c r="N1126" s="169" t="s">
        <v>32</v>
      </c>
      <c r="O1126" s="48">
        <v>3855.42</v>
      </c>
      <c r="P1126" s="95"/>
      <c r="Q1126" s="8">
        <v>1156.6300000000001</v>
      </c>
      <c r="R1126" s="13">
        <v>0</v>
      </c>
      <c r="S1126" s="70"/>
      <c r="T1126" s="6"/>
      <c r="U1126" s="164"/>
      <c r="V1126" s="1"/>
      <c r="X1126" s="101">
        <v>1</v>
      </c>
    </row>
    <row r="1127" spans="2:24" hidden="1">
      <c r="B1127" s="10" t="s">
        <v>2542</v>
      </c>
      <c r="C1127" s="24">
        <v>46222.414583333331</v>
      </c>
      <c r="D1127" s="10" t="s">
        <v>24</v>
      </c>
      <c r="E1127" s="10"/>
      <c r="F1127" s="27">
        <v>46222</v>
      </c>
      <c r="G1127" s="28" t="s">
        <v>2236</v>
      </c>
      <c r="H1127" s="160" t="s">
        <v>476</v>
      </c>
      <c r="I1127" s="10" t="s">
        <v>2543</v>
      </c>
      <c r="J1127" s="195"/>
      <c r="K1127" s="181" t="s">
        <v>2544</v>
      </c>
      <c r="L1127" s="108">
        <v>22823870</v>
      </c>
      <c r="M1127" s="36">
        <v>5218117154936</v>
      </c>
      <c r="N1127" s="170" t="s">
        <v>28</v>
      </c>
      <c r="O1127" s="49">
        <v>10636.54</v>
      </c>
      <c r="P1127" s="96"/>
      <c r="Q1127" s="11">
        <v>3190.96</v>
      </c>
      <c r="R1127" s="14">
        <v>3190.96</v>
      </c>
      <c r="S1127" s="71"/>
      <c r="T1127" s="10"/>
      <c r="U1127" s="97"/>
      <c r="V1127" s="1"/>
      <c r="X1127" s="101">
        <v>1</v>
      </c>
    </row>
    <row r="1128" spans="2:24" hidden="1">
      <c r="B1128" s="6" t="s">
        <v>2545</v>
      </c>
      <c r="C1128" s="23">
        <v>46222.440972222219</v>
      </c>
      <c r="D1128" s="6" t="s">
        <v>24</v>
      </c>
      <c r="E1128" s="6"/>
      <c r="F1128" s="27">
        <v>46222</v>
      </c>
      <c r="G1128" s="27" t="s">
        <v>2528</v>
      </c>
      <c r="H1128" s="160" t="s">
        <v>476</v>
      </c>
      <c r="I1128" s="6" t="s">
        <v>2546</v>
      </c>
      <c r="J1128" s="196">
        <v>32826372024</v>
      </c>
      <c r="K1128" s="180"/>
      <c r="L1128" s="107">
        <v>22829318</v>
      </c>
      <c r="M1128" s="37">
        <v>5214464953092</v>
      </c>
      <c r="N1128" s="169" t="s">
        <v>106</v>
      </c>
      <c r="O1128" s="46">
        <v>9081.52</v>
      </c>
      <c r="P1128" s="93">
        <v>2723.79</v>
      </c>
      <c r="Q1128" s="8">
        <v>2724.46</v>
      </c>
      <c r="R1128" s="13">
        <v>0.67</v>
      </c>
      <c r="S1128" s="70">
        <v>46028</v>
      </c>
      <c r="T1128" s="6"/>
      <c r="U1128" s="164"/>
      <c r="V1128" s="1"/>
      <c r="X1128" s="101">
        <v>2</v>
      </c>
    </row>
    <row r="1129" spans="2:24" hidden="1">
      <c r="B1129" s="10" t="s">
        <v>2547</v>
      </c>
      <c r="C1129" s="24">
        <v>46222.45</v>
      </c>
      <c r="D1129" s="10" t="s">
        <v>24</v>
      </c>
      <c r="E1129" s="10"/>
      <c r="F1129" s="27">
        <v>46222</v>
      </c>
      <c r="G1129" s="28" t="s">
        <v>2528</v>
      </c>
      <c r="H1129" s="20" t="s">
        <v>71</v>
      </c>
      <c r="I1129" s="10" t="s">
        <v>2548</v>
      </c>
      <c r="J1129" s="195"/>
      <c r="K1129" s="181" t="s">
        <v>2549</v>
      </c>
      <c r="L1129" s="108">
        <v>22829658</v>
      </c>
      <c r="M1129" s="36">
        <v>5216866017022</v>
      </c>
      <c r="N1129" s="170" t="s">
        <v>37</v>
      </c>
      <c r="O1129" s="47">
        <v>6411.47</v>
      </c>
      <c r="P1129" s="94">
        <v>1852</v>
      </c>
      <c r="Q1129" s="11">
        <v>1923.44</v>
      </c>
      <c r="R1129" s="12">
        <v>71.44</v>
      </c>
      <c r="S1129" s="71">
        <v>46393</v>
      </c>
      <c r="T1129" s="10"/>
      <c r="U1129" s="97"/>
      <c r="V1129" s="1"/>
      <c r="X1129" s="101">
        <v>2</v>
      </c>
    </row>
    <row r="1130" spans="2:24" hidden="1">
      <c r="B1130" s="6" t="s">
        <v>2550</v>
      </c>
      <c r="C1130" s="23">
        <v>46222.453472222223</v>
      </c>
      <c r="D1130" s="6" t="s">
        <v>24</v>
      </c>
      <c r="E1130" s="6"/>
      <c r="F1130" s="27">
        <v>46222</v>
      </c>
      <c r="G1130" s="27" t="s">
        <v>2528</v>
      </c>
      <c r="H1130" s="18" t="s">
        <v>170</v>
      </c>
      <c r="I1130" s="6" t="s">
        <v>2551</v>
      </c>
      <c r="J1130" s="196">
        <v>71876518599</v>
      </c>
      <c r="K1130" s="180"/>
      <c r="L1130" s="107">
        <v>22829052</v>
      </c>
      <c r="M1130" s="37">
        <v>5219661126652</v>
      </c>
      <c r="N1130" s="169" t="s">
        <v>98</v>
      </c>
      <c r="O1130" s="48"/>
      <c r="P1130" s="95"/>
      <c r="Q1130" s="8">
        <v>0</v>
      </c>
      <c r="R1130" s="13">
        <v>0</v>
      </c>
      <c r="S1130" s="70"/>
      <c r="T1130" s="6"/>
      <c r="U1130" s="164"/>
      <c r="V1130" s="1"/>
      <c r="X1130" s="101">
        <v>0</v>
      </c>
    </row>
    <row r="1131" spans="2:24" hidden="1">
      <c r="B1131" s="10" t="s">
        <v>2552</v>
      </c>
      <c r="C1131" s="24">
        <v>46222.456944444442</v>
      </c>
      <c r="D1131" s="10" t="s">
        <v>24</v>
      </c>
      <c r="E1131" s="10"/>
      <c r="F1131" s="27">
        <v>46222</v>
      </c>
      <c r="G1131" s="28" t="s">
        <v>2236</v>
      </c>
      <c r="H1131" s="10" t="s">
        <v>93</v>
      </c>
      <c r="I1131" s="10" t="s">
        <v>2553</v>
      </c>
      <c r="J1131" s="195"/>
      <c r="K1131" s="181" t="s">
        <v>2554</v>
      </c>
      <c r="L1131" s="108">
        <v>22819512</v>
      </c>
      <c r="M1131" s="36">
        <v>4441343624</v>
      </c>
      <c r="N1131" s="170" t="s">
        <v>98</v>
      </c>
      <c r="O1131" s="49"/>
      <c r="P1131" s="96"/>
      <c r="Q1131" s="11">
        <v>0</v>
      </c>
      <c r="R1131" s="12">
        <v>0</v>
      </c>
      <c r="S1131" s="71"/>
      <c r="T1131" s="10"/>
      <c r="U1131" s="97"/>
      <c r="V1131" s="1"/>
      <c r="X1131" s="101">
        <v>0</v>
      </c>
    </row>
    <row r="1132" spans="2:24" hidden="1">
      <c r="B1132" s="6" t="s">
        <v>2555</v>
      </c>
      <c r="C1132" s="23">
        <v>46222.481249999997</v>
      </c>
      <c r="D1132" s="6" t="s">
        <v>24</v>
      </c>
      <c r="E1132" s="6"/>
      <c r="F1132" s="27">
        <v>46222</v>
      </c>
      <c r="G1132" s="27" t="s">
        <v>2528</v>
      </c>
      <c r="H1132" s="18" t="s">
        <v>170</v>
      </c>
      <c r="I1132" s="6" t="s">
        <v>2556</v>
      </c>
      <c r="J1132" s="196">
        <v>75866500749</v>
      </c>
      <c r="K1132" s="180"/>
      <c r="L1132" s="108">
        <v>22830276</v>
      </c>
      <c r="M1132" s="37">
        <v>5215540817325</v>
      </c>
      <c r="N1132" s="169" t="s">
        <v>37</v>
      </c>
      <c r="O1132" s="48">
        <v>9760.32</v>
      </c>
      <c r="P1132" s="95">
        <v>2794.48</v>
      </c>
      <c r="Q1132" s="8">
        <v>2928.1</v>
      </c>
      <c r="R1132" s="13">
        <v>133.62</v>
      </c>
      <c r="S1132" s="70">
        <v>46393</v>
      </c>
      <c r="T1132" s="6"/>
      <c r="U1132" s="164"/>
      <c r="V1132" s="1"/>
      <c r="X1132" s="101">
        <v>2</v>
      </c>
    </row>
    <row r="1133" spans="2:24" hidden="1">
      <c r="B1133" s="10" t="s">
        <v>2557</v>
      </c>
      <c r="C1133" s="24">
        <v>46222.490277777775</v>
      </c>
      <c r="D1133" s="10" t="s">
        <v>24</v>
      </c>
      <c r="E1133" s="10"/>
      <c r="F1133" s="27">
        <v>46222</v>
      </c>
      <c r="G1133" s="28" t="s">
        <v>2528</v>
      </c>
      <c r="H1133" s="15" t="s">
        <v>476</v>
      </c>
      <c r="I1133" s="10" t="s">
        <v>2558</v>
      </c>
      <c r="J1133" s="195"/>
      <c r="K1133" s="181" t="s">
        <v>2559</v>
      </c>
      <c r="L1133" s="108">
        <v>22830926</v>
      </c>
      <c r="M1133" s="36">
        <v>5217712421277</v>
      </c>
      <c r="N1133" s="170" t="s">
        <v>37</v>
      </c>
      <c r="O1133" s="49">
        <v>15257.1</v>
      </c>
      <c r="P1133" s="96">
        <v>4574.96</v>
      </c>
      <c r="Q1133" s="11">
        <v>4577.13</v>
      </c>
      <c r="R1133" s="12">
        <v>2.17</v>
      </c>
      <c r="S1133" s="71">
        <v>46389</v>
      </c>
      <c r="T1133" s="10"/>
      <c r="U1133" s="97"/>
      <c r="V1133" s="1"/>
      <c r="X1133" s="101">
        <v>2</v>
      </c>
    </row>
    <row r="1134" spans="2:24" hidden="1">
      <c r="B1134" s="6" t="s">
        <v>2560</v>
      </c>
      <c r="C1134" s="23">
        <v>46222.551388888889</v>
      </c>
      <c r="D1134" s="6" t="s">
        <v>24</v>
      </c>
      <c r="E1134" s="6"/>
      <c r="F1134" s="27">
        <v>46222</v>
      </c>
      <c r="G1134" s="27" t="s">
        <v>2528</v>
      </c>
      <c r="H1134" s="18" t="s">
        <v>71</v>
      </c>
      <c r="I1134" s="6" t="s">
        <v>2561</v>
      </c>
      <c r="J1134" s="196">
        <v>1987922315</v>
      </c>
      <c r="K1134" s="180" t="s">
        <v>2562</v>
      </c>
      <c r="L1134" s="107">
        <v>22824818</v>
      </c>
      <c r="M1134" s="37">
        <v>5219841068674</v>
      </c>
      <c r="N1134" s="169" t="s">
        <v>74</v>
      </c>
      <c r="O1134" s="48"/>
      <c r="P1134" s="95"/>
      <c r="Q1134" s="8">
        <v>0</v>
      </c>
      <c r="R1134" s="13">
        <v>0</v>
      </c>
      <c r="S1134" s="70"/>
      <c r="T1134" s="6"/>
      <c r="U1134" s="164"/>
      <c r="V1134" s="1"/>
      <c r="X1134" s="101">
        <v>1</v>
      </c>
    </row>
    <row r="1135" spans="2:24" hidden="1">
      <c r="B1135" s="10" t="s">
        <v>2563</v>
      </c>
      <c r="C1135" s="24">
        <v>46222.559027777781</v>
      </c>
      <c r="D1135" s="10" t="s">
        <v>24</v>
      </c>
      <c r="E1135" s="10"/>
      <c r="F1135" s="27">
        <v>46222</v>
      </c>
      <c r="G1135" s="28" t="s">
        <v>2236</v>
      </c>
      <c r="H1135" s="15" t="s">
        <v>107</v>
      </c>
      <c r="I1135" s="10" t="s">
        <v>2564</v>
      </c>
      <c r="J1135" s="195">
        <v>49916630376</v>
      </c>
      <c r="K1135" s="181"/>
      <c r="L1135" s="108">
        <v>22823346</v>
      </c>
      <c r="M1135" s="36">
        <v>5218311152079</v>
      </c>
      <c r="N1135" s="170" t="s">
        <v>37</v>
      </c>
      <c r="O1135" s="49">
        <v>19787.36</v>
      </c>
      <c r="P1135" s="96">
        <v>5936.12</v>
      </c>
      <c r="Q1135" s="11">
        <v>5936.21</v>
      </c>
      <c r="R1135" s="12">
        <v>0.09</v>
      </c>
      <c r="S1135" s="71">
        <v>46327</v>
      </c>
      <c r="T1135" s="10"/>
      <c r="U1135" s="97"/>
      <c r="V1135" s="1"/>
      <c r="X1135" s="101">
        <v>2</v>
      </c>
    </row>
    <row r="1136" spans="2:24" hidden="1">
      <c r="B1136" s="6" t="s">
        <v>2565</v>
      </c>
      <c r="C1136" s="23">
        <v>46222.569444444445</v>
      </c>
      <c r="D1136" s="6" t="s">
        <v>24</v>
      </c>
      <c r="E1136" s="6"/>
      <c r="F1136" s="27">
        <v>46222</v>
      </c>
      <c r="G1136" s="27" t="s">
        <v>2528</v>
      </c>
      <c r="H1136" s="18" t="s">
        <v>170</v>
      </c>
      <c r="I1136" s="6" t="s">
        <v>2566</v>
      </c>
      <c r="J1136" s="196"/>
      <c r="K1136" s="180" t="s">
        <v>2567</v>
      </c>
      <c r="L1136" s="108">
        <v>22829370</v>
      </c>
      <c r="M1136" s="37">
        <v>5215527972549</v>
      </c>
      <c r="N1136" s="169" t="s">
        <v>37</v>
      </c>
      <c r="O1136" s="48">
        <v>18973.25</v>
      </c>
      <c r="P1136" s="95">
        <v>5489.41</v>
      </c>
      <c r="Q1136" s="8">
        <v>5691.98</v>
      </c>
      <c r="R1136" s="13">
        <v>202.57</v>
      </c>
      <c r="S1136" s="70">
        <v>46397</v>
      </c>
      <c r="T1136" s="6"/>
      <c r="U1136" s="164"/>
      <c r="V1136" s="1"/>
      <c r="X1136" s="101">
        <v>2</v>
      </c>
    </row>
    <row r="1137" spans="2:24" hidden="1">
      <c r="B1137" s="10" t="s">
        <v>2568</v>
      </c>
      <c r="C1137" s="24">
        <v>46222.57916666667</v>
      </c>
      <c r="D1137" s="10" t="s">
        <v>24</v>
      </c>
      <c r="E1137" s="10"/>
      <c r="F1137" s="27">
        <v>46222</v>
      </c>
      <c r="G1137" s="28" t="s">
        <v>2528</v>
      </c>
      <c r="H1137" s="15" t="s">
        <v>107</v>
      </c>
      <c r="I1137" s="10" t="s">
        <v>2569</v>
      </c>
      <c r="J1137" s="195"/>
      <c r="K1137" s="181" t="s">
        <v>2570</v>
      </c>
      <c r="L1137" s="108">
        <v>22829662</v>
      </c>
      <c r="M1137" s="36">
        <v>8448930563</v>
      </c>
      <c r="N1137" s="170" t="s">
        <v>37</v>
      </c>
      <c r="O1137" s="49">
        <v>6262.86</v>
      </c>
      <c r="P1137" s="96">
        <v>1876.86</v>
      </c>
      <c r="Q1137" s="11">
        <v>1878.86</v>
      </c>
      <c r="R1137" s="12">
        <v>2</v>
      </c>
      <c r="S1137" s="71">
        <v>46757</v>
      </c>
      <c r="T1137" s="10"/>
      <c r="U1137" s="97"/>
      <c r="V1137" s="1"/>
      <c r="X1137" s="101">
        <v>2</v>
      </c>
    </row>
    <row r="1138" spans="2:24" hidden="1">
      <c r="B1138" s="6" t="s">
        <v>2571</v>
      </c>
      <c r="C1138" s="23">
        <v>46222.584722222222</v>
      </c>
      <c r="D1138" s="6" t="s">
        <v>24</v>
      </c>
      <c r="E1138" s="6"/>
      <c r="F1138" s="27">
        <v>46222</v>
      </c>
      <c r="G1138" s="27" t="s">
        <v>2528</v>
      </c>
      <c r="H1138" s="7" t="s">
        <v>107</v>
      </c>
      <c r="I1138" s="6" t="s">
        <v>2572</v>
      </c>
      <c r="J1138" s="196"/>
      <c r="K1138" s="180" t="s">
        <v>2573</v>
      </c>
      <c r="L1138" s="108">
        <v>22831894</v>
      </c>
      <c r="M1138" s="37">
        <v>3112536453</v>
      </c>
      <c r="N1138" s="169" t="s">
        <v>37</v>
      </c>
      <c r="O1138" s="48">
        <v>11230.51</v>
      </c>
      <c r="P1138" s="95">
        <v>3369</v>
      </c>
      <c r="Q1138" s="8">
        <v>3369.15</v>
      </c>
      <c r="R1138" s="13">
        <v>0.15</v>
      </c>
      <c r="S1138" s="70">
        <v>46754</v>
      </c>
      <c r="T1138" s="6"/>
      <c r="U1138" s="164"/>
      <c r="V1138" s="1"/>
      <c r="X1138" s="101">
        <v>2</v>
      </c>
    </row>
    <row r="1139" spans="2:24" hidden="1">
      <c r="B1139" s="10" t="s">
        <v>2574</v>
      </c>
      <c r="C1139" s="24">
        <v>46222.590277777781</v>
      </c>
      <c r="D1139" s="10" t="s">
        <v>24</v>
      </c>
      <c r="E1139" s="10"/>
      <c r="F1139" s="27">
        <v>46222</v>
      </c>
      <c r="G1139" s="28" t="s">
        <v>2528</v>
      </c>
      <c r="H1139" s="10" t="s">
        <v>61</v>
      </c>
      <c r="I1139" s="10" t="s">
        <v>2575</v>
      </c>
      <c r="J1139" s="195"/>
      <c r="K1139" s="181" t="s">
        <v>2576</v>
      </c>
      <c r="L1139" s="108">
        <v>22831120</v>
      </c>
      <c r="M1139" s="36">
        <v>5212211904965</v>
      </c>
      <c r="N1139" s="170" t="s">
        <v>37</v>
      </c>
      <c r="O1139" s="49">
        <v>11557.46</v>
      </c>
      <c r="P1139" s="96">
        <v>3343.82</v>
      </c>
      <c r="Q1139" s="11">
        <v>3467.24</v>
      </c>
      <c r="R1139" s="12">
        <v>123.42</v>
      </c>
      <c r="S1139" s="71">
        <v>46391</v>
      </c>
      <c r="T1139" s="10"/>
      <c r="U1139" s="97"/>
      <c r="V1139" s="1"/>
      <c r="X1139" s="101">
        <v>2</v>
      </c>
    </row>
    <row r="1140" spans="2:24" hidden="1">
      <c r="B1140" s="6" t="s">
        <v>2577</v>
      </c>
      <c r="C1140" s="23">
        <v>46222.595138888886</v>
      </c>
      <c r="D1140" s="6" t="s">
        <v>24</v>
      </c>
      <c r="E1140" s="6"/>
      <c r="F1140" s="27">
        <v>46222</v>
      </c>
      <c r="G1140" s="27" t="s">
        <v>2528</v>
      </c>
      <c r="H1140" s="7" t="s">
        <v>26</v>
      </c>
      <c r="I1140" s="6" t="s">
        <v>2578</v>
      </c>
      <c r="J1140" s="196">
        <v>6806306061</v>
      </c>
      <c r="K1140" s="180"/>
      <c r="L1140" s="107">
        <v>22833050</v>
      </c>
      <c r="M1140" s="37">
        <v>5215532978576</v>
      </c>
      <c r="N1140" s="169" t="s">
        <v>98</v>
      </c>
      <c r="O1140" s="48"/>
      <c r="P1140" s="95"/>
      <c r="Q1140" s="8">
        <v>0</v>
      </c>
      <c r="R1140" s="13">
        <v>0</v>
      </c>
      <c r="S1140" s="70"/>
      <c r="T1140" s="6"/>
      <c r="U1140" s="164"/>
      <c r="V1140" s="1"/>
      <c r="X1140" s="101">
        <v>0</v>
      </c>
    </row>
    <row r="1141" spans="2:24" hidden="1">
      <c r="B1141" s="10" t="s">
        <v>2579</v>
      </c>
      <c r="C1141" s="24">
        <v>46222.597222222219</v>
      </c>
      <c r="D1141" s="10" t="s">
        <v>24</v>
      </c>
      <c r="E1141" s="10"/>
      <c r="F1141" s="27">
        <v>46222</v>
      </c>
      <c r="G1141" s="28" t="s">
        <v>2528</v>
      </c>
      <c r="H1141" s="160" t="s">
        <v>26</v>
      </c>
      <c r="I1141" s="10" t="s">
        <v>2580</v>
      </c>
      <c r="J1141" s="195">
        <v>21846691109</v>
      </c>
      <c r="K1141" s="181"/>
      <c r="L1141" s="112">
        <v>22832724</v>
      </c>
      <c r="M1141" s="36">
        <v>5215532978550</v>
      </c>
      <c r="N1141" s="170" t="s">
        <v>130</v>
      </c>
      <c r="O1141" s="49">
        <v>5048.7299999999996</v>
      </c>
      <c r="P1141" s="96">
        <v>771.32</v>
      </c>
      <c r="Q1141" s="11">
        <v>1514.62</v>
      </c>
      <c r="R1141" s="12">
        <v>104.43</v>
      </c>
      <c r="S1141" s="71">
        <v>45663</v>
      </c>
      <c r="T1141" s="10"/>
      <c r="U1141" s="97"/>
      <c r="V1141" s="1"/>
      <c r="X1141" s="101">
        <v>0</v>
      </c>
    </row>
    <row r="1142" spans="2:24" hidden="1">
      <c r="B1142" s="6" t="s">
        <v>2581</v>
      </c>
      <c r="C1142" s="23">
        <v>46222.597222222219</v>
      </c>
      <c r="D1142" s="6" t="s">
        <v>24</v>
      </c>
      <c r="E1142" s="6"/>
      <c r="F1142" s="27">
        <v>46222</v>
      </c>
      <c r="G1142" s="27">
        <v>46333</v>
      </c>
      <c r="H1142" s="18" t="s">
        <v>170</v>
      </c>
      <c r="I1142" s="6" t="s">
        <v>2582</v>
      </c>
      <c r="J1142" s="196"/>
      <c r="K1142" s="180" t="s">
        <v>2583</v>
      </c>
      <c r="L1142" s="107">
        <v>22571534</v>
      </c>
      <c r="M1142" s="37">
        <v>5216694479601</v>
      </c>
      <c r="N1142" s="169" t="s">
        <v>98</v>
      </c>
      <c r="O1142" s="48"/>
      <c r="P1142" s="95"/>
      <c r="Q1142" s="8">
        <v>0</v>
      </c>
      <c r="R1142" s="13">
        <v>0</v>
      </c>
      <c r="S1142" s="70"/>
      <c r="T1142" s="6"/>
      <c r="U1142" s="164"/>
      <c r="V1142" s="1"/>
      <c r="X1142" s="101">
        <v>0</v>
      </c>
    </row>
    <row r="1143" spans="2:24" hidden="1">
      <c r="B1143" s="10" t="s">
        <v>2584</v>
      </c>
      <c r="C1143" s="24">
        <v>46222.599305555559</v>
      </c>
      <c r="D1143" s="10" t="s">
        <v>24</v>
      </c>
      <c r="E1143" s="10"/>
      <c r="F1143" s="27">
        <v>46222</v>
      </c>
      <c r="G1143" s="28" t="s">
        <v>2236</v>
      </c>
      <c r="H1143" s="10" t="s">
        <v>93</v>
      </c>
      <c r="I1143" s="10" t="s">
        <v>2585</v>
      </c>
      <c r="J1143" s="195"/>
      <c r="K1143" s="181" t="s">
        <v>2586</v>
      </c>
      <c r="L1143" s="108">
        <v>22823484</v>
      </c>
      <c r="M1143" s="36">
        <v>7481079313</v>
      </c>
      <c r="N1143" s="170" t="s">
        <v>28</v>
      </c>
      <c r="O1143" s="49">
        <v>8504.61</v>
      </c>
      <c r="P1143" s="96"/>
      <c r="Q1143" s="11">
        <v>2551.38</v>
      </c>
      <c r="R1143" s="14">
        <v>2551.38</v>
      </c>
      <c r="S1143" s="71"/>
      <c r="T1143" s="10"/>
      <c r="U1143" s="97"/>
      <c r="V1143" s="1"/>
      <c r="X1143" s="101">
        <v>1</v>
      </c>
    </row>
    <row r="1144" spans="2:24" hidden="1">
      <c r="B1144" s="6" t="s">
        <v>2587</v>
      </c>
      <c r="C1144" s="23">
        <v>46222.656944444447</v>
      </c>
      <c r="D1144" s="6" t="s">
        <v>24</v>
      </c>
      <c r="E1144" s="6"/>
      <c r="F1144" s="27">
        <v>46222</v>
      </c>
      <c r="G1144" s="27" t="s">
        <v>2528</v>
      </c>
      <c r="H1144" s="6" t="s">
        <v>61</v>
      </c>
      <c r="I1144" s="6" t="s">
        <v>2588</v>
      </c>
      <c r="J1144" s="196"/>
      <c r="K1144" s="180" t="s">
        <v>2589</v>
      </c>
      <c r="L1144" s="108">
        <v>22834322</v>
      </c>
      <c r="M1144" s="37">
        <v>5213351371867</v>
      </c>
      <c r="N1144" s="169" t="s">
        <v>37</v>
      </c>
      <c r="O1144" s="48">
        <v>5642.22</v>
      </c>
      <c r="P1144" s="95">
        <v>1359.7</v>
      </c>
      <c r="Q1144" s="8">
        <v>1692.67</v>
      </c>
      <c r="R1144" s="13">
        <v>109.54</v>
      </c>
      <c r="S1144" s="70">
        <v>46327</v>
      </c>
      <c r="T1144" s="6"/>
      <c r="U1144" s="164"/>
      <c r="V1144" s="1"/>
      <c r="X1144" s="101">
        <v>2</v>
      </c>
    </row>
    <row r="1145" spans="2:24" hidden="1">
      <c r="B1145" s="10" t="s">
        <v>2590</v>
      </c>
      <c r="C1145" s="24">
        <v>46222.657638888886</v>
      </c>
      <c r="D1145" s="10" t="s">
        <v>24</v>
      </c>
      <c r="E1145" s="10"/>
      <c r="F1145" s="27">
        <v>46222</v>
      </c>
      <c r="G1145" s="28" t="s">
        <v>2528</v>
      </c>
      <c r="H1145" s="15" t="s">
        <v>26</v>
      </c>
      <c r="I1145" s="10" t="s">
        <v>2591</v>
      </c>
      <c r="J1145" s="195">
        <v>65936514010</v>
      </c>
      <c r="K1145" s="181" t="s">
        <v>2592</v>
      </c>
      <c r="L1145" s="108">
        <v>22834334</v>
      </c>
      <c r="M1145" s="36">
        <v>5212821002803</v>
      </c>
      <c r="N1145" s="170" t="s">
        <v>37</v>
      </c>
      <c r="O1145" s="49">
        <v>11029.03</v>
      </c>
      <c r="P1145" s="96">
        <v>3298.87</v>
      </c>
      <c r="Q1145" s="11">
        <v>3308.71</v>
      </c>
      <c r="R1145" s="12">
        <v>9.84</v>
      </c>
      <c r="S1145" s="71">
        <v>46756</v>
      </c>
      <c r="T1145" s="10"/>
      <c r="U1145" s="97"/>
      <c r="V1145" s="1"/>
      <c r="X1145" s="101">
        <v>2</v>
      </c>
    </row>
    <row r="1146" spans="2:24" hidden="1">
      <c r="B1146" s="6" t="s">
        <v>2593</v>
      </c>
      <c r="C1146" s="23">
        <v>46222.6875</v>
      </c>
      <c r="D1146" s="6" t="s">
        <v>24</v>
      </c>
      <c r="E1146" s="6"/>
      <c r="F1146" s="27">
        <v>46222</v>
      </c>
      <c r="G1146" s="27" t="s">
        <v>2236</v>
      </c>
      <c r="H1146" s="161" t="s">
        <v>71</v>
      </c>
      <c r="I1146" s="6" t="s">
        <v>2594</v>
      </c>
      <c r="J1146" s="196"/>
      <c r="K1146" s="180" t="s">
        <v>2595</v>
      </c>
      <c r="L1146" s="107">
        <v>22820720</v>
      </c>
      <c r="M1146" s="37">
        <v>5216228554709</v>
      </c>
      <c r="N1146" s="169" t="s">
        <v>106</v>
      </c>
      <c r="O1146" s="48">
        <v>5617.63</v>
      </c>
      <c r="P1146" s="95">
        <v>1335.16</v>
      </c>
      <c r="Q1146" s="8">
        <v>1685.29</v>
      </c>
      <c r="R1146" s="13">
        <v>109.49</v>
      </c>
      <c r="S1146" s="70">
        <v>46029</v>
      </c>
      <c r="T1146" s="6"/>
      <c r="U1146" s="164"/>
      <c r="V1146" s="1"/>
      <c r="X1146" s="101">
        <v>2</v>
      </c>
    </row>
    <row r="1147" spans="2:24" hidden="1">
      <c r="B1147" s="10" t="s">
        <v>2596</v>
      </c>
      <c r="C1147" s="24">
        <v>46222.701388888891</v>
      </c>
      <c r="D1147" s="10" t="s">
        <v>24</v>
      </c>
      <c r="E1147" s="10"/>
      <c r="F1147" s="27">
        <v>46222</v>
      </c>
      <c r="G1147" s="28" t="s">
        <v>2528</v>
      </c>
      <c r="H1147" s="15" t="s">
        <v>110</v>
      </c>
      <c r="I1147" s="10" t="s">
        <v>2597</v>
      </c>
      <c r="J1147" s="195">
        <v>24795710359</v>
      </c>
      <c r="K1147" s="181"/>
      <c r="L1147" s="108">
        <v>22832674</v>
      </c>
      <c r="M1147" s="36">
        <v>5213111024121</v>
      </c>
      <c r="N1147" s="170" t="s">
        <v>37</v>
      </c>
      <c r="O1147" s="49">
        <v>9081.52</v>
      </c>
      <c r="P1147" s="96">
        <v>2521.35</v>
      </c>
      <c r="Q1147" s="11">
        <v>2724.46</v>
      </c>
      <c r="R1147" s="12">
        <v>203.11</v>
      </c>
      <c r="S1147" s="71">
        <v>46296</v>
      </c>
      <c r="T1147" s="10"/>
      <c r="U1147" s="97"/>
      <c r="V1147" s="1"/>
      <c r="X1147" s="101">
        <v>2</v>
      </c>
    </row>
    <row r="1148" spans="2:24" hidden="1">
      <c r="B1148" s="6" t="s">
        <v>2598</v>
      </c>
      <c r="C1148" s="23">
        <v>46222.702777777777</v>
      </c>
      <c r="D1148" s="6" t="s">
        <v>24</v>
      </c>
      <c r="E1148" s="6"/>
      <c r="F1148" s="27">
        <v>46222</v>
      </c>
      <c r="G1148" s="27" t="s">
        <v>2528</v>
      </c>
      <c r="H1148" s="160" t="s">
        <v>110</v>
      </c>
      <c r="I1148" s="6" t="s">
        <v>2599</v>
      </c>
      <c r="J1148" s="196">
        <v>54785946317</v>
      </c>
      <c r="K1148" s="180"/>
      <c r="L1148" s="107">
        <v>22830770</v>
      </c>
      <c r="M1148" s="37">
        <v>5213316791210</v>
      </c>
      <c r="N1148" s="169" t="s">
        <v>106</v>
      </c>
      <c r="O1148" s="48">
        <v>7920.61</v>
      </c>
      <c r="P1148" s="95">
        <v>2199.12</v>
      </c>
      <c r="Q1148" s="8">
        <v>2376.1799999999998</v>
      </c>
      <c r="R1148" s="13">
        <v>177.06</v>
      </c>
      <c r="S1148" s="70">
        <v>46024</v>
      </c>
      <c r="T1148" s="6"/>
      <c r="U1148" s="164"/>
      <c r="V1148" s="1"/>
      <c r="X1148" s="101">
        <v>2</v>
      </c>
    </row>
    <row r="1149" spans="2:24" hidden="1">
      <c r="B1149" s="10" t="s">
        <v>2600</v>
      </c>
      <c r="C1149" s="24">
        <v>46222.703472222223</v>
      </c>
      <c r="D1149" s="10" t="s">
        <v>24</v>
      </c>
      <c r="E1149" s="10"/>
      <c r="F1149" s="27">
        <v>46222</v>
      </c>
      <c r="G1149" s="28" t="s">
        <v>2142</v>
      </c>
      <c r="H1149" s="15" t="s">
        <v>110</v>
      </c>
      <c r="I1149" s="10"/>
      <c r="J1149" s="195">
        <v>4806320067</v>
      </c>
      <c r="K1149" s="181"/>
      <c r="L1149" s="108">
        <v>22798738</v>
      </c>
      <c r="M1149" s="36">
        <v>5213322573020</v>
      </c>
      <c r="N1149" s="170" t="s">
        <v>37</v>
      </c>
      <c r="O1149" s="49">
        <v>7920.51</v>
      </c>
      <c r="P1149" s="96">
        <v>2271.2800000000002</v>
      </c>
      <c r="Q1149" s="11">
        <v>2376.15</v>
      </c>
      <c r="R1149" s="12">
        <v>104.87</v>
      </c>
      <c r="S1149" s="71">
        <v>46390</v>
      </c>
      <c r="T1149" s="10"/>
      <c r="U1149" s="97"/>
      <c r="V1149" s="1"/>
      <c r="X1149" s="101">
        <v>2</v>
      </c>
    </row>
    <row r="1150" spans="2:24" hidden="1">
      <c r="B1150" s="6" t="s">
        <v>2601</v>
      </c>
      <c r="C1150" s="23">
        <v>46222.856249999997</v>
      </c>
      <c r="D1150" s="6" t="s">
        <v>24</v>
      </c>
      <c r="E1150" s="6"/>
      <c r="F1150" s="27">
        <v>46222</v>
      </c>
      <c r="G1150" s="27" t="s">
        <v>2528</v>
      </c>
      <c r="H1150" s="7" t="s">
        <v>107</v>
      </c>
      <c r="I1150" s="6" t="s">
        <v>2602</v>
      </c>
      <c r="J1150" s="196">
        <v>21785508066</v>
      </c>
      <c r="K1150" s="180"/>
      <c r="L1150" s="108">
        <v>22834508</v>
      </c>
      <c r="M1150" s="37">
        <v>6567503544</v>
      </c>
      <c r="N1150" s="169" t="s">
        <v>37</v>
      </c>
      <c r="O1150" s="48">
        <v>5072.66</v>
      </c>
      <c r="P1150" s="95">
        <v>867.67</v>
      </c>
      <c r="Q1150" s="8">
        <v>1521.8</v>
      </c>
      <c r="R1150" s="13">
        <v>32.01</v>
      </c>
      <c r="S1150" s="70">
        <v>46394</v>
      </c>
      <c r="T1150" s="6"/>
      <c r="U1150" s="164"/>
      <c r="V1150" s="1"/>
      <c r="X1150" s="101">
        <v>2</v>
      </c>
    </row>
    <row r="1151" spans="2:24" hidden="1">
      <c r="B1151" s="10" t="s">
        <v>2603</v>
      </c>
      <c r="C1151" s="24">
        <v>46223.372916666667</v>
      </c>
      <c r="D1151" s="10" t="s">
        <v>24</v>
      </c>
      <c r="E1151" s="10"/>
      <c r="F1151" s="27">
        <v>46223</v>
      </c>
      <c r="G1151" s="28" t="s">
        <v>2604</v>
      </c>
      <c r="H1151" s="10" t="s">
        <v>1629</v>
      </c>
      <c r="I1151" s="10" t="s">
        <v>2605</v>
      </c>
      <c r="J1151" s="195">
        <v>90907148184</v>
      </c>
      <c r="K1151" s="179" t="s">
        <v>2606</v>
      </c>
      <c r="L1151" s="108">
        <v>2</v>
      </c>
      <c r="M1151" s="36">
        <v>5523117615</v>
      </c>
      <c r="N1151" s="170" t="s">
        <v>37</v>
      </c>
      <c r="O1151" s="49">
        <v>5060.93</v>
      </c>
      <c r="P1151" s="96">
        <v>856.33</v>
      </c>
      <c r="Q1151" s="11">
        <v>1518.28</v>
      </c>
      <c r="R1151" s="12">
        <v>31.62</v>
      </c>
      <c r="S1151" s="71">
        <v>46398</v>
      </c>
      <c r="T1151" s="10" t="s">
        <v>259</v>
      </c>
      <c r="U1151" s="97"/>
      <c r="V1151" s="1"/>
      <c r="X1151" s="101">
        <v>2</v>
      </c>
    </row>
    <row r="1152" spans="2:24" hidden="1">
      <c r="B1152" s="6" t="s">
        <v>2607</v>
      </c>
      <c r="C1152" s="23">
        <v>46223.385416666664</v>
      </c>
      <c r="D1152" s="6" t="s">
        <v>24</v>
      </c>
      <c r="E1152" s="6"/>
      <c r="F1152" s="27">
        <v>46223</v>
      </c>
      <c r="G1152" s="27" t="s">
        <v>2604</v>
      </c>
      <c r="H1152" s="6" t="s">
        <v>103</v>
      </c>
      <c r="I1152" s="6" t="s">
        <v>2608</v>
      </c>
      <c r="J1152" s="200">
        <v>3705017857</v>
      </c>
      <c r="K1152" s="180"/>
      <c r="L1152" s="108">
        <v>1</v>
      </c>
      <c r="M1152" s="37">
        <v>8114951976</v>
      </c>
      <c r="N1152" s="169" t="s">
        <v>37</v>
      </c>
      <c r="O1152" s="48">
        <v>8481.08</v>
      </c>
      <c r="P1152" s="95">
        <v>2543.79</v>
      </c>
      <c r="Q1152" s="8">
        <v>2544.3200000000002</v>
      </c>
      <c r="R1152" s="13">
        <v>0.53</v>
      </c>
      <c r="S1152" s="70">
        <v>46395</v>
      </c>
      <c r="T1152" s="6"/>
      <c r="U1152" s="164"/>
      <c r="V1152" s="1"/>
      <c r="X1152" s="101">
        <v>2</v>
      </c>
    </row>
    <row r="1153" spans="2:24" hidden="1">
      <c r="B1153" s="10" t="s">
        <v>2609</v>
      </c>
      <c r="C1153" s="24">
        <v>46223.390972222223</v>
      </c>
      <c r="D1153" s="10" t="s">
        <v>24</v>
      </c>
      <c r="E1153" s="10"/>
      <c r="F1153" s="27">
        <v>46223</v>
      </c>
      <c r="G1153" s="28" t="s">
        <v>2604</v>
      </c>
      <c r="H1153" s="10" t="s">
        <v>1629</v>
      </c>
      <c r="I1153" s="10" t="s">
        <v>2610</v>
      </c>
      <c r="J1153" s="198">
        <v>54796150685</v>
      </c>
      <c r="K1153" s="179" t="s">
        <v>2490</v>
      </c>
      <c r="L1153" s="108">
        <v>2</v>
      </c>
      <c r="M1153" s="40">
        <v>3311302657</v>
      </c>
      <c r="N1153" s="170" t="s">
        <v>37</v>
      </c>
      <c r="O1153" s="49">
        <v>19375.32</v>
      </c>
      <c r="P1153" s="96">
        <v>5599.45</v>
      </c>
      <c r="Q1153" s="11">
        <v>5812.6</v>
      </c>
      <c r="R1153" s="12">
        <v>213.15</v>
      </c>
      <c r="S1153" s="71">
        <v>46033</v>
      </c>
      <c r="T1153" s="10"/>
      <c r="U1153" s="97"/>
      <c r="V1153" s="1"/>
      <c r="X1153" s="101">
        <v>2</v>
      </c>
    </row>
    <row r="1154" spans="2:24" hidden="1">
      <c r="B1154" s="6" t="s">
        <v>2611</v>
      </c>
      <c r="C1154" s="23">
        <v>46223.401388888888</v>
      </c>
      <c r="D1154" s="6" t="s">
        <v>24</v>
      </c>
      <c r="E1154" s="6"/>
      <c r="F1154" s="27">
        <v>46223</v>
      </c>
      <c r="G1154" s="27" t="s">
        <v>2604</v>
      </c>
      <c r="H1154" s="161" t="s">
        <v>170</v>
      </c>
      <c r="I1154" s="6"/>
      <c r="J1154" s="196">
        <v>85724005914</v>
      </c>
      <c r="K1154" s="180"/>
      <c r="L1154" s="107">
        <v>22850352</v>
      </c>
      <c r="M1154" s="37">
        <v>5219995096565</v>
      </c>
      <c r="N1154" s="169" t="s">
        <v>28</v>
      </c>
      <c r="O1154" s="48">
        <v>8173.37</v>
      </c>
      <c r="P1154" s="95"/>
      <c r="Q1154" s="8">
        <v>2452.0100000000002</v>
      </c>
      <c r="R1154" s="9">
        <v>2452.0100000000002</v>
      </c>
      <c r="S1154" s="70"/>
      <c r="T1154" s="6"/>
      <c r="U1154" s="164"/>
      <c r="V1154" s="1"/>
      <c r="X1154" s="101">
        <v>1</v>
      </c>
    </row>
    <row r="1155" spans="2:24" hidden="1">
      <c r="B1155" s="10" t="s">
        <v>2612</v>
      </c>
      <c r="C1155" s="24">
        <v>46223.404166666667</v>
      </c>
      <c r="D1155" s="10" t="s">
        <v>24</v>
      </c>
      <c r="E1155" s="10"/>
      <c r="F1155" s="27">
        <v>46223</v>
      </c>
      <c r="G1155" s="28" t="s">
        <v>633</v>
      </c>
      <c r="H1155" s="10" t="s">
        <v>127</v>
      </c>
      <c r="I1155" s="10" t="s">
        <v>2613</v>
      </c>
      <c r="J1155" s="195">
        <v>5487663235</v>
      </c>
      <c r="K1155" s="179" t="s">
        <v>2087</v>
      </c>
      <c r="L1155" s="108">
        <v>22632496</v>
      </c>
      <c r="M1155" s="40">
        <v>5213931079319</v>
      </c>
      <c r="N1155" s="170" t="s">
        <v>28</v>
      </c>
      <c r="O1155" s="49">
        <v>10636.54</v>
      </c>
      <c r="P1155" s="96"/>
      <c r="Q1155" s="11">
        <v>3190.96</v>
      </c>
      <c r="R1155" s="14">
        <v>3190.96</v>
      </c>
      <c r="S1155" s="71"/>
      <c r="T1155" s="10"/>
      <c r="U1155" s="97"/>
      <c r="V1155" s="1"/>
      <c r="X1155" s="101">
        <v>1</v>
      </c>
    </row>
    <row r="1156" spans="2:24" hidden="1">
      <c r="B1156" s="6" t="s">
        <v>2614</v>
      </c>
      <c r="C1156" s="23">
        <v>46223.408333333333</v>
      </c>
      <c r="D1156" s="6" t="s">
        <v>24</v>
      </c>
      <c r="E1156" s="6"/>
      <c r="F1156" s="27">
        <v>46223</v>
      </c>
      <c r="G1156" s="27" t="s">
        <v>2528</v>
      </c>
      <c r="H1156" s="161" t="s">
        <v>170</v>
      </c>
      <c r="I1156" s="6" t="s">
        <v>2615</v>
      </c>
      <c r="J1156" s="196">
        <v>33816274352</v>
      </c>
      <c r="K1156" s="180"/>
      <c r="L1156" s="107">
        <v>22835432</v>
      </c>
      <c r="M1156" s="37">
        <v>5216141760553</v>
      </c>
      <c r="N1156" s="169" t="s">
        <v>106</v>
      </c>
      <c r="O1156" s="48">
        <v>89588.87</v>
      </c>
      <c r="P1156" s="95">
        <v>25590.77</v>
      </c>
      <c r="Q1156" s="8">
        <v>26876.66</v>
      </c>
      <c r="R1156" s="9">
        <v>1285.8900000000001</v>
      </c>
      <c r="S1156" s="70">
        <v>46026</v>
      </c>
      <c r="T1156" s="6"/>
      <c r="U1156" s="164"/>
      <c r="V1156" s="1"/>
      <c r="X1156" s="101">
        <v>2</v>
      </c>
    </row>
    <row r="1157" spans="2:24" hidden="1">
      <c r="B1157" s="10" t="s">
        <v>2616</v>
      </c>
      <c r="C1157" s="24">
        <v>46223.409722222219</v>
      </c>
      <c r="D1157" s="10" t="s">
        <v>24</v>
      </c>
      <c r="E1157" s="10"/>
      <c r="F1157" s="27">
        <v>46223</v>
      </c>
      <c r="G1157" s="28" t="s">
        <v>2604</v>
      </c>
      <c r="H1157" s="10" t="s">
        <v>1629</v>
      </c>
      <c r="I1157" s="10" t="s">
        <v>2617</v>
      </c>
      <c r="J1157" s="198">
        <v>4856539871</v>
      </c>
      <c r="K1157" s="179" t="s">
        <v>2618</v>
      </c>
      <c r="L1157" s="108">
        <v>2</v>
      </c>
      <c r="M1157" s="36">
        <v>3342046030</v>
      </c>
      <c r="N1157" s="170" t="s">
        <v>37</v>
      </c>
      <c r="O1157" s="49">
        <v>11029.03</v>
      </c>
      <c r="P1157" s="96">
        <v>3186.87</v>
      </c>
      <c r="Q1157" s="11">
        <v>3308.71</v>
      </c>
      <c r="R1157" s="12">
        <v>121.84</v>
      </c>
      <c r="S1157" s="71">
        <v>46755</v>
      </c>
      <c r="T1157" s="10"/>
      <c r="U1157" s="97"/>
      <c r="V1157" s="1"/>
      <c r="X1157" s="101">
        <v>2</v>
      </c>
    </row>
    <row r="1158" spans="2:24" hidden="1">
      <c r="B1158" s="6" t="s">
        <v>2619</v>
      </c>
      <c r="C1158" s="23">
        <v>46223.411805555559</v>
      </c>
      <c r="D1158" s="6" t="s">
        <v>24</v>
      </c>
      <c r="E1158" s="6"/>
      <c r="F1158" s="27">
        <v>46223</v>
      </c>
      <c r="G1158" s="27" t="s">
        <v>2604</v>
      </c>
      <c r="H1158" s="6" t="s">
        <v>1625</v>
      </c>
      <c r="I1158" s="6" t="s">
        <v>2620</v>
      </c>
      <c r="J1158" s="196">
        <v>164422699</v>
      </c>
      <c r="K1158" s="180" t="s">
        <v>2621</v>
      </c>
      <c r="L1158" s="115">
        <v>2</v>
      </c>
      <c r="M1158" s="38" t="s">
        <v>2622</v>
      </c>
      <c r="N1158" s="169" t="s">
        <v>32</v>
      </c>
      <c r="O1158" s="48">
        <v>3632.16</v>
      </c>
      <c r="P1158" s="95">
        <v>848</v>
      </c>
      <c r="Q1158" s="8">
        <v>1089.6500000000001</v>
      </c>
      <c r="R1158" s="13">
        <v>-848</v>
      </c>
      <c r="S1158" s="70"/>
      <c r="T1158" s="6"/>
      <c r="U1158" s="164"/>
      <c r="V1158" s="1"/>
      <c r="X1158" s="101">
        <v>1</v>
      </c>
    </row>
    <row r="1159" spans="2:24" hidden="1">
      <c r="B1159" s="10" t="s">
        <v>2623</v>
      </c>
      <c r="C1159" s="24">
        <v>46223.418749999997</v>
      </c>
      <c r="D1159" s="10" t="s">
        <v>24</v>
      </c>
      <c r="E1159" s="10"/>
      <c r="F1159" s="27">
        <v>46223</v>
      </c>
      <c r="G1159" s="28" t="s">
        <v>2142</v>
      </c>
      <c r="H1159" s="20" t="s">
        <v>170</v>
      </c>
      <c r="I1159" s="10" t="s">
        <v>2624</v>
      </c>
      <c r="J1159" s="195"/>
      <c r="K1159" s="179" t="s">
        <v>2625</v>
      </c>
      <c r="L1159" s="108">
        <v>22797482</v>
      </c>
      <c r="M1159" s="36">
        <v>5217446526635</v>
      </c>
      <c r="N1159" s="170" t="s">
        <v>37</v>
      </c>
      <c r="O1159" s="49">
        <v>9081.52</v>
      </c>
      <c r="P1159" s="96">
        <v>2723.32</v>
      </c>
      <c r="Q1159" s="11">
        <v>2724.46</v>
      </c>
      <c r="R1159" s="12">
        <v>1.1399999999999999</v>
      </c>
      <c r="S1159" s="71">
        <v>46760</v>
      </c>
      <c r="T1159" s="10"/>
      <c r="U1159" s="97"/>
      <c r="V1159" s="1"/>
      <c r="X1159" s="101">
        <v>2</v>
      </c>
    </row>
    <row r="1160" spans="2:24" hidden="1">
      <c r="B1160" s="6" t="s">
        <v>2626</v>
      </c>
      <c r="C1160" s="23">
        <v>46223.42083333333</v>
      </c>
      <c r="D1160" s="6" t="s">
        <v>24</v>
      </c>
      <c r="E1160" s="6"/>
      <c r="F1160" s="27">
        <v>46223</v>
      </c>
      <c r="G1160" s="27" t="s">
        <v>2236</v>
      </c>
      <c r="H1160" s="6" t="s">
        <v>68</v>
      </c>
      <c r="I1160" s="6" t="s">
        <v>2627</v>
      </c>
      <c r="J1160" s="196">
        <v>12745506704</v>
      </c>
      <c r="K1160" s="180" t="s">
        <v>2628</v>
      </c>
      <c r="L1160" s="108">
        <v>22804346</v>
      </c>
      <c r="M1160" s="37">
        <v>5214621292714</v>
      </c>
      <c r="N1160" s="169" t="s">
        <v>37</v>
      </c>
      <c r="O1160" s="48">
        <v>5358.72</v>
      </c>
      <c r="P1160" s="95">
        <v>1133.55</v>
      </c>
      <c r="Q1160" s="8">
        <v>1607.62</v>
      </c>
      <c r="R1160" s="13">
        <v>52.19</v>
      </c>
      <c r="S1160" s="70">
        <v>46396</v>
      </c>
      <c r="T1160" s="6" t="s">
        <v>362</v>
      </c>
      <c r="U1160" s="164"/>
      <c r="V1160" s="1"/>
      <c r="X1160" s="101">
        <v>2</v>
      </c>
    </row>
    <row r="1161" spans="2:24" hidden="1">
      <c r="B1161" s="10" t="s">
        <v>2629</v>
      </c>
      <c r="C1161" s="24">
        <v>46223.42291666667</v>
      </c>
      <c r="D1161" s="10" t="s">
        <v>24</v>
      </c>
      <c r="E1161" s="10"/>
      <c r="F1161" s="27">
        <v>46223</v>
      </c>
      <c r="G1161" s="28" t="s">
        <v>2236</v>
      </c>
      <c r="H1161" s="10" t="s">
        <v>68</v>
      </c>
      <c r="I1161" s="10" t="s">
        <v>2630</v>
      </c>
      <c r="J1161" s="195">
        <v>16917014108</v>
      </c>
      <c r="K1161" s="181" t="s">
        <v>2631</v>
      </c>
      <c r="L1161" s="108">
        <v>22801360</v>
      </c>
      <c r="M1161" s="36">
        <v>5217226057029</v>
      </c>
      <c r="N1161" s="170" t="s">
        <v>74</v>
      </c>
      <c r="O1161" s="49"/>
      <c r="P1161" s="96"/>
      <c r="Q1161" s="11">
        <v>0</v>
      </c>
      <c r="R1161" s="12">
        <v>0</v>
      </c>
      <c r="S1161" s="71"/>
      <c r="T1161" s="10"/>
      <c r="U1161" s="97"/>
      <c r="V1161" s="1"/>
      <c r="X1161" s="101">
        <v>1</v>
      </c>
    </row>
    <row r="1162" spans="2:24" hidden="1">
      <c r="B1162" s="6" t="s">
        <v>2632</v>
      </c>
      <c r="C1162" s="23">
        <v>46223.429861111108</v>
      </c>
      <c r="D1162" s="6" t="s">
        <v>24</v>
      </c>
      <c r="E1162" s="6"/>
      <c r="F1162" s="27">
        <v>46223</v>
      </c>
      <c r="G1162" s="27" t="s">
        <v>2604</v>
      </c>
      <c r="H1162" s="6" t="s">
        <v>103</v>
      </c>
      <c r="I1162" s="6" t="s">
        <v>2633</v>
      </c>
      <c r="J1162" s="196">
        <v>31844701545</v>
      </c>
      <c r="K1162" s="180"/>
      <c r="L1162" s="109">
        <v>1</v>
      </c>
      <c r="M1162" s="37">
        <v>8711045197</v>
      </c>
      <c r="N1162" s="169" t="s">
        <v>32</v>
      </c>
      <c r="O1162" s="48">
        <v>3869.36</v>
      </c>
      <c r="P1162" s="95">
        <v>848</v>
      </c>
      <c r="Q1162" s="8">
        <v>1160.81</v>
      </c>
      <c r="R1162" s="13">
        <v>-848</v>
      </c>
      <c r="S1162" s="70"/>
      <c r="T1162" s="6"/>
      <c r="U1162" s="164"/>
      <c r="V1162" s="1"/>
      <c r="X1162" s="101">
        <v>1</v>
      </c>
    </row>
    <row r="1163" spans="2:24" hidden="1">
      <c r="B1163" s="10" t="s">
        <v>2634</v>
      </c>
      <c r="C1163" s="24">
        <v>46223.43472222222</v>
      </c>
      <c r="D1163" s="10" t="s">
        <v>24</v>
      </c>
      <c r="E1163" s="10"/>
      <c r="F1163" s="27">
        <v>46223</v>
      </c>
      <c r="G1163" s="28" t="s">
        <v>2528</v>
      </c>
      <c r="H1163" s="15" t="s">
        <v>26</v>
      </c>
      <c r="I1163" s="10"/>
      <c r="J1163" s="195">
        <v>33774502000</v>
      </c>
      <c r="K1163" s="181"/>
      <c r="L1163" s="108">
        <v>22837194</v>
      </c>
      <c r="M1163" s="36">
        <v>5216391914632</v>
      </c>
      <c r="N1163" s="170" t="s">
        <v>37</v>
      </c>
      <c r="O1163" s="49">
        <v>6377.54</v>
      </c>
      <c r="P1163" s="96">
        <v>1770</v>
      </c>
      <c r="Q1163" s="11">
        <v>1913.26</v>
      </c>
      <c r="R1163" s="12">
        <v>143.26</v>
      </c>
      <c r="S1163" s="71">
        <v>46327</v>
      </c>
      <c r="T1163" s="10"/>
      <c r="U1163" s="97"/>
      <c r="V1163" s="1"/>
      <c r="X1163" s="101">
        <v>2</v>
      </c>
    </row>
    <row r="1164" spans="2:24" hidden="1">
      <c r="B1164" s="6" t="s">
        <v>2635</v>
      </c>
      <c r="C1164" s="23">
        <v>46223.440972222219</v>
      </c>
      <c r="D1164" s="6" t="s">
        <v>24</v>
      </c>
      <c r="E1164" s="6"/>
      <c r="F1164" s="27">
        <v>46223</v>
      </c>
      <c r="G1164" s="27" t="s">
        <v>2604</v>
      </c>
      <c r="H1164" s="6" t="s">
        <v>1625</v>
      </c>
      <c r="I1164" s="6" t="s">
        <v>2636</v>
      </c>
      <c r="J1164" s="196">
        <v>32917578455</v>
      </c>
      <c r="K1164" s="180" t="s">
        <v>2637</v>
      </c>
      <c r="L1164" s="108">
        <v>2</v>
      </c>
      <c r="M1164" s="37">
        <v>8124431687</v>
      </c>
      <c r="N1164" s="169" t="s">
        <v>37</v>
      </c>
      <c r="O1164" s="48">
        <v>7128.48</v>
      </c>
      <c r="P1164" s="95">
        <v>2000</v>
      </c>
      <c r="Q1164" s="8">
        <v>2138.54</v>
      </c>
      <c r="R1164" s="13">
        <v>138.54</v>
      </c>
      <c r="S1164" s="70">
        <v>46391</v>
      </c>
      <c r="T1164" s="6"/>
      <c r="U1164" s="164"/>
      <c r="V1164" s="1"/>
      <c r="X1164" s="101">
        <v>2</v>
      </c>
    </row>
    <row r="1165" spans="2:24" hidden="1">
      <c r="B1165" s="10" t="s">
        <v>2638</v>
      </c>
      <c r="C1165" s="24">
        <v>46223.443055555559</v>
      </c>
      <c r="D1165" s="10" t="s">
        <v>24</v>
      </c>
      <c r="E1165" s="10"/>
      <c r="F1165" s="27">
        <v>46223</v>
      </c>
      <c r="G1165" s="28" t="s">
        <v>2604</v>
      </c>
      <c r="H1165" s="160" t="s">
        <v>26</v>
      </c>
      <c r="I1165" s="10" t="s">
        <v>2639</v>
      </c>
      <c r="J1165" s="195">
        <v>84796207854</v>
      </c>
      <c r="K1165" s="181" t="s">
        <v>2640</v>
      </c>
      <c r="L1165" s="108">
        <v>22851188</v>
      </c>
      <c r="M1165" s="36">
        <v>5219992049841</v>
      </c>
      <c r="N1165" s="170" t="s">
        <v>106</v>
      </c>
      <c r="O1165" s="49">
        <v>7116.73</v>
      </c>
      <c r="P1165" s="96">
        <v>1975.82</v>
      </c>
      <c r="Q1165" s="11">
        <v>2135.02</v>
      </c>
      <c r="R1165" s="12">
        <v>159.19999999999999</v>
      </c>
      <c r="S1165" s="71">
        <v>45662</v>
      </c>
      <c r="T1165" s="10"/>
      <c r="U1165" s="97"/>
      <c r="V1165" s="1"/>
      <c r="X1165" s="101">
        <v>2</v>
      </c>
    </row>
    <row r="1166" spans="2:24" hidden="1">
      <c r="B1166" s="6" t="s">
        <v>2641</v>
      </c>
      <c r="C1166" s="23">
        <v>46223.443055555559</v>
      </c>
      <c r="D1166" s="6" t="s">
        <v>24</v>
      </c>
      <c r="E1166" s="6"/>
      <c r="F1166" s="27">
        <v>46223</v>
      </c>
      <c r="G1166" s="27" t="s">
        <v>45</v>
      </c>
      <c r="H1166" s="6" t="s">
        <v>269</v>
      </c>
      <c r="I1166" s="6" t="s">
        <v>2642</v>
      </c>
      <c r="J1166" s="196"/>
      <c r="K1166" s="183" t="s">
        <v>2643</v>
      </c>
      <c r="L1166" s="108">
        <v>22153336</v>
      </c>
      <c r="M1166" s="37">
        <v>5215620473360</v>
      </c>
      <c r="N1166" s="169" t="s">
        <v>37</v>
      </c>
      <c r="O1166" s="48">
        <v>9760.32</v>
      </c>
      <c r="P1166" s="95">
        <v>2821.27</v>
      </c>
      <c r="Q1166" s="8">
        <v>2928.1</v>
      </c>
      <c r="R1166" s="13">
        <v>106.83</v>
      </c>
      <c r="S1166" s="70">
        <v>46393</v>
      </c>
      <c r="T1166" s="6" t="s">
        <v>362</v>
      </c>
      <c r="U1166" s="164"/>
      <c r="V1166" s="1"/>
      <c r="X1166" s="101">
        <v>2</v>
      </c>
    </row>
    <row r="1167" spans="2:24" hidden="1">
      <c r="B1167" s="10" t="s">
        <v>2644</v>
      </c>
      <c r="C1167" s="24">
        <v>46223.444444444445</v>
      </c>
      <c r="D1167" s="10" t="s">
        <v>24</v>
      </c>
      <c r="E1167" s="10"/>
      <c r="F1167" s="27">
        <v>46223</v>
      </c>
      <c r="G1167" s="28" t="s">
        <v>2604</v>
      </c>
      <c r="H1167" s="10" t="s">
        <v>1625</v>
      </c>
      <c r="I1167" s="10" t="s">
        <v>2645</v>
      </c>
      <c r="J1167" s="198">
        <v>4694405244</v>
      </c>
      <c r="K1167" s="181" t="s">
        <v>2646</v>
      </c>
      <c r="L1167" s="108">
        <v>2</v>
      </c>
      <c r="M1167" s="36">
        <v>3334685883</v>
      </c>
      <c r="N1167" s="170" t="s">
        <v>37</v>
      </c>
      <c r="O1167" s="49">
        <v>5814.14</v>
      </c>
      <c r="P1167" s="96">
        <v>1738.05</v>
      </c>
      <c r="Q1167" s="11">
        <v>1744.24</v>
      </c>
      <c r="R1167" s="12">
        <v>-96.89</v>
      </c>
      <c r="S1167" s="71">
        <v>46031</v>
      </c>
      <c r="T1167" s="10"/>
      <c r="U1167" s="97"/>
      <c r="V1167" s="1"/>
      <c r="X1167" s="101">
        <v>2</v>
      </c>
    </row>
    <row r="1168" spans="2:24" hidden="1">
      <c r="B1168" s="6" t="s">
        <v>2647</v>
      </c>
      <c r="C1168" s="23">
        <v>46223.446527777778</v>
      </c>
      <c r="D1168" s="6" t="s">
        <v>24</v>
      </c>
      <c r="E1168" s="6"/>
      <c r="F1168" s="27">
        <v>46223</v>
      </c>
      <c r="G1168" s="27" t="s">
        <v>2604</v>
      </c>
      <c r="H1168" s="18" t="s">
        <v>170</v>
      </c>
      <c r="I1168" s="6" t="s">
        <v>2648</v>
      </c>
      <c r="J1168" s="196">
        <v>81836601070</v>
      </c>
      <c r="K1168" s="180"/>
      <c r="L1168" s="108">
        <v>22852568</v>
      </c>
      <c r="M1168" s="37">
        <v>5219381802662</v>
      </c>
      <c r="N1168" s="169" t="s">
        <v>37</v>
      </c>
      <c r="O1168" s="48">
        <v>10636.54</v>
      </c>
      <c r="P1168" s="95">
        <v>3190.93</v>
      </c>
      <c r="Q1168" s="8">
        <v>3190.96</v>
      </c>
      <c r="R1168" s="13">
        <v>0.03</v>
      </c>
      <c r="S1168" s="70">
        <v>46756</v>
      </c>
      <c r="T1168" s="6"/>
      <c r="U1168" s="164"/>
      <c r="V1168" s="1"/>
      <c r="X1168" s="101">
        <v>2</v>
      </c>
    </row>
    <row r="1169" spans="2:24" hidden="1">
      <c r="B1169" s="10" t="s">
        <v>2649</v>
      </c>
      <c r="C1169" s="24">
        <v>46223.451388888891</v>
      </c>
      <c r="D1169" s="10" t="s">
        <v>24</v>
      </c>
      <c r="E1169" s="10"/>
      <c r="F1169" s="27">
        <v>46223</v>
      </c>
      <c r="G1169" s="28" t="s">
        <v>2604</v>
      </c>
      <c r="H1169" s="15" t="s">
        <v>26</v>
      </c>
      <c r="I1169" s="10" t="s">
        <v>2605</v>
      </c>
      <c r="J1169" s="195"/>
      <c r="K1169" s="179" t="s">
        <v>2606</v>
      </c>
      <c r="L1169" s="108">
        <v>22846466</v>
      </c>
      <c r="M1169" s="36">
        <v>5215523117615</v>
      </c>
      <c r="N1169" s="170" t="s">
        <v>37</v>
      </c>
      <c r="O1169" s="49">
        <v>5060.93</v>
      </c>
      <c r="P1169" s="96">
        <v>856.33</v>
      </c>
      <c r="Q1169" s="11">
        <v>1518.28</v>
      </c>
      <c r="R1169" s="12">
        <v>31.62</v>
      </c>
      <c r="S1169" s="71">
        <v>46398</v>
      </c>
      <c r="T1169" s="10" t="s">
        <v>259</v>
      </c>
      <c r="U1169" s="97"/>
      <c r="V1169" s="1"/>
      <c r="X1169" s="101">
        <v>2</v>
      </c>
    </row>
    <row r="1170" spans="2:24" hidden="1">
      <c r="B1170" s="6" t="s">
        <v>2650</v>
      </c>
      <c r="C1170" s="23">
        <v>46223.456944444442</v>
      </c>
      <c r="D1170" s="6" t="s">
        <v>24</v>
      </c>
      <c r="E1170" s="6"/>
      <c r="F1170" s="27">
        <v>46223</v>
      </c>
      <c r="G1170" s="27" t="s">
        <v>2604</v>
      </c>
      <c r="H1170" s="6" t="s">
        <v>1625</v>
      </c>
      <c r="I1170" s="6" t="s">
        <v>2642</v>
      </c>
      <c r="J1170" s="196">
        <v>11836309911</v>
      </c>
      <c r="K1170" s="183" t="s">
        <v>2643</v>
      </c>
      <c r="L1170" s="108">
        <v>2</v>
      </c>
      <c r="M1170" s="37">
        <v>5620473360</v>
      </c>
      <c r="N1170" s="169" t="s">
        <v>37</v>
      </c>
      <c r="O1170" s="48">
        <v>9760.32</v>
      </c>
      <c r="P1170" s="95">
        <v>2821.27</v>
      </c>
      <c r="Q1170" s="8">
        <v>2928.1</v>
      </c>
      <c r="R1170" s="13">
        <v>106.83</v>
      </c>
      <c r="S1170" s="70">
        <v>46393</v>
      </c>
      <c r="T1170" s="6" t="s">
        <v>362</v>
      </c>
      <c r="U1170" s="164"/>
      <c r="V1170" s="1"/>
      <c r="X1170" s="101">
        <v>2</v>
      </c>
    </row>
    <row r="1171" spans="2:24" hidden="1">
      <c r="B1171" s="10" t="s">
        <v>2651</v>
      </c>
      <c r="C1171" s="24">
        <v>46223.46597222222</v>
      </c>
      <c r="D1171" s="10" t="s">
        <v>24</v>
      </c>
      <c r="E1171" s="10"/>
      <c r="F1171" s="27">
        <v>46223</v>
      </c>
      <c r="G1171" s="28" t="s">
        <v>2604</v>
      </c>
      <c r="H1171" s="10" t="s">
        <v>1629</v>
      </c>
      <c r="I1171" s="10" t="s">
        <v>2652</v>
      </c>
      <c r="J1171" s="195">
        <v>11725389404</v>
      </c>
      <c r="K1171" s="181" t="s">
        <v>2653</v>
      </c>
      <c r="L1171" s="116">
        <v>2</v>
      </c>
      <c r="M1171" s="40">
        <v>5510311711</v>
      </c>
      <c r="N1171" s="170" t="s">
        <v>28</v>
      </c>
      <c r="O1171" s="49">
        <v>28673.66</v>
      </c>
      <c r="P1171" s="96"/>
      <c r="Q1171" s="11">
        <v>8602.1</v>
      </c>
      <c r="R1171" s="14">
        <v>8602.1</v>
      </c>
      <c r="S1171" s="71"/>
      <c r="T1171" s="10"/>
      <c r="U1171" s="97"/>
      <c r="V1171" s="1"/>
      <c r="X1171" s="101">
        <v>1</v>
      </c>
    </row>
    <row r="1172" spans="2:24" hidden="1">
      <c r="B1172" s="6" t="s">
        <v>2654</v>
      </c>
      <c r="C1172" s="23">
        <v>46223.468055555553</v>
      </c>
      <c r="D1172" s="6" t="s">
        <v>24</v>
      </c>
      <c r="E1172" s="6"/>
      <c r="F1172" s="27">
        <v>46223</v>
      </c>
      <c r="G1172" s="27" t="s">
        <v>1953</v>
      </c>
      <c r="H1172" s="6" t="s">
        <v>160</v>
      </c>
      <c r="I1172" s="6" t="s">
        <v>2655</v>
      </c>
      <c r="J1172" s="197">
        <v>11806001720</v>
      </c>
      <c r="K1172" s="183" t="s">
        <v>2656</v>
      </c>
      <c r="L1172" s="108">
        <v>22747490</v>
      </c>
      <c r="M1172" s="37">
        <v>5217791240984</v>
      </c>
      <c r="N1172" s="169" t="s">
        <v>37</v>
      </c>
      <c r="O1172" s="48">
        <v>9760.32</v>
      </c>
      <c r="P1172" s="95">
        <v>2927.1</v>
      </c>
      <c r="Q1172" s="8">
        <v>2928.1</v>
      </c>
      <c r="R1172" s="13">
        <v>1</v>
      </c>
      <c r="S1172" s="70">
        <v>46391</v>
      </c>
      <c r="T1172" s="6" t="s">
        <v>362</v>
      </c>
      <c r="U1172" s="164"/>
      <c r="V1172" s="1"/>
      <c r="X1172" s="101">
        <v>2</v>
      </c>
    </row>
    <row r="1173" spans="2:24" hidden="1">
      <c r="B1173" s="10" t="s">
        <v>2657</v>
      </c>
      <c r="C1173" s="24">
        <v>46223.472222222219</v>
      </c>
      <c r="D1173" s="10" t="s">
        <v>24</v>
      </c>
      <c r="E1173" s="10"/>
      <c r="F1173" s="27">
        <v>46223</v>
      </c>
      <c r="G1173" s="28" t="s">
        <v>2604</v>
      </c>
      <c r="H1173" s="10" t="s">
        <v>61</v>
      </c>
      <c r="I1173" s="10" t="s">
        <v>2658</v>
      </c>
      <c r="J1173" s="195">
        <v>57917449639</v>
      </c>
      <c r="K1173" s="181" t="s">
        <v>2659</v>
      </c>
      <c r="L1173" s="108">
        <v>22845294</v>
      </c>
      <c r="M1173" s="36">
        <v>5216624306451</v>
      </c>
      <c r="N1173" s="170" t="s">
        <v>37</v>
      </c>
      <c r="O1173" s="49">
        <v>8008.19</v>
      </c>
      <c r="P1173" s="96">
        <v>2402.46</v>
      </c>
      <c r="Q1173" s="11">
        <v>2402.46</v>
      </c>
      <c r="R1173" s="12">
        <v>0</v>
      </c>
      <c r="S1173" s="71">
        <v>46753</v>
      </c>
      <c r="T1173" s="10"/>
      <c r="U1173" s="97"/>
      <c r="V1173" s="1"/>
      <c r="X1173" s="101">
        <v>2</v>
      </c>
    </row>
    <row r="1174" spans="2:24" hidden="1">
      <c r="B1174" s="6" t="s">
        <v>2660</v>
      </c>
      <c r="C1174" s="23">
        <v>46223.480555555558</v>
      </c>
      <c r="D1174" s="6" t="s">
        <v>24</v>
      </c>
      <c r="E1174" s="6"/>
      <c r="F1174" s="27">
        <v>46223</v>
      </c>
      <c r="G1174" s="27" t="s">
        <v>2604</v>
      </c>
      <c r="H1174" s="6" t="s">
        <v>93</v>
      </c>
      <c r="I1174" s="6" t="s">
        <v>2661</v>
      </c>
      <c r="J1174" s="196"/>
      <c r="K1174" s="180" t="s">
        <v>2662</v>
      </c>
      <c r="L1174" s="108">
        <v>22853908</v>
      </c>
      <c r="M1174" s="37">
        <v>5514967647</v>
      </c>
      <c r="N1174" s="169" t="s">
        <v>37</v>
      </c>
      <c r="O1174" s="48">
        <v>9322.02</v>
      </c>
      <c r="P1174" s="95">
        <v>2690</v>
      </c>
      <c r="Q1174" s="8">
        <v>2796.61</v>
      </c>
      <c r="R1174" s="13">
        <v>106.61</v>
      </c>
      <c r="S1174" s="70">
        <v>46395</v>
      </c>
      <c r="T1174" s="6"/>
      <c r="U1174" s="164"/>
      <c r="V1174" s="1"/>
      <c r="X1174" s="101">
        <v>2</v>
      </c>
    </row>
    <row r="1175" spans="2:24" hidden="1">
      <c r="B1175" s="10" t="s">
        <v>2660</v>
      </c>
      <c r="C1175" s="24">
        <v>46223.480555555558</v>
      </c>
      <c r="D1175" s="10" t="s">
        <v>24</v>
      </c>
      <c r="E1175" s="10"/>
      <c r="F1175" s="27">
        <v>46223</v>
      </c>
      <c r="G1175" s="28" t="s">
        <v>2604</v>
      </c>
      <c r="H1175" s="161" t="s">
        <v>71</v>
      </c>
      <c r="I1175" s="10" t="s">
        <v>2663</v>
      </c>
      <c r="J1175" s="193">
        <v>12796320526</v>
      </c>
      <c r="K1175" s="181"/>
      <c r="L1175" s="108">
        <v>22850876</v>
      </c>
      <c r="M1175" s="36">
        <v>5214771907999</v>
      </c>
      <c r="N1175" s="170" t="s">
        <v>28</v>
      </c>
      <c r="O1175" s="49">
        <v>9081.52</v>
      </c>
      <c r="P1175" s="96">
        <v>879</v>
      </c>
      <c r="Q1175" s="11">
        <v>2724.46</v>
      </c>
      <c r="R1175" s="14">
        <v>1845.46</v>
      </c>
      <c r="S1175" s="71"/>
      <c r="T1175" s="10"/>
      <c r="U1175" s="97"/>
      <c r="V1175" s="1"/>
      <c r="X1175" s="101">
        <v>1</v>
      </c>
    </row>
    <row r="1176" spans="2:24" hidden="1">
      <c r="B1176" s="6" t="s">
        <v>2664</v>
      </c>
      <c r="C1176" s="23">
        <v>46223.486111111109</v>
      </c>
      <c r="D1176" s="6" t="s">
        <v>24</v>
      </c>
      <c r="E1176" s="6"/>
      <c r="F1176" s="27">
        <v>46223</v>
      </c>
      <c r="G1176" s="27" t="s">
        <v>2604</v>
      </c>
      <c r="H1176" s="7" t="s">
        <v>26</v>
      </c>
      <c r="I1176" s="6" t="s">
        <v>2665</v>
      </c>
      <c r="J1176" s="192">
        <v>64806151417</v>
      </c>
      <c r="K1176" s="180" t="s">
        <v>2666</v>
      </c>
      <c r="L1176" s="108">
        <v>22844380</v>
      </c>
      <c r="M1176" s="37">
        <v>5215627012102</v>
      </c>
      <c r="N1176" s="169" t="s">
        <v>37</v>
      </c>
      <c r="O1176" s="48">
        <v>37000.74</v>
      </c>
      <c r="P1176" s="95">
        <v>11082.62</v>
      </c>
      <c r="Q1176" s="8">
        <v>11100.22</v>
      </c>
      <c r="R1176" s="13">
        <v>17.600000000000001</v>
      </c>
      <c r="S1176" s="70">
        <v>46391</v>
      </c>
      <c r="T1176" s="6" t="s">
        <v>192</v>
      </c>
      <c r="U1176" s="164"/>
      <c r="V1176" s="1"/>
      <c r="X1176" s="101">
        <v>2</v>
      </c>
    </row>
    <row r="1177" spans="2:24" hidden="1">
      <c r="B1177" s="10" t="s">
        <v>2667</v>
      </c>
      <c r="C1177" s="24">
        <v>46223.488194444442</v>
      </c>
      <c r="D1177" s="10" t="s">
        <v>24</v>
      </c>
      <c r="E1177" s="10"/>
      <c r="F1177" s="27">
        <v>46223</v>
      </c>
      <c r="G1177" s="28" t="s">
        <v>2604</v>
      </c>
      <c r="H1177" s="15" t="s">
        <v>26</v>
      </c>
      <c r="I1177" s="10" t="s">
        <v>2668</v>
      </c>
      <c r="J1177" s="193">
        <v>43765724893</v>
      </c>
      <c r="K1177" s="181"/>
      <c r="L1177" s="108">
        <v>22853802</v>
      </c>
      <c r="M1177" s="36">
        <v>5218131415998</v>
      </c>
      <c r="N1177" s="170" t="s">
        <v>37</v>
      </c>
      <c r="O1177" s="49">
        <v>10143.14</v>
      </c>
      <c r="P1177" s="96">
        <v>2932.29</v>
      </c>
      <c r="Q1177" s="11">
        <v>3042.94</v>
      </c>
      <c r="R1177" s="12">
        <v>110.65</v>
      </c>
      <c r="S1177" s="71">
        <v>46398</v>
      </c>
      <c r="T1177" s="10"/>
      <c r="U1177" s="97"/>
      <c r="V1177" s="1"/>
      <c r="X1177" s="101">
        <v>2</v>
      </c>
    </row>
    <row r="1178" spans="2:24" hidden="1">
      <c r="B1178" s="6" t="s">
        <v>2669</v>
      </c>
      <c r="C1178" s="23">
        <v>46223.489583333336</v>
      </c>
      <c r="D1178" s="6" t="s">
        <v>24</v>
      </c>
      <c r="E1178" s="6"/>
      <c r="F1178" s="27">
        <v>46223</v>
      </c>
      <c r="G1178" s="27" t="s">
        <v>2528</v>
      </c>
      <c r="H1178" s="6" t="s">
        <v>61</v>
      </c>
      <c r="I1178" s="6" t="s">
        <v>2670</v>
      </c>
      <c r="J1178" s="192"/>
      <c r="K1178" s="180" t="s">
        <v>2671</v>
      </c>
      <c r="L1178" s="108">
        <v>22828194</v>
      </c>
      <c r="M1178" s="37">
        <v>5213141600373</v>
      </c>
      <c r="N1178" s="169" t="s">
        <v>37</v>
      </c>
      <c r="O1178" s="48">
        <v>6106.99</v>
      </c>
      <c r="P1178" s="95">
        <v>1832.1</v>
      </c>
      <c r="Q1178" s="8">
        <v>1832.1</v>
      </c>
      <c r="R1178" s="13">
        <v>0</v>
      </c>
      <c r="S1178" s="70">
        <v>46755</v>
      </c>
      <c r="T1178" s="6"/>
      <c r="U1178" s="164"/>
      <c r="V1178" s="1"/>
      <c r="X1178" s="101">
        <v>2</v>
      </c>
    </row>
    <row r="1179" spans="2:24" hidden="1">
      <c r="B1179" s="10" t="s">
        <v>2672</v>
      </c>
      <c r="C1179" s="24">
        <v>46223.490972222222</v>
      </c>
      <c r="D1179" s="10" t="s">
        <v>24</v>
      </c>
      <c r="E1179" s="10"/>
      <c r="F1179" s="27">
        <v>46223</v>
      </c>
      <c r="G1179" s="28" t="s">
        <v>2604</v>
      </c>
      <c r="H1179" s="15" t="s">
        <v>110</v>
      </c>
      <c r="I1179" s="10" t="s">
        <v>2673</v>
      </c>
      <c r="J1179" s="193">
        <v>6826416213</v>
      </c>
      <c r="K1179" s="181" t="s">
        <v>2674</v>
      </c>
      <c r="L1179" s="108">
        <v>22848722</v>
      </c>
      <c r="M1179" s="36">
        <v>5215528431493</v>
      </c>
      <c r="N1179" s="170" t="s">
        <v>37</v>
      </c>
      <c r="O1179" s="49">
        <v>26429.21</v>
      </c>
      <c r="P1179" s="96">
        <v>7928.76</v>
      </c>
      <c r="Q1179" s="11">
        <v>7928.76</v>
      </c>
      <c r="R1179" s="12">
        <v>0</v>
      </c>
      <c r="S1179" s="71">
        <v>46266</v>
      </c>
      <c r="T1179" s="10"/>
      <c r="U1179" s="97"/>
      <c r="V1179" s="1"/>
      <c r="X1179" s="101">
        <v>2</v>
      </c>
    </row>
    <row r="1180" spans="2:24" hidden="1">
      <c r="B1180" s="6" t="s">
        <v>2675</v>
      </c>
      <c r="C1180" s="23">
        <v>46223.491666666669</v>
      </c>
      <c r="D1180" s="6" t="s">
        <v>24</v>
      </c>
      <c r="E1180" s="6"/>
      <c r="F1180" s="27">
        <v>46223</v>
      </c>
      <c r="G1180" s="27" t="s">
        <v>2604</v>
      </c>
      <c r="H1180" s="6" t="s">
        <v>1519</v>
      </c>
      <c r="I1180" s="6" t="s">
        <v>2676</v>
      </c>
      <c r="J1180" s="192">
        <v>16947305997</v>
      </c>
      <c r="K1180" s="180" t="s">
        <v>2677</v>
      </c>
      <c r="L1180" s="107">
        <v>22812524</v>
      </c>
      <c r="M1180" s="37">
        <v>5213325963028</v>
      </c>
      <c r="N1180" s="169" t="s">
        <v>32</v>
      </c>
      <c r="O1180" s="48">
        <v>3928.69</v>
      </c>
      <c r="P1180" s="95"/>
      <c r="Q1180" s="8">
        <v>1178.6099999999999</v>
      </c>
      <c r="R1180" s="13">
        <v>0</v>
      </c>
      <c r="S1180" s="70"/>
      <c r="T1180" s="6"/>
      <c r="U1180" s="164"/>
      <c r="V1180" s="1"/>
      <c r="X1180" s="101">
        <v>1</v>
      </c>
    </row>
    <row r="1181" spans="2:24" hidden="1">
      <c r="B1181" s="10" t="s">
        <v>2678</v>
      </c>
      <c r="C1181" s="24">
        <v>46223.493055555555</v>
      </c>
      <c r="D1181" s="10" t="s">
        <v>24</v>
      </c>
      <c r="E1181" s="10"/>
      <c r="F1181" s="27">
        <v>46223</v>
      </c>
      <c r="G1181" s="28" t="s">
        <v>2604</v>
      </c>
      <c r="H1181" s="10" t="s">
        <v>61</v>
      </c>
      <c r="I1181" s="10" t="s">
        <v>2679</v>
      </c>
      <c r="J1181" s="193"/>
      <c r="K1181" s="181" t="s">
        <v>2680</v>
      </c>
      <c r="L1181" s="108">
        <v>22852032</v>
      </c>
      <c r="M1181" s="36">
        <v>5214761416612</v>
      </c>
      <c r="N1181" s="170" t="s">
        <v>37</v>
      </c>
      <c r="O1181" s="49">
        <v>13223.9</v>
      </c>
      <c r="P1181" s="96">
        <v>3966.25</v>
      </c>
      <c r="Q1181" s="11">
        <v>3967.17</v>
      </c>
      <c r="R1181" s="12">
        <v>0.92</v>
      </c>
      <c r="S1181" s="71">
        <v>46396</v>
      </c>
      <c r="T1181" s="10"/>
      <c r="U1181" s="97"/>
      <c r="V1181" s="1"/>
      <c r="X1181" s="101">
        <v>2</v>
      </c>
    </row>
    <row r="1182" spans="2:24" hidden="1">
      <c r="B1182" s="6" t="s">
        <v>2681</v>
      </c>
      <c r="C1182" s="23">
        <v>46223.498611111114</v>
      </c>
      <c r="D1182" s="6" t="s">
        <v>24</v>
      </c>
      <c r="E1182" s="6"/>
      <c r="F1182" s="27">
        <v>46223</v>
      </c>
      <c r="G1182" s="27" t="s">
        <v>2604</v>
      </c>
      <c r="H1182" s="7" t="s">
        <v>476</v>
      </c>
      <c r="I1182" s="6" t="s">
        <v>2682</v>
      </c>
      <c r="J1182" s="192">
        <v>67806400205</v>
      </c>
      <c r="K1182" s="180"/>
      <c r="L1182" s="108">
        <v>22852464</v>
      </c>
      <c r="M1182" s="37">
        <v>5212721843681</v>
      </c>
      <c r="N1182" s="169" t="s">
        <v>37</v>
      </c>
      <c r="O1182" s="48">
        <v>9081.52</v>
      </c>
      <c r="P1182" s="95">
        <v>2627.21</v>
      </c>
      <c r="Q1182" s="8">
        <v>2724.46</v>
      </c>
      <c r="R1182" s="13">
        <v>97.25</v>
      </c>
      <c r="S1182" s="70">
        <v>46390</v>
      </c>
      <c r="T1182" s="6"/>
      <c r="U1182" s="164"/>
      <c r="V1182" s="1"/>
      <c r="X1182" s="101">
        <v>2</v>
      </c>
    </row>
    <row r="1183" spans="2:24" hidden="1">
      <c r="B1183" s="10" t="s">
        <v>2683</v>
      </c>
      <c r="C1183" s="24">
        <v>46223.5</v>
      </c>
      <c r="D1183" s="10" t="s">
        <v>24</v>
      </c>
      <c r="E1183" s="10"/>
      <c r="F1183" s="27">
        <v>46223</v>
      </c>
      <c r="G1183" s="28" t="s">
        <v>2142</v>
      </c>
      <c r="H1183" s="10" t="s">
        <v>160</v>
      </c>
      <c r="I1183" s="10" t="s">
        <v>2684</v>
      </c>
      <c r="J1183" s="193">
        <v>78866612316</v>
      </c>
      <c r="K1183" s="181" t="s">
        <v>2685</v>
      </c>
      <c r="L1183" s="108">
        <v>22801232</v>
      </c>
      <c r="M1183" s="36">
        <v>5219511924386</v>
      </c>
      <c r="N1183" s="170" t="s">
        <v>28</v>
      </c>
      <c r="O1183" s="49">
        <v>28766.66</v>
      </c>
      <c r="P1183" s="96"/>
      <c r="Q1183" s="11">
        <v>8630</v>
      </c>
      <c r="R1183" s="14">
        <v>8630</v>
      </c>
      <c r="S1183" s="71"/>
      <c r="T1183" s="10"/>
      <c r="U1183" s="97"/>
      <c r="V1183" s="1"/>
      <c r="X1183" s="101">
        <v>1</v>
      </c>
    </row>
    <row r="1184" spans="2:24" hidden="1">
      <c r="B1184" s="6" t="s">
        <v>2686</v>
      </c>
      <c r="C1184" s="23">
        <v>46223.503472222219</v>
      </c>
      <c r="D1184" s="6" t="s">
        <v>24</v>
      </c>
      <c r="E1184" s="6"/>
      <c r="F1184" s="27">
        <v>46223</v>
      </c>
      <c r="G1184" s="27" t="s">
        <v>2604</v>
      </c>
      <c r="H1184" s="6" t="s">
        <v>93</v>
      </c>
      <c r="I1184" s="6" t="s">
        <v>2687</v>
      </c>
      <c r="J1184" s="192"/>
      <c r="K1184" s="180" t="s">
        <v>2688</v>
      </c>
      <c r="L1184" s="108">
        <v>22845226</v>
      </c>
      <c r="M1184" s="37">
        <v>6145485272</v>
      </c>
      <c r="N1184" s="169" t="s">
        <v>37</v>
      </c>
      <c r="O1184" s="48">
        <v>6411.47</v>
      </c>
      <c r="P1184" s="95">
        <v>1854.6</v>
      </c>
      <c r="Q1184" s="8">
        <v>1923.44</v>
      </c>
      <c r="R1184" s="13">
        <v>68.84</v>
      </c>
      <c r="S1184" s="70">
        <v>46390</v>
      </c>
      <c r="T1184" s="6" t="s">
        <v>178</v>
      </c>
      <c r="U1184" s="164"/>
      <c r="V1184" s="1"/>
      <c r="X1184" s="101">
        <v>2</v>
      </c>
    </row>
    <row r="1185" spans="2:24" hidden="1">
      <c r="B1185" s="10" t="s">
        <v>2689</v>
      </c>
      <c r="C1185" s="24">
        <v>46223.507638888892</v>
      </c>
      <c r="D1185" s="10" t="s">
        <v>24</v>
      </c>
      <c r="E1185" s="10"/>
      <c r="F1185" s="27">
        <v>46223</v>
      </c>
      <c r="G1185" s="28" t="s">
        <v>2604</v>
      </c>
      <c r="H1185" s="10" t="s">
        <v>93</v>
      </c>
      <c r="I1185" s="10" t="s">
        <v>2690</v>
      </c>
      <c r="J1185" s="193">
        <v>41907263564</v>
      </c>
      <c r="K1185" s="181" t="s">
        <v>2691</v>
      </c>
      <c r="L1185" s="108">
        <v>22854362</v>
      </c>
      <c r="M1185" s="36">
        <v>4445164923</v>
      </c>
      <c r="N1185" s="170" t="s">
        <v>47</v>
      </c>
      <c r="O1185" s="49">
        <v>21109.87</v>
      </c>
      <c r="P1185" s="96">
        <v>5803.53</v>
      </c>
      <c r="Q1185" s="11">
        <v>6332.96</v>
      </c>
      <c r="R1185" s="16">
        <v>529.42999999999995</v>
      </c>
      <c r="S1185" s="71">
        <v>46031</v>
      </c>
      <c r="T1185" s="10"/>
      <c r="U1185" s="97"/>
      <c r="V1185" s="1"/>
      <c r="X1185" s="101">
        <v>2</v>
      </c>
    </row>
    <row r="1186" spans="2:24" hidden="1">
      <c r="B1186" s="6" t="s">
        <v>2692</v>
      </c>
      <c r="C1186" s="23">
        <v>46223.509027777778</v>
      </c>
      <c r="D1186" s="6" t="s">
        <v>24</v>
      </c>
      <c r="E1186" s="6"/>
      <c r="F1186" s="27">
        <v>46223</v>
      </c>
      <c r="G1186" s="27" t="s">
        <v>2604</v>
      </c>
      <c r="H1186" s="6" t="s">
        <v>1625</v>
      </c>
      <c r="I1186" s="6" t="s">
        <v>2693</v>
      </c>
      <c r="J1186" s="203">
        <v>4592620452</v>
      </c>
      <c r="K1186" s="183" t="s">
        <v>2694</v>
      </c>
      <c r="L1186" s="108">
        <v>2</v>
      </c>
      <c r="M1186" s="38">
        <v>5510311711</v>
      </c>
      <c r="N1186" s="169" t="s">
        <v>37</v>
      </c>
      <c r="O1186" s="48">
        <v>7116.73</v>
      </c>
      <c r="P1186" s="95">
        <v>2046.04</v>
      </c>
      <c r="Q1186" s="8">
        <v>2135.02</v>
      </c>
      <c r="R1186" s="13">
        <v>88.98</v>
      </c>
      <c r="S1186" s="70">
        <v>46399</v>
      </c>
      <c r="T1186" s="6" t="s">
        <v>178</v>
      </c>
      <c r="U1186" s="164"/>
      <c r="V1186" s="1"/>
      <c r="X1186" s="101">
        <v>2</v>
      </c>
    </row>
    <row r="1187" spans="2:24" hidden="1">
      <c r="B1187" s="10" t="s">
        <v>2664</v>
      </c>
      <c r="C1187" s="24">
        <v>46223.513194444444</v>
      </c>
      <c r="D1187" s="10" t="s">
        <v>24</v>
      </c>
      <c r="E1187" s="10"/>
      <c r="F1187" s="27">
        <v>46223</v>
      </c>
      <c r="G1187" s="28" t="s">
        <v>2604</v>
      </c>
      <c r="H1187" s="10" t="s">
        <v>39</v>
      </c>
      <c r="I1187" s="10" t="s">
        <v>2695</v>
      </c>
      <c r="J1187" s="202">
        <v>54816504945</v>
      </c>
      <c r="K1187" s="181" t="s">
        <v>591</v>
      </c>
      <c r="L1187" s="108">
        <v>22854858</v>
      </c>
      <c r="M1187" s="36">
        <v>5213111416875</v>
      </c>
      <c r="N1187" s="170" t="s">
        <v>37</v>
      </c>
      <c r="O1187" s="49">
        <v>11029.03</v>
      </c>
      <c r="P1187" s="96">
        <v>3308</v>
      </c>
      <c r="Q1187" s="11">
        <v>3308.71</v>
      </c>
      <c r="R1187" s="12">
        <v>0.71</v>
      </c>
      <c r="S1187" s="71">
        <v>46755</v>
      </c>
      <c r="T1187" s="10"/>
      <c r="U1187" s="97"/>
      <c r="V1187" s="1"/>
      <c r="X1187" s="101">
        <v>2</v>
      </c>
    </row>
    <row r="1188" spans="2:24" hidden="1">
      <c r="B1188" s="6" t="s">
        <v>2696</v>
      </c>
      <c r="C1188" s="23">
        <v>46223.513888888891</v>
      </c>
      <c r="D1188" s="6" t="s">
        <v>24</v>
      </c>
      <c r="E1188" s="6"/>
      <c r="F1188" s="27">
        <v>46223</v>
      </c>
      <c r="G1188" s="27" t="s">
        <v>2604</v>
      </c>
      <c r="H1188" s="6" t="s">
        <v>1625</v>
      </c>
      <c r="I1188" s="6" t="s">
        <v>2697</v>
      </c>
      <c r="J1188" s="192">
        <v>54816530551</v>
      </c>
      <c r="K1188" s="180" t="s">
        <v>2698</v>
      </c>
      <c r="L1188" s="108">
        <v>2</v>
      </c>
      <c r="M1188" s="37">
        <v>3332407111</v>
      </c>
      <c r="N1188" s="169" t="s">
        <v>37</v>
      </c>
      <c r="O1188" s="48">
        <v>9760.32</v>
      </c>
      <c r="P1188" s="95">
        <v>2925.66</v>
      </c>
      <c r="Q1188" s="8">
        <v>2928.1</v>
      </c>
      <c r="R1188" s="13">
        <v>2.44</v>
      </c>
      <c r="S1188" s="70">
        <v>46756</v>
      </c>
      <c r="T1188" s="6"/>
      <c r="U1188" s="164"/>
      <c r="V1188" s="1"/>
      <c r="X1188" s="101">
        <v>2</v>
      </c>
    </row>
    <row r="1189" spans="2:24" hidden="1">
      <c r="B1189" s="10" t="s">
        <v>2699</v>
      </c>
      <c r="C1189" s="24">
        <v>46223.519444444442</v>
      </c>
      <c r="D1189" s="10" t="s">
        <v>24</v>
      </c>
      <c r="E1189" s="10"/>
      <c r="F1189" s="27">
        <v>46223</v>
      </c>
      <c r="G1189" s="28" t="s">
        <v>2604</v>
      </c>
      <c r="H1189" s="10" t="s">
        <v>1629</v>
      </c>
      <c r="I1189" s="10" t="s">
        <v>2700</v>
      </c>
      <c r="J1189" s="193">
        <v>18825801550</v>
      </c>
      <c r="K1189" s="181" t="s">
        <v>2701</v>
      </c>
      <c r="L1189" s="116">
        <v>2</v>
      </c>
      <c r="M1189" s="36">
        <v>5514251094</v>
      </c>
      <c r="N1189" s="170" t="s">
        <v>32</v>
      </c>
      <c r="O1189" s="49">
        <v>4342.43</v>
      </c>
      <c r="P1189" s="96">
        <v>360.07</v>
      </c>
      <c r="Q1189" s="11">
        <v>1302.73</v>
      </c>
      <c r="R1189" s="12">
        <v>-190.62</v>
      </c>
      <c r="S1189" s="71"/>
      <c r="T1189" s="10"/>
      <c r="U1189" s="97"/>
      <c r="V1189" s="1"/>
      <c r="X1189" s="101">
        <v>1</v>
      </c>
    </row>
    <row r="1190" spans="2:24" hidden="1">
      <c r="B1190" s="6" t="s">
        <v>2702</v>
      </c>
      <c r="C1190" s="23">
        <v>46223.519444444442</v>
      </c>
      <c r="D1190" s="6" t="s">
        <v>24</v>
      </c>
      <c r="E1190" s="6"/>
      <c r="F1190" s="27">
        <v>46223</v>
      </c>
      <c r="G1190" s="27" t="s">
        <v>2604</v>
      </c>
      <c r="H1190" s="161" t="s">
        <v>170</v>
      </c>
      <c r="I1190" s="6" t="s">
        <v>2703</v>
      </c>
      <c r="J1190" s="192"/>
      <c r="K1190" s="180" t="s">
        <v>2704</v>
      </c>
      <c r="L1190" s="107">
        <v>22854560</v>
      </c>
      <c r="M1190" s="37">
        <v>5219721110973</v>
      </c>
      <c r="N1190" s="169" t="s">
        <v>28</v>
      </c>
      <c r="O1190" s="48">
        <v>6928.52</v>
      </c>
      <c r="P1190" s="95"/>
      <c r="Q1190" s="8">
        <v>2078.56</v>
      </c>
      <c r="R1190" s="9">
        <v>2078.56</v>
      </c>
      <c r="S1190" s="70"/>
      <c r="T1190" s="6"/>
      <c r="U1190" s="164"/>
      <c r="V1190" s="1"/>
      <c r="X1190" s="101">
        <v>1</v>
      </c>
    </row>
    <row r="1191" spans="2:24" hidden="1">
      <c r="B1191" s="10" t="s">
        <v>2705</v>
      </c>
      <c r="C1191" s="24">
        <v>46223.524305555555</v>
      </c>
      <c r="D1191" s="10" t="s">
        <v>24</v>
      </c>
      <c r="E1191" s="10"/>
      <c r="F1191" s="27">
        <v>46223</v>
      </c>
      <c r="G1191" s="28" t="s">
        <v>2604</v>
      </c>
      <c r="H1191" s="10" t="s">
        <v>1629</v>
      </c>
      <c r="I1191" s="10" t="s">
        <v>2706</v>
      </c>
      <c r="J1191" s="202">
        <v>43796302446</v>
      </c>
      <c r="K1191" s="179" t="s">
        <v>2707</v>
      </c>
      <c r="L1191" s="108">
        <v>2</v>
      </c>
      <c r="M1191" s="36">
        <v>8146180778</v>
      </c>
      <c r="N1191" s="170" t="s">
        <v>37</v>
      </c>
      <c r="O1191" s="49">
        <v>19666.689999999999</v>
      </c>
      <c r="P1191" s="96">
        <v>5686.72</v>
      </c>
      <c r="Q1191" s="11">
        <v>5900.01</v>
      </c>
      <c r="R1191" s="12">
        <v>213.29</v>
      </c>
      <c r="S1191" s="71">
        <v>46394</v>
      </c>
      <c r="T1191" s="10"/>
      <c r="U1191" s="97"/>
      <c r="V1191" s="1"/>
      <c r="X1191" s="101">
        <v>2</v>
      </c>
    </row>
    <row r="1192" spans="2:24" hidden="1">
      <c r="B1192" s="6" t="s">
        <v>2708</v>
      </c>
      <c r="C1192" s="23">
        <v>46223.524305555555</v>
      </c>
      <c r="D1192" s="6" t="s">
        <v>24</v>
      </c>
      <c r="E1192" s="6"/>
      <c r="F1192" s="27">
        <v>46223</v>
      </c>
      <c r="G1192" s="27" t="s">
        <v>1754</v>
      </c>
      <c r="H1192" s="6" t="s">
        <v>68</v>
      </c>
      <c r="I1192" s="6" t="s">
        <v>2709</v>
      </c>
      <c r="J1192" s="196">
        <v>12855705815</v>
      </c>
      <c r="K1192" s="180" t="s">
        <v>2710</v>
      </c>
      <c r="L1192" s="108">
        <v>22727552</v>
      </c>
      <c r="M1192" s="37">
        <v>5214621110909</v>
      </c>
      <c r="N1192" s="169" t="s">
        <v>37</v>
      </c>
      <c r="O1192" s="48">
        <v>17150.080000000002</v>
      </c>
      <c r="P1192" s="95">
        <v>4960.6000000000004</v>
      </c>
      <c r="Q1192" s="8">
        <v>5145.0200000000004</v>
      </c>
      <c r="R1192" s="13">
        <v>184.42</v>
      </c>
      <c r="S1192" s="70">
        <v>46388</v>
      </c>
      <c r="T1192" s="6"/>
      <c r="U1192" s="164"/>
      <c r="V1192" s="1"/>
      <c r="X1192" s="101">
        <v>2</v>
      </c>
    </row>
    <row r="1193" spans="2:24" hidden="1">
      <c r="B1193" s="10" t="s">
        <v>2699</v>
      </c>
      <c r="C1193" s="24">
        <v>46223.525694444441</v>
      </c>
      <c r="D1193" s="10" t="s">
        <v>24</v>
      </c>
      <c r="E1193" s="10"/>
      <c r="F1193" s="27">
        <v>46223</v>
      </c>
      <c r="G1193" s="28" t="s">
        <v>2604</v>
      </c>
      <c r="H1193" s="10" t="s">
        <v>81</v>
      </c>
      <c r="I1193" s="10" t="s">
        <v>2711</v>
      </c>
      <c r="J1193" s="193"/>
      <c r="K1193" s="181" t="s">
        <v>2712</v>
      </c>
      <c r="L1193" s="108">
        <v>22855208</v>
      </c>
      <c r="M1193" s="36">
        <v>5212722248289</v>
      </c>
      <c r="N1193" s="170" t="s">
        <v>28</v>
      </c>
      <c r="O1193" s="49">
        <v>10608.32</v>
      </c>
      <c r="P1193" s="96">
        <v>848</v>
      </c>
      <c r="Q1193" s="11">
        <v>3182.5</v>
      </c>
      <c r="R1193" s="14">
        <v>2334.5</v>
      </c>
      <c r="S1193" s="71"/>
      <c r="T1193" s="10"/>
      <c r="U1193" s="97"/>
      <c r="V1193" s="1"/>
      <c r="X1193" s="101">
        <v>1</v>
      </c>
    </row>
    <row r="1194" spans="2:24" hidden="1">
      <c r="B1194" s="6" t="s">
        <v>2705</v>
      </c>
      <c r="C1194" s="23">
        <v>46223.526388888888</v>
      </c>
      <c r="D1194" s="6" t="s">
        <v>24</v>
      </c>
      <c r="E1194" s="6"/>
      <c r="F1194" s="27">
        <v>46223</v>
      </c>
      <c r="G1194" s="27" t="s">
        <v>2604</v>
      </c>
      <c r="H1194" s="6" t="s">
        <v>39</v>
      </c>
      <c r="I1194" s="6" t="s">
        <v>2713</v>
      </c>
      <c r="J1194" s="192">
        <v>1288650247</v>
      </c>
      <c r="K1194" s="180" t="s">
        <v>2714</v>
      </c>
      <c r="L1194" s="107">
        <v>22809514</v>
      </c>
      <c r="M1194" s="37">
        <v>5214776493530</v>
      </c>
      <c r="N1194" s="169" t="s">
        <v>98</v>
      </c>
      <c r="O1194" s="48"/>
      <c r="P1194" s="95"/>
      <c r="Q1194" s="8">
        <v>0</v>
      </c>
      <c r="R1194" s="13">
        <v>0</v>
      </c>
      <c r="S1194" s="70"/>
      <c r="T1194" s="6"/>
      <c r="U1194" s="164"/>
      <c r="V1194" s="1"/>
      <c r="X1194" s="101">
        <v>0</v>
      </c>
    </row>
    <row r="1195" spans="2:24" hidden="1">
      <c r="B1195" s="10" t="s">
        <v>2715</v>
      </c>
      <c r="C1195" s="24">
        <v>46223.526388888888</v>
      </c>
      <c r="D1195" s="10" t="s">
        <v>24</v>
      </c>
      <c r="E1195" s="10"/>
      <c r="F1195" s="27">
        <v>46223</v>
      </c>
      <c r="G1195" s="28" t="s">
        <v>2604</v>
      </c>
      <c r="H1195" s="10" t="s">
        <v>127</v>
      </c>
      <c r="I1195" s="10" t="s">
        <v>2716</v>
      </c>
      <c r="J1195" s="193">
        <v>6765908584</v>
      </c>
      <c r="K1195" s="181" t="s">
        <v>2717</v>
      </c>
      <c r="L1195" s="108">
        <v>22855008</v>
      </c>
      <c r="M1195" s="36">
        <v>5215625788821</v>
      </c>
      <c r="N1195" s="170" t="s">
        <v>37</v>
      </c>
      <c r="O1195" s="49">
        <v>9760.32</v>
      </c>
      <c r="P1195" s="96">
        <v>2926.65</v>
      </c>
      <c r="Q1195" s="11">
        <v>2928.1</v>
      </c>
      <c r="R1195" s="12">
        <v>1.45</v>
      </c>
      <c r="S1195" s="71">
        <v>46756</v>
      </c>
      <c r="T1195" s="10"/>
      <c r="U1195" s="97"/>
      <c r="V1195" s="1"/>
      <c r="X1195" s="101">
        <v>2</v>
      </c>
    </row>
    <row r="1196" spans="2:24" hidden="1">
      <c r="B1196" s="6" t="s">
        <v>2718</v>
      </c>
      <c r="C1196" s="23">
        <v>46223.527777777781</v>
      </c>
      <c r="D1196" s="6" t="s">
        <v>24</v>
      </c>
      <c r="E1196" s="6"/>
      <c r="F1196" s="27">
        <v>46223</v>
      </c>
      <c r="G1196" s="27" t="s">
        <v>2604</v>
      </c>
      <c r="H1196" s="6" t="s">
        <v>1625</v>
      </c>
      <c r="I1196" s="6" t="s">
        <v>2719</v>
      </c>
      <c r="J1196" s="192">
        <v>3806216192</v>
      </c>
      <c r="K1196" s="180" t="s">
        <v>2720</v>
      </c>
      <c r="L1196" s="108">
        <v>2</v>
      </c>
      <c r="M1196" s="37">
        <v>8112749433</v>
      </c>
      <c r="N1196" s="169" t="s">
        <v>37</v>
      </c>
      <c r="O1196" s="48">
        <v>6262.86</v>
      </c>
      <c r="P1196" s="95">
        <v>1810.68</v>
      </c>
      <c r="Q1196" s="8">
        <v>1878.86</v>
      </c>
      <c r="R1196" s="13">
        <v>68.180000000000007</v>
      </c>
      <c r="S1196" s="70">
        <v>46393</v>
      </c>
      <c r="T1196" s="6"/>
      <c r="U1196" s="164"/>
      <c r="V1196" s="1"/>
      <c r="X1196" s="101">
        <v>2</v>
      </c>
    </row>
    <row r="1197" spans="2:24" hidden="1">
      <c r="B1197" s="10" t="s">
        <v>2721</v>
      </c>
      <c r="C1197" s="24">
        <v>46223.540972222225</v>
      </c>
      <c r="D1197" s="10" t="s">
        <v>24</v>
      </c>
      <c r="E1197" s="10"/>
      <c r="F1197" s="27">
        <v>46223</v>
      </c>
      <c r="G1197" s="28" t="s">
        <v>2528</v>
      </c>
      <c r="H1197" s="15" t="s">
        <v>476</v>
      </c>
      <c r="I1197" s="10" t="s">
        <v>2722</v>
      </c>
      <c r="J1197" s="193">
        <v>3877127138</v>
      </c>
      <c r="K1197" s="181" t="s">
        <v>2723</v>
      </c>
      <c r="L1197" s="108">
        <v>22839910</v>
      </c>
      <c r="M1197" s="36">
        <v>5218110133570</v>
      </c>
      <c r="N1197" s="170" t="s">
        <v>32</v>
      </c>
      <c r="O1197" s="49">
        <v>3517.29</v>
      </c>
      <c r="P1197" s="96">
        <v>879</v>
      </c>
      <c r="Q1197" s="11">
        <v>1055.19</v>
      </c>
      <c r="R1197" s="12">
        <v>-879</v>
      </c>
      <c r="S1197" s="71"/>
      <c r="T1197" s="10"/>
      <c r="U1197" s="97"/>
      <c r="V1197" s="1"/>
      <c r="X1197" s="101">
        <v>1</v>
      </c>
    </row>
    <row r="1198" spans="2:24" hidden="1">
      <c r="B1198" s="6" t="s">
        <v>2724</v>
      </c>
      <c r="C1198" s="23">
        <v>46223.543749999997</v>
      </c>
      <c r="D1198" s="6" t="s">
        <v>24</v>
      </c>
      <c r="E1198" s="6"/>
      <c r="F1198" s="27">
        <v>46223</v>
      </c>
      <c r="G1198" s="27" t="s">
        <v>2604</v>
      </c>
      <c r="H1198" s="7" t="s">
        <v>476</v>
      </c>
      <c r="I1198" s="6" t="s">
        <v>2725</v>
      </c>
      <c r="J1198" s="192"/>
      <c r="K1198" s="180" t="s">
        <v>2726</v>
      </c>
      <c r="L1198" s="107">
        <v>22849442</v>
      </c>
      <c r="M1198" s="37">
        <v>5213350456315</v>
      </c>
      <c r="N1198" s="169" t="s">
        <v>32</v>
      </c>
      <c r="O1198" s="48">
        <v>4199.87</v>
      </c>
      <c r="P1198" s="95">
        <v>879</v>
      </c>
      <c r="Q1198" s="8">
        <v>1259.96</v>
      </c>
      <c r="R1198" s="13">
        <v>-852.11</v>
      </c>
      <c r="S1198" s="70"/>
      <c r="T1198" s="6"/>
      <c r="U1198" s="164"/>
      <c r="V1198" s="1"/>
      <c r="X1198" s="101">
        <v>1</v>
      </c>
    </row>
    <row r="1199" spans="2:24" hidden="1">
      <c r="B1199" s="10" t="s">
        <v>2727</v>
      </c>
      <c r="C1199" s="24">
        <v>46223.552083333336</v>
      </c>
      <c r="D1199" s="10" t="s">
        <v>24</v>
      </c>
      <c r="E1199" s="10"/>
      <c r="F1199" s="27">
        <v>46223</v>
      </c>
      <c r="G1199" s="28" t="s">
        <v>2528</v>
      </c>
      <c r="H1199" s="160" t="s">
        <v>476</v>
      </c>
      <c r="I1199" s="10" t="s">
        <v>2728</v>
      </c>
      <c r="J1199" s="193">
        <v>83846516546</v>
      </c>
      <c r="K1199" s="181"/>
      <c r="L1199" s="108">
        <v>22835730</v>
      </c>
      <c r="M1199" s="36">
        <v>16479171403</v>
      </c>
      <c r="N1199" s="170" t="s">
        <v>47</v>
      </c>
      <c r="O1199" s="49">
        <v>11029.03</v>
      </c>
      <c r="P1199" s="96">
        <v>2976</v>
      </c>
      <c r="Q1199" s="11">
        <v>3308.71</v>
      </c>
      <c r="R1199" s="16">
        <v>332.71</v>
      </c>
      <c r="S1199" s="71">
        <v>46759</v>
      </c>
      <c r="T1199" s="10" t="s">
        <v>259</v>
      </c>
      <c r="U1199" s="97"/>
      <c r="V1199" s="1"/>
      <c r="X1199" s="101">
        <v>2</v>
      </c>
    </row>
    <row r="1200" spans="2:24" hidden="1">
      <c r="B1200" s="6" t="s">
        <v>2729</v>
      </c>
      <c r="C1200" s="23">
        <v>46223.56527777778</v>
      </c>
      <c r="D1200" s="6" t="s">
        <v>24</v>
      </c>
      <c r="E1200" s="6"/>
      <c r="F1200" s="27">
        <v>46223</v>
      </c>
      <c r="G1200" s="27" t="s">
        <v>2604</v>
      </c>
      <c r="H1200" s="6" t="s">
        <v>1629</v>
      </c>
      <c r="I1200" s="6" t="s">
        <v>2730</v>
      </c>
      <c r="J1200" s="192">
        <v>4160281848</v>
      </c>
      <c r="K1200" s="180" t="s">
        <v>2731</v>
      </c>
      <c r="L1200" s="115">
        <v>2</v>
      </c>
      <c r="M1200" s="37">
        <v>8421168190</v>
      </c>
      <c r="N1200" s="169" t="s">
        <v>98</v>
      </c>
      <c r="O1200" s="48"/>
      <c r="P1200" s="95"/>
      <c r="Q1200" s="8">
        <v>0</v>
      </c>
      <c r="R1200" s="13">
        <v>0</v>
      </c>
      <c r="S1200" s="70"/>
      <c r="T1200" s="6"/>
      <c r="U1200" s="164"/>
      <c r="V1200" s="1"/>
      <c r="X1200" s="101">
        <v>0</v>
      </c>
    </row>
    <row r="1201" spans="2:24" hidden="1">
      <c r="B1201" s="10" t="s">
        <v>2732</v>
      </c>
      <c r="C1201" s="24">
        <v>46223.579861111109</v>
      </c>
      <c r="D1201" s="10" t="s">
        <v>24</v>
      </c>
      <c r="E1201" s="10"/>
      <c r="F1201" s="27">
        <v>46223</v>
      </c>
      <c r="G1201" s="28" t="s">
        <v>2236</v>
      </c>
      <c r="H1201" s="10" t="s">
        <v>61</v>
      </c>
      <c r="I1201" s="10" t="s">
        <v>2733</v>
      </c>
      <c r="J1201" s="193"/>
      <c r="K1201" s="181" t="s">
        <v>2734</v>
      </c>
      <c r="L1201" s="108">
        <v>22817598</v>
      </c>
      <c r="M1201" s="36">
        <v>5219841678646</v>
      </c>
      <c r="N1201" s="170" t="s">
        <v>263</v>
      </c>
      <c r="O1201" s="49">
        <v>6262.86</v>
      </c>
      <c r="P1201" s="96">
        <v>877.42</v>
      </c>
      <c r="Q1201" s="11">
        <v>1878.86</v>
      </c>
      <c r="R1201" s="16">
        <v>1001.44</v>
      </c>
      <c r="S1201" s="71">
        <v>45665</v>
      </c>
      <c r="T1201" s="10" t="s">
        <v>178</v>
      </c>
      <c r="U1201" s="97"/>
      <c r="V1201" s="1"/>
      <c r="X1201" s="101">
        <v>2</v>
      </c>
    </row>
    <row r="1202" spans="2:24" hidden="1">
      <c r="B1202" s="6" t="s">
        <v>2735</v>
      </c>
      <c r="C1202" s="23">
        <v>46223.586111111108</v>
      </c>
      <c r="D1202" s="6" t="s">
        <v>24</v>
      </c>
      <c r="E1202" s="6"/>
      <c r="F1202" s="27">
        <v>46223</v>
      </c>
      <c r="G1202" s="27" t="s">
        <v>2604</v>
      </c>
      <c r="H1202" s="160" t="s">
        <v>107</v>
      </c>
      <c r="I1202" s="6" t="s">
        <v>2736</v>
      </c>
      <c r="J1202" s="192">
        <v>54806302268</v>
      </c>
      <c r="K1202" s="180"/>
      <c r="L1202" s="107">
        <v>22840114</v>
      </c>
      <c r="M1202" s="37">
        <v>3325985087</v>
      </c>
      <c r="N1202" s="169" t="s">
        <v>106</v>
      </c>
      <c r="O1202" s="48">
        <v>7920.51</v>
      </c>
      <c r="P1202" s="95">
        <v>2168.1</v>
      </c>
      <c r="Q1202" s="8">
        <v>2376.15</v>
      </c>
      <c r="R1202" s="13">
        <v>208.05</v>
      </c>
      <c r="S1202" s="70">
        <v>46024</v>
      </c>
      <c r="T1202" s="6"/>
      <c r="U1202" s="164"/>
      <c r="V1202" s="1"/>
      <c r="X1202" s="101">
        <v>2</v>
      </c>
    </row>
    <row r="1203" spans="2:24" hidden="1">
      <c r="B1203" s="10" t="s">
        <v>2737</v>
      </c>
      <c r="C1203" s="24">
        <v>46223.59375</v>
      </c>
      <c r="D1203" s="10" t="s">
        <v>24</v>
      </c>
      <c r="E1203" s="10"/>
      <c r="F1203" s="27">
        <v>46223</v>
      </c>
      <c r="G1203" s="28" t="s">
        <v>2604</v>
      </c>
      <c r="H1203" s="10" t="s">
        <v>1625</v>
      </c>
      <c r="I1203" s="10" t="s">
        <v>2738</v>
      </c>
      <c r="J1203" s="193">
        <v>1644226993</v>
      </c>
      <c r="K1203" s="181" t="s">
        <v>2739</v>
      </c>
      <c r="L1203" s="116">
        <v>2</v>
      </c>
      <c r="M1203" s="40" t="s">
        <v>2622</v>
      </c>
      <c r="N1203" s="170" t="s">
        <v>32</v>
      </c>
      <c r="O1203" s="49">
        <v>3632.16</v>
      </c>
      <c r="P1203" s="96">
        <v>848</v>
      </c>
      <c r="Q1203" s="11">
        <v>1089.6500000000001</v>
      </c>
      <c r="R1203" s="12">
        <v>-848</v>
      </c>
      <c r="S1203" s="71"/>
      <c r="T1203" s="10"/>
      <c r="U1203" s="97"/>
      <c r="V1203" s="1"/>
      <c r="X1203" s="101">
        <v>1</v>
      </c>
    </row>
    <row r="1204" spans="2:24" hidden="1">
      <c r="B1204" s="6" t="s">
        <v>2740</v>
      </c>
      <c r="C1204" s="23">
        <v>46223.594444444447</v>
      </c>
      <c r="D1204" s="6" t="s">
        <v>24</v>
      </c>
      <c r="E1204" s="6"/>
      <c r="F1204" s="27">
        <v>46223</v>
      </c>
      <c r="G1204" s="27" t="s">
        <v>2604</v>
      </c>
      <c r="H1204" s="6" t="s">
        <v>68</v>
      </c>
      <c r="I1204" s="6" t="s">
        <v>2741</v>
      </c>
      <c r="J1204" s="196">
        <v>14654713800</v>
      </c>
      <c r="K1204" s="180" t="s">
        <v>2742</v>
      </c>
      <c r="L1204" s="108">
        <v>22856858</v>
      </c>
      <c r="M1204" s="37">
        <v>5214499864110</v>
      </c>
      <c r="N1204" s="169" t="s">
        <v>37</v>
      </c>
      <c r="O1204" s="48">
        <v>5055.88</v>
      </c>
      <c r="P1204" s="95">
        <v>1299.19</v>
      </c>
      <c r="Q1204" s="8">
        <v>1516.76</v>
      </c>
      <c r="R1204" s="13">
        <v>-416.29</v>
      </c>
      <c r="S1204" s="70">
        <v>46390</v>
      </c>
      <c r="T1204" s="6"/>
      <c r="U1204" s="164"/>
      <c r="V1204" s="1"/>
      <c r="X1204" s="101">
        <v>2</v>
      </c>
    </row>
    <row r="1205" spans="2:24" hidden="1">
      <c r="B1205" s="10" t="s">
        <v>2743</v>
      </c>
      <c r="C1205" s="24">
        <v>46223.595833333333</v>
      </c>
      <c r="D1205" s="10" t="s">
        <v>24</v>
      </c>
      <c r="E1205" s="10"/>
      <c r="F1205" s="27">
        <v>46223</v>
      </c>
      <c r="G1205" s="28" t="s">
        <v>2142</v>
      </c>
      <c r="H1205" s="160" t="s">
        <v>476</v>
      </c>
      <c r="I1205" s="10" t="s">
        <v>2744</v>
      </c>
      <c r="J1205" s="195">
        <v>62896400280</v>
      </c>
      <c r="K1205" s="181"/>
      <c r="L1205" s="108">
        <v>22796460</v>
      </c>
      <c r="M1205" s="36">
        <v>5212215819449</v>
      </c>
      <c r="N1205" s="170" t="s">
        <v>28</v>
      </c>
      <c r="O1205" s="49">
        <v>11438.97</v>
      </c>
      <c r="P1205" s="96">
        <v>848</v>
      </c>
      <c r="Q1205" s="11">
        <v>3431.69</v>
      </c>
      <c r="R1205" s="14">
        <v>2583.69</v>
      </c>
      <c r="S1205" s="71"/>
      <c r="T1205" s="10"/>
      <c r="U1205" s="97"/>
      <c r="V1205" s="1"/>
      <c r="X1205" s="101">
        <v>1</v>
      </c>
    </row>
    <row r="1206" spans="2:24" hidden="1">
      <c r="B1206" s="6" t="s">
        <v>2745</v>
      </c>
      <c r="C1206" s="23">
        <v>46223.595833333333</v>
      </c>
      <c r="D1206" s="6" t="s">
        <v>24</v>
      </c>
      <c r="E1206" s="6"/>
      <c r="F1206" s="27">
        <v>46223</v>
      </c>
      <c r="G1206" s="27" t="s">
        <v>2604</v>
      </c>
      <c r="H1206" s="6" t="s">
        <v>68</v>
      </c>
      <c r="I1206" s="6" t="s">
        <v>2746</v>
      </c>
      <c r="J1206" s="196">
        <v>71936260141</v>
      </c>
      <c r="K1206" s="180" t="s">
        <v>2747</v>
      </c>
      <c r="L1206" s="108">
        <v>22856662</v>
      </c>
      <c r="M1206" s="37">
        <v>5219933993713</v>
      </c>
      <c r="N1206" s="169" t="s">
        <v>37</v>
      </c>
      <c r="O1206" s="48">
        <v>7116.73</v>
      </c>
      <c r="P1206" s="95">
        <v>1973.67</v>
      </c>
      <c r="Q1206" s="8">
        <v>2135.02</v>
      </c>
      <c r="R1206" s="13">
        <v>161.35</v>
      </c>
      <c r="S1206" s="70">
        <v>46266</v>
      </c>
      <c r="T1206" s="6"/>
      <c r="U1206" s="164"/>
      <c r="V1206" s="1"/>
      <c r="X1206" s="101">
        <v>2</v>
      </c>
    </row>
    <row r="1207" spans="2:24" hidden="1">
      <c r="B1207" s="10" t="s">
        <v>2748</v>
      </c>
      <c r="C1207" s="24">
        <v>46223.595833333333</v>
      </c>
      <c r="D1207" s="10" t="s">
        <v>24</v>
      </c>
      <c r="E1207" s="10"/>
      <c r="F1207" s="27">
        <v>46223</v>
      </c>
      <c r="G1207" s="28" t="s">
        <v>2604</v>
      </c>
      <c r="H1207" s="10" t="s">
        <v>1519</v>
      </c>
      <c r="I1207" s="10" t="s">
        <v>2749</v>
      </c>
      <c r="J1207" s="195">
        <v>42816422168</v>
      </c>
      <c r="K1207" s="181" t="s">
        <v>2750</v>
      </c>
      <c r="L1207" s="108">
        <v>22854918</v>
      </c>
      <c r="M1207" s="36">
        <v>5215548822506</v>
      </c>
      <c r="N1207" s="170" t="s">
        <v>37</v>
      </c>
      <c r="O1207" s="49">
        <v>9081.52</v>
      </c>
      <c r="P1207" s="96">
        <v>2518.66</v>
      </c>
      <c r="Q1207" s="11">
        <v>2724.46</v>
      </c>
      <c r="R1207" s="12">
        <v>205.8</v>
      </c>
      <c r="S1207" s="71">
        <v>46296</v>
      </c>
      <c r="T1207" s="10"/>
      <c r="U1207" s="97"/>
      <c r="V1207" s="1"/>
      <c r="X1207" s="101">
        <v>2</v>
      </c>
    </row>
    <row r="1208" spans="2:24" hidden="1">
      <c r="B1208" s="6" t="s">
        <v>2751</v>
      </c>
      <c r="C1208" s="23">
        <v>46223.597222222219</v>
      </c>
      <c r="D1208" s="6" t="s">
        <v>24</v>
      </c>
      <c r="E1208" s="6"/>
      <c r="F1208" s="27">
        <v>46223</v>
      </c>
      <c r="G1208" s="27" t="s">
        <v>2604</v>
      </c>
      <c r="H1208" s="7" t="s">
        <v>107</v>
      </c>
      <c r="I1208" s="6" t="s">
        <v>1756</v>
      </c>
      <c r="J1208" s="196"/>
      <c r="K1208" s="180" t="s">
        <v>2752</v>
      </c>
      <c r="L1208" s="108">
        <v>22850880</v>
      </c>
      <c r="M1208" s="37">
        <v>5219619464972</v>
      </c>
      <c r="N1208" s="169" t="s">
        <v>37</v>
      </c>
      <c r="O1208" s="48">
        <v>7920.51</v>
      </c>
      <c r="P1208" s="95">
        <v>2289.25</v>
      </c>
      <c r="Q1208" s="8">
        <v>2376.15</v>
      </c>
      <c r="R1208" s="13">
        <v>86.9</v>
      </c>
      <c r="S1208" s="70">
        <v>46753</v>
      </c>
      <c r="T1208" s="6"/>
      <c r="U1208" s="164"/>
      <c r="V1208" s="1"/>
      <c r="X1208" s="101">
        <v>2</v>
      </c>
    </row>
    <row r="1209" spans="2:24" hidden="1">
      <c r="B1209" s="10" t="s">
        <v>2753</v>
      </c>
      <c r="C1209" s="24">
        <v>46223.602083333331</v>
      </c>
      <c r="D1209" s="10" t="s">
        <v>24</v>
      </c>
      <c r="E1209" s="10"/>
      <c r="F1209" s="27">
        <v>46223</v>
      </c>
      <c r="G1209" s="28" t="s">
        <v>2604</v>
      </c>
      <c r="H1209" s="15" t="s">
        <v>107</v>
      </c>
      <c r="I1209" s="10" t="s">
        <v>2754</v>
      </c>
      <c r="J1209" s="195"/>
      <c r="K1209" s="181" t="s">
        <v>2755</v>
      </c>
      <c r="L1209" s="108">
        <v>22852544</v>
      </c>
      <c r="M1209" s="36">
        <v>5511427019</v>
      </c>
      <c r="N1209" s="170" t="s">
        <v>37</v>
      </c>
      <c r="O1209" s="49">
        <v>9081.52</v>
      </c>
      <c r="P1209" s="96">
        <v>2627.5</v>
      </c>
      <c r="Q1209" s="11">
        <v>2724.46</v>
      </c>
      <c r="R1209" s="12">
        <v>96.96</v>
      </c>
      <c r="S1209" s="71">
        <v>46393</v>
      </c>
      <c r="T1209" s="10"/>
      <c r="U1209" s="97"/>
      <c r="V1209" s="1"/>
      <c r="X1209" s="101">
        <v>2</v>
      </c>
    </row>
    <row r="1210" spans="2:24" hidden="1">
      <c r="B1210" s="6" t="s">
        <v>2756</v>
      </c>
      <c r="C1210" s="23">
        <v>46223.617361111108</v>
      </c>
      <c r="D1210" s="6" t="s">
        <v>24</v>
      </c>
      <c r="E1210" s="6"/>
      <c r="F1210" s="27">
        <v>46223</v>
      </c>
      <c r="G1210" s="27" t="s">
        <v>2604</v>
      </c>
      <c r="H1210" s="6" t="s">
        <v>1519</v>
      </c>
      <c r="I1210" s="6" t="s">
        <v>2706</v>
      </c>
      <c r="J1210" s="197">
        <v>43796302446</v>
      </c>
      <c r="K1210" s="183" t="s">
        <v>2707</v>
      </c>
      <c r="L1210" s="108">
        <v>22856780</v>
      </c>
      <c r="M1210" s="37">
        <v>5218146180778</v>
      </c>
      <c r="N1210" s="169" t="s">
        <v>37</v>
      </c>
      <c r="O1210" s="48">
        <v>19666.689999999999</v>
      </c>
      <c r="P1210" s="95">
        <v>5686.72</v>
      </c>
      <c r="Q1210" s="8">
        <v>5900.01</v>
      </c>
      <c r="R1210" s="13">
        <v>213.29</v>
      </c>
      <c r="S1210" s="70">
        <v>46394</v>
      </c>
      <c r="T1210" s="6"/>
      <c r="U1210" s="164"/>
      <c r="V1210" s="1"/>
      <c r="X1210" s="101">
        <v>2</v>
      </c>
    </row>
    <row r="1211" spans="2:24" hidden="1">
      <c r="B1211" s="10" t="s">
        <v>2756</v>
      </c>
      <c r="C1211" s="24">
        <v>46223.618055555555</v>
      </c>
      <c r="D1211" s="10" t="s">
        <v>24</v>
      </c>
      <c r="E1211" s="10"/>
      <c r="F1211" s="27">
        <v>46223</v>
      </c>
      <c r="G1211" s="28" t="s">
        <v>2604</v>
      </c>
      <c r="H1211" s="15" t="s">
        <v>107</v>
      </c>
      <c r="I1211" s="44"/>
      <c r="J1211" s="195">
        <v>63806022859</v>
      </c>
      <c r="K1211" s="181" t="s">
        <v>2757</v>
      </c>
      <c r="L1211" s="108">
        <v>22846012</v>
      </c>
      <c r="M1211" s="36">
        <v>5212225086516</v>
      </c>
      <c r="N1211" s="170" t="s">
        <v>37</v>
      </c>
      <c r="O1211" s="49">
        <v>18326.98</v>
      </c>
      <c r="P1211" s="96">
        <v>5273.32</v>
      </c>
      <c r="Q1211" s="11">
        <v>5498.09</v>
      </c>
      <c r="R1211" s="12">
        <v>224.77</v>
      </c>
      <c r="S1211" s="71">
        <v>46399</v>
      </c>
      <c r="T1211" s="10" t="s">
        <v>362</v>
      </c>
      <c r="U1211" s="97"/>
      <c r="V1211" s="1"/>
      <c r="X1211" s="101">
        <v>2</v>
      </c>
    </row>
    <row r="1212" spans="2:24" hidden="1">
      <c r="B1212" s="6" t="s">
        <v>2758</v>
      </c>
      <c r="C1212" s="23">
        <v>46223.637499999997</v>
      </c>
      <c r="D1212" s="6" t="s">
        <v>24</v>
      </c>
      <c r="E1212" s="6"/>
      <c r="F1212" s="27">
        <v>46223</v>
      </c>
      <c r="G1212" s="27" t="s">
        <v>2604</v>
      </c>
      <c r="H1212" s="6" t="s">
        <v>160</v>
      </c>
      <c r="I1212" s="25"/>
      <c r="J1212" s="200">
        <v>67745501717</v>
      </c>
      <c r="K1212" s="180" t="s">
        <v>2759</v>
      </c>
      <c r="L1212" s="107">
        <v>22856426</v>
      </c>
      <c r="M1212" s="37">
        <v>5219211155412</v>
      </c>
      <c r="N1212" s="169" t="s">
        <v>74</v>
      </c>
      <c r="O1212" s="48"/>
      <c r="P1212" s="95"/>
      <c r="Q1212" s="8">
        <v>0</v>
      </c>
      <c r="R1212" s="13">
        <v>0</v>
      </c>
      <c r="S1212" s="70"/>
      <c r="T1212" s="6"/>
      <c r="U1212" s="164"/>
      <c r="V1212" s="1"/>
      <c r="X1212" s="101">
        <v>1</v>
      </c>
    </row>
    <row r="1213" spans="2:24" hidden="1">
      <c r="B1213" s="10" t="s">
        <v>2760</v>
      </c>
      <c r="C1213" s="24">
        <v>46223.637499999997</v>
      </c>
      <c r="D1213" s="10" t="s">
        <v>24</v>
      </c>
      <c r="E1213" s="10"/>
      <c r="F1213" s="27">
        <v>46223</v>
      </c>
      <c r="G1213" s="28" t="s">
        <v>2604</v>
      </c>
      <c r="H1213" s="10" t="s">
        <v>61</v>
      </c>
      <c r="I1213" s="10" t="s">
        <v>2761</v>
      </c>
      <c r="J1213" s="195">
        <v>1766018350</v>
      </c>
      <c r="K1213" s="181" t="s">
        <v>2762</v>
      </c>
      <c r="L1213" s="108">
        <v>22841462</v>
      </c>
      <c r="M1213" s="36">
        <v>5215618821685</v>
      </c>
      <c r="N1213" s="170" t="s">
        <v>28</v>
      </c>
      <c r="O1213" s="49">
        <v>9225.4</v>
      </c>
      <c r="P1213" s="96"/>
      <c r="Q1213" s="11">
        <v>2767.62</v>
      </c>
      <c r="R1213" s="14">
        <v>2767.62</v>
      </c>
      <c r="S1213" s="71"/>
      <c r="T1213" s="10"/>
      <c r="U1213" s="97"/>
      <c r="V1213" s="1"/>
      <c r="X1213" s="101">
        <v>1</v>
      </c>
    </row>
    <row r="1214" spans="2:24" hidden="1">
      <c r="B1214" s="6" t="s">
        <v>2763</v>
      </c>
      <c r="C1214" s="23">
        <v>46223.646527777775</v>
      </c>
      <c r="D1214" s="6" t="s">
        <v>24</v>
      </c>
      <c r="E1214" s="6"/>
      <c r="F1214" s="27">
        <v>46223</v>
      </c>
      <c r="G1214" s="27" t="s">
        <v>2604</v>
      </c>
      <c r="H1214" s="10" t="s">
        <v>127</v>
      </c>
      <c r="I1214" s="6" t="s">
        <v>2764</v>
      </c>
      <c r="J1214" s="196">
        <v>50917558558</v>
      </c>
      <c r="K1214" s="180" t="s">
        <v>2765</v>
      </c>
      <c r="L1214" s="107">
        <v>22859274</v>
      </c>
      <c r="M1214" s="37">
        <v>5216143696836</v>
      </c>
      <c r="N1214" s="169" t="s">
        <v>47</v>
      </c>
      <c r="O1214" s="48">
        <v>5636.59</v>
      </c>
      <c r="P1214" s="95">
        <v>919.44</v>
      </c>
      <c r="Q1214" s="8">
        <v>1690.98</v>
      </c>
      <c r="R1214" s="22">
        <v>544.16999999999996</v>
      </c>
      <c r="S1214" s="70">
        <v>46758</v>
      </c>
      <c r="T1214" s="6"/>
      <c r="U1214" s="164"/>
      <c r="V1214" s="1"/>
      <c r="X1214" s="101">
        <v>2</v>
      </c>
    </row>
    <row r="1215" spans="2:24" hidden="1">
      <c r="B1215" s="10" t="s">
        <v>2766</v>
      </c>
      <c r="C1215" s="24">
        <v>46223.647916666669</v>
      </c>
      <c r="D1215" s="10" t="s">
        <v>24</v>
      </c>
      <c r="E1215" s="10"/>
      <c r="F1215" s="27">
        <v>46223</v>
      </c>
      <c r="G1215" s="28">
        <v>46210</v>
      </c>
      <c r="H1215" s="160" t="s">
        <v>476</v>
      </c>
      <c r="I1215" s="10" t="s">
        <v>2767</v>
      </c>
      <c r="J1215" s="195">
        <v>23856923273</v>
      </c>
      <c r="K1215" s="181"/>
      <c r="L1215" s="108">
        <v>22444514</v>
      </c>
      <c r="M1215" s="36">
        <v>5216692300558</v>
      </c>
      <c r="N1215" s="170" t="s">
        <v>28</v>
      </c>
      <c r="O1215" s="49">
        <v>8793.09</v>
      </c>
      <c r="P1215" s="96"/>
      <c r="Q1215" s="11">
        <v>2637.93</v>
      </c>
      <c r="R1215" s="14">
        <v>2637.93</v>
      </c>
      <c r="S1215" s="71"/>
      <c r="T1215" s="10"/>
      <c r="U1215" s="97"/>
      <c r="V1215" s="1"/>
      <c r="X1215" s="101">
        <v>1</v>
      </c>
    </row>
    <row r="1216" spans="2:24" hidden="1">
      <c r="B1216" s="6" t="s">
        <v>2766</v>
      </c>
      <c r="C1216" s="23">
        <v>46223.647916666669</v>
      </c>
      <c r="D1216" s="6" t="s">
        <v>24</v>
      </c>
      <c r="E1216" s="6"/>
      <c r="F1216" s="27">
        <v>46223</v>
      </c>
      <c r="G1216" s="27" t="s">
        <v>2528</v>
      </c>
      <c r="H1216" s="6" t="s">
        <v>93</v>
      </c>
      <c r="I1216" s="6" t="s">
        <v>2768</v>
      </c>
      <c r="J1216" s="196"/>
      <c r="K1216" s="180" t="s">
        <v>2769</v>
      </c>
      <c r="L1216" s="108">
        <v>22837104</v>
      </c>
      <c r="M1216" s="37">
        <v>9223581040</v>
      </c>
      <c r="N1216" s="169" t="s">
        <v>37</v>
      </c>
      <c r="O1216" s="48">
        <v>7116.73</v>
      </c>
      <c r="P1216" s="95">
        <v>2056.25</v>
      </c>
      <c r="Q1216" s="8">
        <v>2135.02</v>
      </c>
      <c r="R1216" s="13">
        <v>78.77</v>
      </c>
      <c r="S1216" s="70">
        <v>46396</v>
      </c>
      <c r="T1216" s="6"/>
      <c r="U1216" s="164"/>
      <c r="V1216" s="1"/>
      <c r="X1216" s="101">
        <v>2</v>
      </c>
    </row>
    <row r="1217" spans="2:24" hidden="1">
      <c r="B1217" s="10" t="s">
        <v>2770</v>
      </c>
      <c r="C1217" s="24">
        <v>46223.647916666669</v>
      </c>
      <c r="D1217" s="10" t="s">
        <v>24</v>
      </c>
      <c r="E1217" s="10"/>
      <c r="F1217" s="27">
        <v>46223</v>
      </c>
      <c r="G1217" s="28" t="s">
        <v>2604</v>
      </c>
      <c r="H1217" s="10" t="s">
        <v>81</v>
      </c>
      <c r="I1217" s="10" t="s">
        <v>2771</v>
      </c>
      <c r="J1217" s="195"/>
      <c r="K1217" s="181" t="s">
        <v>2772</v>
      </c>
      <c r="L1217" s="108">
        <v>22868682</v>
      </c>
      <c r="M1217" s="36">
        <v>5216311151210</v>
      </c>
      <c r="N1217" s="170" t="s">
        <v>37</v>
      </c>
      <c r="O1217" s="49">
        <v>6262.86</v>
      </c>
      <c r="P1217" s="96">
        <v>1811</v>
      </c>
      <c r="Q1217" s="11">
        <v>1878.86</v>
      </c>
      <c r="R1217" s="12">
        <v>67.86</v>
      </c>
      <c r="S1217" s="71">
        <v>46391</v>
      </c>
      <c r="T1217" s="10"/>
      <c r="U1217" s="97"/>
      <c r="V1217" s="1"/>
      <c r="X1217" s="101">
        <v>2</v>
      </c>
    </row>
    <row r="1218" spans="2:24" hidden="1">
      <c r="B1218" s="6" t="s">
        <v>2773</v>
      </c>
      <c r="C1218" s="23">
        <v>46223.652777777781</v>
      </c>
      <c r="D1218" s="6" t="s">
        <v>24</v>
      </c>
      <c r="E1218" s="6"/>
      <c r="F1218" s="27">
        <v>46223</v>
      </c>
      <c r="G1218" s="27" t="s">
        <v>2604</v>
      </c>
      <c r="H1218" s="10" t="s">
        <v>103</v>
      </c>
      <c r="I1218" s="6" t="s">
        <v>2774</v>
      </c>
      <c r="J1218" s="196">
        <v>32816303559</v>
      </c>
      <c r="K1218" s="180"/>
      <c r="L1218" s="109">
        <v>1</v>
      </c>
      <c r="M1218" s="37">
        <v>8713949086</v>
      </c>
      <c r="N1218" s="169" t="s">
        <v>28</v>
      </c>
      <c r="O1218" s="48">
        <v>9094.9599999999991</v>
      </c>
      <c r="P1218" s="95"/>
      <c r="Q1218" s="8">
        <v>2728.49</v>
      </c>
      <c r="R1218" s="9">
        <v>2728.49</v>
      </c>
      <c r="S1218" s="70"/>
      <c r="T1218" s="6"/>
      <c r="U1218" s="164"/>
      <c r="V1218" s="1"/>
      <c r="X1218" s="101">
        <v>1</v>
      </c>
    </row>
    <row r="1219" spans="2:24" hidden="1">
      <c r="B1219" s="10" t="s">
        <v>2775</v>
      </c>
      <c r="C1219" s="24">
        <v>46223.65347222222</v>
      </c>
      <c r="D1219" s="10" t="s">
        <v>24</v>
      </c>
      <c r="E1219" s="10"/>
      <c r="F1219" s="27">
        <v>46223</v>
      </c>
      <c r="G1219" s="28" t="s">
        <v>2604</v>
      </c>
      <c r="H1219" s="10" t="s">
        <v>160</v>
      </c>
      <c r="I1219" s="10" t="s">
        <v>2776</v>
      </c>
      <c r="J1219" s="195">
        <v>65765404564</v>
      </c>
      <c r="K1219" s="181"/>
      <c r="L1219" s="108">
        <v>22858634</v>
      </c>
      <c r="M1219" s="36">
        <v>5217831089597</v>
      </c>
      <c r="N1219" s="170" t="s">
        <v>37</v>
      </c>
      <c r="O1219" s="49">
        <v>15898.82</v>
      </c>
      <c r="P1219" s="96">
        <v>4768.83</v>
      </c>
      <c r="Q1219" s="12">
        <v>4768.83</v>
      </c>
      <c r="R1219" s="12">
        <v>0.82</v>
      </c>
      <c r="S1219" s="71">
        <v>46394</v>
      </c>
      <c r="T1219" s="10"/>
      <c r="U1219" s="97"/>
      <c r="V1219" s="1"/>
      <c r="X1219" s="101">
        <v>2</v>
      </c>
    </row>
    <row r="1220" spans="2:24" hidden="1">
      <c r="B1220" s="6" t="s">
        <v>2777</v>
      </c>
      <c r="C1220" s="23">
        <v>46223.65347222222</v>
      </c>
      <c r="D1220" s="6" t="s">
        <v>24</v>
      </c>
      <c r="E1220" s="6"/>
      <c r="F1220" s="27">
        <v>46223</v>
      </c>
      <c r="G1220" s="27" t="s">
        <v>2604</v>
      </c>
      <c r="H1220" s="10" t="s">
        <v>81</v>
      </c>
      <c r="I1220" s="6" t="s">
        <v>2778</v>
      </c>
      <c r="J1220" s="196"/>
      <c r="K1220" s="180" t="s">
        <v>2779</v>
      </c>
      <c r="L1220" s="107">
        <v>22857254</v>
      </c>
      <c r="M1220" s="37">
        <v>5215539931611</v>
      </c>
      <c r="N1220" s="169" t="s">
        <v>28</v>
      </c>
      <c r="O1220" s="48">
        <v>9760.32</v>
      </c>
      <c r="P1220" s="95">
        <v>1619.44</v>
      </c>
      <c r="Q1220" s="8">
        <v>2928.1</v>
      </c>
      <c r="R1220" s="9">
        <v>1308.6600000000001</v>
      </c>
      <c r="S1220" s="70">
        <v>46759</v>
      </c>
      <c r="T1220" s="6" t="s">
        <v>259</v>
      </c>
      <c r="U1220" s="164"/>
      <c r="V1220" s="1"/>
      <c r="X1220" s="101">
        <v>2</v>
      </c>
    </row>
    <row r="1221" spans="2:24" hidden="1">
      <c r="B1221" s="10" t="s">
        <v>2780</v>
      </c>
      <c r="C1221" s="24">
        <v>46223.661111111112</v>
      </c>
      <c r="D1221" s="10" t="s">
        <v>24</v>
      </c>
      <c r="E1221" s="10"/>
      <c r="F1221" s="27">
        <v>46223</v>
      </c>
      <c r="G1221" s="28" t="s">
        <v>2604</v>
      </c>
      <c r="H1221" s="10" t="s">
        <v>160</v>
      </c>
      <c r="I1221" s="10" t="s">
        <v>2781</v>
      </c>
      <c r="J1221" s="195">
        <v>34745501741</v>
      </c>
      <c r="K1221" s="181" t="s">
        <v>2782</v>
      </c>
      <c r="L1221" s="108">
        <v>22859304</v>
      </c>
      <c r="M1221" s="36">
        <v>5218130745217</v>
      </c>
      <c r="N1221" s="170" t="s">
        <v>74</v>
      </c>
      <c r="O1221" s="49"/>
      <c r="P1221" s="96"/>
      <c r="Q1221" s="11">
        <v>0</v>
      </c>
      <c r="R1221" s="12">
        <v>0</v>
      </c>
      <c r="S1221" s="71"/>
      <c r="T1221" s="10"/>
      <c r="U1221" s="97"/>
      <c r="V1221" s="1"/>
      <c r="X1221" s="101">
        <v>1</v>
      </c>
    </row>
    <row r="1222" spans="2:24" hidden="1">
      <c r="B1222" s="6" t="s">
        <v>2783</v>
      </c>
      <c r="C1222" s="23">
        <v>46223.664583333331</v>
      </c>
      <c r="D1222" s="6" t="s">
        <v>24</v>
      </c>
      <c r="E1222" s="6"/>
      <c r="F1222" s="27">
        <v>46223</v>
      </c>
      <c r="G1222" s="27" t="s">
        <v>2604</v>
      </c>
      <c r="H1222" s="10" t="s">
        <v>81</v>
      </c>
      <c r="I1222" s="6" t="s">
        <v>2784</v>
      </c>
      <c r="J1222" s="196"/>
      <c r="K1222" s="180" t="s">
        <v>2785</v>
      </c>
      <c r="L1222" s="107">
        <v>22857540</v>
      </c>
      <c r="M1222" s="37">
        <v>5215529350491</v>
      </c>
      <c r="N1222" s="169" t="s">
        <v>28</v>
      </c>
      <c r="O1222" s="48">
        <v>11029.03</v>
      </c>
      <c r="P1222" s="95">
        <v>879</v>
      </c>
      <c r="Q1222" s="8">
        <v>3308.71</v>
      </c>
      <c r="R1222" s="9">
        <v>2429.71</v>
      </c>
      <c r="S1222" s="70"/>
      <c r="T1222" s="6"/>
      <c r="U1222" s="164"/>
      <c r="V1222" s="1"/>
      <c r="X1222" s="101">
        <v>1</v>
      </c>
    </row>
    <row r="1223" spans="2:24" hidden="1">
      <c r="B1223" s="10" t="s">
        <v>2751</v>
      </c>
      <c r="C1223" s="24">
        <v>46223.67083333333</v>
      </c>
      <c r="D1223" s="10" t="s">
        <v>24</v>
      </c>
      <c r="E1223" s="10"/>
      <c r="F1223" s="27">
        <v>46223</v>
      </c>
      <c r="G1223" s="28" t="s">
        <v>2604</v>
      </c>
      <c r="H1223" s="10" t="s">
        <v>68</v>
      </c>
      <c r="I1223" s="10" t="s">
        <v>2786</v>
      </c>
      <c r="J1223" s="195">
        <v>43886226554</v>
      </c>
      <c r="K1223" s="181" t="s">
        <v>2787</v>
      </c>
      <c r="L1223" s="108">
        <v>22858966</v>
      </c>
      <c r="M1223" s="36">
        <v>5218128721981</v>
      </c>
      <c r="N1223" s="170" t="s">
        <v>98</v>
      </c>
      <c r="O1223" s="49"/>
      <c r="P1223" s="96"/>
      <c r="Q1223" s="11">
        <v>0</v>
      </c>
      <c r="R1223" s="12">
        <v>0</v>
      </c>
      <c r="S1223" s="71"/>
      <c r="T1223" s="10"/>
      <c r="U1223" s="97"/>
      <c r="V1223" s="1"/>
      <c r="X1223" s="101">
        <v>0</v>
      </c>
    </row>
    <row r="1224" spans="2:24" hidden="1">
      <c r="B1224" s="6" t="s">
        <v>2788</v>
      </c>
      <c r="C1224" s="23">
        <v>46223.678472222222</v>
      </c>
      <c r="D1224" s="6" t="s">
        <v>24</v>
      </c>
      <c r="E1224" s="6"/>
      <c r="F1224" s="27">
        <v>46223</v>
      </c>
      <c r="G1224" s="27" t="s">
        <v>2604</v>
      </c>
      <c r="H1224" s="6" t="s">
        <v>127</v>
      </c>
      <c r="I1224" s="6" t="s">
        <v>2789</v>
      </c>
      <c r="J1224" s="196">
        <v>72836514686</v>
      </c>
      <c r="K1224" s="180" t="s">
        <v>2790</v>
      </c>
      <c r="L1224" s="108">
        <v>22871510</v>
      </c>
      <c r="M1224" s="37">
        <v>5216633157858</v>
      </c>
      <c r="N1224" s="169" t="s">
        <v>37</v>
      </c>
      <c r="O1224" s="48">
        <v>9760.32</v>
      </c>
      <c r="P1224" s="95">
        <v>2679</v>
      </c>
      <c r="Q1224" s="8">
        <v>2928.1</v>
      </c>
      <c r="R1224" s="13">
        <v>249.1</v>
      </c>
      <c r="S1224" s="70">
        <v>46756</v>
      </c>
      <c r="T1224" s="6"/>
      <c r="U1224" s="164"/>
      <c r="V1224" s="1"/>
      <c r="X1224" s="101">
        <v>2</v>
      </c>
    </row>
    <row r="1225" spans="2:24" hidden="1">
      <c r="B1225" s="10" t="s">
        <v>2791</v>
      </c>
      <c r="C1225" s="24">
        <v>46223.6875</v>
      </c>
      <c r="D1225" s="10" t="s">
        <v>24</v>
      </c>
      <c r="E1225" s="10"/>
      <c r="F1225" s="27">
        <v>46223</v>
      </c>
      <c r="G1225" s="28" t="s">
        <v>2604</v>
      </c>
      <c r="H1225" s="15" t="s">
        <v>110</v>
      </c>
      <c r="I1225" s="10" t="s">
        <v>2792</v>
      </c>
      <c r="J1225" s="195"/>
      <c r="K1225" s="181" t="s">
        <v>2793</v>
      </c>
      <c r="L1225" s="108">
        <v>22852640</v>
      </c>
      <c r="M1225" s="36">
        <v>5218685745262</v>
      </c>
      <c r="N1225" s="170" t="s">
        <v>74</v>
      </c>
      <c r="O1225" s="49"/>
      <c r="P1225" s="96"/>
      <c r="Q1225" s="11">
        <v>0</v>
      </c>
      <c r="R1225" s="12">
        <v>0</v>
      </c>
      <c r="S1225" s="71"/>
      <c r="T1225" s="10"/>
      <c r="U1225" s="97"/>
      <c r="V1225" s="1"/>
      <c r="X1225" s="101">
        <v>1</v>
      </c>
    </row>
    <row r="1226" spans="2:24" hidden="1">
      <c r="B1226" s="6" t="s">
        <v>2794</v>
      </c>
      <c r="C1226" s="23">
        <v>46223.688888888886</v>
      </c>
      <c r="D1226" s="6" t="s">
        <v>24</v>
      </c>
      <c r="E1226" s="6"/>
      <c r="F1226" s="27">
        <v>46223</v>
      </c>
      <c r="G1226" s="27" t="s">
        <v>2604</v>
      </c>
      <c r="H1226" s="6" t="s">
        <v>1625</v>
      </c>
      <c r="I1226" s="6" t="s">
        <v>2693</v>
      </c>
      <c r="J1226" s="197">
        <v>4592620452</v>
      </c>
      <c r="K1226" s="183" t="s">
        <v>2694</v>
      </c>
      <c r="L1226" s="108">
        <v>2</v>
      </c>
      <c r="M1226" s="37">
        <v>5512690579</v>
      </c>
      <c r="N1226" s="169" t="s">
        <v>37</v>
      </c>
      <c r="O1226" s="48">
        <v>7116.73</v>
      </c>
      <c r="P1226" s="95">
        <v>2046.04</v>
      </c>
      <c r="Q1226" s="8">
        <v>2135.02</v>
      </c>
      <c r="R1226" s="13">
        <v>88.98</v>
      </c>
      <c r="S1226" s="70">
        <v>46399</v>
      </c>
      <c r="T1226" s="6" t="s">
        <v>178</v>
      </c>
      <c r="U1226" s="164"/>
      <c r="V1226" s="1"/>
      <c r="X1226" s="101">
        <v>2</v>
      </c>
    </row>
    <row r="1227" spans="2:24" hidden="1">
      <c r="B1227" s="10" t="s">
        <v>2795</v>
      </c>
      <c r="C1227" s="24">
        <v>46223.693055555559</v>
      </c>
      <c r="D1227" s="10" t="s">
        <v>24</v>
      </c>
      <c r="E1227" s="10"/>
      <c r="F1227" s="27">
        <v>46223</v>
      </c>
      <c r="G1227" s="28" t="s">
        <v>2236</v>
      </c>
      <c r="H1227" s="20" t="s">
        <v>170</v>
      </c>
      <c r="I1227" s="10" t="s">
        <v>2796</v>
      </c>
      <c r="J1227" s="195"/>
      <c r="K1227" s="181" t="s">
        <v>2797</v>
      </c>
      <c r="L1227" s="108">
        <v>22823580</v>
      </c>
      <c r="M1227" s="36">
        <v>5219222072346</v>
      </c>
      <c r="N1227" s="170" t="s">
        <v>32</v>
      </c>
      <c r="O1227" s="49">
        <v>3895.43</v>
      </c>
      <c r="P1227" s="96"/>
      <c r="Q1227" s="11">
        <v>1168.6300000000001</v>
      </c>
      <c r="R1227" s="12">
        <v>0</v>
      </c>
      <c r="S1227" s="71"/>
      <c r="T1227" s="10"/>
      <c r="U1227" s="97"/>
      <c r="V1227" s="1"/>
      <c r="X1227" s="101">
        <v>1</v>
      </c>
    </row>
    <row r="1228" spans="2:24" hidden="1">
      <c r="B1228" s="6" t="s">
        <v>2794</v>
      </c>
      <c r="C1228" s="23">
        <v>46223.697222222225</v>
      </c>
      <c r="D1228" s="6" t="s">
        <v>24</v>
      </c>
      <c r="E1228" s="6"/>
      <c r="F1228" s="27">
        <v>46223</v>
      </c>
      <c r="G1228" s="27" t="s">
        <v>2604</v>
      </c>
      <c r="H1228" s="6" t="s">
        <v>127</v>
      </c>
      <c r="I1228" s="6" t="s">
        <v>2798</v>
      </c>
      <c r="J1228" s="196">
        <v>23776105910</v>
      </c>
      <c r="K1228" s="180" t="s">
        <v>2799</v>
      </c>
      <c r="L1228" s="108">
        <v>22856798</v>
      </c>
      <c r="M1228" s="37">
        <v>5216441186575</v>
      </c>
      <c r="N1228" s="169" t="s">
        <v>37</v>
      </c>
      <c r="O1228" s="48">
        <v>33077.21</v>
      </c>
      <c r="P1228" s="95">
        <v>9909.68</v>
      </c>
      <c r="Q1228" s="8">
        <v>9923.16</v>
      </c>
      <c r="R1228" s="13">
        <v>13.48</v>
      </c>
      <c r="S1228" s="70">
        <v>46753</v>
      </c>
      <c r="T1228" s="6" t="s">
        <v>362</v>
      </c>
      <c r="U1228" s="164"/>
      <c r="V1228" s="1"/>
      <c r="X1228" s="101">
        <v>2</v>
      </c>
    </row>
    <row r="1229" spans="2:24" hidden="1">
      <c r="B1229" s="10" t="s">
        <v>2800</v>
      </c>
      <c r="C1229" s="24">
        <v>46223.698611111111</v>
      </c>
      <c r="D1229" s="10" t="s">
        <v>24</v>
      </c>
      <c r="E1229" s="10"/>
      <c r="F1229" s="27">
        <v>46223</v>
      </c>
      <c r="G1229" s="28" t="s">
        <v>2528</v>
      </c>
      <c r="H1229" s="20" t="s">
        <v>71</v>
      </c>
      <c r="I1229" s="10" t="s">
        <v>2801</v>
      </c>
      <c r="J1229" s="198">
        <v>12876322822</v>
      </c>
      <c r="K1229" s="179" t="s">
        <v>2802</v>
      </c>
      <c r="L1229" s="108">
        <v>22836410</v>
      </c>
      <c r="M1229" s="36">
        <v>5214761313465</v>
      </c>
      <c r="N1229" s="170" t="s">
        <v>37</v>
      </c>
      <c r="O1229" s="49">
        <v>7920.51</v>
      </c>
      <c r="P1229" s="96">
        <v>2376.14</v>
      </c>
      <c r="Q1229" s="11">
        <v>2376.15</v>
      </c>
      <c r="R1229" s="12">
        <v>0.01</v>
      </c>
      <c r="S1229" s="71">
        <v>46391</v>
      </c>
      <c r="T1229" s="10"/>
      <c r="U1229" s="97"/>
      <c r="V1229" s="1"/>
      <c r="X1229" s="101">
        <v>2</v>
      </c>
    </row>
    <row r="1230" spans="2:24" hidden="1">
      <c r="B1230" s="6" t="s">
        <v>2803</v>
      </c>
      <c r="C1230" s="23">
        <v>46223.7</v>
      </c>
      <c r="D1230" s="6" t="s">
        <v>24</v>
      </c>
      <c r="E1230" s="6"/>
      <c r="F1230" s="27">
        <v>46223</v>
      </c>
      <c r="G1230" s="27" t="s">
        <v>2604</v>
      </c>
      <c r="H1230" s="10" t="s">
        <v>68</v>
      </c>
      <c r="I1230" s="6" t="s">
        <v>2804</v>
      </c>
      <c r="J1230" s="196">
        <v>92886658761</v>
      </c>
      <c r="K1230" s="180" t="s">
        <v>2805</v>
      </c>
      <c r="L1230" s="107">
        <v>22857818</v>
      </c>
      <c r="M1230" s="37">
        <v>5215645979858</v>
      </c>
      <c r="N1230" s="169" t="s">
        <v>47</v>
      </c>
      <c r="O1230" s="48">
        <v>4863.41</v>
      </c>
      <c r="P1230" s="95"/>
      <c r="Q1230" s="8">
        <v>1459.02</v>
      </c>
      <c r="R1230" s="22">
        <v>690.43</v>
      </c>
      <c r="S1230" s="70"/>
      <c r="T1230" s="6"/>
      <c r="U1230" s="164"/>
      <c r="V1230" s="1"/>
      <c r="X1230" s="101">
        <v>1</v>
      </c>
    </row>
    <row r="1231" spans="2:24" hidden="1">
      <c r="B1231" s="10" t="s">
        <v>2794</v>
      </c>
      <c r="C1231" s="24">
        <v>46223.7</v>
      </c>
      <c r="D1231" s="10" t="s">
        <v>24</v>
      </c>
      <c r="E1231" s="10"/>
      <c r="F1231" s="27">
        <v>46223</v>
      </c>
      <c r="G1231" s="28" t="s">
        <v>2604</v>
      </c>
      <c r="H1231" s="10" t="s">
        <v>68</v>
      </c>
      <c r="I1231" s="10" t="s">
        <v>2806</v>
      </c>
      <c r="J1231" s="195"/>
      <c r="K1231" s="181" t="s">
        <v>2807</v>
      </c>
      <c r="L1231" s="108">
        <v>22858412</v>
      </c>
      <c r="M1231" s="36">
        <v>5213111574751</v>
      </c>
      <c r="N1231" s="170" t="s">
        <v>37</v>
      </c>
      <c r="O1231" s="49">
        <v>12569.66</v>
      </c>
      <c r="P1231" s="96">
        <v>3635.84</v>
      </c>
      <c r="Q1231" s="11">
        <v>3770.9</v>
      </c>
      <c r="R1231" s="12">
        <v>135.06</v>
      </c>
      <c r="S1231" s="71">
        <v>46391</v>
      </c>
      <c r="T1231" s="10"/>
      <c r="U1231" s="97"/>
      <c r="V1231" s="1"/>
      <c r="X1231" s="101">
        <v>2</v>
      </c>
    </row>
    <row r="1232" spans="2:24" hidden="1">
      <c r="B1232" s="6" t="s">
        <v>2808</v>
      </c>
      <c r="C1232" s="23">
        <v>46223.700694444444</v>
      </c>
      <c r="D1232" s="6" t="s">
        <v>24</v>
      </c>
      <c r="E1232" s="6"/>
      <c r="F1232" s="27">
        <v>46223</v>
      </c>
      <c r="G1232" s="27" t="s">
        <v>2604</v>
      </c>
      <c r="H1232" s="7" t="s">
        <v>110</v>
      </c>
      <c r="I1232" s="6" t="s">
        <v>2809</v>
      </c>
      <c r="J1232" s="196"/>
      <c r="K1232" s="180" t="s">
        <v>2810</v>
      </c>
      <c r="L1232" s="108">
        <v>22854348</v>
      </c>
      <c r="M1232" s="37">
        <v>5214251054119</v>
      </c>
      <c r="N1232" s="169" t="s">
        <v>37</v>
      </c>
      <c r="O1232" s="48">
        <v>6262.86</v>
      </c>
      <c r="P1232" s="95">
        <v>1811.92</v>
      </c>
      <c r="Q1232" s="8">
        <v>1878.86</v>
      </c>
      <c r="R1232" s="13">
        <v>66.94</v>
      </c>
      <c r="S1232" s="70">
        <v>46393</v>
      </c>
      <c r="T1232" s="6"/>
      <c r="U1232" s="164"/>
      <c r="V1232" s="1"/>
      <c r="X1232" s="101">
        <v>2</v>
      </c>
    </row>
    <row r="1233" spans="2:24" hidden="1">
      <c r="B1233" s="10" t="s">
        <v>2811</v>
      </c>
      <c r="C1233" s="24">
        <v>46223.71597222222</v>
      </c>
      <c r="D1233" s="10" t="s">
        <v>24</v>
      </c>
      <c r="E1233" s="10"/>
      <c r="F1233" s="27">
        <v>46223</v>
      </c>
      <c r="G1233" s="28" t="s">
        <v>2604</v>
      </c>
      <c r="H1233" s="10" t="s">
        <v>1625</v>
      </c>
      <c r="I1233" s="10" t="s">
        <v>2812</v>
      </c>
      <c r="J1233" s="195">
        <v>23917375307</v>
      </c>
      <c r="K1233" s="181" t="s">
        <v>2813</v>
      </c>
      <c r="L1233" s="116">
        <v>2</v>
      </c>
      <c r="M1233" s="36" t="s">
        <v>2814</v>
      </c>
      <c r="N1233" s="170" t="s">
        <v>74</v>
      </c>
      <c r="O1233" s="49"/>
      <c r="P1233" s="96"/>
      <c r="Q1233" s="11">
        <v>0</v>
      </c>
      <c r="R1233" s="12">
        <v>0</v>
      </c>
      <c r="S1233" s="71"/>
      <c r="T1233" s="10"/>
      <c r="U1233" s="97"/>
      <c r="V1233" s="1"/>
      <c r="X1233" s="101">
        <v>1</v>
      </c>
    </row>
    <row r="1234" spans="2:24" hidden="1">
      <c r="B1234" s="6" t="s">
        <v>2815</v>
      </c>
      <c r="C1234" s="23">
        <v>46223.727083333331</v>
      </c>
      <c r="D1234" s="6" t="s">
        <v>24</v>
      </c>
      <c r="E1234" s="6"/>
      <c r="F1234" s="27">
        <v>46223</v>
      </c>
      <c r="G1234" s="27" t="s">
        <v>2604</v>
      </c>
      <c r="H1234" s="6" t="s">
        <v>1625</v>
      </c>
      <c r="I1234" s="6" t="s">
        <v>2816</v>
      </c>
      <c r="J1234" s="196">
        <v>19796171106</v>
      </c>
      <c r="K1234" s="180" t="s">
        <v>2817</v>
      </c>
      <c r="L1234" s="108">
        <v>2</v>
      </c>
      <c r="M1234" s="37" t="s">
        <v>2818</v>
      </c>
      <c r="N1234" s="169" t="s">
        <v>37</v>
      </c>
      <c r="O1234" s="48">
        <v>7920.51</v>
      </c>
      <c r="P1234" s="95">
        <v>2274.54</v>
      </c>
      <c r="Q1234" s="8">
        <v>2376.15</v>
      </c>
      <c r="R1234" s="13">
        <v>101.61</v>
      </c>
      <c r="S1234" s="70">
        <v>46388</v>
      </c>
      <c r="T1234" s="6"/>
      <c r="U1234" s="164"/>
      <c r="V1234" s="1"/>
      <c r="X1234" s="101">
        <v>2</v>
      </c>
    </row>
    <row r="1235" spans="2:24" hidden="1">
      <c r="B1235" s="10" t="s">
        <v>2819</v>
      </c>
      <c r="C1235" s="24">
        <v>46223.73333333333</v>
      </c>
      <c r="D1235" s="10" t="s">
        <v>24</v>
      </c>
      <c r="E1235" s="10"/>
      <c r="F1235" s="27">
        <v>46223</v>
      </c>
      <c r="G1235" s="28" t="s">
        <v>2604</v>
      </c>
      <c r="H1235" s="20" t="s">
        <v>71</v>
      </c>
      <c r="I1235" s="10" t="s">
        <v>2820</v>
      </c>
      <c r="J1235" s="195"/>
      <c r="K1235" s="181" t="s">
        <v>2821</v>
      </c>
      <c r="L1235" s="108">
        <v>22852776</v>
      </c>
      <c r="M1235" s="36">
        <v>5219613141022</v>
      </c>
      <c r="N1235" s="170" t="s">
        <v>32</v>
      </c>
      <c r="O1235" s="49">
        <v>4342.43</v>
      </c>
      <c r="P1235" s="96">
        <v>848</v>
      </c>
      <c r="Q1235" s="11">
        <v>1302.73</v>
      </c>
      <c r="R1235" s="12">
        <v>-678.55</v>
      </c>
      <c r="S1235" s="71"/>
      <c r="T1235" s="10"/>
      <c r="U1235" s="97"/>
      <c r="V1235" s="1"/>
      <c r="X1235" s="101">
        <v>1</v>
      </c>
    </row>
    <row r="1236" spans="2:24" hidden="1">
      <c r="B1236" s="6" t="s">
        <v>2822</v>
      </c>
      <c r="C1236" s="23">
        <v>46223.73541666667</v>
      </c>
      <c r="D1236" s="6" t="s">
        <v>24</v>
      </c>
      <c r="E1236" s="6"/>
      <c r="F1236" s="27">
        <v>46223</v>
      </c>
      <c r="G1236" s="27" t="s">
        <v>1953</v>
      </c>
      <c r="H1236" s="160" t="s">
        <v>107</v>
      </c>
      <c r="I1236" s="6" t="s">
        <v>2823</v>
      </c>
      <c r="J1236" s="196"/>
      <c r="K1236" s="180" t="s">
        <v>2824</v>
      </c>
      <c r="L1236" s="107">
        <v>22760156</v>
      </c>
      <c r="M1236" s="37">
        <v>6621861630</v>
      </c>
      <c r="N1236" s="169" t="s">
        <v>28</v>
      </c>
      <c r="O1236" s="48">
        <v>9267.0300000000007</v>
      </c>
      <c r="P1236" s="95">
        <v>848</v>
      </c>
      <c r="Q1236" s="8">
        <v>2780.11</v>
      </c>
      <c r="R1236" s="9">
        <v>1932.11</v>
      </c>
      <c r="S1236" s="70"/>
      <c r="T1236" s="6"/>
      <c r="U1236" s="164"/>
      <c r="V1236" s="1"/>
      <c r="X1236" s="101">
        <v>1</v>
      </c>
    </row>
    <row r="1237" spans="2:24" hidden="1">
      <c r="B1237" s="10" t="s">
        <v>2825</v>
      </c>
      <c r="C1237" s="24">
        <v>46223.736111111109</v>
      </c>
      <c r="D1237" s="10" t="s">
        <v>24</v>
      </c>
      <c r="E1237" s="10"/>
      <c r="F1237" s="27">
        <v>46223</v>
      </c>
      <c r="G1237" s="28" t="s">
        <v>2604</v>
      </c>
      <c r="H1237" s="10" t="s">
        <v>93</v>
      </c>
      <c r="I1237" s="10" t="s">
        <v>2826</v>
      </c>
      <c r="J1237" s="195">
        <v>32857075462</v>
      </c>
      <c r="K1237" s="181" t="s">
        <v>2827</v>
      </c>
      <c r="L1237" s="108">
        <v>22841376</v>
      </c>
      <c r="M1237" s="36">
        <v>8443280382</v>
      </c>
      <c r="N1237" s="170" t="s">
        <v>37</v>
      </c>
      <c r="O1237" s="49">
        <v>5055.87</v>
      </c>
      <c r="P1237" s="96">
        <v>1199.99</v>
      </c>
      <c r="Q1237" s="11">
        <v>1516.76</v>
      </c>
      <c r="R1237" s="12">
        <v>-317.10000000000002</v>
      </c>
      <c r="S1237" s="71">
        <v>46389</v>
      </c>
      <c r="T1237" s="10"/>
      <c r="U1237" s="97"/>
      <c r="V1237" s="1"/>
      <c r="X1237" s="101">
        <v>2</v>
      </c>
    </row>
    <row r="1238" spans="2:24" hidden="1">
      <c r="B1238" s="6" t="s">
        <v>2828</v>
      </c>
      <c r="C1238" s="23">
        <v>46223.738194444442</v>
      </c>
      <c r="D1238" s="6" t="s">
        <v>24</v>
      </c>
      <c r="E1238" s="6"/>
      <c r="F1238" s="27">
        <v>46223</v>
      </c>
      <c r="G1238" s="27" t="s">
        <v>2604</v>
      </c>
      <c r="H1238" s="6" t="s">
        <v>81</v>
      </c>
      <c r="I1238" s="6" t="s">
        <v>2829</v>
      </c>
      <c r="J1238" s="196"/>
      <c r="K1238" s="180" t="s">
        <v>2830</v>
      </c>
      <c r="L1238" s="108">
        <v>22857744</v>
      </c>
      <c r="M1238" s="37">
        <v>5214425417803</v>
      </c>
      <c r="N1238" s="169" t="s">
        <v>37</v>
      </c>
      <c r="O1238" s="48">
        <v>5617.63</v>
      </c>
      <c r="P1238" s="95">
        <v>1392.23</v>
      </c>
      <c r="Q1238" s="8">
        <v>1685.29</v>
      </c>
      <c r="R1238" s="13">
        <v>52.42</v>
      </c>
      <c r="S1238" s="70">
        <v>46390</v>
      </c>
      <c r="T1238" s="6"/>
      <c r="U1238" s="164"/>
      <c r="V1238" s="1"/>
      <c r="X1238" s="101">
        <v>2</v>
      </c>
    </row>
    <row r="1239" spans="2:24" hidden="1">
      <c r="B1239" s="10" t="s">
        <v>2831</v>
      </c>
      <c r="C1239" s="24">
        <v>46223.740277777775</v>
      </c>
      <c r="D1239" s="10" t="s">
        <v>24</v>
      </c>
      <c r="E1239" s="10"/>
      <c r="F1239" s="27">
        <v>46223</v>
      </c>
      <c r="G1239" s="28" t="s">
        <v>2604</v>
      </c>
      <c r="H1239" s="10" t="s">
        <v>1625</v>
      </c>
      <c r="I1239" s="10" t="s">
        <v>2655</v>
      </c>
      <c r="J1239" s="198">
        <v>11806001720</v>
      </c>
      <c r="K1239" s="179" t="s">
        <v>2656</v>
      </c>
      <c r="L1239" s="108">
        <v>2</v>
      </c>
      <c r="M1239" s="36" t="s">
        <v>2832</v>
      </c>
      <c r="N1239" s="170" t="s">
        <v>37</v>
      </c>
      <c r="O1239" s="49">
        <v>9760.32</v>
      </c>
      <c r="P1239" s="96">
        <v>2927.1</v>
      </c>
      <c r="Q1239" s="11">
        <v>2928.1</v>
      </c>
      <c r="R1239" s="12">
        <v>1</v>
      </c>
      <c r="S1239" s="71">
        <v>46391</v>
      </c>
      <c r="T1239" s="10" t="s">
        <v>362</v>
      </c>
      <c r="U1239" s="97"/>
      <c r="V1239" s="1"/>
      <c r="X1239" s="101">
        <v>2</v>
      </c>
    </row>
    <row r="1240" spans="2:24" hidden="1">
      <c r="B1240" s="6" t="s">
        <v>2833</v>
      </c>
      <c r="C1240" s="23">
        <v>46223.740972222222</v>
      </c>
      <c r="D1240" s="6" t="s">
        <v>24</v>
      </c>
      <c r="E1240" s="6"/>
      <c r="F1240" s="27">
        <v>46223</v>
      </c>
      <c r="G1240" s="27" t="s">
        <v>2604</v>
      </c>
      <c r="H1240" s="10" t="s">
        <v>127</v>
      </c>
      <c r="I1240" s="6" t="s">
        <v>2834</v>
      </c>
      <c r="J1240" s="196">
        <v>24886405836</v>
      </c>
      <c r="K1240" s="180" t="s">
        <v>2835</v>
      </c>
      <c r="L1240" s="107">
        <v>22872792</v>
      </c>
      <c r="M1240" s="37">
        <v>5216441081729</v>
      </c>
      <c r="N1240" s="169" t="s">
        <v>28</v>
      </c>
      <c r="O1240" s="48">
        <v>39014.01</v>
      </c>
      <c r="P1240" s="95">
        <v>1795.79</v>
      </c>
      <c r="Q1240" s="8">
        <v>11704.2</v>
      </c>
      <c r="R1240" s="9">
        <v>9908.41</v>
      </c>
      <c r="S1240" s="70">
        <v>46755</v>
      </c>
      <c r="T1240" s="6"/>
      <c r="U1240" s="164"/>
      <c r="V1240" s="1"/>
      <c r="X1240" s="101">
        <v>2</v>
      </c>
    </row>
    <row r="1241" spans="2:24" hidden="1">
      <c r="B1241" s="10" t="s">
        <v>2836</v>
      </c>
      <c r="C1241" s="24">
        <v>46223.745138888888</v>
      </c>
      <c r="D1241" s="10" t="s">
        <v>24</v>
      </c>
      <c r="E1241" s="10"/>
      <c r="F1241" s="27">
        <v>46223</v>
      </c>
      <c r="G1241" s="28" t="s">
        <v>2604</v>
      </c>
      <c r="H1241" s="10" t="s">
        <v>39</v>
      </c>
      <c r="I1241" s="10" t="s">
        <v>2837</v>
      </c>
      <c r="J1241" s="195">
        <v>53907262512</v>
      </c>
      <c r="K1241" s="181" t="s">
        <v>2838</v>
      </c>
      <c r="L1241" s="108">
        <v>22873394</v>
      </c>
      <c r="M1241" s="36">
        <v>5214433698522</v>
      </c>
      <c r="N1241" s="170" t="s">
        <v>106</v>
      </c>
      <c r="O1241" s="49">
        <v>14606.95</v>
      </c>
      <c r="P1241" s="96">
        <v>4382.09</v>
      </c>
      <c r="Q1241" s="11">
        <v>4382.09</v>
      </c>
      <c r="R1241" s="12">
        <v>-0.01</v>
      </c>
      <c r="S1241" s="71">
        <v>46028</v>
      </c>
      <c r="T1241" s="10"/>
      <c r="U1241" s="97"/>
      <c r="V1241" s="1"/>
      <c r="X1241" s="101">
        <v>2</v>
      </c>
    </row>
    <row r="1242" spans="2:24" hidden="1">
      <c r="B1242" s="6" t="s">
        <v>2839</v>
      </c>
      <c r="C1242" s="23">
        <v>46223.746527777781</v>
      </c>
      <c r="D1242" s="6" t="s">
        <v>24</v>
      </c>
      <c r="E1242" s="6"/>
      <c r="F1242" s="27">
        <v>46223</v>
      </c>
      <c r="G1242" s="27" t="s">
        <v>2604</v>
      </c>
      <c r="H1242" s="6" t="s">
        <v>1519</v>
      </c>
      <c r="I1242" s="6" t="s">
        <v>2840</v>
      </c>
      <c r="J1242" s="196">
        <v>21906004987</v>
      </c>
      <c r="K1242" s="180" t="s">
        <v>2841</v>
      </c>
      <c r="L1242" s="108">
        <v>22856894</v>
      </c>
      <c r="M1242" s="37">
        <v>5215532743697</v>
      </c>
      <c r="N1242" s="169" t="s">
        <v>37</v>
      </c>
      <c r="O1242" s="48">
        <v>7376.84</v>
      </c>
      <c r="P1242" s="95">
        <v>2120.39</v>
      </c>
      <c r="Q1242" s="8">
        <v>2213.0500000000002</v>
      </c>
      <c r="R1242" s="13">
        <v>92.66</v>
      </c>
      <c r="S1242" s="70">
        <v>46399</v>
      </c>
      <c r="T1242" s="6"/>
      <c r="U1242" s="164"/>
      <c r="V1242" s="1"/>
      <c r="X1242" s="101">
        <v>2</v>
      </c>
    </row>
    <row r="1243" spans="2:24" hidden="1">
      <c r="B1243" s="10" t="s">
        <v>2842</v>
      </c>
      <c r="C1243" s="24">
        <v>46223.748611111114</v>
      </c>
      <c r="D1243" s="10" t="s">
        <v>24</v>
      </c>
      <c r="E1243" s="10"/>
      <c r="F1243" s="27">
        <v>46223</v>
      </c>
      <c r="G1243" s="28" t="s">
        <v>2604</v>
      </c>
      <c r="H1243" s="10" t="s">
        <v>160</v>
      </c>
      <c r="I1243" s="10" t="s">
        <v>2843</v>
      </c>
      <c r="J1243" s="195">
        <v>72795912533</v>
      </c>
      <c r="K1243" s="181" t="s">
        <v>2844</v>
      </c>
      <c r="L1243" s="108">
        <v>22873840</v>
      </c>
      <c r="M1243" s="36">
        <v>5214432436264</v>
      </c>
      <c r="N1243" s="170" t="s">
        <v>37</v>
      </c>
      <c r="O1243" s="49">
        <v>9760.32</v>
      </c>
      <c r="P1243" s="96">
        <v>2821.95</v>
      </c>
      <c r="Q1243" s="11">
        <v>2928.1</v>
      </c>
      <c r="R1243" s="12">
        <v>106.15</v>
      </c>
      <c r="S1243" s="71">
        <v>46394</v>
      </c>
      <c r="T1243" s="10"/>
      <c r="U1243" s="97"/>
      <c r="V1243" s="1"/>
      <c r="X1243" s="101">
        <v>2</v>
      </c>
    </row>
    <row r="1244" spans="2:24" hidden="1">
      <c r="B1244" s="6" t="s">
        <v>2845</v>
      </c>
      <c r="C1244" s="23">
        <v>46223.752083333333</v>
      </c>
      <c r="D1244" s="6" t="s">
        <v>24</v>
      </c>
      <c r="E1244" s="6"/>
      <c r="F1244" s="27">
        <v>46223</v>
      </c>
      <c r="G1244" s="27" t="s">
        <v>2528</v>
      </c>
      <c r="H1244" s="6" t="s">
        <v>61</v>
      </c>
      <c r="I1244" s="6" t="s">
        <v>2846</v>
      </c>
      <c r="J1244" s="197">
        <v>33826373533</v>
      </c>
      <c r="K1244" s="180" t="s">
        <v>2847</v>
      </c>
      <c r="L1244" s="108">
        <v>22837600</v>
      </c>
      <c r="M1244" s="37">
        <v>5216143202106</v>
      </c>
      <c r="N1244" s="169" t="s">
        <v>37</v>
      </c>
      <c r="O1244" s="48">
        <v>85248.05</v>
      </c>
      <c r="P1244" s="95">
        <v>25571.4</v>
      </c>
      <c r="Q1244" s="8">
        <v>25574.42</v>
      </c>
      <c r="R1244" s="13">
        <v>3.01</v>
      </c>
      <c r="S1244" s="70">
        <v>46388</v>
      </c>
      <c r="T1244" s="6"/>
      <c r="U1244" s="164"/>
      <c r="V1244" s="1"/>
      <c r="X1244" s="101">
        <v>2</v>
      </c>
    </row>
    <row r="1245" spans="2:24" hidden="1">
      <c r="B1245" s="10" t="s">
        <v>2848</v>
      </c>
      <c r="C1245" s="24">
        <v>46223.752083333333</v>
      </c>
      <c r="D1245" s="10" t="s">
        <v>24</v>
      </c>
      <c r="E1245" s="10"/>
      <c r="F1245" s="27">
        <v>46223</v>
      </c>
      <c r="G1245" s="28" t="s">
        <v>2236</v>
      </c>
      <c r="H1245" s="161" t="s">
        <v>71</v>
      </c>
      <c r="I1245" s="10" t="s">
        <v>2849</v>
      </c>
      <c r="J1245" s="195"/>
      <c r="K1245" s="181" t="s">
        <v>2850</v>
      </c>
      <c r="L1245" s="108">
        <v>22817252</v>
      </c>
      <c r="M1245" s="36">
        <v>5216692709287</v>
      </c>
      <c r="N1245" s="170" t="s">
        <v>47</v>
      </c>
      <c r="O1245" s="49">
        <v>38420.71</v>
      </c>
      <c r="P1245" s="96">
        <v>10625.08</v>
      </c>
      <c r="Q1245" s="11">
        <v>11526.21</v>
      </c>
      <c r="R1245" s="16">
        <v>901.13</v>
      </c>
      <c r="S1245" s="71">
        <v>46030</v>
      </c>
      <c r="T1245" s="10"/>
      <c r="U1245" s="97"/>
      <c r="V1245" s="1"/>
      <c r="X1245" s="101">
        <v>2</v>
      </c>
    </row>
    <row r="1246" spans="2:24" hidden="1">
      <c r="B1246" s="6" t="s">
        <v>2851</v>
      </c>
      <c r="C1246" s="23">
        <v>46223.762499999997</v>
      </c>
      <c r="D1246" s="6" t="s">
        <v>24</v>
      </c>
      <c r="E1246" s="6"/>
      <c r="F1246" s="27">
        <v>46223</v>
      </c>
      <c r="G1246" s="27" t="s">
        <v>2528</v>
      </c>
      <c r="H1246" s="6" t="s">
        <v>93</v>
      </c>
      <c r="I1246" s="6" t="s">
        <v>2852</v>
      </c>
      <c r="J1246" s="196"/>
      <c r="K1246" s="180" t="s">
        <v>2853</v>
      </c>
      <c r="L1246" s="108">
        <v>22839292</v>
      </c>
      <c r="M1246" s="37">
        <v>7821401625</v>
      </c>
      <c r="N1246" s="169" t="s">
        <v>37</v>
      </c>
      <c r="O1246" s="48">
        <v>20599.310000000001</v>
      </c>
      <c r="P1246" s="95">
        <v>6177.39</v>
      </c>
      <c r="Q1246" s="8">
        <v>6179.79</v>
      </c>
      <c r="R1246" s="13">
        <v>2.4</v>
      </c>
      <c r="S1246" s="70">
        <v>46754</v>
      </c>
      <c r="T1246" s="6"/>
      <c r="U1246" s="164"/>
      <c r="V1246" s="1"/>
      <c r="X1246" s="101">
        <v>2</v>
      </c>
    </row>
    <row r="1247" spans="2:24" hidden="1">
      <c r="B1247" s="10" t="s">
        <v>2854</v>
      </c>
      <c r="C1247" s="24">
        <v>46223.769444444442</v>
      </c>
      <c r="D1247" s="10" t="s">
        <v>24</v>
      </c>
      <c r="E1247" s="10"/>
      <c r="F1247" s="27">
        <v>46223</v>
      </c>
      <c r="G1247" s="28" t="s">
        <v>2604</v>
      </c>
      <c r="H1247" s="20" t="s">
        <v>71</v>
      </c>
      <c r="I1247" s="10" t="s">
        <v>2855</v>
      </c>
      <c r="J1247" s="195">
        <v>72846224953</v>
      </c>
      <c r="K1247" s="181"/>
      <c r="L1247" s="108">
        <v>22874892</v>
      </c>
      <c r="M1247" s="36">
        <v>5217331442194</v>
      </c>
      <c r="N1247" s="170" t="s">
        <v>37</v>
      </c>
      <c r="O1247" s="49">
        <v>9760.32</v>
      </c>
      <c r="P1247" s="96">
        <v>2926.65</v>
      </c>
      <c r="Q1247" s="11">
        <v>2928.1</v>
      </c>
      <c r="R1247" s="12">
        <v>1.45</v>
      </c>
      <c r="S1247" s="71">
        <v>46755</v>
      </c>
      <c r="T1247" s="10"/>
      <c r="U1247" s="97"/>
      <c r="V1247" s="1"/>
      <c r="X1247" s="101">
        <v>2</v>
      </c>
    </row>
    <row r="1248" spans="2:24" hidden="1">
      <c r="B1248" s="6" t="s">
        <v>2856</v>
      </c>
      <c r="C1248" s="23">
        <v>46223.781944444447</v>
      </c>
      <c r="D1248" s="6" t="s">
        <v>24</v>
      </c>
      <c r="E1248" s="6"/>
      <c r="F1248" s="27">
        <v>46223</v>
      </c>
      <c r="G1248" s="27" t="s">
        <v>2236</v>
      </c>
      <c r="H1248" s="7" t="s">
        <v>26</v>
      </c>
      <c r="I1248" s="6" t="s">
        <v>2857</v>
      </c>
      <c r="J1248" s="196">
        <v>33786227885</v>
      </c>
      <c r="K1248" s="180"/>
      <c r="L1248" s="108">
        <v>22820458</v>
      </c>
      <c r="M1248" s="37">
        <v>5216141957164</v>
      </c>
      <c r="N1248" s="169" t="s">
        <v>37</v>
      </c>
      <c r="O1248" s="48">
        <v>7920.51</v>
      </c>
      <c r="P1248" s="95">
        <v>2174.88</v>
      </c>
      <c r="Q1248" s="8">
        <v>2376.15</v>
      </c>
      <c r="R1248" s="13">
        <v>201.27</v>
      </c>
      <c r="S1248" s="70">
        <v>46758</v>
      </c>
      <c r="T1248" s="6"/>
      <c r="U1248" s="164"/>
      <c r="V1248" s="1"/>
      <c r="X1248" s="101">
        <v>2</v>
      </c>
    </row>
    <row r="1249" spans="2:24" hidden="1">
      <c r="B1249" s="10" t="s">
        <v>2858</v>
      </c>
      <c r="C1249" s="24">
        <v>46224.366666666669</v>
      </c>
      <c r="D1249" s="10" t="s">
        <v>24</v>
      </c>
      <c r="E1249" s="10"/>
      <c r="F1249" s="28">
        <v>46224</v>
      </c>
      <c r="G1249" s="28" t="s">
        <v>2859</v>
      </c>
      <c r="H1249" s="10" t="s">
        <v>1629</v>
      </c>
      <c r="I1249" s="10" t="s">
        <v>2860</v>
      </c>
      <c r="J1249" s="195">
        <v>43786110569</v>
      </c>
      <c r="K1249" s="181" t="s">
        <v>2861</v>
      </c>
      <c r="L1249" s="108">
        <v>2</v>
      </c>
      <c r="M1249" s="36">
        <v>8134514396</v>
      </c>
      <c r="N1249" s="170" t="s">
        <v>37</v>
      </c>
      <c r="O1249" s="49">
        <v>7640.52</v>
      </c>
      <c r="P1249" s="96">
        <v>2291.71</v>
      </c>
      <c r="Q1249" s="11">
        <v>2292.16</v>
      </c>
      <c r="R1249" s="12">
        <v>0.45</v>
      </c>
      <c r="S1249" s="71">
        <v>46396</v>
      </c>
      <c r="T1249" s="10"/>
      <c r="U1249" s="97"/>
      <c r="V1249" s="1"/>
      <c r="X1249" s="101">
        <v>2</v>
      </c>
    </row>
    <row r="1250" spans="2:24" hidden="1">
      <c r="B1250" s="6" t="s">
        <v>2862</v>
      </c>
      <c r="C1250" s="23">
        <v>46224.377083333333</v>
      </c>
      <c r="D1250" s="6" t="s">
        <v>24</v>
      </c>
      <c r="E1250" s="6"/>
      <c r="F1250" s="28">
        <v>46224</v>
      </c>
      <c r="G1250" s="27" t="s">
        <v>2859</v>
      </c>
      <c r="H1250" s="6" t="s">
        <v>90</v>
      </c>
      <c r="I1250" s="6" t="s">
        <v>2863</v>
      </c>
      <c r="J1250" s="196">
        <v>32795811143</v>
      </c>
      <c r="K1250" s="180"/>
      <c r="L1250" s="109">
        <v>1</v>
      </c>
      <c r="M1250" s="37">
        <v>8662780450</v>
      </c>
      <c r="N1250" s="169" t="s">
        <v>32</v>
      </c>
      <c r="O1250" s="48">
        <v>4342.43</v>
      </c>
      <c r="P1250" s="95"/>
      <c r="Q1250" s="8">
        <v>1302.73</v>
      </c>
      <c r="R1250" s="13">
        <v>169.45</v>
      </c>
      <c r="S1250" s="70"/>
      <c r="T1250" s="6"/>
      <c r="U1250" s="164"/>
      <c r="V1250" s="1"/>
      <c r="X1250" s="101">
        <v>1</v>
      </c>
    </row>
    <row r="1251" spans="2:24" hidden="1">
      <c r="B1251" s="10" t="s">
        <v>2864</v>
      </c>
      <c r="C1251" s="24">
        <v>46224.379861111112</v>
      </c>
      <c r="D1251" s="10" t="s">
        <v>24</v>
      </c>
      <c r="E1251" s="10"/>
      <c r="F1251" s="28">
        <v>46224</v>
      </c>
      <c r="G1251" s="28" t="s">
        <v>2859</v>
      </c>
      <c r="H1251" s="10" t="s">
        <v>1629</v>
      </c>
      <c r="I1251" s="10" t="s">
        <v>2865</v>
      </c>
      <c r="J1251" s="195">
        <v>11806408446</v>
      </c>
      <c r="K1251" s="181" t="s">
        <v>2866</v>
      </c>
      <c r="L1251" s="116">
        <v>2</v>
      </c>
      <c r="M1251" s="36">
        <v>5559032046</v>
      </c>
      <c r="N1251" s="170" t="s">
        <v>28</v>
      </c>
      <c r="O1251" s="49">
        <v>9504.7000000000007</v>
      </c>
      <c r="P1251" s="96"/>
      <c r="Q1251" s="11">
        <v>2851.41</v>
      </c>
      <c r="R1251" s="14">
        <v>2851.41</v>
      </c>
      <c r="S1251" s="71"/>
      <c r="T1251" s="10"/>
      <c r="U1251" s="97"/>
      <c r="V1251" s="1"/>
      <c r="X1251" s="101">
        <v>1</v>
      </c>
    </row>
    <row r="1252" spans="2:24" hidden="1">
      <c r="B1252" s="6" t="s">
        <v>2867</v>
      </c>
      <c r="C1252" s="23">
        <v>46224.40902777778</v>
      </c>
      <c r="D1252" s="6" t="s">
        <v>24</v>
      </c>
      <c r="E1252" s="6"/>
      <c r="F1252" s="28">
        <v>46224</v>
      </c>
      <c r="G1252" s="27">
        <v>46302</v>
      </c>
      <c r="H1252" s="6" t="s">
        <v>51</v>
      </c>
      <c r="I1252" s="6" t="s">
        <v>2868</v>
      </c>
      <c r="J1252" s="196">
        <v>71866417463</v>
      </c>
      <c r="K1252" s="180" t="s">
        <v>2869</v>
      </c>
      <c r="L1252" s="108">
        <v>22552356</v>
      </c>
      <c r="M1252" s="37">
        <v>5219541535836</v>
      </c>
      <c r="N1252" s="169" t="s">
        <v>37</v>
      </c>
      <c r="O1252" s="48">
        <v>16140.99</v>
      </c>
      <c r="P1252" s="95">
        <v>4829.7299999999996</v>
      </c>
      <c r="Q1252" s="8">
        <v>4842.3</v>
      </c>
      <c r="R1252" s="13">
        <v>12.57</v>
      </c>
      <c r="S1252" s="70">
        <v>46296</v>
      </c>
      <c r="T1252" s="6"/>
      <c r="U1252" s="164"/>
      <c r="V1252" s="1"/>
      <c r="X1252" s="101">
        <v>2</v>
      </c>
    </row>
    <row r="1253" spans="2:24" hidden="1">
      <c r="B1253" s="10" t="s">
        <v>2870</v>
      </c>
      <c r="C1253" s="24">
        <v>46224.413888888892</v>
      </c>
      <c r="D1253" s="10" t="s">
        <v>24</v>
      </c>
      <c r="E1253" s="10"/>
      <c r="F1253" s="28">
        <v>46224</v>
      </c>
      <c r="G1253" s="28" t="s">
        <v>2528</v>
      </c>
      <c r="H1253" s="20" t="s">
        <v>71</v>
      </c>
      <c r="I1253" s="10" t="s">
        <v>2871</v>
      </c>
      <c r="J1253" s="195">
        <v>6705327309</v>
      </c>
      <c r="K1253" s="181" t="s">
        <v>2872</v>
      </c>
      <c r="L1253" s="108">
        <v>22837824</v>
      </c>
      <c r="M1253" s="36">
        <v>5215614299404</v>
      </c>
      <c r="N1253" s="170" t="s">
        <v>37</v>
      </c>
      <c r="O1253" s="49">
        <v>4554.84</v>
      </c>
      <c r="P1253" s="96">
        <v>770</v>
      </c>
      <c r="Q1253" s="11">
        <v>1366.45</v>
      </c>
      <c r="R1253" s="12">
        <v>-388.14</v>
      </c>
      <c r="S1253" s="71">
        <v>46397</v>
      </c>
      <c r="T1253" s="10"/>
      <c r="U1253" s="97"/>
      <c r="V1253" s="1"/>
      <c r="X1253" s="101">
        <v>2</v>
      </c>
    </row>
    <row r="1254" spans="2:24" hidden="1">
      <c r="B1254" s="6" t="s">
        <v>2873</v>
      </c>
      <c r="C1254" s="23">
        <v>46224.416666666664</v>
      </c>
      <c r="D1254" s="6" t="s">
        <v>24</v>
      </c>
      <c r="E1254" s="6"/>
      <c r="F1254" s="28">
        <v>46224</v>
      </c>
      <c r="G1254" s="27" t="s">
        <v>2859</v>
      </c>
      <c r="H1254" s="6" t="s">
        <v>1625</v>
      </c>
      <c r="I1254" s="6" t="s">
        <v>2874</v>
      </c>
      <c r="J1254" s="196">
        <v>96886200151</v>
      </c>
      <c r="K1254" s="180" t="s">
        <v>2875</v>
      </c>
      <c r="L1254" s="108">
        <v>2</v>
      </c>
      <c r="M1254" s="37" t="s">
        <v>2876</v>
      </c>
      <c r="N1254" s="169" t="s">
        <v>37</v>
      </c>
      <c r="O1254" s="48">
        <v>25705.87</v>
      </c>
      <c r="P1254" s="95">
        <v>7700</v>
      </c>
      <c r="Q1254" s="8">
        <v>7711.76</v>
      </c>
      <c r="R1254" s="13">
        <v>11.76</v>
      </c>
      <c r="S1254" s="70">
        <v>46758</v>
      </c>
      <c r="T1254" s="6"/>
      <c r="U1254" s="164"/>
      <c r="V1254" s="1"/>
      <c r="X1254" s="101">
        <v>2</v>
      </c>
    </row>
    <row r="1255" spans="2:24" hidden="1">
      <c r="B1255" s="10" t="s">
        <v>2873</v>
      </c>
      <c r="C1255" s="24">
        <v>46224.416666666664</v>
      </c>
      <c r="D1255" s="10" t="s">
        <v>24</v>
      </c>
      <c r="E1255" s="10"/>
      <c r="F1255" s="28">
        <v>46224</v>
      </c>
      <c r="G1255" s="28" t="s">
        <v>2859</v>
      </c>
      <c r="H1255" s="10" t="s">
        <v>1629</v>
      </c>
      <c r="I1255" s="10" t="s">
        <v>2877</v>
      </c>
      <c r="J1255" s="195">
        <v>42897105351</v>
      </c>
      <c r="K1255" s="181" t="s">
        <v>2878</v>
      </c>
      <c r="L1255" s="108">
        <v>2</v>
      </c>
      <c r="M1255" s="36">
        <v>5659032689</v>
      </c>
      <c r="N1255" s="170" t="s">
        <v>37</v>
      </c>
      <c r="O1255" s="49">
        <v>9439.39</v>
      </c>
      <c r="P1255" s="96">
        <v>2730.89</v>
      </c>
      <c r="Q1255" s="11">
        <v>2831.82</v>
      </c>
      <c r="R1255" s="12">
        <v>100.93</v>
      </c>
      <c r="S1255" s="71">
        <v>46033</v>
      </c>
      <c r="T1255" s="10"/>
      <c r="U1255" s="97"/>
      <c r="V1255" s="1"/>
      <c r="X1255" s="101">
        <v>2</v>
      </c>
    </row>
    <row r="1256" spans="2:24" hidden="1">
      <c r="B1256" s="6" t="s">
        <v>2879</v>
      </c>
      <c r="C1256" s="23">
        <v>46224.420138888891</v>
      </c>
      <c r="D1256" s="6" t="s">
        <v>24</v>
      </c>
      <c r="E1256" s="6"/>
      <c r="F1256" s="28">
        <v>46224</v>
      </c>
      <c r="G1256" s="27" t="s">
        <v>2604</v>
      </c>
      <c r="H1256" s="7" t="s">
        <v>26</v>
      </c>
      <c r="I1256" s="6" t="s">
        <v>2880</v>
      </c>
      <c r="J1256" s="196">
        <v>1614356598</v>
      </c>
      <c r="K1256" s="180" t="s">
        <v>2881</v>
      </c>
      <c r="L1256" s="107">
        <v>22841602</v>
      </c>
      <c r="M1256" s="37">
        <v>5215561214964</v>
      </c>
      <c r="N1256" s="169" t="s">
        <v>32</v>
      </c>
      <c r="O1256" s="48">
        <v>4407.05</v>
      </c>
      <c r="P1256" s="95"/>
      <c r="Q1256" s="8">
        <v>1322.12</v>
      </c>
      <c r="R1256" s="13">
        <v>234.07</v>
      </c>
      <c r="S1256" s="70"/>
      <c r="T1256" s="6"/>
      <c r="U1256" s="164"/>
      <c r="V1256" s="1"/>
      <c r="X1256" s="101">
        <v>1</v>
      </c>
    </row>
    <row r="1257" spans="2:24" hidden="1">
      <c r="B1257" s="10" t="s">
        <v>2882</v>
      </c>
      <c r="C1257" s="24">
        <v>46224.42083333333</v>
      </c>
      <c r="D1257" s="10" t="s">
        <v>24</v>
      </c>
      <c r="E1257" s="10"/>
      <c r="F1257" s="28">
        <v>46224</v>
      </c>
      <c r="G1257" s="28" t="s">
        <v>2859</v>
      </c>
      <c r="H1257" s="10" t="s">
        <v>1519</v>
      </c>
      <c r="I1257" s="10" t="s">
        <v>2883</v>
      </c>
      <c r="J1257" s="195">
        <v>89806339472</v>
      </c>
      <c r="K1257" s="181" t="s">
        <v>2884</v>
      </c>
      <c r="L1257" s="108">
        <v>22878674</v>
      </c>
      <c r="M1257" s="36">
        <v>5215564239338</v>
      </c>
      <c r="N1257" s="170" t="s">
        <v>28</v>
      </c>
      <c r="O1257" s="49">
        <v>15819.6</v>
      </c>
      <c r="P1257" s="96">
        <v>848</v>
      </c>
      <c r="Q1257" s="11">
        <v>4745.88</v>
      </c>
      <c r="R1257" s="14">
        <v>3897.88</v>
      </c>
      <c r="S1257" s="71"/>
      <c r="T1257" s="10"/>
      <c r="U1257" s="97"/>
      <c r="V1257" s="1"/>
      <c r="X1257" s="101">
        <v>1</v>
      </c>
    </row>
    <row r="1258" spans="2:24" hidden="1">
      <c r="B1258" s="6" t="s">
        <v>2885</v>
      </c>
      <c r="C1258" s="23">
        <v>46224.42291666667</v>
      </c>
      <c r="D1258" s="6" t="s">
        <v>24</v>
      </c>
      <c r="E1258" s="6"/>
      <c r="F1258" s="28">
        <v>46224</v>
      </c>
      <c r="G1258" s="27" t="s">
        <v>2236</v>
      </c>
      <c r="H1258" s="18" t="s">
        <v>71</v>
      </c>
      <c r="I1258" s="6" t="s">
        <v>2886</v>
      </c>
      <c r="J1258" s="196"/>
      <c r="K1258" s="180" t="s">
        <v>2887</v>
      </c>
      <c r="L1258" s="107">
        <v>22816886</v>
      </c>
      <c r="M1258" s="37">
        <v>5216561022871</v>
      </c>
      <c r="N1258" s="169" t="s">
        <v>98</v>
      </c>
      <c r="O1258" s="48"/>
      <c r="P1258" s="95"/>
      <c r="Q1258" s="8">
        <v>0</v>
      </c>
      <c r="R1258" s="13">
        <v>0</v>
      </c>
      <c r="S1258" s="70"/>
      <c r="T1258" s="6"/>
      <c r="U1258" s="164"/>
      <c r="V1258" s="1"/>
      <c r="X1258" s="101">
        <v>0</v>
      </c>
    </row>
    <row r="1259" spans="2:24" hidden="1">
      <c r="B1259" s="10" t="s">
        <v>2888</v>
      </c>
      <c r="C1259" s="24">
        <v>46224.429166666669</v>
      </c>
      <c r="D1259" s="10" t="s">
        <v>24</v>
      </c>
      <c r="E1259" s="10"/>
      <c r="F1259" s="28">
        <v>46224</v>
      </c>
      <c r="G1259" s="28" t="s">
        <v>2604</v>
      </c>
      <c r="H1259" s="15" t="s">
        <v>26</v>
      </c>
      <c r="I1259" s="10" t="s">
        <v>2889</v>
      </c>
      <c r="J1259" s="195">
        <v>12977451244</v>
      </c>
      <c r="K1259" s="181" t="s">
        <v>2890</v>
      </c>
      <c r="L1259" s="108">
        <v>22845346</v>
      </c>
      <c r="M1259" s="36">
        <v>5212293691761</v>
      </c>
      <c r="N1259" s="170" t="s">
        <v>98</v>
      </c>
      <c r="O1259" s="49"/>
      <c r="P1259" s="96"/>
      <c r="Q1259" s="11">
        <v>0</v>
      </c>
      <c r="R1259" s="12">
        <v>0</v>
      </c>
      <c r="S1259" s="71"/>
      <c r="T1259" s="10"/>
      <c r="U1259" s="97"/>
      <c r="V1259" s="1"/>
      <c r="X1259" s="101">
        <v>0</v>
      </c>
    </row>
    <row r="1260" spans="2:24" hidden="1">
      <c r="B1260" s="6" t="s">
        <v>2888</v>
      </c>
      <c r="C1260" s="23">
        <v>46224.429166666669</v>
      </c>
      <c r="D1260" s="6" t="s">
        <v>24</v>
      </c>
      <c r="E1260" s="6"/>
      <c r="F1260" s="28">
        <v>46224</v>
      </c>
      <c r="G1260" s="27">
        <v>46332</v>
      </c>
      <c r="H1260" s="161" t="s">
        <v>71</v>
      </c>
      <c r="I1260" s="6" t="s">
        <v>2891</v>
      </c>
      <c r="J1260" s="196">
        <v>12816501311</v>
      </c>
      <c r="K1260" s="180"/>
      <c r="L1260" s="107">
        <v>21623360</v>
      </c>
      <c r="M1260" s="37">
        <v>5214762467596</v>
      </c>
      <c r="N1260" s="169" t="s">
        <v>28</v>
      </c>
      <c r="O1260" s="48">
        <v>12841.23</v>
      </c>
      <c r="P1260" s="95"/>
      <c r="Q1260" s="8">
        <v>3852.37</v>
      </c>
      <c r="R1260" s="9">
        <v>3852.37</v>
      </c>
      <c r="S1260" s="70"/>
      <c r="T1260" s="6"/>
      <c r="U1260" s="164"/>
      <c r="V1260" s="1"/>
      <c r="X1260" s="101">
        <v>1</v>
      </c>
    </row>
    <row r="1261" spans="2:24" hidden="1">
      <c r="B1261" s="10" t="s">
        <v>2892</v>
      </c>
      <c r="C1261" s="24">
        <v>46224.44027777778</v>
      </c>
      <c r="D1261" s="10" t="s">
        <v>24</v>
      </c>
      <c r="E1261" s="10"/>
      <c r="F1261" s="28">
        <v>46224</v>
      </c>
      <c r="G1261" s="28" t="s">
        <v>2859</v>
      </c>
      <c r="H1261" s="10" t="s">
        <v>51</v>
      </c>
      <c r="I1261" s="10" t="s">
        <v>2893</v>
      </c>
      <c r="J1261" s="195">
        <v>42916609102</v>
      </c>
      <c r="K1261" s="181" t="s">
        <v>2894</v>
      </c>
      <c r="L1261" s="108">
        <v>22895902</v>
      </c>
      <c r="M1261" s="36">
        <v>5215577938583</v>
      </c>
      <c r="N1261" s="170" t="s">
        <v>28</v>
      </c>
      <c r="O1261" s="49">
        <v>10636.54</v>
      </c>
      <c r="P1261" s="96"/>
      <c r="Q1261" s="11">
        <v>3190.96</v>
      </c>
      <c r="R1261" s="14">
        <v>3190.96</v>
      </c>
      <c r="S1261" s="71"/>
      <c r="T1261" s="10"/>
      <c r="U1261" s="97"/>
      <c r="V1261" s="1"/>
      <c r="X1261" s="101">
        <v>1</v>
      </c>
    </row>
    <row r="1262" spans="2:24" hidden="1">
      <c r="B1262" s="6" t="s">
        <v>2895</v>
      </c>
      <c r="C1262" s="23">
        <v>46224.440972222219</v>
      </c>
      <c r="D1262" s="6" t="s">
        <v>24</v>
      </c>
      <c r="E1262" s="6"/>
      <c r="F1262" s="28">
        <v>46224</v>
      </c>
      <c r="G1262" s="27" t="s">
        <v>2604</v>
      </c>
      <c r="H1262" s="6" t="s">
        <v>39</v>
      </c>
      <c r="I1262" s="6" t="s">
        <v>2896</v>
      </c>
      <c r="J1262" s="196">
        <v>33786028374</v>
      </c>
      <c r="K1262" s="180" t="s">
        <v>2897</v>
      </c>
      <c r="L1262" s="108">
        <v>22874180</v>
      </c>
      <c r="M1262" s="37">
        <v>5216142834653</v>
      </c>
      <c r="N1262" s="169" t="s">
        <v>37</v>
      </c>
      <c r="O1262" s="48">
        <v>7116.73</v>
      </c>
      <c r="P1262" s="95">
        <v>2059</v>
      </c>
      <c r="Q1262" s="8">
        <v>2135.02</v>
      </c>
      <c r="R1262" s="13">
        <v>76.02</v>
      </c>
      <c r="S1262" s="70"/>
      <c r="T1262" s="6"/>
      <c r="U1262" s="164"/>
      <c r="V1262" s="1"/>
      <c r="X1262" s="101">
        <v>1</v>
      </c>
    </row>
    <row r="1263" spans="2:24" hidden="1">
      <c r="B1263" s="10" t="s">
        <v>2898</v>
      </c>
      <c r="C1263" s="24">
        <v>46224.440972222219</v>
      </c>
      <c r="D1263" s="10" t="s">
        <v>24</v>
      </c>
      <c r="E1263" s="10"/>
      <c r="F1263" s="28">
        <v>46224</v>
      </c>
      <c r="G1263" s="28" t="s">
        <v>2859</v>
      </c>
      <c r="H1263" s="10" t="s">
        <v>39</v>
      </c>
      <c r="I1263" s="10" t="s">
        <v>2899</v>
      </c>
      <c r="J1263" s="195">
        <v>33826613276</v>
      </c>
      <c r="K1263" s="181" t="s">
        <v>2900</v>
      </c>
      <c r="L1263" s="108">
        <v>22873794</v>
      </c>
      <c r="M1263" s="36">
        <v>5216251541810</v>
      </c>
      <c r="N1263" s="170" t="s">
        <v>28</v>
      </c>
      <c r="O1263" s="49">
        <v>10636.54</v>
      </c>
      <c r="P1263" s="96"/>
      <c r="Q1263" s="11">
        <v>3190.96</v>
      </c>
      <c r="R1263" s="14">
        <v>3190.96</v>
      </c>
      <c r="S1263" s="71"/>
      <c r="T1263" s="10"/>
      <c r="U1263" s="97"/>
      <c r="V1263" s="1"/>
      <c r="X1263" s="101">
        <v>1</v>
      </c>
    </row>
    <row r="1264" spans="2:24" hidden="1">
      <c r="B1264" s="6" t="s">
        <v>2901</v>
      </c>
      <c r="C1264" s="23">
        <v>46224.445833333331</v>
      </c>
      <c r="D1264" s="6" t="s">
        <v>24</v>
      </c>
      <c r="E1264" s="6"/>
      <c r="F1264" s="28">
        <v>46224</v>
      </c>
      <c r="G1264" s="27" t="s">
        <v>2859</v>
      </c>
      <c r="H1264" s="6" t="s">
        <v>51</v>
      </c>
      <c r="I1264" s="6" t="s">
        <v>2902</v>
      </c>
      <c r="J1264" s="196">
        <v>49917016567</v>
      </c>
      <c r="K1264" s="180" t="s">
        <v>2903</v>
      </c>
      <c r="L1264" s="108">
        <v>22895938</v>
      </c>
      <c r="M1264" s="37">
        <v>5218991178970</v>
      </c>
      <c r="N1264" s="169" t="s">
        <v>37</v>
      </c>
      <c r="O1264" s="48">
        <v>5642.22</v>
      </c>
      <c r="P1264" s="95">
        <v>1414.92</v>
      </c>
      <c r="Q1264" s="8">
        <v>1692.67</v>
      </c>
      <c r="R1264" s="13">
        <v>54.32</v>
      </c>
      <c r="S1264" s="70">
        <v>46395</v>
      </c>
      <c r="T1264" s="6"/>
      <c r="U1264" s="164"/>
      <c r="V1264" s="1"/>
      <c r="X1264" s="101">
        <v>2</v>
      </c>
    </row>
    <row r="1265" spans="2:24" hidden="1">
      <c r="B1265" s="10" t="s">
        <v>2904</v>
      </c>
      <c r="C1265" s="24">
        <v>46224.447222222225</v>
      </c>
      <c r="D1265" s="10" t="s">
        <v>24</v>
      </c>
      <c r="E1265" s="10"/>
      <c r="F1265" s="28">
        <v>46224</v>
      </c>
      <c r="G1265" s="28" t="s">
        <v>2859</v>
      </c>
      <c r="H1265" s="10" t="s">
        <v>160</v>
      </c>
      <c r="I1265" s="10" t="s">
        <v>2905</v>
      </c>
      <c r="J1265" s="195">
        <v>33947822244</v>
      </c>
      <c r="K1265" s="181" t="s">
        <v>2906</v>
      </c>
      <c r="L1265" s="108">
        <v>22884858</v>
      </c>
      <c r="M1265" s="36">
        <v>5216141034579</v>
      </c>
      <c r="N1265" s="170" t="s">
        <v>37</v>
      </c>
      <c r="O1265" s="49">
        <v>5972.53</v>
      </c>
      <c r="P1265" s="96">
        <v>1776.03</v>
      </c>
      <c r="Q1265" s="11">
        <v>1791.76</v>
      </c>
      <c r="R1265" s="12">
        <v>15.73</v>
      </c>
      <c r="S1265" s="71">
        <v>46760</v>
      </c>
      <c r="T1265" s="10"/>
      <c r="U1265" s="97"/>
      <c r="V1265" s="1"/>
      <c r="X1265" s="101">
        <v>2</v>
      </c>
    </row>
    <row r="1266" spans="2:24" hidden="1">
      <c r="B1266" s="6" t="s">
        <v>2907</v>
      </c>
      <c r="C1266" s="23">
        <v>46224.447916666664</v>
      </c>
      <c r="D1266" s="6" t="s">
        <v>24</v>
      </c>
      <c r="E1266" s="6"/>
      <c r="F1266" s="28">
        <v>46224</v>
      </c>
      <c r="G1266" s="27" t="s">
        <v>2859</v>
      </c>
      <c r="H1266" s="6" t="s">
        <v>2908</v>
      </c>
      <c r="I1266" s="6" t="s">
        <v>2909</v>
      </c>
      <c r="J1266" s="196">
        <v>1776055558</v>
      </c>
      <c r="K1266" s="180" t="s">
        <v>2910</v>
      </c>
      <c r="L1266" s="108">
        <v>2</v>
      </c>
      <c r="M1266" s="37">
        <v>5545296769</v>
      </c>
      <c r="N1266" s="169" t="s">
        <v>37</v>
      </c>
      <c r="O1266" s="48">
        <v>16903.439999999999</v>
      </c>
      <c r="P1266" s="95">
        <v>4889.58</v>
      </c>
      <c r="Q1266" s="8">
        <v>5071.03</v>
      </c>
      <c r="R1266" s="13">
        <v>181.45</v>
      </c>
      <c r="S1266" s="70">
        <v>46388</v>
      </c>
      <c r="T1266" s="6"/>
      <c r="U1266" s="164"/>
      <c r="V1266" s="1"/>
      <c r="X1266" s="101">
        <v>2</v>
      </c>
    </row>
    <row r="1267" spans="2:24" hidden="1">
      <c r="B1267" s="10" t="s">
        <v>2911</v>
      </c>
      <c r="C1267" s="24">
        <v>46224.453472222223</v>
      </c>
      <c r="D1267" s="10" t="s">
        <v>24</v>
      </c>
      <c r="E1267" s="10"/>
      <c r="F1267" s="28">
        <v>46224</v>
      </c>
      <c r="G1267" s="28" t="s">
        <v>2604</v>
      </c>
      <c r="H1267" s="160" t="s">
        <v>26</v>
      </c>
      <c r="I1267" s="10" t="s">
        <v>2912</v>
      </c>
      <c r="J1267" s="195"/>
      <c r="K1267" s="181" t="s">
        <v>2913</v>
      </c>
      <c r="L1267" s="108">
        <v>22847354</v>
      </c>
      <c r="M1267" s="36">
        <v>5212351001041</v>
      </c>
      <c r="N1267" s="170" t="s">
        <v>28</v>
      </c>
      <c r="O1267" s="49">
        <v>8539.89</v>
      </c>
      <c r="P1267" s="96"/>
      <c r="Q1267" s="11">
        <v>2561.9699999999998</v>
      </c>
      <c r="R1267" s="14">
        <v>2561.9699999999998</v>
      </c>
      <c r="S1267" s="71"/>
      <c r="T1267" s="10"/>
      <c r="U1267" s="97"/>
      <c r="V1267" s="1"/>
      <c r="X1267" s="101">
        <v>1</v>
      </c>
    </row>
    <row r="1268" spans="2:24" hidden="1">
      <c r="B1268" s="6" t="s">
        <v>2914</v>
      </c>
      <c r="C1268" s="23">
        <v>46224.456944444442</v>
      </c>
      <c r="D1268" s="6" t="s">
        <v>24</v>
      </c>
      <c r="E1268" s="6"/>
      <c r="F1268" s="28">
        <v>46224</v>
      </c>
      <c r="G1268" s="27" t="s">
        <v>2604</v>
      </c>
      <c r="H1268" s="7" t="s">
        <v>476</v>
      </c>
      <c r="I1268" s="6" t="s">
        <v>2915</v>
      </c>
      <c r="J1268" s="196">
        <v>10795934966</v>
      </c>
      <c r="K1268" s="180" t="s">
        <v>2916</v>
      </c>
      <c r="L1268" s="108">
        <v>22840966</v>
      </c>
      <c r="M1268" s="37">
        <v>5215610506662</v>
      </c>
      <c r="N1268" s="169" t="s">
        <v>37</v>
      </c>
      <c r="O1268" s="48">
        <v>17855.86</v>
      </c>
      <c r="P1268" s="95">
        <v>5149.67</v>
      </c>
      <c r="Q1268" s="8">
        <v>5356.76</v>
      </c>
      <c r="R1268" s="13">
        <v>207.09</v>
      </c>
      <c r="S1268" s="70">
        <v>46296</v>
      </c>
      <c r="T1268" s="6" t="s">
        <v>362</v>
      </c>
      <c r="U1268" s="164"/>
      <c r="V1268" s="1"/>
      <c r="X1268" s="101">
        <v>2</v>
      </c>
    </row>
    <row r="1269" spans="2:24" hidden="1">
      <c r="B1269" s="10" t="s">
        <v>2907</v>
      </c>
      <c r="C1269" s="24">
        <v>46224.462500000001</v>
      </c>
      <c r="D1269" s="10" t="s">
        <v>24</v>
      </c>
      <c r="E1269" s="10"/>
      <c r="F1269" s="28">
        <v>46224</v>
      </c>
      <c r="G1269" s="28" t="s">
        <v>2859</v>
      </c>
      <c r="H1269" s="10" t="s">
        <v>1625</v>
      </c>
      <c r="I1269" s="10" t="s">
        <v>2917</v>
      </c>
      <c r="J1269" s="195">
        <v>43755910486</v>
      </c>
      <c r="K1269" s="181" t="s">
        <v>2918</v>
      </c>
      <c r="L1269" s="108">
        <v>2</v>
      </c>
      <c r="M1269" s="36" t="s">
        <v>2919</v>
      </c>
      <c r="N1269" s="170" t="s">
        <v>37</v>
      </c>
      <c r="O1269" s="49">
        <v>4857.75</v>
      </c>
      <c r="P1269" s="96">
        <v>1062.8499999999999</v>
      </c>
      <c r="Q1269" s="11">
        <v>1457.33</v>
      </c>
      <c r="R1269" s="12">
        <v>-378.08</v>
      </c>
      <c r="S1269" s="71">
        <v>46393</v>
      </c>
      <c r="T1269" s="10"/>
      <c r="U1269" s="97"/>
      <c r="V1269" s="1"/>
      <c r="X1269" s="101">
        <v>2</v>
      </c>
    </row>
    <row r="1270" spans="2:24" hidden="1">
      <c r="B1270" s="6" t="s">
        <v>2920</v>
      </c>
      <c r="C1270" s="23">
        <v>46224.463888888888</v>
      </c>
      <c r="D1270" s="6" t="s">
        <v>24</v>
      </c>
      <c r="E1270" s="6"/>
      <c r="F1270" s="28">
        <v>46224</v>
      </c>
      <c r="G1270" s="27" t="s">
        <v>2859</v>
      </c>
      <c r="H1270" s="10" t="s">
        <v>103</v>
      </c>
      <c r="I1270" s="6" t="s">
        <v>2921</v>
      </c>
      <c r="J1270" s="196">
        <v>65835932560</v>
      </c>
      <c r="K1270" s="180"/>
      <c r="L1270" s="109">
        <v>1</v>
      </c>
      <c r="M1270" s="37">
        <v>2285917782</v>
      </c>
      <c r="N1270" s="169" t="s">
        <v>130</v>
      </c>
      <c r="O1270" s="48">
        <v>5547.14</v>
      </c>
      <c r="P1270" s="95">
        <v>1374.15</v>
      </c>
      <c r="Q1270" s="8">
        <v>1664.14</v>
      </c>
      <c r="R1270" s="13">
        <v>0.01</v>
      </c>
      <c r="S1270" s="70">
        <v>45302</v>
      </c>
      <c r="T1270" s="6"/>
      <c r="U1270" s="164"/>
      <c r="V1270" s="1"/>
      <c r="X1270" s="101">
        <v>2</v>
      </c>
    </row>
    <row r="1271" spans="2:24" hidden="1">
      <c r="B1271" s="10" t="s">
        <v>2922</v>
      </c>
      <c r="C1271" s="24">
        <v>46224.467361111114</v>
      </c>
      <c r="D1271" s="10" t="s">
        <v>24</v>
      </c>
      <c r="E1271" s="10"/>
      <c r="F1271" s="28">
        <v>46224</v>
      </c>
      <c r="G1271" s="28" t="s">
        <v>2859</v>
      </c>
      <c r="H1271" s="10" t="s">
        <v>68</v>
      </c>
      <c r="I1271" s="10" t="s">
        <v>2923</v>
      </c>
      <c r="J1271" s="198">
        <v>32826433131</v>
      </c>
      <c r="K1271" s="179" t="s">
        <v>2924</v>
      </c>
      <c r="L1271" s="108">
        <v>22886676</v>
      </c>
      <c r="M1271" s="36">
        <v>5218663532821</v>
      </c>
      <c r="N1271" s="170" t="s">
        <v>37</v>
      </c>
      <c r="O1271" s="49">
        <v>9081.52</v>
      </c>
      <c r="P1271" s="96">
        <v>2519.69</v>
      </c>
      <c r="Q1271" s="11">
        <v>2724.46</v>
      </c>
      <c r="R1271" s="12">
        <v>204.77</v>
      </c>
      <c r="S1271" s="71">
        <v>46266</v>
      </c>
      <c r="T1271" s="10"/>
      <c r="U1271" s="97"/>
      <c r="V1271" s="1"/>
      <c r="X1271" s="101">
        <v>2</v>
      </c>
    </row>
    <row r="1272" spans="2:24" hidden="1">
      <c r="B1272" s="6" t="s">
        <v>2925</v>
      </c>
      <c r="C1272" s="23">
        <v>46224.469444444447</v>
      </c>
      <c r="D1272" s="6" t="s">
        <v>24</v>
      </c>
      <c r="E1272" s="6"/>
      <c r="F1272" s="28">
        <v>46224</v>
      </c>
      <c r="G1272" s="27" t="s">
        <v>2859</v>
      </c>
      <c r="H1272" s="10" t="s">
        <v>1625</v>
      </c>
      <c r="I1272" s="6" t="s">
        <v>2926</v>
      </c>
      <c r="J1272" s="196">
        <v>54776019611</v>
      </c>
      <c r="K1272" s="180" t="s">
        <v>2927</v>
      </c>
      <c r="L1272" s="115">
        <v>2</v>
      </c>
      <c r="M1272" s="37" t="s">
        <v>2928</v>
      </c>
      <c r="N1272" s="169" t="s">
        <v>47</v>
      </c>
      <c r="O1272" s="48">
        <v>17395.919999999998</v>
      </c>
      <c r="P1272" s="95">
        <v>4827.99</v>
      </c>
      <c r="Q1272" s="8">
        <v>5218.78</v>
      </c>
      <c r="R1272" s="22">
        <v>390.79</v>
      </c>
      <c r="S1272" s="70">
        <v>46030</v>
      </c>
      <c r="T1272" s="6"/>
      <c r="U1272" s="164"/>
      <c r="V1272" s="1"/>
      <c r="X1272" s="101">
        <v>2</v>
      </c>
    </row>
    <row r="1273" spans="2:24" hidden="1">
      <c r="B1273" s="10" t="s">
        <v>2929</v>
      </c>
      <c r="C1273" s="24">
        <v>46224.473611111112</v>
      </c>
      <c r="D1273" s="10" t="s">
        <v>24</v>
      </c>
      <c r="E1273" s="10"/>
      <c r="F1273" s="28">
        <v>46224</v>
      </c>
      <c r="G1273" s="28" t="s">
        <v>2604</v>
      </c>
      <c r="H1273" s="10" t="s">
        <v>68</v>
      </c>
      <c r="I1273" s="10" t="s">
        <v>2930</v>
      </c>
      <c r="J1273" s="195">
        <v>6796245295</v>
      </c>
      <c r="K1273" s="181" t="s">
        <v>2931</v>
      </c>
      <c r="L1273" s="108">
        <v>22875168</v>
      </c>
      <c r="M1273" s="36">
        <v>5215513050936</v>
      </c>
      <c r="N1273" s="170" t="s">
        <v>37</v>
      </c>
      <c r="O1273" s="49">
        <v>27186.48</v>
      </c>
      <c r="P1273" s="96">
        <v>7865.7</v>
      </c>
      <c r="Q1273" s="11">
        <v>8155.94</v>
      </c>
      <c r="R1273" s="12">
        <v>290.24</v>
      </c>
      <c r="S1273" s="71">
        <v>46389</v>
      </c>
      <c r="T1273" s="10"/>
      <c r="U1273" s="97"/>
      <c r="V1273" s="1"/>
      <c r="X1273" s="101">
        <v>2</v>
      </c>
    </row>
    <row r="1274" spans="2:24" hidden="1">
      <c r="B1274" s="6" t="s">
        <v>2932</v>
      </c>
      <c r="C1274" s="23">
        <v>46224.477083333331</v>
      </c>
      <c r="D1274" s="6" t="s">
        <v>24</v>
      </c>
      <c r="E1274" s="6"/>
      <c r="F1274" s="28">
        <v>46224</v>
      </c>
      <c r="G1274" s="27" t="s">
        <v>2859</v>
      </c>
      <c r="H1274" s="10" t="s">
        <v>1519</v>
      </c>
      <c r="I1274" s="6" t="s">
        <v>2933</v>
      </c>
      <c r="J1274" s="196">
        <v>11796152764</v>
      </c>
      <c r="K1274" s="180" t="s">
        <v>2934</v>
      </c>
      <c r="L1274" s="107">
        <v>22878172</v>
      </c>
      <c r="M1274" s="37">
        <v>5215541761146</v>
      </c>
      <c r="N1274" s="169" t="s">
        <v>28</v>
      </c>
      <c r="O1274" s="48">
        <v>12051.13</v>
      </c>
      <c r="P1274" s="95">
        <v>879</v>
      </c>
      <c r="Q1274" s="8">
        <v>3615.34</v>
      </c>
      <c r="R1274" s="9">
        <v>2736.34</v>
      </c>
      <c r="S1274" s="70"/>
      <c r="T1274" s="6"/>
      <c r="U1274" s="164"/>
      <c r="V1274" s="1"/>
      <c r="X1274" s="101">
        <v>1</v>
      </c>
    </row>
    <row r="1275" spans="2:24" hidden="1">
      <c r="B1275" s="10" t="s">
        <v>2935</v>
      </c>
      <c r="C1275" s="24">
        <v>46224.477083333331</v>
      </c>
      <c r="D1275" s="10" t="s">
        <v>24</v>
      </c>
      <c r="E1275" s="10"/>
      <c r="F1275" s="28">
        <v>46224</v>
      </c>
      <c r="G1275" s="28" t="s">
        <v>2859</v>
      </c>
      <c r="H1275" s="10" t="s">
        <v>51</v>
      </c>
      <c r="I1275" s="10" t="s">
        <v>2936</v>
      </c>
      <c r="J1275" s="195">
        <v>31897301466</v>
      </c>
      <c r="K1275" s="181" t="s">
        <v>2937</v>
      </c>
      <c r="L1275" s="108">
        <v>22896736</v>
      </c>
      <c r="M1275" s="36">
        <v>5218713982959</v>
      </c>
      <c r="N1275" s="170" t="s">
        <v>32</v>
      </c>
      <c r="O1275" s="49">
        <v>2244.0100000000002</v>
      </c>
      <c r="P1275" s="96">
        <v>541</v>
      </c>
      <c r="Q1275" s="11">
        <v>673.2</v>
      </c>
      <c r="R1275" s="12">
        <v>-541</v>
      </c>
      <c r="S1275" s="71"/>
      <c r="T1275" s="10"/>
      <c r="U1275" s="97"/>
      <c r="V1275" s="1"/>
      <c r="X1275" s="101">
        <v>1</v>
      </c>
    </row>
    <row r="1276" spans="2:24" hidden="1">
      <c r="B1276" s="6" t="s">
        <v>2938</v>
      </c>
      <c r="C1276" s="23">
        <v>46224.48333333333</v>
      </c>
      <c r="D1276" s="6" t="s">
        <v>24</v>
      </c>
      <c r="E1276" s="6"/>
      <c r="F1276" s="28">
        <v>46224</v>
      </c>
      <c r="G1276" s="27" t="s">
        <v>2859</v>
      </c>
      <c r="H1276" s="10" t="s">
        <v>68</v>
      </c>
      <c r="I1276" s="6" t="s">
        <v>2939</v>
      </c>
      <c r="J1276" s="196">
        <v>1175577022</v>
      </c>
      <c r="K1276" s="180" t="s">
        <v>2940</v>
      </c>
      <c r="L1276" s="107">
        <v>22897040</v>
      </c>
      <c r="M1276" s="37">
        <v>5215632570630</v>
      </c>
      <c r="N1276" s="169" t="s">
        <v>47</v>
      </c>
      <c r="O1276" s="48">
        <v>6262.86</v>
      </c>
      <c r="P1276" s="95">
        <v>1185.45</v>
      </c>
      <c r="Q1276" s="8">
        <v>1878.86</v>
      </c>
      <c r="R1276" s="22">
        <v>693.41</v>
      </c>
      <c r="S1276" s="70">
        <v>46392</v>
      </c>
      <c r="T1276" s="6"/>
      <c r="U1276" s="164"/>
      <c r="V1276" s="1"/>
      <c r="X1276" s="101">
        <v>1</v>
      </c>
    </row>
    <row r="1277" spans="2:24" hidden="1">
      <c r="B1277" s="10" t="s">
        <v>2941</v>
      </c>
      <c r="C1277" s="24">
        <v>46224.484027777777</v>
      </c>
      <c r="D1277" s="10" t="s">
        <v>24</v>
      </c>
      <c r="E1277" s="10"/>
      <c r="F1277" s="28">
        <v>46224</v>
      </c>
      <c r="G1277" s="28" t="s">
        <v>2859</v>
      </c>
      <c r="H1277" s="10" t="s">
        <v>1629</v>
      </c>
      <c r="I1277" s="10" t="s">
        <v>1090</v>
      </c>
      <c r="J1277" s="198">
        <v>54806188725</v>
      </c>
      <c r="K1277" s="179" t="s">
        <v>1091</v>
      </c>
      <c r="L1277" s="108">
        <v>2</v>
      </c>
      <c r="M1277" s="36">
        <v>3317674561</v>
      </c>
      <c r="N1277" s="170" t="s">
        <v>37</v>
      </c>
      <c r="O1277" s="49">
        <v>9760.32</v>
      </c>
      <c r="P1277" s="96">
        <v>2928</v>
      </c>
      <c r="Q1277" s="11">
        <v>2928.1</v>
      </c>
      <c r="R1277" s="12">
        <v>0.1</v>
      </c>
      <c r="S1277" s="71">
        <v>46760</v>
      </c>
      <c r="T1277" s="10"/>
      <c r="U1277" s="97"/>
      <c r="V1277" s="1"/>
      <c r="X1277" s="101">
        <v>2</v>
      </c>
    </row>
    <row r="1278" spans="2:24" hidden="1">
      <c r="B1278" s="6" t="s">
        <v>2942</v>
      </c>
      <c r="C1278" s="23">
        <v>46224.48541666667</v>
      </c>
      <c r="D1278" s="6" t="s">
        <v>24</v>
      </c>
      <c r="E1278" s="6"/>
      <c r="F1278" s="28">
        <v>46224</v>
      </c>
      <c r="G1278" s="27" t="s">
        <v>2859</v>
      </c>
      <c r="H1278" s="6" t="s">
        <v>160</v>
      </c>
      <c r="I1278" s="6" t="s">
        <v>2943</v>
      </c>
      <c r="J1278" s="196">
        <v>1826006767</v>
      </c>
      <c r="K1278" s="180" t="s">
        <v>2944</v>
      </c>
      <c r="L1278" s="108">
        <v>22882774</v>
      </c>
      <c r="M1278" s="37">
        <v>5218188024659</v>
      </c>
      <c r="N1278" s="169" t="s">
        <v>37</v>
      </c>
      <c r="O1278" s="48">
        <v>13759.12</v>
      </c>
      <c r="P1278" s="95">
        <v>3976.41</v>
      </c>
      <c r="Q1278" s="8">
        <v>4127.74</v>
      </c>
      <c r="R1278" s="13">
        <v>151.33000000000001</v>
      </c>
      <c r="S1278" s="70">
        <v>46390</v>
      </c>
      <c r="T1278" s="6"/>
      <c r="U1278" s="164"/>
      <c r="V1278" s="1"/>
      <c r="X1278" s="101">
        <v>2</v>
      </c>
    </row>
    <row r="1279" spans="2:24" hidden="1">
      <c r="B1279" s="10" t="s">
        <v>2920</v>
      </c>
      <c r="C1279" s="24">
        <v>46224.488194444442</v>
      </c>
      <c r="D1279" s="10" t="s">
        <v>24</v>
      </c>
      <c r="E1279" s="10"/>
      <c r="F1279" s="28">
        <v>46224</v>
      </c>
      <c r="G1279" s="28" t="s">
        <v>2604</v>
      </c>
      <c r="H1279" s="10" t="s">
        <v>127</v>
      </c>
      <c r="I1279" s="10" t="s">
        <v>2945</v>
      </c>
      <c r="J1279" s="195">
        <v>469531554</v>
      </c>
      <c r="K1279" s="181" t="s">
        <v>2946</v>
      </c>
      <c r="L1279" s="108">
        <v>22856936</v>
      </c>
      <c r="M1279" s="36">
        <v>5213333767940</v>
      </c>
      <c r="N1279" s="170" t="s">
        <v>32</v>
      </c>
      <c r="O1279" s="49">
        <v>4122.59</v>
      </c>
      <c r="P1279" s="96"/>
      <c r="Q1279" s="11">
        <v>1236.78</v>
      </c>
      <c r="R1279" s="12">
        <v>0</v>
      </c>
      <c r="S1279" s="71"/>
      <c r="T1279" s="10"/>
      <c r="U1279" s="97"/>
      <c r="V1279" s="1"/>
      <c r="X1279" s="101">
        <v>1</v>
      </c>
    </row>
    <row r="1280" spans="2:24" hidden="1">
      <c r="B1280" s="6" t="s">
        <v>2947</v>
      </c>
      <c r="C1280" s="23">
        <v>46224.488888888889</v>
      </c>
      <c r="D1280" s="6" t="s">
        <v>24</v>
      </c>
      <c r="E1280" s="6"/>
      <c r="F1280" s="28">
        <v>46224</v>
      </c>
      <c r="G1280" s="27" t="s">
        <v>2859</v>
      </c>
      <c r="H1280" s="6" t="s">
        <v>1629</v>
      </c>
      <c r="I1280" s="6" t="s">
        <v>2948</v>
      </c>
      <c r="J1280" s="196">
        <v>55786002646</v>
      </c>
      <c r="K1280" s="180" t="s">
        <v>2949</v>
      </c>
      <c r="L1280" s="108">
        <v>2</v>
      </c>
      <c r="M1280" s="37">
        <v>3231323075</v>
      </c>
      <c r="N1280" s="169" t="s">
        <v>37</v>
      </c>
      <c r="O1280" s="48">
        <v>6262.86</v>
      </c>
      <c r="P1280" s="95">
        <v>1670</v>
      </c>
      <c r="Q1280" s="8">
        <v>1878.86</v>
      </c>
      <c r="R1280" s="13">
        <v>208.86</v>
      </c>
      <c r="S1280" s="70">
        <v>46397</v>
      </c>
      <c r="T1280" s="6"/>
      <c r="U1280" s="164"/>
      <c r="V1280" s="1"/>
      <c r="X1280" s="101">
        <v>2</v>
      </c>
    </row>
    <row r="1281" spans="2:24" hidden="1">
      <c r="B1281" s="10" t="s">
        <v>2950</v>
      </c>
      <c r="C1281" s="24">
        <v>46224.493055555555</v>
      </c>
      <c r="D1281" s="10" t="s">
        <v>24</v>
      </c>
      <c r="E1281" s="10"/>
      <c r="F1281" s="28">
        <v>46224</v>
      </c>
      <c r="G1281" s="28" t="s">
        <v>2859</v>
      </c>
      <c r="H1281" s="10" t="s">
        <v>1519</v>
      </c>
      <c r="I1281" s="10" t="s">
        <v>2951</v>
      </c>
      <c r="J1281" s="195">
        <v>21906428715</v>
      </c>
      <c r="K1281" s="181" t="s">
        <v>2952</v>
      </c>
      <c r="L1281" s="108">
        <v>22859380</v>
      </c>
      <c r="M1281" s="36">
        <v>5215648786055</v>
      </c>
      <c r="N1281" s="170" t="s">
        <v>32</v>
      </c>
      <c r="O1281" s="49">
        <v>3565.2</v>
      </c>
      <c r="P1281" s="96"/>
      <c r="Q1281" s="11">
        <v>1069.56</v>
      </c>
      <c r="R1281" s="12">
        <v>0</v>
      </c>
      <c r="S1281" s="71"/>
      <c r="T1281" s="10"/>
      <c r="U1281" s="97"/>
      <c r="V1281" s="1"/>
      <c r="X1281" s="101">
        <v>1</v>
      </c>
    </row>
    <row r="1282" spans="2:24" hidden="1">
      <c r="B1282" s="6" t="s">
        <v>2953</v>
      </c>
      <c r="C1282" s="23">
        <v>46224.494444444441</v>
      </c>
      <c r="D1282" s="6" t="s">
        <v>24</v>
      </c>
      <c r="E1282" s="6"/>
      <c r="F1282" s="28">
        <v>46224</v>
      </c>
      <c r="G1282" s="27" t="s">
        <v>2859</v>
      </c>
      <c r="H1282" s="6" t="s">
        <v>1519</v>
      </c>
      <c r="I1282" s="6" t="s">
        <v>2954</v>
      </c>
      <c r="J1282" s="196">
        <v>23945805028</v>
      </c>
      <c r="K1282" s="180" t="s">
        <v>2955</v>
      </c>
      <c r="L1282" s="107">
        <v>22898124</v>
      </c>
      <c r="M1282" s="37">
        <v>5216681133956</v>
      </c>
      <c r="N1282" s="169" t="s">
        <v>32</v>
      </c>
      <c r="O1282" s="48">
        <v>4342.43</v>
      </c>
      <c r="P1282" s="95"/>
      <c r="Q1282" s="8">
        <v>1302.73</v>
      </c>
      <c r="R1282" s="13">
        <v>169.45</v>
      </c>
      <c r="S1282" s="70"/>
      <c r="T1282" s="6"/>
      <c r="U1282" s="164"/>
      <c r="V1282" s="1"/>
      <c r="X1282" s="101">
        <v>1</v>
      </c>
    </row>
    <row r="1283" spans="2:24" hidden="1">
      <c r="B1283" s="10" t="s">
        <v>2956</v>
      </c>
      <c r="C1283" s="24">
        <v>46224.499305555553</v>
      </c>
      <c r="D1283" s="10" t="s">
        <v>24</v>
      </c>
      <c r="E1283" s="10"/>
      <c r="F1283" s="28">
        <v>46224</v>
      </c>
      <c r="G1283" s="28" t="s">
        <v>2859</v>
      </c>
      <c r="H1283" s="10" t="s">
        <v>1625</v>
      </c>
      <c r="I1283" s="10" t="s">
        <v>2957</v>
      </c>
      <c r="J1283" s="195">
        <v>54856810236</v>
      </c>
      <c r="K1283" s="181" t="s">
        <v>2958</v>
      </c>
      <c r="L1283" s="116">
        <v>2</v>
      </c>
      <c r="M1283" s="36" t="s">
        <v>2959</v>
      </c>
      <c r="N1283" s="170" t="s">
        <v>32</v>
      </c>
      <c r="O1283" s="49">
        <v>4497.51</v>
      </c>
      <c r="P1283" s="96">
        <v>848</v>
      </c>
      <c r="Q1283" s="11">
        <v>1349.25</v>
      </c>
      <c r="R1283" s="12">
        <v>-523.47</v>
      </c>
      <c r="S1283" s="71"/>
      <c r="T1283" s="10"/>
      <c r="U1283" s="97"/>
      <c r="V1283" s="1"/>
      <c r="X1283" s="101">
        <v>1</v>
      </c>
    </row>
    <row r="1284" spans="2:24" hidden="1">
      <c r="B1284" s="6" t="s">
        <v>2960</v>
      </c>
      <c r="C1284" s="23">
        <v>46224.5</v>
      </c>
      <c r="D1284" s="6" t="s">
        <v>24</v>
      </c>
      <c r="E1284" s="6"/>
      <c r="F1284" s="28">
        <v>46224</v>
      </c>
      <c r="G1284" s="27" t="s">
        <v>2859</v>
      </c>
      <c r="H1284" s="6" t="s">
        <v>2908</v>
      </c>
      <c r="I1284" s="6" t="s">
        <v>2961</v>
      </c>
      <c r="J1284" s="196">
        <v>10826335704</v>
      </c>
      <c r="K1284" s="180" t="s">
        <v>2962</v>
      </c>
      <c r="L1284" s="108">
        <v>2</v>
      </c>
      <c r="M1284" s="37">
        <v>5653475651</v>
      </c>
      <c r="N1284" s="169" t="s">
        <v>37</v>
      </c>
      <c r="O1284" s="48">
        <v>8967.4599999999991</v>
      </c>
      <c r="P1284" s="95">
        <v>2690</v>
      </c>
      <c r="Q1284" s="8">
        <v>2690.24</v>
      </c>
      <c r="R1284" s="13">
        <v>0.24</v>
      </c>
      <c r="S1284" s="70">
        <v>46757</v>
      </c>
      <c r="T1284" s="6"/>
      <c r="U1284" s="164"/>
      <c r="V1284" s="1"/>
      <c r="X1284" s="101">
        <v>2</v>
      </c>
    </row>
    <row r="1285" spans="2:24" hidden="1">
      <c r="B1285" s="10" t="s">
        <v>2963</v>
      </c>
      <c r="C1285" s="24">
        <v>46224.50277777778</v>
      </c>
      <c r="D1285" s="10" t="s">
        <v>24</v>
      </c>
      <c r="E1285" s="10"/>
      <c r="F1285" s="28">
        <v>46224</v>
      </c>
      <c r="G1285" s="28" t="s">
        <v>2142</v>
      </c>
      <c r="H1285" s="10" t="s">
        <v>61</v>
      </c>
      <c r="I1285" s="10" t="s">
        <v>2964</v>
      </c>
      <c r="J1285" s="195"/>
      <c r="K1285" s="181" t="s">
        <v>2965</v>
      </c>
      <c r="L1285" s="108">
        <v>22799650</v>
      </c>
      <c r="M1285" s="36">
        <v>5214402057961</v>
      </c>
      <c r="N1285" s="170" t="s">
        <v>37</v>
      </c>
      <c r="O1285" s="49">
        <v>11256.42</v>
      </c>
      <c r="P1285" s="96">
        <v>3256.7</v>
      </c>
      <c r="Q1285" s="11">
        <v>3376.93</v>
      </c>
      <c r="R1285" s="12">
        <v>120.23</v>
      </c>
      <c r="S1285" s="71">
        <v>46388</v>
      </c>
      <c r="T1285" s="10"/>
      <c r="U1285" s="97"/>
      <c r="V1285" s="1"/>
      <c r="X1285" s="101">
        <v>2</v>
      </c>
    </row>
    <row r="1286" spans="2:24" hidden="1">
      <c r="B1286" s="6" t="s">
        <v>2966</v>
      </c>
      <c r="C1286" s="23">
        <v>46224.505555555559</v>
      </c>
      <c r="D1286" s="6" t="s">
        <v>24</v>
      </c>
      <c r="E1286" s="6"/>
      <c r="F1286" s="28">
        <v>46224</v>
      </c>
      <c r="G1286" s="27">
        <v>46363</v>
      </c>
      <c r="H1286" s="10" t="s">
        <v>145</v>
      </c>
      <c r="I1286" s="6" t="s">
        <v>2967</v>
      </c>
      <c r="J1286" s="196">
        <v>1745589323</v>
      </c>
      <c r="K1286" s="180" t="s">
        <v>2968</v>
      </c>
      <c r="L1286" s="107">
        <v>22605092</v>
      </c>
      <c r="M1286" s="37">
        <v>5215529120359</v>
      </c>
      <c r="N1286" s="169" t="s">
        <v>130</v>
      </c>
      <c r="O1286" s="48">
        <v>4813.6899999999996</v>
      </c>
      <c r="P1286" s="95">
        <v>565.77</v>
      </c>
      <c r="Q1286" s="8">
        <v>1444.11</v>
      </c>
      <c r="R1286" s="13">
        <v>74.94</v>
      </c>
      <c r="S1286" s="70">
        <v>45660</v>
      </c>
      <c r="T1286" s="6"/>
      <c r="U1286" s="164"/>
      <c r="V1286" s="1"/>
      <c r="X1286" s="101">
        <v>2</v>
      </c>
    </row>
    <row r="1287" spans="2:24" hidden="1">
      <c r="B1287" s="10" t="s">
        <v>2969</v>
      </c>
      <c r="C1287" s="24">
        <v>46224.505555555559</v>
      </c>
      <c r="D1287" s="10" t="s">
        <v>24</v>
      </c>
      <c r="E1287" s="10"/>
      <c r="F1287" s="28">
        <v>46224</v>
      </c>
      <c r="G1287" s="28" t="s">
        <v>2859</v>
      </c>
      <c r="H1287" s="10" t="s">
        <v>1625</v>
      </c>
      <c r="I1287" s="10" t="s">
        <v>2970</v>
      </c>
      <c r="J1287" s="198">
        <v>43805951092</v>
      </c>
      <c r="K1287" s="181" t="s">
        <v>2971</v>
      </c>
      <c r="L1287" s="108">
        <v>2</v>
      </c>
      <c r="M1287" s="36" t="s">
        <v>2972</v>
      </c>
      <c r="N1287" s="170" t="s">
        <v>37</v>
      </c>
      <c r="O1287" s="49">
        <v>6262.86</v>
      </c>
      <c r="P1287" s="96">
        <v>1729.38</v>
      </c>
      <c r="Q1287" s="11">
        <v>1878.86</v>
      </c>
      <c r="R1287" s="12">
        <v>149.47999999999999</v>
      </c>
      <c r="S1287" s="71">
        <v>46388</v>
      </c>
      <c r="T1287" s="10"/>
      <c r="U1287" s="97"/>
      <c r="V1287" s="1"/>
      <c r="X1287" s="101">
        <v>2</v>
      </c>
    </row>
    <row r="1288" spans="2:24" hidden="1">
      <c r="B1288" s="6" t="s">
        <v>2973</v>
      </c>
      <c r="C1288" s="23">
        <v>46224.506944444445</v>
      </c>
      <c r="D1288" s="6" t="s">
        <v>24</v>
      </c>
      <c r="E1288" s="6"/>
      <c r="F1288" s="28">
        <v>46224</v>
      </c>
      <c r="G1288" s="27" t="s">
        <v>2604</v>
      </c>
      <c r="H1288" s="6" t="s">
        <v>160</v>
      </c>
      <c r="I1288" s="6" t="s">
        <v>2974</v>
      </c>
      <c r="J1288" s="196">
        <v>67725502529</v>
      </c>
      <c r="K1288" s="180" t="s">
        <v>2975</v>
      </c>
      <c r="L1288" s="107">
        <v>22877792</v>
      </c>
      <c r="M1288" s="37">
        <v>5212722210035</v>
      </c>
      <c r="N1288" s="169" t="s">
        <v>74</v>
      </c>
      <c r="O1288" s="48"/>
      <c r="P1288" s="95"/>
      <c r="Q1288" s="8">
        <v>0</v>
      </c>
      <c r="R1288" s="13">
        <v>0</v>
      </c>
      <c r="S1288" s="70"/>
      <c r="T1288" s="6"/>
      <c r="U1288" s="164"/>
      <c r="V1288" s="1"/>
      <c r="X1288" s="101">
        <v>1</v>
      </c>
    </row>
    <row r="1289" spans="2:24" hidden="1">
      <c r="B1289" s="10" t="s">
        <v>2976</v>
      </c>
      <c r="C1289" s="24">
        <v>46224.507638888892</v>
      </c>
      <c r="D1289" s="10" t="s">
        <v>24</v>
      </c>
      <c r="E1289" s="10"/>
      <c r="F1289" s="28">
        <v>46224</v>
      </c>
      <c r="G1289" s="28" t="s">
        <v>2859</v>
      </c>
      <c r="H1289" s="10" t="s">
        <v>51</v>
      </c>
      <c r="I1289" s="10" t="s">
        <v>2977</v>
      </c>
      <c r="J1289" s="195">
        <v>1163461091</v>
      </c>
      <c r="K1289" s="181" t="s">
        <v>2978</v>
      </c>
      <c r="L1289" s="108">
        <v>22897530</v>
      </c>
      <c r="M1289" s="36">
        <v>5215549021889</v>
      </c>
      <c r="N1289" s="170" t="s">
        <v>37</v>
      </c>
      <c r="O1289" s="49">
        <v>11226.47</v>
      </c>
      <c r="P1289" s="96">
        <v>3248</v>
      </c>
      <c r="Q1289" s="11">
        <v>3367.94</v>
      </c>
      <c r="R1289" s="12">
        <v>119.94</v>
      </c>
      <c r="S1289" s="71">
        <v>46395</v>
      </c>
      <c r="T1289" s="10"/>
      <c r="U1289" s="97"/>
      <c r="V1289" s="1"/>
      <c r="X1289" s="101">
        <v>2</v>
      </c>
    </row>
    <row r="1290" spans="2:24" hidden="1">
      <c r="B1290" s="6" t="s">
        <v>2979</v>
      </c>
      <c r="C1290" s="23">
        <v>46224.515277777777</v>
      </c>
      <c r="D1290" s="6" t="s">
        <v>24</v>
      </c>
      <c r="E1290" s="6"/>
      <c r="F1290" s="28">
        <v>46224</v>
      </c>
      <c r="G1290" s="27" t="s">
        <v>2859</v>
      </c>
      <c r="H1290" s="10" t="s">
        <v>1519</v>
      </c>
      <c r="I1290" s="6" t="s">
        <v>2980</v>
      </c>
      <c r="J1290" s="196">
        <v>53876011882</v>
      </c>
      <c r="K1290" s="180" t="s">
        <v>2981</v>
      </c>
      <c r="L1290" s="107">
        <v>22898790</v>
      </c>
      <c r="M1290" s="37">
        <v>5214434155109</v>
      </c>
      <c r="N1290" s="169" t="s">
        <v>106</v>
      </c>
      <c r="O1290" s="48">
        <v>5599.63</v>
      </c>
      <c r="P1290" s="95">
        <v>1274.6400000000001</v>
      </c>
      <c r="Q1290" s="8">
        <v>1679.89</v>
      </c>
      <c r="R1290" s="13">
        <v>152.01</v>
      </c>
      <c r="S1290" s="70">
        <v>45660</v>
      </c>
      <c r="T1290" s="6"/>
      <c r="U1290" s="164"/>
      <c r="V1290" s="1"/>
      <c r="X1290" s="101">
        <v>2</v>
      </c>
    </row>
    <row r="1291" spans="2:24" hidden="1">
      <c r="B1291" s="10" t="s">
        <v>2982</v>
      </c>
      <c r="C1291" s="24">
        <v>46224.518055555556</v>
      </c>
      <c r="D1291" s="10" t="s">
        <v>24</v>
      </c>
      <c r="E1291" s="10"/>
      <c r="F1291" s="28">
        <v>46224</v>
      </c>
      <c r="G1291" s="28" t="s">
        <v>2859</v>
      </c>
      <c r="H1291" s="10" t="s">
        <v>1629</v>
      </c>
      <c r="I1291" s="10" t="s">
        <v>2983</v>
      </c>
      <c r="J1291" s="195">
        <v>1583650905</v>
      </c>
      <c r="K1291" s="181" t="s">
        <v>2984</v>
      </c>
      <c r="L1291" s="116">
        <v>2</v>
      </c>
      <c r="M1291" s="36">
        <v>7774591417</v>
      </c>
      <c r="N1291" s="170" t="s">
        <v>74</v>
      </c>
      <c r="O1291" s="49"/>
      <c r="P1291" s="96"/>
      <c r="Q1291" s="11">
        <v>0</v>
      </c>
      <c r="R1291" s="12">
        <v>0</v>
      </c>
      <c r="S1291" s="71"/>
      <c r="T1291" s="10"/>
      <c r="U1291" s="97"/>
      <c r="V1291" s="1"/>
      <c r="X1291" s="101">
        <v>1</v>
      </c>
    </row>
    <row r="1292" spans="2:24" hidden="1">
      <c r="B1292" s="6" t="s">
        <v>2985</v>
      </c>
      <c r="C1292" s="23">
        <v>46224.519444444442</v>
      </c>
      <c r="D1292" s="6" t="s">
        <v>24</v>
      </c>
      <c r="E1292" s="6"/>
      <c r="F1292" s="28">
        <v>46224</v>
      </c>
      <c r="G1292" s="27" t="s">
        <v>2859</v>
      </c>
      <c r="H1292" s="6" t="s">
        <v>1625</v>
      </c>
      <c r="I1292" s="6" t="s">
        <v>2986</v>
      </c>
      <c r="J1292" s="196">
        <v>54846551155</v>
      </c>
      <c r="K1292" s="180" t="s">
        <v>2987</v>
      </c>
      <c r="L1292" s="108">
        <v>2</v>
      </c>
      <c r="M1292" s="37" t="s">
        <v>2988</v>
      </c>
      <c r="N1292" s="169" t="s">
        <v>37</v>
      </c>
      <c r="O1292" s="48">
        <v>9081.52</v>
      </c>
      <c r="P1292" s="95">
        <v>2627</v>
      </c>
      <c r="Q1292" s="8">
        <v>2724.46</v>
      </c>
      <c r="R1292" s="13">
        <v>97.46</v>
      </c>
      <c r="S1292" s="70">
        <v>46390</v>
      </c>
      <c r="T1292" s="6"/>
      <c r="U1292" s="164"/>
      <c r="V1292" s="1"/>
      <c r="X1292" s="101">
        <v>2</v>
      </c>
    </row>
    <row r="1293" spans="2:24" hidden="1">
      <c r="B1293" s="10" t="s">
        <v>2989</v>
      </c>
      <c r="C1293" s="24">
        <v>46224.521527777775</v>
      </c>
      <c r="D1293" s="10" t="s">
        <v>24</v>
      </c>
      <c r="E1293" s="10"/>
      <c r="F1293" s="28">
        <v>46224</v>
      </c>
      <c r="G1293" s="28" t="s">
        <v>2859</v>
      </c>
      <c r="H1293" s="10" t="s">
        <v>1519</v>
      </c>
      <c r="I1293" s="10" t="s">
        <v>2990</v>
      </c>
      <c r="J1293" s="195">
        <v>3593756704</v>
      </c>
      <c r="K1293" s="181" t="s">
        <v>2991</v>
      </c>
      <c r="L1293" s="108">
        <v>22881868</v>
      </c>
      <c r="M1293" s="36">
        <v>5216146110817</v>
      </c>
      <c r="N1293" s="170" t="s">
        <v>37</v>
      </c>
      <c r="O1293" s="49">
        <v>7363.38</v>
      </c>
      <c r="P1293" s="96">
        <v>2129.89</v>
      </c>
      <c r="Q1293" s="11">
        <v>2209.0100000000002</v>
      </c>
      <c r="R1293" s="12">
        <v>79.12</v>
      </c>
      <c r="S1293" s="71">
        <v>46390</v>
      </c>
      <c r="T1293" s="10"/>
      <c r="U1293" s="97"/>
      <c r="V1293" s="1"/>
      <c r="X1293" s="101">
        <v>2</v>
      </c>
    </row>
    <row r="1294" spans="2:24" hidden="1">
      <c r="B1294" s="6" t="s">
        <v>2992</v>
      </c>
      <c r="C1294" s="23">
        <v>46224.522222222222</v>
      </c>
      <c r="D1294" s="6" t="s">
        <v>24</v>
      </c>
      <c r="E1294" s="6"/>
      <c r="F1294" s="28">
        <v>46224</v>
      </c>
      <c r="G1294" s="27" t="s">
        <v>2604</v>
      </c>
      <c r="H1294" s="7" t="s">
        <v>110</v>
      </c>
      <c r="I1294" s="6"/>
      <c r="J1294" s="196">
        <v>71866210215</v>
      </c>
      <c r="K1294" s="180"/>
      <c r="L1294" s="108">
        <v>22839038</v>
      </c>
      <c r="M1294" s="37">
        <v>5219622869822</v>
      </c>
      <c r="N1294" s="169" t="s">
        <v>37</v>
      </c>
      <c r="O1294" s="48">
        <v>9760.32</v>
      </c>
      <c r="P1294" s="95">
        <v>2809.95</v>
      </c>
      <c r="Q1294" s="8">
        <v>2928.1</v>
      </c>
      <c r="R1294" s="13">
        <v>118.15</v>
      </c>
      <c r="S1294" s="70">
        <v>46395</v>
      </c>
      <c r="T1294" s="6"/>
      <c r="U1294" s="164"/>
      <c r="V1294" s="1"/>
      <c r="X1294" s="101">
        <v>2</v>
      </c>
    </row>
    <row r="1295" spans="2:24" hidden="1">
      <c r="B1295" s="10" t="s">
        <v>2993</v>
      </c>
      <c r="C1295" s="24">
        <v>46224.523611111108</v>
      </c>
      <c r="D1295" s="10" t="s">
        <v>24</v>
      </c>
      <c r="E1295" s="10"/>
      <c r="F1295" s="28">
        <v>46224</v>
      </c>
      <c r="G1295" s="28" t="s">
        <v>2859</v>
      </c>
      <c r="H1295" s="10" t="s">
        <v>68</v>
      </c>
      <c r="I1295" s="10" t="s">
        <v>2994</v>
      </c>
      <c r="J1295" s="195">
        <v>24765715636</v>
      </c>
      <c r="K1295" s="181" t="s">
        <v>2995</v>
      </c>
      <c r="L1295" s="108">
        <v>22899814</v>
      </c>
      <c r="M1295" s="36">
        <v>5213340089075</v>
      </c>
      <c r="N1295" s="170" t="s">
        <v>32</v>
      </c>
      <c r="O1295" s="49">
        <v>4176.97</v>
      </c>
      <c r="P1295" s="96">
        <v>848</v>
      </c>
      <c r="Q1295" s="11">
        <v>1253.0899999999999</v>
      </c>
      <c r="R1295" s="12">
        <v>-844.01</v>
      </c>
      <c r="S1295" s="71"/>
      <c r="T1295" s="10"/>
      <c r="U1295" s="97"/>
      <c r="V1295" s="1"/>
      <c r="X1295" s="101">
        <v>1</v>
      </c>
    </row>
    <row r="1296" spans="2:24" hidden="1">
      <c r="B1296" s="6" t="s">
        <v>2996</v>
      </c>
      <c r="C1296" s="23">
        <v>46224.530555555553</v>
      </c>
      <c r="D1296" s="6" t="s">
        <v>24</v>
      </c>
      <c r="E1296" s="6"/>
      <c r="F1296" s="28">
        <v>46224</v>
      </c>
      <c r="G1296" s="27" t="s">
        <v>2604</v>
      </c>
      <c r="H1296" s="7" t="s">
        <v>110</v>
      </c>
      <c r="I1296" s="6" t="s">
        <v>2997</v>
      </c>
      <c r="J1296" s="196"/>
      <c r="K1296" s="180" t="s">
        <v>2998</v>
      </c>
      <c r="L1296" s="108">
        <v>22836126</v>
      </c>
      <c r="M1296" s="37">
        <v>5212222128166</v>
      </c>
      <c r="N1296" s="169" t="s">
        <v>37</v>
      </c>
      <c r="O1296" s="48">
        <v>6262.86</v>
      </c>
      <c r="P1296" s="95">
        <v>1810.09</v>
      </c>
      <c r="Q1296" s="8">
        <v>1878.86</v>
      </c>
      <c r="R1296" s="13">
        <v>68.77</v>
      </c>
      <c r="S1296" s="70">
        <v>46391</v>
      </c>
      <c r="T1296" s="6"/>
      <c r="U1296" s="164"/>
      <c r="V1296" s="1"/>
      <c r="X1296" s="101">
        <v>2</v>
      </c>
    </row>
    <row r="1297" spans="2:24" hidden="1">
      <c r="B1297" s="10" t="s">
        <v>2999</v>
      </c>
      <c r="C1297" s="24">
        <v>46224.532638888886</v>
      </c>
      <c r="D1297" s="10" t="s">
        <v>24</v>
      </c>
      <c r="E1297" s="10"/>
      <c r="F1297" s="28">
        <v>46224</v>
      </c>
      <c r="G1297" s="28" t="s">
        <v>2859</v>
      </c>
      <c r="H1297" s="10" t="s">
        <v>1625</v>
      </c>
      <c r="I1297" s="10" t="s">
        <v>3000</v>
      </c>
      <c r="J1297" s="198">
        <v>62816227151</v>
      </c>
      <c r="K1297" s="181" t="s">
        <v>3001</v>
      </c>
      <c r="L1297" s="116">
        <v>2</v>
      </c>
      <c r="M1297" s="36" t="s">
        <v>3002</v>
      </c>
      <c r="N1297" s="170" t="s">
        <v>106</v>
      </c>
      <c r="O1297" s="49">
        <v>9081.52</v>
      </c>
      <c r="P1297" s="96">
        <v>2724.46</v>
      </c>
      <c r="Q1297" s="11">
        <v>2724.46</v>
      </c>
      <c r="R1297" s="12">
        <v>0</v>
      </c>
      <c r="S1297" s="71">
        <v>46029</v>
      </c>
      <c r="T1297" s="10"/>
      <c r="U1297" s="97"/>
      <c r="V1297" s="1"/>
      <c r="X1297" s="101">
        <v>2</v>
      </c>
    </row>
    <row r="1298" spans="2:24" hidden="1">
      <c r="B1298" s="6" t="s">
        <v>3003</v>
      </c>
      <c r="C1298" s="23">
        <v>46224.540972222225</v>
      </c>
      <c r="D1298" s="6" t="s">
        <v>24</v>
      </c>
      <c r="E1298" s="6"/>
      <c r="F1298" s="28">
        <v>46224</v>
      </c>
      <c r="G1298" s="27" t="s">
        <v>2859</v>
      </c>
      <c r="H1298" s="6" t="s">
        <v>51</v>
      </c>
      <c r="I1298" s="6" t="s">
        <v>3004</v>
      </c>
      <c r="J1298" s="192">
        <v>84755802562</v>
      </c>
      <c r="K1298" s="180" t="s">
        <v>3005</v>
      </c>
      <c r="L1298" s="107">
        <v>22895444</v>
      </c>
      <c r="M1298" s="37">
        <v>5219993805221</v>
      </c>
      <c r="N1298" s="169" t="s">
        <v>32</v>
      </c>
      <c r="O1298" s="48">
        <v>3866.25</v>
      </c>
      <c r="P1298" s="95">
        <v>848</v>
      </c>
      <c r="Q1298" s="8">
        <v>1159.8800000000001</v>
      </c>
      <c r="R1298" s="13">
        <v>-848</v>
      </c>
      <c r="S1298" s="70"/>
      <c r="T1298" s="6"/>
      <c r="U1298" s="164"/>
      <c r="V1298" s="1"/>
      <c r="X1298" s="101">
        <v>1</v>
      </c>
    </row>
    <row r="1299" spans="2:24" hidden="1">
      <c r="B1299" s="10" t="s">
        <v>3006</v>
      </c>
      <c r="C1299" s="24">
        <v>46224.541666666664</v>
      </c>
      <c r="D1299" s="10" t="s">
        <v>24</v>
      </c>
      <c r="E1299" s="10"/>
      <c r="F1299" s="28">
        <v>46224</v>
      </c>
      <c r="G1299" s="28" t="s">
        <v>2859</v>
      </c>
      <c r="H1299" s="15" t="s">
        <v>3007</v>
      </c>
      <c r="I1299" s="10" t="s">
        <v>3008</v>
      </c>
      <c r="J1299" s="193"/>
      <c r="K1299" s="181" t="s">
        <v>3009</v>
      </c>
      <c r="L1299" s="108">
        <v>22901820</v>
      </c>
      <c r="M1299" s="36">
        <v>5519907422</v>
      </c>
      <c r="N1299" s="170" t="s">
        <v>32</v>
      </c>
      <c r="O1299" s="49">
        <v>4027.21</v>
      </c>
      <c r="P1299" s="96"/>
      <c r="Q1299" s="11">
        <v>1208.1600000000001</v>
      </c>
      <c r="R1299" s="12">
        <v>0</v>
      </c>
      <c r="S1299" s="71"/>
      <c r="T1299" s="10"/>
      <c r="U1299" s="97"/>
      <c r="V1299" s="1"/>
      <c r="X1299" s="101">
        <v>1</v>
      </c>
    </row>
    <row r="1300" spans="2:24" hidden="1">
      <c r="B1300" s="6" t="s">
        <v>3010</v>
      </c>
      <c r="C1300" s="23">
        <v>46224.543055555558</v>
      </c>
      <c r="D1300" s="6" t="s">
        <v>24</v>
      </c>
      <c r="E1300" s="6"/>
      <c r="F1300" s="28">
        <v>46224</v>
      </c>
      <c r="G1300" s="27" t="s">
        <v>2604</v>
      </c>
      <c r="H1300" s="6" t="s">
        <v>81</v>
      </c>
      <c r="I1300" s="6" t="s">
        <v>3011</v>
      </c>
      <c r="J1300" s="192">
        <v>75826200588</v>
      </c>
      <c r="K1300" s="180" t="s">
        <v>3012</v>
      </c>
      <c r="L1300" s="108">
        <v>22882168</v>
      </c>
      <c r="M1300" s="37">
        <v>5215584048833</v>
      </c>
      <c r="N1300" s="169" t="s">
        <v>37</v>
      </c>
      <c r="O1300" s="48">
        <v>34068.19</v>
      </c>
      <c r="P1300" s="95">
        <v>10218.67</v>
      </c>
      <c r="Q1300" s="8">
        <v>10220.459999999999</v>
      </c>
      <c r="R1300" s="13">
        <v>1.79</v>
      </c>
      <c r="S1300" s="70">
        <v>46390</v>
      </c>
      <c r="T1300" s="6"/>
      <c r="U1300" s="164"/>
      <c r="V1300" s="1"/>
      <c r="X1300" s="101">
        <v>2</v>
      </c>
    </row>
    <row r="1301" spans="2:24" hidden="1">
      <c r="B1301" s="10" t="s">
        <v>3013</v>
      </c>
      <c r="C1301" s="24">
        <v>46224.543055555558</v>
      </c>
      <c r="D1301" s="10" t="s">
        <v>24</v>
      </c>
      <c r="E1301" s="10"/>
      <c r="F1301" s="28">
        <v>46224</v>
      </c>
      <c r="G1301" s="28" t="s">
        <v>2604</v>
      </c>
      <c r="H1301" s="10" t="s">
        <v>81</v>
      </c>
      <c r="I1301" s="10" t="s">
        <v>3014</v>
      </c>
      <c r="J1301" s="193"/>
      <c r="K1301" s="181" t="s">
        <v>3015</v>
      </c>
      <c r="L1301" s="108">
        <v>22874186</v>
      </c>
      <c r="M1301" s="36">
        <v>5216644850456</v>
      </c>
      <c r="N1301" s="170" t="s">
        <v>47</v>
      </c>
      <c r="O1301" s="49">
        <v>4963.49</v>
      </c>
      <c r="P1301" s="96"/>
      <c r="Q1301" s="11">
        <v>1489.05</v>
      </c>
      <c r="R1301" s="16">
        <v>790.51</v>
      </c>
      <c r="S1301" s="71"/>
      <c r="T1301" s="10"/>
      <c r="U1301" s="97"/>
      <c r="V1301" s="1"/>
      <c r="X1301" s="101">
        <v>1</v>
      </c>
    </row>
    <row r="1302" spans="2:24" hidden="1">
      <c r="B1302" s="6" t="s">
        <v>3016</v>
      </c>
      <c r="C1302" s="23">
        <v>46224.54791666667</v>
      </c>
      <c r="D1302" s="6" t="s">
        <v>24</v>
      </c>
      <c r="E1302" s="6"/>
      <c r="F1302" s="28">
        <v>46224</v>
      </c>
      <c r="G1302" s="27" t="s">
        <v>2604</v>
      </c>
      <c r="H1302" s="6" t="s">
        <v>81</v>
      </c>
      <c r="I1302" s="6" t="s">
        <v>3017</v>
      </c>
      <c r="J1302" s="192">
        <v>62744704289</v>
      </c>
      <c r="K1302" s="180"/>
      <c r="L1302" s="108">
        <v>22882444</v>
      </c>
      <c r="M1302" s="37">
        <v>5212211580591</v>
      </c>
      <c r="N1302" s="169" t="s">
        <v>37</v>
      </c>
      <c r="O1302" s="48">
        <v>7128.48</v>
      </c>
      <c r="P1302" s="95">
        <v>2138.0100000000002</v>
      </c>
      <c r="Q1302" s="8">
        <v>2138.54</v>
      </c>
      <c r="R1302" s="13">
        <v>0.53</v>
      </c>
      <c r="S1302" s="70">
        <v>46756</v>
      </c>
      <c r="T1302" s="6"/>
      <c r="U1302" s="164"/>
      <c r="V1302" s="1"/>
      <c r="X1302" s="101">
        <v>2</v>
      </c>
    </row>
    <row r="1303" spans="2:24" hidden="1">
      <c r="B1303" s="10" t="s">
        <v>3018</v>
      </c>
      <c r="C1303" s="24">
        <v>46224.549305555556</v>
      </c>
      <c r="D1303" s="10" t="s">
        <v>24</v>
      </c>
      <c r="E1303" s="10"/>
      <c r="F1303" s="28">
        <v>46224</v>
      </c>
      <c r="G1303" s="28" t="s">
        <v>2859</v>
      </c>
      <c r="H1303" s="10" t="s">
        <v>81</v>
      </c>
      <c r="I1303" s="10" t="s">
        <v>3019</v>
      </c>
      <c r="J1303" s="193"/>
      <c r="K1303" s="181" t="s">
        <v>3020</v>
      </c>
      <c r="L1303" s="108">
        <v>22893318</v>
      </c>
      <c r="M1303" s="36">
        <v>5218131096115</v>
      </c>
      <c r="N1303" s="170" t="s">
        <v>37</v>
      </c>
      <c r="O1303" s="49">
        <v>8181.55</v>
      </c>
      <c r="P1303" s="96">
        <v>2271.4299999999998</v>
      </c>
      <c r="Q1303" s="11">
        <v>2454.4699999999998</v>
      </c>
      <c r="R1303" s="12">
        <v>183.04</v>
      </c>
      <c r="S1303" s="71">
        <v>46357</v>
      </c>
      <c r="T1303" s="10"/>
      <c r="U1303" s="97"/>
      <c r="V1303" s="1"/>
      <c r="X1303" s="101">
        <v>2</v>
      </c>
    </row>
    <row r="1304" spans="2:24" hidden="1">
      <c r="B1304" s="6" t="s">
        <v>3021</v>
      </c>
      <c r="C1304" s="23">
        <v>46224.55</v>
      </c>
      <c r="D1304" s="6" t="s">
        <v>24</v>
      </c>
      <c r="E1304" s="6"/>
      <c r="F1304" s="28">
        <v>46224</v>
      </c>
      <c r="G1304" s="27" t="s">
        <v>2859</v>
      </c>
      <c r="H1304" s="160" t="s">
        <v>3022</v>
      </c>
      <c r="I1304" s="6" t="s">
        <v>3023</v>
      </c>
      <c r="J1304" s="192"/>
      <c r="K1304" s="180" t="s">
        <v>3024</v>
      </c>
      <c r="L1304" s="107">
        <v>22902194</v>
      </c>
      <c r="M1304" s="37">
        <v>2481460234</v>
      </c>
      <c r="N1304" s="169" t="s">
        <v>106</v>
      </c>
      <c r="O1304" s="48">
        <v>6460.14</v>
      </c>
      <c r="P1304" s="95">
        <v>1793.57</v>
      </c>
      <c r="Q1304" s="8">
        <v>1938.04</v>
      </c>
      <c r="R1304" s="13">
        <v>144.47</v>
      </c>
      <c r="S1304" s="70">
        <v>46027</v>
      </c>
      <c r="T1304" s="6"/>
      <c r="U1304" s="164"/>
      <c r="V1304" s="1"/>
      <c r="X1304" s="101">
        <v>2</v>
      </c>
    </row>
    <row r="1305" spans="2:24" hidden="1">
      <c r="B1305" s="10" t="s">
        <v>3025</v>
      </c>
      <c r="C1305" s="24">
        <v>46224.557638888888</v>
      </c>
      <c r="D1305" s="10" t="s">
        <v>24</v>
      </c>
      <c r="E1305" s="10"/>
      <c r="F1305" s="28">
        <v>46224</v>
      </c>
      <c r="G1305" s="28" t="s">
        <v>2859</v>
      </c>
      <c r="H1305" s="10" t="s">
        <v>160</v>
      </c>
      <c r="I1305" s="10" t="s">
        <v>3026</v>
      </c>
      <c r="J1305" s="193">
        <v>39927687648</v>
      </c>
      <c r="K1305" s="181" t="s">
        <v>3027</v>
      </c>
      <c r="L1305" s="108">
        <v>22899784</v>
      </c>
      <c r="M1305" s="36">
        <v>5217791153748</v>
      </c>
      <c r="N1305" s="170" t="s">
        <v>37</v>
      </c>
      <c r="O1305" s="49">
        <v>9109.43</v>
      </c>
      <c r="P1305" s="96">
        <v>2635</v>
      </c>
      <c r="Q1305" s="11">
        <v>2732.83</v>
      </c>
      <c r="R1305" s="12">
        <v>97.83</v>
      </c>
      <c r="S1305" s="71">
        <v>46397</v>
      </c>
      <c r="T1305" s="10"/>
      <c r="U1305" s="97"/>
      <c r="V1305" s="1"/>
      <c r="X1305" s="101">
        <v>2</v>
      </c>
    </row>
    <row r="1306" spans="2:24" hidden="1">
      <c r="B1306" s="6" t="s">
        <v>3028</v>
      </c>
      <c r="C1306" s="23">
        <v>46224.569444444445</v>
      </c>
      <c r="D1306" s="6" t="s">
        <v>24</v>
      </c>
      <c r="E1306" s="6"/>
      <c r="F1306" s="28">
        <v>46224</v>
      </c>
      <c r="G1306" s="27" t="s">
        <v>2859</v>
      </c>
      <c r="H1306" s="7" t="s">
        <v>3007</v>
      </c>
      <c r="I1306" s="6" t="s">
        <v>3029</v>
      </c>
      <c r="J1306" s="192"/>
      <c r="K1306" s="180" t="s">
        <v>3030</v>
      </c>
      <c r="L1306" s="108">
        <v>22902190</v>
      </c>
      <c r="M1306" s="37">
        <v>6644404477</v>
      </c>
      <c r="N1306" s="169" t="s">
        <v>37</v>
      </c>
      <c r="O1306" s="48">
        <v>9760.32</v>
      </c>
      <c r="P1306" s="95">
        <v>2916.17</v>
      </c>
      <c r="Q1306" s="8">
        <v>2928.1</v>
      </c>
      <c r="R1306" s="13">
        <v>11.93</v>
      </c>
      <c r="S1306" s="70">
        <v>46758</v>
      </c>
      <c r="T1306" s="6" t="s">
        <v>84</v>
      </c>
      <c r="U1306" s="164"/>
      <c r="V1306" s="1"/>
      <c r="X1306" s="101">
        <v>2</v>
      </c>
    </row>
    <row r="1307" spans="2:24" hidden="1">
      <c r="B1307" s="10" t="s">
        <v>3031</v>
      </c>
      <c r="C1307" s="24">
        <v>46224.573611111111</v>
      </c>
      <c r="D1307" s="10" t="s">
        <v>24</v>
      </c>
      <c r="E1307" s="10"/>
      <c r="F1307" s="28">
        <v>46224</v>
      </c>
      <c r="G1307" s="28" t="s">
        <v>2859</v>
      </c>
      <c r="H1307" s="15" t="s">
        <v>3007</v>
      </c>
      <c r="I1307" s="10" t="s">
        <v>3032</v>
      </c>
      <c r="J1307" s="193">
        <v>10785910836</v>
      </c>
      <c r="K1307" s="181"/>
      <c r="L1307" s="108">
        <v>22902444</v>
      </c>
      <c r="M1307" s="36">
        <v>5610971482</v>
      </c>
      <c r="N1307" s="170" t="s">
        <v>37</v>
      </c>
      <c r="O1307" s="49">
        <v>11341</v>
      </c>
      <c r="P1307" s="96">
        <v>3281.22</v>
      </c>
      <c r="Q1307" s="11">
        <v>3402.3</v>
      </c>
      <c r="R1307" s="12">
        <v>121.08</v>
      </c>
      <c r="S1307" s="71">
        <v>46327</v>
      </c>
      <c r="T1307" s="10"/>
      <c r="U1307" s="97"/>
      <c r="V1307" s="1"/>
      <c r="X1307" s="101">
        <v>2</v>
      </c>
    </row>
    <row r="1308" spans="2:24" hidden="1">
      <c r="B1308" s="6" t="s">
        <v>3033</v>
      </c>
      <c r="C1308" s="23">
        <v>46224.576388888891</v>
      </c>
      <c r="D1308" s="6" t="s">
        <v>24</v>
      </c>
      <c r="E1308" s="6"/>
      <c r="F1308" s="28">
        <v>46224</v>
      </c>
      <c r="G1308" s="27" t="s">
        <v>2859</v>
      </c>
      <c r="H1308" s="6" t="s">
        <v>1629</v>
      </c>
      <c r="I1308" s="6" t="s">
        <v>3034</v>
      </c>
      <c r="J1308" s="192">
        <v>67927406974</v>
      </c>
      <c r="K1308" s="180" t="s">
        <v>3035</v>
      </c>
      <c r="L1308" s="108">
        <v>2</v>
      </c>
      <c r="M1308" s="37">
        <v>3319022529</v>
      </c>
      <c r="N1308" s="169" t="s">
        <v>37</v>
      </c>
      <c r="O1308" s="48">
        <v>5186.09</v>
      </c>
      <c r="P1308" s="95">
        <v>977.05</v>
      </c>
      <c r="Q1308" s="8">
        <v>1555.83</v>
      </c>
      <c r="R1308" s="13">
        <v>36.06</v>
      </c>
      <c r="S1308" s="70">
        <v>46392</v>
      </c>
      <c r="T1308" s="6"/>
      <c r="U1308" s="164"/>
      <c r="V1308" s="1"/>
      <c r="X1308" s="101">
        <v>2</v>
      </c>
    </row>
    <row r="1309" spans="2:24" hidden="1">
      <c r="B1309" s="10" t="s">
        <v>3016</v>
      </c>
      <c r="C1309" s="24">
        <v>46224.591666666667</v>
      </c>
      <c r="D1309" s="10" t="s">
        <v>24</v>
      </c>
      <c r="E1309" s="10"/>
      <c r="F1309" s="28">
        <v>46224</v>
      </c>
      <c r="G1309" s="28" t="s">
        <v>2859</v>
      </c>
      <c r="H1309" s="15" t="s">
        <v>3036</v>
      </c>
      <c r="I1309" s="10" t="s">
        <v>3037</v>
      </c>
      <c r="J1309" s="193">
        <v>21927518460</v>
      </c>
      <c r="K1309" s="181"/>
      <c r="L1309" s="108">
        <v>22902768</v>
      </c>
      <c r="M1309" s="36">
        <v>5216861740157</v>
      </c>
      <c r="N1309" s="170" t="s">
        <v>32</v>
      </c>
      <c r="O1309" s="49">
        <v>1376.78</v>
      </c>
      <c r="P1309" s="96"/>
      <c r="Q1309" s="11">
        <v>413.03</v>
      </c>
      <c r="R1309" s="12">
        <v>0</v>
      </c>
      <c r="S1309" s="71"/>
      <c r="T1309" s="10"/>
      <c r="U1309" s="97"/>
      <c r="V1309" s="1"/>
      <c r="X1309" s="101">
        <v>1</v>
      </c>
    </row>
    <row r="1310" spans="2:24" hidden="1">
      <c r="B1310" s="6" t="s">
        <v>3038</v>
      </c>
      <c r="C1310" s="23">
        <v>46224.591666666667</v>
      </c>
      <c r="D1310" s="6" t="s">
        <v>24</v>
      </c>
      <c r="E1310" s="6"/>
      <c r="F1310" s="28">
        <v>46224</v>
      </c>
      <c r="G1310" s="27" t="s">
        <v>2859</v>
      </c>
      <c r="H1310" s="160" t="s">
        <v>3022</v>
      </c>
      <c r="I1310" s="6" t="s">
        <v>3039</v>
      </c>
      <c r="J1310" s="192">
        <v>63826200212</v>
      </c>
      <c r="K1310" s="180" t="s">
        <v>3040</v>
      </c>
      <c r="L1310" s="107">
        <v>22902892</v>
      </c>
      <c r="M1310" s="37">
        <v>5656922159</v>
      </c>
      <c r="N1310" s="169" t="s">
        <v>106</v>
      </c>
      <c r="O1310" s="48">
        <v>7116.36</v>
      </c>
      <c r="P1310" s="95">
        <v>2058.77</v>
      </c>
      <c r="Q1310" s="8">
        <v>2134.91</v>
      </c>
      <c r="R1310" s="13">
        <v>76.14</v>
      </c>
      <c r="S1310" s="70">
        <v>45665</v>
      </c>
      <c r="T1310" s="6"/>
      <c r="U1310" s="164"/>
      <c r="V1310" s="1"/>
      <c r="X1310" s="101">
        <v>2</v>
      </c>
    </row>
    <row r="1311" spans="2:24" hidden="1">
      <c r="B1311" s="10" t="s">
        <v>3041</v>
      </c>
      <c r="C1311" s="24">
        <v>46224.59375</v>
      </c>
      <c r="D1311" s="10" t="s">
        <v>24</v>
      </c>
      <c r="E1311" s="10"/>
      <c r="F1311" s="28">
        <v>46224</v>
      </c>
      <c r="G1311" s="28" t="s">
        <v>2859</v>
      </c>
      <c r="H1311" s="10" t="s">
        <v>51</v>
      </c>
      <c r="I1311" s="10" t="s">
        <v>3042</v>
      </c>
      <c r="J1311" s="193">
        <v>49784901016</v>
      </c>
      <c r="K1311" s="181" t="s">
        <v>3043</v>
      </c>
      <c r="L1311" s="108">
        <v>22895720</v>
      </c>
      <c r="M1311" s="36">
        <v>22895720</v>
      </c>
      <c r="N1311" s="170" t="s">
        <v>28</v>
      </c>
      <c r="O1311" s="49">
        <v>11029.03</v>
      </c>
      <c r="P1311" s="96">
        <v>2693.06</v>
      </c>
      <c r="Q1311" s="11">
        <v>3308.71</v>
      </c>
      <c r="R1311" s="14">
        <v>3308.71</v>
      </c>
      <c r="S1311" s="71"/>
      <c r="T1311" s="10"/>
      <c r="U1311" s="97"/>
      <c r="V1311" s="1"/>
      <c r="X1311" s="101">
        <v>1</v>
      </c>
    </row>
    <row r="1312" spans="2:24" hidden="1">
      <c r="B1312" s="6" t="s">
        <v>3044</v>
      </c>
      <c r="C1312" s="23">
        <v>46224.595138888886</v>
      </c>
      <c r="D1312" s="6" t="s">
        <v>24</v>
      </c>
      <c r="E1312" s="6"/>
      <c r="F1312" s="28">
        <v>46224</v>
      </c>
      <c r="G1312" s="27" t="s">
        <v>2859</v>
      </c>
      <c r="H1312" s="160" t="s">
        <v>3007</v>
      </c>
      <c r="I1312" s="6" t="s">
        <v>3045</v>
      </c>
      <c r="J1312" s="192">
        <v>20945900858</v>
      </c>
      <c r="K1312" s="180" t="s">
        <v>3046</v>
      </c>
      <c r="L1312" s="107">
        <v>22903636</v>
      </c>
      <c r="M1312" s="37">
        <v>5611165144</v>
      </c>
      <c r="N1312" s="169" t="s">
        <v>47</v>
      </c>
      <c r="O1312" s="48">
        <v>9081.52</v>
      </c>
      <c r="P1312" s="95">
        <v>2412.38</v>
      </c>
      <c r="Q1312" s="8">
        <v>2724.46</v>
      </c>
      <c r="R1312" s="22">
        <v>312.08</v>
      </c>
      <c r="S1312" s="70">
        <v>46388</v>
      </c>
      <c r="T1312" s="6"/>
      <c r="U1312" s="164"/>
      <c r="V1312" s="1"/>
      <c r="X1312" s="101">
        <v>2</v>
      </c>
    </row>
    <row r="1313" spans="2:24" hidden="1">
      <c r="B1313" s="10" t="s">
        <v>3047</v>
      </c>
      <c r="C1313" s="24">
        <v>46224.595138888886</v>
      </c>
      <c r="D1313" s="10" t="s">
        <v>24</v>
      </c>
      <c r="E1313" s="10"/>
      <c r="F1313" s="28">
        <v>46224</v>
      </c>
      <c r="G1313" s="28" t="s">
        <v>2859</v>
      </c>
      <c r="H1313" s="10" t="s">
        <v>51</v>
      </c>
      <c r="I1313" s="10" t="s">
        <v>3048</v>
      </c>
      <c r="J1313" s="193">
        <v>17836214571</v>
      </c>
      <c r="K1313" s="181" t="s">
        <v>3049</v>
      </c>
      <c r="L1313" s="108">
        <v>22898430</v>
      </c>
      <c r="M1313" s="36">
        <v>5215616646754</v>
      </c>
      <c r="N1313" s="170" t="s">
        <v>37</v>
      </c>
      <c r="O1313" s="49">
        <v>8539.89</v>
      </c>
      <c r="P1313" s="96">
        <v>2560.11</v>
      </c>
      <c r="Q1313" s="11">
        <v>2561.9699999999998</v>
      </c>
      <c r="R1313" s="12">
        <v>1.86</v>
      </c>
      <c r="S1313" s="71">
        <v>46394</v>
      </c>
      <c r="T1313" s="10"/>
      <c r="U1313" s="97"/>
      <c r="V1313" s="1"/>
      <c r="X1313" s="101">
        <v>2</v>
      </c>
    </row>
    <row r="1314" spans="2:24" hidden="1">
      <c r="B1314" s="6" t="s">
        <v>3050</v>
      </c>
      <c r="C1314" s="23">
        <v>46224.595833333333</v>
      </c>
      <c r="D1314" s="6" t="s">
        <v>24</v>
      </c>
      <c r="E1314" s="6"/>
      <c r="F1314" s="28">
        <v>46224</v>
      </c>
      <c r="G1314" s="27" t="s">
        <v>2859</v>
      </c>
      <c r="H1314" s="10" t="s">
        <v>81</v>
      </c>
      <c r="I1314" s="6" t="s">
        <v>3051</v>
      </c>
      <c r="J1314" s="192"/>
      <c r="K1314" s="180" t="s">
        <v>3052</v>
      </c>
      <c r="L1314" s="107">
        <v>22899086</v>
      </c>
      <c r="M1314" s="37">
        <v>5216644553111</v>
      </c>
      <c r="N1314" s="169" t="s">
        <v>28</v>
      </c>
      <c r="O1314" s="48">
        <v>8793.09</v>
      </c>
      <c r="P1314" s="95"/>
      <c r="Q1314" s="8">
        <v>2637.93</v>
      </c>
      <c r="R1314" s="9">
        <v>2637.93</v>
      </c>
      <c r="S1314" s="70"/>
      <c r="T1314" s="6"/>
      <c r="U1314" s="164"/>
      <c r="V1314" s="1"/>
      <c r="X1314" s="101">
        <v>1</v>
      </c>
    </row>
    <row r="1315" spans="2:24" hidden="1">
      <c r="B1315" s="10" t="s">
        <v>3053</v>
      </c>
      <c r="C1315" s="24">
        <v>46224.6</v>
      </c>
      <c r="D1315" s="10" t="s">
        <v>24</v>
      </c>
      <c r="E1315" s="10"/>
      <c r="F1315" s="28">
        <v>46224</v>
      </c>
      <c r="G1315" s="28" t="s">
        <v>2859</v>
      </c>
      <c r="H1315" s="15" t="s">
        <v>3007</v>
      </c>
      <c r="I1315" s="10" t="s">
        <v>3054</v>
      </c>
      <c r="J1315" s="193">
        <v>21876444445</v>
      </c>
      <c r="K1315" s="181"/>
      <c r="L1315" s="108">
        <v>22904228</v>
      </c>
      <c r="M1315" s="36">
        <v>6861654436</v>
      </c>
      <c r="N1315" s="170" t="s">
        <v>37</v>
      </c>
      <c r="O1315" s="49">
        <v>9081.52</v>
      </c>
      <c r="P1315" s="96">
        <v>2521.35</v>
      </c>
      <c r="Q1315" s="11">
        <v>2724.46</v>
      </c>
      <c r="R1315" s="12">
        <v>203.11</v>
      </c>
      <c r="S1315" s="71">
        <v>46266</v>
      </c>
      <c r="T1315" s="10"/>
      <c r="U1315" s="97"/>
      <c r="V1315" s="1"/>
      <c r="X1315" s="101">
        <v>2</v>
      </c>
    </row>
    <row r="1316" spans="2:24" hidden="1">
      <c r="B1316" s="6" t="s">
        <v>3055</v>
      </c>
      <c r="C1316" s="23">
        <v>46224.601388888892</v>
      </c>
      <c r="D1316" s="6" t="s">
        <v>24</v>
      </c>
      <c r="E1316" s="6"/>
      <c r="F1316" s="28">
        <v>46224</v>
      </c>
      <c r="G1316" s="27" t="s">
        <v>2859</v>
      </c>
      <c r="H1316" s="6" t="s">
        <v>61</v>
      </c>
      <c r="I1316" s="6" t="s">
        <v>3056</v>
      </c>
      <c r="J1316" s="192">
        <v>43725322341</v>
      </c>
      <c r="K1316" s="180" t="s">
        <v>3057</v>
      </c>
      <c r="L1316" s="108">
        <v>22902398</v>
      </c>
      <c r="M1316" s="37">
        <v>5218124016094</v>
      </c>
      <c r="N1316" s="169" t="s">
        <v>37</v>
      </c>
      <c r="O1316" s="48">
        <v>40541.24</v>
      </c>
      <c r="P1316" s="95">
        <v>12145.13</v>
      </c>
      <c r="Q1316" s="8">
        <v>12162.37</v>
      </c>
      <c r="R1316" s="13">
        <v>17.239999999999998</v>
      </c>
      <c r="S1316" s="70"/>
      <c r="T1316" s="6"/>
      <c r="U1316" s="164"/>
      <c r="V1316" s="1"/>
      <c r="X1316" s="101">
        <v>2</v>
      </c>
    </row>
    <row r="1317" spans="2:24" hidden="1">
      <c r="B1317" s="10" t="s">
        <v>3058</v>
      </c>
      <c r="C1317" s="24">
        <v>46224.602777777778</v>
      </c>
      <c r="D1317" s="10" t="s">
        <v>24</v>
      </c>
      <c r="E1317" s="10"/>
      <c r="F1317" s="28">
        <v>46224</v>
      </c>
      <c r="G1317" s="28" t="s">
        <v>2859</v>
      </c>
      <c r="H1317" s="15" t="s">
        <v>26</v>
      </c>
      <c r="I1317" s="10" t="s">
        <v>3059</v>
      </c>
      <c r="J1317" s="193">
        <v>20917343202</v>
      </c>
      <c r="K1317" s="181" t="s">
        <v>3060</v>
      </c>
      <c r="L1317" s="108">
        <v>22903850</v>
      </c>
      <c r="M1317" s="36">
        <v>5212481040207</v>
      </c>
      <c r="N1317" s="170" t="s">
        <v>98</v>
      </c>
      <c r="O1317" s="49"/>
      <c r="P1317" s="96"/>
      <c r="Q1317" s="11">
        <v>0</v>
      </c>
      <c r="R1317" s="12">
        <v>0</v>
      </c>
      <c r="S1317" s="71"/>
      <c r="T1317" s="10"/>
      <c r="U1317" s="97"/>
      <c r="V1317" s="1"/>
      <c r="X1317" s="101">
        <v>0</v>
      </c>
    </row>
    <row r="1318" spans="2:24" hidden="1">
      <c r="B1318" s="6" t="s">
        <v>3061</v>
      </c>
      <c r="C1318" s="23">
        <v>46224.604166666664</v>
      </c>
      <c r="D1318" s="6" t="s">
        <v>24</v>
      </c>
      <c r="E1318" s="6"/>
      <c r="F1318" s="28">
        <v>46224</v>
      </c>
      <c r="G1318" s="27" t="s">
        <v>2859</v>
      </c>
      <c r="H1318" s="6" t="s">
        <v>1625</v>
      </c>
      <c r="I1318" s="6" t="s">
        <v>3062</v>
      </c>
      <c r="J1318" s="192">
        <v>1907413585</v>
      </c>
      <c r="K1318" s="180" t="s">
        <v>3063</v>
      </c>
      <c r="L1318" s="115">
        <v>2</v>
      </c>
      <c r="M1318" s="37" t="s">
        <v>3064</v>
      </c>
      <c r="N1318" s="169" t="s">
        <v>32</v>
      </c>
      <c r="O1318" s="48">
        <v>1780.21</v>
      </c>
      <c r="P1318" s="95">
        <v>445</v>
      </c>
      <c r="Q1318" s="8">
        <v>534.05999999999995</v>
      </c>
      <c r="R1318" s="13">
        <v>-445</v>
      </c>
      <c r="S1318" s="70"/>
      <c r="T1318" s="6"/>
      <c r="U1318" s="164"/>
      <c r="V1318" s="1"/>
      <c r="X1318" s="101">
        <v>1</v>
      </c>
    </row>
    <row r="1319" spans="2:24" hidden="1">
      <c r="B1319" s="10" t="s">
        <v>3065</v>
      </c>
      <c r="C1319" s="24">
        <v>46224.606249999997</v>
      </c>
      <c r="D1319" s="10" t="s">
        <v>24</v>
      </c>
      <c r="E1319" s="10"/>
      <c r="F1319" s="28">
        <v>46224</v>
      </c>
      <c r="G1319" s="28" t="s">
        <v>2859</v>
      </c>
      <c r="H1319" s="160" t="s">
        <v>26</v>
      </c>
      <c r="I1319" s="10" t="s">
        <v>3066</v>
      </c>
      <c r="J1319" s="193">
        <v>65876900963</v>
      </c>
      <c r="K1319" s="181" t="s">
        <v>3067</v>
      </c>
      <c r="L1319" s="108">
        <v>22905658</v>
      </c>
      <c r="M1319" s="36">
        <v>5212961130040</v>
      </c>
      <c r="N1319" s="170" t="s">
        <v>130</v>
      </c>
      <c r="O1319" s="49">
        <v>4759.2</v>
      </c>
      <c r="P1319" s="96">
        <v>784.13</v>
      </c>
      <c r="Q1319" s="11">
        <v>1427.76</v>
      </c>
      <c r="R1319" s="12">
        <v>-197.91</v>
      </c>
      <c r="S1319" s="71">
        <v>45658</v>
      </c>
      <c r="T1319" s="10"/>
      <c r="U1319" s="97"/>
      <c r="V1319" s="1"/>
      <c r="X1319" s="101">
        <v>2</v>
      </c>
    </row>
    <row r="1320" spans="2:24" hidden="1">
      <c r="B1320" s="6" t="s">
        <v>3065</v>
      </c>
      <c r="C1320" s="23">
        <v>46224.606944444444</v>
      </c>
      <c r="D1320" s="6" t="s">
        <v>24</v>
      </c>
      <c r="E1320" s="6"/>
      <c r="F1320" s="28">
        <v>46224</v>
      </c>
      <c r="G1320" s="27" t="s">
        <v>2859</v>
      </c>
      <c r="H1320" s="7" t="s">
        <v>3022</v>
      </c>
      <c r="I1320" s="6" t="s">
        <v>3068</v>
      </c>
      <c r="J1320" s="192">
        <v>21917499408</v>
      </c>
      <c r="K1320" s="180"/>
      <c r="L1320" s="107">
        <v>22903190</v>
      </c>
      <c r="M1320" s="37">
        <v>6867362802</v>
      </c>
      <c r="N1320" s="169" t="s">
        <v>32</v>
      </c>
      <c r="O1320" s="48">
        <v>2424.87</v>
      </c>
      <c r="P1320" s="95"/>
      <c r="Q1320" s="8">
        <v>727.46</v>
      </c>
      <c r="R1320" s="13">
        <v>0</v>
      </c>
      <c r="S1320" s="70"/>
      <c r="T1320" s="6"/>
      <c r="U1320" s="164"/>
      <c r="V1320" s="1"/>
      <c r="X1320" s="101">
        <v>1</v>
      </c>
    </row>
    <row r="1321" spans="2:24" hidden="1">
      <c r="B1321" s="10" t="s">
        <v>3069</v>
      </c>
      <c r="C1321" s="24">
        <v>46224.606944444444</v>
      </c>
      <c r="D1321" s="10" t="s">
        <v>24</v>
      </c>
      <c r="E1321" s="10"/>
      <c r="F1321" s="28">
        <v>46224</v>
      </c>
      <c r="G1321" s="28" t="s">
        <v>2859</v>
      </c>
      <c r="H1321" s="10" t="s">
        <v>1625</v>
      </c>
      <c r="I1321" s="10" t="s">
        <v>3070</v>
      </c>
      <c r="J1321" s="193">
        <v>24685116915</v>
      </c>
      <c r="K1321" s="181" t="s">
        <v>3071</v>
      </c>
      <c r="L1321" s="116">
        <v>2</v>
      </c>
      <c r="M1321" s="36" t="s">
        <v>3072</v>
      </c>
      <c r="N1321" s="170" t="s">
        <v>32</v>
      </c>
      <c r="O1321" s="49">
        <v>3855.42</v>
      </c>
      <c r="P1321" s="96"/>
      <c r="Q1321" s="11">
        <v>1156.6300000000001</v>
      </c>
      <c r="R1321" s="12">
        <v>0</v>
      </c>
      <c r="S1321" s="71"/>
      <c r="T1321" s="10"/>
      <c r="U1321" s="97"/>
      <c r="V1321" s="1"/>
      <c r="X1321" s="101">
        <v>1</v>
      </c>
    </row>
    <row r="1322" spans="2:24" hidden="1">
      <c r="B1322" s="6" t="s">
        <v>3073</v>
      </c>
      <c r="C1322" s="23">
        <v>46224.609722222223</v>
      </c>
      <c r="D1322" s="6" t="s">
        <v>24</v>
      </c>
      <c r="E1322" s="6"/>
      <c r="F1322" s="28">
        <v>46224</v>
      </c>
      <c r="G1322" s="27" t="s">
        <v>2604</v>
      </c>
      <c r="H1322" s="6" t="s">
        <v>81</v>
      </c>
      <c r="I1322" s="6" t="s">
        <v>3074</v>
      </c>
      <c r="J1322" s="192"/>
      <c r="K1322" s="180" t="s">
        <v>3075</v>
      </c>
      <c r="L1322" s="108">
        <v>22855988</v>
      </c>
      <c r="M1322" s="37">
        <v>5215523589485</v>
      </c>
      <c r="N1322" s="169" t="s">
        <v>37</v>
      </c>
      <c r="O1322" s="48">
        <v>23754.25</v>
      </c>
      <c r="P1322" s="95">
        <v>7125.67</v>
      </c>
      <c r="Q1322" s="8">
        <v>7126.28</v>
      </c>
      <c r="R1322" s="13">
        <v>0.6</v>
      </c>
      <c r="S1322" s="70">
        <v>46396</v>
      </c>
      <c r="T1322" s="6"/>
      <c r="U1322" s="164"/>
      <c r="V1322" s="1"/>
      <c r="X1322" s="101">
        <v>2</v>
      </c>
    </row>
    <row r="1323" spans="2:24" hidden="1">
      <c r="B1323" s="10" t="s">
        <v>3076</v>
      </c>
      <c r="C1323" s="24">
        <v>46224.612500000003</v>
      </c>
      <c r="D1323" s="10" t="s">
        <v>24</v>
      </c>
      <c r="E1323" s="10"/>
      <c r="F1323" s="28">
        <v>46224</v>
      </c>
      <c r="G1323" s="28" t="s">
        <v>2859</v>
      </c>
      <c r="H1323" s="10" t="s">
        <v>81</v>
      </c>
      <c r="I1323" s="10" t="s">
        <v>3077</v>
      </c>
      <c r="J1323" s="193"/>
      <c r="K1323" s="181" t="s">
        <v>3078</v>
      </c>
      <c r="L1323" s="108">
        <v>22896170</v>
      </c>
      <c r="M1323" s="36">
        <v>5218682003652</v>
      </c>
      <c r="N1323" s="170" t="s">
        <v>47</v>
      </c>
      <c r="O1323" s="49">
        <v>12258.14</v>
      </c>
      <c r="P1323" s="96">
        <v>3150</v>
      </c>
      <c r="Q1323" s="11">
        <v>3677.44</v>
      </c>
      <c r="R1323" s="16">
        <v>527.44000000000005</v>
      </c>
      <c r="S1323" s="71">
        <v>46389</v>
      </c>
      <c r="T1323" s="10"/>
      <c r="U1323" s="97"/>
      <c r="V1323" s="1"/>
      <c r="X1323" s="101">
        <v>2</v>
      </c>
    </row>
    <row r="1324" spans="2:24" hidden="1">
      <c r="B1324" s="6" t="s">
        <v>3079</v>
      </c>
      <c r="C1324" s="23">
        <v>46224.617361111108</v>
      </c>
      <c r="D1324" s="6" t="s">
        <v>24</v>
      </c>
      <c r="E1324" s="6"/>
      <c r="F1324" s="28">
        <v>46224</v>
      </c>
      <c r="G1324" s="27" t="s">
        <v>2604</v>
      </c>
      <c r="H1324" s="10" t="s">
        <v>127</v>
      </c>
      <c r="I1324" s="6" t="s">
        <v>3080</v>
      </c>
      <c r="J1324" s="192">
        <v>3543705242</v>
      </c>
      <c r="K1324" s="180" t="s">
        <v>3081</v>
      </c>
      <c r="L1324" s="107">
        <v>22873784</v>
      </c>
      <c r="M1324" s="38">
        <v>5218112702930</v>
      </c>
      <c r="N1324" s="169" t="s">
        <v>32</v>
      </c>
      <c r="O1324" s="48">
        <v>4610.33</v>
      </c>
      <c r="P1324" s="95">
        <v>428</v>
      </c>
      <c r="Q1324" s="8">
        <v>1383.1</v>
      </c>
      <c r="R1324" s="13">
        <v>9.35</v>
      </c>
      <c r="S1324" s="70"/>
      <c r="T1324" s="6"/>
      <c r="U1324" s="164"/>
      <c r="V1324" s="1"/>
      <c r="X1324" s="101">
        <v>1</v>
      </c>
    </row>
    <row r="1325" spans="2:24" hidden="1">
      <c r="B1325" s="10" t="s">
        <v>3069</v>
      </c>
      <c r="C1325" s="24">
        <v>46224.617361111108</v>
      </c>
      <c r="D1325" s="10" t="s">
        <v>24</v>
      </c>
      <c r="E1325" s="10"/>
      <c r="F1325" s="28">
        <v>46224</v>
      </c>
      <c r="G1325" s="28" t="s">
        <v>2604</v>
      </c>
      <c r="H1325" s="10" t="s">
        <v>127</v>
      </c>
      <c r="I1325" s="10" t="s">
        <v>3082</v>
      </c>
      <c r="J1325" s="193">
        <v>43816381099</v>
      </c>
      <c r="K1325" s="181" t="s">
        <v>3083</v>
      </c>
      <c r="L1325" s="108">
        <v>22873784</v>
      </c>
      <c r="M1325" s="40">
        <v>5218112702930</v>
      </c>
      <c r="N1325" s="170" t="s">
        <v>32</v>
      </c>
      <c r="O1325" s="49">
        <v>3493.49</v>
      </c>
      <c r="P1325" s="96">
        <v>848</v>
      </c>
      <c r="Q1325" s="11">
        <v>1048.05</v>
      </c>
      <c r="R1325" s="12">
        <v>-848</v>
      </c>
      <c r="S1325" s="71"/>
      <c r="T1325" s="10"/>
      <c r="U1325" s="97"/>
      <c r="V1325" s="1"/>
      <c r="X1325" s="101">
        <v>1</v>
      </c>
    </row>
    <row r="1326" spans="2:24" hidden="1">
      <c r="B1326" s="6" t="s">
        <v>3084</v>
      </c>
      <c r="C1326" s="23">
        <v>46224.617361111108</v>
      </c>
      <c r="D1326" s="6" t="s">
        <v>24</v>
      </c>
      <c r="E1326" s="6"/>
      <c r="F1326" s="28">
        <v>46224</v>
      </c>
      <c r="G1326" s="27" t="s">
        <v>2604</v>
      </c>
      <c r="H1326" s="6" t="s">
        <v>160</v>
      </c>
      <c r="I1326" s="6" t="s">
        <v>3085</v>
      </c>
      <c r="J1326" s="192">
        <v>43705422541</v>
      </c>
      <c r="K1326" s="180" t="s">
        <v>3086</v>
      </c>
      <c r="L1326" s="107">
        <v>22878536</v>
      </c>
      <c r="M1326" s="37">
        <v>5218124456075</v>
      </c>
      <c r="N1326" s="169" t="s">
        <v>32</v>
      </c>
      <c r="O1326" s="48">
        <v>3879.3</v>
      </c>
      <c r="P1326" s="95">
        <v>848</v>
      </c>
      <c r="Q1326" s="8">
        <v>1163.79</v>
      </c>
      <c r="R1326" s="13">
        <v>-848</v>
      </c>
      <c r="S1326" s="70"/>
      <c r="T1326" s="6"/>
      <c r="U1326" s="164"/>
      <c r="V1326" s="1"/>
      <c r="X1326" s="101">
        <v>1</v>
      </c>
    </row>
    <row r="1327" spans="2:24" hidden="1">
      <c r="B1327" s="10" t="s">
        <v>3087</v>
      </c>
      <c r="C1327" s="24">
        <v>46224.622916666667</v>
      </c>
      <c r="D1327" s="10" t="s">
        <v>24</v>
      </c>
      <c r="E1327" s="10"/>
      <c r="F1327" s="28">
        <v>46224</v>
      </c>
      <c r="G1327" s="28" t="s">
        <v>2859</v>
      </c>
      <c r="H1327" s="10" t="s">
        <v>1519</v>
      </c>
      <c r="I1327" s="10" t="s">
        <v>3088</v>
      </c>
      <c r="J1327" s="193">
        <v>62907437610</v>
      </c>
      <c r="K1327" s="181" t="s">
        <v>3089</v>
      </c>
      <c r="L1327" s="108">
        <v>22879782</v>
      </c>
      <c r="M1327" s="36">
        <v>5212226605462</v>
      </c>
      <c r="N1327" s="170" t="s">
        <v>37</v>
      </c>
      <c r="O1327" s="49">
        <v>11214.6</v>
      </c>
      <c r="P1327" s="96">
        <v>3111.54</v>
      </c>
      <c r="Q1327" s="11">
        <v>3364.38</v>
      </c>
      <c r="R1327" s="12">
        <v>252.84</v>
      </c>
      <c r="S1327" s="71">
        <v>46235</v>
      </c>
      <c r="T1327" s="10"/>
      <c r="U1327" s="97"/>
      <c r="V1327" s="1"/>
      <c r="X1327" s="101">
        <v>2</v>
      </c>
    </row>
    <row r="1328" spans="2:24" hidden="1">
      <c r="B1328" s="6" t="s">
        <v>3090</v>
      </c>
      <c r="C1328" s="23">
        <v>46224.623611111114</v>
      </c>
      <c r="D1328" s="6" t="s">
        <v>24</v>
      </c>
      <c r="E1328" s="6"/>
      <c r="F1328" s="28">
        <v>46224</v>
      </c>
      <c r="G1328" s="27" t="s">
        <v>2859</v>
      </c>
      <c r="H1328" s="7" t="s">
        <v>3007</v>
      </c>
      <c r="I1328" s="6" t="s">
        <v>3091</v>
      </c>
      <c r="J1328" s="192">
        <v>485692079</v>
      </c>
      <c r="K1328" s="180" t="s">
        <v>3092</v>
      </c>
      <c r="L1328" s="108">
        <v>22906534</v>
      </c>
      <c r="M1328" s="37">
        <v>3322444345</v>
      </c>
      <c r="N1328" s="169" t="s">
        <v>37</v>
      </c>
      <c r="O1328" s="48">
        <v>5636.59</v>
      </c>
      <c r="P1328" s="95">
        <v>1689.89</v>
      </c>
      <c r="Q1328" s="8">
        <v>1690.98</v>
      </c>
      <c r="R1328" s="13">
        <v>-226.28</v>
      </c>
      <c r="S1328" s="70">
        <v>46389</v>
      </c>
      <c r="T1328" s="6"/>
      <c r="U1328" s="164"/>
      <c r="V1328" s="1"/>
      <c r="X1328" s="101">
        <v>2</v>
      </c>
    </row>
    <row r="1329" spans="2:24" hidden="1">
      <c r="B1329" s="10" t="s">
        <v>3090</v>
      </c>
      <c r="C1329" s="24">
        <v>46224.624305555553</v>
      </c>
      <c r="D1329" s="10" t="s">
        <v>24</v>
      </c>
      <c r="E1329" s="10"/>
      <c r="F1329" s="28">
        <v>46224</v>
      </c>
      <c r="G1329" s="28" t="s">
        <v>2859</v>
      </c>
      <c r="H1329" s="160" t="s">
        <v>26</v>
      </c>
      <c r="I1329" s="10" t="s">
        <v>3093</v>
      </c>
      <c r="J1329" s="193"/>
      <c r="K1329" s="181" t="s">
        <v>3094</v>
      </c>
      <c r="L1329" s="108">
        <v>22903402</v>
      </c>
      <c r="M1329" s="36">
        <v>5217717412056</v>
      </c>
      <c r="N1329" s="170" t="s">
        <v>28</v>
      </c>
      <c r="O1329" s="49">
        <v>28690.84</v>
      </c>
      <c r="P1329" s="96">
        <v>3762.83</v>
      </c>
      <c r="Q1329" s="11">
        <v>8607.25</v>
      </c>
      <c r="R1329" s="14">
        <v>4844.42</v>
      </c>
      <c r="S1329" s="71">
        <v>46395</v>
      </c>
      <c r="T1329" s="10"/>
      <c r="U1329" s="97"/>
      <c r="V1329" s="1"/>
      <c r="X1329" s="101">
        <v>2</v>
      </c>
    </row>
    <row r="1330" spans="2:24" hidden="1">
      <c r="B1330" s="6" t="s">
        <v>3095</v>
      </c>
      <c r="C1330" s="23">
        <v>46224.625</v>
      </c>
      <c r="D1330" s="6" t="s">
        <v>24</v>
      </c>
      <c r="E1330" s="6"/>
      <c r="F1330" s="28">
        <v>46224</v>
      </c>
      <c r="G1330" s="27" t="s">
        <v>2859</v>
      </c>
      <c r="H1330" s="10" t="s">
        <v>61</v>
      </c>
      <c r="I1330" s="6" t="s">
        <v>3096</v>
      </c>
      <c r="J1330" s="192"/>
      <c r="K1330" s="180" t="s">
        <v>3097</v>
      </c>
      <c r="L1330" s="107">
        <v>22906046</v>
      </c>
      <c r="M1330" s="37">
        <v>5214425510031</v>
      </c>
      <c r="N1330" s="169" t="s">
        <v>28</v>
      </c>
      <c r="O1330" s="48">
        <v>10636.54</v>
      </c>
      <c r="P1330" s="95"/>
      <c r="Q1330" s="8">
        <v>3190.96</v>
      </c>
      <c r="R1330" s="9">
        <v>3190.96</v>
      </c>
      <c r="S1330" s="70"/>
      <c r="T1330" s="6"/>
      <c r="U1330" s="164"/>
      <c r="V1330" s="1"/>
      <c r="X1330" s="101">
        <v>1</v>
      </c>
    </row>
    <row r="1331" spans="2:24" hidden="1">
      <c r="B1331" s="10" t="s">
        <v>3098</v>
      </c>
      <c r="C1331" s="24">
        <v>46224.625694444447</v>
      </c>
      <c r="D1331" s="10" t="s">
        <v>24</v>
      </c>
      <c r="E1331" s="10"/>
      <c r="F1331" s="28">
        <v>46224</v>
      </c>
      <c r="G1331" s="28" t="s">
        <v>2859</v>
      </c>
      <c r="H1331" s="10" t="s">
        <v>68</v>
      </c>
      <c r="I1331" s="10" t="s">
        <v>3099</v>
      </c>
      <c r="J1331" s="193">
        <v>11866405548</v>
      </c>
      <c r="K1331" s="181" t="s">
        <v>3100</v>
      </c>
      <c r="L1331" s="108">
        <v>22892462</v>
      </c>
      <c r="M1331" s="36">
        <v>5213319649772</v>
      </c>
      <c r="N1331" s="170" t="s">
        <v>37</v>
      </c>
      <c r="O1331" s="49">
        <v>9760.32</v>
      </c>
      <c r="P1331" s="96">
        <v>2913.38</v>
      </c>
      <c r="Q1331" s="11">
        <v>2928.1</v>
      </c>
      <c r="R1331" s="12">
        <v>14.72</v>
      </c>
      <c r="S1331" s="71">
        <v>46754</v>
      </c>
      <c r="T1331" s="10"/>
      <c r="U1331" s="97"/>
      <c r="V1331" s="1"/>
      <c r="X1331" s="101">
        <v>2</v>
      </c>
    </row>
    <row r="1332" spans="2:24" hidden="1">
      <c r="B1332" s="6" t="s">
        <v>3084</v>
      </c>
      <c r="C1332" s="23">
        <v>46224.627083333333</v>
      </c>
      <c r="D1332" s="6" t="s">
        <v>24</v>
      </c>
      <c r="E1332" s="6"/>
      <c r="F1332" s="28">
        <v>46224</v>
      </c>
      <c r="G1332" s="27" t="s">
        <v>1550</v>
      </c>
      <c r="H1332" s="6" t="s">
        <v>81</v>
      </c>
      <c r="I1332" s="6" t="s">
        <v>3101</v>
      </c>
      <c r="J1332" s="192"/>
      <c r="K1332" s="180" t="s">
        <v>3102</v>
      </c>
      <c r="L1332" s="108">
        <v>22690668</v>
      </c>
      <c r="M1332" s="37">
        <v>5216861683328</v>
      </c>
      <c r="N1332" s="169" t="s">
        <v>37</v>
      </c>
      <c r="O1332" s="48">
        <v>13368.84</v>
      </c>
      <c r="P1332" s="95">
        <v>3865.44</v>
      </c>
      <c r="Q1332" s="8">
        <v>4010.65</v>
      </c>
      <c r="R1332" s="13">
        <v>145.21</v>
      </c>
      <c r="S1332" s="70">
        <v>46327</v>
      </c>
      <c r="T1332" s="6"/>
      <c r="U1332" s="164"/>
      <c r="V1332" s="1"/>
      <c r="X1332" s="101">
        <v>2</v>
      </c>
    </row>
    <row r="1333" spans="2:24" hidden="1">
      <c r="B1333" s="10" t="s">
        <v>3103</v>
      </c>
      <c r="C1333" s="24">
        <v>46224.628472222219</v>
      </c>
      <c r="D1333" s="10" t="s">
        <v>24</v>
      </c>
      <c r="E1333" s="10"/>
      <c r="F1333" s="28">
        <v>46224</v>
      </c>
      <c r="G1333" s="28" t="s">
        <v>2859</v>
      </c>
      <c r="H1333" s="10" t="s">
        <v>61</v>
      </c>
      <c r="I1333" s="10" t="s">
        <v>3104</v>
      </c>
      <c r="J1333" s="193"/>
      <c r="K1333" s="181" t="s">
        <v>3105</v>
      </c>
      <c r="L1333" s="108">
        <v>22903304</v>
      </c>
      <c r="M1333" s="36">
        <v>5216531210744</v>
      </c>
      <c r="N1333" s="170" t="s">
        <v>32</v>
      </c>
      <c r="O1333" s="49">
        <v>4342.43</v>
      </c>
      <c r="P1333" s="96">
        <v>879</v>
      </c>
      <c r="Q1333" s="11">
        <v>1302.73</v>
      </c>
      <c r="R1333" s="12">
        <v>-709.55</v>
      </c>
      <c r="S1333" s="71"/>
      <c r="T1333" s="10"/>
      <c r="U1333" s="97"/>
      <c r="V1333" s="1"/>
      <c r="X1333" s="101">
        <v>1</v>
      </c>
    </row>
    <row r="1334" spans="2:24" hidden="1">
      <c r="B1334" s="6" t="s">
        <v>3106</v>
      </c>
      <c r="C1334" s="23">
        <v>46224.629166666666</v>
      </c>
      <c r="D1334" s="6" t="s">
        <v>24</v>
      </c>
      <c r="E1334" s="6"/>
      <c r="F1334" s="28">
        <v>46224</v>
      </c>
      <c r="G1334" s="27" t="s">
        <v>2604</v>
      </c>
      <c r="H1334" s="10" t="s">
        <v>39</v>
      </c>
      <c r="I1334" s="6" t="s">
        <v>3107</v>
      </c>
      <c r="J1334" s="192">
        <v>32826434006</v>
      </c>
      <c r="K1334" s="180" t="s">
        <v>3108</v>
      </c>
      <c r="L1334" s="107">
        <v>22891956</v>
      </c>
      <c r="M1334" s="37">
        <v>5218663867907</v>
      </c>
      <c r="N1334" s="169" t="s">
        <v>263</v>
      </c>
      <c r="O1334" s="48">
        <v>4634.6000000000004</v>
      </c>
      <c r="P1334" s="95">
        <v>766.04</v>
      </c>
      <c r="Q1334" s="8">
        <v>1390.38</v>
      </c>
      <c r="R1334" s="13">
        <v>-304.42</v>
      </c>
      <c r="S1334" s="70">
        <v>45660</v>
      </c>
      <c r="T1334" s="6" t="s">
        <v>192</v>
      </c>
      <c r="U1334" s="164"/>
      <c r="V1334" s="1"/>
      <c r="X1334" s="101">
        <v>2</v>
      </c>
    </row>
    <row r="1335" spans="2:24" hidden="1">
      <c r="B1335" s="10" t="s">
        <v>3109</v>
      </c>
      <c r="C1335" s="24">
        <v>46224.631944444445</v>
      </c>
      <c r="D1335" s="10" t="s">
        <v>24</v>
      </c>
      <c r="E1335" s="10"/>
      <c r="F1335" s="28">
        <v>46224</v>
      </c>
      <c r="G1335" s="28" t="s">
        <v>2859</v>
      </c>
      <c r="H1335" s="10" t="s">
        <v>81</v>
      </c>
      <c r="I1335" s="10" t="s">
        <v>3110</v>
      </c>
      <c r="J1335" s="193">
        <v>43836300293</v>
      </c>
      <c r="K1335" s="181"/>
      <c r="L1335" s="108">
        <v>22888800</v>
      </c>
      <c r="M1335" s="36">
        <v>5218132757517</v>
      </c>
      <c r="N1335" s="170" t="s">
        <v>106</v>
      </c>
      <c r="O1335" s="49">
        <v>18628.349999999999</v>
      </c>
      <c r="P1335" s="96">
        <v>2526.5</v>
      </c>
      <c r="Q1335" s="11">
        <v>5588.51</v>
      </c>
      <c r="R1335" s="14">
        <v>3062.01</v>
      </c>
      <c r="S1335" s="71">
        <v>45660</v>
      </c>
      <c r="T1335" s="10"/>
      <c r="U1335" s="97"/>
      <c r="V1335" s="1"/>
      <c r="X1335" s="101">
        <v>2</v>
      </c>
    </row>
    <row r="1336" spans="2:24" hidden="1">
      <c r="B1336" s="6" t="s">
        <v>3111</v>
      </c>
      <c r="C1336" s="23">
        <v>46224.633333333331</v>
      </c>
      <c r="D1336" s="6" t="s">
        <v>24</v>
      </c>
      <c r="E1336" s="6"/>
      <c r="F1336" s="28">
        <v>46224</v>
      </c>
      <c r="G1336" s="27" t="s">
        <v>2859</v>
      </c>
      <c r="H1336" s="6" t="s">
        <v>160</v>
      </c>
      <c r="I1336" s="6" t="s">
        <v>3112</v>
      </c>
      <c r="J1336" s="192">
        <v>41876204979</v>
      </c>
      <c r="K1336" s="180" t="s">
        <v>3113</v>
      </c>
      <c r="L1336" s="107">
        <v>22899628</v>
      </c>
      <c r="M1336" s="37">
        <v>5214441938626</v>
      </c>
      <c r="N1336" s="169" t="s">
        <v>32</v>
      </c>
      <c r="O1336" s="48">
        <v>4765.49</v>
      </c>
      <c r="P1336" s="95">
        <v>879</v>
      </c>
      <c r="Q1336" s="8">
        <v>1429.65</v>
      </c>
      <c r="R1336" s="13">
        <v>-286.49</v>
      </c>
      <c r="S1336" s="70"/>
      <c r="T1336" s="6"/>
      <c r="U1336" s="164"/>
      <c r="V1336" s="1"/>
      <c r="X1336" s="101">
        <v>1</v>
      </c>
    </row>
    <row r="1337" spans="2:24" hidden="1">
      <c r="B1337" s="10" t="s">
        <v>3044</v>
      </c>
      <c r="C1337" s="24">
        <v>46224.634027777778</v>
      </c>
      <c r="D1337" s="10" t="s">
        <v>24</v>
      </c>
      <c r="E1337" s="10"/>
      <c r="F1337" s="28">
        <v>46224</v>
      </c>
      <c r="G1337" s="28" t="s">
        <v>2859</v>
      </c>
      <c r="H1337" s="10" t="s">
        <v>51</v>
      </c>
      <c r="I1337" s="10" t="s">
        <v>3114</v>
      </c>
      <c r="J1337" s="193">
        <v>43816052021</v>
      </c>
      <c r="K1337" s="181" t="s">
        <v>3115</v>
      </c>
      <c r="L1337" s="108">
        <v>22898208</v>
      </c>
      <c r="M1337" s="36">
        <v>5218114975856</v>
      </c>
      <c r="N1337" s="170" t="s">
        <v>28</v>
      </c>
      <c r="O1337" s="49">
        <v>9760.32</v>
      </c>
      <c r="P1337" s="96"/>
      <c r="Q1337" s="11">
        <v>2928.1</v>
      </c>
      <c r="R1337" s="14">
        <v>2928.1</v>
      </c>
      <c r="S1337" s="71"/>
      <c r="T1337" s="10"/>
      <c r="U1337" s="97"/>
      <c r="V1337" s="1"/>
      <c r="X1337" s="101">
        <v>1</v>
      </c>
    </row>
    <row r="1338" spans="2:24" hidden="1">
      <c r="B1338" s="6" t="s">
        <v>3116</v>
      </c>
      <c r="C1338" s="23">
        <v>46224.63958333333</v>
      </c>
      <c r="D1338" s="6" t="s">
        <v>24</v>
      </c>
      <c r="E1338" s="6"/>
      <c r="F1338" s="28">
        <v>46224</v>
      </c>
      <c r="G1338" s="27" t="s">
        <v>2859</v>
      </c>
      <c r="H1338" s="10" t="s">
        <v>68</v>
      </c>
      <c r="I1338" s="6" t="s">
        <v>3117</v>
      </c>
      <c r="J1338" s="192"/>
      <c r="K1338" s="180" t="s">
        <v>3118</v>
      </c>
      <c r="L1338" s="107">
        <v>22872934</v>
      </c>
      <c r="M1338" s="37">
        <v>5216311951480</v>
      </c>
      <c r="N1338" s="169" t="s">
        <v>263</v>
      </c>
      <c r="O1338" s="48">
        <v>7116.73</v>
      </c>
      <c r="P1338" s="95">
        <v>1367.96</v>
      </c>
      <c r="Q1338" s="8">
        <v>2135.02</v>
      </c>
      <c r="R1338" s="22">
        <v>767.06</v>
      </c>
      <c r="S1338" s="70">
        <v>45666</v>
      </c>
      <c r="T1338" s="6" t="s">
        <v>192</v>
      </c>
      <c r="U1338" s="164"/>
      <c r="V1338" s="1"/>
      <c r="X1338" s="101">
        <v>2</v>
      </c>
    </row>
    <row r="1339" spans="2:24" hidden="1">
      <c r="B1339" s="10" t="s">
        <v>3119</v>
      </c>
      <c r="C1339" s="24">
        <v>46224.647916666669</v>
      </c>
      <c r="D1339" s="10" t="s">
        <v>24</v>
      </c>
      <c r="E1339" s="10"/>
      <c r="F1339" s="28">
        <v>46224</v>
      </c>
      <c r="G1339" s="28" t="s">
        <v>2859</v>
      </c>
      <c r="H1339" s="160" t="s">
        <v>3036</v>
      </c>
      <c r="I1339" s="10" t="s">
        <v>3120</v>
      </c>
      <c r="J1339" s="193"/>
      <c r="K1339" s="181" t="s">
        <v>3121</v>
      </c>
      <c r="L1339" s="108">
        <v>22903838</v>
      </c>
      <c r="M1339" s="36">
        <v>5218311194566</v>
      </c>
      <c r="N1339" s="170" t="s">
        <v>106</v>
      </c>
      <c r="O1339" s="49">
        <v>10259.67</v>
      </c>
      <c r="P1339" s="96">
        <v>2848.45</v>
      </c>
      <c r="Q1339" s="11">
        <v>3077.9</v>
      </c>
      <c r="R1339" s="12">
        <v>229.45</v>
      </c>
      <c r="S1339" s="71">
        <v>46029</v>
      </c>
      <c r="T1339" s="10"/>
      <c r="U1339" s="97"/>
      <c r="V1339" s="1"/>
      <c r="X1339" s="101">
        <v>2</v>
      </c>
    </row>
    <row r="1340" spans="2:24" hidden="1">
      <c r="B1340" s="6" t="s">
        <v>3122</v>
      </c>
      <c r="C1340" s="23">
        <v>46224.652777777781</v>
      </c>
      <c r="D1340" s="6" t="s">
        <v>24</v>
      </c>
      <c r="E1340" s="6"/>
      <c r="F1340" s="28">
        <v>46224</v>
      </c>
      <c r="G1340" s="27" t="s">
        <v>2859</v>
      </c>
      <c r="H1340" s="10" t="s">
        <v>127</v>
      </c>
      <c r="I1340" s="6" t="s">
        <v>3123</v>
      </c>
      <c r="J1340" s="192">
        <v>4866671862</v>
      </c>
      <c r="K1340" s="180" t="s">
        <v>3124</v>
      </c>
      <c r="L1340" s="107">
        <v>22885766</v>
      </c>
      <c r="M1340" s="37">
        <v>5213351214558</v>
      </c>
      <c r="N1340" s="169" t="s">
        <v>28</v>
      </c>
      <c r="O1340" s="48">
        <v>19583.25</v>
      </c>
      <c r="P1340" s="95"/>
      <c r="Q1340" s="8">
        <v>5874.98</v>
      </c>
      <c r="R1340" s="9">
        <v>5874.98</v>
      </c>
      <c r="S1340" s="70"/>
      <c r="T1340" s="6"/>
      <c r="U1340" s="164"/>
      <c r="V1340" s="1"/>
      <c r="X1340" s="101">
        <v>1</v>
      </c>
    </row>
    <row r="1341" spans="2:24" hidden="1">
      <c r="B1341" s="10" t="s">
        <v>3125</v>
      </c>
      <c r="C1341" s="24">
        <v>46224.654166666667</v>
      </c>
      <c r="D1341" s="10" t="s">
        <v>24</v>
      </c>
      <c r="E1341" s="10"/>
      <c r="F1341" s="28">
        <v>46224</v>
      </c>
      <c r="G1341" s="28" t="s">
        <v>2859</v>
      </c>
      <c r="H1341" s="10" t="s">
        <v>51</v>
      </c>
      <c r="I1341" s="10" t="s">
        <v>3126</v>
      </c>
      <c r="J1341" s="193">
        <v>11917038249</v>
      </c>
      <c r="K1341" s="181" t="s">
        <v>3127</v>
      </c>
      <c r="L1341" s="108">
        <v>22895990</v>
      </c>
      <c r="M1341" s="36">
        <v>5217226832636</v>
      </c>
      <c r="N1341" s="170" t="s">
        <v>32</v>
      </c>
      <c r="O1341" s="49">
        <v>3635.76</v>
      </c>
      <c r="P1341" s="96"/>
      <c r="Q1341" s="11">
        <v>1090.73</v>
      </c>
      <c r="R1341" s="12">
        <v>0</v>
      </c>
      <c r="S1341" s="71"/>
      <c r="T1341" s="10"/>
      <c r="U1341" s="97"/>
      <c r="V1341" s="1"/>
      <c r="X1341" s="101">
        <v>1</v>
      </c>
    </row>
    <row r="1342" spans="2:24" hidden="1">
      <c r="B1342" s="6" t="s">
        <v>3128</v>
      </c>
      <c r="C1342" s="23">
        <v>46224.654861111114</v>
      </c>
      <c r="D1342" s="6" t="s">
        <v>24</v>
      </c>
      <c r="E1342" s="6"/>
      <c r="F1342" s="28">
        <v>46224</v>
      </c>
      <c r="G1342" s="27" t="s">
        <v>2859</v>
      </c>
      <c r="H1342" s="6" t="s">
        <v>160</v>
      </c>
      <c r="I1342" s="6" t="s">
        <v>3129</v>
      </c>
      <c r="J1342" s="192">
        <v>16785801057</v>
      </c>
      <c r="K1342" s="180" t="s">
        <v>3130</v>
      </c>
      <c r="L1342" s="107">
        <v>22894988</v>
      </c>
      <c r="M1342" s="37">
        <v>5217203184208</v>
      </c>
      <c r="N1342" s="169" t="s">
        <v>32</v>
      </c>
      <c r="O1342" s="48">
        <v>4342.43</v>
      </c>
      <c r="P1342" s="95"/>
      <c r="Q1342" s="8">
        <v>1302.73</v>
      </c>
      <c r="R1342" s="13">
        <v>169.45</v>
      </c>
      <c r="S1342" s="70"/>
      <c r="T1342" s="6"/>
      <c r="U1342" s="164"/>
      <c r="V1342" s="1"/>
      <c r="X1342" s="101">
        <v>1</v>
      </c>
    </row>
    <row r="1343" spans="2:24" hidden="1">
      <c r="B1343" s="10" t="s">
        <v>3131</v>
      </c>
      <c r="C1343" s="24">
        <v>46224.654861111114</v>
      </c>
      <c r="D1343" s="10" t="s">
        <v>24</v>
      </c>
      <c r="E1343" s="10"/>
      <c r="F1343" s="28">
        <v>46224</v>
      </c>
      <c r="G1343" s="28" t="s">
        <v>2604</v>
      </c>
      <c r="H1343" s="10" t="s">
        <v>39</v>
      </c>
      <c r="I1343" s="10" t="s">
        <v>3132</v>
      </c>
      <c r="J1343" s="193"/>
      <c r="K1343" s="181" t="s">
        <v>3133</v>
      </c>
      <c r="L1343" s="108">
        <v>22878294</v>
      </c>
      <c r="M1343" s="36">
        <v>5218132452570</v>
      </c>
      <c r="N1343" s="170" t="s">
        <v>28</v>
      </c>
      <c r="O1343" s="49">
        <v>9760.32</v>
      </c>
      <c r="P1343" s="96"/>
      <c r="Q1343" s="11">
        <v>2928.1</v>
      </c>
      <c r="R1343" s="14">
        <v>2928.1</v>
      </c>
      <c r="S1343" s="71"/>
      <c r="T1343" s="10"/>
      <c r="U1343" s="97"/>
      <c r="V1343" s="1"/>
      <c r="X1343" s="101">
        <v>1</v>
      </c>
    </row>
    <row r="1344" spans="2:24" hidden="1">
      <c r="B1344" s="6" t="s">
        <v>3134</v>
      </c>
      <c r="C1344" s="23">
        <v>46224.654861111114</v>
      </c>
      <c r="D1344" s="6" t="s">
        <v>24</v>
      </c>
      <c r="E1344" s="6"/>
      <c r="F1344" s="28">
        <v>46224</v>
      </c>
      <c r="G1344" s="27" t="s">
        <v>2859</v>
      </c>
      <c r="H1344" s="7" t="s">
        <v>3036</v>
      </c>
      <c r="I1344" s="6" t="s">
        <v>3135</v>
      </c>
      <c r="J1344" s="192"/>
      <c r="K1344" s="180" t="s">
        <v>3136</v>
      </c>
      <c r="L1344" s="108">
        <v>22902202</v>
      </c>
      <c r="M1344" s="37">
        <v>5212712832223</v>
      </c>
      <c r="N1344" s="169" t="s">
        <v>37</v>
      </c>
      <c r="O1344" s="48">
        <v>10396.51</v>
      </c>
      <c r="P1344" s="95">
        <v>3007.93</v>
      </c>
      <c r="Q1344" s="8">
        <v>3118.95</v>
      </c>
      <c r="R1344" s="13">
        <v>111.02</v>
      </c>
      <c r="S1344" s="70">
        <v>46389</v>
      </c>
      <c r="T1344" s="6"/>
      <c r="U1344" s="164"/>
      <c r="V1344" s="1"/>
      <c r="X1344" s="101">
        <v>2</v>
      </c>
    </row>
    <row r="1345" spans="2:24" hidden="1">
      <c r="B1345" s="10" t="s">
        <v>3137</v>
      </c>
      <c r="C1345" s="24">
        <v>46224.65625</v>
      </c>
      <c r="D1345" s="10" t="s">
        <v>24</v>
      </c>
      <c r="E1345" s="10"/>
      <c r="F1345" s="28">
        <v>46224</v>
      </c>
      <c r="G1345" s="28" t="s">
        <v>2859</v>
      </c>
      <c r="H1345" s="10" t="s">
        <v>81</v>
      </c>
      <c r="I1345" s="10" t="s">
        <v>3138</v>
      </c>
      <c r="J1345" s="193"/>
      <c r="K1345" s="181" t="s">
        <v>3139</v>
      </c>
      <c r="L1345" s="108">
        <v>22900654</v>
      </c>
      <c r="M1345" s="36">
        <v>5218342131488</v>
      </c>
      <c r="N1345" s="170" t="s">
        <v>235</v>
      </c>
      <c r="O1345" s="49">
        <v>1858.56</v>
      </c>
      <c r="P1345" s="96"/>
      <c r="Q1345" s="11">
        <v>557.57000000000005</v>
      </c>
      <c r="R1345" s="12">
        <v>0</v>
      </c>
      <c r="S1345" s="71"/>
      <c r="T1345" s="10"/>
      <c r="U1345" s="97"/>
      <c r="V1345" s="1"/>
      <c r="X1345" s="101">
        <v>1</v>
      </c>
    </row>
    <row r="1346" spans="2:24" hidden="1">
      <c r="B1346" s="6" t="s">
        <v>3134</v>
      </c>
      <c r="C1346" s="23">
        <v>46224.65902777778</v>
      </c>
      <c r="D1346" s="6" t="s">
        <v>24</v>
      </c>
      <c r="E1346" s="6"/>
      <c r="F1346" s="28">
        <v>46224</v>
      </c>
      <c r="G1346" s="27" t="s">
        <v>2859</v>
      </c>
      <c r="H1346" s="6" t="s">
        <v>1519</v>
      </c>
      <c r="I1346" s="6" t="s">
        <v>3140</v>
      </c>
      <c r="J1346" s="192">
        <v>11977731881</v>
      </c>
      <c r="K1346" s="180" t="s">
        <v>3141</v>
      </c>
      <c r="L1346" s="107">
        <v>22869830</v>
      </c>
      <c r="M1346" s="37">
        <v>5215563461970</v>
      </c>
      <c r="N1346" s="169" t="s">
        <v>235</v>
      </c>
      <c r="O1346" s="48">
        <v>4390.51</v>
      </c>
      <c r="P1346" s="95"/>
      <c r="Q1346" s="8">
        <v>1317.15</v>
      </c>
      <c r="R1346" s="13">
        <v>217.53</v>
      </c>
      <c r="S1346" s="70"/>
      <c r="T1346" s="6"/>
      <c r="U1346" s="164"/>
      <c r="V1346" s="1"/>
      <c r="X1346" s="101">
        <v>1</v>
      </c>
    </row>
    <row r="1347" spans="2:24" hidden="1">
      <c r="B1347" s="10" t="s">
        <v>3142</v>
      </c>
      <c r="C1347" s="24">
        <v>46224.65902777778</v>
      </c>
      <c r="D1347" s="10" t="s">
        <v>24</v>
      </c>
      <c r="E1347" s="10"/>
      <c r="F1347" s="28">
        <v>46224</v>
      </c>
      <c r="G1347" s="28" t="s">
        <v>2859</v>
      </c>
      <c r="H1347" s="160" t="s">
        <v>3007</v>
      </c>
      <c r="I1347" s="10" t="s">
        <v>3143</v>
      </c>
      <c r="J1347" s="193"/>
      <c r="K1347" s="182" t="s">
        <v>3144</v>
      </c>
      <c r="L1347" s="117">
        <v>22900998</v>
      </c>
      <c r="M1347" s="36">
        <v>6861165227</v>
      </c>
      <c r="N1347" s="170" t="s">
        <v>47</v>
      </c>
      <c r="O1347" s="49">
        <v>6411.47</v>
      </c>
      <c r="P1347" s="96">
        <v>1020.63</v>
      </c>
      <c r="Q1347" s="11">
        <v>1923.44</v>
      </c>
      <c r="R1347" s="16">
        <v>902.81</v>
      </c>
      <c r="S1347" s="71">
        <v>46397</v>
      </c>
      <c r="T1347" s="10"/>
      <c r="U1347" s="97"/>
      <c r="V1347" s="1"/>
      <c r="X1347" s="101">
        <v>2</v>
      </c>
    </row>
    <row r="1348" spans="2:24" hidden="1">
      <c r="B1348" s="6" t="s">
        <v>3145</v>
      </c>
      <c r="C1348" s="23">
        <v>46224.661111111112</v>
      </c>
      <c r="D1348" s="6" t="s">
        <v>24</v>
      </c>
      <c r="E1348" s="6"/>
      <c r="F1348" s="28">
        <v>46224</v>
      </c>
      <c r="G1348" s="27" t="s">
        <v>2859</v>
      </c>
      <c r="H1348" s="10" t="s">
        <v>61</v>
      </c>
      <c r="I1348" s="6" t="s">
        <v>3146</v>
      </c>
      <c r="J1348" s="192"/>
      <c r="K1348" s="180" t="s">
        <v>3147</v>
      </c>
      <c r="L1348" s="107">
        <v>22907260</v>
      </c>
      <c r="M1348" s="37">
        <v>5216631051228</v>
      </c>
      <c r="N1348" s="169" t="s">
        <v>28</v>
      </c>
      <c r="O1348" s="48">
        <v>11029.03</v>
      </c>
      <c r="P1348" s="95"/>
      <c r="Q1348" s="8">
        <v>3308.71</v>
      </c>
      <c r="R1348" s="9">
        <v>3308.71</v>
      </c>
      <c r="S1348" s="70"/>
      <c r="T1348" s="6"/>
      <c r="U1348" s="164"/>
      <c r="V1348" s="1"/>
      <c r="X1348" s="101">
        <v>1</v>
      </c>
    </row>
    <row r="1349" spans="2:24" hidden="1">
      <c r="B1349" s="10" t="s">
        <v>3142</v>
      </c>
      <c r="C1349" s="24">
        <v>46224.663194444445</v>
      </c>
      <c r="D1349" s="10" t="s">
        <v>24</v>
      </c>
      <c r="E1349" s="10"/>
      <c r="F1349" s="28">
        <v>46224</v>
      </c>
      <c r="G1349" s="28" t="s">
        <v>2859</v>
      </c>
      <c r="H1349" s="10" t="s">
        <v>160</v>
      </c>
      <c r="I1349" s="10" t="s">
        <v>3148</v>
      </c>
      <c r="J1349" s="193">
        <v>54805956700</v>
      </c>
      <c r="K1349" s="181" t="s">
        <v>3149</v>
      </c>
      <c r="L1349" s="108">
        <v>22880706</v>
      </c>
      <c r="M1349" s="36">
        <v>5213323220637</v>
      </c>
      <c r="N1349" s="170" t="s">
        <v>32</v>
      </c>
      <c r="O1349" s="49">
        <v>4832.04</v>
      </c>
      <c r="P1349" s="96">
        <v>848</v>
      </c>
      <c r="Q1349" s="11">
        <v>1449.61</v>
      </c>
      <c r="R1349" s="12">
        <v>-188.94</v>
      </c>
      <c r="S1349" s="71"/>
      <c r="T1349" s="10"/>
      <c r="U1349" s="97"/>
      <c r="V1349" s="1"/>
      <c r="X1349" s="101">
        <v>1</v>
      </c>
    </row>
    <row r="1350" spans="2:24" hidden="1">
      <c r="B1350" s="6" t="s">
        <v>3150</v>
      </c>
      <c r="C1350" s="23">
        <v>46224.664583333331</v>
      </c>
      <c r="D1350" s="6" t="s">
        <v>24</v>
      </c>
      <c r="E1350" s="6"/>
      <c r="F1350" s="28">
        <v>46224</v>
      </c>
      <c r="G1350" s="27" t="s">
        <v>2859</v>
      </c>
      <c r="H1350" s="6" t="s">
        <v>1629</v>
      </c>
      <c r="I1350" s="6" t="s">
        <v>3151</v>
      </c>
      <c r="J1350" s="203">
        <v>32845675852</v>
      </c>
      <c r="K1350" s="183" t="s">
        <v>1354</v>
      </c>
      <c r="L1350" s="115">
        <v>2</v>
      </c>
      <c r="M1350" s="37">
        <v>8444963854</v>
      </c>
      <c r="N1350" s="169" t="s">
        <v>32</v>
      </c>
      <c r="O1350" s="48">
        <v>4379.26</v>
      </c>
      <c r="P1350" s="95"/>
      <c r="Q1350" s="13">
        <v>1313.78</v>
      </c>
      <c r="R1350" s="13">
        <v>206.28</v>
      </c>
      <c r="S1350" s="72"/>
      <c r="T1350" s="6"/>
      <c r="U1350" s="164"/>
      <c r="V1350" s="1"/>
      <c r="X1350" s="101">
        <v>1</v>
      </c>
    </row>
    <row r="1351" spans="2:24" hidden="1">
      <c r="B1351" s="10" t="s">
        <v>3152</v>
      </c>
      <c r="C1351" s="24">
        <v>46224.667361111111</v>
      </c>
      <c r="D1351" s="10" t="s">
        <v>24</v>
      </c>
      <c r="E1351" s="10"/>
      <c r="F1351" s="28">
        <v>46224</v>
      </c>
      <c r="G1351" s="28" t="s">
        <v>2859</v>
      </c>
      <c r="H1351" s="10" t="s">
        <v>61</v>
      </c>
      <c r="I1351" s="10" t="s">
        <v>3153</v>
      </c>
      <c r="J1351" s="193">
        <v>23927043614</v>
      </c>
      <c r="K1351" s="181" t="s">
        <v>3154</v>
      </c>
      <c r="L1351" s="108">
        <v>22906996</v>
      </c>
      <c r="M1351" s="36">
        <v>5216961073212</v>
      </c>
      <c r="N1351" s="170" t="s">
        <v>37</v>
      </c>
      <c r="O1351" s="49">
        <v>5714.03</v>
      </c>
      <c r="P1351" s="96">
        <v>1653.01</v>
      </c>
      <c r="Q1351" s="12">
        <v>1714.21</v>
      </c>
      <c r="R1351" s="12">
        <v>-111.96</v>
      </c>
      <c r="S1351" s="73">
        <v>46393</v>
      </c>
      <c r="T1351" s="10" t="s">
        <v>192</v>
      </c>
      <c r="U1351" s="97"/>
      <c r="V1351" s="1"/>
      <c r="X1351" s="101">
        <v>2</v>
      </c>
    </row>
    <row r="1352" spans="2:24" hidden="1">
      <c r="B1352" s="6" t="s">
        <v>3155</v>
      </c>
      <c r="C1352" s="23">
        <v>46224.674305555556</v>
      </c>
      <c r="D1352" s="6" t="s">
        <v>24</v>
      </c>
      <c r="E1352" s="6"/>
      <c r="F1352" s="28">
        <v>46224</v>
      </c>
      <c r="G1352" s="27" t="s">
        <v>2859</v>
      </c>
      <c r="H1352" s="160" t="s">
        <v>3007</v>
      </c>
      <c r="I1352" s="6" t="s">
        <v>3156</v>
      </c>
      <c r="J1352" s="192">
        <v>4846693473</v>
      </c>
      <c r="K1352" s="180" t="s">
        <v>3157</v>
      </c>
      <c r="L1352" s="107">
        <v>22908310</v>
      </c>
      <c r="M1352" s="37">
        <v>7227817315</v>
      </c>
      <c r="N1352" s="169" t="s">
        <v>28</v>
      </c>
      <c r="O1352" s="48">
        <v>10636.54</v>
      </c>
      <c r="P1352" s="95"/>
      <c r="Q1352" s="13">
        <v>3190.96</v>
      </c>
      <c r="R1352" s="9">
        <v>3190.96</v>
      </c>
      <c r="S1352" s="72"/>
      <c r="T1352" s="6"/>
      <c r="U1352" s="164"/>
      <c r="V1352" s="1"/>
      <c r="X1352" s="101">
        <v>1</v>
      </c>
    </row>
    <row r="1353" spans="2:24" hidden="1">
      <c r="B1353" s="10" t="s">
        <v>3158</v>
      </c>
      <c r="C1353" s="24">
        <v>46224.675000000003</v>
      </c>
      <c r="D1353" s="10" t="s">
        <v>24</v>
      </c>
      <c r="E1353" s="10"/>
      <c r="F1353" s="28">
        <v>46224</v>
      </c>
      <c r="G1353" s="28" t="s">
        <v>2859</v>
      </c>
      <c r="H1353" s="15" t="s">
        <v>3036</v>
      </c>
      <c r="I1353" s="10" t="s">
        <v>3159</v>
      </c>
      <c r="J1353" s="193">
        <v>54796151055</v>
      </c>
      <c r="K1353" s="181" t="s">
        <v>3160</v>
      </c>
      <c r="L1353" s="108">
        <v>22904428</v>
      </c>
      <c r="M1353" s="36">
        <v>5213314990198</v>
      </c>
      <c r="N1353" s="170" t="s">
        <v>37</v>
      </c>
      <c r="O1353" s="49">
        <v>6355.79</v>
      </c>
      <c r="P1353" s="96">
        <v>1904.23</v>
      </c>
      <c r="Q1353" s="12">
        <v>1906.74</v>
      </c>
      <c r="R1353" s="12">
        <v>2.5099999999999998</v>
      </c>
      <c r="S1353" s="73">
        <v>46759</v>
      </c>
      <c r="T1353" s="10"/>
      <c r="U1353" s="97"/>
      <c r="V1353" s="1"/>
      <c r="X1353" s="101">
        <v>2</v>
      </c>
    </row>
    <row r="1354" spans="2:24" hidden="1">
      <c r="B1354" s="6" t="s">
        <v>3161</v>
      </c>
      <c r="C1354" s="23">
        <v>46224.676388888889</v>
      </c>
      <c r="D1354" s="6" t="s">
        <v>24</v>
      </c>
      <c r="E1354" s="6"/>
      <c r="F1354" s="28">
        <v>46224</v>
      </c>
      <c r="G1354" s="27" t="s">
        <v>2859</v>
      </c>
      <c r="H1354" s="10" t="s">
        <v>1625</v>
      </c>
      <c r="I1354" s="6" t="s">
        <v>3162</v>
      </c>
      <c r="J1354" s="192">
        <v>65845605347</v>
      </c>
      <c r="K1354" s="183" t="s">
        <v>2314</v>
      </c>
      <c r="L1354" s="115">
        <v>2</v>
      </c>
      <c r="M1354" s="37" t="s">
        <v>3163</v>
      </c>
      <c r="N1354" s="169" t="s">
        <v>47</v>
      </c>
      <c r="O1354" s="48">
        <v>65289.73</v>
      </c>
      <c r="P1354" s="95">
        <v>18864.12</v>
      </c>
      <c r="Q1354" s="13">
        <v>19586.919999999998</v>
      </c>
      <c r="R1354" s="22">
        <v>722.8</v>
      </c>
      <c r="S1354" s="72">
        <v>46392</v>
      </c>
      <c r="T1354" s="6"/>
      <c r="U1354" s="164"/>
      <c r="V1354" s="1"/>
      <c r="X1354" s="101">
        <v>2</v>
      </c>
    </row>
    <row r="1355" spans="2:24" hidden="1">
      <c r="B1355" s="10" t="s">
        <v>3164</v>
      </c>
      <c r="C1355" s="24">
        <v>46224.679166666669</v>
      </c>
      <c r="D1355" s="10" t="s">
        <v>24</v>
      </c>
      <c r="E1355" s="10"/>
      <c r="F1355" s="28">
        <v>46224</v>
      </c>
      <c r="G1355" s="28" t="s">
        <v>2604</v>
      </c>
      <c r="H1355" s="10" t="s">
        <v>160</v>
      </c>
      <c r="I1355" s="10" t="s">
        <v>3165</v>
      </c>
      <c r="J1355" s="193">
        <v>62755825544</v>
      </c>
      <c r="K1355" s="181" t="s">
        <v>3166</v>
      </c>
      <c r="L1355" s="108">
        <v>22881580</v>
      </c>
      <c r="M1355" s="36">
        <v>5212223008851</v>
      </c>
      <c r="N1355" s="170" t="s">
        <v>47</v>
      </c>
      <c r="O1355" s="49">
        <v>4907.05</v>
      </c>
      <c r="P1355" s="96"/>
      <c r="Q1355" s="12">
        <v>1472.12</v>
      </c>
      <c r="R1355" s="16">
        <v>734.07</v>
      </c>
      <c r="S1355" s="73"/>
      <c r="T1355" s="10"/>
      <c r="U1355" s="97"/>
      <c r="V1355" s="1"/>
      <c r="X1355" s="101">
        <v>1</v>
      </c>
    </row>
    <row r="1356" spans="2:24" hidden="1">
      <c r="B1356" s="6" t="s">
        <v>3167</v>
      </c>
      <c r="C1356" s="23">
        <v>46224.682638888888</v>
      </c>
      <c r="D1356" s="6" t="s">
        <v>24</v>
      </c>
      <c r="E1356" s="6"/>
      <c r="F1356" s="28">
        <v>46224</v>
      </c>
      <c r="G1356" s="27" t="s">
        <v>2859</v>
      </c>
      <c r="H1356" s="160" t="s">
        <v>110</v>
      </c>
      <c r="I1356" s="6" t="s">
        <v>3168</v>
      </c>
      <c r="J1356" s="192">
        <v>84916304359</v>
      </c>
      <c r="K1356" s="180"/>
      <c r="L1356" s="107">
        <v>22907848</v>
      </c>
      <c r="M1356" s="37">
        <v>5219817368366</v>
      </c>
      <c r="N1356" s="169" t="s">
        <v>28</v>
      </c>
      <c r="O1356" s="48">
        <v>10636.54</v>
      </c>
      <c r="P1356" s="95"/>
      <c r="Q1356" s="13">
        <v>3190.96</v>
      </c>
      <c r="R1356" s="9">
        <v>3190.96</v>
      </c>
      <c r="S1356" s="72"/>
      <c r="T1356" s="6"/>
      <c r="U1356" s="164"/>
      <c r="V1356" s="1"/>
      <c r="X1356" s="101">
        <v>1</v>
      </c>
    </row>
    <row r="1357" spans="2:24" hidden="1">
      <c r="B1357" s="10" t="s">
        <v>3169</v>
      </c>
      <c r="C1357" s="24">
        <v>46224.683333333334</v>
      </c>
      <c r="D1357" s="10" t="s">
        <v>24</v>
      </c>
      <c r="E1357" s="10"/>
      <c r="F1357" s="28">
        <v>46224</v>
      </c>
      <c r="G1357" s="28" t="s">
        <v>2859</v>
      </c>
      <c r="H1357" s="161" t="s">
        <v>71</v>
      </c>
      <c r="I1357" s="10" t="s">
        <v>3170</v>
      </c>
      <c r="J1357" s="193"/>
      <c r="K1357" s="181" t="s">
        <v>3171</v>
      </c>
      <c r="L1357" s="112">
        <v>22908414</v>
      </c>
      <c r="M1357" s="36">
        <v>5216623383743</v>
      </c>
      <c r="N1357" s="170" t="s">
        <v>47</v>
      </c>
      <c r="O1357" s="49">
        <v>5154.3900000000003</v>
      </c>
      <c r="P1357" s="96"/>
      <c r="Q1357" s="12">
        <v>1546.32</v>
      </c>
      <c r="R1357" s="16">
        <v>981.41</v>
      </c>
      <c r="S1357" s="73"/>
      <c r="T1357" s="10"/>
      <c r="U1357" s="97"/>
      <c r="V1357" s="1"/>
      <c r="X1357" s="101">
        <v>1</v>
      </c>
    </row>
    <row r="1358" spans="2:24" hidden="1">
      <c r="B1358" s="6" t="s">
        <v>3172</v>
      </c>
      <c r="C1358" s="23">
        <v>46224.6875</v>
      </c>
      <c r="D1358" s="6" t="s">
        <v>24</v>
      </c>
      <c r="E1358" s="6"/>
      <c r="F1358" s="28">
        <v>46224</v>
      </c>
      <c r="G1358" s="27" t="s">
        <v>2859</v>
      </c>
      <c r="H1358" s="6" t="s">
        <v>61</v>
      </c>
      <c r="I1358" s="6" t="s">
        <v>3173</v>
      </c>
      <c r="J1358" s="192"/>
      <c r="K1358" s="180" t="s">
        <v>3174</v>
      </c>
      <c r="L1358" s="107">
        <v>22908122</v>
      </c>
      <c r="M1358" s="37">
        <v>5214921744096</v>
      </c>
      <c r="N1358" s="169" t="s">
        <v>32</v>
      </c>
      <c r="O1358" s="48">
        <v>4199.87</v>
      </c>
      <c r="P1358" s="95"/>
      <c r="Q1358" s="13">
        <v>1259.96</v>
      </c>
      <c r="R1358" s="13">
        <v>26.89</v>
      </c>
      <c r="S1358" s="72"/>
      <c r="T1358" s="6"/>
      <c r="U1358" s="164"/>
      <c r="V1358" s="1"/>
      <c r="X1358" s="101">
        <v>1</v>
      </c>
    </row>
    <row r="1359" spans="2:24" hidden="1">
      <c r="B1359" s="10" t="s">
        <v>3175</v>
      </c>
      <c r="C1359" s="24">
        <v>46224.690972222219</v>
      </c>
      <c r="D1359" s="10" t="s">
        <v>24</v>
      </c>
      <c r="E1359" s="10"/>
      <c r="F1359" s="28">
        <v>46224</v>
      </c>
      <c r="G1359" s="28" t="s">
        <v>2859</v>
      </c>
      <c r="H1359" s="15" t="s">
        <v>3022</v>
      </c>
      <c r="I1359" s="10" t="s">
        <v>3176</v>
      </c>
      <c r="J1359" s="193">
        <v>81745001552</v>
      </c>
      <c r="K1359" s="181"/>
      <c r="L1359" s="108">
        <v>22908714</v>
      </c>
      <c r="M1359" s="36">
        <v>9811124985</v>
      </c>
      <c r="N1359" s="170" t="s">
        <v>37</v>
      </c>
      <c r="O1359" s="49">
        <v>13064.4</v>
      </c>
      <c r="P1359" s="96">
        <v>3778.96</v>
      </c>
      <c r="Q1359" s="12">
        <v>3919.32</v>
      </c>
      <c r="R1359" s="12">
        <v>140.36000000000001</v>
      </c>
      <c r="S1359" s="73">
        <v>46392</v>
      </c>
      <c r="T1359" s="10"/>
      <c r="U1359" s="97"/>
      <c r="V1359" s="1"/>
      <c r="X1359" s="101">
        <v>2</v>
      </c>
    </row>
    <row r="1360" spans="2:24" hidden="1">
      <c r="B1360" s="6" t="s">
        <v>3177</v>
      </c>
      <c r="C1360" s="23">
        <v>46224.693055555559</v>
      </c>
      <c r="D1360" s="6" t="s">
        <v>24</v>
      </c>
      <c r="E1360" s="6"/>
      <c r="F1360" s="28">
        <v>46224</v>
      </c>
      <c r="G1360" s="27" t="s">
        <v>2859</v>
      </c>
      <c r="H1360" s="6" t="s">
        <v>1519</v>
      </c>
      <c r="I1360" s="6" t="s">
        <v>3178</v>
      </c>
      <c r="J1360" s="192">
        <v>31715102591</v>
      </c>
      <c r="K1360" s="180" t="s">
        <v>3179</v>
      </c>
      <c r="L1360" s="108">
        <v>22893936</v>
      </c>
      <c r="M1360" s="37">
        <v>5216642753146</v>
      </c>
      <c r="N1360" s="169" t="s">
        <v>37</v>
      </c>
      <c r="O1360" s="48">
        <v>5800.57</v>
      </c>
      <c r="P1360" s="95">
        <v>1506.06</v>
      </c>
      <c r="Q1360" s="13">
        <v>1740.17</v>
      </c>
      <c r="R1360" s="13">
        <v>121.53</v>
      </c>
      <c r="S1360" s="72">
        <v>46357</v>
      </c>
      <c r="T1360" s="6"/>
      <c r="U1360" s="164"/>
      <c r="V1360" s="1"/>
      <c r="X1360" s="101">
        <v>2</v>
      </c>
    </row>
    <row r="1361" spans="2:24" hidden="1">
      <c r="B1361" s="10" t="s">
        <v>3180</v>
      </c>
      <c r="C1361" s="24">
        <v>46224.693749999999</v>
      </c>
      <c r="D1361" s="10" t="s">
        <v>24</v>
      </c>
      <c r="E1361" s="10"/>
      <c r="F1361" s="28">
        <v>46224</v>
      </c>
      <c r="G1361" s="28" t="s">
        <v>2859</v>
      </c>
      <c r="H1361" s="10" t="s">
        <v>1629</v>
      </c>
      <c r="I1361" s="10" t="s">
        <v>3181</v>
      </c>
      <c r="J1361" s="193">
        <v>5378582813</v>
      </c>
      <c r="K1361" s="181" t="s">
        <v>3182</v>
      </c>
      <c r="L1361" s="116">
        <v>2</v>
      </c>
      <c r="M1361" s="36">
        <v>4251246456</v>
      </c>
      <c r="N1361" s="170" t="s">
        <v>32</v>
      </c>
      <c r="O1361" s="49">
        <v>4035.69</v>
      </c>
      <c r="P1361" s="96">
        <v>848</v>
      </c>
      <c r="Q1361" s="12">
        <v>1210.71</v>
      </c>
      <c r="R1361" s="12">
        <v>-848</v>
      </c>
      <c r="S1361" s="73"/>
      <c r="T1361" s="10"/>
      <c r="U1361" s="97"/>
      <c r="V1361" s="1"/>
      <c r="X1361" s="101">
        <v>1</v>
      </c>
    </row>
    <row r="1362" spans="2:24" hidden="1">
      <c r="B1362" s="6" t="s">
        <v>3183</v>
      </c>
      <c r="C1362" s="23">
        <v>46224.695138888892</v>
      </c>
      <c r="D1362" s="6" t="s">
        <v>24</v>
      </c>
      <c r="E1362" s="6"/>
      <c r="F1362" s="28">
        <v>46224</v>
      </c>
      <c r="G1362" s="27" t="s">
        <v>2859</v>
      </c>
      <c r="H1362" s="6" t="s">
        <v>81</v>
      </c>
      <c r="I1362" s="6" t="s">
        <v>3184</v>
      </c>
      <c r="J1362" s="192"/>
      <c r="K1362" s="183" t="s">
        <v>3185</v>
      </c>
      <c r="L1362" s="107">
        <v>22892784</v>
      </c>
      <c r="M1362" s="37">
        <v>5219721129452</v>
      </c>
      <c r="N1362" s="169" t="s">
        <v>32</v>
      </c>
      <c r="O1362" s="48">
        <v>3881.65</v>
      </c>
      <c r="P1362" s="95"/>
      <c r="Q1362" s="13">
        <v>1164.5</v>
      </c>
      <c r="R1362" s="13">
        <v>0</v>
      </c>
      <c r="S1362" s="72"/>
      <c r="T1362" s="6"/>
      <c r="U1362" s="164"/>
      <c r="V1362" s="1"/>
      <c r="X1362" s="101">
        <v>1</v>
      </c>
    </row>
    <row r="1363" spans="2:24" hidden="1">
      <c r="B1363" s="10" t="s">
        <v>3186</v>
      </c>
      <c r="C1363" s="24">
        <v>46224.698611111111</v>
      </c>
      <c r="D1363" s="10" t="s">
        <v>24</v>
      </c>
      <c r="E1363" s="10"/>
      <c r="F1363" s="28">
        <v>46224</v>
      </c>
      <c r="G1363" s="28" t="s">
        <v>2859</v>
      </c>
      <c r="H1363" s="160" t="s">
        <v>26</v>
      </c>
      <c r="I1363" s="10" t="s">
        <v>3187</v>
      </c>
      <c r="J1363" s="193">
        <v>64805611361</v>
      </c>
      <c r="K1363" s="181" t="s">
        <v>3188</v>
      </c>
      <c r="L1363" s="108">
        <v>22908642</v>
      </c>
      <c r="M1363" s="36">
        <v>5219984771898</v>
      </c>
      <c r="N1363" s="170" t="s">
        <v>130</v>
      </c>
      <c r="O1363" s="49">
        <v>58139.91</v>
      </c>
      <c r="P1363" s="96">
        <v>17440.099999999999</v>
      </c>
      <c r="Q1363" s="12">
        <v>17441.97</v>
      </c>
      <c r="R1363" s="12">
        <v>1.87</v>
      </c>
      <c r="S1363" s="73">
        <v>46026</v>
      </c>
      <c r="T1363" s="10"/>
      <c r="U1363" s="97"/>
      <c r="V1363" s="1"/>
      <c r="X1363" s="101">
        <v>2</v>
      </c>
    </row>
    <row r="1364" spans="2:24" hidden="1">
      <c r="B1364" s="6" t="s">
        <v>3189</v>
      </c>
      <c r="C1364" s="23">
        <v>46224.70208333333</v>
      </c>
      <c r="D1364" s="6" t="s">
        <v>24</v>
      </c>
      <c r="E1364" s="6"/>
      <c r="F1364" s="28">
        <v>46224</v>
      </c>
      <c r="G1364" s="27" t="s">
        <v>2604</v>
      </c>
      <c r="H1364" s="6" t="s">
        <v>160</v>
      </c>
      <c r="I1364" s="6" t="s">
        <v>3190</v>
      </c>
      <c r="J1364" s="192"/>
      <c r="K1364" s="180" t="s">
        <v>3191</v>
      </c>
      <c r="L1364" s="107">
        <v>22858336</v>
      </c>
      <c r="M1364" s="37">
        <v>5216692744846</v>
      </c>
      <c r="N1364" s="169" t="s">
        <v>32</v>
      </c>
      <c r="O1364" s="48">
        <v>3882.85</v>
      </c>
      <c r="P1364" s="95">
        <v>848</v>
      </c>
      <c r="Q1364" s="13">
        <v>1164.8599999999999</v>
      </c>
      <c r="R1364" s="13">
        <v>-848</v>
      </c>
      <c r="S1364" s="72"/>
      <c r="T1364" s="6"/>
      <c r="U1364" s="164"/>
      <c r="V1364" s="1"/>
      <c r="X1364" s="101">
        <v>1</v>
      </c>
    </row>
    <row r="1365" spans="2:24" hidden="1">
      <c r="B1365" s="10" t="s">
        <v>3192</v>
      </c>
      <c r="C1365" s="24">
        <v>46224.706250000003</v>
      </c>
      <c r="D1365" s="10" t="s">
        <v>24</v>
      </c>
      <c r="E1365" s="10"/>
      <c r="F1365" s="28">
        <v>46224</v>
      </c>
      <c r="G1365" s="28" t="s">
        <v>2859</v>
      </c>
      <c r="H1365" s="15" t="s">
        <v>3007</v>
      </c>
      <c r="I1365" s="10" t="s">
        <v>3193</v>
      </c>
      <c r="J1365" s="193">
        <v>43725561765</v>
      </c>
      <c r="K1365" s="181" t="s">
        <v>3194</v>
      </c>
      <c r="L1365" s="108">
        <v>22909398</v>
      </c>
      <c r="M1365" s="36">
        <v>8180533536</v>
      </c>
      <c r="N1365" s="170" t="s">
        <v>37</v>
      </c>
      <c r="O1365" s="49">
        <v>6262.86</v>
      </c>
      <c r="P1365" s="96">
        <v>1877.83</v>
      </c>
      <c r="Q1365" s="12">
        <v>1878.86</v>
      </c>
      <c r="R1365" s="12">
        <v>1.03</v>
      </c>
      <c r="S1365" s="73">
        <v>46758</v>
      </c>
      <c r="T1365" s="10" t="s">
        <v>259</v>
      </c>
      <c r="U1365" s="97"/>
      <c r="V1365" s="1"/>
      <c r="X1365" s="101">
        <v>2</v>
      </c>
    </row>
    <row r="1366" spans="2:24" hidden="1">
      <c r="B1366" s="6" t="s">
        <v>3195</v>
      </c>
      <c r="C1366" s="23">
        <v>46224.709027777775</v>
      </c>
      <c r="D1366" s="6" t="s">
        <v>24</v>
      </c>
      <c r="E1366" s="6"/>
      <c r="F1366" s="28">
        <v>46224</v>
      </c>
      <c r="G1366" s="27" t="s">
        <v>2859</v>
      </c>
      <c r="H1366" s="6" t="s">
        <v>61</v>
      </c>
      <c r="I1366" s="6" t="s">
        <v>3196</v>
      </c>
      <c r="J1366" s="192"/>
      <c r="K1366" s="180" t="s">
        <v>3197</v>
      </c>
      <c r="L1366" s="108">
        <v>22904052</v>
      </c>
      <c r="M1366" s="37">
        <v>5219331026310</v>
      </c>
      <c r="N1366" s="169" t="s">
        <v>37</v>
      </c>
      <c r="O1366" s="48">
        <v>32325.88</v>
      </c>
      <c r="P1366" s="95">
        <v>9697.69</v>
      </c>
      <c r="Q1366" s="13">
        <v>9697.76</v>
      </c>
      <c r="R1366" s="13">
        <v>7.0000000000000007E-2</v>
      </c>
      <c r="S1366" s="72">
        <v>46753</v>
      </c>
      <c r="T1366" s="6" t="s">
        <v>192</v>
      </c>
      <c r="U1366" s="164"/>
      <c r="V1366" s="1"/>
      <c r="X1366" s="101">
        <v>2</v>
      </c>
    </row>
    <row r="1367" spans="2:24" hidden="1">
      <c r="B1367" s="10" t="s">
        <v>3198</v>
      </c>
      <c r="C1367" s="24">
        <v>46224.711111111108</v>
      </c>
      <c r="D1367" s="10" t="s">
        <v>24</v>
      </c>
      <c r="E1367" s="10"/>
      <c r="F1367" s="28">
        <v>46224</v>
      </c>
      <c r="G1367" s="28" t="s">
        <v>2604</v>
      </c>
      <c r="H1367" s="10" t="s">
        <v>81</v>
      </c>
      <c r="I1367" s="10" t="s">
        <v>3199</v>
      </c>
      <c r="J1367" s="193"/>
      <c r="K1367" s="181" t="s">
        <v>3200</v>
      </c>
      <c r="L1367" s="108">
        <v>22878390</v>
      </c>
      <c r="M1367" s="36">
        <v>5214445093415</v>
      </c>
      <c r="N1367" s="170" t="s">
        <v>37</v>
      </c>
      <c r="O1367" s="49">
        <v>15560.54</v>
      </c>
      <c r="P1367" s="96">
        <v>4502.03</v>
      </c>
      <c r="Q1367" s="12">
        <v>4668.16</v>
      </c>
      <c r="R1367" s="12">
        <v>166.13</v>
      </c>
      <c r="S1367" s="73">
        <v>46235</v>
      </c>
      <c r="T1367" s="10"/>
      <c r="U1367" s="97"/>
      <c r="V1367" s="1"/>
      <c r="X1367" s="101">
        <v>2</v>
      </c>
    </row>
    <row r="1368" spans="2:24" hidden="1">
      <c r="B1368" s="6" t="s">
        <v>3201</v>
      </c>
      <c r="C1368" s="23">
        <v>46224.713888888888</v>
      </c>
      <c r="D1368" s="6" t="s">
        <v>24</v>
      </c>
      <c r="E1368" s="6"/>
      <c r="F1368" s="28">
        <v>46224</v>
      </c>
      <c r="G1368" s="27" t="s">
        <v>2859</v>
      </c>
      <c r="H1368" s="18" t="s">
        <v>71</v>
      </c>
      <c r="I1368" s="6" t="s">
        <v>3202</v>
      </c>
      <c r="J1368" s="192">
        <v>40836300083</v>
      </c>
      <c r="K1368" s="180"/>
      <c r="L1368" s="108">
        <v>22909276</v>
      </c>
      <c r="M1368" s="37">
        <v>5215525622857</v>
      </c>
      <c r="N1368" s="169" t="s">
        <v>37</v>
      </c>
      <c r="O1368" s="48">
        <v>9081.52</v>
      </c>
      <c r="P1368" s="95">
        <v>2625</v>
      </c>
      <c r="Q1368" s="13">
        <v>2724.46</v>
      </c>
      <c r="R1368" s="13">
        <v>99.46</v>
      </c>
      <c r="S1368" s="72">
        <v>46296</v>
      </c>
      <c r="T1368" s="6"/>
      <c r="U1368" s="164"/>
      <c r="V1368" s="1"/>
      <c r="X1368" s="101">
        <v>2</v>
      </c>
    </row>
    <row r="1369" spans="2:24" hidden="1">
      <c r="B1369" s="10" t="s">
        <v>3203</v>
      </c>
      <c r="C1369" s="24">
        <v>46224.716666666667</v>
      </c>
      <c r="D1369" s="10" t="s">
        <v>24</v>
      </c>
      <c r="E1369" s="10"/>
      <c r="F1369" s="28">
        <v>46224</v>
      </c>
      <c r="G1369" s="28" t="s">
        <v>2859</v>
      </c>
      <c r="H1369" s="10" t="s">
        <v>51</v>
      </c>
      <c r="I1369" s="10" t="s">
        <v>3204</v>
      </c>
      <c r="J1369" s="193">
        <v>43796036499</v>
      </c>
      <c r="K1369" s="181" t="s">
        <v>3205</v>
      </c>
      <c r="L1369" s="108">
        <v>22895402</v>
      </c>
      <c r="M1369" s="36">
        <v>5218672450863</v>
      </c>
      <c r="N1369" s="170" t="s">
        <v>37</v>
      </c>
      <c r="O1369" s="49">
        <v>7116.73</v>
      </c>
      <c r="P1369" s="96">
        <v>2028.47</v>
      </c>
      <c r="Q1369" s="12">
        <v>2135.02</v>
      </c>
      <c r="R1369" s="12">
        <v>106.55</v>
      </c>
      <c r="S1369" s="73">
        <v>46395</v>
      </c>
      <c r="T1369" s="10"/>
      <c r="U1369" s="97"/>
      <c r="V1369" s="1"/>
      <c r="X1369" s="101">
        <v>2</v>
      </c>
    </row>
    <row r="1370" spans="2:24" hidden="1">
      <c r="B1370" s="6" t="s">
        <v>3206</v>
      </c>
      <c r="C1370" s="23">
        <v>46224.726388888892</v>
      </c>
      <c r="D1370" s="6" t="s">
        <v>24</v>
      </c>
      <c r="E1370" s="6"/>
      <c r="F1370" s="28">
        <v>46224</v>
      </c>
      <c r="G1370" s="27" t="s">
        <v>2859</v>
      </c>
      <c r="H1370" s="10" t="s">
        <v>61</v>
      </c>
      <c r="I1370" s="6" t="s">
        <v>3207</v>
      </c>
      <c r="J1370" s="204"/>
      <c r="K1370" s="180" t="s">
        <v>3208</v>
      </c>
      <c r="L1370" s="107">
        <v>22906616</v>
      </c>
      <c r="M1370" s="37">
        <v>5215619408905</v>
      </c>
      <c r="N1370" s="169" t="s">
        <v>263</v>
      </c>
      <c r="O1370" s="48">
        <v>7116.73</v>
      </c>
      <c r="P1370" s="95">
        <v>1871.82</v>
      </c>
      <c r="Q1370" s="13">
        <v>2135.02</v>
      </c>
      <c r="R1370" s="13">
        <v>263.2</v>
      </c>
      <c r="S1370" s="72">
        <v>45662</v>
      </c>
      <c r="T1370" s="6" t="s">
        <v>178</v>
      </c>
      <c r="U1370" s="164"/>
      <c r="V1370" s="1"/>
      <c r="X1370" s="101">
        <v>2</v>
      </c>
    </row>
    <row r="1371" spans="2:24" hidden="1">
      <c r="B1371" s="10" t="s">
        <v>3209</v>
      </c>
      <c r="C1371" s="24">
        <v>46224.731944444444</v>
      </c>
      <c r="D1371" s="10" t="s">
        <v>24</v>
      </c>
      <c r="E1371" s="10"/>
      <c r="F1371" s="28">
        <v>46224</v>
      </c>
      <c r="G1371" s="28" t="s">
        <v>2859</v>
      </c>
      <c r="H1371" s="10" t="s">
        <v>61</v>
      </c>
      <c r="I1371" s="10" t="s">
        <v>3210</v>
      </c>
      <c r="J1371" s="193">
        <v>23927460859</v>
      </c>
      <c r="K1371" s="181" t="s">
        <v>3211</v>
      </c>
      <c r="L1371" s="108">
        <v>22907826</v>
      </c>
      <c r="M1371" s="36">
        <v>5216699296263</v>
      </c>
      <c r="N1371" s="170" t="s">
        <v>74</v>
      </c>
      <c r="O1371" s="49"/>
      <c r="P1371" s="96"/>
      <c r="Q1371" s="12">
        <v>0</v>
      </c>
      <c r="R1371" s="12">
        <v>0</v>
      </c>
      <c r="S1371" s="73"/>
      <c r="T1371" s="10"/>
      <c r="U1371" s="97"/>
      <c r="V1371" s="1"/>
      <c r="X1371" s="101">
        <v>1</v>
      </c>
    </row>
    <row r="1372" spans="2:24" hidden="1">
      <c r="B1372" s="6" t="s">
        <v>3212</v>
      </c>
      <c r="C1372" s="23">
        <v>46224.73541666667</v>
      </c>
      <c r="D1372" s="6" t="s">
        <v>24</v>
      </c>
      <c r="E1372" s="6"/>
      <c r="F1372" s="28">
        <v>46224</v>
      </c>
      <c r="G1372" s="27" t="s">
        <v>2859</v>
      </c>
      <c r="H1372" s="6" t="s">
        <v>68</v>
      </c>
      <c r="I1372" s="6" t="s">
        <v>3213</v>
      </c>
      <c r="J1372" s="192">
        <v>31836408463</v>
      </c>
      <c r="K1372" s="180" t="s">
        <v>3214</v>
      </c>
      <c r="L1372" s="108">
        <v>22893388</v>
      </c>
      <c r="M1372" s="37">
        <v>5216567684282</v>
      </c>
      <c r="N1372" s="169" t="s">
        <v>37</v>
      </c>
      <c r="O1372" s="48">
        <v>9760.32</v>
      </c>
      <c r="P1372" s="95">
        <v>2823.89</v>
      </c>
      <c r="Q1372" s="13">
        <v>2928.1</v>
      </c>
      <c r="R1372" s="13">
        <v>104.21</v>
      </c>
      <c r="S1372" s="72">
        <v>46753</v>
      </c>
      <c r="T1372" s="6"/>
      <c r="U1372" s="164"/>
      <c r="V1372" s="1"/>
      <c r="X1372" s="101">
        <v>2</v>
      </c>
    </row>
    <row r="1373" spans="2:24" hidden="1">
      <c r="B1373" s="10" t="s">
        <v>3215</v>
      </c>
      <c r="C1373" s="24">
        <v>46224.741666666669</v>
      </c>
      <c r="D1373" s="10" t="s">
        <v>24</v>
      </c>
      <c r="E1373" s="10"/>
      <c r="F1373" s="28">
        <v>46224</v>
      </c>
      <c r="G1373" s="28" t="s">
        <v>1754</v>
      </c>
      <c r="H1373" s="10" t="s">
        <v>51</v>
      </c>
      <c r="I1373" s="10" t="s">
        <v>3216</v>
      </c>
      <c r="J1373" s="193">
        <v>11614301387</v>
      </c>
      <c r="K1373" s="181" t="s">
        <v>3217</v>
      </c>
      <c r="L1373" s="108">
        <v>22736844</v>
      </c>
      <c r="M1373" s="36">
        <v>5217297727263</v>
      </c>
      <c r="N1373" s="170" t="s">
        <v>37</v>
      </c>
      <c r="O1373" s="49">
        <v>13188.47</v>
      </c>
      <c r="P1373" s="96">
        <v>3815.68</v>
      </c>
      <c r="Q1373" s="12">
        <v>3956.54</v>
      </c>
      <c r="R1373" s="12">
        <v>140.86000000000001</v>
      </c>
      <c r="S1373" s="73">
        <v>46391</v>
      </c>
      <c r="T1373" s="10"/>
      <c r="U1373" s="97"/>
      <c r="V1373" s="1"/>
      <c r="X1373" s="101">
        <v>2</v>
      </c>
    </row>
    <row r="1374" spans="2:24" hidden="1">
      <c r="B1374" s="6" t="s">
        <v>3218</v>
      </c>
      <c r="C1374" s="23">
        <v>46224.741666666669</v>
      </c>
      <c r="D1374" s="6" t="s">
        <v>24</v>
      </c>
      <c r="E1374" s="6"/>
      <c r="F1374" s="28">
        <v>46224</v>
      </c>
      <c r="G1374" s="27" t="s">
        <v>2859</v>
      </c>
      <c r="H1374" s="6" t="s">
        <v>1625</v>
      </c>
      <c r="I1374" s="6" t="s">
        <v>3219</v>
      </c>
      <c r="J1374" s="192">
        <v>4665006864</v>
      </c>
      <c r="K1374" s="180" t="s">
        <v>3220</v>
      </c>
      <c r="L1374" s="115">
        <v>2</v>
      </c>
      <c r="M1374" s="37" t="s">
        <v>3221</v>
      </c>
      <c r="N1374" s="169" t="s">
        <v>32</v>
      </c>
      <c r="O1374" s="48">
        <v>3869.36</v>
      </c>
      <c r="P1374" s="95">
        <v>848</v>
      </c>
      <c r="Q1374" s="13">
        <v>1160.81</v>
      </c>
      <c r="R1374" s="13">
        <v>-848</v>
      </c>
      <c r="S1374" s="72"/>
      <c r="T1374" s="6"/>
      <c r="U1374" s="164"/>
      <c r="V1374" s="1"/>
      <c r="X1374" s="101">
        <v>1</v>
      </c>
    </row>
    <row r="1375" spans="2:24" hidden="1">
      <c r="B1375" s="10" t="s">
        <v>3222</v>
      </c>
      <c r="C1375" s="24">
        <v>46224.746527777781</v>
      </c>
      <c r="D1375" s="10" t="s">
        <v>24</v>
      </c>
      <c r="E1375" s="10"/>
      <c r="F1375" s="28">
        <v>46224</v>
      </c>
      <c r="G1375" s="28" t="s">
        <v>2604</v>
      </c>
      <c r="H1375" s="10" t="s">
        <v>68</v>
      </c>
      <c r="I1375" s="10" t="s">
        <v>3223</v>
      </c>
      <c r="J1375" s="193">
        <v>12844703020</v>
      </c>
      <c r="K1375" s="181" t="s">
        <v>3224</v>
      </c>
      <c r="L1375" s="108">
        <v>22859206</v>
      </c>
      <c r="M1375" s="36">
        <v>5214779169177</v>
      </c>
      <c r="N1375" s="170" t="s">
        <v>28</v>
      </c>
      <c r="O1375" s="49">
        <v>7363.38</v>
      </c>
      <c r="P1375" s="96">
        <v>848</v>
      </c>
      <c r="Q1375" s="12">
        <v>2209.0100000000002</v>
      </c>
      <c r="R1375" s="14">
        <v>1361.01</v>
      </c>
      <c r="S1375" s="73"/>
      <c r="T1375" s="10"/>
      <c r="U1375" s="97"/>
      <c r="V1375" s="1"/>
      <c r="X1375" s="101">
        <v>1</v>
      </c>
    </row>
    <row r="1376" spans="2:24" hidden="1">
      <c r="B1376" s="6" t="s">
        <v>3225</v>
      </c>
      <c r="C1376" s="23">
        <v>46224.747916666667</v>
      </c>
      <c r="D1376" s="6" t="s">
        <v>24</v>
      </c>
      <c r="E1376" s="6"/>
      <c r="F1376" s="28">
        <v>46224</v>
      </c>
      <c r="G1376" s="27" t="s">
        <v>2859</v>
      </c>
      <c r="H1376" s="7" t="s">
        <v>26</v>
      </c>
      <c r="I1376" s="6" t="s">
        <v>3226</v>
      </c>
      <c r="J1376" s="192">
        <v>90876835165</v>
      </c>
      <c r="K1376" s="180" t="s">
        <v>3227</v>
      </c>
      <c r="L1376" s="107">
        <v>22906620</v>
      </c>
      <c r="M1376" s="37">
        <v>5215535743129</v>
      </c>
      <c r="N1376" s="169" t="s">
        <v>98</v>
      </c>
      <c r="O1376" s="48"/>
      <c r="P1376" s="95"/>
      <c r="Q1376" s="13">
        <v>0</v>
      </c>
      <c r="R1376" s="13">
        <v>0</v>
      </c>
      <c r="S1376" s="72"/>
      <c r="T1376" s="6"/>
      <c r="U1376" s="164"/>
      <c r="V1376" s="1"/>
      <c r="X1376" s="101">
        <v>0</v>
      </c>
    </row>
    <row r="1377" spans="2:24" hidden="1">
      <c r="B1377" s="10" t="s">
        <v>3228</v>
      </c>
      <c r="C1377" s="24">
        <v>46224.747916666667</v>
      </c>
      <c r="D1377" s="10" t="s">
        <v>24</v>
      </c>
      <c r="E1377" s="10"/>
      <c r="F1377" s="28">
        <v>46224</v>
      </c>
      <c r="G1377" s="28" t="s">
        <v>2859</v>
      </c>
      <c r="H1377" s="15" t="s">
        <v>3036</v>
      </c>
      <c r="I1377" s="10" t="s">
        <v>3229</v>
      </c>
      <c r="J1377" s="193"/>
      <c r="K1377" s="181" t="s">
        <v>3230</v>
      </c>
      <c r="L1377" s="108">
        <v>22909516</v>
      </c>
      <c r="M1377" s="36">
        <v>5218715776584</v>
      </c>
      <c r="N1377" s="170" t="s">
        <v>32</v>
      </c>
      <c r="O1377" s="49">
        <v>1318.61</v>
      </c>
      <c r="P1377" s="96"/>
      <c r="Q1377" s="12">
        <v>395.58</v>
      </c>
      <c r="R1377" s="12">
        <v>0</v>
      </c>
      <c r="S1377" s="73"/>
      <c r="T1377" s="10"/>
      <c r="U1377" s="97"/>
      <c r="V1377" s="1"/>
      <c r="X1377" s="101">
        <v>1</v>
      </c>
    </row>
    <row r="1378" spans="2:24" hidden="1">
      <c r="B1378" s="6" t="s">
        <v>3231</v>
      </c>
      <c r="C1378" s="23">
        <v>46224.747916666667</v>
      </c>
      <c r="D1378" s="6" t="s">
        <v>24</v>
      </c>
      <c r="E1378" s="6"/>
      <c r="F1378" s="28">
        <v>46224</v>
      </c>
      <c r="G1378" s="27" t="s">
        <v>2859</v>
      </c>
      <c r="H1378" s="10" t="s">
        <v>127</v>
      </c>
      <c r="I1378" s="6" t="s">
        <v>3232</v>
      </c>
      <c r="J1378" s="192">
        <v>23796100420</v>
      </c>
      <c r="K1378" s="180" t="s">
        <v>3233</v>
      </c>
      <c r="L1378" s="107">
        <v>22895236</v>
      </c>
      <c r="M1378" s="37">
        <v>5216671541997</v>
      </c>
      <c r="N1378" s="169" t="s">
        <v>130</v>
      </c>
      <c r="O1378" s="48">
        <v>4636.7299999999996</v>
      </c>
      <c r="P1378" s="95">
        <v>763.86</v>
      </c>
      <c r="Q1378" s="13">
        <v>1391.02</v>
      </c>
      <c r="R1378" s="13">
        <v>-300.11</v>
      </c>
      <c r="S1378" s="72">
        <v>45662</v>
      </c>
      <c r="T1378" s="6"/>
      <c r="U1378" s="164"/>
      <c r="V1378" s="1"/>
      <c r="X1378" s="101">
        <v>2</v>
      </c>
    </row>
    <row r="1379" spans="2:24" hidden="1">
      <c r="B1379" s="10" t="s">
        <v>3231</v>
      </c>
      <c r="C1379" s="24">
        <v>46224.748611111114</v>
      </c>
      <c r="D1379" s="10" t="s">
        <v>24</v>
      </c>
      <c r="E1379" s="10"/>
      <c r="F1379" s="28">
        <v>46224</v>
      </c>
      <c r="G1379" s="28" t="s">
        <v>2859</v>
      </c>
      <c r="H1379" s="10" t="s">
        <v>127</v>
      </c>
      <c r="I1379" s="10" t="s">
        <v>3234</v>
      </c>
      <c r="J1379" s="193">
        <v>62735423972</v>
      </c>
      <c r="K1379" s="181" t="s">
        <v>3235</v>
      </c>
      <c r="L1379" s="108">
        <v>22900264</v>
      </c>
      <c r="M1379" s="36">
        <v>5212224567667</v>
      </c>
      <c r="N1379" s="170" t="s">
        <v>130</v>
      </c>
      <c r="O1379" s="49">
        <v>46565.64</v>
      </c>
      <c r="P1379" s="96">
        <v>13969.69</v>
      </c>
      <c r="Q1379" s="12">
        <v>13969.69</v>
      </c>
      <c r="R1379" s="12">
        <v>0</v>
      </c>
      <c r="S1379" s="73">
        <v>46024</v>
      </c>
      <c r="T1379" s="10"/>
      <c r="U1379" s="97"/>
      <c r="V1379" s="1"/>
      <c r="X1379" s="101">
        <v>2</v>
      </c>
    </row>
    <row r="1380" spans="2:24" hidden="1">
      <c r="B1380" s="6" t="s">
        <v>3236</v>
      </c>
      <c r="C1380" s="23">
        <v>46224.748611111114</v>
      </c>
      <c r="D1380" s="6" t="s">
        <v>24</v>
      </c>
      <c r="E1380" s="6"/>
      <c r="F1380" s="28">
        <v>46224</v>
      </c>
      <c r="G1380" s="27" t="s">
        <v>2604</v>
      </c>
      <c r="H1380" s="6" t="s">
        <v>127</v>
      </c>
      <c r="I1380" s="6" t="s">
        <v>3237</v>
      </c>
      <c r="J1380" s="192"/>
      <c r="K1380" s="180" t="s">
        <v>3238</v>
      </c>
      <c r="L1380" s="108">
        <v>22879108</v>
      </c>
      <c r="M1380" s="37">
        <v>5218681316208</v>
      </c>
      <c r="N1380" s="169" t="s">
        <v>37</v>
      </c>
      <c r="O1380" s="48">
        <v>7116.73</v>
      </c>
      <c r="P1380" s="95">
        <v>1971.89</v>
      </c>
      <c r="Q1380" s="13">
        <v>2135.02</v>
      </c>
      <c r="R1380" s="13">
        <v>163.13</v>
      </c>
      <c r="S1380" s="72">
        <v>46235</v>
      </c>
      <c r="T1380" s="6"/>
      <c r="U1380" s="164"/>
      <c r="V1380" s="1"/>
      <c r="X1380" s="101">
        <v>2</v>
      </c>
    </row>
    <row r="1381" spans="2:24" hidden="1">
      <c r="B1381" s="10" t="s">
        <v>3239</v>
      </c>
      <c r="C1381" s="24">
        <v>46224.75</v>
      </c>
      <c r="D1381" s="10" t="s">
        <v>24</v>
      </c>
      <c r="E1381" s="10"/>
      <c r="F1381" s="28">
        <v>46224</v>
      </c>
      <c r="G1381" s="28" t="s">
        <v>2859</v>
      </c>
      <c r="H1381" s="160" t="s">
        <v>3036</v>
      </c>
      <c r="I1381" s="10" t="s">
        <v>3240</v>
      </c>
      <c r="J1381" s="193">
        <v>82008305946</v>
      </c>
      <c r="K1381" s="181" t="s">
        <v>3241</v>
      </c>
      <c r="L1381" s="108">
        <v>22908836</v>
      </c>
      <c r="M1381" s="36">
        <v>5215525126884</v>
      </c>
      <c r="N1381" s="170" t="s">
        <v>28</v>
      </c>
      <c r="O1381" s="49">
        <v>5913.13</v>
      </c>
      <c r="P1381" s="96"/>
      <c r="Q1381" s="12">
        <v>1773.94</v>
      </c>
      <c r="R1381" s="14">
        <v>1740.15</v>
      </c>
      <c r="S1381" s="73"/>
      <c r="T1381" s="10"/>
      <c r="U1381" s="97"/>
      <c r="V1381" s="1"/>
      <c r="X1381" s="101">
        <v>1</v>
      </c>
    </row>
    <row r="1382" spans="2:24" hidden="1">
      <c r="B1382" s="6" t="s">
        <v>3242</v>
      </c>
      <c r="C1382" s="23">
        <v>46224.752083333333</v>
      </c>
      <c r="D1382" s="6" t="s">
        <v>24</v>
      </c>
      <c r="E1382" s="6"/>
      <c r="F1382" s="28">
        <v>46224</v>
      </c>
      <c r="G1382" s="27" t="s">
        <v>2859</v>
      </c>
      <c r="H1382" s="160" t="s">
        <v>3007</v>
      </c>
      <c r="I1382" s="6" t="s">
        <v>3243</v>
      </c>
      <c r="J1382" s="192">
        <v>89806320258</v>
      </c>
      <c r="K1382" s="180"/>
      <c r="L1382" s="117">
        <v>22906624</v>
      </c>
      <c r="M1382" s="37">
        <v>5535674978</v>
      </c>
      <c r="N1382" s="169" t="s">
        <v>130</v>
      </c>
      <c r="O1382" s="48">
        <v>30869.06</v>
      </c>
      <c r="P1382" s="95">
        <v>8933.5300000000007</v>
      </c>
      <c r="Q1382" s="13">
        <v>9260.7199999999993</v>
      </c>
      <c r="R1382" s="22">
        <v>327.19</v>
      </c>
      <c r="S1382" s="72">
        <v>45298</v>
      </c>
      <c r="T1382" s="6"/>
      <c r="U1382" s="164"/>
      <c r="V1382" s="1"/>
      <c r="X1382" s="101">
        <v>2</v>
      </c>
    </row>
    <row r="1383" spans="2:24" hidden="1">
      <c r="B1383" s="10" t="s">
        <v>3244</v>
      </c>
      <c r="C1383" s="24">
        <v>46224.754861111112</v>
      </c>
      <c r="D1383" s="10" t="s">
        <v>24</v>
      </c>
      <c r="E1383" s="10"/>
      <c r="F1383" s="28">
        <v>46224</v>
      </c>
      <c r="G1383" s="28" t="s">
        <v>2859</v>
      </c>
      <c r="H1383" s="160" t="s">
        <v>26</v>
      </c>
      <c r="I1383" s="10" t="s">
        <v>3245</v>
      </c>
      <c r="J1383" s="193">
        <v>15816321705</v>
      </c>
      <c r="K1383" s="181" t="s">
        <v>3246</v>
      </c>
      <c r="L1383" s="108">
        <v>22909188</v>
      </c>
      <c r="M1383" s="36">
        <v>5217778926044</v>
      </c>
      <c r="N1383" s="170" t="s">
        <v>47</v>
      </c>
      <c r="O1383" s="49">
        <v>11555.63</v>
      </c>
      <c r="P1383" s="96">
        <v>3100.4</v>
      </c>
      <c r="Q1383" s="12">
        <v>3466.69</v>
      </c>
      <c r="R1383" s="16">
        <v>366.29</v>
      </c>
      <c r="S1383" s="73">
        <v>46389</v>
      </c>
      <c r="T1383" s="10"/>
      <c r="U1383" s="97"/>
      <c r="V1383" s="1"/>
      <c r="X1383" s="101">
        <v>2</v>
      </c>
    </row>
    <row r="1384" spans="2:24" hidden="1">
      <c r="B1384" s="6" t="s">
        <v>3247</v>
      </c>
      <c r="C1384" s="23">
        <v>46224.770138888889</v>
      </c>
      <c r="D1384" s="6" t="s">
        <v>24</v>
      </c>
      <c r="E1384" s="6"/>
      <c r="F1384" s="28">
        <v>46224</v>
      </c>
      <c r="G1384" s="27" t="s">
        <v>2859</v>
      </c>
      <c r="H1384" s="6" t="s">
        <v>61</v>
      </c>
      <c r="I1384" s="6" t="s">
        <v>3248</v>
      </c>
      <c r="J1384" s="192"/>
      <c r="K1384" s="180" t="s">
        <v>3249</v>
      </c>
      <c r="L1384" s="107">
        <v>22907164</v>
      </c>
      <c r="M1384" s="37">
        <v>5215623617081</v>
      </c>
      <c r="N1384" s="169" t="s">
        <v>32</v>
      </c>
      <c r="O1384" s="48">
        <v>2039.39</v>
      </c>
      <c r="P1384" s="95"/>
      <c r="Q1384" s="13">
        <v>611.82000000000005</v>
      </c>
      <c r="R1384" s="13">
        <v>0</v>
      </c>
      <c r="S1384" s="72"/>
      <c r="T1384" s="6"/>
      <c r="U1384" s="164"/>
      <c r="V1384" s="1"/>
      <c r="X1384" s="101">
        <v>1</v>
      </c>
    </row>
    <row r="1385" spans="2:24" hidden="1">
      <c r="B1385" s="10" t="s">
        <v>3250</v>
      </c>
      <c r="C1385" s="24">
        <v>46224.777083333334</v>
      </c>
      <c r="D1385" s="10" t="s">
        <v>24</v>
      </c>
      <c r="E1385" s="10"/>
      <c r="F1385" s="28">
        <v>46224</v>
      </c>
      <c r="G1385" s="28" t="s">
        <v>2859</v>
      </c>
      <c r="H1385" s="10" t="s">
        <v>103</v>
      </c>
      <c r="I1385" s="10"/>
      <c r="J1385" s="193">
        <v>32008317169</v>
      </c>
      <c r="K1385" s="181"/>
      <c r="L1385" s="111">
        <v>1</v>
      </c>
      <c r="M1385" s="36">
        <v>8444431460</v>
      </c>
      <c r="N1385" s="170" t="s">
        <v>74</v>
      </c>
      <c r="O1385" s="49"/>
      <c r="P1385" s="96"/>
      <c r="Q1385" s="12">
        <v>0</v>
      </c>
      <c r="R1385" s="12">
        <v>0</v>
      </c>
      <c r="S1385" s="73"/>
      <c r="T1385" s="10"/>
      <c r="U1385" s="97"/>
      <c r="V1385" s="1"/>
      <c r="X1385" s="101">
        <v>1</v>
      </c>
    </row>
    <row r="1386" spans="2:24" hidden="1">
      <c r="B1386" s="6" t="s">
        <v>3251</v>
      </c>
      <c r="C1386" s="23">
        <v>46224.78125</v>
      </c>
      <c r="D1386" s="6" t="s">
        <v>24</v>
      </c>
      <c r="E1386" s="6"/>
      <c r="F1386" s="28">
        <v>46224</v>
      </c>
      <c r="G1386" s="27" t="s">
        <v>2859</v>
      </c>
      <c r="H1386" s="160" t="s">
        <v>26</v>
      </c>
      <c r="I1386" s="6" t="s">
        <v>3252</v>
      </c>
      <c r="J1386" s="192">
        <v>49937633730</v>
      </c>
      <c r="K1386" s="180"/>
      <c r="L1386" s="107">
        <v>22908874</v>
      </c>
      <c r="M1386" s="37">
        <v>5218991495732</v>
      </c>
      <c r="N1386" s="169" t="s">
        <v>28</v>
      </c>
      <c r="O1386" s="48">
        <v>7135.6</v>
      </c>
      <c r="P1386" s="95"/>
      <c r="Q1386" s="13">
        <v>2140.6799999999998</v>
      </c>
      <c r="R1386" s="9">
        <v>2140.6799999999998</v>
      </c>
      <c r="S1386" s="72"/>
      <c r="T1386" s="6"/>
      <c r="U1386" s="164"/>
      <c r="V1386" s="1"/>
      <c r="X1386" s="101">
        <v>1</v>
      </c>
    </row>
    <row r="1387" spans="2:24" hidden="1">
      <c r="B1387" s="10" t="s">
        <v>3253</v>
      </c>
      <c r="C1387" s="24">
        <v>46224.788194444445</v>
      </c>
      <c r="D1387" s="10" t="s">
        <v>24</v>
      </c>
      <c r="E1387" s="10"/>
      <c r="F1387" s="28">
        <v>46224</v>
      </c>
      <c r="G1387" s="28" t="s">
        <v>2859</v>
      </c>
      <c r="H1387" s="20" t="s">
        <v>71</v>
      </c>
      <c r="I1387" s="10" t="s">
        <v>3254</v>
      </c>
      <c r="J1387" s="193">
        <v>43877185223</v>
      </c>
      <c r="K1387" s="181" t="s">
        <v>3255</v>
      </c>
      <c r="L1387" s="108">
        <v>22911548</v>
      </c>
      <c r="M1387" s="36">
        <v>5213330071007</v>
      </c>
      <c r="N1387" s="170" t="s">
        <v>37</v>
      </c>
      <c r="O1387" s="49">
        <v>10348.790000000001</v>
      </c>
      <c r="P1387" s="96">
        <v>3102.51</v>
      </c>
      <c r="Q1387" s="12">
        <v>3104.64</v>
      </c>
      <c r="R1387" s="12">
        <v>2.13</v>
      </c>
      <c r="S1387" s="73">
        <v>46753</v>
      </c>
      <c r="T1387" s="10"/>
      <c r="U1387" s="97"/>
      <c r="V1387" s="1"/>
      <c r="X1387" s="101">
        <v>2</v>
      </c>
    </row>
    <row r="1388" spans="2:24" hidden="1">
      <c r="B1388" s="6" t="s">
        <v>3256</v>
      </c>
      <c r="C1388" s="23">
        <v>46224.799305555556</v>
      </c>
      <c r="D1388" s="6" t="s">
        <v>24</v>
      </c>
      <c r="E1388" s="6"/>
      <c r="F1388" s="27">
        <v>46224</v>
      </c>
      <c r="G1388" s="27" t="s">
        <v>2859</v>
      </c>
      <c r="H1388" s="160" t="s">
        <v>3036</v>
      </c>
      <c r="I1388" s="6" t="s">
        <v>3257</v>
      </c>
      <c r="J1388" s="192"/>
      <c r="K1388" s="180" t="s">
        <v>3258</v>
      </c>
      <c r="L1388" s="107">
        <v>22903664</v>
      </c>
      <c r="M1388" s="37">
        <v>5218180545514</v>
      </c>
      <c r="N1388" s="169" t="s">
        <v>28</v>
      </c>
      <c r="O1388" s="48">
        <v>10636.54</v>
      </c>
      <c r="P1388" s="95"/>
      <c r="Q1388" s="13">
        <v>3190.96</v>
      </c>
      <c r="R1388" s="9">
        <v>3190.96</v>
      </c>
      <c r="S1388" s="72"/>
      <c r="T1388" s="6"/>
      <c r="U1388" s="164"/>
      <c r="V1388" s="1"/>
      <c r="X1388" s="101">
        <v>1</v>
      </c>
    </row>
    <row r="1389" spans="2:24" hidden="1">
      <c r="B1389" s="10" t="s">
        <v>3259</v>
      </c>
      <c r="C1389" s="24">
        <v>46225.378472222219</v>
      </c>
      <c r="D1389" s="10" t="s">
        <v>24</v>
      </c>
      <c r="E1389" s="10"/>
      <c r="F1389" s="28">
        <v>46225</v>
      </c>
      <c r="G1389" s="28" t="s">
        <v>3260</v>
      </c>
      <c r="H1389" s="10" t="s">
        <v>1625</v>
      </c>
      <c r="I1389" s="10" t="s">
        <v>3261</v>
      </c>
      <c r="J1389" s="193">
        <v>1766001729</v>
      </c>
      <c r="K1389" s="179" t="s">
        <v>2625</v>
      </c>
      <c r="L1389" s="108">
        <v>2</v>
      </c>
      <c r="M1389" s="36" t="s">
        <v>3262</v>
      </c>
      <c r="N1389" s="170" t="s">
        <v>37</v>
      </c>
      <c r="O1389" s="49">
        <v>9081.52</v>
      </c>
      <c r="P1389" s="96">
        <v>2723.32</v>
      </c>
      <c r="Q1389" s="11">
        <v>2724.46</v>
      </c>
      <c r="R1389" s="12">
        <v>1.1399999999999999</v>
      </c>
      <c r="S1389" s="71">
        <v>46760</v>
      </c>
      <c r="T1389" s="10"/>
      <c r="U1389" s="97"/>
      <c r="V1389" s="1"/>
      <c r="X1389" s="101">
        <v>2</v>
      </c>
    </row>
    <row r="1390" spans="2:24" hidden="1">
      <c r="B1390" s="6" t="s">
        <v>3259</v>
      </c>
      <c r="C1390" s="23">
        <v>46225.381944444445</v>
      </c>
      <c r="D1390" s="6" t="s">
        <v>24</v>
      </c>
      <c r="E1390" s="6"/>
      <c r="F1390" s="28">
        <v>46225</v>
      </c>
      <c r="G1390" s="27" t="s">
        <v>3260</v>
      </c>
      <c r="H1390" s="6" t="s">
        <v>1625</v>
      </c>
      <c r="I1390" s="6" t="s">
        <v>3263</v>
      </c>
      <c r="J1390" s="192">
        <v>4867007629</v>
      </c>
      <c r="K1390" s="180" t="s">
        <v>3264</v>
      </c>
      <c r="L1390" s="108">
        <v>2</v>
      </c>
      <c r="M1390" s="37" t="s">
        <v>3265</v>
      </c>
      <c r="N1390" s="169" t="s">
        <v>37</v>
      </c>
      <c r="O1390" s="48">
        <v>5295.14</v>
      </c>
      <c r="P1390" s="95">
        <v>1081</v>
      </c>
      <c r="Q1390" s="8">
        <v>1588.54</v>
      </c>
      <c r="R1390" s="13">
        <v>41.16</v>
      </c>
      <c r="S1390" s="70">
        <v>46754</v>
      </c>
      <c r="T1390" s="6"/>
      <c r="U1390" s="164"/>
      <c r="V1390" s="1"/>
      <c r="X1390" s="101">
        <v>2</v>
      </c>
    </row>
    <row r="1391" spans="2:24" hidden="1">
      <c r="B1391" s="10" t="s">
        <v>3266</v>
      </c>
      <c r="C1391" s="24">
        <v>46225.406944444447</v>
      </c>
      <c r="D1391" s="10" t="s">
        <v>24</v>
      </c>
      <c r="E1391" s="10"/>
      <c r="F1391" s="28">
        <v>46225</v>
      </c>
      <c r="G1391" s="28" t="s">
        <v>2142</v>
      </c>
      <c r="H1391" s="20" t="s">
        <v>170</v>
      </c>
      <c r="I1391" s="10" t="s">
        <v>3267</v>
      </c>
      <c r="J1391" s="193"/>
      <c r="K1391" s="181" t="s">
        <v>3268</v>
      </c>
      <c r="L1391" s="108">
        <v>22790100</v>
      </c>
      <c r="M1391" s="36">
        <v>5214851290079</v>
      </c>
      <c r="N1391" s="170" t="s">
        <v>37</v>
      </c>
      <c r="O1391" s="49">
        <v>9081.5499999999993</v>
      </c>
      <c r="P1391" s="96">
        <v>2625.25</v>
      </c>
      <c r="Q1391" s="11">
        <v>2724.47</v>
      </c>
      <c r="R1391" s="12">
        <v>99.21</v>
      </c>
      <c r="S1391" s="71">
        <v>46296</v>
      </c>
      <c r="T1391" s="10"/>
      <c r="U1391" s="97"/>
      <c r="V1391" s="1"/>
      <c r="X1391" s="101">
        <v>2</v>
      </c>
    </row>
    <row r="1392" spans="2:24" hidden="1">
      <c r="B1392" s="6" t="s">
        <v>3269</v>
      </c>
      <c r="C1392" s="23">
        <v>46225.409722222219</v>
      </c>
      <c r="D1392" s="6" t="s">
        <v>24</v>
      </c>
      <c r="E1392" s="6"/>
      <c r="F1392" s="28">
        <v>46225</v>
      </c>
      <c r="G1392" s="27" t="s">
        <v>3260</v>
      </c>
      <c r="H1392" s="10" t="s">
        <v>1625</v>
      </c>
      <c r="I1392" s="6" t="s">
        <v>3270</v>
      </c>
      <c r="J1392" s="192">
        <v>1603413392</v>
      </c>
      <c r="K1392" s="180" t="s">
        <v>3271</v>
      </c>
      <c r="L1392" s="115">
        <v>2</v>
      </c>
      <c r="M1392" s="37" t="s">
        <v>3272</v>
      </c>
      <c r="N1392" s="169" t="s">
        <v>106</v>
      </c>
      <c r="O1392" s="48">
        <v>5636.59</v>
      </c>
      <c r="P1392" s="95">
        <v>1564.91</v>
      </c>
      <c r="Q1392" s="8">
        <v>1690.98</v>
      </c>
      <c r="R1392" s="13">
        <v>-101.3</v>
      </c>
      <c r="S1392" s="70">
        <v>46029</v>
      </c>
      <c r="T1392" s="6"/>
      <c r="U1392" s="164"/>
      <c r="V1392" s="1"/>
      <c r="X1392" s="101">
        <v>2</v>
      </c>
    </row>
    <row r="1393" spans="2:24" hidden="1">
      <c r="B1393" s="10" t="s">
        <v>3273</v>
      </c>
      <c r="C1393" s="24">
        <v>46225.417361111111</v>
      </c>
      <c r="D1393" s="10" t="s">
        <v>24</v>
      </c>
      <c r="E1393" s="10"/>
      <c r="F1393" s="28">
        <v>46225</v>
      </c>
      <c r="G1393" s="28" t="s">
        <v>3260</v>
      </c>
      <c r="H1393" s="10" t="s">
        <v>1629</v>
      </c>
      <c r="I1393" s="10" t="s">
        <v>3274</v>
      </c>
      <c r="J1393" s="202">
        <v>43816454912</v>
      </c>
      <c r="K1393" s="179" t="s">
        <v>3275</v>
      </c>
      <c r="L1393" s="108">
        <v>2</v>
      </c>
      <c r="M1393" s="36">
        <v>8182769757</v>
      </c>
      <c r="N1393" s="170" t="s">
        <v>37</v>
      </c>
      <c r="O1393" s="49">
        <v>9081.52</v>
      </c>
      <c r="P1393" s="96">
        <v>2709.76</v>
      </c>
      <c r="Q1393" s="11">
        <v>2724.46</v>
      </c>
      <c r="R1393" s="12">
        <v>14.7</v>
      </c>
      <c r="S1393" s="71">
        <v>46390</v>
      </c>
      <c r="T1393" s="10"/>
      <c r="U1393" s="97"/>
      <c r="V1393" s="1"/>
      <c r="X1393" s="101">
        <v>2</v>
      </c>
    </row>
    <row r="1394" spans="2:24" hidden="1">
      <c r="B1394" s="6" t="s">
        <v>3276</v>
      </c>
      <c r="C1394" s="23">
        <v>46225.42291666667</v>
      </c>
      <c r="D1394" s="6" t="s">
        <v>24</v>
      </c>
      <c r="E1394" s="6"/>
      <c r="F1394" s="28">
        <v>46225</v>
      </c>
      <c r="G1394" s="27" t="s">
        <v>2859</v>
      </c>
      <c r="H1394" s="6" t="s">
        <v>51</v>
      </c>
      <c r="I1394" s="6" t="s">
        <v>3277</v>
      </c>
      <c r="J1394" s="192"/>
      <c r="K1394" s="180" t="s">
        <v>3278</v>
      </c>
      <c r="L1394" s="108">
        <v>22915678</v>
      </c>
      <c r="M1394" s="37">
        <v>5212224226542</v>
      </c>
      <c r="N1394" s="169" t="s">
        <v>37</v>
      </c>
      <c r="O1394" s="48">
        <v>24037.94</v>
      </c>
      <c r="P1394" s="95">
        <v>6951.04</v>
      </c>
      <c r="Q1394" s="8">
        <v>7211.38</v>
      </c>
      <c r="R1394" s="13">
        <v>260.33999999999997</v>
      </c>
      <c r="S1394" s="70">
        <v>46395</v>
      </c>
      <c r="T1394" s="6"/>
      <c r="U1394" s="164"/>
      <c r="V1394" s="1"/>
      <c r="X1394" s="101">
        <v>2</v>
      </c>
    </row>
    <row r="1395" spans="2:24" hidden="1">
      <c r="B1395" s="10" t="s">
        <v>3279</v>
      </c>
      <c r="C1395" s="24">
        <v>46225.429861111108</v>
      </c>
      <c r="D1395" s="10" t="s">
        <v>24</v>
      </c>
      <c r="E1395" s="10"/>
      <c r="F1395" s="28">
        <v>46225</v>
      </c>
      <c r="G1395" s="28" t="s">
        <v>3260</v>
      </c>
      <c r="H1395" s="10" t="s">
        <v>1629</v>
      </c>
      <c r="I1395" s="10" t="s">
        <v>3280</v>
      </c>
      <c r="J1395" s="202">
        <v>6796242409</v>
      </c>
      <c r="K1395" s="181" t="s">
        <v>3281</v>
      </c>
      <c r="L1395" s="108">
        <v>2</v>
      </c>
      <c r="M1395" s="36">
        <v>5661451138</v>
      </c>
      <c r="N1395" s="170" t="s">
        <v>37</v>
      </c>
      <c r="O1395" s="49">
        <v>9081.52</v>
      </c>
      <c r="P1395" s="96">
        <v>2521.2800000000002</v>
      </c>
      <c r="Q1395" s="11">
        <v>2724.46</v>
      </c>
      <c r="R1395" s="12">
        <v>203.18</v>
      </c>
      <c r="S1395" s="71">
        <v>46030</v>
      </c>
      <c r="T1395" s="10"/>
      <c r="U1395" s="97"/>
      <c r="V1395" s="1"/>
      <c r="X1395" s="101">
        <v>2</v>
      </c>
    </row>
    <row r="1396" spans="2:24" hidden="1">
      <c r="B1396" s="6" t="s">
        <v>3282</v>
      </c>
      <c r="C1396" s="23">
        <v>46225.431250000001</v>
      </c>
      <c r="D1396" s="6" t="s">
        <v>24</v>
      </c>
      <c r="E1396" s="6"/>
      <c r="F1396" s="28">
        <v>46225</v>
      </c>
      <c r="G1396" s="27" t="s">
        <v>2859</v>
      </c>
      <c r="H1396" s="6" t="s">
        <v>51</v>
      </c>
      <c r="I1396" s="6" t="s">
        <v>3283</v>
      </c>
      <c r="J1396" s="192">
        <v>49826123452</v>
      </c>
      <c r="K1396" s="180" t="s">
        <v>3284</v>
      </c>
      <c r="L1396" s="108">
        <v>22898372</v>
      </c>
      <c r="M1396" s="37">
        <v>5218332881974</v>
      </c>
      <c r="N1396" s="169" t="s">
        <v>37</v>
      </c>
      <c r="O1396" s="48">
        <v>9760.2900000000009</v>
      </c>
      <c r="P1396" s="95">
        <v>2807.46</v>
      </c>
      <c r="Q1396" s="8">
        <v>2928.09</v>
      </c>
      <c r="R1396" s="13">
        <v>120.63</v>
      </c>
      <c r="S1396" s="70">
        <v>46394</v>
      </c>
      <c r="T1396" s="6" t="s">
        <v>178</v>
      </c>
      <c r="U1396" s="164"/>
      <c r="V1396" s="1"/>
      <c r="X1396" s="101">
        <v>2</v>
      </c>
    </row>
    <row r="1397" spans="2:24" hidden="1">
      <c r="B1397" s="10" t="s">
        <v>3285</v>
      </c>
      <c r="C1397" s="24">
        <v>46225.431944444441</v>
      </c>
      <c r="D1397" s="10" t="s">
        <v>24</v>
      </c>
      <c r="E1397" s="10"/>
      <c r="F1397" s="28">
        <v>46225</v>
      </c>
      <c r="G1397" s="28" t="s">
        <v>2142</v>
      </c>
      <c r="H1397" s="10" t="s">
        <v>93</v>
      </c>
      <c r="I1397" s="10" t="s">
        <v>3286</v>
      </c>
      <c r="J1397" s="193"/>
      <c r="K1397" s="181" t="s">
        <v>3287</v>
      </c>
      <c r="L1397" s="108">
        <v>22798148</v>
      </c>
      <c r="M1397" s="36">
        <v>5652364718</v>
      </c>
      <c r="N1397" s="170" t="s">
        <v>37</v>
      </c>
      <c r="O1397" s="49">
        <v>5617.63</v>
      </c>
      <c r="P1397" s="96">
        <v>1335.95</v>
      </c>
      <c r="Q1397" s="11">
        <v>1685.29</v>
      </c>
      <c r="R1397" s="12">
        <v>108.7</v>
      </c>
      <c r="S1397" s="71">
        <v>46266</v>
      </c>
      <c r="T1397" s="10"/>
      <c r="U1397" s="97"/>
      <c r="V1397" s="1"/>
      <c r="X1397" s="101">
        <v>2</v>
      </c>
    </row>
    <row r="1398" spans="2:24" hidden="1">
      <c r="B1398" s="6" t="s">
        <v>3288</v>
      </c>
      <c r="C1398" s="23">
        <v>46225.436805555553</v>
      </c>
      <c r="D1398" s="6" t="s">
        <v>24</v>
      </c>
      <c r="E1398" s="6"/>
      <c r="F1398" s="28">
        <v>46225</v>
      </c>
      <c r="G1398" s="27" t="s">
        <v>2859</v>
      </c>
      <c r="H1398" s="7" t="s">
        <v>476</v>
      </c>
      <c r="I1398" s="6" t="s">
        <v>3289</v>
      </c>
      <c r="J1398" s="204"/>
      <c r="K1398" s="180" t="s">
        <v>3290</v>
      </c>
      <c r="L1398" s="108">
        <v>22911594</v>
      </c>
      <c r="M1398" s="37">
        <v>5218713925140</v>
      </c>
      <c r="N1398" s="169" t="s">
        <v>37</v>
      </c>
      <c r="O1398" s="48">
        <v>4500.4399999999996</v>
      </c>
      <c r="P1398" s="95">
        <v>315.8</v>
      </c>
      <c r="Q1398" s="8">
        <v>1350.13</v>
      </c>
      <c r="R1398" s="13">
        <v>11.66</v>
      </c>
      <c r="S1398" s="70">
        <v>46399</v>
      </c>
      <c r="T1398" s="6"/>
      <c r="U1398" s="164"/>
      <c r="V1398" s="1"/>
      <c r="X1398" s="101">
        <v>2</v>
      </c>
    </row>
    <row r="1399" spans="2:24" hidden="1">
      <c r="B1399" s="10" t="s">
        <v>3291</v>
      </c>
      <c r="C1399" s="24">
        <v>46225.439583333333</v>
      </c>
      <c r="D1399" s="10" t="s">
        <v>24</v>
      </c>
      <c r="E1399" s="10"/>
      <c r="F1399" s="28">
        <v>46225</v>
      </c>
      <c r="G1399" s="28" t="s">
        <v>2859</v>
      </c>
      <c r="H1399" s="10" t="s">
        <v>269</v>
      </c>
      <c r="I1399" s="10" t="s">
        <v>3292</v>
      </c>
      <c r="J1399" s="195">
        <v>1795616323</v>
      </c>
      <c r="K1399" s="181"/>
      <c r="L1399" s="108">
        <v>22916274</v>
      </c>
      <c r="M1399" s="36">
        <v>5214426857520</v>
      </c>
      <c r="N1399" s="170" t="s">
        <v>37</v>
      </c>
      <c r="O1399" s="49">
        <v>10356.120000000001</v>
      </c>
      <c r="P1399" s="96">
        <v>2994.31</v>
      </c>
      <c r="Q1399" s="11">
        <v>3106.84</v>
      </c>
      <c r="R1399" s="12">
        <v>112.53</v>
      </c>
      <c r="S1399" s="71">
        <v>46388</v>
      </c>
      <c r="T1399" s="10"/>
      <c r="U1399" s="97"/>
      <c r="V1399" s="1"/>
      <c r="X1399" s="101">
        <v>2</v>
      </c>
    </row>
    <row r="1400" spans="2:24" hidden="1">
      <c r="B1400" s="6" t="s">
        <v>3291</v>
      </c>
      <c r="C1400" s="23">
        <v>46225.44027777778</v>
      </c>
      <c r="D1400" s="6" t="s">
        <v>24</v>
      </c>
      <c r="E1400" s="6"/>
      <c r="F1400" s="28">
        <v>46225</v>
      </c>
      <c r="G1400" s="27" t="s">
        <v>2604</v>
      </c>
      <c r="H1400" s="6" t="s">
        <v>93</v>
      </c>
      <c r="I1400" s="6" t="s">
        <v>3293</v>
      </c>
      <c r="J1400" s="196">
        <v>12806311606</v>
      </c>
      <c r="K1400" s="180" t="s">
        <v>3294</v>
      </c>
      <c r="L1400" s="108">
        <v>22849650</v>
      </c>
      <c r="M1400" s="37">
        <v>4721804739</v>
      </c>
      <c r="N1400" s="169" t="s">
        <v>37</v>
      </c>
      <c r="O1400" s="48">
        <v>7128.48</v>
      </c>
      <c r="P1400" s="95">
        <v>2060</v>
      </c>
      <c r="Q1400" s="8">
        <v>2138.54</v>
      </c>
      <c r="R1400" s="13">
        <v>78.540000000000006</v>
      </c>
      <c r="S1400" s="70">
        <v>46391</v>
      </c>
      <c r="T1400" s="6"/>
      <c r="U1400" s="164"/>
      <c r="V1400" s="1"/>
      <c r="X1400" s="101">
        <v>2</v>
      </c>
    </row>
    <row r="1401" spans="2:24" hidden="1">
      <c r="B1401" s="10" t="s">
        <v>3295</v>
      </c>
      <c r="C1401" s="24">
        <v>46225.446527777778</v>
      </c>
      <c r="D1401" s="10" t="s">
        <v>24</v>
      </c>
      <c r="E1401" s="10"/>
      <c r="F1401" s="28">
        <v>46225</v>
      </c>
      <c r="G1401" s="28" t="s">
        <v>3260</v>
      </c>
      <c r="H1401" s="10" t="s">
        <v>81</v>
      </c>
      <c r="I1401" s="10" t="s">
        <v>3296</v>
      </c>
      <c r="J1401" s="195">
        <v>31927637459</v>
      </c>
      <c r="K1401" s="181"/>
      <c r="L1401" s="108">
        <v>22982602</v>
      </c>
      <c r="M1401" s="36">
        <v>5217727496976</v>
      </c>
      <c r="N1401" s="170" t="s">
        <v>74</v>
      </c>
      <c r="O1401" s="49"/>
      <c r="P1401" s="96"/>
      <c r="Q1401" s="11">
        <v>0</v>
      </c>
      <c r="R1401" s="12">
        <v>0</v>
      </c>
      <c r="S1401" s="71"/>
      <c r="T1401" s="10"/>
      <c r="U1401" s="97"/>
      <c r="V1401" s="1"/>
      <c r="X1401" s="101">
        <v>1</v>
      </c>
    </row>
    <row r="1402" spans="2:24" hidden="1">
      <c r="B1402" s="6" t="s">
        <v>3285</v>
      </c>
      <c r="C1402" s="23">
        <v>46225.447222222225</v>
      </c>
      <c r="D1402" s="6" t="s">
        <v>24</v>
      </c>
      <c r="E1402" s="6"/>
      <c r="F1402" s="28">
        <v>46225</v>
      </c>
      <c r="G1402" s="27" t="s">
        <v>2859</v>
      </c>
      <c r="H1402" s="10" t="s">
        <v>51</v>
      </c>
      <c r="I1402" s="6" t="s">
        <v>3297</v>
      </c>
      <c r="J1402" s="196">
        <v>56917226153</v>
      </c>
      <c r="K1402" s="180" t="s">
        <v>3298</v>
      </c>
      <c r="L1402" s="107">
        <v>22913532</v>
      </c>
      <c r="M1402" s="37">
        <v>5213316019601</v>
      </c>
      <c r="N1402" s="169" t="s">
        <v>106</v>
      </c>
      <c r="O1402" s="48">
        <v>12042.88</v>
      </c>
      <c r="P1402" s="95">
        <v>3333.97</v>
      </c>
      <c r="Q1402" s="8">
        <v>3612.86</v>
      </c>
      <c r="R1402" s="13">
        <v>278.89</v>
      </c>
      <c r="S1402" s="70">
        <v>46024</v>
      </c>
      <c r="T1402" s="6"/>
      <c r="U1402" s="164"/>
      <c r="V1402" s="1"/>
      <c r="X1402" s="101">
        <v>2</v>
      </c>
    </row>
    <row r="1403" spans="2:24" hidden="1">
      <c r="B1403" s="10" t="s">
        <v>3299</v>
      </c>
      <c r="C1403" s="24">
        <v>46225.450694444444</v>
      </c>
      <c r="D1403" s="10" t="s">
        <v>24</v>
      </c>
      <c r="E1403" s="10"/>
      <c r="F1403" s="28">
        <v>46225</v>
      </c>
      <c r="G1403" s="28" t="s">
        <v>2859</v>
      </c>
      <c r="H1403" s="10" t="s">
        <v>68</v>
      </c>
      <c r="I1403" s="10" t="s">
        <v>3300</v>
      </c>
      <c r="J1403" s="195">
        <v>42886502816</v>
      </c>
      <c r="K1403" s="181" t="s">
        <v>3301</v>
      </c>
      <c r="L1403" s="108">
        <v>22912148</v>
      </c>
      <c r="M1403" s="36">
        <v>5219652250557</v>
      </c>
      <c r="N1403" s="170" t="s">
        <v>37</v>
      </c>
      <c r="O1403" s="49">
        <v>10171.24</v>
      </c>
      <c r="P1403" s="96">
        <v>2942.78</v>
      </c>
      <c r="Q1403" s="11">
        <v>3051.37</v>
      </c>
      <c r="R1403" s="12">
        <v>108.59</v>
      </c>
      <c r="S1403" s="71">
        <v>46753</v>
      </c>
      <c r="T1403" s="10"/>
      <c r="U1403" s="97"/>
      <c r="V1403" s="1"/>
      <c r="X1403" s="101">
        <v>2</v>
      </c>
    </row>
    <row r="1404" spans="2:24" hidden="1">
      <c r="B1404" s="6" t="s">
        <v>3302</v>
      </c>
      <c r="C1404" s="23">
        <v>46225.455555555556</v>
      </c>
      <c r="D1404" s="6" t="s">
        <v>24</v>
      </c>
      <c r="E1404" s="6"/>
      <c r="F1404" s="28">
        <v>46225</v>
      </c>
      <c r="G1404" s="27" t="s">
        <v>3260</v>
      </c>
      <c r="H1404" s="6" t="s">
        <v>1519</v>
      </c>
      <c r="I1404" s="6" t="s">
        <v>3303</v>
      </c>
      <c r="J1404" s="196">
        <v>28917201734</v>
      </c>
      <c r="K1404" s="169" t="s">
        <v>3304</v>
      </c>
      <c r="L1404" s="108">
        <v>22981700</v>
      </c>
      <c r="M1404" s="37">
        <v>5217131078138</v>
      </c>
      <c r="N1404" s="169" t="s">
        <v>37</v>
      </c>
      <c r="O1404" s="48">
        <v>14432.94</v>
      </c>
      <c r="P1404" s="95">
        <v>4174.7700000000004</v>
      </c>
      <c r="Q1404" s="8">
        <v>4329.88</v>
      </c>
      <c r="R1404" s="13">
        <v>155.11000000000001</v>
      </c>
      <c r="S1404" s="70">
        <v>46399</v>
      </c>
      <c r="T1404" s="6"/>
      <c r="U1404" s="164"/>
      <c r="V1404" s="1"/>
      <c r="X1404" s="101">
        <v>2</v>
      </c>
    </row>
    <row r="1405" spans="2:24" hidden="1">
      <c r="B1405" s="10" t="s">
        <v>3305</v>
      </c>
      <c r="C1405" s="24">
        <v>46225.456250000003</v>
      </c>
      <c r="D1405" s="10" t="s">
        <v>24</v>
      </c>
      <c r="E1405" s="10"/>
      <c r="F1405" s="28">
        <v>46225</v>
      </c>
      <c r="G1405" s="28" t="s">
        <v>3260</v>
      </c>
      <c r="H1405" s="160" t="s">
        <v>3022</v>
      </c>
      <c r="I1405" s="10" t="s">
        <v>3306</v>
      </c>
      <c r="J1405" s="195">
        <v>43917446270</v>
      </c>
      <c r="K1405" s="181"/>
      <c r="L1405" s="108">
        <v>22989752</v>
      </c>
      <c r="M1405" s="36">
        <v>8184598427</v>
      </c>
      <c r="N1405" s="170" t="s">
        <v>106</v>
      </c>
      <c r="O1405" s="49">
        <v>8845.49</v>
      </c>
      <c r="P1405" s="96">
        <v>2354.46</v>
      </c>
      <c r="Q1405" s="11">
        <v>2653.65</v>
      </c>
      <c r="R1405" s="12">
        <v>299.19</v>
      </c>
      <c r="S1405" s="71">
        <v>46028</v>
      </c>
      <c r="T1405" s="10"/>
      <c r="U1405" s="97"/>
      <c r="V1405" s="1"/>
      <c r="X1405" s="101">
        <v>2</v>
      </c>
    </row>
    <row r="1406" spans="2:24" hidden="1">
      <c r="B1406" s="6" t="s">
        <v>3307</v>
      </c>
      <c r="C1406" s="23">
        <v>46225.456944444442</v>
      </c>
      <c r="D1406" s="6" t="s">
        <v>24</v>
      </c>
      <c r="E1406" s="6"/>
      <c r="F1406" s="28">
        <v>46225</v>
      </c>
      <c r="G1406" s="27" t="s">
        <v>3260</v>
      </c>
      <c r="H1406" s="6" t="s">
        <v>68</v>
      </c>
      <c r="I1406" s="6" t="s">
        <v>3308</v>
      </c>
      <c r="J1406" s="196"/>
      <c r="K1406" s="183" t="s">
        <v>3309</v>
      </c>
      <c r="L1406" s="107">
        <v>22980448</v>
      </c>
      <c r="M1406" s="37">
        <v>5214774515887</v>
      </c>
      <c r="N1406" s="169" t="s">
        <v>32</v>
      </c>
      <c r="O1406" s="48">
        <v>2140.6799999999998</v>
      </c>
      <c r="P1406" s="95"/>
      <c r="Q1406" s="8">
        <v>642.20000000000005</v>
      </c>
      <c r="R1406" s="13">
        <v>0</v>
      </c>
      <c r="S1406" s="70"/>
      <c r="T1406" s="6"/>
      <c r="U1406" s="164"/>
      <c r="V1406" s="1"/>
      <c r="X1406" s="101">
        <v>1</v>
      </c>
    </row>
    <row r="1407" spans="2:24" hidden="1">
      <c r="B1407" s="10" t="s">
        <v>3310</v>
      </c>
      <c r="C1407" s="24">
        <v>46225.461111111108</v>
      </c>
      <c r="D1407" s="10" t="s">
        <v>24</v>
      </c>
      <c r="E1407" s="10"/>
      <c r="F1407" s="28">
        <v>46225</v>
      </c>
      <c r="G1407" s="28" t="s">
        <v>2859</v>
      </c>
      <c r="H1407" s="10" t="s">
        <v>269</v>
      </c>
      <c r="I1407" s="10" t="s">
        <v>3311</v>
      </c>
      <c r="J1407" s="195">
        <v>75947615938</v>
      </c>
      <c r="K1407" s="181" t="s">
        <v>3312</v>
      </c>
      <c r="L1407" s="108">
        <v>22913056</v>
      </c>
      <c r="M1407" s="36">
        <v>22913056</v>
      </c>
      <c r="N1407" s="170" t="s">
        <v>37</v>
      </c>
      <c r="O1407" s="49">
        <v>9163.2800000000007</v>
      </c>
      <c r="P1407" s="96">
        <v>2567.84</v>
      </c>
      <c r="Q1407" s="11">
        <v>2748.98</v>
      </c>
      <c r="R1407" s="12">
        <v>181.14</v>
      </c>
      <c r="S1407" s="71">
        <v>46393</v>
      </c>
      <c r="T1407" s="10"/>
      <c r="U1407" s="97"/>
      <c r="V1407" s="1"/>
      <c r="X1407" s="101">
        <v>2</v>
      </c>
    </row>
    <row r="1408" spans="2:24" hidden="1">
      <c r="B1408" s="6" t="s">
        <v>3313</v>
      </c>
      <c r="C1408" s="23">
        <v>46225.465277777781</v>
      </c>
      <c r="D1408" s="6" t="s">
        <v>24</v>
      </c>
      <c r="E1408" s="6"/>
      <c r="F1408" s="28">
        <v>46225</v>
      </c>
      <c r="G1408" s="27" t="s">
        <v>2859</v>
      </c>
      <c r="H1408" s="10" t="s">
        <v>51</v>
      </c>
      <c r="I1408" s="6" t="s">
        <v>3314</v>
      </c>
      <c r="J1408" s="196">
        <v>33816084462</v>
      </c>
      <c r="K1408" s="180" t="s">
        <v>3315</v>
      </c>
      <c r="L1408" s="107">
        <v>22914430</v>
      </c>
      <c r="M1408" s="37">
        <v>5216484696204</v>
      </c>
      <c r="N1408" s="169" t="s">
        <v>28</v>
      </c>
      <c r="O1408" s="48">
        <v>6760.29</v>
      </c>
      <c r="P1408" s="95"/>
      <c r="Q1408" s="8">
        <v>2028.09</v>
      </c>
      <c r="R1408" s="9">
        <v>2028.09</v>
      </c>
      <c r="S1408" s="70"/>
      <c r="T1408" s="6"/>
      <c r="U1408" s="164"/>
      <c r="V1408" s="1"/>
      <c r="X1408" s="101">
        <v>1</v>
      </c>
    </row>
    <row r="1409" spans="2:24" hidden="1">
      <c r="B1409" s="10" t="s">
        <v>3316</v>
      </c>
      <c r="C1409" s="24">
        <v>46225.473611111112</v>
      </c>
      <c r="D1409" s="10" t="s">
        <v>24</v>
      </c>
      <c r="E1409" s="10"/>
      <c r="F1409" s="28">
        <v>46225</v>
      </c>
      <c r="G1409" s="28" t="s">
        <v>2859</v>
      </c>
      <c r="H1409" s="10" t="s">
        <v>269</v>
      </c>
      <c r="I1409" s="10" t="s">
        <v>3317</v>
      </c>
      <c r="J1409" s="195"/>
      <c r="K1409" s="181" t="s">
        <v>3318</v>
      </c>
      <c r="L1409" s="108">
        <v>22915666</v>
      </c>
      <c r="M1409" s="36">
        <v>5218451021428</v>
      </c>
      <c r="N1409" s="170" t="s">
        <v>37</v>
      </c>
      <c r="O1409" s="49">
        <v>6914.9</v>
      </c>
      <c r="P1409" s="96">
        <v>1917.09</v>
      </c>
      <c r="Q1409" s="11">
        <v>2074.4699999999998</v>
      </c>
      <c r="R1409" s="12">
        <v>157.38</v>
      </c>
      <c r="S1409" s="71">
        <v>46357</v>
      </c>
      <c r="T1409" s="10"/>
      <c r="U1409" s="97"/>
      <c r="V1409" s="1"/>
      <c r="X1409" s="101">
        <v>2</v>
      </c>
    </row>
    <row r="1410" spans="2:24" hidden="1">
      <c r="B1410" s="6" t="s">
        <v>3319</v>
      </c>
      <c r="C1410" s="23">
        <v>46225.474999999999</v>
      </c>
      <c r="D1410" s="6" t="s">
        <v>24</v>
      </c>
      <c r="E1410" s="6"/>
      <c r="F1410" s="28">
        <v>46225</v>
      </c>
      <c r="G1410" s="27" t="s">
        <v>3260</v>
      </c>
      <c r="H1410" s="6" t="s">
        <v>1519</v>
      </c>
      <c r="I1410" s="6" t="s">
        <v>3320</v>
      </c>
      <c r="J1410" s="196">
        <v>24664500014</v>
      </c>
      <c r="K1410" s="180" t="s">
        <v>3321</v>
      </c>
      <c r="L1410" s="108">
        <v>22983614</v>
      </c>
      <c r="M1410" s="37">
        <v>5216624263230</v>
      </c>
      <c r="N1410" s="169" t="s">
        <v>37</v>
      </c>
      <c r="O1410" s="48">
        <v>24709.7</v>
      </c>
      <c r="P1410" s="95">
        <v>7131.44</v>
      </c>
      <c r="Q1410" s="8">
        <v>7412.91</v>
      </c>
      <c r="R1410" s="13">
        <v>281.47000000000003</v>
      </c>
      <c r="S1410" s="70">
        <v>46388</v>
      </c>
      <c r="T1410" s="6" t="s">
        <v>3322</v>
      </c>
      <c r="U1410" s="164"/>
      <c r="V1410" s="1"/>
      <c r="X1410" s="101">
        <v>2</v>
      </c>
    </row>
    <row r="1411" spans="2:24" hidden="1">
      <c r="B1411" s="10" t="s">
        <v>3323</v>
      </c>
      <c r="C1411" s="24">
        <v>46225.476388888892</v>
      </c>
      <c r="D1411" s="10" t="s">
        <v>24</v>
      </c>
      <c r="E1411" s="10"/>
      <c r="F1411" s="28">
        <v>46225</v>
      </c>
      <c r="G1411" s="28" t="s">
        <v>3260</v>
      </c>
      <c r="H1411" s="10" t="s">
        <v>78</v>
      </c>
      <c r="I1411" s="10" t="s">
        <v>3324</v>
      </c>
      <c r="J1411" s="195">
        <v>3483640935</v>
      </c>
      <c r="K1411" s="181" t="s">
        <v>3325</v>
      </c>
      <c r="L1411" s="108">
        <v>22948896</v>
      </c>
      <c r="M1411" s="36">
        <v>5213345741528</v>
      </c>
      <c r="N1411" s="170" t="s">
        <v>37</v>
      </c>
      <c r="O1411" s="49">
        <v>9081.52</v>
      </c>
      <c r="P1411" s="96">
        <v>2616.4499999999998</v>
      </c>
      <c r="Q1411" s="11">
        <v>2724.46</v>
      </c>
      <c r="R1411" s="12">
        <v>108.01</v>
      </c>
      <c r="S1411" s="71">
        <v>46391</v>
      </c>
      <c r="T1411" s="10"/>
      <c r="U1411" s="97"/>
      <c r="V1411" s="1"/>
      <c r="X1411" s="101">
        <v>2</v>
      </c>
    </row>
    <row r="1412" spans="2:24" hidden="1">
      <c r="B1412" s="6" t="s">
        <v>3326</v>
      </c>
      <c r="C1412" s="23">
        <v>46225.481249999997</v>
      </c>
      <c r="D1412" s="6" t="s">
        <v>24</v>
      </c>
      <c r="E1412" s="6"/>
      <c r="F1412" s="28">
        <v>46225</v>
      </c>
      <c r="G1412" s="27" t="s">
        <v>2528</v>
      </c>
      <c r="H1412" s="7" t="s">
        <v>107</v>
      </c>
      <c r="I1412" s="44"/>
      <c r="J1412" s="196">
        <v>42816292660</v>
      </c>
      <c r="K1412" s="180" t="s">
        <v>3327</v>
      </c>
      <c r="L1412" s="108">
        <v>22838910</v>
      </c>
      <c r="M1412" s="37">
        <v>4191807821</v>
      </c>
      <c r="N1412" s="169" t="s">
        <v>37</v>
      </c>
      <c r="O1412" s="48">
        <v>8539.89</v>
      </c>
      <c r="P1412" s="95">
        <v>2560.27</v>
      </c>
      <c r="Q1412" s="8">
        <v>2561.9699999999998</v>
      </c>
      <c r="R1412" s="13">
        <v>1.7</v>
      </c>
      <c r="S1412" s="70">
        <v>46391</v>
      </c>
      <c r="T1412" s="6"/>
      <c r="U1412" s="164"/>
      <c r="V1412" s="1"/>
      <c r="X1412" s="101">
        <v>2</v>
      </c>
    </row>
    <row r="1413" spans="2:24" hidden="1">
      <c r="B1413" s="10" t="s">
        <v>3328</v>
      </c>
      <c r="C1413" s="24">
        <v>46225.481944444444</v>
      </c>
      <c r="D1413" s="10" t="s">
        <v>24</v>
      </c>
      <c r="E1413" s="10"/>
      <c r="F1413" s="28">
        <v>46225</v>
      </c>
      <c r="G1413" s="28" t="s">
        <v>2142</v>
      </c>
      <c r="H1413" s="10" t="s">
        <v>61</v>
      </c>
      <c r="I1413" s="10" t="s">
        <v>3329</v>
      </c>
      <c r="J1413" s="195"/>
      <c r="K1413" s="181" t="s">
        <v>3330</v>
      </c>
      <c r="L1413" s="108">
        <v>22789878</v>
      </c>
      <c r="M1413" s="36">
        <v>5216449972289</v>
      </c>
      <c r="N1413" s="170" t="s">
        <v>47</v>
      </c>
      <c r="O1413" s="49">
        <v>22774.76</v>
      </c>
      <c r="P1413" s="96">
        <v>6290.82</v>
      </c>
      <c r="Q1413" s="11">
        <v>6832.43</v>
      </c>
      <c r="R1413" s="16">
        <v>541.61</v>
      </c>
      <c r="S1413" s="71">
        <v>46032</v>
      </c>
      <c r="T1413" s="10"/>
      <c r="U1413" s="97"/>
      <c r="V1413" s="1"/>
      <c r="X1413" s="101">
        <v>2</v>
      </c>
    </row>
    <row r="1414" spans="2:24" hidden="1">
      <c r="B1414" s="6" t="s">
        <v>3331</v>
      </c>
      <c r="C1414" s="23">
        <v>46225.481944444444</v>
      </c>
      <c r="D1414" s="6" t="s">
        <v>24</v>
      </c>
      <c r="E1414" s="6"/>
      <c r="F1414" s="28">
        <v>46225</v>
      </c>
      <c r="G1414" s="27" t="s">
        <v>3260</v>
      </c>
      <c r="H1414" s="6" t="s">
        <v>78</v>
      </c>
      <c r="I1414" s="6" t="s">
        <v>3332</v>
      </c>
      <c r="J1414" s="196">
        <v>49705414099</v>
      </c>
      <c r="K1414" s="180" t="s">
        <v>3333</v>
      </c>
      <c r="L1414" s="107">
        <v>22979852</v>
      </c>
      <c r="M1414" s="37">
        <v>5218334496373</v>
      </c>
      <c r="N1414" s="169" t="s">
        <v>32</v>
      </c>
      <c r="O1414" s="48">
        <v>3879.3</v>
      </c>
      <c r="P1414" s="95"/>
      <c r="Q1414" s="8">
        <v>1163.79</v>
      </c>
      <c r="R1414" s="13">
        <v>0</v>
      </c>
      <c r="S1414" s="70"/>
      <c r="T1414" s="6"/>
      <c r="U1414" s="164"/>
      <c r="V1414" s="1"/>
      <c r="X1414" s="101">
        <v>1</v>
      </c>
    </row>
    <row r="1415" spans="2:24" hidden="1">
      <c r="B1415" s="10" t="s">
        <v>3334</v>
      </c>
      <c r="C1415" s="24">
        <v>46225.486805555556</v>
      </c>
      <c r="D1415" s="10" t="s">
        <v>24</v>
      </c>
      <c r="E1415" s="10"/>
      <c r="F1415" s="28">
        <v>46225</v>
      </c>
      <c r="G1415" s="28" t="s">
        <v>3260</v>
      </c>
      <c r="H1415" s="10" t="s">
        <v>81</v>
      </c>
      <c r="I1415" s="10" t="s">
        <v>3335</v>
      </c>
      <c r="J1415" s="195"/>
      <c r="K1415" s="181" t="s">
        <v>3336</v>
      </c>
      <c r="L1415" s="108">
        <v>22989322</v>
      </c>
      <c r="M1415" s="36">
        <v>5218113698739</v>
      </c>
      <c r="N1415" s="170" t="s">
        <v>37</v>
      </c>
      <c r="O1415" s="49">
        <v>5617.63</v>
      </c>
      <c r="P1415" s="96">
        <v>1439.79</v>
      </c>
      <c r="Q1415" s="11">
        <v>1685.29</v>
      </c>
      <c r="R1415" s="12">
        <v>4.8600000000000003</v>
      </c>
      <c r="S1415" s="71">
        <v>46266</v>
      </c>
      <c r="T1415" s="10"/>
      <c r="U1415" s="97"/>
      <c r="V1415" s="1"/>
      <c r="X1415" s="101">
        <v>2</v>
      </c>
    </row>
    <row r="1416" spans="2:24" hidden="1">
      <c r="B1416" s="6" t="s">
        <v>3337</v>
      </c>
      <c r="C1416" s="23">
        <v>46225.490277777775</v>
      </c>
      <c r="D1416" s="6" t="s">
        <v>24</v>
      </c>
      <c r="E1416" s="6"/>
      <c r="F1416" s="28">
        <v>46225</v>
      </c>
      <c r="G1416" s="27" t="s">
        <v>3260</v>
      </c>
      <c r="H1416" s="6" t="s">
        <v>1519</v>
      </c>
      <c r="I1416" s="6" t="s">
        <v>3338</v>
      </c>
      <c r="J1416" s="196">
        <v>16866702513</v>
      </c>
      <c r="K1416" s="180" t="s">
        <v>3339</v>
      </c>
      <c r="L1416" s="108">
        <v>22981468</v>
      </c>
      <c r="M1416" s="37">
        <v>5217223398951</v>
      </c>
      <c r="N1416" s="169" t="s">
        <v>37</v>
      </c>
      <c r="O1416" s="48">
        <v>6608.86</v>
      </c>
      <c r="P1416" s="95">
        <v>1912.1</v>
      </c>
      <c r="Q1416" s="8">
        <v>1982.66</v>
      </c>
      <c r="R1416" s="13">
        <v>70.56</v>
      </c>
      <c r="S1416" s="70">
        <v>46357</v>
      </c>
      <c r="T1416" s="6"/>
      <c r="U1416" s="164"/>
      <c r="V1416" s="1"/>
      <c r="X1416" s="101">
        <v>2</v>
      </c>
    </row>
    <row r="1417" spans="2:24" hidden="1">
      <c r="B1417" s="10" t="s">
        <v>3340</v>
      </c>
      <c r="C1417" s="24">
        <v>46225.494444444441</v>
      </c>
      <c r="D1417" s="10" t="s">
        <v>24</v>
      </c>
      <c r="E1417" s="10"/>
      <c r="F1417" s="28">
        <v>46225</v>
      </c>
      <c r="G1417" s="28" t="s">
        <v>2859</v>
      </c>
      <c r="H1417" s="10" t="s">
        <v>269</v>
      </c>
      <c r="I1417" s="10" t="s">
        <v>3341</v>
      </c>
      <c r="J1417" s="195"/>
      <c r="K1417" s="181" t="s">
        <v>3342</v>
      </c>
      <c r="L1417" s="108">
        <v>22914406</v>
      </c>
      <c r="M1417" s="36">
        <v>5214621930059</v>
      </c>
      <c r="N1417" s="170" t="s">
        <v>32</v>
      </c>
      <c r="O1417" s="49">
        <v>3818.93</v>
      </c>
      <c r="P1417" s="96">
        <v>848</v>
      </c>
      <c r="Q1417" s="11">
        <v>1145.68</v>
      </c>
      <c r="R1417" s="12">
        <v>-848</v>
      </c>
      <c r="S1417" s="71"/>
      <c r="T1417" s="10"/>
      <c r="U1417" s="97"/>
      <c r="V1417" s="1"/>
      <c r="X1417" s="101">
        <v>1</v>
      </c>
    </row>
    <row r="1418" spans="2:24" hidden="1">
      <c r="B1418" s="6" t="s">
        <v>3343</v>
      </c>
      <c r="C1418" s="23">
        <v>46225.496527777781</v>
      </c>
      <c r="D1418" s="6" t="s">
        <v>24</v>
      </c>
      <c r="E1418" s="6"/>
      <c r="F1418" s="28">
        <v>46225</v>
      </c>
      <c r="G1418" s="27" t="s">
        <v>2604</v>
      </c>
      <c r="H1418" s="6" t="s">
        <v>68</v>
      </c>
      <c r="I1418" s="6" t="s">
        <v>3344</v>
      </c>
      <c r="J1418" s="196">
        <v>43785721945</v>
      </c>
      <c r="K1418" s="180" t="s">
        <v>3345</v>
      </c>
      <c r="L1418" s="107">
        <v>22858164</v>
      </c>
      <c r="M1418" s="37">
        <v>5218186866763</v>
      </c>
      <c r="N1418" s="169" t="s">
        <v>32</v>
      </c>
      <c r="O1418" s="48">
        <v>4342.43</v>
      </c>
      <c r="P1418" s="95"/>
      <c r="Q1418" s="8">
        <v>1302.73</v>
      </c>
      <c r="R1418" s="13">
        <v>169.45</v>
      </c>
      <c r="S1418" s="70"/>
      <c r="T1418" s="6"/>
      <c r="U1418" s="164"/>
      <c r="V1418" s="1"/>
      <c r="X1418" s="101">
        <v>1</v>
      </c>
    </row>
    <row r="1419" spans="2:24" hidden="1">
      <c r="B1419" s="10" t="s">
        <v>3346</v>
      </c>
      <c r="C1419" s="24">
        <v>46225.49722222222</v>
      </c>
      <c r="D1419" s="10" t="s">
        <v>24</v>
      </c>
      <c r="E1419" s="10"/>
      <c r="F1419" s="28">
        <v>46225</v>
      </c>
      <c r="G1419" s="28" t="s">
        <v>3260</v>
      </c>
      <c r="H1419" s="10" t="s">
        <v>1519</v>
      </c>
      <c r="I1419" s="10" t="s">
        <v>3347</v>
      </c>
      <c r="J1419" s="195">
        <v>1806267686</v>
      </c>
      <c r="K1419" s="181" t="s">
        <v>3348</v>
      </c>
      <c r="L1419" s="108">
        <v>22984056</v>
      </c>
      <c r="M1419" s="36">
        <v>5215533923323</v>
      </c>
      <c r="N1419" s="170" t="s">
        <v>37</v>
      </c>
      <c r="O1419" s="49">
        <v>7920.51</v>
      </c>
      <c r="P1419" s="96">
        <v>2299.61</v>
      </c>
      <c r="Q1419" s="11">
        <v>2376.15</v>
      </c>
      <c r="R1419" s="12">
        <v>76.540000000000006</v>
      </c>
      <c r="S1419" s="71">
        <v>46755</v>
      </c>
      <c r="T1419" s="10"/>
      <c r="U1419" s="97"/>
      <c r="V1419" s="1"/>
      <c r="X1419" s="101">
        <v>2</v>
      </c>
    </row>
    <row r="1420" spans="2:24" hidden="1">
      <c r="B1420" s="6" t="s">
        <v>3346</v>
      </c>
      <c r="C1420" s="23">
        <v>46225.500694444447</v>
      </c>
      <c r="D1420" s="6" t="s">
        <v>24</v>
      </c>
      <c r="E1420" s="6"/>
      <c r="F1420" s="28">
        <v>46225</v>
      </c>
      <c r="G1420" s="27" t="s">
        <v>2859</v>
      </c>
      <c r="H1420" s="10" t="s">
        <v>160</v>
      </c>
      <c r="I1420" s="6" t="s">
        <v>3349</v>
      </c>
      <c r="J1420" s="196"/>
      <c r="K1420" s="180" t="s">
        <v>3350</v>
      </c>
      <c r="L1420" s="107">
        <v>22890220</v>
      </c>
      <c r="M1420" s="37">
        <v>5216671435765</v>
      </c>
      <c r="N1420" s="169" t="s">
        <v>28</v>
      </c>
      <c r="O1420" s="48">
        <v>9760.32</v>
      </c>
      <c r="P1420" s="95">
        <v>879</v>
      </c>
      <c r="Q1420" s="8">
        <v>2928.1</v>
      </c>
      <c r="R1420" s="9">
        <v>2049.1</v>
      </c>
      <c r="S1420" s="70"/>
      <c r="T1420" s="6"/>
      <c r="U1420" s="164"/>
      <c r="V1420" s="1"/>
      <c r="X1420" s="101">
        <v>1</v>
      </c>
    </row>
    <row r="1421" spans="2:24" hidden="1">
      <c r="B1421" s="10" t="s">
        <v>3351</v>
      </c>
      <c r="C1421" s="24">
        <v>46225.504166666666</v>
      </c>
      <c r="D1421" s="10" t="s">
        <v>24</v>
      </c>
      <c r="E1421" s="10"/>
      <c r="F1421" s="28">
        <v>46225</v>
      </c>
      <c r="G1421" s="28" t="s">
        <v>3260</v>
      </c>
      <c r="H1421" s="15" t="s">
        <v>3352</v>
      </c>
      <c r="I1421" s="10" t="s">
        <v>3353</v>
      </c>
      <c r="J1421" s="195">
        <v>31675011006</v>
      </c>
      <c r="K1421" s="181"/>
      <c r="L1421" s="108">
        <v>22990596</v>
      </c>
      <c r="M1421" s="36">
        <v>6183645299</v>
      </c>
      <c r="N1421" s="170" t="s">
        <v>37</v>
      </c>
      <c r="O1421" s="49">
        <v>27653.7</v>
      </c>
      <c r="P1421" s="96">
        <v>8293.7900000000009</v>
      </c>
      <c r="Q1421" s="11">
        <v>8296.11</v>
      </c>
      <c r="R1421" s="12">
        <v>2.3199999999999998</v>
      </c>
      <c r="S1421" s="71">
        <v>46389</v>
      </c>
      <c r="T1421" s="10"/>
      <c r="U1421" s="97"/>
      <c r="V1421" s="1"/>
      <c r="X1421" s="101">
        <v>2</v>
      </c>
    </row>
    <row r="1422" spans="2:24" hidden="1">
      <c r="B1422" s="6" t="s">
        <v>3354</v>
      </c>
      <c r="C1422" s="23">
        <v>46225.508333333331</v>
      </c>
      <c r="D1422" s="6" t="s">
        <v>24</v>
      </c>
      <c r="E1422" s="6"/>
      <c r="F1422" s="28">
        <v>46225</v>
      </c>
      <c r="G1422" s="27" t="s">
        <v>2859</v>
      </c>
      <c r="H1422" s="7" t="s">
        <v>3036</v>
      </c>
      <c r="I1422" s="6" t="s">
        <v>3355</v>
      </c>
      <c r="J1422" s="196">
        <v>31816408053</v>
      </c>
      <c r="K1422" s="180"/>
      <c r="L1422" s="108">
        <v>22910076</v>
      </c>
      <c r="M1422" s="37">
        <v>5216751293874</v>
      </c>
      <c r="N1422" s="169" t="s">
        <v>37</v>
      </c>
      <c r="O1422" s="48">
        <v>9081.52</v>
      </c>
      <c r="P1422" s="95">
        <v>2514.25</v>
      </c>
      <c r="Q1422" s="8">
        <v>2724.46</v>
      </c>
      <c r="R1422" s="13">
        <v>210.21</v>
      </c>
      <c r="S1422" s="70">
        <v>46327</v>
      </c>
      <c r="T1422" s="6" t="s">
        <v>259</v>
      </c>
      <c r="U1422" s="164"/>
      <c r="V1422" s="1"/>
      <c r="X1422" s="101">
        <v>2</v>
      </c>
    </row>
    <row r="1423" spans="2:24" hidden="1">
      <c r="B1423" s="10" t="s">
        <v>3323</v>
      </c>
      <c r="C1423" s="24">
        <v>46225.511111111111</v>
      </c>
      <c r="D1423" s="10" t="s">
        <v>24</v>
      </c>
      <c r="E1423" s="10"/>
      <c r="F1423" s="28">
        <v>46225</v>
      </c>
      <c r="G1423" s="28" t="s">
        <v>2859</v>
      </c>
      <c r="H1423" s="10" t="s">
        <v>51</v>
      </c>
      <c r="I1423" s="10" t="s">
        <v>3356</v>
      </c>
      <c r="J1423" s="195">
        <v>24826201766</v>
      </c>
      <c r="K1423" s="181" t="s">
        <v>3357</v>
      </c>
      <c r="L1423" s="108">
        <v>22914072</v>
      </c>
      <c r="M1423" s="36">
        <v>5216462106725</v>
      </c>
      <c r="N1423" s="170" t="s">
        <v>37</v>
      </c>
      <c r="O1423" s="49">
        <v>7116.73</v>
      </c>
      <c r="P1423" s="96">
        <v>2134.98</v>
      </c>
      <c r="Q1423" s="11">
        <v>2135.02</v>
      </c>
      <c r="R1423" s="12">
        <v>0.04</v>
      </c>
      <c r="S1423" s="71">
        <v>46389</v>
      </c>
      <c r="T1423" s="10"/>
      <c r="U1423" s="97"/>
      <c r="V1423" s="1"/>
      <c r="X1423" s="101">
        <v>2</v>
      </c>
    </row>
    <row r="1424" spans="2:24" hidden="1">
      <c r="B1424" s="6" t="s">
        <v>3337</v>
      </c>
      <c r="C1424" s="23">
        <v>46225.511805555558</v>
      </c>
      <c r="D1424" s="6" t="s">
        <v>24</v>
      </c>
      <c r="E1424" s="6"/>
      <c r="F1424" s="28">
        <v>46225</v>
      </c>
      <c r="G1424" s="27" t="s">
        <v>2859</v>
      </c>
      <c r="H1424" s="6" t="s">
        <v>81</v>
      </c>
      <c r="I1424" s="6" t="s">
        <v>3358</v>
      </c>
      <c r="J1424" s="197">
        <v>49805507933</v>
      </c>
      <c r="K1424" s="183" t="s">
        <v>3359</v>
      </c>
      <c r="L1424" s="107">
        <v>22914462</v>
      </c>
      <c r="M1424" s="37">
        <v>5218331287233</v>
      </c>
      <c r="N1424" s="169" t="s">
        <v>32</v>
      </c>
      <c r="O1424" s="48">
        <v>3882.85</v>
      </c>
      <c r="P1424" s="95"/>
      <c r="Q1424" s="8">
        <v>1164.8599999999999</v>
      </c>
      <c r="R1424" s="13">
        <v>0</v>
      </c>
      <c r="S1424" s="70"/>
      <c r="T1424" s="6"/>
      <c r="U1424" s="164"/>
      <c r="V1424" s="1"/>
      <c r="X1424" s="101">
        <v>1</v>
      </c>
    </row>
    <row r="1425" spans="2:24" hidden="1">
      <c r="B1425" s="10" t="s">
        <v>3360</v>
      </c>
      <c r="C1425" s="24">
        <v>46225.513194444444</v>
      </c>
      <c r="D1425" s="10" t="s">
        <v>24</v>
      </c>
      <c r="E1425" s="10"/>
      <c r="F1425" s="28">
        <v>46225</v>
      </c>
      <c r="G1425" s="28" t="s">
        <v>3260</v>
      </c>
      <c r="H1425" s="10" t="s">
        <v>81</v>
      </c>
      <c r="I1425" s="10" t="s">
        <v>3361</v>
      </c>
      <c r="J1425" s="195"/>
      <c r="K1425" s="181" t="s">
        <v>3362</v>
      </c>
      <c r="L1425" s="108">
        <v>22917596</v>
      </c>
      <c r="M1425" s="36">
        <v>5216121560938</v>
      </c>
      <c r="N1425" s="170" t="s">
        <v>106</v>
      </c>
      <c r="O1425" s="49">
        <v>10975.67</v>
      </c>
      <c r="P1425" s="96">
        <v>3166.3</v>
      </c>
      <c r="Q1425" s="11">
        <v>3292.7</v>
      </c>
      <c r="R1425" s="12">
        <v>126.4</v>
      </c>
      <c r="S1425" s="71">
        <v>45297</v>
      </c>
      <c r="T1425" s="10"/>
      <c r="U1425" s="97"/>
      <c r="V1425" s="1"/>
      <c r="X1425" s="101">
        <v>2</v>
      </c>
    </row>
    <row r="1426" spans="2:24" hidden="1">
      <c r="B1426" s="6" t="s">
        <v>3363</v>
      </c>
      <c r="C1426" s="23">
        <v>46225.515972222223</v>
      </c>
      <c r="D1426" s="6" t="s">
        <v>24</v>
      </c>
      <c r="E1426" s="6"/>
      <c r="F1426" s="28">
        <v>46225</v>
      </c>
      <c r="G1426" s="27" t="s">
        <v>2236</v>
      </c>
      <c r="H1426" s="10" t="s">
        <v>269</v>
      </c>
      <c r="I1426" s="6" t="s">
        <v>3364</v>
      </c>
      <c r="J1426" s="192">
        <v>33765712881</v>
      </c>
      <c r="K1426" s="180" t="s">
        <v>3365</v>
      </c>
      <c r="L1426" s="107">
        <v>22812616</v>
      </c>
      <c r="M1426" s="37">
        <v>5216143237150</v>
      </c>
      <c r="N1426" s="169" t="s">
        <v>28</v>
      </c>
      <c r="O1426" s="48">
        <v>5977.6</v>
      </c>
      <c r="P1426" s="95"/>
      <c r="Q1426" s="8">
        <v>1793.28</v>
      </c>
      <c r="R1426" s="9">
        <v>1793.28</v>
      </c>
      <c r="S1426" s="70"/>
      <c r="T1426" s="6"/>
      <c r="U1426" s="164"/>
      <c r="V1426" s="1"/>
      <c r="X1426" s="101">
        <v>1</v>
      </c>
    </row>
    <row r="1427" spans="2:24" hidden="1">
      <c r="B1427" s="10" t="s">
        <v>3366</v>
      </c>
      <c r="C1427" s="24">
        <v>46225.522916666669</v>
      </c>
      <c r="D1427" s="10" t="s">
        <v>24</v>
      </c>
      <c r="E1427" s="10"/>
      <c r="F1427" s="28">
        <v>46225</v>
      </c>
      <c r="G1427" s="28" t="s">
        <v>3260</v>
      </c>
      <c r="H1427" s="10" t="s">
        <v>1625</v>
      </c>
      <c r="I1427" s="10" t="s">
        <v>3367</v>
      </c>
      <c r="J1427" s="202">
        <v>54805938625</v>
      </c>
      <c r="K1427" s="181" t="s">
        <v>3368</v>
      </c>
      <c r="L1427" s="108">
        <v>2</v>
      </c>
      <c r="M1427" s="36" t="s">
        <v>3369</v>
      </c>
      <c r="N1427" s="170" t="s">
        <v>37</v>
      </c>
      <c r="O1427" s="49">
        <v>5270.52</v>
      </c>
      <c r="P1427" s="96">
        <v>1058.47</v>
      </c>
      <c r="Q1427" s="11">
        <v>1581.16</v>
      </c>
      <c r="R1427" s="12">
        <v>39.07</v>
      </c>
      <c r="S1427" s="71">
        <v>46393</v>
      </c>
      <c r="T1427" s="10"/>
      <c r="U1427" s="97"/>
      <c r="V1427" s="1"/>
      <c r="X1427" s="101">
        <v>2</v>
      </c>
    </row>
    <row r="1428" spans="2:24" hidden="1">
      <c r="B1428" s="6" t="s">
        <v>3370</v>
      </c>
      <c r="C1428" s="23">
        <v>46225.523611111108</v>
      </c>
      <c r="D1428" s="6" t="s">
        <v>24</v>
      </c>
      <c r="E1428" s="6"/>
      <c r="F1428" s="28">
        <v>46225</v>
      </c>
      <c r="G1428" s="27" t="s">
        <v>2859</v>
      </c>
      <c r="H1428" s="10" t="s">
        <v>160</v>
      </c>
      <c r="I1428" s="6" t="s">
        <v>3371</v>
      </c>
      <c r="J1428" s="192">
        <v>67776010547</v>
      </c>
      <c r="K1428" s="180" t="s">
        <v>3372</v>
      </c>
      <c r="L1428" s="107">
        <v>22913774</v>
      </c>
      <c r="M1428" s="37">
        <v>5216563373567</v>
      </c>
      <c r="N1428" s="169" t="s">
        <v>106</v>
      </c>
      <c r="O1428" s="48">
        <v>7116.73</v>
      </c>
      <c r="P1428" s="95">
        <v>1886.64</v>
      </c>
      <c r="Q1428" s="8">
        <v>2135.02</v>
      </c>
      <c r="R1428" s="13">
        <v>248.38</v>
      </c>
      <c r="S1428" s="70">
        <v>45659</v>
      </c>
      <c r="T1428" s="6"/>
      <c r="U1428" s="164"/>
      <c r="V1428" s="1"/>
      <c r="X1428" s="101">
        <v>2</v>
      </c>
    </row>
    <row r="1429" spans="2:24" hidden="1">
      <c r="B1429" s="10" t="s">
        <v>3373</v>
      </c>
      <c r="C1429" s="24">
        <v>46225.525694444441</v>
      </c>
      <c r="D1429" s="10" t="s">
        <v>24</v>
      </c>
      <c r="E1429" s="10"/>
      <c r="F1429" s="28">
        <v>46225</v>
      </c>
      <c r="G1429" s="28" t="s">
        <v>3260</v>
      </c>
      <c r="H1429" s="160" t="s">
        <v>3022</v>
      </c>
      <c r="I1429" s="10" t="s">
        <v>3374</v>
      </c>
      <c r="J1429" s="193"/>
      <c r="K1429" s="181" t="s">
        <v>3375</v>
      </c>
      <c r="L1429" s="108">
        <v>22992166</v>
      </c>
      <c r="M1429" s="36">
        <v>4773546661</v>
      </c>
      <c r="N1429" s="170" t="s">
        <v>28</v>
      </c>
      <c r="O1429" s="49">
        <v>9936.06</v>
      </c>
      <c r="P1429" s="96"/>
      <c r="Q1429" s="11">
        <v>2980.82</v>
      </c>
      <c r="R1429" s="14">
        <v>2980.82</v>
      </c>
      <c r="S1429" s="71"/>
      <c r="T1429" s="10"/>
      <c r="U1429" s="97"/>
      <c r="V1429" s="1"/>
      <c r="X1429" s="101">
        <v>1</v>
      </c>
    </row>
    <row r="1430" spans="2:24" hidden="1">
      <c r="B1430" s="6" t="s">
        <v>3376</v>
      </c>
      <c r="C1430" s="23">
        <v>46225.529861111114</v>
      </c>
      <c r="D1430" s="6" t="s">
        <v>24</v>
      </c>
      <c r="E1430" s="6"/>
      <c r="F1430" s="28">
        <v>46225</v>
      </c>
      <c r="G1430" s="27" t="s">
        <v>2859</v>
      </c>
      <c r="H1430" s="160" t="s">
        <v>3036</v>
      </c>
      <c r="I1430" s="6" t="s">
        <v>3377</v>
      </c>
      <c r="J1430" s="192"/>
      <c r="K1430" s="180" t="s">
        <v>3378</v>
      </c>
      <c r="L1430" s="107">
        <v>22907908</v>
      </c>
      <c r="M1430" s="37">
        <v>5218331885922</v>
      </c>
      <c r="N1430" s="169" t="s">
        <v>28</v>
      </c>
      <c r="O1430" s="48">
        <v>9081.52</v>
      </c>
      <c r="P1430" s="95"/>
      <c r="Q1430" s="8">
        <v>2724.46</v>
      </c>
      <c r="R1430" s="9">
        <v>2724.46</v>
      </c>
      <c r="S1430" s="70"/>
      <c r="T1430" s="6"/>
      <c r="U1430" s="164"/>
      <c r="V1430" s="1"/>
      <c r="X1430" s="101">
        <v>1</v>
      </c>
    </row>
    <row r="1431" spans="2:24" hidden="1">
      <c r="B1431" s="10" t="s">
        <v>3379</v>
      </c>
      <c r="C1431" s="24">
        <v>46225.531944444447</v>
      </c>
      <c r="D1431" s="10" t="s">
        <v>24</v>
      </c>
      <c r="E1431" s="10"/>
      <c r="F1431" s="28">
        <v>46225</v>
      </c>
      <c r="G1431" s="28" t="s">
        <v>3260</v>
      </c>
      <c r="H1431" s="10" t="s">
        <v>78</v>
      </c>
      <c r="I1431" s="10" t="s">
        <v>3380</v>
      </c>
      <c r="J1431" s="193">
        <v>31775503431</v>
      </c>
      <c r="K1431" s="181" t="s">
        <v>3381</v>
      </c>
      <c r="L1431" s="108">
        <v>22916582</v>
      </c>
      <c r="M1431" s="36">
        <v>5218721255734</v>
      </c>
      <c r="N1431" s="170" t="s">
        <v>28</v>
      </c>
      <c r="O1431" s="49">
        <v>9689.1</v>
      </c>
      <c r="P1431" s="96"/>
      <c r="Q1431" s="11">
        <v>2906.73</v>
      </c>
      <c r="R1431" s="14">
        <v>2906.73</v>
      </c>
      <c r="S1431" s="71"/>
      <c r="T1431" s="10"/>
      <c r="U1431" s="97"/>
      <c r="V1431" s="1"/>
      <c r="X1431" s="101">
        <v>1</v>
      </c>
    </row>
    <row r="1432" spans="2:24" hidden="1">
      <c r="B1432" s="6" t="s">
        <v>3382</v>
      </c>
      <c r="C1432" s="23">
        <v>46225.537499999999</v>
      </c>
      <c r="D1432" s="6" t="s">
        <v>24</v>
      </c>
      <c r="E1432" s="6"/>
      <c r="F1432" s="28">
        <v>46225</v>
      </c>
      <c r="G1432" s="27" t="s">
        <v>3260</v>
      </c>
      <c r="H1432" s="161" t="s">
        <v>170</v>
      </c>
      <c r="I1432" s="6" t="s">
        <v>3383</v>
      </c>
      <c r="J1432" s="192"/>
      <c r="K1432" s="180" t="s">
        <v>3384</v>
      </c>
      <c r="L1432" s="107">
        <v>22992844</v>
      </c>
      <c r="M1432" s="37">
        <v>5218999593947</v>
      </c>
      <c r="N1432" s="169" t="s">
        <v>47</v>
      </c>
      <c r="O1432" s="48">
        <v>4624</v>
      </c>
      <c r="P1432" s="95"/>
      <c r="Q1432" s="8">
        <v>1387.2</v>
      </c>
      <c r="R1432" s="22">
        <v>451.02</v>
      </c>
      <c r="S1432" s="70"/>
      <c r="T1432" s="6"/>
      <c r="U1432" s="164"/>
      <c r="V1432" s="1"/>
      <c r="X1432" s="101">
        <v>1</v>
      </c>
    </row>
    <row r="1433" spans="2:24" hidden="1">
      <c r="B1433" s="10" t="s">
        <v>3385</v>
      </c>
      <c r="C1433" s="24">
        <v>46225.540277777778</v>
      </c>
      <c r="D1433" s="10" t="s">
        <v>24</v>
      </c>
      <c r="E1433" s="10"/>
      <c r="F1433" s="28">
        <v>46225</v>
      </c>
      <c r="G1433" s="28" t="s">
        <v>2859</v>
      </c>
      <c r="H1433" s="10" t="s">
        <v>160</v>
      </c>
      <c r="I1433" s="10" t="s">
        <v>3386</v>
      </c>
      <c r="J1433" s="193">
        <v>50967819165</v>
      </c>
      <c r="K1433" s="181" t="s">
        <v>3387</v>
      </c>
      <c r="L1433" s="108">
        <v>22914442</v>
      </c>
      <c r="M1433" s="36">
        <v>5216272791080</v>
      </c>
      <c r="N1433" s="170" t="s">
        <v>32</v>
      </c>
      <c r="O1433" s="49">
        <v>2328.0300000000002</v>
      </c>
      <c r="P1433" s="96">
        <v>582</v>
      </c>
      <c r="Q1433" s="11">
        <v>698.41</v>
      </c>
      <c r="R1433" s="12">
        <v>-582</v>
      </c>
      <c r="S1433" s="71"/>
      <c r="T1433" s="10"/>
      <c r="U1433" s="97"/>
      <c r="V1433" s="1"/>
      <c r="X1433" s="101">
        <v>1</v>
      </c>
    </row>
    <row r="1434" spans="2:24" hidden="1">
      <c r="B1434" s="6" t="s">
        <v>3388</v>
      </c>
      <c r="C1434" s="23">
        <v>46225.545138888891</v>
      </c>
      <c r="D1434" s="6" t="s">
        <v>24</v>
      </c>
      <c r="E1434" s="6"/>
      <c r="F1434" s="28">
        <v>46225</v>
      </c>
      <c r="G1434" s="27" t="s">
        <v>3260</v>
      </c>
      <c r="H1434" s="6" t="s">
        <v>1629</v>
      </c>
      <c r="I1434" s="6"/>
      <c r="J1434" s="192">
        <v>19816423719</v>
      </c>
      <c r="K1434" s="180" t="s">
        <v>3389</v>
      </c>
      <c r="L1434" s="108">
        <v>2</v>
      </c>
      <c r="M1434" s="37">
        <v>5578875194</v>
      </c>
      <c r="N1434" s="169" t="s">
        <v>37</v>
      </c>
      <c r="O1434" s="48">
        <v>9760.32</v>
      </c>
      <c r="P1434" s="95">
        <v>2820.1</v>
      </c>
      <c r="Q1434" s="8">
        <v>2928.1</v>
      </c>
      <c r="R1434" s="13">
        <v>108</v>
      </c>
      <c r="S1434" s="70">
        <v>46393</v>
      </c>
      <c r="T1434" s="6"/>
      <c r="U1434" s="164"/>
      <c r="V1434" s="1"/>
      <c r="X1434" s="101">
        <v>2</v>
      </c>
    </row>
    <row r="1435" spans="2:24" hidden="1">
      <c r="B1435" s="10" t="s">
        <v>3390</v>
      </c>
      <c r="C1435" s="24">
        <v>46225.55</v>
      </c>
      <c r="D1435" s="10" t="s">
        <v>24</v>
      </c>
      <c r="E1435" s="10"/>
      <c r="F1435" s="28">
        <v>46225</v>
      </c>
      <c r="G1435" s="28" t="s">
        <v>2859</v>
      </c>
      <c r="H1435" s="160" t="s">
        <v>3036</v>
      </c>
      <c r="I1435" s="10" t="s">
        <v>3391</v>
      </c>
      <c r="J1435" s="193"/>
      <c r="K1435" s="181" t="s">
        <v>3392</v>
      </c>
      <c r="L1435" s="108">
        <v>22901126</v>
      </c>
      <c r="M1435" s="36">
        <v>5218443810860</v>
      </c>
      <c r="N1435" s="170" t="s">
        <v>28</v>
      </c>
      <c r="O1435" s="49">
        <v>6262.86</v>
      </c>
      <c r="P1435" s="96"/>
      <c r="Q1435" s="11">
        <v>1878.86</v>
      </c>
      <c r="R1435" s="14">
        <v>1878.86</v>
      </c>
      <c r="S1435" s="71"/>
      <c r="T1435" s="10"/>
      <c r="U1435" s="97"/>
      <c r="V1435" s="1"/>
      <c r="X1435" s="101">
        <v>1</v>
      </c>
    </row>
    <row r="1436" spans="2:24" hidden="1">
      <c r="B1436" s="6" t="s">
        <v>3393</v>
      </c>
      <c r="C1436" s="23">
        <v>46225.564583333333</v>
      </c>
      <c r="D1436" s="6" t="s">
        <v>24</v>
      </c>
      <c r="E1436" s="6"/>
      <c r="F1436" s="28">
        <v>46225</v>
      </c>
      <c r="G1436" s="27" t="s">
        <v>3260</v>
      </c>
      <c r="H1436" s="6" t="s">
        <v>103</v>
      </c>
      <c r="I1436" s="6"/>
      <c r="J1436" s="203">
        <v>60887077091</v>
      </c>
      <c r="K1436" s="180"/>
      <c r="L1436" s="109">
        <v>1</v>
      </c>
      <c r="M1436" s="37">
        <v>8444930641</v>
      </c>
      <c r="N1436" s="169" t="s">
        <v>235</v>
      </c>
      <c r="O1436" s="48">
        <v>684.05</v>
      </c>
      <c r="P1436" s="95"/>
      <c r="Q1436" s="8">
        <v>205.22</v>
      </c>
      <c r="R1436" s="13">
        <v>0</v>
      </c>
      <c r="S1436" s="70"/>
      <c r="T1436" s="6"/>
      <c r="U1436" s="164"/>
      <c r="V1436" s="1"/>
      <c r="X1436" s="101">
        <v>1</v>
      </c>
    </row>
    <row r="1437" spans="2:24" hidden="1">
      <c r="B1437" s="10" t="s">
        <v>3394</v>
      </c>
      <c r="C1437" s="24">
        <v>46225.57916666667</v>
      </c>
      <c r="D1437" s="10" t="s">
        <v>24</v>
      </c>
      <c r="E1437" s="10"/>
      <c r="F1437" s="28">
        <v>46225</v>
      </c>
      <c r="G1437" s="28" t="s">
        <v>2859</v>
      </c>
      <c r="H1437" s="15" t="s">
        <v>3022</v>
      </c>
      <c r="I1437" s="10" t="s">
        <v>3395</v>
      </c>
      <c r="J1437" s="193"/>
      <c r="K1437" s="181" t="s">
        <v>3396</v>
      </c>
      <c r="L1437" s="108">
        <v>22910634</v>
      </c>
      <c r="M1437" s="36">
        <v>5613541072</v>
      </c>
      <c r="N1437" s="170" t="s">
        <v>37</v>
      </c>
      <c r="O1437" s="49">
        <v>7486.4</v>
      </c>
      <c r="P1437" s="96">
        <v>2165</v>
      </c>
      <c r="Q1437" s="11">
        <v>2245.92</v>
      </c>
      <c r="R1437" s="12">
        <v>80.92</v>
      </c>
      <c r="S1437" s="71">
        <v>46391</v>
      </c>
      <c r="T1437" s="10"/>
      <c r="U1437" s="97"/>
      <c r="V1437" s="1"/>
      <c r="X1437" s="101">
        <v>2</v>
      </c>
    </row>
    <row r="1438" spans="2:24" hidden="1">
      <c r="B1438" s="6" t="s">
        <v>3397</v>
      </c>
      <c r="C1438" s="23">
        <v>46225.579861111109</v>
      </c>
      <c r="D1438" s="6" t="s">
        <v>24</v>
      </c>
      <c r="E1438" s="6"/>
      <c r="F1438" s="28">
        <v>46225</v>
      </c>
      <c r="G1438" s="27" t="s">
        <v>3260</v>
      </c>
      <c r="H1438" s="6" t="s">
        <v>1625</v>
      </c>
      <c r="I1438" s="6" t="s">
        <v>3398</v>
      </c>
      <c r="J1438" s="192">
        <v>7836502935</v>
      </c>
      <c r="K1438" s="183" t="s">
        <v>3399</v>
      </c>
      <c r="L1438" s="108">
        <v>2</v>
      </c>
      <c r="M1438" s="37" t="s">
        <v>3400</v>
      </c>
      <c r="N1438" s="169" t="s">
        <v>37</v>
      </c>
      <c r="O1438" s="48">
        <v>10171.24</v>
      </c>
      <c r="P1438" s="95">
        <v>3050.84</v>
      </c>
      <c r="Q1438" s="8">
        <v>3051.37</v>
      </c>
      <c r="R1438" s="13">
        <v>0.53</v>
      </c>
      <c r="S1438" s="70">
        <v>46394</v>
      </c>
      <c r="T1438" s="6"/>
      <c r="U1438" s="164"/>
      <c r="V1438" s="1"/>
      <c r="X1438" s="101">
        <v>2</v>
      </c>
    </row>
    <row r="1439" spans="2:24" hidden="1">
      <c r="B1439" s="10" t="s">
        <v>3401</v>
      </c>
      <c r="C1439" s="24">
        <v>46225.581944444442</v>
      </c>
      <c r="D1439" s="10" t="s">
        <v>24</v>
      </c>
      <c r="E1439" s="10"/>
      <c r="F1439" s="28">
        <v>46225</v>
      </c>
      <c r="G1439" s="28" t="s">
        <v>3260</v>
      </c>
      <c r="H1439" s="10" t="s">
        <v>1625</v>
      </c>
      <c r="I1439" s="10" t="s">
        <v>3402</v>
      </c>
      <c r="J1439" s="202">
        <v>64826334217</v>
      </c>
      <c r="K1439" s="181" t="s">
        <v>3403</v>
      </c>
      <c r="L1439" s="108">
        <v>2</v>
      </c>
      <c r="M1439" s="36" t="s">
        <v>3404</v>
      </c>
      <c r="N1439" s="170" t="s">
        <v>37</v>
      </c>
      <c r="O1439" s="49">
        <v>7920.51</v>
      </c>
      <c r="P1439" s="96">
        <v>2376.0300000000002</v>
      </c>
      <c r="Q1439" s="11">
        <v>2376.15</v>
      </c>
      <c r="R1439" s="12">
        <v>0.12</v>
      </c>
      <c r="S1439" s="71">
        <v>46758</v>
      </c>
      <c r="T1439" s="10"/>
      <c r="U1439" s="97"/>
      <c r="V1439" s="1"/>
      <c r="X1439" s="101">
        <v>2</v>
      </c>
    </row>
    <row r="1440" spans="2:24" hidden="1">
      <c r="B1440" s="6" t="s">
        <v>3405</v>
      </c>
      <c r="C1440" s="23">
        <v>46225.584027777775</v>
      </c>
      <c r="D1440" s="6" t="s">
        <v>24</v>
      </c>
      <c r="E1440" s="6"/>
      <c r="F1440" s="28">
        <v>46225</v>
      </c>
      <c r="G1440" s="27" t="s">
        <v>3260</v>
      </c>
      <c r="H1440" s="7" t="s">
        <v>3352</v>
      </c>
      <c r="I1440" s="6" t="s">
        <v>3406</v>
      </c>
      <c r="J1440" s="203">
        <v>14846405828</v>
      </c>
      <c r="K1440" s="180"/>
      <c r="L1440" s="108">
        <v>22991608</v>
      </c>
      <c r="M1440" s="37">
        <v>4425355276</v>
      </c>
      <c r="N1440" s="169" t="s">
        <v>37</v>
      </c>
      <c r="O1440" s="48">
        <v>38530.879999999997</v>
      </c>
      <c r="P1440" s="95">
        <v>11558.55</v>
      </c>
      <c r="Q1440" s="8">
        <v>11559.26</v>
      </c>
      <c r="R1440" s="13">
        <v>0.71</v>
      </c>
      <c r="S1440" s="70">
        <v>46754</v>
      </c>
      <c r="T1440" s="6"/>
      <c r="U1440" s="164"/>
      <c r="V1440" s="1"/>
      <c r="X1440" s="101">
        <v>2</v>
      </c>
    </row>
    <row r="1441" spans="2:24" hidden="1">
      <c r="B1441" s="10" t="s">
        <v>3407</v>
      </c>
      <c r="C1441" s="24">
        <v>46225.586111111108</v>
      </c>
      <c r="D1441" s="10" t="s">
        <v>24</v>
      </c>
      <c r="E1441" s="10"/>
      <c r="F1441" s="28">
        <v>46225</v>
      </c>
      <c r="G1441" s="28" t="s">
        <v>2604</v>
      </c>
      <c r="H1441" s="10" t="s">
        <v>160</v>
      </c>
      <c r="I1441" s="10" t="s">
        <v>3408</v>
      </c>
      <c r="J1441" s="193"/>
      <c r="K1441" s="181" t="s">
        <v>3409</v>
      </c>
      <c r="L1441" s="108">
        <v>22878326</v>
      </c>
      <c r="M1441" s="36">
        <v>5216361177224</v>
      </c>
      <c r="N1441" s="170" t="s">
        <v>28</v>
      </c>
      <c r="O1441" s="49">
        <v>49190.91</v>
      </c>
      <c r="P1441" s="96">
        <v>4187.6499999999996</v>
      </c>
      <c r="Q1441" s="11">
        <v>14757.27</v>
      </c>
      <c r="R1441" s="14">
        <v>10569.62</v>
      </c>
      <c r="S1441" s="71">
        <v>45299</v>
      </c>
      <c r="T1441" s="10"/>
      <c r="U1441" s="97"/>
      <c r="V1441" s="1"/>
      <c r="X1441" s="101">
        <v>2</v>
      </c>
    </row>
    <row r="1442" spans="2:24" hidden="1">
      <c r="B1442" s="6" t="s">
        <v>3410</v>
      </c>
      <c r="C1442" s="23">
        <v>46225.586805555555</v>
      </c>
      <c r="D1442" s="6" t="s">
        <v>24</v>
      </c>
      <c r="E1442" s="6"/>
      <c r="F1442" s="28">
        <v>46225</v>
      </c>
      <c r="G1442" s="27" t="s">
        <v>2859</v>
      </c>
      <c r="H1442" s="6" t="s">
        <v>51</v>
      </c>
      <c r="I1442" s="6" t="s">
        <v>3411</v>
      </c>
      <c r="J1442" s="192">
        <v>1715096069</v>
      </c>
      <c r="K1442" s="180" t="s">
        <v>3412</v>
      </c>
      <c r="L1442" s="108">
        <v>22898930</v>
      </c>
      <c r="M1442" s="37">
        <v>5215571463006</v>
      </c>
      <c r="N1442" s="169" t="s">
        <v>37</v>
      </c>
      <c r="O1442" s="48">
        <v>7116.73</v>
      </c>
      <c r="P1442" s="95">
        <v>2134.9899999999998</v>
      </c>
      <c r="Q1442" s="8">
        <v>2135.02</v>
      </c>
      <c r="R1442" s="13">
        <v>0.03</v>
      </c>
      <c r="S1442" s="70">
        <v>46396</v>
      </c>
      <c r="T1442" s="6"/>
      <c r="U1442" s="164"/>
      <c r="V1442" s="1"/>
      <c r="X1442" s="101">
        <v>2</v>
      </c>
    </row>
    <row r="1443" spans="2:24" hidden="1">
      <c r="B1443" s="10" t="s">
        <v>3413</v>
      </c>
      <c r="C1443" s="24">
        <v>46225.588888888888</v>
      </c>
      <c r="D1443" s="10" t="s">
        <v>24</v>
      </c>
      <c r="E1443" s="10"/>
      <c r="F1443" s="28">
        <v>46225</v>
      </c>
      <c r="G1443" s="28" t="s">
        <v>3260</v>
      </c>
      <c r="H1443" s="15" t="s">
        <v>3022</v>
      </c>
      <c r="I1443" s="10" t="s">
        <v>3414</v>
      </c>
      <c r="J1443" s="193"/>
      <c r="K1443" s="181" t="s">
        <v>3415</v>
      </c>
      <c r="L1443" s="108">
        <v>22996782</v>
      </c>
      <c r="M1443" s="36">
        <v>6691586116</v>
      </c>
      <c r="N1443" s="170" t="s">
        <v>37</v>
      </c>
      <c r="O1443" s="49">
        <v>8793.09</v>
      </c>
      <c r="P1443" s="96">
        <v>2544.0500000000002</v>
      </c>
      <c r="Q1443" s="11">
        <v>2637.93</v>
      </c>
      <c r="R1443" s="12">
        <v>93.88</v>
      </c>
      <c r="S1443" s="71">
        <v>46398</v>
      </c>
      <c r="T1443" s="10"/>
      <c r="U1443" s="97"/>
      <c r="V1443" s="1"/>
      <c r="X1443" s="101">
        <v>2</v>
      </c>
    </row>
    <row r="1444" spans="2:24" hidden="1">
      <c r="B1444" s="6" t="s">
        <v>3413</v>
      </c>
      <c r="C1444" s="23">
        <v>46225.589583333334</v>
      </c>
      <c r="D1444" s="6" t="s">
        <v>24</v>
      </c>
      <c r="E1444" s="6"/>
      <c r="F1444" s="28">
        <v>46225</v>
      </c>
      <c r="G1444" s="27" t="s">
        <v>2859</v>
      </c>
      <c r="H1444" s="10" t="s">
        <v>61</v>
      </c>
      <c r="I1444" s="6" t="s">
        <v>3416</v>
      </c>
      <c r="J1444" s="192">
        <v>13796117557</v>
      </c>
      <c r="K1444" s="180"/>
      <c r="L1444" s="107">
        <v>22910086</v>
      </c>
      <c r="M1444" s="37">
        <v>5217717733802</v>
      </c>
      <c r="N1444" s="169" t="s">
        <v>28</v>
      </c>
      <c r="O1444" s="48">
        <v>26898.17</v>
      </c>
      <c r="P1444" s="95"/>
      <c r="Q1444" s="8">
        <v>8069.45</v>
      </c>
      <c r="R1444" s="9">
        <v>8069.45</v>
      </c>
      <c r="S1444" s="70"/>
      <c r="T1444" s="6"/>
      <c r="U1444" s="164"/>
      <c r="V1444" s="1"/>
      <c r="X1444" s="101">
        <v>1</v>
      </c>
    </row>
    <row r="1445" spans="2:24" hidden="1">
      <c r="B1445" s="10" t="s">
        <v>3417</v>
      </c>
      <c r="C1445" s="24">
        <v>46225.594444444447</v>
      </c>
      <c r="D1445" s="10" t="s">
        <v>24</v>
      </c>
      <c r="E1445" s="10"/>
      <c r="F1445" s="28">
        <v>46225</v>
      </c>
      <c r="G1445" s="28" t="s">
        <v>3260</v>
      </c>
      <c r="H1445" s="15" t="s">
        <v>3007</v>
      </c>
      <c r="I1445" s="10" t="s">
        <v>3418</v>
      </c>
      <c r="J1445" s="193"/>
      <c r="K1445" s="181" t="s">
        <v>3419</v>
      </c>
      <c r="L1445" s="108">
        <v>22997024</v>
      </c>
      <c r="M1445" s="36">
        <v>2971191012</v>
      </c>
      <c r="N1445" s="170" t="s">
        <v>37</v>
      </c>
      <c r="O1445" s="49">
        <v>9081.52</v>
      </c>
      <c r="P1445" s="96">
        <v>2626.95</v>
      </c>
      <c r="Q1445" s="11">
        <v>2724.46</v>
      </c>
      <c r="R1445" s="12">
        <v>97.51</v>
      </c>
      <c r="S1445" s="71">
        <v>46266</v>
      </c>
      <c r="T1445" s="10" t="s">
        <v>84</v>
      </c>
      <c r="U1445" s="97"/>
      <c r="V1445" s="1"/>
      <c r="X1445" s="101">
        <v>2</v>
      </c>
    </row>
    <row r="1446" spans="2:24" hidden="1">
      <c r="B1446" s="6" t="s">
        <v>3420</v>
      </c>
      <c r="C1446" s="23">
        <v>46225.604861111111</v>
      </c>
      <c r="D1446" s="6" t="s">
        <v>24</v>
      </c>
      <c r="E1446" s="6"/>
      <c r="F1446" s="28">
        <v>46225</v>
      </c>
      <c r="G1446" s="27" t="s">
        <v>3260</v>
      </c>
      <c r="H1446" s="10" t="s">
        <v>68</v>
      </c>
      <c r="I1446" s="6" t="s">
        <v>3421</v>
      </c>
      <c r="J1446" s="192">
        <v>11896826440</v>
      </c>
      <c r="K1446" s="180" t="s">
        <v>3422</v>
      </c>
      <c r="L1446" s="107">
        <v>22992746</v>
      </c>
      <c r="M1446" s="37">
        <v>5215518226715</v>
      </c>
      <c r="N1446" s="169" t="s">
        <v>130</v>
      </c>
      <c r="O1446" s="48">
        <v>4385.66</v>
      </c>
      <c r="P1446" s="95">
        <v>494.12</v>
      </c>
      <c r="Q1446" s="8">
        <v>1315.7</v>
      </c>
      <c r="R1446" s="13">
        <v>-281.44</v>
      </c>
      <c r="S1446" s="70">
        <v>45295</v>
      </c>
      <c r="T1446" s="6"/>
      <c r="U1446" s="164"/>
      <c r="V1446" s="1"/>
      <c r="X1446" s="101">
        <v>2</v>
      </c>
    </row>
    <row r="1447" spans="2:24" hidden="1">
      <c r="B1447" s="10" t="s">
        <v>3423</v>
      </c>
      <c r="C1447" s="24">
        <v>46225.605555555558</v>
      </c>
      <c r="D1447" s="10" t="s">
        <v>24</v>
      </c>
      <c r="E1447" s="10"/>
      <c r="F1447" s="28">
        <v>46225</v>
      </c>
      <c r="G1447" s="28" t="s">
        <v>3260</v>
      </c>
      <c r="H1447" s="160" t="s">
        <v>3352</v>
      </c>
      <c r="I1447" s="10" t="s">
        <v>3424</v>
      </c>
      <c r="J1447" s="193">
        <v>32786114127</v>
      </c>
      <c r="K1447" s="181" t="s">
        <v>3425</v>
      </c>
      <c r="L1447" s="108">
        <v>22996982</v>
      </c>
      <c r="M1447" s="36">
        <v>8621246725</v>
      </c>
      <c r="N1447" s="170" t="s">
        <v>263</v>
      </c>
      <c r="O1447" s="49">
        <v>7640.52</v>
      </c>
      <c r="P1447" s="96">
        <v>2210.59</v>
      </c>
      <c r="Q1447" s="11">
        <v>2292.16</v>
      </c>
      <c r="R1447" s="12">
        <v>81.569999999999993</v>
      </c>
      <c r="S1447" s="71">
        <v>45295</v>
      </c>
      <c r="T1447" s="10"/>
      <c r="U1447" s="97"/>
      <c r="V1447" s="1"/>
      <c r="X1447" s="101">
        <v>2</v>
      </c>
    </row>
    <row r="1448" spans="2:24" hidden="1">
      <c r="B1448" s="6" t="s">
        <v>3426</v>
      </c>
      <c r="C1448" s="23">
        <v>46225.611111111109</v>
      </c>
      <c r="D1448" s="6" t="s">
        <v>24</v>
      </c>
      <c r="E1448" s="6"/>
      <c r="F1448" s="28">
        <v>46225</v>
      </c>
      <c r="G1448" s="27" t="s">
        <v>2859</v>
      </c>
      <c r="H1448" s="6" t="s">
        <v>160</v>
      </c>
      <c r="I1448" s="6" t="s">
        <v>3427</v>
      </c>
      <c r="J1448" s="192">
        <v>11644702265</v>
      </c>
      <c r="K1448" s="180" t="s">
        <v>3428</v>
      </c>
      <c r="L1448" s="108">
        <v>22895570</v>
      </c>
      <c r="M1448" s="37">
        <v>5216646134518</v>
      </c>
      <c r="N1448" s="169" t="s">
        <v>37</v>
      </c>
      <c r="O1448" s="48">
        <v>5636.59</v>
      </c>
      <c r="P1448" s="95">
        <v>1690.32</v>
      </c>
      <c r="Q1448" s="8">
        <v>1690.98</v>
      </c>
      <c r="R1448" s="13">
        <v>-226.71</v>
      </c>
      <c r="S1448" s="70">
        <v>46758</v>
      </c>
      <c r="T1448" s="6"/>
      <c r="U1448" s="164"/>
      <c r="V1448" s="1"/>
      <c r="X1448" s="101">
        <v>2</v>
      </c>
    </row>
    <row r="1449" spans="2:24" hidden="1">
      <c r="B1449" s="10" t="s">
        <v>3429</v>
      </c>
      <c r="C1449" s="24">
        <v>46225.611111111109</v>
      </c>
      <c r="D1449" s="10" t="s">
        <v>24</v>
      </c>
      <c r="E1449" s="10"/>
      <c r="F1449" s="28">
        <v>46225</v>
      </c>
      <c r="G1449" s="28" t="s">
        <v>3260</v>
      </c>
      <c r="H1449" s="15" t="s">
        <v>110</v>
      </c>
      <c r="I1449" s="10" t="s">
        <v>3430</v>
      </c>
      <c r="J1449" s="193"/>
      <c r="K1449" s="181" t="s">
        <v>3431</v>
      </c>
      <c r="L1449" s="112">
        <v>22997580</v>
      </c>
      <c r="M1449" s="36">
        <v>5219518844272</v>
      </c>
      <c r="N1449" s="170" t="s">
        <v>98</v>
      </c>
      <c r="O1449" s="49"/>
      <c r="P1449" s="96"/>
      <c r="Q1449" s="11">
        <v>0</v>
      </c>
      <c r="R1449" s="12">
        <v>0</v>
      </c>
      <c r="S1449" s="71"/>
      <c r="T1449" s="10"/>
      <c r="U1449" s="97"/>
      <c r="V1449" s="1"/>
      <c r="X1449" s="101">
        <v>0</v>
      </c>
    </row>
    <row r="1450" spans="2:24" hidden="1">
      <c r="B1450" s="6" t="s">
        <v>3432</v>
      </c>
      <c r="C1450" s="23">
        <v>46225.615972222222</v>
      </c>
      <c r="D1450" s="6" t="s">
        <v>24</v>
      </c>
      <c r="E1450" s="6"/>
      <c r="F1450" s="28">
        <v>46225</v>
      </c>
      <c r="G1450" s="27" t="s">
        <v>2859</v>
      </c>
      <c r="H1450" s="6" t="s">
        <v>160</v>
      </c>
      <c r="I1450" s="6" t="s">
        <v>3433</v>
      </c>
      <c r="J1450" s="192">
        <v>84937549529</v>
      </c>
      <c r="K1450" s="180" t="s">
        <v>3434</v>
      </c>
      <c r="L1450" s="107">
        <v>22915178</v>
      </c>
      <c r="M1450" s="37">
        <v>5219834517075</v>
      </c>
      <c r="N1450" s="169" t="s">
        <v>32</v>
      </c>
      <c r="O1450" s="48">
        <v>3783.67</v>
      </c>
      <c r="P1450" s="95"/>
      <c r="Q1450" s="8">
        <v>1135.0999999999999</v>
      </c>
      <c r="R1450" s="13">
        <v>0</v>
      </c>
      <c r="S1450" s="70"/>
      <c r="T1450" s="6"/>
      <c r="U1450" s="164"/>
      <c r="V1450" s="1"/>
      <c r="X1450" s="101">
        <v>1</v>
      </c>
    </row>
    <row r="1451" spans="2:24" hidden="1">
      <c r="B1451" s="10" t="s">
        <v>3435</v>
      </c>
      <c r="C1451" s="24">
        <v>46225.621527777781</v>
      </c>
      <c r="D1451" s="10" t="s">
        <v>24</v>
      </c>
      <c r="E1451" s="10"/>
      <c r="F1451" s="28">
        <v>46225</v>
      </c>
      <c r="G1451" s="28" t="s">
        <v>2859</v>
      </c>
      <c r="H1451" s="10" t="s">
        <v>127</v>
      </c>
      <c r="I1451" s="10" t="s">
        <v>3436</v>
      </c>
      <c r="J1451" s="193">
        <v>23806024115</v>
      </c>
      <c r="K1451" s="181" t="s">
        <v>3437</v>
      </c>
      <c r="L1451" s="108">
        <v>22913510</v>
      </c>
      <c r="M1451" s="36">
        <v>5216682330384</v>
      </c>
      <c r="N1451" s="170" t="s">
        <v>28</v>
      </c>
      <c r="O1451" s="49">
        <v>9129.5</v>
      </c>
      <c r="P1451" s="96"/>
      <c r="Q1451" s="11">
        <v>2738.85</v>
      </c>
      <c r="R1451" s="14">
        <v>2738.85</v>
      </c>
      <c r="S1451" s="71"/>
      <c r="T1451" s="10"/>
      <c r="U1451" s="97"/>
      <c r="V1451" s="1"/>
      <c r="X1451" s="101">
        <v>1</v>
      </c>
    </row>
    <row r="1452" spans="2:24" hidden="1">
      <c r="B1452" s="6" t="s">
        <v>3438</v>
      </c>
      <c r="C1452" s="23">
        <v>46225.62222222222</v>
      </c>
      <c r="D1452" s="6" t="s">
        <v>24</v>
      </c>
      <c r="E1452" s="6"/>
      <c r="F1452" s="28">
        <v>46225</v>
      </c>
      <c r="G1452" s="27" t="s">
        <v>3260</v>
      </c>
      <c r="H1452" s="160" t="s">
        <v>3007</v>
      </c>
      <c r="I1452" s="6" t="s">
        <v>3439</v>
      </c>
      <c r="J1452" s="192"/>
      <c r="K1452" s="180" t="s">
        <v>3440</v>
      </c>
      <c r="L1452" s="107">
        <v>22998206</v>
      </c>
      <c r="M1452" s="37">
        <v>5527231431</v>
      </c>
      <c r="N1452" s="169" t="s">
        <v>28</v>
      </c>
      <c r="O1452" s="48">
        <v>12927.82</v>
      </c>
      <c r="P1452" s="95"/>
      <c r="Q1452" s="8">
        <v>3878.35</v>
      </c>
      <c r="R1452" s="9">
        <v>3878.35</v>
      </c>
      <c r="S1452" s="70"/>
      <c r="T1452" s="6"/>
      <c r="U1452" s="164"/>
      <c r="V1452" s="1"/>
      <c r="X1452" s="101">
        <v>1</v>
      </c>
    </row>
    <row r="1453" spans="2:24" hidden="1">
      <c r="B1453" s="10" t="s">
        <v>3441</v>
      </c>
      <c r="C1453" s="24">
        <v>46225.622916666667</v>
      </c>
      <c r="D1453" s="10" t="s">
        <v>24</v>
      </c>
      <c r="E1453" s="10"/>
      <c r="F1453" s="28">
        <v>46225</v>
      </c>
      <c r="G1453" s="28" t="s">
        <v>3260</v>
      </c>
      <c r="H1453" s="10" t="s">
        <v>1519</v>
      </c>
      <c r="I1453" s="10" t="s">
        <v>3442</v>
      </c>
      <c r="J1453" s="194">
        <v>5387707507</v>
      </c>
      <c r="K1453" s="181" t="s">
        <v>3443</v>
      </c>
      <c r="L1453" s="108">
        <v>22983896</v>
      </c>
      <c r="M1453" s="36">
        <v>5217861318796</v>
      </c>
      <c r="N1453" s="170" t="s">
        <v>98</v>
      </c>
      <c r="O1453" s="49"/>
      <c r="P1453" s="96"/>
      <c r="Q1453" s="11">
        <v>0</v>
      </c>
      <c r="R1453" s="12">
        <v>0</v>
      </c>
      <c r="S1453" s="71"/>
      <c r="T1453" s="10"/>
      <c r="U1453" s="97"/>
      <c r="V1453" s="1"/>
      <c r="X1453" s="101">
        <v>0</v>
      </c>
    </row>
    <row r="1454" spans="2:24" hidden="1">
      <c r="B1454" s="6" t="s">
        <v>3444</v>
      </c>
      <c r="C1454" s="23">
        <v>46225.622916666667</v>
      </c>
      <c r="D1454" s="6" t="s">
        <v>24</v>
      </c>
      <c r="E1454" s="6"/>
      <c r="F1454" s="28">
        <v>46225</v>
      </c>
      <c r="G1454" s="27" t="s">
        <v>3260</v>
      </c>
      <c r="H1454" s="6" t="s">
        <v>160</v>
      </c>
      <c r="I1454" s="6" t="s">
        <v>3445</v>
      </c>
      <c r="J1454" s="192">
        <v>17836407860</v>
      </c>
      <c r="K1454" s="180" t="s">
        <v>3446</v>
      </c>
      <c r="L1454" s="107">
        <v>22989948</v>
      </c>
      <c r="M1454" s="37">
        <v>5215572948312</v>
      </c>
      <c r="N1454" s="169" t="s">
        <v>74</v>
      </c>
      <c r="O1454" s="48"/>
      <c r="P1454" s="95"/>
      <c r="Q1454" s="8">
        <v>0</v>
      </c>
      <c r="R1454" s="13">
        <v>0</v>
      </c>
      <c r="S1454" s="70"/>
      <c r="T1454" s="6"/>
      <c r="U1454" s="164"/>
      <c r="V1454" s="1"/>
      <c r="X1454" s="101">
        <v>1</v>
      </c>
    </row>
    <row r="1455" spans="2:24" hidden="1">
      <c r="B1455" s="10" t="s">
        <v>3447</v>
      </c>
      <c r="C1455" s="24">
        <v>46225.622916666667</v>
      </c>
      <c r="D1455" s="10" t="s">
        <v>24</v>
      </c>
      <c r="E1455" s="10"/>
      <c r="F1455" s="28">
        <v>46225</v>
      </c>
      <c r="G1455" s="28" t="s">
        <v>3260</v>
      </c>
      <c r="H1455" s="10" t="s">
        <v>1625</v>
      </c>
      <c r="I1455" s="10" t="s">
        <v>3448</v>
      </c>
      <c r="J1455" s="193">
        <v>81867003790</v>
      </c>
      <c r="K1455" s="181" t="s">
        <v>3449</v>
      </c>
      <c r="L1455" s="108">
        <v>2</v>
      </c>
      <c r="M1455" s="36" t="s">
        <v>3450</v>
      </c>
      <c r="N1455" s="170" t="s">
        <v>37</v>
      </c>
      <c r="O1455" s="49">
        <v>12370.11</v>
      </c>
      <c r="P1455" s="96">
        <v>3711</v>
      </c>
      <c r="Q1455" s="11">
        <v>3711.03</v>
      </c>
      <c r="R1455" s="12">
        <v>0.03</v>
      </c>
      <c r="S1455" s="71">
        <v>46757</v>
      </c>
      <c r="T1455" s="10"/>
      <c r="U1455" s="97"/>
      <c r="V1455" s="1"/>
      <c r="X1455" s="101">
        <v>2</v>
      </c>
    </row>
    <row r="1456" spans="2:24" hidden="1">
      <c r="B1456" s="6" t="s">
        <v>3451</v>
      </c>
      <c r="C1456" s="23">
        <v>46225.624305555553</v>
      </c>
      <c r="D1456" s="6" t="s">
        <v>24</v>
      </c>
      <c r="E1456" s="6"/>
      <c r="F1456" s="28">
        <v>46225</v>
      </c>
      <c r="G1456" s="27" t="s">
        <v>3260</v>
      </c>
      <c r="H1456" s="7" t="s">
        <v>3452</v>
      </c>
      <c r="I1456" s="6" t="s">
        <v>3453</v>
      </c>
      <c r="J1456" s="192"/>
      <c r="K1456" s="180" t="s">
        <v>3454</v>
      </c>
      <c r="L1456" s="108">
        <v>22996646</v>
      </c>
      <c r="M1456" s="37">
        <v>8448067943</v>
      </c>
      <c r="N1456" s="169" t="s">
        <v>37</v>
      </c>
      <c r="O1456" s="48">
        <v>9081.52</v>
      </c>
      <c r="P1456" s="95">
        <v>2518.2800000000002</v>
      </c>
      <c r="Q1456" s="8">
        <v>2724.46</v>
      </c>
      <c r="R1456" s="13">
        <v>206.18</v>
      </c>
      <c r="S1456" s="70">
        <v>46357</v>
      </c>
      <c r="T1456" s="6"/>
      <c r="U1456" s="164"/>
      <c r="V1456" s="1"/>
      <c r="X1456" s="101">
        <v>2</v>
      </c>
    </row>
    <row r="1457" spans="2:24" hidden="1">
      <c r="B1457" s="10" t="s">
        <v>3455</v>
      </c>
      <c r="C1457" s="24">
        <v>46225.626388888886</v>
      </c>
      <c r="D1457" s="10" t="s">
        <v>24</v>
      </c>
      <c r="E1457" s="10"/>
      <c r="F1457" s="28">
        <v>46225</v>
      </c>
      <c r="G1457" s="28" t="s">
        <v>3260</v>
      </c>
      <c r="H1457" s="160" t="s">
        <v>3352</v>
      </c>
      <c r="I1457" s="10" t="s">
        <v>3456</v>
      </c>
      <c r="J1457" s="193">
        <v>62816405072</v>
      </c>
      <c r="K1457" s="181" t="s">
        <v>3457</v>
      </c>
      <c r="L1457" s="117">
        <v>22992836</v>
      </c>
      <c r="M1457" s="36">
        <v>2383055020</v>
      </c>
      <c r="N1457" s="170" t="s">
        <v>47</v>
      </c>
      <c r="O1457" s="49">
        <v>4569.28</v>
      </c>
      <c r="P1457" s="96"/>
      <c r="Q1457" s="11">
        <v>1370.78</v>
      </c>
      <c r="R1457" s="16">
        <v>396.3</v>
      </c>
      <c r="S1457" s="71"/>
      <c r="T1457" s="10"/>
      <c r="U1457" s="97"/>
      <c r="V1457" s="1"/>
      <c r="X1457" s="101">
        <v>1</v>
      </c>
    </row>
    <row r="1458" spans="2:24" hidden="1">
      <c r="B1458" s="6" t="s">
        <v>3441</v>
      </c>
      <c r="C1458" s="23">
        <v>46225.627083333333</v>
      </c>
      <c r="D1458" s="6" t="s">
        <v>24</v>
      </c>
      <c r="E1458" s="6"/>
      <c r="F1458" s="28">
        <v>46225</v>
      </c>
      <c r="G1458" s="27" t="s">
        <v>2859</v>
      </c>
      <c r="H1458" s="6" t="s">
        <v>127</v>
      </c>
      <c r="I1458" s="6" t="s">
        <v>3458</v>
      </c>
      <c r="J1458" s="192">
        <v>1755846126</v>
      </c>
      <c r="K1458" s="180" t="s">
        <v>3459</v>
      </c>
      <c r="L1458" s="108">
        <v>22912228</v>
      </c>
      <c r="M1458" s="37">
        <v>5215578350305</v>
      </c>
      <c r="N1458" s="169" t="s">
        <v>37</v>
      </c>
      <c r="O1458" s="48">
        <v>16493.53</v>
      </c>
      <c r="P1458" s="95">
        <v>4921.83</v>
      </c>
      <c r="Q1458" s="8">
        <v>4948.0600000000004</v>
      </c>
      <c r="R1458" s="13">
        <v>26.23</v>
      </c>
      <c r="S1458" s="70">
        <v>46754</v>
      </c>
      <c r="T1458" s="6"/>
      <c r="U1458" s="164"/>
      <c r="V1458" s="1"/>
      <c r="X1458" s="101">
        <v>2</v>
      </c>
    </row>
    <row r="1459" spans="2:24" hidden="1">
      <c r="B1459" s="10" t="s">
        <v>3460</v>
      </c>
      <c r="C1459" s="24">
        <v>46225.631249999999</v>
      </c>
      <c r="D1459" s="10" t="s">
        <v>24</v>
      </c>
      <c r="E1459" s="10"/>
      <c r="F1459" s="28">
        <v>46225</v>
      </c>
      <c r="G1459" s="28" t="s">
        <v>3260</v>
      </c>
      <c r="H1459" s="10" t="s">
        <v>160</v>
      </c>
      <c r="I1459" s="10" t="s">
        <v>3461</v>
      </c>
      <c r="J1459" s="193">
        <v>1796334793</v>
      </c>
      <c r="K1459" s="181" t="s">
        <v>3462</v>
      </c>
      <c r="L1459" s="108">
        <v>22981644</v>
      </c>
      <c r="M1459" s="36">
        <v>5214611721784</v>
      </c>
      <c r="N1459" s="170" t="s">
        <v>28</v>
      </c>
      <c r="O1459" s="49">
        <v>24861.02</v>
      </c>
      <c r="P1459" s="96"/>
      <c r="Q1459" s="11">
        <v>7458.31</v>
      </c>
      <c r="R1459" s="14">
        <v>7458.31</v>
      </c>
      <c r="S1459" s="71"/>
      <c r="T1459" s="10"/>
      <c r="U1459" s="97"/>
      <c r="V1459" s="1"/>
      <c r="X1459" s="101">
        <v>1</v>
      </c>
    </row>
    <row r="1460" spans="2:24" hidden="1">
      <c r="B1460" s="6" t="s">
        <v>3463</v>
      </c>
      <c r="C1460" s="23">
        <v>46225.631249999999</v>
      </c>
      <c r="D1460" s="6" t="s">
        <v>24</v>
      </c>
      <c r="E1460" s="6"/>
      <c r="F1460" s="28">
        <v>46225</v>
      </c>
      <c r="G1460" s="27" t="s">
        <v>3260</v>
      </c>
      <c r="H1460" s="10" t="s">
        <v>81</v>
      </c>
      <c r="I1460" s="6" t="s">
        <v>3464</v>
      </c>
      <c r="J1460" s="192"/>
      <c r="K1460" s="180" t="s">
        <v>3465</v>
      </c>
      <c r="L1460" s="107">
        <v>22984046</v>
      </c>
      <c r="M1460" s="37">
        <v>5218771181666</v>
      </c>
      <c r="N1460" s="169" t="s">
        <v>130</v>
      </c>
      <c r="O1460" s="48">
        <v>5642.22</v>
      </c>
      <c r="P1460" s="95">
        <v>984.26</v>
      </c>
      <c r="Q1460" s="8">
        <v>1692.67</v>
      </c>
      <c r="R1460" s="22">
        <v>484.98</v>
      </c>
      <c r="S1460" s="70">
        <v>46027</v>
      </c>
      <c r="T1460" s="6"/>
      <c r="U1460" s="164"/>
      <c r="V1460" s="1"/>
      <c r="X1460" s="101">
        <v>2</v>
      </c>
    </row>
    <row r="1461" spans="2:24" hidden="1">
      <c r="B1461" s="10" t="s">
        <v>3451</v>
      </c>
      <c r="C1461" s="24">
        <v>46225.631944444445</v>
      </c>
      <c r="D1461" s="10" t="s">
        <v>24</v>
      </c>
      <c r="E1461" s="10"/>
      <c r="F1461" s="28">
        <v>46225</v>
      </c>
      <c r="G1461" s="28" t="s">
        <v>3260</v>
      </c>
      <c r="H1461" s="10" t="s">
        <v>1625</v>
      </c>
      <c r="I1461" s="10" t="s">
        <v>3466</v>
      </c>
      <c r="J1461" s="193">
        <v>53755738225</v>
      </c>
      <c r="K1461" s="181" t="s">
        <v>3467</v>
      </c>
      <c r="L1461" s="108">
        <v>2</v>
      </c>
      <c r="M1461" s="36" t="s">
        <v>3468</v>
      </c>
      <c r="N1461" s="170" t="s">
        <v>37</v>
      </c>
      <c r="O1461" s="49">
        <v>4813.6899999999996</v>
      </c>
      <c r="P1461" s="96">
        <v>592</v>
      </c>
      <c r="Q1461" s="11">
        <v>1444.11</v>
      </c>
      <c r="R1461" s="12">
        <v>48.71</v>
      </c>
      <c r="S1461" s="71">
        <v>46030</v>
      </c>
      <c r="T1461" s="10"/>
      <c r="U1461" s="97"/>
      <c r="V1461" s="1"/>
      <c r="X1461" s="101">
        <v>2</v>
      </c>
    </row>
    <row r="1462" spans="2:24" hidden="1">
      <c r="B1462" s="6" t="s">
        <v>3469</v>
      </c>
      <c r="C1462" s="23">
        <v>46225.632638888892</v>
      </c>
      <c r="D1462" s="6" t="s">
        <v>24</v>
      </c>
      <c r="E1462" s="6"/>
      <c r="F1462" s="28">
        <v>46225</v>
      </c>
      <c r="G1462" s="27" t="s">
        <v>3260</v>
      </c>
      <c r="H1462" s="6" t="s">
        <v>68</v>
      </c>
      <c r="I1462" s="6" t="s">
        <v>3470</v>
      </c>
      <c r="J1462" s="201">
        <v>1714430954</v>
      </c>
      <c r="K1462" s="180" t="s">
        <v>3471</v>
      </c>
      <c r="L1462" s="107">
        <v>22989980</v>
      </c>
      <c r="M1462" s="37">
        <v>5215614623700</v>
      </c>
      <c r="N1462" s="169" t="s">
        <v>32</v>
      </c>
      <c r="O1462" s="48">
        <v>3941.18</v>
      </c>
      <c r="P1462" s="95"/>
      <c r="Q1462" s="8">
        <v>1182.3499999999999</v>
      </c>
      <c r="R1462" s="13">
        <v>0</v>
      </c>
      <c r="S1462" s="70"/>
      <c r="T1462" s="6"/>
      <c r="U1462" s="164"/>
      <c r="V1462" s="1"/>
      <c r="X1462" s="101">
        <v>1</v>
      </c>
    </row>
    <row r="1463" spans="2:24" hidden="1">
      <c r="B1463" s="10" t="s">
        <v>3472</v>
      </c>
      <c r="C1463" s="24">
        <v>46225.636111111111</v>
      </c>
      <c r="D1463" s="10" t="s">
        <v>24</v>
      </c>
      <c r="E1463" s="10"/>
      <c r="F1463" s="28">
        <v>46225</v>
      </c>
      <c r="G1463" s="28" t="s">
        <v>3260</v>
      </c>
      <c r="H1463" s="10" t="s">
        <v>81</v>
      </c>
      <c r="I1463" s="10" t="s">
        <v>3473</v>
      </c>
      <c r="J1463" s="193"/>
      <c r="K1463" s="179" t="s">
        <v>3474</v>
      </c>
      <c r="L1463" s="108">
        <v>22988598</v>
      </c>
      <c r="M1463" s="36">
        <v>5215514237673</v>
      </c>
      <c r="N1463" s="170" t="s">
        <v>37</v>
      </c>
      <c r="O1463" s="49">
        <v>9760.32</v>
      </c>
      <c r="P1463" s="96">
        <v>2928.1</v>
      </c>
      <c r="Q1463" s="11">
        <v>2928.1</v>
      </c>
      <c r="R1463" s="12">
        <v>0</v>
      </c>
      <c r="S1463" s="71">
        <v>46754</v>
      </c>
      <c r="T1463" s="10" t="s">
        <v>259</v>
      </c>
      <c r="U1463" s="97"/>
      <c r="V1463" s="1"/>
      <c r="X1463" s="101">
        <v>2</v>
      </c>
    </row>
    <row r="1464" spans="2:24" hidden="1">
      <c r="B1464" s="6" t="s">
        <v>3475</v>
      </c>
      <c r="C1464" s="23">
        <v>46225.636805555558</v>
      </c>
      <c r="D1464" s="6" t="s">
        <v>24</v>
      </c>
      <c r="E1464" s="6"/>
      <c r="F1464" s="28">
        <v>46225</v>
      </c>
      <c r="G1464" s="27" t="s">
        <v>3260</v>
      </c>
      <c r="H1464" s="10" t="s">
        <v>160</v>
      </c>
      <c r="I1464" s="6" t="s">
        <v>3476</v>
      </c>
      <c r="J1464" s="192">
        <v>1604404366</v>
      </c>
      <c r="K1464" s="180" t="s">
        <v>3477</v>
      </c>
      <c r="L1464" s="107">
        <v>22987918</v>
      </c>
      <c r="M1464" s="37">
        <v>5215585706018</v>
      </c>
      <c r="N1464" s="169" t="s">
        <v>28</v>
      </c>
      <c r="O1464" s="48">
        <v>33284.92</v>
      </c>
      <c r="P1464" s="95">
        <v>7651</v>
      </c>
      <c r="Q1464" s="8">
        <v>9985.48</v>
      </c>
      <c r="R1464" s="9">
        <v>2334.48</v>
      </c>
      <c r="S1464" s="70">
        <v>46759</v>
      </c>
      <c r="T1464" s="6"/>
      <c r="U1464" s="164"/>
      <c r="V1464" s="1"/>
      <c r="X1464" s="101">
        <v>2</v>
      </c>
    </row>
    <row r="1465" spans="2:24" hidden="1">
      <c r="B1465" s="10" t="s">
        <v>3478</v>
      </c>
      <c r="C1465" s="24">
        <v>46225.638194444444</v>
      </c>
      <c r="D1465" s="10" t="s">
        <v>24</v>
      </c>
      <c r="E1465" s="10"/>
      <c r="F1465" s="28">
        <v>46225</v>
      </c>
      <c r="G1465" s="28" t="s">
        <v>3260</v>
      </c>
      <c r="H1465" s="10" t="s">
        <v>1629</v>
      </c>
      <c r="I1465" s="10" t="s">
        <v>3358</v>
      </c>
      <c r="J1465" s="202">
        <v>49805507933</v>
      </c>
      <c r="K1465" s="179" t="s">
        <v>3359</v>
      </c>
      <c r="L1465" s="116">
        <v>2</v>
      </c>
      <c r="M1465" s="36">
        <v>8331287233</v>
      </c>
      <c r="N1465" s="170" t="s">
        <v>32</v>
      </c>
      <c r="O1465" s="49">
        <v>3882.85</v>
      </c>
      <c r="P1465" s="96"/>
      <c r="Q1465" s="11">
        <v>1164.8599999999999</v>
      </c>
      <c r="R1465" s="12">
        <v>0</v>
      </c>
      <c r="S1465" s="71"/>
      <c r="T1465" s="10"/>
      <c r="U1465" s="97"/>
      <c r="V1465" s="1"/>
      <c r="X1465" s="101">
        <v>1</v>
      </c>
    </row>
    <row r="1466" spans="2:24" hidden="1">
      <c r="B1466" s="6" t="s">
        <v>3479</v>
      </c>
      <c r="C1466" s="23">
        <v>46225.638194444444</v>
      </c>
      <c r="D1466" s="6" t="s">
        <v>24</v>
      </c>
      <c r="E1466" s="6"/>
      <c r="F1466" s="28">
        <v>46225</v>
      </c>
      <c r="G1466" s="27" t="s">
        <v>3260</v>
      </c>
      <c r="H1466" s="160" t="s">
        <v>3036</v>
      </c>
      <c r="I1466" s="6" t="s">
        <v>3480</v>
      </c>
      <c r="J1466" s="192">
        <v>11765819971</v>
      </c>
      <c r="K1466" s="180"/>
      <c r="L1466" s="107">
        <v>22998616</v>
      </c>
      <c r="M1466" s="37">
        <v>5215625097276</v>
      </c>
      <c r="N1466" s="169" t="s">
        <v>106</v>
      </c>
      <c r="O1466" s="48">
        <v>10354.11</v>
      </c>
      <c r="P1466" s="95">
        <v>2993.11</v>
      </c>
      <c r="Q1466" s="8">
        <v>3106.23</v>
      </c>
      <c r="R1466" s="13">
        <v>113.12</v>
      </c>
      <c r="S1466" s="70">
        <v>46025</v>
      </c>
      <c r="T1466" s="6"/>
      <c r="U1466" s="164"/>
      <c r="V1466" s="1"/>
      <c r="X1466" s="101">
        <v>2</v>
      </c>
    </row>
    <row r="1467" spans="2:24" hidden="1">
      <c r="B1467" s="10" t="s">
        <v>3481</v>
      </c>
      <c r="C1467" s="24">
        <v>46225.63958333333</v>
      </c>
      <c r="D1467" s="10" t="s">
        <v>24</v>
      </c>
      <c r="E1467" s="10"/>
      <c r="F1467" s="28">
        <v>46225</v>
      </c>
      <c r="G1467" s="28" t="s">
        <v>3260</v>
      </c>
      <c r="H1467" s="10" t="s">
        <v>51</v>
      </c>
      <c r="I1467" s="10" t="s">
        <v>3482</v>
      </c>
      <c r="J1467" s="193">
        <v>34926570721</v>
      </c>
      <c r="K1467" s="181" t="s">
        <v>3483</v>
      </c>
      <c r="L1467" s="108">
        <v>22992656</v>
      </c>
      <c r="M1467" s="36">
        <v>5214931486709</v>
      </c>
      <c r="N1467" s="170" t="s">
        <v>28</v>
      </c>
      <c r="O1467" s="49">
        <v>9760.32</v>
      </c>
      <c r="P1467" s="96">
        <v>848</v>
      </c>
      <c r="Q1467" s="11">
        <v>2928.1</v>
      </c>
      <c r="R1467" s="14">
        <v>2080.1</v>
      </c>
      <c r="S1467" s="71"/>
      <c r="T1467" s="10"/>
      <c r="U1467" s="97"/>
      <c r="V1467" s="1"/>
      <c r="X1467" s="101">
        <v>1</v>
      </c>
    </row>
    <row r="1468" spans="2:24" hidden="1">
      <c r="B1468" s="6" t="s">
        <v>3475</v>
      </c>
      <c r="C1468" s="23">
        <v>46225.63958333333</v>
      </c>
      <c r="D1468" s="6" t="s">
        <v>24</v>
      </c>
      <c r="E1468" s="6"/>
      <c r="F1468" s="28">
        <v>46225</v>
      </c>
      <c r="G1468" s="27" t="s">
        <v>3260</v>
      </c>
      <c r="H1468" s="6" t="s">
        <v>1625</v>
      </c>
      <c r="I1468" s="6" t="s">
        <v>3484</v>
      </c>
      <c r="J1468" s="203">
        <v>1775438599</v>
      </c>
      <c r="K1468" s="180" t="s">
        <v>3485</v>
      </c>
      <c r="L1468" s="115">
        <v>2</v>
      </c>
      <c r="M1468" s="37" t="s">
        <v>3486</v>
      </c>
      <c r="N1468" s="169" t="s">
        <v>32</v>
      </c>
      <c r="O1468" s="48">
        <v>3584.39</v>
      </c>
      <c r="P1468" s="95">
        <v>848</v>
      </c>
      <c r="Q1468" s="8">
        <v>1075.32</v>
      </c>
      <c r="R1468" s="13">
        <v>-848</v>
      </c>
      <c r="S1468" s="70"/>
      <c r="T1468" s="6"/>
      <c r="U1468" s="164"/>
      <c r="V1468" s="1"/>
      <c r="X1468" s="101">
        <v>1</v>
      </c>
    </row>
    <row r="1469" spans="2:24" hidden="1">
      <c r="B1469" s="10" t="s">
        <v>3478</v>
      </c>
      <c r="C1469" s="24">
        <v>46225.640277777777</v>
      </c>
      <c r="D1469" s="10" t="s">
        <v>24</v>
      </c>
      <c r="E1469" s="10"/>
      <c r="F1469" s="28">
        <v>46225</v>
      </c>
      <c r="G1469" s="28" t="s">
        <v>3260</v>
      </c>
      <c r="H1469" s="10" t="s">
        <v>160</v>
      </c>
      <c r="I1469" s="10" t="s">
        <v>3487</v>
      </c>
      <c r="J1469" s="193">
        <v>24836321406</v>
      </c>
      <c r="K1469" s="181" t="s">
        <v>3488</v>
      </c>
      <c r="L1469" s="108">
        <v>22988866</v>
      </c>
      <c r="M1469" s="36">
        <v>5216624255102</v>
      </c>
      <c r="N1469" s="170" t="s">
        <v>28</v>
      </c>
      <c r="O1469" s="49">
        <v>9760.32</v>
      </c>
      <c r="P1469" s="96"/>
      <c r="Q1469" s="11">
        <v>2928.1</v>
      </c>
      <c r="R1469" s="14">
        <v>2928.1</v>
      </c>
      <c r="S1469" s="71"/>
      <c r="T1469" s="10"/>
      <c r="U1469" s="97"/>
      <c r="V1469" s="1"/>
      <c r="X1469" s="101">
        <v>1</v>
      </c>
    </row>
    <row r="1470" spans="2:24" hidden="1">
      <c r="B1470" s="6" t="s">
        <v>3489</v>
      </c>
      <c r="C1470" s="23">
        <v>46225.64166666667</v>
      </c>
      <c r="D1470" s="6" t="s">
        <v>24</v>
      </c>
      <c r="E1470" s="6"/>
      <c r="F1470" s="28">
        <v>46225</v>
      </c>
      <c r="G1470" s="27" t="s">
        <v>3260</v>
      </c>
      <c r="H1470" s="160" t="s">
        <v>3452</v>
      </c>
      <c r="I1470" s="6" t="s">
        <v>3490</v>
      </c>
      <c r="J1470" s="192"/>
      <c r="K1470" s="180" t="s">
        <v>3491</v>
      </c>
      <c r="L1470" s="107">
        <v>22998012</v>
      </c>
      <c r="M1470" s="37">
        <v>8281490308</v>
      </c>
      <c r="N1470" s="169" t="s">
        <v>28</v>
      </c>
      <c r="O1470" s="48">
        <v>10636.54</v>
      </c>
      <c r="P1470" s="95"/>
      <c r="Q1470" s="8">
        <v>3190.96</v>
      </c>
      <c r="R1470" s="9">
        <v>3190.96</v>
      </c>
      <c r="S1470" s="70"/>
      <c r="T1470" s="6"/>
      <c r="U1470" s="164"/>
      <c r="V1470" s="1"/>
      <c r="X1470" s="101">
        <v>1</v>
      </c>
    </row>
    <row r="1471" spans="2:24" hidden="1">
      <c r="B1471" s="10" t="s">
        <v>3492</v>
      </c>
      <c r="C1471" s="24">
        <v>46225.642361111109</v>
      </c>
      <c r="D1471" s="10" t="s">
        <v>24</v>
      </c>
      <c r="E1471" s="10"/>
      <c r="F1471" s="28">
        <v>46225</v>
      </c>
      <c r="G1471" s="28" t="s">
        <v>3260</v>
      </c>
      <c r="H1471" s="160" t="s">
        <v>3352</v>
      </c>
      <c r="I1471" s="10" t="s">
        <v>3493</v>
      </c>
      <c r="J1471" s="193"/>
      <c r="K1471" s="181" t="s">
        <v>3494</v>
      </c>
      <c r="L1471" s="108">
        <v>22992156</v>
      </c>
      <c r="M1471" s="36">
        <v>2221529517</v>
      </c>
      <c r="N1471" s="170" t="s">
        <v>47</v>
      </c>
      <c r="O1471" s="49">
        <v>28528.28</v>
      </c>
      <c r="P1471" s="96">
        <v>7913.67</v>
      </c>
      <c r="Q1471" s="11">
        <v>8558.48</v>
      </c>
      <c r="R1471" s="16">
        <v>644.80999999999995</v>
      </c>
      <c r="S1471" s="71">
        <v>46032</v>
      </c>
      <c r="T1471" s="10" t="s">
        <v>84</v>
      </c>
      <c r="U1471" s="97"/>
      <c r="V1471" s="1"/>
      <c r="X1471" s="101">
        <v>2</v>
      </c>
    </row>
    <row r="1472" spans="2:24" hidden="1">
      <c r="B1472" s="6" t="s">
        <v>3495</v>
      </c>
      <c r="C1472" s="23">
        <v>46225.643055555556</v>
      </c>
      <c r="D1472" s="6" t="s">
        <v>24</v>
      </c>
      <c r="E1472" s="6"/>
      <c r="F1472" s="28">
        <v>46225</v>
      </c>
      <c r="G1472" s="27" t="s">
        <v>3260</v>
      </c>
      <c r="H1472" s="7" t="s">
        <v>3007</v>
      </c>
      <c r="I1472" s="6" t="s">
        <v>3496</v>
      </c>
      <c r="J1472" s="192"/>
      <c r="K1472" s="180" t="s">
        <v>3497</v>
      </c>
      <c r="L1472" s="108">
        <v>22998782</v>
      </c>
      <c r="M1472" s="37">
        <v>4421287553</v>
      </c>
      <c r="N1472" s="169" t="s">
        <v>37</v>
      </c>
      <c r="O1472" s="48">
        <v>5024.04</v>
      </c>
      <c r="P1472" s="95">
        <v>817.44</v>
      </c>
      <c r="Q1472" s="8">
        <v>1507.21</v>
      </c>
      <c r="R1472" s="13">
        <v>33.619999999999997</v>
      </c>
      <c r="S1472" s="70">
        <v>46395</v>
      </c>
      <c r="T1472" s="6"/>
      <c r="U1472" s="164"/>
      <c r="V1472" s="1"/>
      <c r="X1472" s="101">
        <v>2</v>
      </c>
    </row>
    <row r="1473" spans="2:24" hidden="1">
      <c r="B1473" s="10" t="s">
        <v>3492</v>
      </c>
      <c r="C1473" s="24">
        <v>46225.643750000003</v>
      </c>
      <c r="D1473" s="10" t="s">
        <v>24</v>
      </c>
      <c r="E1473" s="10"/>
      <c r="F1473" s="28">
        <v>46225</v>
      </c>
      <c r="G1473" s="28" t="s">
        <v>3260</v>
      </c>
      <c r="H1473" s="10" t="s">
        <v>160</v>
      </c>
      <c r="I1473" s="10" t="s">
        <v>3498</v>
      </c>
      <c r="J1473" s="193">
        <v>11715114010</v>
      </c>
      <c r="K1473" s="181" t="s">
        <v>3499</v>
      </c>
      <c r="L1473" s="108">
        <v>22989190</v>
      </c>
      <c r="M1473" s="36">
        <v>5215539014178</v>
      </c>
      <c r="N1473" s="170" t="s">
        <v>32</v>
      </c>
      <c r="O1473" s="49">
        <v>4400.8100000000004</v>
      </c>
      <c r="P1473" s="96">
        <v>200</v>
      </c>
      <c r="Q1473" s="11">
        <v>1320.24</v>
      </c>
      <c r="R1473" s="12">
        <v>27.83</v>
      </c>
      <c r="S1473" s="71">
        <v>45662</v>
      </c>
      <c r="T1473" s="10"/>
      <c r="U1473" s="97"/>
      <c r="V1473" s="1"/>
      <c r="X1473" s="101">
        <v>2</v>
      </c>
    </row>
    <row r="1474" spans="2:24" hidden="1">
      <c r="B1474" s="6" t="s">
        <v>3500</v>
      </c>
      <c r="C1474" s="23">
        <v>46225.647222222222</v>
      </c>
      <c r="D1474" s="6" t="s">
        <v>24</v>
      </c>
      <c r="E1474" s="6"/>
      <c r="F1474" s="28">
        <v>46225</v>
      </c>
      <c r="G1474" s="27" t="s">
        <v>3260</v>
      </c>
      <c r="H1474" s="160" t="s">
        <v>3452</v>
      </c>
      <c r="I1474" s="6" t="s">
        <v>3501</v>
      </c>
      <c r="J1474" s="192"/>
      <c r="K1474" s="180" t="s">
        <v>3502</v>
      </c>
      <c r="L1474" s="107">
        <v>22997450</v>
      </c>
      <c r="M1474" s="37">
        <v>22997450</v>
      </c>
      <c r="N1474" s="169" t="s">
        <v>28</v>
      </c>
      <c r="O1474" s="48">
        <v>42991.51</v>
      </c>
      <c r="P1474" s="95"/>
      <c r="Q1474" s="8">
        <v>12897.45</v>
      </c>
      <c r="R1474" s="9">
        <v>12897.45</v>
      </c>
      <c r="S1474" s="70"/>
      <c r="T1474" s="6"/>
      <c r="U1474" s="164"/>
      <c r="V1474" s="1"/>
      <c r="X1474" s="101">
        <v>1</v>
      </c>
    </row>
    <row r="1475" spans="2:24" hidden="1">
      <c r="B1475" s="10" t="s">
        <v>3503</v>
      </c>
      <c r="C1475" s="24">
        <v>46225.65</v>
      </c>
      <c r="D1475" s="10" t="s">
        <v>24</v>
      </c>
      <c r="E1475" s="10"/>
      <c r="F1475" s="28">
        <v>46225</v>
      </c>
      <c r="G1475" s="28" t="s">
        <v>2859</v>
      </c>
      <c r="H1475" s="10" t="s">
        <v>127</v>
      </c>
      <c r="I1475" s="10" t="s">
        <v>3504</v>
      </c>
      <c r="J1475" s="193">
        <v>4806228211</v>
      </c>
      <c r="K1475" s="181"/>
      <c r="L1475" s="108">
        <v>22900572</v>
      </c>
      <c r="M1475" s="36">
        <v>5213921212695</v>
      </c>
      <c r="N1475" s="170" t="s">
        <v>37</v>
      </c>
      <c r="O1475" s="49">
        <v>7116.73</v>
      </c>
      <c r="P1475" s="96">
        <v>2058.9699999999998</v>
      </c>
      <c r="Q1475" s="11">
        <v>2135.02</v>
      </c>
      <c r="R1475" s="12">
        <v>76.05</v>
      </c>
      <c r="S1475" s="71">
        <v>46266</v>
      </c>
      <c r="T1475" s="10"/>
      <c r="U1475" s="97"/>
      <c r="V1475" s="1"/>
      <c r="X1475" s="101">
        <v>2</v>
      </c>
    </row>
    <row r="1476" spans="2:24" hidden="1">
      <c r="B1476" s="6" t="s">
        <v>3505</v>
      </c>
      <c r="C1476" s="23">
        <v>46225.650694444441</v>
      </c>
      <c r="D1476" s="6" t="s">
        <v>24</v>
      </c>
      <c r="E1476" s="6"/>
      <c r="F1476" s="28">
        <v>46225</v>
      </c>
      <c r="G1476" s="27" t="s">
        <v>3260</v>
      </c>
      <c r="H1476" s="10" t="s">
        <v>1629</v>
      </c>
      <c r="I1476" s="6" t="s">
        <v>3506</v>
      </c>
      <c r="J1476" s="192">
        <v>43846036085</v>
      </c>
      <c r="K1476" s="180" t="s">
        <v>3507</v>
      </c>
      <c r="L1476" s="115">
        <v>2</v>
      </c>
      <c r="M1476" s="37">
        <v>8731038875</v>
      </c>
      <c r="N1476" s="169" t="s">
        <v>106</v>
      </c>
      <c r="O1476" s="48">
        <v>5776.61</v>
      </c>
      <c r="P1476" s="95">
        <v>1417.87</v>
      </c>
      <c r="Q1476" s="8">
        <v>1732.98</v>
      </c>
      <c r="R1476" s="13">
        <v>185.76</v>
      </c>
      <c r="S1476" s="70">
        <v>45666</v>
      </c>
      <c r="T1476" s="6"/>
      <c r="U1476" s="164"/>
      <c r="V1476" s="1"/>
      <c r="X1476" s="101">
        <v>2</v>
      </c>
    </row>
    <row r="1477" spans="2:24" hidden="1">
      <c r="B1477" s="10" t="s">
        <v>3505</v>
      </c>
      <c r="C1477" s="24">
        <v>46225.652777777781</v>
      </c>
      <c r="D1477" s="10" t="s">
        <v>24</v>
      </c>
      <c r="E1477" s="10"/>
      <c r="F1477" s="28">
        <v>46225</v>
      </c>
      <c r="G1477" s="28" t="s">
        <v>2142</v>
      </c>
      <c r="H1477" s="10" t="s">
        <v>160</v>
      </c>
      <c r="I1477" s="10" t="s">
        <v>3508</v>
      </c>
      <c r="J1477" s="193">
        <v>53816227531</v>
      </c>
      <c r="K1477" s="181" t="s">
        <v>3509</v>
      </c>
      <c r="L1477" s="108">
        <v>22803458</v>
      </c>
      <c r="M1477" s="36">
        <v>5213511501624</v>
      </c>
      <c r="N1477" s="170" t="s">
        <v>37</v>
      </c>
      <c r="O1477" s="49">
        <v>7116.73</v>
      </c>
      <c r="P1477" s="96">
        <v>2127.86</v>
      </c>
      <c r="Q1477" s="11">
        <v>2135.02</v>
      </c>
      <c r="R1477" s="12">
        <v>7.16</v>
      </c>
      <c r="S1477" s="71">
        <v>46390</v>
      </c>
      <c r="T1477" s="10"/>
      <c r="U1477" s="97"/>
      <c r="V1477" s="1"/>
      <c r="X1477" s="101">
        <v>2</v>
      </c>
    </row>
    <row r="1478" spans="2:24" hidden="1">
      <c r="B1478" s="6" t="s">
        <v>3432</v>
      </c>
      <c r="C1478" s="23">
        <v>46225.654861111114</v>
      </c>
      <c r="D1478" s="6" t="s">
        <v>24</v>
      </c>
      <c r="E1478" s="6"/>
      <c r="F1478" s="28">
        <v>46225</v>
      </c>
      <c r="G1478" s="27" t="s">
        <v>3260</v>
      </c>
      <c r="H1478" s="160" t="s">
        <v>110</v>
      </c>
      <c r="I1478" s="6" t="s">
        <v>3510</v>
      </c>
      <c r="J1478" s="192">
        <v>43786242983</v>
      </c>
      <c r="K1478" s="180"/>
      <c r="L1478" s="107">
        <v>22996844</v>
      </c>
      <c r="M1478" s="37">
        <v>5218116151210</v>
      </c>
      <c r="N1478" s="169" t="s">
        <v>28</v>
      </c>
      <c r="O1478" s="48">
        <v>23357.439999999999</v>
      </c>
      <c r="P1478" s="95">
        <v>848</v>
      </c>
      <c r="Q1478" s="8">
        <v>7007.23</v>
      </c>
      <c r="R1478" s="9">
        <v>6159.23</v>
      </c>
      <c r="S1478" s="70"/>
      <c r="T1478" s="6"/>
      <c r="U1478" s="164"/>
      <c r="V1478" s="1"/>
      <c r="X1478" s="101">
        <v>1</v>
      </c>
    </row>
    <row r="1479" spans="2:24" hidden="1">
      <c r="B1479" s="10" t="s">
        <v>3511</v>
      </c>
      <c r="C1479" s="24">
        <v>46225.654861111114</v>
      </c>
      <c r="D1479" s="10" t="s">
        <v>24</v>
      </c>
      <c r="E1479" s="10"/>
      <c r="F1479" s="28">
        <v>46225</v>
      </c>
      <c r="G1479" s="28" t="s">
        <v>3260</v>
      </c>
      <c r="H1479" s="10" t="s">
        <v>1625</v>
      </c>
      <c r="I1479" s="10" t="s">
        <v>3512</v>
      </c>
      <c r="J1479" s="193">
        <v>3806228247</v>
      </c>
      <c r="K1479" s="181" t="s">
        <v>3513</v>
      </c>
      <c r="L1479" s="108">
        <v>2</v>
      </c>
      <c r="M1479" s="36" t="s">
        <v>3514</v>
      </c>
      <c r="N1479" s="170" t="s">
        <v>37</v>
      </c>
      <c r="O1479" s="49">
        <v>18766.060000000001</v>
      </c>
      <c r="P1479" s="96">
        <v>5413.02</v>
      </c>
      <c r="Q1479" s="11">
        <v>5629.82</v>
      </c>
      <c r="R1479" s="12">
        <v>216.8</v>
      </c>
      <c r="S1479" s="71">
        <v>46397</v>
      </c>
      <c r="T1479" s="10"/>
      <c r="U1479" s="97"/>
      <c r="V1479" s="1"/>
      <c r="X1479" s="101">
        <v>2</v>
      </c>
    </row>
    <row r="1480" spans="2:24" hidden="1">
      <c r="B1480" s="6" t="s">
        <v>3515</v>
      </c>
      <c r="C1480" s="23">
        <v>46225.657638888886</v>
      </c>
      <c r="D1480" s="6" t="s">
        <v>24</v>
      </c>
      <c r="E1480" s="6"/>
      <c r="F1480" s="28">
        <v>46225</v>
      </c>
      <c r="G1480" s="27" t="s">
        <v>3260</v>
      </c>
      <c r="H1480" s="160" t="s">
        <v>3452</v>
      </c>
      <c r="I1480" s="6" t="s">
        <v>3516</v>
      </c>
      <c r="J1480" s="192"/>
      <c r="K1480" s="180" t="s">
        <v>3517</v>
      </c>
      <c r="L1480" s="107">
        <v>22998492</v>
      </c>
      <c r="M1480" s="37">
        <v>5621910977</v>
      </c>
      <c r="N1480" s="169" t="s">
        <v>28</v>
      </c>
      <c r="O1480" s="48">
        <v>9760.32</v>
      </c>
      <c r="P1480" s="95"/>
      <c r="Q1480" s="8">
        <v>2928.1</v>
      </c>
      <c r="R1480" s="9">
        <v>2928.1</v>
      </c>
      <c r="S1480" s="70"/>
      <c r="T1480" s="6"/>
      <c r="U1480" s="164"/>
      <c r="V1480" s="1"/>
      <c r="X1480" s="101">
        <v>1</v>
      </c>
    </row>
    <row r="1481" spans="2:24" hidden="1">
      <c r="B1481" s="10" t="s">
        <v>3518</v>
      </c>
      <c r="C1481" s="24">
        <v>46225.660416666666</v>
      </c>
      <c r="D1481" s="10" t="s">
        <v>24</v>
      </c>
      <c r="E1481" s="10"/>
      <c r="F1481" s="28">
        <v>46225</v>
      </c>
      <c r="G1481" s="28" t="s">
        <v>3260</v>
      </c>
      <c r="H1481" s="15" t="s">
        <v>476</v>
      </c>
      <c r="I1481" s="10" t="s">
        <v>3519</v>
      </c>
      <c r="J1481" s="193">
        <v>67927028679</v>
      </c>
      <c r="K1481" s="181" t="s">
        <v>3520</v>
      </c>
      <c r="L1481" s="108">
        <v>22999188</v>
      </c>
      <c r="M1481" s="36">
        <v>5212741014771</v>
      </c>
      <c r="N1481" s="170" t="s">
        <v>32</v>
      </c>
      <c r="O1481" s="49">
        <v>3479.63</v>
      </c>
      <c r="P1481" s="96">
        <v>848</v>
      </c>
      <c r="Q1481" s="11">
        <v>1043.8900000000001</v>
      </c>
      <c r="R1481" s="12">
        <v>-848</v>
      </c>
      <c r="S1481" s="71"/>
      <c r="T1481" s="10"/>
      <c r="U1481" s="97"/>
      <c r="V1481" s="1"/>
      <c r="X1481" s="101">
        <v>1</v>
      </c>
    </row>
    <row r="1482" spans="2:24" hidden="1">
      <c r="B1482" s="6" t="s">
        <v>3521</v>
      </c>
      <c r="C1482" s="23">
        <v>46225.661111111112</v>
      </c>
      <c r="D1482" s="6" t="s">
        <v>24</v>
      </c>
      <c r="E1482" s="6"/>
      <c r="F1482" s="28">
        <v>46225</v>
      </c>
      <c r="G1482" s="27" t="s">
        <v>3260</v>
      </c>
      <c r="H1482" s="7" t="s">
        <v>3022</v>
      </c>
      <c r="I1482" s="6" t="s">
        <v>3522</v>
      </c>
      <c r="J1482" s="192"/>
      <c r="K1482" s="180" t="s">
        <v>3523</v>
      </c>
      <c r="L1482" s="108">
        <v>22997170</v>
      </c>
      <c r="M1482" s="37">
        <v>8130785914</v>
      </c>
      <c r="N1482" s="169" t="s">
        <v>37</v>
      </c>
      <c r="O1482" s="48">
        <v>10881.55</v>
      </c>
      <c r="P1482" s="95">
        <v>3264.47</v>
      </c>
      <c r="Q1482" s="8">
        <v>3264.47</v>
      </c>
      <c r="R1482" s="13">
        <v>-0.01</v>
      </c>
      <c r="S1482" s="70">
        <v>46756</v>
      </c>
      <c r="T1482" s="6"/>
      <c r="U1482" s="164"/>
      <c r="V1482" s="1"/>
      <c r="X1482" s="101">
        <v>2</v>
      </c>
    </row>
    <row r="1483" spans="2:24" hidden="1">
      <c r="B1483" s="10" t="s">
        <v>3524</v>
      </c>
      <c r="C1483" s="24">
        <v>46225.663194444445</v>
      </c>
      <c r="D1483" s="10" t="s">
        <v>24</v>
      </c>
      <c r="E1483" s="10"/>
      <c r="F1483" s="28">
        <v>46225</v>
      </c>
      <c r="G1483" s="28" t="s">
        <v>3260</v>
      </c>
      <c r="H1483" s="15" t="s">
        <v>3452</v>
      </c>
      <c r="I1483" s="10" t="s">
        <v>3525</v>
      </c>
      <c r="J1483" s="193">
        <v>83816429027</v>
      </c>
      <c r="K1483" s="181"/>
      <c r="L1483" s="108">
        <v>22999276</v>
      </c>
      <c r="M1483" s="36">
        <v>9933118909</v>
      </c>
      <c r="N1483" s="170" t="s">
        <v>74</v>
      </c>
      <c r="O1483" s="49"/>
      <c r="P1483" s="96"/>
      <c r="Q1483" s="11">
        <v>0</v>
      </c>
      <c r="R1483" s="12">
        <v>0</v>
      </c>
      <c r="S1483" s="71"/>
      <c r="T1483" s="10"/>
      <c r="U1483" s="97"/>
      <c r="V1483" s="1"/>
      <c r="X1483" s="101">
        <v>1</v>
      </c>
    </row>
    <row r="1484" spans="2:24" hidden="1">
      <c r="B1484" s="6" t="s">
        <v>3526</v>
      </c>
      <c r="C1484" s="23">
        <v>46225.664583333331</v>
      </c>
      <c r="D1484" s="6" t="s">
        <v>24</v>
      </c>
      <c r="E1484" s="6"/>
      <c r="F1484" s="28">
        <v>46225</v>
      </c>
      <c r="G1484" s="27" t="s">
        <v>2859</v>
      </c>
      <c r="H1484" s="7" t="s">
        <v>26</v>
      </c>
      <c r="I1484" s="6" t="s">
        <v>3527</v>
      </c>
      <c r="J1484" s="192">
        <v>33846727296</v>
      </c>
      <c r="K1484" s="180"/>
      <c r="L1484" s="107">
        <v>22904170</v>
      </c>
      <c r="M1484" s="37">
        <v>5216561252732</v>
      </c>
      <c r="N1484" s="169" t="s">
        <v>32</v>
      </c>
      <c r="O1484" s="48">
        <v>2134.73</v>
      </c>
      <c r="P1484" s="95">
        <v>514</v>
      </c>
      <c r="Q1484" s="8">
        <v>640.41999999999996</v>
      </c>
      <c r="R1484" s="13">
        <v>-514</v>
      </c>
      <c r="S1484" s="70"/>
      <c r="T1484" s="6"/>
      <c r="U1484" s="164"/>
      <c r="V1484" s="1"/>
      <c r="X1484" s="101">
        <v>1</v>
      </c>
    </row>
    <row r="1485" spans="2:24" hidden="1">
      <c r="B1485" s="10" t="s">
        <v>3528</v>
      </c>
      <c r="C1485" s="24">
        <v>46225.667361111111</v>
      </c>
      <c r="D1485" s="10" t="s">
        <v>24</v>
      </c>
      <c r="E1485" s="10"/>
      <c r="F1485" s="28">
        <v>46225</v>
      </c>
      <c r="G1485" s="28" t="s">
        <v>3260</v>
      </c>
      <c r="H1485" s="15" t="s">
        <v>3352</v>
      </c>
      <c r="I1485" s="10" t="s">
        <v>3529</v>
      </c>
      <c r="J1485" s="193"/>
      <c r="K1485" s="181" t="s">
        <v>3530</v>
      </c>
      <c r="L1485" s="108">
        <v>22995670</v>
      </c>
      <c r="M1485" s="36">
        <v>9721210863</v>
      </c>
      <c r="N1485" s="170" t="s">
        <v>37</v>
      </c>
      <c r="O1485" s="49">
        <v>14992.92</v>
      </c>
      <c r="P1485" s="96">
        <v>4336.5600000000004</v>
      </c>
      <c r="Q1485" s="11">
        <v>4497.88</v>
      </c>
      <c r="R1485" s="12">
        <v>161.32</v>
      </c>
      <c r="S1485" s="71">
        <v>46389</v>
      </c>
      <c r="T1485" s="10"/>
      <c r="U1485" s="97"/>
      <c r="V1485" s="1"/>
      <c r="X1485" s="101">
        <v>2</v>
      </c>
    </row>
    <row r="1486" spans="2:24" hidden="1">
      <c r="B1486" s="6" t="s">
        <v>3531</v>
      </c>
      <c r="C1486" s="23">
        <v>46225.671527777777</v>
      </c>
      <c r="D1486" s="6" t="s">
        <v>24</v>
      </c>
      <c r="E1486" s="6"/>
      <c r="F1486" s="28">
        <v>46225</v>
      </c>
      <c r="G1486" s="27" t="s">
        <v>3260</v>
      </c>
      <c r="H1486" s="6" t="s">
        <v>1519</v>
      </c>
      <c r="I1486" s="6" t="s">
        <v>3532</v>
      </c>
      <c r="J1486" s="192"/>
      <c r="K1486" s="180" t="s">
        <v>3533</v>
      </c>
      <c r="L1486" s="108">
        <v>22985118</v>
      </c>
      <c r="M1486" s="37">
        <v>5217716838622</v>
      </c>
      <c r="N1486" s="169" t="s">
        <v>37</v>
      </c>
      <c r="O1486" s="48">
        <v>37967.57</v>
      </c>
      <c r="P1486" s="95">
        <v>11389.08</v>
      </c>
      <c r="Q1486" s="8">
        <v>11390.27</v>
      </c>
      <c r="R1486" s="13">
        <v>1.19</v>
      </c>
      <c r="S1486" s="70">
        <v>46389</v>
      </c>
      <c r="T1486" s="6"/>
      <c r="U1486" s="164"/>
      <c r="V1486" s="1"/>
      <c r="X1486" s="101">
        <v>2</v>
      </c>
    </row>
    <row r="1487" spans="2:24" hidden="1">
      <c r="B1487" s="10" t="s">
        <v>3534</v>
      </c>
      <c r="C1487" s="24">
        <v>46225.674305555556</v>
      </c>
      <c r="D1487" s="10" t="s">
        <v>24</v>
      </c>
      <c r="E1487" s="10"/>
      <c r="F1487" s="28">
        <v>46225</v>
      </c>
      <c r="G1487" s="28" t="s">
        <v>3260</v>
      </c>
      <c r="H1487" s="10" t="s">
        <v>1625</v>
      </c>
      <c r="I1487" s="10" t="s">
        <v>3535</v>
      </c>
      <c r="J1487" s="193">
        <v>13795500266</v>
      </c>
      <c r="K1487" s="181" t="s">
        <v>3536</v>
      </c>
      <c r="L1487" s="108">
        <v>2</v>
      </c>
      <c r="M1487" s="36" t="s">
        <v>3537</v>
      </c>
      <c r="N1487" s="170" t="s">
        <v>37</v>
      </c>
      <c r="O1487" s="49">
        <v>9760.32</v>
      </c>
      <c r="P1487" s="96">
        <v>2823.89</v>
      </c>
      <c r="Q1487" s="11">
        <v>2928.1</v>
      </c>
      <c r="R1487" s="12">
        <v>104.21</v>
      </c>
      <c r="S1487" s="71">
        <v>46399</v>
      </c>
      <c r="T1487" s="10"/>
      <c r="U1487" s="97"/>
      <c r="V1487" s="1"/>
      <c r="X1487" s="101">
        <v>2</v>
      </c>
    </row>
    <row r="1488" spans="2:24" hidden="1">
      <c r="B1488" s="6" t="s">
        <v>3538</v>
      </c>
      <c r="C1488" s="23">
        <v>46225.679861111108</v>
      </c>
      <c r="D1488" s="6" t="s">
        <v>24</v>
      </c>
      <c r="E1488" s="6"/>
      <c r="F1488" s="28">
        <v>46225</v>
      </c>
      <c r="G1488" s="27" t="s">
        <v>3260</v>
      </c>
      <c r="H1488" s="7" t="s">
        <v>3007</v>
      </c>
      <c r="I1488" s="6" t="s">
        <v>3539</v>
      </c>
      <c r="J1488" s="192"/>
      <c r="K1488" s="180" t="s">
        <v>3540</v>
      </c>
      <c r="L1488" s="108">
        <v>22997256</v>
      </c>
      <c r="M1488" s="37">
        <v>8112448003</v>
      </c>
      <c r="N1488" s="169" t="s">
        <v>37</v>
      </c>
      <c r="O1488" s="48">
        <v>6769.83</v>
      </c>
      <c r="P1488" s="95">
        <v>1955.18</v>
      </c>
      <c r="Q1488" s="8">
        <v>2030.95</v>
      </c>
      <c r="R1488" s="13">
        <v>75.77</v>
      </c>
      <c r="S1488" s="70">
        <v>46389</v>
      </c>
      <c r="T1488" s="6"/>
      <c r="U1488" s="164"/>
      <c r="V1488" s="1"/>
      <c r="X1488" s="101">
        <v>2</v>
      </c>
    </row>
    <row r="1489" spans="2:24" hidden="1">
      <c r="B1489" s="10" t="s">
        <v>3541</v>
      </c>
      <c r="C1489" s="24">
        <v>46225.681944444441</v>
      </c>
      <c r="D1489" s="10" t="s">
        <v>24</v>
      </c>
      <c r="E1489" s="10"/>
      <c r="F1489" s="28">
        <v>46225</v>
      </c>
      <c r="G1489" s="28" t="s">
        <v>3260</v>
      </c>
      <c r="H1489" s="10" t="s">
        <v>1625</v>
      </c>
      <c r="I1489" s="10" t="s">
        <v>3542</v>
      </c>
      <c r="J1489" s="193">
        <v>32806278985</v>
      </c>
      <c r="K1489" s="179" t="s">
        <v>3543</v>
      </c>
      <c r="L1489" s="108">
        <v>2</v>
      </c>
      <c r="M1489" s="36" t="s">
        <v>3544</v>
      </c>
      <c r="N1489" s="170" t="s">
        <v>37</v>
      </c>
      <c r="O1489" s="49">
        <v>7920.51</v>
      </c>
      <c r="P1489" s="96">
        <v>2282.86</v>
      </c>
      <c r="Q1489" s="11">
        <v>2376.15</v>
      </c>
      <c r="R1489" s="12">
        <v>93.29</v>
      </c>
      <c r="S1489" s="71">
        <v>46753</v>
      </c>
      <c r="T1489" s="10"/>
      <c r="U1489" s="97"/>
      <c r="V1489" s="1"/>
      <c r="X1489" s="101">
        <v>2</v>
      </c>
    </row>
    <row r="1490" spans="2:24" hidden="1">
      <c r="B1490" s="6" t="s">
        <v>3545</v>
      </c>
      <c r="C1490" s="23">
        <v>46225.682638888888</v>
      </c>
      <c r="D1490" s="6" t="s">
        <v>24</v>
      </c>
      <c r="E1490" s="6"/>
      <c r="F1490" s="28">
        <v>46225</v>
      </c>
      <c r="G1490" s="27" t="s">
        <v>3260</v>
      </c>
      <c r="H1490" s="10" t="s">
        <v>78</v>
      </c>
      <c r="I1490" s="6" t="s">
        <v>3546</v>
      </c>
      <c r="J1490" s="192">
        <v>51826112339</v>
      </c>
      <c r="K1490" s="180" t="s">
        <v>3547</v>
      </c>
      <c r="L1490" s="107">
        <v>22991228</v>
      </c>
      <c r="M1490" s="37">
        <v>5214491195676</v>
      </c>
      <c r="N1490" s="169" t="s">
        <v>130</v>
      </c>
      <c r="O1490" s="48">
        <v>6262.86</v>
      </c>
      <c r="P1490" s="95">
        <v>1732.17</v>
      </c>
      <c r="Q1490" s="8">
        <v>1878.86</v>
      </c>
      <c r="R1490" s="13">
        <v>146.69</v>
      </c>
      <c r="S1490" s="70">
        <v>45664</v>
      </c>
      <c r="T1490" s="6"/>
      <c r="U1490" s="164"/>
      <c r="V1490" s="1"/>
      <c r="X1490" s="101">
        <v>2</v>
      </c>
    </row>
    <row r="1491" spans="2:24" hidden="1">
      <c r="B1491" s="10" t="s">
        <v>3548</v>
      </c>
      <c r="C1491" s="24">
        <v>46225.692361111112</v>
      </c>
      <c r="D1491" s="10" t="s">
        <v>24</v>
      </c>
      <c r="E1491" s="10"/>
      <c r="F1491" s="28">
        <v>46225</v>
      </c>
      <c r="G1491" s="28" t="s">
        <v>3260</v>
      </c>
      <c r="H1491" s="10" t="s">
        <v>103</v>
      </c>
      <c r="I1491" s="10" t="s">
        <v>3549</v>
      </c>
      <c r="J1491" s="193">
        <v>32806306984</v>
      </c>
      <c r="K1491" s="181"/>
      <c r="L1491" s="111">
        <v>1</v>
      </c>
      <c r="M1491" s="36">
        <v>8711008810</v>
      </c>
      <c r="N1491" s="170" t="s">
        <v>263</v>
      </c>
      <c r="O1491" s="49">
        <v>18240.84</v>
      </c>
      <c r="P1491" s="96">
        <v>5470.25</v>
      </c>
      <c r="Q1491" s="11">
        <v>5472.25</v>
      </c>
      <c r="R1491" s="12">
        <v>2</v>
      </c>
      <c r="S1491" s="71">
        <v>46025</v>
      </c>
      <c r="T1491" s="10" t="s">
        <v>178</v>
      </c>
      <c r="U1491" s="97"/>
      <c r="V1491" s="1"/>
      <c r="X1491" s="101">
        <v>2</v>
      </c>
    </row>
    <row r="1492" spans="2:24" hidden="1">
      <c r="B1492" s="6" t="s">
        <v>3550</v>
      </c>
      <c r="C1492" s="23">
        <v>46225.693055555559</v>
      </c>
      <c r="D1492" s="6" t="s">
        <v>24</v>
      </c>
      <c r="E1492" s="6"/>
      <c r="F1492" s="28">
        <v>46225</v>
      </c>
      <c r="G1492" s="27" t="s">
        <v>3260</v>
      </c>
      <c r="H1492" s="7" t="s">
        <v>3022</v>
      </c>
      <c r="I1492" s="6" t="s">
        <v>3551</v>
      </c>
      <c r="J1492" s="192"/>
      <c r="K1492" s="180" t="s">
        <v>3552</v>
      </c>
      <c r="L1492" s="107">
        <v>23000224</v>
      </c>
      <c r="M1492" s="37">
        <v>5513660673</v>
      </c>
      <c r="N1492" s="169" t="s">
        <v>32</v>
      </c>
      <c r="O1492" s="48">
        <v>3485.91</v>
      </c>
      <c r="P1492" s="95"/>
      <c r="Q1492" s="8">
        <v>1045.77</v>
      </c>
      <c r="R1492" s="13">
        <v>0</v>
      </c>
      <c r="S1492" s="70"/>
      <c r="T1492" s="6"/>
      <c r="U1492" s="164"/>
      <c r="V1492" s="1"/>
      <c r="X1492" s="101">
        <v>1</v>
      </c>
    </row>
    <row r="1493" spans="2:24" hidden="1">
      <c r="B1493" s="10" t="s">
        <v>3553</v>
      </c>
      <c r="C1493" s="24">
        <v>46225.695833333331</v>
      </c>
      <c r="D1493" s="10" t="s">
        <v>24</v>
      </c>
      <c r="E1493" s="10"/>
      <c r="F1493" s="28">
        <v>46225</v>
      </c>
      <c r="G1493" s="28" t="s">
        <v>3260</v>
      </c>
      <c r="H1493" s="15" t="s">
        <v>3452</v>
      </c>
      <c r="I1493" s="10" t="s">
        <v>3554</v>
      </c>
      <c r="J1493" s="193">
        <v>67836361344</v>
      </c>
      <c r="K1493" s="181" t="s">
        <v>3555</v>
      </c>
      <c r="L1493" s="108">
        <v>23000164</v>
      </c>
      <c r="M1493" s="36">
        <v>9221955192</v>
      </c>
      <c r="N1493" s="170" t="s">
        <v>37</v>
      </c>
      <c r="O1493" s="49">
        <v>7920.51</v>
      </c>
      <c r="P1493" s="96">
        <v>2374.98</v>
      </c>
      <c r="Q1493" s="11">
        <v>2376.15</v>
      </c>
      <c r="R1493" s="12">
        <v>1.17</v>
      </c>
      <c r="S1493" s="71">
        <v>46756</v>
      </c>
      <c r="T1493" s="10"/>
      <c r="U1493" s="97"/>
      <c r="V1493" s="1"/>
      <c r="X1493" s="101">
        <v>2</v>
      </c>
    </row>
    <row r="1494" spans="2:24" hidden="1">
      <c r="B1494" s="6" t="s">
        <v>3556</v>
      </c>
      <c r="C1494" s="23">
        <v>46225.696527777778</v>
      </c>
      <c r="D1494" s="6" t="s">
        <v>24</v>
      </c>
      <c r="E1494" s="6"/>
      <c r="F1494" s="28">
        <v>46225</v>
      </c>
      <c r="G1494" s="27" t="s">
        <v>1550</v>
      </c>
      <c r="H1494" s="6" t="s">
        <v>269</v>
      </c>
      <c r="I1494" s="6" t="s">
        <v>3557</v>
      </c>
      <c r="J1494" s="192">
        <v>24846617991</v>
      </c>
      <c r="K1494" s="180" t="s">
        <v>3558</v>
      </c>
      <c r="L1494" s="107">
        <v>22709250</v>
      </c>
      <c r="M1494" s="37">
        <v>5216624100913</v>
      </c>
      <c r="N1494" s="169" t="s">
        <v>98</v>
      </c>
      <c r="O1494" s="48"/>
      <c r="P1494" s="95"/>
      <c r="Q1494" s="8">
        <v>0</v>
      </c>
      <c r="R1494" s="13">
        <v>0</v>
      </c>
      <c r="S1494" s="70"/>
      <c r="T1494" s="6"/>
      <c r="U1494" s="164"/>
      <c r="V1494" s="1"/>
      <c r="X1494" s="101">
        <v>0</v>
      </c>
    </row>
    <row r="1495" spans="2:24" hidden="1">
      <c r="B1495" s="10" t="s">
        <v>3559</v>
      </c>
      <c r="C1495" s="24">
        <v>46225.697222222225</v>
      </c>
      <c r="D1495" s="10" t="s">
        <v>24</v>
      </c>
      <c r="E1495" s="10"/>
      <c r="F1495" s="28">
        <v>46225</v>
      </c>
      <c r="G1495" s="28" t="s">
        <v>3260</v>
      </c>
      <c r="H1495" s="10" t="s">
        <v>78</v>
      </c>
      <c r="I1495" s="10" t="s">
        <v>3560</v>
      </c>
      <c r="J1495" s="193">
        <v>43836554659</v>
      </c>
      <c r="K1495" s="181" t="s">
        <v>3561</v>
      </c>
      <c r="L1495" s="108">
        <v>22993670</v>
      </c>
      <c r="M1495" s="36">
        <v>5218114988123</v>
      </c>
      <c r="N1495" s="170" t="s">
        <v>37</v>
      </c>
      <c r="O1495" s="49">
        <v>9760.32</v>
      </c>
      <c r="P1495" s="96">
        <v>2823.87</v>
      </c>
      <c r="Q1495" s="11">
        <v>2928.1</v>
      </c>
      <c r="R1495" s="12">
        <v>104.23</v>
      </c>
      <c r="S1495" s="71"/>
      <c r="T1495" s="10"/>
      <c r="U1495" s="97"/>
      <c r="V1495" s="1"/>
      <c r="X1495" s="101">
        <v>2</v>
      </c>
    </row>
    <row r="1496" spans="2:24" hidden="1">
      <c r="B1496" s="6" t="s">
        <v>3562</v>
      </c>
      <c r="C1496" s="23">
        <v>46225.7</v>
      </c>
      <c r="D1496" s="6" t="s">
        <v>24</v>
      </c>
      <c r="E1496" s="6"/>
      <c r="F1496" s="28">
        <v>46225</v>
      </c>
      <c r="G1496" s="27" t="s">
        <v>3260</v>
      </c>
      <c r="H1496" s="10" t="s">
        <v>160</v>
      </c>
      <c r="I1496" s="6" t="s">
        <v>3563</v>
      </c>
      <c r="J1496" s="192">
        <v>16856443094</v>
      </c>
      <c r="K1496" s="180" t="s">
        <v>3564</v>
      </c>
      <c r="L1496" s="107">
        <v>22991622</v>
      </c>
      <c r="M1496" s="37">
        <v>5217131204737</v>
      </c>
      <c r="N1496" s="169" t="s">
        <v>47</v>
      </c>
      <c r="O1496" s="48">
        <v>38121.129999999997</v>
      </c>
      <c r="P1496" s="95">
        <v>11029.35</v>
      </c>
      <c r="Q1496" s="8">
        <v>11436.34</v>
      </c>
      <c r="R1496" s="22">
        <v>406.99</v>
      </c>
      <c r="S1496" s="70">
        <v>46034</v>
      </c>
      <c r="T1496" s="6"/>
      <c r="U1496" s="164"/>
      <c r="V1496" s="1"/>
      <c r="X1496" s="101">
        <v>2</v>
      </c>
    </row>
    <row r="1497" spans="2:24" hidden="1">
      <c r="B1497" s="10" t="s">
        <v>3565</v>
      </c>
      <c r="C1497" s="24">
        <v>46225.7</v>
      </c>
      <c r="D1497" s="10" t="s">
        <v>24</v>
      </c>
      <c r="E1497" s="10"/>
      <c r="F1497" s="28">
        <v>46225</v>
      </c>
      <c r="G1497" s="28" t="s">
        <v>3260</v>
      </c>
      <c r="H1497" s="10" t="s">
        <v>160</v>
      </c>
      <c r="I1497" s="10" t="s">
        <v>3566</v>
      </c>
      <c r="J1497" s="193"/>
      <c r="K1497" s="181" t="s">
        <v>3567</v>
      </c>
      <c r="L1497" s="108">
        <v>22990682</v>
      </c>
      <c r="M1497" s="36">
        <v>5215643316071</v>
      </c>
      <c r="N1497" s="170" t="s">
        <v>37</v>
      </c>
      <c r="O1497" s="49">
        <v>11088.51</v>
      </c>
      <c r="P1497" s="96">
        <v>3326.55</v>
      </c>
      <c r="Q1497" s="11">
        <v>3326.55</v>
      </c>
      <c r="R1497" s="12">
        <v>0</v>
      </c>
      <c r="S1497" s="71">
        <v>46395</v>
      </c>
      <c r="T1497" s="10"/>
      <c r="U1497" s="97"/>
      <c r="V1497" s="1"/>
      <c r="X1497" s="101">
        <v>2</v>
      </c>
    </row>
    <row r="1498" spans="2:24" hidden="1">
      <c r="B1498" s="6" t="s">
        <v>3568</v>
      </c>
      <c r="C1498" s="23">
        <v>46225.709027777775</v>
      </c>
      <c r="D1498" s="6" t="s">
        <v>24</v>
      </c>
      <c r="E1498" s="6"/>
      <c r="F1498" s="28">
        <v>46225</v>
      </c>
      <c r="G1498" s="27" t="s">
        <v>3260</v>
      </c>
      <c r="H1498" s="6" t="s">
        <v>160</v>
      </c>
      <c r="I1498" s="6" t="s">
        <v>3569</v>
      </c>
      <c r="J1498" s="192">
        <v>23876826217</v>
      </c>
      <c r="K1498" s="180" t="s">
        <v>3570</v>
      </c>
      <c r="L1498" s="107">
        <v>22992728</v>
      </c>
      <c r="M1498" s="37">
        <v>5216731417828</v>
      </c>
      <c r="N1498" s="169" t="s">
        <v>32</v>
      </c>
      <c r="O1498" s="48">
        <v>3635.51</v>
      </c>
      <c r="P1498" s="95">
        <v>879</v>
      </c>
      <c r="Q1498" s="8">
        <v>1090.6500000000001</v>
      </c>
      <c r="R1498" s="13">
        <v>-879</v>
      </c>
      <c r="S1498" s="70"/>
      <c r="T1498" s="6"/>
      <c r="U1498" s="164"/>
      <c r="V1498" s="1"/>
      <c r="X1498" s="101">
        <v>2</v>
      </c>
    </row>
    <row r="1499" spans="2:24" hidden="1">
      <c r="B1499" s="10" t="s">
        <v>3571</v>
      </c>
      <c r="C1499" s="24">
        <v>46225.709722222222</v>
      </c>
      <c r="D1499" s="10" t="s">
        <v>24</v>
      </c>
      <c r="E1499" s="10"/>
      <c r="F1499" s="28">
        <v>46225</v>
      </c>
      <c r="G1499" s="28" t="s">
        <v>3260</v>
      </c>
      <c r="H1499" s="160" t="s">
        <v>3572</v>
      </c>
      <c r="I1499" s="10" t="s">
        <v>3573</v>
      </c>
      <c r="J1499" s="193">
        <v>33885803958</v>
      </c>
      <c r="K1499" s="181"/>
      <c r="L1499" s="118">
        <v>23000166</v>
      </c>
      <c r="M1499" s="36">
        <v>5216568252857</v>
      </c>
      <c r="N1499" s="170" t="s">
        <v>47</v>
      </c>
      <c r="O1499" s="49">
        <v>7116.73</v>
      </c>
      <c r="P1499" s="96">
        <v>1297.9100000000001</v>
      </c>
      <c r="Q1499" s="11">
        <v>2135.02</v>
      </c>
      <c r="R1499" s="16">
        <v>837.11</v>
      </c>
      <c r="S1499" s="71">
        <v>46027</v>
      </c>
      <c r="T1499" s="10"/>
      <c r="U1499" s="97"/>
      <c r="V1499" s="1"/>
      <c r="X1499" s="101">
        <v>2</v>
      </c>
    </row>
    <row r="1500" spans="2:24" hidden="1">
      <c r="B1500" s="6" t="s">
        <v>3574</v>
      </c>
      <c r="C1500" s="23">
        <v>46225.713888888888</v>
      </c>
      <c r="D1500" s="6" t="s">
        <v>24</v>
      </c>
      <c r="E1500" s="6"/>
      <c r="F1500" s="28">
        <v>46225</v>
      </c>
      <c r="G1500" s="27" t="s">
        <v>3260</v>
      </c>
      <c r="H1500" s="7" t="s">
        <v>3575</v>
      </c>
      <c r="I1500" s="6" t="s">
        <v>3576</v>
      </c>
      <c r="J1500" s="192">
        <v>43877400192</v>
      </c>
      <c r="K1500" s="180" t="s">
        <v>3577</v>
      </c>
      <c r="L1500" s="107">
        <v>23000952</v>
      </c>
      <c r="M1500" s="37">
        <v>5218110398970</v>
      </c>
      <c r="N1500" s="169" t="s">
        <v>32</v>
      </c>
      <c r="O1500" s="48">
        <v>3437.04</v>
      </c>
      <c r="P1500" s="95">
        <v>848</v>
      </c>
      <c r="Q1500" s="8">
        <v>1031.1099999999999</v>
      </c>
      <c r="R1500" s="13">
        <v>-848</v>
      </c>
      <c r="S1500" s="70"/>
      <c r="T1500" s="6"/>
      <c r="U1500" s="164"/>
      <c r="V1500" s="1"/>
      <c r="X1500" s="101">
        <v>1</v>
      </c>
    </row>
    <row r="1501" spans="2:24" hidden="1">
      <c r="B1501" s="10" t="s">
        <v>3578</v>
      </c>
      <c r="C1501" s="24">
        <v>46225.713888888888</v>
      </c>
      <c r="D1501" s="10" t="s">
        <v>24</v>
      </c>
      <c r="E1501" s="10"/>
      <c r="F1501" s="28">
        <v>46225</v>
      </c>
      <c r="G1501" s="28" t="s">
        <v>3260</v>
      </c>
      <c r="H1501" s="10" t="s">
        <v>1625</v>
      </c>
      <c r="I1501" s="10" t="s">
        <v>99</v>
      </c>
      <c r="J1501" s="202">
        <v>63855700991</v>
      </c>
      <c r="K1501" s="179" t="s">
        <v>100</v>
      </c>
      <c r="L1501" s="108">
        <v>2</v>
      </c>
      <c r="M1501" s="36" t="s">
        <v>3579</v>
      </c>
      <c r="N1501" s="170" t="s">
        <v>37</v>
      </c>
      <c r="O1501" s="47">
        <v>9760.32</v>
      </c>
      <c r="P1501" s="94">
        <v>2914.84</v>
      </c>
      <c r="Q1501" s="11">
        <v>2928.1</v>
      </c>
      <c r="R1501" s="12">
        <v>13.26</v>
      </c>
      <c r="S1501" s="71">
        <v>46756</v>
      </c>
      <c r="T1501" s="10"/>
      <c r="U1501" s="97"/>
      <c r="V1501" s="1"/>
      <c r="X1501" s="101">
        <v>2</v>
      </c>
    </row>
    <row r="1502" spans="2:24" hidden="1">
      <c r="B1502" s="6" t="s">
        <v>3574</v>
      </c>
      <c r="C1502" s="23">
        <v>46225.716666666667</v>
      </c>
      <c r="D1502" s="6" t="s">
        <v>24</v>
      </c>
      <c r="E1502" s="6"/>
      <c r="F1502" s="28">
        <v>46225</v>
      </c>
      <c r="G1502" s="27" t="s">
        <v>3260</v>
      </c>
      <c r="H1502" s="6" t="s">
        <v>160</v>
      </c>
      <c r="I1502" s="6" t="s">
        <v>3580</v>
      </c>
      <c r="J1502" s="192">
        <v>33776035587</v>
      </c>
      <c r="K1502" s="180" t="s">
        <v>3581</v>
      </c>
      <c r="L1502" s="108">
        <v>22992960</v>
      </c>
      <c r="M1502" s="37">
        <v>5216145364696</v>
      </c>
      <c r="N1502" s="169" t="s">
        <v>37</v>
      </c>
      <c r="O1502" s="48">
        <v>10171.24</v>
      </c>
      <c r="P1502" s="95">
        <v>3051.37</v>
      </c>
      <c r="Q1502" s="8">
        <v>3051.37</v>
      </c>
      <c r="R1502" s="13">
        <v>0</v>
      </c>
      <c r="S1502" s="70">
        <v>46753</v>
      </c>
      <c r="T1502" s="6"/>
      <c r="U1502" s="164"/>
      <c r="V1502" s="1"/>
      <c r="X1502" s="101">
        <v>2</v>
      </c>
    </row>
    <row r="1503" spans="2:24" hidden="1">
      <c r="B1503" s="10" t="s">
        <v>3582</v>
      </c>
      <c r="C1503" s="24">
        <v>46225.717361111114</v>
      </c>
      <c r="D1503" s="10" t="s">
        <v>24</v>
      </c>
      <c r="E1503" s="10"/>
      <c r="F1503" s="28">
        <v>46225</v>
      </c>
      <c r="G1503" s="28" t="s">
        <v>3260</v>
      </c>
      <c r="H1503" s="10" t="s">
        <v>1629</v>
      </c>
      <c r="I1503" s="10" t="s">
        <v>3583</v>
      </c>
      <c r="J1503" s="202">
        <v>43745832410</v>
      </c>
      <c r="K1503" s="181" t="s">
        <v>3584</v>
      </c>
      <c r="L1503" s="108">
        <v>2</v>
      </c>
      <c r="M1503" s="40">
        <v>8134134828</v>
      </c>
      <c r="N1503" s="170" t="s">
        <v>37</v>
      </c>
      <c r="O1503" s="49">
        <v>6262.86</v>
      </c>
      <c r="P1503" s="96">
        <v>1809.97</v>
      </c>
      <c r="Q1503" s="11">
        <v>1878.86</v>
      </c>
      <c r="R1503" s="12">
        <v>68.89</v>
      </c>
      <c r="S1503" s="71">
        <v>46396</v>
      </c>
      <c r="T1503" s="10"/>
      <c r="U1503" s="97"/>
      <c r="V1503" s="1"/>
      <c r="X1503" s="101">
        <v>2</v>
      </c>
    </row>
    <row r="1504" spans="2:24" hidden="1">
      <c r="B1504" s="6" t="s">
        <v>3585</v>
      </c>
      <c r="C1504" s="23">
        <v>46225.720833333333</v>
      </c>
      <c r="D1504" s="6" t="s">
        <v>24</v>
      </c>
      <c r="E1504" s="6"/>
      <c r="F1504" s="28">
        <v>46225</v>
      </c>
      <c r="G1504" s="27" t="s">
        <v>3260</v>
      </c>
      <c r="H1504" s="6" t="s">
        <v>1625</v>
      </c>
      <c r="I1504" s="6" t="s">
        <v>3586</v>
      </c>
      <c r="J1504" s="192">
        <v>1126800448</v>
      </c>
      <c r="K1504" s="180" t="s">
        <v>3587</v>
      </c>
      <c r="L1504" s="115">
        <v>2</v>
      </c>
      <c r="M1504" s="37" t="s">
        <v>3588</v>
      </c>
      <c r="N1504" s="169" t="s">
        <v>98</v>
      </c>
      <c r="O1504" s="46"/>
      <c r="P1504" s="93"/>
      <c r="Q1504" s="8">
        <v>0</v>
      </c>
      <c r="R1504" s="13">
        <v>0</v>
      </c>
      <c r="S1504" s="70"/>
      <c r="T1504" s="6"/>
      <c r="U1504" s="164"/>
      <c r="V1504" s="1"/>
      <c r="X1504" s="101">
        <v>0</v>
      </c>
    </row>
    <row r="1505" spans="2:24" hidden="1">
      <c r="B1505" s="10" t="s">
        <v>3589</v>
      </c>
      <c r="C1505" s="24">
        <v>46225.722222222219</v>
      </c>
      <c r="D1505" s="10" t="s">
        <v>24</v>
      </c>
      <c r="E1505" s="10"/>
      <c r="F1505" s="28">
        <v>46225</v>
      </c>
      <c r="G1505" s="28" t="s">
        <v>3260</v>
      </c>
      <c r="H1505" s="15" t="s">
        <v>3352</v>
      </c>
      <c r="I1505" s="10" t="s">
        <v>3590</v>
      </c>
      <c r="J1505" s="193"/>
      <c r="K1505" s="181" t="s">
        <v>3591</v>
      </c>
      <c r="L1505" s="108">
        <v>23000002</v>
      </c>
      <c r="M1505" s="36">
        <v>4426344212</v>
      </c>
      <c r="N1505" s="170" t="s">
        <v>37</v>
      </c>
      <c r="O1505" s="49">
        <v>5773.8</v>
      </c>
      <c r="P1505" s="96">
        <v>1600.81</v>
      </c>
      <c r="Q1505" s="11">
        <v>1732.14</v>
      </c>
      <c r="R1505" s="12">
        <v>0.01</v>
      </c>
      <c r="S1505" s="71">
        <v>46392</v>
      </c>
      <c r="T1505" s="10"/>
      <c r="U1505" s="97"/>
      <c r="V1505" s="1"/>
      <c r="X1505" s="101">
        <v>2</v>
      </c>
    </row>
    <row r="1506" spans="2:24" hidden="1">
      <c r="B1506" s="6" t="s">
        <v>3592</v>
      </c>
      <c r="C1506" s="23">
        <v>46225.727777777778</v>
      </c>
      <c r="D1506" s="6" t="s">
        <v>24</v>
      </c>
      <c r="E1506" s="6"/>
      <c r="F1506" s="28">
        <v>46225</v>
      </c>
      <c r="G1506" s="27" t="s">
        <v>3260</v>
      </c>
      <c r="H1506" s="6" t="s">
        <v>127</v>
      </c>
      <c r="I1506" s="6" t="s">
        <v>3593</v>
      </c>
      <c r="J1506" s="203">
        <v>60887077091</v>
      </c>
      <c r="K1506" s="180" t="s">
        <v>3594</v>
      </c>
      <c r="L1506" s="107">
        <v>22992620</v>
      </c>
      <c r="M1506" s="37">
        <v>5218444930641</v>
      </c>
      <c r="N1506" s="169" t="s">
        <v>235</v>
      </c>
      <c r="O1506" s="48">
        <v>684.05</v>
      </c>
      <c r="P1506" s="95"/>
      <c r="Q1506" s="8">
        <v>205.22</v>
      </c>
      <c r="R1506" s="13">
        <v>0</v>
      </c>
      <c r="S1506" s="70"/>
      <c r="T1506" s="6"/>
      <c r="U1506" s="164"/>
      <c r="V1506" s="1"/>
      <c r="X1506" s="101">
        <v>1</v>
      </c>
    </row>
    <row r="1507" spans="2:24" hidden="1">
      <c r="B1507" s="10" t="s">
        <v>3595</v>
      </c>
      <c r="C1507" s="24">
        <v>46225.727777777778</v>
      </c>
      <c r="D1507" s="10" t="s">
        <v>24</v>
      </c>
      <c r="E1507" s="10"/>
      <c r="F1507" s="28">
        <v>46225</v>
      </c>
      <c r="G1507" s="28" t="s">
        <v>2859</v>
      </c>
      <c r="H1507" s="10" t="s">
        <v>127</v>
      </c>
      <c r="I1507" s="10" t="s">
        <v>3596</v>
      </c>
      <c r="J1507" s="193">
        <v>4916421862</v>
      </c>
      <c r="K1507" s="181" t="s">
        <v>3597</v>
      </c>
      <c r="L1507" s="108">
        <v>22915640</v>
      </c>
      <c r="M1507" s="36">
        <v>5217298840852</v>
      </c>
      <c r="N1507" s="170" t="s">
        <v>37</v>
      </c>
      <c r="O1507" s="49">
        <v>9081.52</v>
      </c>
      <c r="P1507" s="96">
        <v>2627.5</v>
      </c>
      <c r="Q1507" s="11">
        <v>2724.46</v>
      </c>
      <c r="R1507" s="12">
        <v>96.96</v>
      </c>
      <c r="S1507" s="71">
        <v>46508</v>
      </c>
      <c r="T1507" s="10"/>
      <c r="U1507" s="97"/>
      <c r="V1507" s="1"/>
      <c r="X1507" s="101">
        <v>2</v>
      </c>
    </row>
    <row r="1508" spans="2:24" hidden="1">
      <c r="B1508" s="6" t="s">
        <v>3598</v>
      </c>
      <c r="C1508" s="23">
        <v>46225.729166666664</v>
      </c>
      <c r="D1508" s="6" t="s">
        <v>24</v>
      </c>
      <c r="E1508" s="6"/>
      <c r="F1508" s="28">
        <v>46225</v>
      </c>
      <c r="G1508" s="27" t="s">
        <v>3260</v>
      </c>
      <c r="H1508" s="7" t="s">
        <v>3352</v>
      </c>
      <c r="I1508" s="6" t="s">
        <v>3599</v>
      </c>
      <c r="J1508" s="192"/>
      <c r="K1508" s="180" t="s">
        <v>3600</v>
      </c>
      <c r="L1508" s="107">
        <v>23001354</v>
      </c>
      <c r="M1508" s="37">
        <v>5591689945</v>
      </c>
      <c r="N1508" s="169" t="s">
        <v>32</v>
      </c>
      <c r="O1508" s="48">
        <v>3855.43</v>
      </c>
      <c r="P1508" s="95">
        <v>848</v>
      </c>
      <c r="Q1508" s="8">
        <v>1156.6300000000001</v>
      </c>
      <c r="R1508" s="13">
        <v>-848</v>
      </c>
      <c r="S1508" s="70"/>
      <c r="T1508" s="6"/>
      <c r="U1508" s="164"/>
      <c r="V1508" s="1"/>
      <c r="X1508" s="101">
        <v>1</v>
      </c>
    </row>
    <row r="1509" spans="2:24" hidden="1">
      <c r="B1509" s="10" t="s">
        <v>3601</v>
      </c>
      <c r="C1509" s="24">
        <v>46225.729166666664</v>
      </c>
      <c r="D1509" s="10" t="s">
        <v>24</v>
      </c>
      <c r="E1509" s="10"/>
      <c r="F1509" s="28">
        <v>46225</v>
      </c>
      <c r="G1509" s="28" t="s">
        <v>3260</v>
      </c>
      <c r="H1509" s="160" t="s">
        <v>3575</v>
      </c>
      <c r="I1509" s="10" t="s">
        <v>3602</v>
      </c>
      <c r="J1509" s="193">
        <v>42806140028</v>
      </c>
      <c r="K1509" s="181" t="s">
        <v>3603</v>
      </c>
      <c r="L1509" s="108">
        <v>22999762</v>
      </c>
      <c r="M1509" s="36">
        <v>5213221329857</v>
      </c>
      <c r="N1509" s="170" t="s">
        <v>263</v>
      </c>
      <c r="O1509" s="49">
        <v>4483.92</v>
      </c>
      <c r="P1509" s="96">
        <v>908.56</v>
      </c>
      <c r="Q1509" s="11">
        <v>1345.18</v>
      </c>
      <c r="R1509" s="12">
        <v>-597.62</v>
      </c>
      <c r="S1509" s="71">
        <v>45659</v>
      </c>
      <c r="T1509" s="10"/>
      <c r="U1509" s="97"/>
      <c r="V1509" s="1"/>
      <c r="X1509" s="101">
        <v>2</v>
      </c>
    </row>
    <row r="1510" spans="2:24" hidden="1">
      <c r="B1510" s="6" t="s">
        <v>3604</v>
      </c>
      <c r="C1510" s="23">
        <v>46225.730555555558</v>
      </c>
      <c r="D1510" s="6" t="s">
        <v>24</v>
      </c>
      <c r="E1510" s="6"/>
      <c r="F1510" s="28">
        <v>46225</v>
      </c>
      <c r="G1510" s="27" t="s">
        <v>2859</v>
      </c>
      <c r="H1510" s="6" t="s">
        <v>51</v>
      </c>
      <c r="I1510" s="6" t="s">
        <v>3605</v>
      </c>
      <c r="J1510" s="192">
        <v>18796007138</v>
      </c>
      <c r="K1510" s="180" t="s">
        <v>3606</v>
      </c>
      <c r="L1510" s="108">
        <v>22897378</v>
      </c>
      <c r="M1510" s="37">
        <v>5214428514907</v>
      </c>
      <c r="N1510" s="169" t="s">
        <v>37</v>
      </c>
      <c r="O1510" s="48">
        <v>9760.32</v>
      </c>
      <c r="P1510" s="95">
        <v>2823</v>
      </c>
      <c r="Q1510" s="8">
        <v>2928.1</v>
      </c>
      <c r="R1510" s="13">
        <v>105.1</v>
      </c>
      <c r="S1510" s="70">
        <v>46398</v>
      </c>
      <c r="T1510" s="6" t="s">
        <v>84</v>
      </c>
      <c r="U1510" s="164"/>
      <c r="V1510" s="1"/>
      <c r="X1510" s="101">
        <v>2</v>
      </c>
    </row>
    <row r="1511" spans="2:24" hidden="1">
      <c r="B1511" s="10" t="s">
        <v>3607</v>
      </c>
      <c r="C1511" s="24">
        <v>46225.731249999997</v>
      </c>
      <c r="D1511" s="10" t="s">
        <v>24</v>
      </c>
      <c r="E1511" s="10"/>
      <c r="F1511" s="28">
        <v>46225</v>
      </c>
      <c r="G1511" s="28" t="s">
        <v>3260</v>
      </c>
      <c r="H1511" s="10" t="s">
        <v>1519</v>
      </c>
      <c r="I1511" s="10" t="s">
        <v>3608</v>
      </c>
      <c r="J1511" s="193">
        <v>43816484679</v>
      </c>
      <c r="K1511" s="181" t="s">
        <v>3609</v>
      </c>
      <c r="L1511" s="108">
        <v>22987674</v>
      </c>
      <c r="M1511" s="36">
        <v>5218127175108</v>
      </c>
      <c r="N1511" s="170" t="s">
        <v>32</v>
      </c>
      <c r="O1511" s="47">
        <v>4035.69</v>
      </c>
      <c r="P1511" s="94"/>
      <c r="Q1511" s="11">
        <v>1210.71</v>
      </c>
      <c r="R1511" s="12">
        <v>0</v>
      </c>
      <c r="S1511" s="71"/>
      <c r="T1511" s="10"/>
      <c r="U1511" s="97"/>
      <c r="V1511" s="1"/>
      <c r="X1511" s="101">
        <v>1</v>
      </c>
    </row>
    <row r="1512" spans="2:24" hidden="1">
      <c r="B1512" s="6" t="s">
        <v>3610</v>
      </c>
      <c r="C1512" s="23">
        <v>46225.731944444444</v>
      </c>
      <c r="D1512" s="6" t="s">
        <v>24</v>
      </c>
      <c r="E1512" s="6"/>
      <c r="F1512" s="28">
        <v>46225</v>
      </c>
      <c r="G1512" s="27" t="s">
        <v>3260</v>
      </c>
      <c r="H1512" s="10" t="s">
        <v>160</v>
      </c>
      <c r="I1512" s="6" t="s">
        <v>3611</v>
      </c>
      <c r="J1512" s="192">
        <v>67846352606</v>
      </c>
      <c r="K1512" s="180" t="s">
        <v>3612</v>
      </c>
      <c r="L1512" s="107">
        <v>22995356</v>
      </c>
      <c r="M1512" s="37">
        <v>5219985560809</v>
      </c>
      <c r="N1512" s="169" t="s">
        <v>28</v>
      </c>
      <c r="O1512" s="46">
        <v>36455.589999999997</v>
      </c>
      <c r="P1512" s="93"/>
      <c r="Q1512" s="8">
        <v>10936.68</v>
      </c>
      <c r="R1512" s="9">
        <v>10936.68</v>
      </c>
      <c r="S1512" s="70"/>
      <c r="T1512" s="6"/>
      <c r="U1512" s="164"/>
      <c r="V1512" s="1"/>
      <c r="X1512" s="101">
        <v>1</v>
      </c>
    </row>
    <row r="1513" spans="2:24" hidden="1">
      <c r="B1513" s="10" t="s">
        <v>3481</v>
      </c>
      <c r="C1513" s="24">
        <v>46225.731944444444</v>
      </c>
      <c r="D1513" s="10" t="s">
        <v>24</v>
      </c>
      <c r="E1513" s="10"/>
      <c r="F1513" s="28">
        <v>46225</v>
      </c>
      <c r="G1513" s="28" t="s">
        <v>2604</v>
      </c>
      <c r="H1513" s="10" t="s">
        <v>81</v>
      </c>
      <c r="I1513" s="10" t="s">
        <v>3613</v>
      </c>
      <c r="J1513" s="193">
        <v>24695224410</v>
      </c>
      <c r="K1513" s="181"/>
      <c r="L1513" s="108">
        <v>22873598</v>
      </c>
      <c r="M1513" s="36">
        <v>5216221008605</v>
      </c>
      <c r="N1513" s="170" t="s">
        <v>32</v>
      </c>
      <c r="O1513" s="49">
        <v>5055.88</v>
      </c>
      <c r="P1513" s="96">
        <v>848</v>
      </c>
      <c r="Q1513" s="11">
        <v>1516.76</v>
      </c>
      <c r="R1513" s="12">
        <v>34.9</v>
      </c>
      <c r="S1513" s="71"/>
      <c r="T1513" s="10"/>
      <c r="U1513" s="97"/>
      <c r="V1513" s="1"/>
      <c r="X1513" s="101">
        <v>1</v>
      </c>
    </row>
    <row r="1514" spans="2:24" hidden="1">
      <c r="B1514" s="6" t="s">
        <v>3614</v>
      </c>
      <c r="C1514" s="23">
        <v>46225.73333333333</v>
      </c>
      <c r="D1514" s="6" t="s">
        <v>24</v>
      </c>
      <c r="E1514" s="6"/>
      <c r="F1514" s="28">
        <v>46225</v>
      </c>
      <c r="G1514" s="27" t="s">
        <v>2604</v>
      </c>
      <c r="H1514" s="6" t="s">
        <v>269</v>
      </c>
      <c r="I1514" s="6" t="s">
        <v>3615</v>
      </c>
      <c r="J1514" s="192">
        <v>32846605072</v>
      </c>
      <c r="K1514" s="180" t="s">
        <v>3616</v>
      </c>
      <c r="L1514" s="108">
        <v>22880648</v>
      </c>
      <c r="M1514" s="37">
        <v>5218715098101</v>
      </c>
      <c r="N1514" s="169" t="s">
        <v>37</v>
      </c>
      <c r="O1514" s="48">
        <v>5002.7299999999996</v>
      </c>
      <c r="P1514" s="95">
        <v>829.74</v>
      </c>
      <c r="Q1514" s="8">
        <v>1500.82</v>
      </c>
      <c r="R1514" s="13">
        <v>0.01</v>
      </c>
      <c r="S1514" s="70">
        <v>46755</v>
      </c>
      <c r="T1514" s="6"/>
      <c r="U1514" s="164"/>
      <c r="V1514" s="1"/>
      <c r="X1514" s="101">
        <v>2</v>
      </c>
    </row>
    <row r="1515" spans="2:24" hidden="1">
      <c r="B1515" s="10" t="s">
        <v>3617</v>
      </c>
      <c r="C1515" s="24">
        <v>46225.746527777781</v>
      </c>
      <c r="D1515" s="10" t="s">
        <v>24</v>
      </c>
      <c r="E1515" s="10"/>
      <c r="F1515" s="28">
        <v>46225</v>
      </c>
      <c r="G1515" s="28" t="s">
        <v>3260</v>
      </c>
      <c r="H1515" s="10" t="s">
        <v>1519</v>
      </c>
      <c r="I1515" s="10" t="s">
        <v>3618</v>
      </c>
      <c r="J1515" s="193">
        <v>1484590143</v>
      </c>
      <c r="K1515" s="181" t="s">
        <v>3619</v>
      </c>
      <c r="L1515" s="108">
        <v>22858174</v>
      </c>
      <c r="M1515" s="36">
        <v>5214441586309</v>
      </c>
      <c r="N1515" s="170" t="s">
        <v>37</v>
      </c>
      <c r="O1515" s="49">
        <v>7920.51</v>
      </c>
      <c r="P1515" s="96">
        <v>2361.94</v>
      </c>
      <c r="Q1515" s="11">
        <v>2376.15</v>
      </c>
      <c r="R1515" s="12">
        <v>14.21</v>
      </c>
      <c r="S1515" s="71">
        <v>46758</v>
      </c>
      <c r="T1515" s="10" t="s">
        <v>259</v>
      </c>
      <c r="U1515" s="97"/>
      <c r="V1515" s="1"/>
      <c r="X1515" s="101">
        <v>2</v>
      </c>
    </row>
    <row r="1516" spans="2:24" hidden="1">
      <c r="B1516" s="6" t="s">
        <v>3475</v>
      </c>
      <c r="C1516" s="23">
        <v>46225.748611111114</v>
      </c>
      <c r="D1516" s="6" t="s">
        <v>24</v>
      </c>
      <c r="E1516" s="6"/>
      <c r="F1516" s="28">
        <v>46225</v>
      </c>
      <c r="G1516" s="27" t="s">
        <v>1953</v>
      </c>
      <c r="H1516" s="6" t="s">
        <v>68</v>
      </c>
      <c r="I1516" s="6" t="s">
        <v>3620</v>
      </c>
      <c r="J1516" s="192">
        <v>65866019048</v>
      </c>
      <c r="K1516" s="180" t="s">
        <v>3621</v>
      </c>
      <c r="L1516" s="108">
        <v>22767388</v>
      </c>
      <c r="M1516" s="37">
        <v>5212281545355</v>
      </c>
      <c r="N1516" s="169" t="s">
        <v>37</v>
      </c>
      <c r="O1516" s="48">
        <v>7116.73</v>
      </c>
      <c r="P1516" s="95">
        <v>2135.02</v>
      </c>
      <c r="Q1516" s="8">
        <v>2135.02</v>
      </c>
      <c r="R1516" s="13">
        <v>0</v>
      </c>
      <c r="S1516" s="70">
        <v>46758</v>
      </c>
      <c r="T1516" s="6" t="s">
        <v>259</v>
      </c>
      <c r="U1516" s="164"/>
      <c r="V1516" s="1"/>
      <c r="X1516" s="101">
        <v>2</v>
      </c>
    </row>
    <row r="1517" spans="2:24" hidden="1">
      <c r="B1517" s="10" t="s">
        <v>3622</v>
      </c>
      <c r="C1517" s="24">
        <v>46225.75</v>
      </c>
      <c r="D1517" s="10" t="s">
        <v>24</v>
      </c>
      <c r="E1517" s="10"/>
      <c r="F1517" s="28">
        <v>46225</v>
      </c>
      <c r="G1517" s="28" t="s">
        <v>2859</v>
      </c>
      <c r="H1517" s="15" t="s">
        <v>3036</v>
      </c>
      <c r="I1517" s="10" t="s">
        <v>3623</v>
      </c>
      <c r="J1517" s="193"/>
      <c r="K1517" s="181" t="s">
        <v>3624</v>
      </c>
      <c r="L1517" s="108">
        <v>22900930</v>
      </c>
      <c r="M1517" s="36">
        <v>5214497791672</v>
      </c>
      <c r="N1517" s="170" t="s">
        <v>37</v>
      </c>
      <c r="O1517" s="49">
        <v>5617.63</v>
      </c>
      <c r="P1517" s="96">
        <v>1393</v>
      </c>
      <c r="Q1517" s="11">
        <v>1685.29</v>
      </c>
      <c r="R1517" s="12">
        <v>51.65</v>
      </c>
      <c r="S1517" s="71">
        <v>46395</v>
      </c>
      <c r="T1517" s="10"/>
      <c r="U1517" s="97"/>
      <c r="V1517" s="1"/>
      <c r="X1517" s="101">
        <v>2</v>
      </c>
    </row>
    <row r="1518" spans="2:24" hidden="1">
      <c r="B1518" s="6" t="s">
        <v>3625</v>
      </c>
      <c r="C1518" s="23">
        <v>46225.767361111109</v>
      </c>
      <c r="D1518" s="6" t="s">
        <v>24</v>
      </c>
      <c r="E1518" s="6"/>
      <c r="F1518" s="28">
        <v>46225</v>
      </c>
      <c r="G1518" s="27" t="s">
        <v>3260</v>
      </c>
      <c r="H1518" s="7" t="s">
        <v>3007</v>
      </c>
      <c r="I1518" s="6" t="s">
        <v>3626</v>
      </c>
      <c r="J1518" s="201">
        <v>32937612680</v>
      </c>
      <c r="K1518" s="180" t="s">
        <v>3627</v>
      </c>
      <c r="L1518" s="107">
        <v>23002626</v>
      </c>
      <c r="M1518" s="37">
        <v>5517609419</v>
      </c>
      <c r="N1518" s="169" t="s">
        <v>98</v>
      </c>
      <c r="O1518" s="48"/>
      <c r="P1518" s="95"/>
      <c r="Q1518" s="8">
        <v>0</v>
      </c>
      <c r="R1518" s="13">
        <v>0</v>
      </c>
      <c r="S1518" s="70"/>
      <c r="T1518" s="6"/>
      <c r="U1518" s="164"/>
      <c r="V1518" s="1"/>
      <c r="X1518" s="101">
        <v>0</v>
      </c>
    </row>
    <row r="1519" spans="2:24" hidden="1">
      <c r="B1519" s="10" t="s">
        <v>3625</v>
      </c>
      <c r="C1519" s="24">
        <v>46225.767361111109</v>
      </c>
      <c r="D1519" s="10" t="s">
        <v>24</v>
      </c>
      <c r="E1519" s="10"/>
      <c r="F1519" s="28">
        <v>46225</v>
      </c>
      <c r="G1519" s="28" t="s">
        <v>3260</v>
      </c>
      <c r="H1519" s="160" t="s">
        <v>3022</v>
      </c>
      <c r="I1519" s="10" t="s">
        <v>3628</v>
      </c>
      <c r="J1519" s="193"/>
      <c r="K1519" s="181" t="s">
        <v>3629</v>
      </c>
      <c r="L1519" s="108">
        <v>22993102</v>
      </c>
      <c r="M1519" s="36">
        <v>7222068190</v>
      </c>
      <c r="N1519" s="170" t="s">
        <v>28</v>
      </c>
      <c r="O1519" s="49">
        <v>10636.54</v>
      </c>
      <c r="P1519" s="96"/>
      <c r="Q1519" s="11">
        <v>3190.96</v>
      </c>
      <c r="R1519" s="14">
        <v>3190.96</v>
      </c>
      <c r="S1519" s="71"/>
      <c r="T1519" s="10"/>
      <c r="U1519" s="97"/>
      <c r="V1519" s="1"/>
      <c r="X1519" s="101">
        <v>1</v>
      </c>
    </row>
    <row r="1520" spans="2:24" hidden="1">
      <c r="B1520" s="6" t="s">
        <v>3630</v>
      </c>
      <c r="C1520" s="23">
        <v>46225.780555555553</v>
      </c>
      <c r="D1520" s="6" t="s">
        <v>24</v>
      </c>
      <c r="E1520" s="6"/>
      <c r="F1520" s="28">
        <v>46225</v>
      </c>
      <c r="G1520" s="27" t="s">
        <v>3260</v>
      </c>
      <c r="H1520" s="7" t="s">
        <v>110</v>
      </c>
      <c r="I1520" s="6" t="s">
        <v>3631</v>
      </c>
      <c r="J1520" s="192"/>
      <c r="K1520" s="180" t="s">
        <v>3632</v>
      </c>
      <c r="L1520" s="107">
        <v>23000100</v>
      </c>
      <c r="M1520" s="37">
        <v>5219212682496</v>
      </c>
      <c r="N1520" s="169" t="s">
        <v>98</v>
      </c>
      <c r="O1520" s="48"/>
      <c r="P1520" s="95"/>
      <c r="Q1520" s="8">
        <v>0</v>
      </c>
      <c r="R1520" s="13">
        <v>0</v>
      </c>
      <c r="S1520" s="70"/>
      <c r="T1520" s="6"/>
      <c r="U1520" s="164"/>
      <c r="V1520" s="1"/>
      <c r="X1520" s="101">
        <v>0</v>
      </c>
    </row>
    <row r="1521" spans="2:24" hidden="1">
      <c r="B1521" s="10" t="s">
        <v>3630</v>
      </c>
      <c r="C1521" s="24">
        <v>46225.782638888886</v>
      </c>
      <c r="D1521" s="10" t="s">
        <v>24</v>
      </c>
      <c r="E1521" s="10"/>
      <c r="F1521" s="28">
        <v>46225</v>
      </c>
      <c r="G1521" s="28" t="s">
        <v>3260</v>
      </c>
      <c r="H1521" s="15" t="s">
        <v>3007</v>
      </c>
      <c r="I1521" s="10" t="s">
        <v>3633</v>
      </c>
      <c r="J1521" s="193"/>
      <c r="K1521" s="181" t="s">
        <v>3634</v>
      </c>
      <c r="L1521" s="108">
        <v>23000340</v>
      </c>
      <c r="M1521" s="36">
        <v>5585587106</v>
      </c>
      <c r="N1521" s="170" t="s">
        <v>74</v>
      </c>
      <c r="O1521" s="49"/>
      <c r="P1521" s="96"/>
      <c r="Q1521" s="11">
        <v>0</v>
      </c>
      <c r="R1521" s="12">
        <v>0</v>
      </c>
      <c r="S1521" s="71"/>
      <c r="T1521" s="10"/>
      <c r="U1521" s="97"/>
      <c r="V1521" s="1"/>
      <c r="X1521" s="101">
        <v>1</v>
      </c>
    </row>
    <row r="1522" spans="2:24" hidden="1">
      <c r="B1522" s="6" t="s">
        <v>3635</v>
      </c>
      <c r="C1522" s="23">
        <v>46225.784722222219</v>
      </c>
      <c r="D1522" s="6" t="s">
        <v>24</v>
      </c>
      <c r="E1522" s="6"/>
      <c r="F1522" s="28">
        <v>46225</v>
      </c>
      <c r="G1522" s="27" t="s">
        <v>3260</v>
      </c>
      <c r="H1522" s="7" t="s">
        <v>476</v>
      </c>
      <c r="I1522" s="6" t="s">
        <v>3636</v>
      </c>
      <c r="J1522" s="192"/>
      <c r="K1522" s="180" t="s">
        <v>3637</v>
      </c>
      <c r="L1522" s="108">
        <v>23002856</v>
      </c>
      <c r="M1522" s="37">
        <v>5217772574509</v>
      </c>
      <c r="N1522" s="169" t="s">
        <v>37</v>
      </c>
      <c r="O1522" s="48">
        <v>9081.31</v>
      </c>
      <c r="P1522" s="95">
        <v>2627</v>
      </c>
      <c r="Q1522" s="8">
        <v>2724.39</v>
      </c>
      <c r="R1522" s="13">
        <v>97.39</v>
      </c>
      <c r="S1522" s="70">
        <v>46397</v>
      </c>
      <c r="T1522" s="6" t="s">
        <v>192</v>
      </c>
      <c r="U1522" s="164"/>
      <c r="V1522" s="1"/>
      <c r="X1522" s="101">
        <v>2</v>
      </c>
    </row>
    <row r="1523" spans="2:24" hidden="1">
      <c r="B1523" s="10" t="s">
        <v>3638</v>
      </c>
      <c r="C1523" s="24">
        <v>46225.793749999997</v>
      </c>
      <c r="D1523" s="10" t="s">
        <v>24</v>
      </c>
      <c r="E1523" s="10"/>
      <c r="F1523" s="28">
        <v>46225</v>
      </c>
      <c r="G1523" s="28" t="s">
        <v>3260</v>
      </c>
      <c r="H1523" s="15" t="s">
        <v>3007</v>
      </c>
      <c r="I1523" s="10" t="s">
        <v>3639</v>
      </c>
      <c r="J1523" s="193">
        <v>1785568799</v>
      </c>
      <c r="K1523" s="181"/>
      <c r="L1523" s="108">
        <v>23003442</v>
      </c>
      <c r="M1523" s="36">
        <v>3121310404</v>
      </c>
      <c r="N1523" s="170" t="s">
        <v>32</v>
      </c>
      <c r="O1523" s="49">
        <v>4438.37</v>
      </c>
      <c r="P1523" s="96"/>
      <c r="Q1523" s="11">
        <v>1331.51</v>
      </c>
      <c r="R1523" s="12">
        <v>265.39</v>
      </c>
      <c r="S1523" s="71"/>
      <c r="T1523" s="10"/>
      <c r="U1523" s="97"/>
      <c r="V1523" s="1"/>
      <c r="X1523" s="101">
        <v>1</v>
      </c>
    </row>
    <row r="1524" spans="2:24" hidden="1">
      <c r="B1524" s="6" t="s">
        <v>3640</v>
      </c>
      <c r="C1524" s="23">
        <v>46226.345833333333</v>
      </c>
      <c r="D1524" s="6" t="s">
        <v>24</v>
      </c>
      <c r="E1524" s="6"/>
      <c r="F1524" s="29">
        <v>46226</v>
      </c>
      <c r="G1524" s="27" t="s">
        <v>3641</v>
      </c>
      <c r="H1524" s="6" t="s">
        <v>1625</v>
      </c>
      <c r="I1524" s="6" t="s">
        <v>3642</v>
      </c>
      <c r="J1524" s="192">
        <v>67866780082</v>
      </c>
      <c r="K1524" s="183" t="s">
        <v>3643</v>
      </c>
      <c r="L1524" s="108">
        <v>2</v>
      </c>
      <c r="M1524" s="37" t="s">
        <v>3644</v>
      </c>
      <c r="N1524" s="169" t="s">
        <v>37</v>
      </c>
      <c r="O1524" s="48">
        <v>7917.2</v>
      </c>
      <c r="P1524" s="95">
        <v>2359.0300000000002</v>
      </c>
      <c r="Q1524" s="8">
        <v>2375.16</v>
      </c>
      <c r="R1524" s="13">
        <v>16.13</v>
      </c>
      <c r="S1524" s="70">
        <v>46758</v>
      </c>
      <c r="T1524" s="6"/>
      <c r="U1524" s="164"/>
      <c r="V1524" s="1"/>
      <c r="X1524" s="101">
        <v>2</v>
      </c>
    </row>
    <row r="1525" spans="2:24" hidden="1">
      <c r="B1525" s="10" t="s">
        <v>3645</v>
      </c>
      <c r="C1525" s="24">
        <v>46226.381249999999</v>
      </c>
      <c r="D1525" s="10" t="s">
        <v>24</v>
      </c>
      <c r="E1525" s="10"/>
      <c r="F1525" s="29">
        <v>46226</v>
      </c>
      <c r="G1525" s="28" t="s">
        <v>3641</v>
      </c>
      <c r="H1525" s="10" t="s">
        <v>1625</v>
      </c>
      <c r="I1525" s="10" t="s">
        <v>3646</v>
      </c>
      <c r="J1525" s="202">
        <v>1765279805</v>
      </c>
      <c r="K1525" s="179" t="s">
        <v>3647</v>
      </c>
      <c r="L1525" s="116">
        <v>2</v>
      </c>
      <c r="M1525" s="36" t="s">
        <v>3648</v>
      </c>
      <c r="N1525" s="170" t="s">
        <v>28</v>
      </c>
      <c r="O1525" s="49">
        <v>26936.15</v>
      </c>
      <c r="P1525" s="96"/>
      <c r="Q1525" s="11">
        <v>8080.85</v>
      </c>
      <c r="R1525" s="14">
        <v>8080.85</v>
      </c>
      <c r="S1525" s="71"/>
      <c r="T1525" s="10"/>
      <c r="U1525" s="97"/>
      <c r="V1525" s="1"/>
      <c r="X1525" s="101">
        <v>1</v>
      </c>
    </row>
    <row r="1526" spans="2:24" hidden="1">
      <c r="B1526" s="6" t="s">
        <v>3649</v>
      </c>
      <c r="C1526" s="23">
        <v>46226.388888888891</v>
      </c>
      <c r="D1526" s="6" t="s">
        <v>24</v>
      </c>
      <c r="E1526" s="6"/>
      <c r="F1526" s="29">
        <v>46226</v>
      </c>
      <c r="G1526" s="27" t="s">
        <v>3641</v>
      </c>
      <c r="H1526" s="6" t="s">
        <v>1625</v>
      </c>
      <c r="I1526" s="6" t="s">
        <v>3650</v>
      </c>
      <c r="J1526" s="192">
        <v>7835400909</v>
      </c>
      <c r="K1526" s="180" t="s">
        <v>3651</v>
      </c>
      <c r="L1526" s="108">
        <v>2</v>
      </c>
      <c r="M1526" s="37" t="s">
        <v>3652</v>
      </c>
      <c r="N1526" s="169" t="s">
        <v>37</v>
      </c>
      <c r="O1526" s="48">
        <v>25318.18</v>
      </c>
      <c r="P1526" s="95">
        <v>7595.45</v>
      </c>
      <c r="Q1526" s="8">
        <v>7595.45</v>
      </c>
      <c r="R1526" s="13">
        <v>0</v>
      </c>
      <c r="S1526" s="70">
        <v>46389</v>
      </c>
      <c r="T1526" s="6"/>
      <c r="U1526" s="164"/>
      <c r="V1526" s="1"/>
      <c r="X1526" s="101">
        <v>2</v>
      </c>
    </row>
    <row r="1527" spans="2:24" hidden="1">
      <c r="B1527" s="10" t="s">
        <v>3653</v>
      </c>
      <c r="C1527" s="24">
        <v>46226.411111111112</v>
      </c>
      <c r="D1527" s="10" t="s">
        <v>24</v>
      </c>
      <c r="E1527" s="10"/>
      <c r="F1527" s="29">
        <v>46226</v>
      </c>
      <c r="G1527" s="28" t="s">
        <v>2604</v>
      </c>
      <c r="H1527" s="160" t="s">
        <v>26</v>
      </c>
      <c r="I1527" s="10" t="s">
        <v>3654</v>
      </c>
      <c r="J1527" s="193">
        <v>32755918557</v>
      </c>
      <c r="K1527" s="181"/>
      <c r="L1527" s="108">
        <v>22853020</v>
      </c>
      <c r="M1527" s="36">
        <v>5217221079880</v>
      </c>
      <c r="N1527" s="170" t="s">
        <v>28</v>
      </c>
      <c r="O1527" s="49">
        <v>9322.61</v>
      </c>
      <c r="P1527" s="96"/>
      <c r="Q1527" s="11">
        <v>2796.78</v>
      </c>
      <c r="R1527" s="14">
        <v>2796.78</v>
      </c>
      <c r="S1527" s="71"/>
      <c r="T1527" s="10"/>
      <c r="U1527" s="97"/>
      <c r="V1527" s="1"/>
      <c r="X1527" s="101">
        <v>1</v>
      </c>
    </row>
    <row r="1528" spans="2:24" hidden="1">
      <c r="B1528" s="6" t="s">
        <v>3655</v>
      </c>
      <c r="C1528" s="23">
        <v>46226.425694444442</v>
      </c>
      <c r="D1528" s="6" t="s">
        <v>24</v>
      </c>
      <c r="E1528" s="6"/>
      <c r="F1528" s="29">
        <v>46226</v>
      </c>
      <c r="G1528" s="27" t="s">
        <v>3641</v>
      </c>
      <c r="H1528" s="6" t="s">
        <v>160</v>
      </c>
      <c r="I1528" s="6" t="s">
        <v>3656</v>
      </c>
      <c r="J1528" s="192">
        <v>55836000202</v>
      </c>
      <c r="K1528" s="180" t="s">
        <v>3657</v>
      </c>
      <c r="L1528" s="108">
        <v>23014390</v>
      </c>
      <c r="M1528" s="37">
        <v>5213112263535</v>
      </c>
      <c r="N1528" s="169" t="s">
        <v>37</v>
      </c>
      <c r="O1528" s="48">
        <v>8187.26</v>
      </c>
      <c r="P1528" s="95">
        <v>2455.75</v>
      </c>
      <c r="Q1528" s="8">
        <v>2456.1799999999998</v>
      </c>
      <c r="R1528" s="13">
        <v>0.43</v>
      </c>
      <c r="S1528" s="70">
        <v>46399</v>
      </c>
      <c r="T1528" s="6"/>
      <c r="U1528" s="164"/>
      <c r="V1528" s="1"/>
      <c r="X1528" s="101">
        <v>2</v>
      </c>
    </row>
    <row r="1529" spans="2:24" hidden="1">
      <c r="B1529" s="10" t="s">
        <v>3658</v>
      </c>
      <c r="C1529" s="24">
        <v>46226.427777777775</v>
      </c>
      <c r="D1529" s="10" t="s">
        <v>24</v>
      </c>
      <c r="E1529" s="10"/>
      <c r="F1529" s="29">
        <v>46226</v>
      </c>
      <c r="G1529" s="28" t="s">
        <v>3260</v>
      </c>
      <c r="H1529" s="160" t="s">
        <v>110</v>
      </c>
      <c r="I1529" s="10" t="s">
        <v>3659</v>
      </c>
      <c r="J1529" s="193">
        <v>84866302841</v>
      </c>
      <c r="K1529" s="181" t="s">
        <v>3660</v>
      </c>
      <c r="L1529" s="108">
        <v>23002190</v>
      </c>
      <c r="M1529" s="36">
        <v>5219999601550</v>
      </c>
      <c r="N1529" s="170" t="s">
        <v>47</v>
      </c>
      <c r="O1529" s="49">
        <v>5055.87</v>
      </c>
      <c r="P1529" s="96"/>
      <c r="Q1529" s="11">
        <v>1516.76</v>
      </c>
      <c r="R1529" s="16">
        <v>882.89</v>
      </c>
      <c r="S1529" s="71"/>
      <c r="T1529" s="10"/>
      <c r="U1529" s="97"/>
      <c r="V1529" s="1"/>
      <c r="X1529" s="101">
        <v>1</v>
      </c>
    </row>
    <row r="1530" spans="2:24" hidden="1">
      <c r="B1530" s="6" t="s">
        <v>3661</v>
      </c>
      <c r="C1530" s="23">
        <v>46226.434027777781</v>
      </c>
      <c r="D1530" s="6" t="s">
        <v>24</v>
      </c>
      <c r="E1530" s="6"/>
      <c r="F1530" s="29">
        <v>46226</v>
      </c>
      <c r="G1530" s="27" t="s">
        <v>3641</v>
      </c>
      <c r="H1530" s="6" t="s">
        <v>51</v>
      </c>
      <c r="I1530" s="6" t="s">
        <v>3662</v>
      </c>
      <c r="J1530" s="192">
        <v>12937147010</v>
      </c>
      <c r="K1530" s="180" t="s">
        <v>3663</v>
      </c>
      <c r="L1530" s="108">
        <v>23019172</v>
      </c>
      <c r="M1530" s="37">
        <v>5214773760957</v>
      </c>
      <c r="N1530" s="169" t="s">
        <v>37</v>
      </c>
      <c r="O1530" s="48">
        <v>5642.22</v>
      </c>
      <c r="P1530" s="95">
        <v>1469</v>
      </c>
      <c r="Q1530" s="8">
        <v>1692.67</v>
      </c>
      <c r="R1530" s="13">
        <v>0.24</v>
      </c>
      <c r="S1530" s="70">
        <v>46357</v>
      </c>
      <c r="T1530" s="6"/>
      <c r="U1530" s="164"/>
      <c r="V1530" s="1"/>
      <c r="X1530" s="101">
        <v>2</v>
      </c>
    </row>
    <row r="1531" spans="2:24" hidden="1">
      <c r="B1531" s="10" t="s">
        <v>3664</v>
      </c>
      <c r="C1531" s="24">
        <v>46226.438194444447</v>
      </c>
      <c r="D1531" s="10" t="s">
        <v>24</v>
      </c>
      <c r="E1531" s="10"/>
      <c r="F1531" s="29">
        <v>46226</v>
      </c>
      <c r="G1531" s="28" t="s">
        <v>3641</v>
      </c>
      <c r="H1531" s="10" t="s">
        <v>1629</v>
      </c>
      <c r="I1531" s="10" t="s">
        <v>3665</v>
      </c>
      <c r="J1531" s="193">
        <v>60917276291</v>
      </c>
      <c r="K1531" s="179" t="s">
        <v>3666</v>
      </c>
      <c r="L1531" s="116">
        <v>2</v>
      </c>
      <c r="M1531" s="36">
        <v>8441975915</v>
      </c>
      <c r="N1531" s="170" t="s">
        <v>32</v>
      </c>
      <c r="O1531" s="49">
        <v>3083.89</v>
      </c>
      <c r="P1531" s="96">
        <v>743</v>
      </c>
      <c r="Q1531" s="11">
        <v>925.17</v>
      </c>
      <c r="R1531" s="12">
        <v>-743</v>
      </c>
      <c r="S1531" s="71"/>
      <c r="T1531" s="10"/>
      <c r="U1531" s="97"/>
      <c r="V1531" s="1"/>
      <c r="X1531" s="101">
        <v>1</v>
      </c>
    </row>
    <row r="1532" spans="2:24" hidden="1">
      <c r="B1532" s="6" t="s">
        <v>3667</v>
      </c>
      <c r="C1532" s="23">
        <v>46226.44027777778</v>
      </c>
      <c r="D1532" s="6" t="s">
        <v>24</v>
      </c>
      <c r="E1532" s="6"/>
      <c r="F1532" s="29">
        <v>46226</v>
      </c>
      <c r="G1532" s="27" t="s">
        <v>3260</v>
      </c>
      <c r="H1532" s="10" t="s">
        <v>78</v>
      </c>
      <c r="I1532" s="6" t="s">
        <v>3668</v>
      </c>
      <c r="J1532" s="192">
        <v>32906476596</v>
      </c>
      <c r="K1532" s="180" t="s">
        <v>3669</v>
      </c>
      <c r="L1532" s="107">
        <v>23005644</v>
      </c>
      <c r="M1532" s="37">
        <v>5218443585167</v>
      </c>
      <c r="N1532" s="169" t="s">
        <v>28</v>
      </c>
      <c r="O1532" s="48">
        <v>10535.19</v>
      </c>
      <c r="P1532" s="95"/>
      <c r="Q1532" s="8">
        <v>3160.56</v>
      </c>
      <c r="R1532" s="9">
        <v>3160.56</v>
      </c>
      <c r="S1532" s="70"/>
      <c r="T1532" s="6"/>
      <c r="U1532" s="164"/>
      <c r="V1532" s="1"/>
      <c r="X1532" s="101">
        <v>1</v>
      </c>
    </row>
    <row r="1533" spans="2:24" hidden="1">
      <c r="B1533" s="10" t="s">
        <v>3670</v>
      </c>
      <c r="C1533" s="24">
        <v>46226.442361111112</v>
      </c>
      <c r="D1533" s="10" t="s">
        <v>24</v>
      </c>
      <c r="E1533" s="10"/>
      <c r="F1533" s="29">
        <v>46226</v>
      </c>
      <c r="G1533" s="28" t="s">
        <v>3641</v>
      </c>
      <c r="H1533" s="10" t="s">
        <v>51</v>
      </c>
      <c r="I1533" s="10" t="s">
        <v>3671</v>
      </c>
      <c r="J1533" s="193">
        <v>67796327053</v>
      </c>
      <c r="K1533" s="181" t="s">
        <v>3672</v>
      </c>
      <c r="L1533" s="108">
        <v>23019742</v>
      </c>
      <c r="M1533" s="36">
        <v>5212712835583</v>
      </c>
      <c r="N1533" s="170" t="s">
        <v>37</v>
      </c>
      <c r="O1533" s="49">
        <v>8784.2900000000009</v>
      </c>
      <c r="P1533" s="96">
        <v>2541.5</v>
      </c>
      <c r="Q1533" s="11">
        <v>2635.29</v>
      </c>
      <c r="R1533" s="12">
        <v>93.79</v>
      </c>
      <c r="S1533" s="71">
        <v>46753</v>
      </c>
      <c r="T1533" s="10"/>
      <c r="U1533" s="97"/>
      <c r="V1533" s="1"/>
      <c r="X1533" s="101">
        <v>2</v>
      </c>
    </row>
    <row r="1534" spans="2:24" hidden="1">
      <c r="B1534" s="6" t="s">
        <v>3673</v>
      </c>
      <c r="C1534" s="23">
        <v>46226.445833333331</v>
      </c>
      <c r="D1534" s="6" t="s">
        <v>24</v>
      </c>
      <c r="E1534" s="6"/>
      <c r="F1534" s="29">
        <v>46226</v>
      </c>
      <c r="G1534" s="27" t="s">
        <v>3641</v>
      </c>
      <c r="H1534" s="6" t="s">
        <v>68</v>
      </c>
      <c r="I1534" s="6" t="s">
        <v>3674</v>
      </c>
      <c r="J1534" s="192">
        <v>89816450012</v>
      </c>
      <c r="K1534" s="180" t="s">
        <v>3675</v>
      </c>
      <c r="L1534" s="108">
        <v>23018728</v>
      </c>
      <c r="M1534" s="37">
        <v>5212281117207</v>
      </c>
      <c r="N1534" s="169" t="s">
        <v>37</v>
      </c>
      <c r="O1534" s="48">
        <v>10636.54</v>
      </c>
      <c r="P1534" s="95">
        <v>3187.33</v>
      </c>
      <c r="Q1534" s="8">
        <v>3190.96</v>
      </c>
      <c r="R1534" s="13">
        <v>3.63</v>
      </c>
      <c r="S1534" s="70">
        <v>46760</v>
      </c>
      <c r="T1534" s="6"/>
      <c r="U1534" s="164"/>
      <c r="V1534" s="1"/>
      <c r="X1534" s="101">
        <v>2</v>
      </c>
    </row>
    <row r="1535" spans="2:24" hidden="1">
      <c r="B1535" s="10" t="s">
        <v>3676</v>
      </c>
      <c r="C1535" s="24">
        <v>46226.447222222225</v>
      </c>
      <c r="D1535" s="10" t="s">
        <v>24</v>
      </c>
      <c r="E1535" s="10"/>
      <c r="F1535" s="29">
        <v>46226</v>
      </c>
      <c r="G1535" s="28" t="s">
        <v>2859</v>
      </c>
      <c r="H1535" s="10" t="s">
        <v>81</v>
      </c>
      <c r="I1535" s="10" t="s">
        <v>3677</v>
      </c>
      <c r="J1535" s="193"/>
      <c r="K1535" s="181" t="s">
        <v>3678</v>
      </c>
      <c r="L1535" s="108">
        <v>22898686</v>
      </c>
      <c r="M1535" s="36">
        <v>5214444300339</v>
      </c>
      <c r="N1535" s="170" t="s">
        <v>28</v>
      </c>
      <c r="O1535" s="49">
        <v>10171.24</v>
      </c>
      <c r="P1535" s="96"/>
      <c r="Q1535" s="11">
        <v>3051.37</v>
      </c>
      <c r="R1535" s="14">
        <v>3051.37</v>
      </c>
      <c r="S1535" s="71"/>
      <c r="T1535" s="10"/>
      <c r="U1535" s="97"/>
      <c r="V1535" s="1"/>
      <c r="X1535" s="101">
        <v>1</v>
      </c>
    </row>
    <row r="1536" spans="2:24" hidden="1">
      <c r="B1536" s="6" t="s">
        <v>3679</v>
      </c>
      <c r="C1536" s="23">
        <v>46226.449305555558</v>
      </c>
      <c r="D1536" s="6" t="s">
        <v>24</v>
      </c>
      <c r="E1536" s="6"/>
      <c r="F1536" s="29">
        <v>46226</v>
      </c>
      <c r="G1536" s="27" t="s">
        <v>3260</v>
      </c>
      <c r="H1536" s="7" t="s">
        <v>3036</v>
      </c>
      <c r="I1536" s="6" t="s">
        <v>3680</v>
      </c>
      <c r="J1536" s="192"/>
      <c r="K1536" s="180" t="s">
        <v>3681</v>
      </c>
      <c r="L1536" s="108">
        <v>23002368</v>
      </c>
      <c r="M1536" s="37">
        <v>5216565292881</v>
      </c>
      <c r="N1536" s="169" t="s">
        <v>37</v>
      </c>
      <c r="O1536" s="48">
        <v>5642.22</v>
      </c>
      <c r="P1536" s="95">
        <v>1416.92</v>
      </c>
      <c r="Q1536" s="8">
        <v>1692.67</v>
      </c>
      <c r="R1536" s="13">
        <v>52.32</v>
      </c>
      <c r="S1536" s="70">
        <v>46394</v>
      </c>
      <c r="T1536" s="6"/>
      <c r="U1536" s="164"/>
      <c r="V1536" s="1"/>
      <c r="X1536" s="101">
        <v>2</v>
      </c>
    </row>
    <row r="1537" spans="2:24" hidden="1">
      <c r="B1537" s="10" t="s">
        <v>3682</v>
      </c>
      <c r="C1537" s="24">
        <v>46226.457638888889</v>
      </c>
      <c r="D1537" s="10" t="s">
        <v>24</v>
      </c>
      <c r="E1537" s="10"/>
      <c r="F1537" s="29">
        <v>46226</v>
      </c>
      <c r="G1537" s="28" t="s">
        <v>3260</v>
      </c>
      <c r="H1537" s="160" t="s">
        <v>3352</v>
      </c>
      <c r="I1537" s="10" t="s">
        <v>3683</v>
      </c>
      <c r="J1537" s="193"/>
      <c r="K1537" s="181" t="s">
        <v>3684</v>
      </c>
      <c r="L1537" s="108">
        <v>22997716</v>
      </c>
      <c r="M1537" s="36">
        <v>9931340868</v>
      </c>
      <c r="N1537" s="170" t="s">
        <v>28</v>
      </c>
      <c r="O1537" s="49">
        <v>11029.03</v>
      </c>
      <c r="P1537" s="96"/>
      <c r="Q1537" s="11">
        <v>3308.71</v>
      </c>
      <c r="R1537" s="14">
        <v>3308.71</v>
      </c>
      <c r="S1537" s="71"/>
      <c r="T1537" s="10"/>
      <c r="U1537" s="97"/>
      <c r="V1537" s="1"/>
      <c r="X1537" s="101">
        <v>1</v>
      </c>
    </row>
    <row r="1538" spans="2:24" hidden="1">
      <c r="B1538" s="6" t="s">
        <v>3685</v>
      </c>
      <c r="C1538" s="23">
        <v>46226.459027777775</v>
      </c>
      <c r="D1538" s="6" t="s">
        <v>24</v>
      </c>
      <c r="E1538" s="6"/>
      <c r="F1538" s="29">
        <v>46226</v>
      </c>
      <c r="G1538" s="27" t="s">
        <v>3641</v>
      </c>
      <c r="H1538" s="10" t="s">
        <v>160</v>
      </c>
      <c r="I1538" s="6" t="s">
        <v>3686</v>
      </c>
      <c r="J1538" s="192">
        <v>4816347373</v>
      </c>
      <c r="K1538" s="180" t="s">
        <v>3687</v>
      </c>
      <c r="L1538" s="107">
        <v>23018708</v>
      </c>
      <c r="M1538" s="37">
        <v>5213318318624</v>
      </c>
      <c r="N1538" s="169" t="s">
        <v>28</v>
      </c>
      <c r="O1538" s="48">
        <v>9081.52</v>
      </c>
      <c r="P1538" s="95">
        <v>848</v>
      </c>
      <c r="Q1538" s="8">
        <v>2724.46</v>
      </c>
      <c r="R1538" s="9">
        <v>1876.46</v>
      </c>
      <c r="S1538" s="70"/>
      <c r="T1538" s="6"/>
      <c r="U1538" s="164"/>
      <c r="V1538" s="1"/>
      <c r="X1538" s="101">
        <v>1</v>
      </c>
    </row>
    <row r="1539" spans="2:24" hidden="1">
      <c r="B1539" s="10" t="s">
        <v>3688</v>
      </c>
      <c r="C1539" s="24">
        <v>46226.46875</v>
      </c>
      <c r="D1539" s="10" t="s">
        <v>24</v>
      </c>
      <c r="E1539" s="10"/>
      <c r="F1539" s="29">
        <v>46226</v>
      </c>
      <c r="G1539" s="28" t="s">
        <v>3260</v>
      </c>
      <c r="H1539" s="10" t="s">
        <v>160</v>
      </c>
      <c r="I1539" s="10" t="s">
        <v>3689</v>
      </c>
      <c r="J1539" s="193">
        <v>33836607599</v>
      </c>
      <c r="K1539" s="181" t="s">
        <v>3690</v>
      </c>
      <c r="L1539" s="108">
        <v>22983356</v>
      </c>
      <c r="M1539" s="36">
        <v>5216392329472</v>
      </c>
      <c r="N1539" s="170" t="s">
        <v>98</v>
      </c>
      <c r="O1539" s="49"/>
      <c r="P1539" s="96"/>
      <c r="Q1539" s="11">
        <v>0</v>
      </c>
      <c r="R1539" s="12">
        <v>0</v>
      </c>
      <c r="S1539" s="71"/>
      <c r="T1539" s="10"/>
      <c r="U1539" s="97"/>
      <c r="V1539" s="1"/>
      <c r="X1539" s="101">
        <v>0</v>
      </c>
    </row>
    <row r="1540" spans="2:24" hidden="1">
      <c r="B1540" s="6" t="s">
        <v>3688</v>
      </c>
      <c r="C1540" s="23">
        <v>46226.46875</v>
      </c>
      <c r="D1540" s="6" t="s">
        <v>24</v>
      </c>
      <c r="E1540" s="6"/>
      <c r="F1540" s="29">
        <v>46226</v>
      </c>
      <c r="G1540" s="27" t="s">
        <v>2859</v>
      </c>
      <c r="H1540" s="160" t="s">
        <v>3007</v>
      </c>
      <c r="I1540" s="6" t="s">
        <v>3691</v>
      </c>
      <c r="J1540" s="192">
        <v>1082640949</v>
      </c>
      <c r="K1540" s="180"/>
      <c r="L1540" s="107">
        <v>22906074</v>
      </c>
      <c r="M1540" s="37">
        <v>4427922039</v>
      </c>
      <c r="N1540" s="169" t="s">
        <v>28</v>
      </c>
      <c r="O1540" s="48">
        <v>9760.32</v>
      </c>
      <c r="P1540" s="95"/>
      <c r="Q1540" s="8">
        <v>2928.1</v>
      </c>
      <c r="R1540" s="9">
        <v>2928.1</v>
      </c>
      <c r="S1540" s="70"/>
      <c r="T1540" s="6"/>
      <c r="U1540" s="164"/>
      <c r="V1540" s="1"/>
      <c r="X1540" s="101">
        <v>1</v>
      </c>
    </row>
    <row r="1541" spans="2:24" hidden="1">
      <c r="B1541" s="10" t="s">
        <v>3692</v>
      </c>
      <c r="C1541" s="24">
        <v>46226.474999999999</v>
      </c>
      <c r="D1541" s="10" t="s">
        <v>24</v>
      </c>
      <c r="E1541" s="10"/>
      <c r="F1541" s="29">
        <v>46226</v>
      </c>
      <c r="G1541" s="28" t="s">
        <v>3260</v>
      </c>
      <c r="H1541" s="15" t="s">
        <v>110</v>
      </c>
      <c r="I1541" s="10" t="s">
        <v>3693</v>
      </c>
      <c r="J1541" s="193">
        <v>60917482261</v>
      </c>
      <c r="K1541" s="181" t="s">
        <v>3694</v>
      </c>
      <c r="L1541" s="108">
        <v>22997352</v>
      </c>
      <c r="M1541" s="36">
        <v>5218442350441</v>
      </c>
      <c r="N1541" s="170" t="s">
        <v>32</v>
      </c>
      <c r="O1541" s="49">
        <v>3908.19</v>
      </c>
      <c r="P1541" s="96">
        <v>879</v>
      </c>
      <c r="Q1541" s="11">
        <v>1172.46</v>
      </c>
      <c r="R1541" s="12">
        <v>-879</v>
      </c>
      <c r="S1541" s="71"/>
      <c r="T1541" s="10"/>
      <c r="U1541" s="97"/>
      <c r="V1541" s="1"/>
      <c r="X1541" s="101">
        <v>1</v>
      </c>
    </row>
    <row r="1542" spans="2:24" hidden="1">
      <c r="B1542" s="6" t="s">
        <v>3695</v>
      </c>
      <c r="C1542" s="23">
        <v>46226.476388888892</v>
      </c>
      <c r="D1542" s="6" t="s">
        <v>24</v>
      </c>
      <c r="E1542" s="6"/>
      <c r="F1542" s="29">
        <v>46226</v>
      </c>
      <c r="G1542" s="27" t="s">
        <v>3641</v>
      </c>
      <c r="H1542" s="6" t="s">
        <v>68</v>
      </c>
      <c r="I1542" s="6" t="s">
        <v>3696</v>
      </c>
      <c r="J1542" s="192">
        <v>75846306365</v>
      </c>
      <c r="K1542" s="180" t="s">
        <v>3697</v>
      </c>
      <c r="L1542" s="108">
        <v>23015906</v>
      </c>
      <c r="M1542" s="37">
        <v>5215550695280</v>
      </c>
      <c r="N1542" s="169" t="s">
        <v>37</v>
      </c>
      <c r="O1542" s="48">
        <v>9081.52</v>
      </c>
      <c r="P1542" s="95">
        <v>2627.5</v>
      </c>
      <c r="Q1542" s="8">
        <v>2724.46</v>
      </c>
      <c r="R1542" s="13">
        <v>96.96</v>
      </c>
      <c r="S1542" s="70">
        <v>46394</v>
      </c>
      <c r="T1542" s="6"/>
      <c r="U1542" s="164"/>
      <c r="V1542" s="1"/>
      <c r="X1542" s="101">
        <v>2</v>
      </c>
    </row>
    <row r="1543" spans="2:24" hidden="1">
      <c r="B1543" s="10" t="s">
        <v>3698</v>
      </c>
      <c r="C1543" s="24">
        <v>46226.479166666664</v>
      </c>
      <c r="D1543" s="10" t="s">
        <v>24</v>
      </c>
      <c r="E1543" s="10"/>
      <c r="F1543" s="29">
        <v>46226</v>
      </c>
      <c r="G1543" s="28" t="s">
        <v>3260</v>
      </c>
      <c r="H1543" s="10" t="s">
        <v>81</v>
      </c>
      <c r="I1543" s="10" t="s">
        <v>3699</v>
      </c>
      <c r="J1543" s="193"/>
      <c r="K1543" s="181" t="s">
        <v>3700</v>
      </c>
      <c r="L1543" s="108">
        <v>23007338</v>
      </c>
      <c r="M1543" s="36">
        <v>5214401240960</v>
      </c>
      <c r="N1543" s="170" t="s">
        <v>47</v>
      </c>
      <c r="O1543" s="49">
        <v>9504.7000000000007</v>
      </c>
      <c r="P1543" s="96">
        <v>2179.89</v>
      </c>
      <c r="Q1543" s="11">
        <v>2851.41</v>
      </c>
      <c r="R1543" s="16">
        <v>671.52</v>
      </c>
      <c r="S1543" s="71">
        <v>46031</v>
      </c>
      <c r="T1543" s="10"/>
      <c r="U1543" s="97"/>
      <c r="V1543" s="1"/>
      <c r="X1543" s="101">
        <v>2</v>
      </c>
    </row>
    <row r="1544" spans="2:24" hidden="1">
      <c r="B1544" s="6" t="s">
        <v>3701</v>
      </c>
      <c r="C1544" s="23">
        <v>46226.481944444444</v>
      </c>
      <c r="D1544" s="6" t="s">
        <v>24</v>
      </c>
      <c r="E1544" s="6"/>
      <c r="F1544" s="29">
        <v>46226</v>
      </c>
      <c r="G1544" s="27" t="s">
        <v>3641</v>
      </c>
      <c r="H1544" s="6" t="s">
        <v>127</v>
      </c>
      <c r="I1544" s="6" t="s">
        <v>3702</v>
      </c>
      <c r="J1544" s="192">
        <v>12806218041</v>
      </c>
      <c r="K1544" s="180" t="s">
        <v>3703</v>
      </c>
      <c r="L1544" s="108">
        <v>23011752</v>
      </c>
      <c r="M1544" s="37">
        <v>5214621573112</v>
      </c>
      <c r="N1544" s="169" t="s">
        <v>37</v>
      </c>
      <c r="O1544" s="48">
        <v>7116.73</v>
      </c>
      <c r="P1544" s="95">
        <v>1974.86</v>
      </c>
      <c r="Q1544" s="8">
        <v>2135.02</v>
      </c>
      <c r="R1544" s="13">
        <v>160.16</v>
      </c>
      <c r="S1544" s="70">
        <v>46357</v>
      </c>
      <c r="T1544" s="6"/>
      <c r="U1544" s="164"/>
      <c r="V1544" s="1"/>
      <c r="X1544" s="101">
        <v>2</v>
      </c>
    </row>
    <row r="1545" spans="2:24" hidden="1">
      <c r="B1545" s="10" t="s">
        <v>3704</v>
      </c>
      <c r="C1545" s="24">
        <v>46226.481944444444</v>
      </c>
      <c r="D1545" s="10" t="s">
        <v>24</v>
      </c>
      <c r="E1545" s="10"/>
      <c r="F1545" s="29">
        <v>46226</v>
      </c>
      <c r="G1545" s="28" t="s">
        <v>3641</v>
      </c>
      <c r="H1545" s="10" t="s">
        <v>127</v>
      </c>
      <c r="I1545" s="10" t="s">
        <v>3705</v>
      </c>
      <c r="J1545" s="193">
        <v>45907003870</v>
      </c>
      <c r="K1545" s="181" t="s">
        <v>3706</v>
      </c>
      <c r="L1545" s="108">
        <v>23014518</v>
      </c>
      <c r="M1545" s="36">
        <v>5215619117378</v>
      </c>
      <c r="N1545" s="170" t="s">
        <v>37</v>
      </c>
      <c r="O1545" s="49">
        <v>9901.5300000000007</v>
      </c>
      <c r="P1545" s="96">
        <v>2967.72</v>
      </c>
      <c r="Q1545" s="11">
        <v>2970.46</v>
      </c>
      <c r="R1545" s="12">
        <v>2.74</v>
      </c>
      <c r="S1545" s="71">
        <v>46390</v>
      </c>
      <c r="T1545" s="10"/>
      <c r="U1545" s="97"/>
      <c r="V1545" s="1"/>
      <c r="X1545" s="101">
        <v>2</v>
      </c>
    </row>
    <row r="1546" spans="2:24" hidden="1">
      <c r="B1546" s="6" t="s">
        <v>3679</v>
      </c>
      <c r="C1546" s="23">
        <v>46226.484722222223</v>
      </c>
      <c r="D1546" s="6" t="s">
        <v>24</v>
      </c>
      <c r="E1546" s="6"/>
      <c r="F1546" s="29">
        <v>46226</v>
      </c>
      <c r="G1546" s="27" t="s">
        <v>3641</v>
      </c>
      <c r="H1546" s="10" t="s">
        <v>39</v>
      </c>
      <c r="I1546" s="6" t="s">
        <v>3707</v>
      </c>
      <c r="J1546" s="192">
        <v>65816500899</v>
      </c>
      <c r="K1546" s="180" t="s">
        <v>3708</v>
      </c>
      <c r="L1546" s="107">
        <v>23020172</v>
      </c>
      <c r="M1546" s="37">
        <v>5212291771020</v>
      </c>
      <c r="N1546" s="169" t="s">
        <v>47</v>
      </c>
      <c r="O1546" s="48">
        <v>40027.949999999997</v>
      </c>
      <c r="P1546" s="95">
        <v>11496.24</v>
      </c>
      <c r="Q1546" s="8">
        <v>12008.39</v>
      </c>
      <c r="R1546" s="22">
        <v>512.14</v>
      </c>
      <c r="S1546" s="70">
        <v>46398</v>
      </c>
      <c r="T1546" s="6"/>
      <c r="U1546" s="164"/>
      <c r="V1546" s="1"/>
      <c r="X1546" s="101">
        <v>2</v>
      </c>
    </row>
    <row r="1547" spans="2:24" hidden="1">
      <c r="B1547" s="10" t="s">
        <v>3709</v>
      </c>
      <c r="C1547" s="24">
        <v>46226.48541666667</v>
      </c>
      <c r="D1547" s="10" t="s">
        <v>24</v>
      </c>
      <c r="E1547" s="10"/>
      <c r="F1547" s="29">
        <v>46226</v>
      </c>
      <c r="G1547" s="28" t="s">
        <v>3641</v>
      </c>
      <c r="H1547" s="10" t="s">
        <v>81</v>
      </c>
      <c r="I1547" s="10" t="s">
        <v>3710</v>
      </c>
      <c r="J1547" s="193"/>
      <c r="K1547" s="181" t="s">
        <v>3711</v>
      </c>
      <c r="L1547" s="108">
        <v>23021304</v>
      </c>
      <c r="M1547" s="36">
        <v>5214444523383</v>
      </c>
      <c r="N1547" s="170" t="s">
        <v>37</v>
      </c>
      <c r="O1547" s="49">
        <v>14678.06</v>
      </c>
      <c r="P1547" s="96">
        <v>4401.07</v>
      </c>
      <c r="Q1547" s="11">
        <v>4403.42</v>
      </c>
      <c r="R1547" s="12">
        <v>2.35</v>
      </c>
      <c r="S1547" s="71">
        <v>46757</v>
      </c>
      <c r="T1547" s="10"/>
      <c r="U1547" s="97"/>
      <c r="V1547" s="1"/>
      <c r="X1547" s="101">
        <v>2</v>
      </c>
    </row>
    <row r="1548" spans="2:24" hidden="1">
      <c r="B1548" s="6" t="s">
        <v>3712</v>
      </c>
      <c r="C1548" s="23">
        <v>46226.487500000003</v>
      </c>
      <c r="D1548" s="6" t="s">
        <v>24</v>
      </c>
      <c r="E1548" s="6"/>
      <c r="F1548" s="29">
        <v>46226</v>
      </c>
      <c r="G1548" s="27" t="s">
        <v>3641</v>
      </c>
      <c r="H1548" s="7" t="s">
        <v>3452</v>
      </c>
      <c r="I1548" s="6" t="s">
        <v>3713</v>
      </c>
      <c r="J1548" s="192">
        <v>6654910352</v>
      </c>
      <c r="K1548" s="180" t="s">
        <v>3714</v>
      </c>
      <c r="L1548" s="108">
        <v>23024568</v>
      </c>
      <c r="M1548" s="37">
        <v>8110695565</v>
      </c>
      <c r="N1548" s="169" t="s">
        <v>37</v>
      </c>
      <c r="O1548" s="48">
        <v>8173.37</v>
      </c>
      <c r="P1548" s="95">
        <v>2269.2199999999998</v>
      </c>
      <c r="Q1548" s="8">
        <v>2452.0100000000002</v>
      </c>
      <c r="R1548" s="13">
        <v>182.79</v>
      </c>
      <c r="S1548" s="70">
        <v>46327</v>
      </c>
      <c r="T1548" s="6"/>
      <c r="U1548" s="164"/>
      <c r="V1548" s="1"/>
      <c r="X1548" s="101">
        <v>2</v>
      </c>
    </row>
    <row r="1549" spans="2:24" hidden="1">
      <c r="B1549" s="10" t="s">
        <v>3715</v>
      </c>
      <c r="C1549" s="24">
        <v>46226.488888888889</v>
      </c>
      <c r="D1549" s="10" t="s">
        <v>24</v>
      </c>
      <c r="E1549" s="10"/>
      <c r="F1549" s="29">
        <v>46226</v>
      </c>
      <c r="G1549" s="28" t="s">
        <v>3260</v>
      </c>
      <c r="H1549" s="10" t="s">
        <v>81</v>
      </c>
      <c r="I1549" s="10" t="s">
        <v>3716</v>
      </c>
      <c r="J1549" s="195">
        <v>67937683323</v>
      </c>
      <c r="K1549" s="181"/>
      <c r="L1549" s="108">
        <v>23005344</v>
      </c>
      <c r="M1549" s="36">
        <v>5219841316581</v>
      </c>
      <c r="N1549" s="170" t="s">
        <v>263</v>
      </c>
      <c r="O1549" s="49">
        <v>5997.91</v>
      </c>
      <c r="P1549" s="96">
        <v>1467.46</v>
      </c>
      <c r="Q1549" s="11">
        <v>1799.37</v>
      </c>
      <c r="R1549" s="16">
        <v>331.91</v>
      </c>
      <c r="S1549" s="71">
        <v>45296</v>
      </c>
      <c r="T1549" s="10"/>
      <c r="U1549" s="97"/>
      <c r="V1549" s="1"/>
      <c r="X1549" s="101">
        <v>2</v>
      </c>
    </row>
    <row r="1550" spans="2:24" hidden="1">
      <c r="B1550" s="6" t="s">
        <v>3717</v>
      </c>
      <c r="C1550" s="23">
        <v>46226.491666666669</v>
      </c>
      <c r="D1550" s="6" t="s">
        <v>24</v>
      </c>
      <c r="E1550" s="6"/>
      <c r="F1550" s="29">
        <v>46226</v>
      </c>
      <c r="G1550" s="27" t="s">
        <v>3641</v>
      </c>
      <c r="H1550" s="7" t="s">
        <v>3575</v>
      </c>
      <c r="I1550" s="6" t="s">
        <v>3718</v>
      </c>
      <c r="J1550" s="196"/>
      <c r="K1550" s="180" t="s">
        <v>3719</v>
      </c>
      <c r="L1550" s="108">
        <v>23024542</v>
      </c>
      <c r="M1550" s="37">
        <v>5219161111559</v>
      </c>
      <c r="N1550" s="169" t="s">
        <v>37</v>
      </c>
      <c r="O1550" s="48">
        <v>9760.32</v>
      </c>
      <c r="P1550" s="95">
        <v>2927.92</v>
      </c>
      <c r="Q1550" s="8">
        <v>2928.1</v>
      </c>
      <c r="R1550" s="13">
        <v>0.18</v>
      </c>
      <c r="S1550" s="70">
        <v>46396</v>
      </c>
      <c r="T1550" s="6"/>
      <c r="U1550" s="164"/>
      <c r="V1550" s="1"/>
      <c r="X1550" s="101">
        <v>2</v>
      </c>
    </row>
    <row r="1551" spans="2:24" hidden="1">
      <c r="B1551" s="10" t="s">
        <v>3720</v>
      </c>
      <c r="C1551" s="24">
        <v>46226.492361111108</v>
      </c>
      <c r="D1551" s="10" t="s">
        <v>24</v>
      </c>
      <c r="E1551" s="10"/>
      <c r="F1551" s="29">
        <v>46226</v>
      </c>
      <c r="G1551" s="28" t="s">
        <v>3641</v>
      </c>
      <c r="H1551" s="10" t="s">
        <v>1519</v>
      </c>
      <c r="I1551" s="10" t="s">
        <v>3721</v>
      </c>
      <c r="J1551" s="195">
        <v>1274590069</v>
      </c>
      <c r="K1551" s="181" t="s">
        <v>3722</v>
      </c>
      <c r="L1551" s="108">
        <v>23019980</v>
      </c>
      <c r="M1551" s="36">
        <v>5214775691295</v>
      </c>
      <c r="N1551" s="170" t="s">
        <v>37</v>
      </c>
      <c r="O1551" s="49">
        <v>5617.63</v>
      </c>
      <c r="P1551" s="96">
        <v>1313.41</v>
      </c>
      <c r="Q1551" s="11">
        <v>1685.29</v>
      </c>
      <c r="R1551" s="12">
        <v>131.24</v>
      </c>
      <c r="S1551" s="71">
        <v>46235</v>
      </c>
      <c r="T1551" s="10"/>
      <c r="U1551" s="97"/>
      <c r="V1551" s="1"/>
      <c r="X1551" s="101">
        <v>2</v>
      </c>
    </row>
    <row r="1552" spans="2:24" hidden="1">
      <c r="B1552" s="6" t="s">
        <v>3723</v>
      </c>
      <c r="C1552" s="23">
        <v>46226.492361111108</v>
      </c>
      <c r="D1552" s="6" t="s">
        <v>24</v>
      </c>
      <c r="E1552" s="6"/>
      <c r="F1552" s="29">
        <v>46226</v>
      </c>
      <c r="G1552" s="27" t="s">
        <v>3641</v>
      </c>
      <c r="H1552" s="6" t="s">
        <v>127</v>
      </c>
      <c r="I1552" s="6" t="s">
        <v>3724</v>
      </c>
      <c r="J1552" s="196">
        <v>24776111470</v>
      </c>
      <c r="K1552" s="180" t="s">
        <v>3725</v>
      </c>
      <c r="L1552" s="108">
        <v>23020688</v>
      </c>
      <c r="M1552" s="37">
        <v>5216411027005</v>
      </c>
      <c r="N1552" s="169" t="s">
        <v>37</v>
      </c>
      <c r="O1552" s="48">
        <v>9194.85</v>
      </c>
      <c r="P1552" s="95">
        <v>2659.48</v>
      </c>
      <c r="Q1552" s="8">
        <v>2758.46</v>
      </c>
      <c r="R1552" s="13">
        <v>98.97</v>
      </c>
      <c r="S1552" s="70">
        <v>46395</v>
      </c>
      <c r="T1552" s="6"/>
      <c r="U1552" s="164"/>
      <c r="V1552" s="1"/>
      <c r="X1552" s="101">
        <v>2</v>
      </c>
    </row>
    <row r="1553" spans="2:24" hidden="1">
      <c r="B1553" s="10" t="s">
        <v>3726</v>
      </c>
      <c r="C1553" s="24">
        <v>46226.493750000001</v>
      </c>
      <c r="D1553" s="10" t="s">
        <v>24</v>
      </c>
      <c r="E1553" s="10"/>
      <c r="F1553" s="29">
        <v>46226</v>
      </c>
      <c r="G1553" s="28" t="s">
        <v>3641</v>
      </c>
      <c r="H1553" s="160" t="s">
        <v>3007</v>
      </c>
      <c r="I1553" s="10" t="s">
        <v>3727</v>
      </c>
      <c r="J1553" s="195">
        <v>53916314643</v>
      </c>
      <c r="K1553" s="181"/>
      <c r="L1553" s="108">
        <v>23025066</v>
      </c>
      <c r="M1553" s="36">
        <v>4251063191</v>
      </c>
      <c r="N1553" s="170" t="s">
        <v>28</v>
      </c>
      <c r="O1553" s="49">
        <v>19749.240000000002</v>
      </c>
      <c r="P1553" s="96"/>
      <c r="Q1553" s="11">
        <v>5924.77</v>
      </c>
      <c r="R1553" s="14">
        <v>5924.77</v>
      </c>
      <c r="S1553" s="71"/>
      <c r="T1553" s="10"/>
      <c r="U1553" s="97"/>
      <c r="V1553" s="1"/>
      <c r="X1553" s="101">
        <v>1</v>
      </c>
    </row>
    <row r="1554" spans="2:24" hidden="1">
      <c r="B1554" s="6" t="s">
        <v>3728</v>
      </c>
      <c r="C1554" s="23">
        <v>46226.510416666664</v>
      </c>
      <c r="D1554" s="6" t="s">
        <v>24</v>
      </c>
      <c r="E1554" s="6"/>
      <c r="F1554" s="29">
        <v>46226</v>
      </c>
      <c r="G1554" s="27" t="s">
        <v>3641</v>
      </c>
      <c r="H1554" s="6" t="s">
        <v>1625</v>
      </c>
      <c r="I1554" s="6" t="s">
        <v>3729</v>
      </c>
      <c r="J1554" s="196">
        <v>32806102862</v>
      </c>
      <c r="K1554" s="180" t="s">
        <v>3730</v>
      </c>
      <c r="L1554" s="108">
        <v>2</v>
      </c>
      <c r="M1554" s="37" t="s">
        <v>3731</v>
      </c>
      <c r="N1554" s="169" t="s">
        <v>37</v>
      </c>
      <c r="O1554" s="48">
        <v>25114.05</v>
      </c>
      <c r="P1554" s="95">
        <v>7534.21</v>
      </c>
      <c r="Q1554" s="8">
        <v>7534.22</v>
      </c>
      <c r="R1554" s="13">
        <v>0</v>
      </c>
      <c r="S1554" s="70">
        <v>46389</v>
      </c>
      <c r="T1554" s="6"/>
      <c r="U1554" s="164"/>
      <c r="V1554" s="1"/>
      <c r="X1554" s="101">
        <v>2</v>
      </c>
    </row>
    <row r="1555" spans="2:24" hidden="1">
      <c r="B1555" s="10" t="s">
        <v>3732</v>
      </c>
      <c r="C1555" s="24">
        <v>46226.517361111109</v>
      </c>
      <c r="D1555" s="10" t="s">
        <v>24</v>
      </c>
      <c r="E1555" s="10"/>
      <c r="F1555" s="29">
        <v>46226</v>
      </c>
      <c r="G1555" s="28" t="s">
        <v>2528</v>
      </c>
      <c r="H1555" s="161" t="s">
        <v>71</v>
      </c>
      <c r="I1555" s="10" t="s">
        <v>3733</v>
      </c>
      <c r="J1555" s="195"/>
      <c r="K1555" s="181" t="s">
        <v>3734</v>
      </c>
      <c r="L1555" s="108">
        <v>22838506</v>
      </c>
      <c r="M1555" s="36">
        <v>5219181510771</v>
      </c>
      <c r="N1555" s="170" t="s">
        <v>263</v>
      </c>
      <c r="O1555" s="49">
        <v>17430.04</v>
      </c>
      <c r="P1555" s="96">
        <v>5228.3900000000003</v>
      </c>
      <c r="Q1555" s="11">
        <v>5229.01</v>
      </c>
      <c r="R1555" s="12">
        <v>0.62</v>
      </c>
      <c r="S1555" s="71">
        <v>45663</v>
      </c>
      <c r="T1555" s="10" t="s">
        <v>178</v>
      </c>
      <c r="U1555" s="97"/>
      <c r="V1555" s="1"/>
      <c r="X1555" s="101">
        <v>2</v>
      </c>
    </row>
    <row r="1556" spans="2:24" hidden="1">
      <c r="B1556" s="6" t="s">
        <v>3735</v>
      </c>
      <c r="C1556" s="23">
        <v>46226.522916666669</v>
      </c>
      <c r="D1556" s="6" t="s">
        <v>24</v>
      </c>
      <c r="E1556" s="6"/>
      <c r="F1556" s="29">
        <v>46226</v>
      </c>
      <c r="G1556" s="27" t="s">
        <v>2859</v>
      </c>
      <c r="H1556" s="160" t="s">
        <v>3036</v>
      </c>
      <c r="I1556" s="6" t="s">
        <v>3736</v>
      </c>
      <c r="J1556" s="196"/>
      <c r="K1556" s="180" t="s">
        <v>3737</v>
      </c>
      <c r="L1556" s="107">
        <v>22908120</v>
      </c>
      <c r="M1556" s="37">
        <v>5215534471924</v>
      </c>
      <c r="N1556" s="169" t="s">
        <v>28</v>
      </c>
      <c r="O1556" s="48">
        <v>25169.200000000001</v>
      </c>
      <c r="P1556" s="95">
        <v>420.67</v>
      </c>
      <c r="Q1556" s="8">
        <v>7550.76</v>
      </c>
      <c r="R1556" s="9">
        <v>7130.09</v>
      </c>
      <c r="S1556" s="70">
        <v>45303</v>
      </c>
      <c r="T1556" s="6"/>
      <c r="U1556" s="164"/>
      <c r="V1556" s="1"/>
      <c r="X1556" s="101">
        <v>2</v>
      </c>
    </row>
    <row r="1557" spans="2:24" hidden="1">
      <c r="B1557" s="10" t="s">
        <v>3738</v>
      </c>
      <c r="C1557" s="24">
        <v>46226.524305555555</v>
      </c>
      <c r="D1557" s="10" t="s">
        <v>24</v>
      </c>
      <c r="E1557" s="10"/>
      <c r="F1557" s="29">
        <v>46226</v>
      </c>
      <c r="G1557" s="28" t="s">
        <v>3641</v>
      </c>
      <c r="H1557" s="15" t="s">
        <v>3022</v>
      </c>
      <c r="I1557" s="10" t="s">
        <v>3739</v>
      </c>
      <c r="J1557" s="195"/>
      <c r="K1557" s="181" t="s">
        <v>3740</v>
      </c>
      <c r="L1557" s="108">
        <v>23000648</v>
      </c>
      <c r="M1557" s="36">
        <v>3512191642</v>
      </c>
      <c r="N1557" s="170" t="s">
        <v>37</v>
      </c>
      <c r="O1557" s="49">
        <v>7920.51</v>
      </c>
      <c r="P1557" s="96">
        <v>2291.56</v>
      </c>
      <c r="Q1557" s="11">
        <v>2376.15</v>
      </c>
      <c r="R1557" s="12">
        <v>84.59</v>
      </c>
      <c r="S1557" s="71">
        <v>46754</v>
      </c>
      <c r="T1557" s="10"/>
      <c r="U1557" s="97"/>
      <c r="V1557" s="1"/>
      <c r="X1557" s="101">
        <v>2</v>
      </c>
    </row>
    <row r="1558" spans="2:24" hidden="1">
      <c r="B1558" s="6" t="s">
        <v>3741</v>
      </c>
      <c r="C1558" s="23">
        <v>46226.524305555555</v>
      </c>
      <c r="D1558" s="6" t="s">
        <v>24</v>
      </c>
      <c r="E1558" s="6"/>
      <c r="F1558" s="29">
        <v>46226</v>
      </c>
      <c r="G1558" s="27" t="s">
        <v>3641</v>
      </c>
      <c r="H1558" s="6" t="s">
        <v>1625</v>
      </c>
      <c r="I1558" s="6" t="s">
        <v>3742</v>
      </c>
      <c r="J1558" s="206">
        <v>1846627360</v>
      </c>
      <c r="K1558" s="183" t="s">
        <v>3743</v>
      </c>
      <c r="L1558" s="108">
        <v>2</v>
      </c>
      <c r="M1558" s="37" t="s">
        <v>3744</v>
      </c>
      <c r="N1558" s="169" t="s">
        <v>37</v>
      </c>
      <c r="O1558" s="48">
        <v>29197.89</v>
      </c>
      <c r="P1558" s="95">
        <v>8746.9699999999993</v>
      </c>
      <c r="Q1558" s="8">
        <v>8759.3700000000008</v>
      </c>
      <c r="R1558" s="13">
        <v>12.4</v>
      </c>
      <c r="S1558" s="70">
        <v>46397</v>
      </c>
      <c r="T1558" s="6"/>
      <c r="U1558" s="164"/>
      <c r="V1558" s="1"/>
      <c r="X1558" s="101">
        <v>2</v>
      </c>
    </row>
    <row r="1559" spans="2:24" hidden="1">
      <c r="B1559" s="10" t="s">
        <v>3745</v>
      </c>
      <c r="C1559" s="24">
        <v>46226.525694444441</v>
      </c>
      <c r="D1559" s="10" t="s">
        <v>24</v>
      </c>
      <c r="E1559" s="10"/>
      <c r="F1559" s="29">
        <v>46226</v>
      </c>
      <c r="G1559" s="28" t="s">
        <v>3641</v>
      </c>
      <c r="H1559" s="10" t="s">
        <v>39</v>
      </c>
      <c r="I1559" s="10" t="s">
        <v>3746</v>
      </c>
      <c r="J1559" s="195">
        <v>55827000070</v>
      </c>
      <c r="K1559" s="181" t="s">
        <v>3747</v>
      </c>
      <c r="L1559" s="108">
        <v>23003824</v>
      </c>
      <c r="M1559" s="36">
        <v>5216647259076</v>
      </c>
      <c r="N1559" s="170" t="s">
        <v>32</v>
      </c>
      <c r="O1559" s="49">
        <v>1817.88</v>
      </c>
      <c r="P1559" s="96">
        <v>438</v>
      </c>
      <c r="Q1559" s="11">
        <v>545.36</v>
      </c>
      <c r="R1559" s="12">
        <v>-438</v>
      </c>
      <c r="S1559" s="71"/>
      <c r="T1559" s="10"/>
      <c r="U1559" s="97"/>
      <c r="V1559" s="1"/>
      <c r="X1559" s="101">
        <v>1</v>
      </c>
    </row>
    <row r="1560" spans="2:24" hidden="1">
      <c r="B1560" s="6" t="s">
        <v>3748</v>
      </c>
      <c r="C1560" s="23">
        <v>46226.525694444441</v>
      </c>
      <c r="D1560" s="6" t="s">
        <v>24</v>
      </c>
      <c r="E1560" s="6"/>
      <c r="F1560" s="29">
        <v>46226</v>
      </c>
      <c r="G1560" s="27" t="s">
        <v>3641</v>
      </c>
      <c r="H1560" s="6" t="s">
        <v>1519</v>
      </c>
      <c r="I1560" s="6" t="s">
        <v>3749</v>
      </c>
      <c r="J1560" s="196">
        <v>1856406135</v>
      </c>
      <c r="K1560" s="180" t="s">
        <v>3750</v>
      </c>
      <c r="L1560" s="108">
        <v>23024532</v>
      </c>
      <c r="M1560" s="37">
        <v>5215620101769</v>
      </c>
      <c r="N1560" s="169" t="s">
        <v>37</v>
      </c>
      <c r="O1560" s="48">
        <v>10171.24</v>
      </c>
      <c r="P1560" s="95">
        <v>3036.8</v>
      </c>
      <c r="Q1560" s="8">
        <v>3051.37</v>
      </c>
      <c r="R1560" s="13">
        <v>14.57</v>
      </c>
      <c r="S1560" s="70">
        <v>46755</v>
      </c>
      <c r="T1560" s="6" t="s">
        <v>259</v>
      </c>
      <c r="U1560" s="164"/>
      <c r="V1560" s="1"/>
      <c r="X1560" s="101">
        <v>2</v>
      </c>
    </row>
    <row r="1561" spans="2:24" hidden="1">
      <c r="B1561" s="10" t="s">
        <v>3751</v>
      </c>
      <c r="C1561" s="24">
        <v>46226.526388888888</v>
      </c>
      <c r="D1561" s="10" t="s">
        <v>24</v>
      </c>
      <c r="E1561" s="10"/>
      <c r="F1561" s="29">
        <v>46226</v>
      </c>
      <c r="G1561" s="28" t="s">
        <v>3641</v>
      </c>
      <c r="H1561" s="10" t="s">
        <v>160</v>
      </c>
      <c r="I1561" s="10" t="s">
        <v>3752</v>
      </c>
      <c r="J1561" s="195">
        <v>62795706795</v>
      </c>
      <c r="K1561" s="181" t="s">
        <v>3753</v>
      </c>
      <c r="L1561" s="108">
        <v>23024346</v>
      </c>
      <c r="M1561" s="36">
        <v>5212381674652</v>
      </c>
      <c r="N1561" s="170" t="s">
        <v>37</v>
      </c>
      <c r="O1561" s="49">
        <v>5636.59</v>
      </c>
      <c r="P1561" s="96">
        <v>1690</v>
      </c>
      <c r="Q1561" s="11">
        <v>1690.98</v>
      </c>
      <c r="R1561" s="12">
        <v>-226.39</v>
      </c>
      <c r="S1561" s="71">
        <v>46756</v>
      </c>
      <c r="T1561" s="10"/>
      <c r="U1561" s="97"/>
      <c r="V1561" s="1"/>
      <c r="X1561" s="101">
        <v>2</v>
      </c>
    </row>
    <row r="1562" spans="2:24" hidden="1">
      <c r="B1562" s="6" t="s">
        <v>3754</v>
      </c>
      <c r="C1562" s="23">
        <v>46226.527083333334</v>
      </c>
      <c r="D1562" s="6" t="s">
        <v>24</v>
      </c>
      <c r="E1562" s="6"/>
      <c r="F1562" s="29">
        <v>46226</v>
      </c>
      <c r="G1562" s="27" t="s">
        <v>2859</v>
      </c>
      <c r="H1562" s="6" t="s">
        <v>51</v>
      </c>
      <c r="I1562" s="6" t="s">
        <v>3755</v>
      </c>
      <c r="J1562" s="196">
        <v>33765815668</v>
      </c>
      <c r="K1562" s="180" t="s">
        <v>3756</v>
      </c>
      <c r="L1562" s="107">
        <v>22916420</v>
      </c>
      <c r="M1562" s="37">
        <v>5216271119343</v>
      </c>
      <c r="N1562" s="169" t="s">
        <v>32</v>
      </c>
      <c r="O1562" s="48">
        <v>3469.89</v>
      </c>
      <c r="P1562" s="95"/>
      <c r="Q1562" s="8">
        <v>1040.97</v>
      </c>
      <c r="R1562" s="13">
        <v>0</v>
      </c>
      <c r="S1562" s="70"/>
      <c r="T1562" s="6"/>
      <c r="U1562" s="164"/>
      <c r="V1562" s="1"/>
      <c r="X1562" s="101">
        <v>1</v>
      </c>
    </row>
    <row r="1563" spans="2:24" hidden="1">
      <c r="B1563" s="10" t="s">
        <v>3757</v>
      </c>
      <c r="C1563" s="24">
        <v>46226.527083333334</v>
      </c>
      <c r="D1563" s="10" t="s">
        <v>24</v>
      </c>
      <c r="E1563" s="10"/>
      <c r="F1563" s="29">
        <v>46226</v>
      </c>
      <c r="G1563" s="28" t="s">
        <v>3641</v>
      </c>
      <c r="H1563" s="160" t="s">
        <v>3575</v>
      </c>
      <c r="I1563" s="10" t="s">
        <v>3758</v>
      </c>
      <c r="J1563" s="195"/>
      <c r="K1563" s="181" t="s">
        <v>3759</v>
      </c>
      <c r="L1563" s="108">
        <v>23026084</v>
      </c>
      <c r="M1563" s="36">
        <v>5218621024147</v>
      </c>
      <c r="N1563" s="170" t="s">
        <v>130</v>
      </c>
      <c r="O1563" s="49">
        <v>4813.6899999999996</v>
      </c>
      <c r="P1563" s="96">
        <v>562.86</v>
      </c>
      <c r="Q1563" s="11">
        <v>1444.11</v>
      </c>
      <c r="R1563" s="12">
        <v>77.849999999999994</v>
      </c>
      <c r="S1563" s="71">
        <v>45660</v>
      </c>
      <c r="T1563" s="10"/>
      <c r="U1563" s="97"/>
      <c r="V1563" s="1"/>
      <c r="X1563" s="101">
        <v>2</v>
      </c>
    </row>
    <row r="1564" spans="2:24" hidden="1">
      <c r="B1564" s="6" t="s">
        <v>3732</v>
      </c>
      <c r="C1564" s="23">
        <v>46226.527083333334</v>
      </c>
      <c r="D1564" s="6" t="s">
        <v>24</v>
      </c>
      <c r="E1564" s="6"/>
      <c r="F1564" s="29">
        <v>46226</v>
      </c>
      <c r="G1564" s="27" t="s">
        <v>2604</v>
      </c>
      <c r="H1564" s="6" t="s">
        <v>160</v>
      </c>
      <c r="I1564" s="6" t="s">
        <v>3760</v>
      </c>
      <c r="J1564" s="196">
        <v>32826118633</v>
      </c>
      <c r="K1564" s="180" t="s">
        <v>3761</v>
      </c>
      <c r="L1564" s="108">
        <v>22872844</v>
      </c>
      <c r="M1564" s="37">
        <v>5218771639240</v>
      </c>
      <c r="N1564" s="169" t="s">
        <v>37</v>
      </c>
      <c r="O1564" s="48">
        <v>9081.52</v>
      </c>
      <c r="P1564" s="95">
        <v>2518.6</v>
      </c>
      <c r="Q1564" s="8">
        <v>2724.46</v>
      </c>
      <c r="R1564" s="13">
        <v>205.86</v>
      </c>
      <c r="S1564" s="70">
        <v>46389</v>
      </c>
      <c r="T1564" s="6"/>
      <c r="U1564" s="164"/>
      <c r="V1564" s="1"/>
      <c r="X1564" s="101">
        <v>2</v>
      </c>
    </row>
    <row r="1565" spans="2:24" hidden="1">
      <c r="B1565" s="10" t="s">
        <v>3762</v>
      </c>
      <c r="C1565" s="24">
        <v>46226.527777777781</v>
      </c>
      <c r="D1565" s="10" t="s">
        <v>24</v>
      </c>
      <c r="E1565" s="10"/>
      <c r="F1565" s="29">
        <v>46226</v>
      </c>
      <c r="G1565" s="28" t="s">
        <v>3260</v>
      </c>
      <c r="H1565" s="10" t="s">
        <v>78</v>
      </c>
      <c r="I1565" s="10" t="s">
        <v>3763</v>
      </c>
      <c r="J1565" s="195">
        <v>10866650139</v>
      </c>
      <c r="K1565" s="181" t="s">
        <v>3764</v>
      </c>
      <c r="L1565" s="108">
        <v>22984874</v>
      </c>
      <c r="M1565" s="36">
        <v>5215548273137</v>
      </c>
      <c r="N1565" s="170" t="s">
        <v>37</v>
      </c>
      <c r="O1565" s="49">
        <v>9760.32</v>
      </c>
      <c r="P1565" s="96">
        <v>2823.89</v>
      </c>
      <c r="Q1565" s="11">
        <v>2928.1</v>
      </c>
      <c r="R1565" s="12">
        <v>104.21</v>
      </c>
      <c r="S1565" s="71">
        <v>46395</v>
      </c>
      <c r="T1565" s="10"/>
      <c r="U1565" s="97"/>
      <c r="V1565" s="1"/>
      <c r="X1565" s="101">
        <v>2</v>
      </c>
    </row>
    <row r="1566" spans="2:24" hidden="1">
      <c r="B1566" s="6" t="s">
        <v>3765</v>
      </c>
      <c r="C1566" s="23">
        <v>46226.52847222222</v>
      </c>
      <c r="D1566" s="6" t="s">
        <v>24</v>
      </c>
      <c r="E1566" s="6"/>
      <c r="F1566" s="29">
        <v>46226</v>
      </c>
      <c r="G1566" s="27" t="s">
        <v>3641</v>
      </c>
      <c r="H1566" s="6" t="s">
        <v>39</v>
      </c>
      <c r="I1566" s="6" t="s">
        <v>3766</v>
      </c>
      <c r="J1566" s="196">
        <v>6583606578</v>
      </c>
      <c r="K1566" s="180" t="s">
        <v>3767</v>
      </c>
      <c r="L1566" s="108">
        <v>23025390</v>
      </c>
      <c r="M1566" s="37">
        <v>5212288303274</v>
      </c>
      <c r="N1566" s="169" t="s">
        <v>37</v>
      </c>
      <c r="O1566" s="48">
        <v>5776.61</v>
      </c>
      <c r="P1566" s="95">
        <v>1544.1</v>
      </c>
      <c r="Q1566" s="8">
        <v>1732.98</v>
      </c>
      <c r="R1566" s="13">
        <v>59.53</v>
      </c>
      <c r="S1566" s="70">
        <v>46235</v>
      </c>
      <c r="T1566" s="6"/>
      <c r="U1566" s="164"/>
      <c r="V1566" s="1"/>
      <c r="X1566" s="101">
        <v>2</v>
      </c>
    </row>
    <row r="1567" spans="2:24" hidden="1">
      <c r="B1567" s="10" t="s">
        <v>3768</v>
      </c>
      <c r="C1567" s="24">
        <v>46226.529166666667</v>
      </c>
      <c r="D1567" s="10" t="s">
        <v>24</v>
      </c>
      <c r="E1567" s="10"/>
      <c r="F1567" s="29">
        <v>46226</v>
      </c>
      <c r="G1567" s="28" t="s">
        <v>3641</v>
      </c>
      <c r="H1567" s="10" t="s">
        <v>68</v>
      </c>
      <c r="I1567" s="10" t="s">
        <v>3769</v>
      </c>
      <c r="J1567" s="195">
        <v>12796215023</v>
      </c>
      <c r="K1567" s="181" t="s">
        <v>3770</v>
      </c>
      <c r="L1567" s="108">
        <v>23024702</v>
      </c>
      <c r="M1567" s="36">
        <v>5219631566463</v>
      </c>
      <c r="N1567" s="170" t="s">
        <v>28</v>
      </c>
      <c r="O1567" s="49">
        <v>7913.78</v>
      </c>
      <c r="P1567" s="96"/>
      <c r="Q1567" s="11">
        <v>2374.13</v>
      </c>
      <c r="R1567" s="14">
        <v>2374.13</v>
      </c>
      <c r="S1567" s="71"/>
      <c r="T1567" s="10"/>
      <c r="U1567" s="97"/>
      <c r="V1567" s="1"/>
      <c r="X1567" s="101">
        <v>1</v>
      </c>
    </row>
    <row r="1568" spans="2:24" hidden="1">
      <c r="B1568" s="6" t="s">
        <v>3771</v>
      </c>
      <c r="C1568" s="23">
        <v>46226.537499999999</v>
      </c>
      <c r="D1568" s="6" t="s">
        <v>24</v>
      </c>
      <c r="E1568" s="6"/>
      <c r="F1568" s="29">
        <v>46226</v>
      </c>
      <c r="G1568" s="27" t="s">
        <v>3641</v>
      </c>
      <c r="H1568" s="18" t="s">
        <v>71</v>
      </c>
      <c r="I1568" s="6" t="s">
        <v>3772</v>
      </c>
      <c r="J1568" s="196">
        <v>84915500866</v>
      </c>
      <c r="K1568" s="180"/>
      <c r="L1568" s="108">
        <v>23026604</v>
      </c>
      <c r="M1568" s="37">
        <v>5219993839258</v>
      </c>
      <c r="N1568" s="169" t="s">
        <v>37</v>
      </c>
      <c r="O1568" s="48">
        <v>7376.66</v>
      </c>
      <c r="P1568" s="95">
        <v>2048</v>
      </c>
      <c r="Q1568" s="8">
        <v>2213</v>
      </c>
      <c r="R1568" s="13">
        <v>165</v>
      </c>
      <c r="S1568" s="70">
        <v>46296</v>
      </c>
      <c r="T1568" s="6"/>
      <c r="U1568" s="164"/>
      <c r="V1568" s="1"/>
      <c r="X1568" s="101">
        <v>2</v>
      </c>
    </row>
    <row r="1569" spans="2:24" hidden="1">
      <c r="B1569" s="10" t="s">
        <v>3773</v>
      </c>
      <c r="C1569" s="24">
        <v>46226.542361111111</v>
      </c>
      <c r="D1569" s="10" t="s">
        <v>24</v>
      </c>
      <c r="E1569" s="10"/>
      <c r="F1569" s="29">
        <v>46226</v>
      </c>
      <c r="G1569" s="28" t="s">
        <v>2528</v>
      </c>
      <c r="H1569" s="15" t="s">
        <v>476</v>
      </c>
      <c r="I1569" s="10" t="s">
        <v>3774</v>
      </c>
      <c r="J1569" s="195"/>
      <c r="K1569" s="181" t="s">
        <v>3775</v>
      </c>
      <c r="L1569" s="108">
        <v>22830608</v>
      </c>
      <c r="M1569" s="36">
        <v>5212881306065</v>
      </c>
      <c r="N1569" s="170" t="s">
        <v>37</v>
      </c>
      <c r="O1569" s="49">
        <v>5617.63</v>
      </c>
      <c r="P1569" s="96">
        <v>1429.29</v>
      </c>
      <c r="Q1569" s="11">
        <v>1685.29</v>
      </c>
      <c r="R1569" s="12">
        <v>15.36</v>
      </c>
      <c r="S1569" s="71">
        <v>46758</v>
      </c>
      <c r="T1569" s="10"/>
      <c r="U1569" s="97"/>
      <c r="V1569" s="1"/>
      <c r="X1569" s="101">
        <v>2</v>
      </c>
    </row>
    <row r="1570" spans="2:24" hidden="1">
      <c r="B1570" s="6" t="s">
        <v>3776</v>
      </c>
      <c r="C1570" s="23">
        <v>46226.546527777777</v>
      </c>
      <c r="D1570" s="6" t="s">
        <v>24</v>
      </c>
      <c r="E1570" s="6"/>
      <c r="F1570" s="29">
        <v>46226</v>
      </c>
      <c r="G1570" s="27" t="s">
        <v>3641</v>
      </c>
      <c r="H1570" s="10" t="s">
        <v>78</v>
      </c>
      <c r="I1570" s="6" t="s">
        <v>3777</v>
      </c>
      <c r="J1570" s="196">
        <v>51876303143</v>
      </c>
      <c r="K1570" s="180" t="s">
        <v>3778</v>
      </c>
      <c r="L1570" s="107">
        <v>23013820</v>
      </c>
      <c r="M1570" s="37">
        <v>5214151384086</v>
      </c>
      <c r="N1570" s="169" t="s">
        <v>28</v>
      </c>
      <c r="O1570" s="48">
        <v>7920.51</v>
      </c>
      <c r="P1570" s="95">
        <v>998.19</v>
      </c>
      <c r="Q1570" s="8">
        <v>2376.15</v>
      </c>
      <c r="R1570" s="9">
        <v>1377.96</v>
      </c>
      <c r="S1570" s="70">
        <v>46031</v>
      </c>
      <c r="T1570" s="6"/>
      <c r="U1570" s="164"/>
      <c r="V1570" s="1"/>
      <c r="X1570" s="101">
        <v>2</v>
      </c>
    </row>
    <row r="1571" spans="2:24" hidden="1">
      <c r="B1571" s="10" t="s">
        <v>3779</v>
      </c>
      <c r="C1571" s="24">
        <v>46226.551388888889</v>
      </c>
      <c r="D1571" s="10" t="s">
        <v>24</v>
      </c>
      <c r="E1571" s="10"/>
      <c r="F1571" s="29">
        <v>46226</v>
      </c>
      <c r="G1571" s="28" t="s">
        <v>3641</v>
      </c>
      <c r="H1571" s="10" t="s">
        <v>90</v>
      </c>
      <c r="I1571" s="10" t="s">
        <v>3780</v>
      </c>
      <c r="J1571" s="195">
        <v>65937456229</v>
      </c>
      <c r="K1571" s="181"/>
      <c r="L1571" s="111">
        <v>1</v>
      </c>
      <c r="M1571" s="36" t="s">
        <v>3781</v>
      </c>
      <c r="N1571" s="170" t="s">
        <v>106</v>
      </c>
      <c r="O1571" s="49">
        <v>4707.6899999999996</v>
      </c>
      <c r="P1571" s="96">
        <v>1300.9100000000001</v>
      </c>
      <c r="Q1571" s="11">
        <v>1412.31</v>
      </c>
      <c r="R1571" s="12">
        <v>-766.2</v>
      </c>
      <c r="S1571" s="71">
        <v>45665</v>
      </c>
      <c r="T1571" s="10"/>
      <c r="U1571" s="97"/>
      <c r="V1571" s="1"/>
      <c r="X1571" s="101">
        <v>2</v>
      </c>
    </row>
    <row r="1572" spans="2:24" hidden="1">
      <c r="B1572" s="6" t="s">
        <v>3732</v>
      </c>
      <c r="C1572" s="23">
        <v>46226.561111111114</v>
      </c>
      <c r="D1572" s="6" t="s">
        <v>24</v>
      </c>
      <c r="E1572" s="6"/>
      <c r="F1572" s="29">
        <v>46226</v>
      </c>
      <c r="G1572" s="27" t="s">
        <v>3641</v>
      </c>
      <c r="H1572" s="6" t="s">
        <v>51</v>
      </c>
      <c r="I1572" s="6" t="s">
        <v>3782</v>
      </c>
      <c r="J1572" s="196">
        <v>31836621552</v>
      </c>
      <c r="K1572" s="180" t="s">
        <v>3783</v>
      </c>
      <c r="L1572" s="108">
        <v>23013796</v>
      </c>
      <c r="M1572" s="37">
        <v>5214421565808</v>
      </c>
      <c r="N1572" s="169" t="s">
        <v>37</v>
      </c>
      <c r="O1572" s="48">
        <v>10636.54</v>
      </c>
      <c r="P1572" s="95">
        <v>3187.67</v>
      </c>
      <c r="Q1572" s="8">
        <v>3190.96</v>
      </c>
      <c r="R1572" s="13">
        <v>3.29</v>
      </c>
      <c r="S1572" s="70">
        <v>46756</v>
      </c>
      <c r="T1572" s="6"/>
      <c r="U1572" s="164"/>
      <c r="V1572" s="1"/>
      <c r="X1572" s="101">
        <v>2</v>
      </c>
    </row>
    <row r="1573" spans="2:24" hidden="1">
      <c r="B1573" s="10" t="s">
        <v>3784</v>
      </c>
      <c r="C1573" s="24">
        <v>46226.564583333333</v>
      </c>
      <c r="D1573" s="10" t="s">
        <v>24</v>
      </c>
      <c r="E1573" s="10"/>
      <c r="F1573" s="29">
        <v>46226</v>
      </c>
      <c r="G1573" s="28" t="s">
        <v>3260</v>
      </c>
      <c r="H1573" s="15" t="s">
        <v>3022</v>
      </c>
      <c r="I1573" s="10" t="s">
        <v>3785</v>
      </c>
      <c r="J1573" s="195"/>
      <c r="K1573" s="181" t="s">
        <v>3786</v>
      </c>
      <c r="L1573" s="108">
        <v>22991292</v>
      </c>
      <c r="M1573" s="36">
        <v>6442284297</v>
      </c>
      <c r="N1573" s="170" t="s">
        <v>37</v>
      </c>
      <c r="O1573" s="49">
        <v>7496.62</v>
      </c>
      <c r="P1573" s="96">
        <v>2167.7800000000002</v>
      </c>
      <c r="Q1573" s="11">
        <v>2248.9899999999998</v>
      </c>
      <c r="R1573" s="12">
        <v>81.209999999999994</v>
      </c>
      <c r="S1573" s="71">
        <v>46391</v>
      </c>
      <c r="T1573" s="10"/>
      <c r="U1573" s="97"/>
      <c r="V1573" s="1"/>
      <c r="X1573" s="101">
        <v>2</v>
      </c>
    </row>
    <row r="1574" spans="2:24" hidden="1">
      <c r="B1574" s="6" t="s">
        <v>3787</v>
      </c>
      <c r="C1574" s="23">
        <v>46226.572916666664</v>
      </c>
      <c r="D1574" s="6" t="s">
        <v>24</v>
      </c>
      <c r="E1574" s="6"/>
      <c r="F1574" s="29">
        <v>46226</v>
      </c>
      <c r="G1574" s="27" t="s">
        <v>3641</v>
      </c>
      <c r="H1574" s="7" t="s">
        <v>3007</v>
      </c>
      <c r="I1574" s="6" t="s">
        <v>3788</v>
      </c>
      <c r="J1574" s="196">
        <v>53907233091</v>
      </c>
      <c r="K1574" s="180" t="s">
        <v>3789</v>
      </c>
      <c r="L1574" s="107">
        <v>23028318</v>
      </c>
      <c r="M1574" s="37">
        <v>3511223726</v>
      </c>
      <c r="N1574" s="169" t="s">
        <v>74</v>
      </c>
      <c r="O1574" s="48"/>
      <c r="P1574" s="95"/>
      <c r="Q1574" s="8">
        <v>0</v>
      </c>
      <c r="R1574" s="13">
        <v>0</v>
      </c>
      <c r="S1574" s="70"/>
      <c r="T1574" s="6"/>
      <c r="U1574" s="164"/>
      <c r="V1574" s="1"/>
      <c r="X1574" s="101">
        <v>1</v>
      </c>
    </row>
    <row r="1575" spans="2:24" hidden="1">
      <c r="B1575" s="10" t="s">
        <v>3790</v>
      </c>
      <c r="C1575" s="24">
        <v>46226.575694444444</v>
      </c>
      <c r="D1575" s="10" t="s">
        <v>24</v>
      </c>
      <c r="E1575" s="10"/>
      <c r="F1575" s="29">
        <v>46226</v>
      </c>
      <c r="G1575" s="28" t="s">
        <v>3641</v>
      </c>
      <c r="H1575" s="15" t="s">
        <v>3352</v>
      </c>
      <c r="I1575" s="10" t="s">
        <v>3791</v>
      </c>
      <c r="J1575" s="195">
        <v>83815711037</v>
      </c>
      <c r="K1575" s="181" t="s">
        <v>3792</v>
      </c>
      <c r="L1575" s="108">
        <v>23028042</v>
      </c>
      <c r="M1575" s="36">
        <v>9841792595</v>
      </c>
      <c r="N1575" s="170" t="s">
        <v>32</v>
      </c>
      <c r="O1575" s="49">
        <v>4345.41</v>
      </c>
      <c r="P1575" s="96"/>
      <c r="Q1575" s="11">
        <v>1303.6199999999999</v>
      </c>
      <c r="R1575" s="12">
        <v>172.43</v>
      </c>
      <c r="S1575" s="71"/>
      <c r="T1575" s="10"/>
      <c r="U1575" s="97"/>
      <c r="V1575" s="1"/>
      <c r="X1575" s="101">
        <v>1</v>
      </c>
    </row>
    <row r="1576" spans="2:24" hidden="1">
      <c r="B1576" s="6" t="s">
        <v>3793</v>
      </c>
      <c r="C1576" s="23">
        <v>46226.582638888889</v>
      </c>
      <c r="D1576" s="6" t="s">
        <v>24</v>
      </c>
      <c r="E1576" s="6"/>
      <c r="F1576" s="29">
        <v>46226</v>
      </c>
      <c r="G1576" s="27" t="s">
        <v>3641</v>
      </c>
      <c r="H1576" s="7" t="s">
        <v>3007</v>
      </c>
      <c r="I1576" s="6" t="s">
        <v>3794</v>
      </c>
      <c r="J1576" s="196">
        <v>24815711239</v>
      </c>
      <c r="K1576" s="180"/>
      <c r="L1576" s="108">
        <v>23028586</v>
      </c>
      <c r="M1576" s="37">
        <v>6623256345</v>
      </c>
      <c r="N1576" s="169" t="s">
        <v>37</v>
      </c>
      <c r="O1576" s="48">
        <v>57557.32</v>
      </c>
      <c r="P1576" s="95">
        <v>17267.189999999999</v>
      </c>
      <c r="Q1576" s="8">
        <v>17267.2</v>
      </c>
      <c r="R1576" s="13">
        <v>0.01</v>
      </c>
      <c r="S1576" s="70">
        <v>46391</v>
      </c>
      <c r="T1576" s="6"/>
      <c r="U1576" s="164"/>
      <c r="V1576" s="1"/>
      <c r="X1576" s="101">
        <v>2</v>
      </c>
    </row>
    <row r="1577" spans="2:24" hidden="1">
      <c r="B1577" s="10" t="s">
        <v>3795</v>
      </c>
      <c r="C1577" s="24">
        <v>46226.585416666669</v>
      </c>
      <c r="D1577" s="10" t="s">
        <v>24</v>
      </c>
      <c r="E1577" s="10"/>
      <c r="F1577" s="29">
        <v>46226</v>
      </c>
      <c r="G1577" s="28" t="s">
        <v>3641</v>
      </c>
      <c r="H1577" s="15" t="s">
        <v>3452</v>
      </c>
      <c r="I1577" s="10" t="s">
        <v>3796</v>
      </c>
      <c r="J1577" s="195"/>
      <c r="K1577" s="181" t="s">
        <v>3797</v>
      </c>
      <c r="L1577" s="108">
        <v>23028590</v>
      </c>
      <c r="M1577" s="36">
        <v>4646550397</v>
      </c>
      <c r="N1577" s="170" t="s">
        <v>37</v>
      </c>
      <c r="O1577" s="49">
        <v>6332.29</v>
      </c>
      <c r="P1577" s="96">
        <v>1899.69</v>
      </c>
      <c r="Q1577" s="11">
        <v>1899.69</v>
      </c>
      <c r="R1577" s="12">
        <v>0</v>
      </c>
      <c r="S1577" s="71">
        <v>46760</v>
      </c>
      <c r="T1577" s="10"/>
      <c r="U1577" s="97"/>
      <c r="V1577" s="1"/>
      <c r="X1577" s="101">
        <v>2</v>
      </c>
    </row>
    <row r="1578" spans="2:24" hidden="1">
      <c r="B1578" s="6" t="s">
        <v>3798</v>
      </c>
      <c r="C1578" s="23">
        <v>46226.587500000001</v>
      </c>
      <c r="D1578" s="6" t="s">
        <v>24</v>
      </c>
      <c r="E1578" s="6"/>
      <c r="F1578" s="29">
        <v>46226</v>
      </c>
      <c r="G1578" s="27" t="s">
        <v>3641</v>
      </c>
      <c r="H1578" s="6" t="s">
        <v>39</v>
      </c>
      <c r="I1578" s="6" t="s">
        <v>3799</v>
      </c>
      <c r="J1578" s="196">
        <v>52916302459</v>
      </c>
      <c r="K1578" s="180" t="s">
        <v>3800</v>
      </c>
      <c r="L1578" s="108">
        <v>23005738</v>
      </c>
      <c r="M1578" s="37">
        <v>5213141162341</v>
      </c>
      <c r="N1578" s="169" t="s">
        <v>37</v>
      </c>
      <c r="O1578" s="48">
        <v>7920.51</v>
      </c>
      <c r="P1578" s="95">
        <v>2361.73</v>
      </c>
      <c r="Q1578" s="8">
        <v>2376.15</v>
      </c>
      <c r="R1578" s="13">
        <v>14.42</v>
      </c>
      <c r="S1578" s="70">
        <v>46759</v>
      </c>
      <c r="T1578" s="6"/>
      <c r="U1578" s="164"/>
      <c r="V1578" s="1"/>
      <c r="X1578" s="101">
        <v>2</v>
      </c>
    </row>
    <row r="1579" spans="2:24" hidden="1">
      <c r="B1579" s="10" t="s">
        <v>3801</v>
      </c>
      <c r="C1579" s="24">
        <v>46226.589583333334</v>
      </c>
      <c r="D1579" s="10" t="s">
        <v>24</v>
      </c>
      <c r="E1579" s="10"/>
      <c r="F1579" s="29">
        <v>46226</v>
      </c>
      <c r="G1579" s="28" t="s">
        <v>3641</v>
      </c>
      <c r="H1579" s="15" t="s">
        <v>3575</v>
      </c>
      <c r="I1579" s="10" t="s">
        <v>3802</v>
      </c>
      <c r="J1579" s="195">
        <v>53896710026</v>
      </c>
      <c r="K1579" s="181" t="s">
        <v>3803</v>
      </c>
      <c r="L1579" s="108">
        <v>23028382</v>
      </c>
      <c r="M1579" s="36">
        <v>5214776177683</v>
      </c>
      <c r="N1579" s="170" t="s">
        <v>32</v>
      </c>
      <c r="O1579" s="49">
        <v>4008.15</v>
      </c>
      <c r="P1579" s="96"/>
      <c r="Q1579" s="11">
        <v>1202.45</v>
      </c>
      <c r="R1579" s="12">
        <v>0</v>
      </c>
      <c r="S1579" s="71"/>
      <c r="T1579" s="10"/>
      <c r="U1579" s="97"/>
      <c r="V1579" s="1"/>
      <c r="X1579" s="101">
        <v>1</v>
      </c>
    </row>
    <row r="1580" spans="2:24" hidden="1">
      <c r="B1580" s="6" t="s">
        <v>3804</v>
      </c>
      <c r="C1580" s="23">
        <v>46226.597916666666</v>
      </c>
      <c r="D1580" s="6" t="s">
        <v>24</v>
      </c>
      <c r="E1580" s="6"/>
      <c r="F1580" s="29">
        <v>46226</v>
      </c>
      <c r="G1580" s="27" t="s">
        <v>3641</v>
      </c>
      <c r="H1580" s="10" t="s">
        <v>51</v>
      </c>
      <c r="I1580" s="6" t="s">
        <v>3805</v>
      </c>
      <c r="J1580" s="196">
        <v>65806216316</v>
      </c>
      <c r="K1580" s="180" t="s">
        <v>3806</v>
      </c>
      <c r="L1580" s="107">
        <v>23007494</v>
      </c>
      <c r="M1580" s="37">
        <v>5218461042445</v>
      </c>
      <c r="N1580" s="169" t="s">
        <v>28</v>
      </c>
      <c r="O1580" s="48">
        <v>12846.42</v>
      </c>
      <c r="P1580" s="95"/>
      <c r="Q1580" s="8">
        <v>3853.93</v>
      </c>
      <c r="R1580" s="9">
        <v>3853.93</v>
      </c>
      <c r="S1580" s="70"/>
      <c r="T1580" s="6"/>
      <c r="U1580" s="164"/>
      <c r="V1580" s="1"/>
      <c r="X1580" s="101">
        <v>1</v>
      </c>
    </row>
    <row r="1581" spans="2:24" hidden="1">
      <c r="B1581" s="10" t="s">
        <v>3807</v>
      </c>
      <c r="C1581" s="24">
        <v>46226.597916666666</v>
      </c>
      <c r="D1581" s="10" t="s">
        <v>24</v>
      </c>
      <c r="E1581" s="10"/>
      <c r="F1581" s="29">
        <v>46226</v>
      </c>
      <c r="G1581" s="28" t="s">
        <v>3641</v>
      </c>
      <c r="H1581" s="15" t="s">
        <v>3452</v>
      </c>
      <c r="I1581" s="10" t="s">
        <v>3808</v>
      </c>
      <c r="J1581" s="195">
        <v>82937419834</v>
      </c>
      <c r="K1581" s="181" t="s">
        <v>3809</v>
      </c>
      <c r="L1581" s="108">
        <v>23029010</v>
      </c>
      <c r="M1581" s="36">
        <v>4722313589</v>
      </c>
      <c r="N1581" s="170" t="s">
        <v>32</v>
      </c>
      <c r="O1581" s="49">
        <v>4332.32</v>
      </c>
      <c r="P1581" s="96"/>
      <c r="Q1581" s="11">
        <v>1299.7</v>
      </c>
      <c r="R1581" s="12">
        <v>159.34</v>
      </c>
      <c r="S1581" s="71"/>
      <c r="T1581" s="10"/>
      <c r="U1581" s="97"/>
      <c r="V1581" s="1"/>
      <c r="X1581" s="101">
        <v>1</v>
      </c>
    </row>
    <row r="1582" spans="2:24" hidden="1">
      <c r="B1582" s="6" t="s">
        <v>3807</v>
      </c>
      <c r="C1582" s="23">
        <v>46226.599305555559</v>
      </c>
      <c r="D1582" s="6" t="s">
        <v>24</v>
      </c>
      <c r="E1582" s="6"/>
      <c r="F1582" s="29">
        <v>46226</v>
      </c>
      <c r="G1582" s="27" t="s">
        <v>3260</v>
      </c>
      <c r="H1582" s="6" t="s">
        <v>160</v>
      </c>
      <c r="I1582" s="6" t="s">
        <v>3810</v>
      </c>
      <c r="J1582" s="196">
        <v>43796200087</v>
      </c>
      <c r="K1582" s="180" t="s">
        <v>3811</v>
      </c>
      <c r="L1582" s="108">
        <v>23005584</v>
      </c>
      <c r="M1582" s="37">
        <v>5218117512700</v>
      </c>
      <c r="N1582" s="169" t="s">
        <v>37</v>
      </c>
      <c r="O1582" s="48">
        <v>11964.78</v>
      </c>
      <c r="P1582" s="95">
        <v>3461.67</v>
      </c>
      <c r="Q1582" s="8">
        <v>3589.43</v>
      </c>
      <c r="R1582" s="13">
        <v>127.76</v>
      </c>
      <c r="S1582" s="70">
        <v>46327</v>
      </c>
      <c r="T1582" s="6"/>
      <c r="U1582" s="164"/>
      <c r="V1582" s="1"/>
      <c r="X1582" s="101">
        <v>2</v>
      </c>
    </row>
    <row r="1583" spans="2:24" hidden="1">
      <c r="B1583" s="10" t="s">
        <v>3812</v>
      </c>
      <c r="C1583" s="24">
        <v>46226.600694444445</v>
      </c>
      <c r="D1583" s="10" t="s">
        <v>24</v>
      </c>
      <c r="E1583" s="10"/>
      <c r="F1583" s="29">
        <v>46226</v>
      </c>
      <c r="G1583" s="28" t="s">
        <v>3641</v>
      </c>
      <c r="H1583" s="160" t="s">
        <v>26</v>
      </c>
      <c r="I1583" s="10" t="s">
        <v>3813</v>
      </c>
      <c r="J1583" s="195">
        <v>54796089750</v>
      </c>
      <c r="K1583" s="181" t="s">
        <v>3814</v>
      </c>
      <c r="L1583" s="108">
        <v>23028152</v>
      </c>
      <c r="M1583" s="36">
        <v>5213314066019</v>
      </c>
      <c r="N1583" s="170" t="s">
        <v>106</v>
      </c>
      <c r="O1583" s="49">
        <v>5617.63</v>
      </c>
      <c r="P1583" s="96">
        <v>1209.83</v>
      </c>
      <c r="Q1583" s="11">
        <v>1685.29</v>
      </c>
      <c r="R1583" s="12">
        <v>234.82</v>
      </c>
      <c r="S1583" s="71">
        <v>45662</v>
      </c>
      <c r="T1583" s="10"/>
      <c r="U1583" s="97"/>
      <c r="V1583" s="1"/>
      <c r="X1583" s="101">
        <v>2</v>
      </c>
    </row>
    <row r="1584" spans="2:24" hidden="1">
      <c r="B1584" s="6" t="s">
        <v>3815</v>
      </c>
      <c r="C1584" s="23">
        <v>46226.600694444445</v>
      </c>
      <c r="D1584" s="6" t="s">
        <v>24</v>
      </c>
      <c r="E1584" s="6"/>
      <c r="F1584" s="29">
        <v>46226</v>
      </c>
      <c r="G1584" s="27" t="s">
        <v>3641</v>
      </c>
      <c r="H1584" s="161" t="s">
        <v>71</v>
      </c>
      <c r="I1584" s="6" t="s">
        <v>3816</v>
      </c>
      <c r="J1584" s="192">
        <v>89826421474</v>
      </c>
      <c r="K1584" s="180" t="s">
        <v>3817</v>
      </c>
      <c r="L1584" s="107">
        <v>23029224</v>
      </c>
      <c r="M1584" s="37">
        <v>5215654417393</v>
      </c>
      <c r="N1584" s="169" t="s">
        <v>47</v>
      </c>
      <c r="O1584" s="48">
        <v>52854.52</v>
      </c>
      <c r="P1584" s="95">
        <v>15124.36</v>
      </c>
      <c r="Q1584" s="8">
        <v>15856.36</v>
      </c>
      <c r="R1584" s="22">
        <v>732</v>
      </c>
      <c r="S1584" s="70">
        <v>46390</v>
      </c>
      <c r="T1584" s="6"/>
      <c r="U1584" s="164"/>
      <c r="V1584" s="1"/>
      <c r="X1584" s="101">
        <v>2</v>
      </c>
    </row>
    <row r="1585" spans="2:24" hidden="1">
      <c r="B1585" s="10" t="s">
        <v>3818</v>
      </c>
      <c r="C1585" s="24">
        <v>46226.600694444445</v>
      </c>
      <c r="D1585" s="10" t="s">
        <v>24</v>
      </c>
      <c r="E1585" s="10"/>
      <c r="F1585" s="29">
        <v>46226</v>
      </c>
      <c r="G1585" s="28" t="s">
        <v>3641</v>
      </c>
      <c r="H1585" s="10" t="s">
        <v>68</v>
      </c>
      <c r="I1585" s="10" t="s">
        <v>3819</v>
      </c>
      <c r="J1585" s="193">
        <v>14856712121</v>
      </c>
      <c r="K1585" s="181" t="s">
        <v>3820</v>
      </c>
      <c r="L1585" s="108">
        <v>23006710</v>
      </c>
      <c r="M1585" s="36">
        <v>5214425286662</v>
      </c>
      <c r="N1585" s="170" t="s">
        <v>37</v>
      </c>
      <c r="O1585" s="49">
        <v>7751.91</v>
      </c>
      <c r="P1585" s="96">
        <v>2310.02</v>
      </c>
      <c r="Q1585" s="11">
        <v>2325.5700000000002</v>
      </c>
      <c r="R1585" s="12">
        <v>15.55</v>
      </c>
      <c r="S1585" s="71">
        <v>46757</v>
      </c>
      <c r="T1585" s="10"/>
      <c r="U1585" s="97"/>
      <c r="V1585" s="1"/>
      <c r="X1585" s="101">
        <v>2</v>
      </c>
    </row>
    <row r="1586" spans="2:24" hidden="1">
      <c r="B1586" s="6" t="s">
        <v>3821</v>
      </c>
      <c r="C1586" s="23">
        <v>46226.601388888892</v>
      </c>
      <c r="D1586" s="6" t="s">
        <v>24</v>
      </c>
      <c r="E1586" s="6"/>
      <c r="F1586" s="29">
        <v>46226</v>
      </c>
      <c r="G1586" s="27" t="s">
        <v>3641</v>
      </c>
      <c r="H1586" s="6" t="s">
        <v>68</v>
      </c>
      <c r="I1586" s="6" t="s">
        <v>3822</v>
      </c>
      <c r="J1586" s="192"/>
      <c r="K1586" s="180" t="s">
        <v>3823</v>
      </c>
      <c r="L1586" s="107">
        <v>22915250</v>
      </c>
      <c r="M1586" s="37">
        <v>5215666657335</v>
      </c>
      <c r="N1586" s="169" t="s">
        <v>32</v>
      </c>
      <c r="O1586" s="48">
        <v>4041.17</v>
      </c>
      <c r="P1586" s="95"/>
      <c r="Q1586" s="8">
        <v>1212.3499999999999</v>
      </c>
      <c r="R1586" s="13">
        <v>0</v>
      </c>
      <c r="S1586" s="70"/>
      <c r="T1586" s="6"/>
      <c r="U1586" s="164"/>
      <c r="V1586" s="1"/>
      <c r="X1586" s="101">
        <v>1</v>
      </c>
    </row>
    <row r="1587" spans="2:24" hidden="1">
      <c r="B1587" s="10" t="s">
        <v>3824</v>
      </c>
      <c r="C1587" s="24">
        <v>46226.605555555558</v>
      </c>
      <c r="D1587" s="10" t="s">
        <v>24</v>
      </c>
      <c r="E1587" s="10"/>
      <c r="F1587" s="29">
        <v>46226</v>
      </c>
      <c r="G1587" s="28" t="s">
        <v>2604</v>
      </c>
      <c r="H1587" s="15" t="s">
        <v>107</v>
      </c>
      <c r="I1587" s="44"/>
      <c r="J1587" s="193">
        <v>15896211156</v>
      </c>
      <c r="K1587" s="181"/>
      <c r="L1587" s="108">
        <v>22853620</v>
      </c>
      <c r="M1587" s="36">
        <v>7772207223</v>
      </c>
      <c r="N1587" s="170" t="s">
        <v>37</v>
      </c>
      <c r="O1587" s="49">
        <v>8649.98</v>
      </c>
      <c r="P1587" s="96">
        <v>2594.64</v>
      </c>
      <c r="Q1587" s="11">
        <v>2594.9899999999998</v>
      </c>
      <c r="R1587" s="12">
        <v>0.35</v>
      </c>
      <c r="S1587" s="71">
        <v>46396</v>
      </c>
      <c r="T1587" s="10"/>
      <c r="U1587" s="97"/>
      <c r="V1587" s="1"/>
      <c r="X1587" s="101">
        <v>2</v>
      </c>
    </row>
    <row r="1588" spans="2:24" hidden="1">
      <c r="B1588" s="6" t="s">
        <v>3825</v>
      </c>
      <c r="C1588" s="23">
        <v>46226.606944444444</v>
      </c>
      <c r="D1588" s="6" t="s">
        <v>24</v>
      </c>
      <c r="E1588" s="6"/>
      <c r="F1588" s="29">
        <v>46226</v>
      </c>
      <c r="G1588" s="27" t="s">
        <v>2604</v>
      </c>
      <c r="H1588" s="7" t="s">
        <v>107</v>
      </c>
      <c r="I1588" s="6" t="s">
        <v>3826</v>
      </c>
      <c r="J1588" s="192">
        <v>37917317671</v>
      </c>
      <c r="K1588" s="180" t="s">
        <v>3827</v>
      </c>
      <c r="L1588" s="108">
        <v>23028534</v>
      </c>
      <c r="M1588" s="37">
        <v>9624144184</v>
      </c>
      <c r="N1588" s="169" t="s">
        <v>37</v>
      </c>
      <c r="O1588" s="48">
        <v>7818.65</v>
      </c>
      <c r="P1588" s="95">
        <v>2249.1</v>
      </c>
      <c r="Q1588" s="8">
        <v>2345.6</v>
      </c>
      <c r="R1588" s="13">
        <v>96.49</v>
      </c>
      <c r="S1588" s="70">
        <v>46753</v>
      </c>
      <c r="T1588" s="6"/>
      <c r="U1588" s="164"/>
      <c r="V1588" s="1"/>
      <c r="X1588" s="101">
        <v>2</v>
      </c>
    </row>
    <row r="1589" spans="2:24" hidden="1">
      <c r="B1589" s="10" t="s">
        <v>3828</v>
      </c>
      <c r="C1589" s="24">
        <v>46226.609027777777</v>
      </c>
      <c r="D1589" s="10" t="s">
        <v>24</v>
      </c>
      <c r="E1589" s="10"/>
      <c r="F1589" s="29">
        <v>46226</v>
      </c>
      <c r="G1589" s="28" t="s">
        <v>3641</v>
      </c>
      <c r="H1589" s="161" t="s">
        <v>71</v>
      </c>
      <c r="I1589" s="10" t="s">
        <v>3829</v>
      </c>
      <c r="J1589" s="193">
        <v>43745421222</v>
      </c>
      <c r="K1589" s="181" t="s">
        <v>3830</v>
      </c>
      <c r="L1589" s="108">
        <v>23027832</v>
      </c>
      <c r="M1589" s="36">
        <v>5218117532347</v>
      </c>
      <c r="N1589" s="170" t="s">
        <v>106</v>
      </c>
      <c r="O1589" s="49">
        <v>5617.63</v>
      </c>
      <c r="P1589" s="96">
        <v>1334.29</v>
      </c>
      <c r="Q1589" s="11">
        <v>1685.29</v>
      </c>
      <c r="R1589" s="12">
        <v>110.36</v>
      </c>
      <c r="S1589" s="71">
        <v>46028</v>
      </c>
      <c r="T1589" s="10"/>
      <c r="U1589" s="97"/>
      <c r="V1589" s="1"/>
      <c r="X1589" s="101">
        <v>2</v>
      </c>
    </row>
    <row r="1590" spans="2:24" hidden="1">
      <c r="B1590" s="6" t="s">
        <v>3831</v>
      </c>
      <c r="C1590" s="23">
        <v>46226.620138888888</v>
      </c>
      <c r="D1590" s="6" t="s">
        <v>24</v>
      </c>
      <c r="E1590" s="6"/>
      <c r="F1590" s="29">
        <v>46226</v>
      </c>
      <c r="G1590" s="27" t="s">
        <v>3641</v>
      </c>
      <c r="H1590" s="6" t="s">
        <v>103</v>
      </c>
      <c r="I1590" s="6" t="s">
        <v>3832</v>
      </c>
      <c r="J1590" s="192">
        <v>31745611314</v>
      </c>
      <c r="K1590" s="180"/>
      <c r="L1590" s="108">
        <v>1</v>
      </c>
      <c r="M1590" s="37">
        <v>8342260510</v>
      </c>
      <c r="N1590" s="169" t="s">
        <v>37</v>
      </c>
      <c r="O1590" s="48">
        <v>13318.93</v>
      </c>
      <c r="P1590" s="95">
        <v>3995.65</v>
      </c>
      <c r="Q1590" s="8">
        <v>3995.68</v>
      </c>
      <c r="R1590" s="13">
        <v>0.03</v>
      </c>
      <c r="S1590" s="70">
        <v>46392</v>
      </c>
      <c r="T1590" s="6"/>
      <c r="U1590" s="164"/>
      <c r="V1590" s="1"/>
      <c r="X1590" s="101">
        <v>2</v>
      </c>
    </row>
    <row r="1591" spans="2:24" hidden="1">
      <c r="B1591" s="10" t="s">
        <v>3833</v>
      </c>
      <c r="C1591" s="24">
        <v>46226.625</v>
      </c>
      <c r="D1591" s="10" t="s">
        <v>24</v>
      </c>
      <c r="E1591" s="10"/>
      <c r="F1591" s="29">
        <v>46226</v>
      </c>
      <c r="G1591" s="28" t="s">
        <v>2236</v>
      </c>
      <c r="H1591" s="161" t="s">
        <v>170</v>
      </c>
      <c r="I1591" s="10" t="s">
        <v>3834</v>
      </c>
      <c r="J1591" s="193">
        <v>12815712448</v>
      </c>
      <c r="K1591" s="181"/>
      <c r="L1591" s="108">
        <v>22818910</v>
      </c>
      <c r="M1591" s="36">
        <v>5214624980603</v>
      </c>
      <c r="N1591" s="170" t="s">
        <v>47</v>
      </c>
      <c r="O1591" s="49">
        <v>4636.43</v>
      </c>
      <c r="P1591" s="96"/>
      <c r="Q1591" s="11">
        <v>1390.93</v>
      </c>
      <c r="R1591" s="16">
        <v>463.45</v>
      </c>
      <c r="S1591" s="71"/>
      <c r="T1591" s="10"/>
      <c r="U1591" s="97"/>
      <c r="V1591" s="1"/>
      <c r="X1591" s="101">
        <v>1</v>
      </c>
    </row>
    <row r="1592" spans="2:24" hidden="1">
      <c r="B1592" s="6" t="s">
        <v>3835</v>
      </c>
      <c r="C1592" s="23">
        <v>46226.627083333333</v>
      </c>
      <c r="D1592" s="6" t="s">
        <v>24</v>
      </c>
      <c r="E1592" s="6"/>
      <c r="F1592" s="29">
        <v>46226</v>
      </c>
      <c r="G1592" s="27" t="s">
        <v>3641</v>
      </c>
      <c r="H1592" s="160" t="s">
        <v>26</v>
      </c>
      <c r="I1592" s="6" t="s">
        <v>3836</v>
      </c>
      <c r="J1592" s="192">
        <v>1796078614</v>
      </c>
      <c r="K1592" s="180" t="s">
        <v>3837</v>
      </c>
      <c r="L1592" s="107">
        <v>23030252</v>
      </c>
      <c r="M1592" s="37">
        <v>5215640056142</v>
      </c>
      <c r="N1592" s="169" t="s">
        <v>28</v>
      </c>
      <c r="O1592" s="48">
        <v>5948.13</v>
      </c>
      <c r="P1592" s="95"/>
      <c r="Q1592" s="8">
        <v>1784.44</v>
      </c>
      <c r="R1592" s="9">
        <v>1775.15</v>
      </c>
      <c r="S1592" s="70"/>
      <c r="T1592" s="6"/>
      <c r="U1592" s="164"/>
      <c r="V1592" s="1"/>
      <c r="X1592" s="101">
        <v>1</v>
      </c>
    </row>
    <row r="1593" spans="2:24" hidden="1">
      <c r="B1593" s="10" t="s">
        <v>3838</v>
      </c>
      <c r="C1593" s="24">
        <v>46226.62777777778</v>
      </c>
      <c r="D1593" s="10" t="s">
        <v>24</v>
      </c>
      <c r="E1593" s="10"/>
      <c r="F1593" s="29">
        <v>46226</v>
      </c>
      <c r="G1593" s="28">
        <v>46333</v>
      </c>
      <c r="H1593" s="20" t="s">
        <v>170</v>
      </c>
      <c r="I1593" s="10" t="s">
        <v>3839</v>
      </c>
      <c r="J1593" s="193">
        <v>24987719366</v>
      </c>
      <c r="K1593" s="181" t="s">
        <v>3840</v>
      </c>
      <c r="L1593" s="108">
        <v>22576920</v>
      </c>
      <c r="M1593" s="36">
        <v>5213313010953</v>
      </c>
      <c r="N1593" s="170" t="s">
        <v>74</v>
      </c>
      <c r="O1593" s="49"/>
      <c r="P1593" s="96"/>
      <c r="Q1593" s="11">
        <v>0</v>
      </c>
      <c r="R1593" s="12">
        <v>0</v>
      </c>
      <c r="S1593" s="71"/>
      <c r="T1593" s="10"/>
      <c r="U1593" s="97"/>
      <c r="V1593" s="1"/>
      <c r="X1593" s="101">
        <v>1</v>
      </c>
    </row>
    <row r="1594" spans="2:24" hidden="1">
      <c r="B1594" s="6" t="s">
        <v>3841</v>
      </c>
      <c r="C1594" s="23">
        <v>46226.630555555559</v>
      </c>
      <c r="D1594" s="6" t="s">
        <v>24</v>
      </c>
      <c r="E1594" s="6"/>
      <c r="F1594" s="29">
        <v>46226</v>
      </c>
      <c r="G1594" s="27" t="s">
        <v>3641</v>
      </c>
      <c r="H1594" s="160" t="s">
        <v>3452</v>
      </c>
      <c r="I1594" s="6" t="s">
        <v>3842</v>
      </c>
      <c r="J1594" s="192"/>
      <c r="K1594" s="180" t="s">
        <v>3843</v>
      </c>
      <c r="L1594" s="107">
        <v>23029704</v>
      </c>
      <c r="M1594" s="37">
        <v>8715223535</v>
      </c>
      <c r="N1594" s="169" t="s">
        <v>28</v>
      </c>
      <c r="O1594" s="48">
        <v>5407.25</v>
      </c>
      <c r="P1594" s="95"/>
      <c r="Q1594" s="8">
        <v>1622.18</v>
      </c>
      <c r="R1594" s="9">
        <v>1234.27</v>
      </c>
      <c r="S1594" s="70"/>
      <c r="T1594" s="6"/>
      <c r="U1594" s="164"/>
      <c r="V1594" s="1"/>
      <c r="X1594" s="101">
        <v>1</v>
      </c>
    </row>
    <row r="1595" spans="2:24" hidden="1">
      <c r="B1595" s="10" t="s">
        <v>3844</v>
      </c>
      <c r="C1595" s="24">
        <v>46226.634722222225</v>
      </c>
      <c r="D1595" s="10" t="s">
        <v>24</v>
      </c>
      <c r="E1595" s="10"/>
      <c r="F1595" s="29">
        <v>46226</v>
      </c>
      <c r="G1595" s="28" t="s">
        <v>3641</v>
      </c>
      <c r="H1595" s="10" t="s">
        <v>78</v>
      </c>
      <c r="I1595" s="10" t="s">
        <v>3845</v>
      </c>
      <c r="J1595" s="193">
        <v>31836500871</v>
      </c>
      <c r="K1595" s="181" t="s">
        <v>3846</v>
      </c>
      <c r="L1595" s="108">
        <v>23019908</v>
      </c>
      <c r="M1595" s="36">
        <v>5218715046483</v>
      </c>
      <c r="N1595" s="170" t="s">
        <v>37</v>
      </c>
      <c r="O1595" s="49">
        <v>9760.32</v>
      </c>
      <c r="P1595" s="96">
        <v>2926.91</v>
      </c>
      <c r="Q1595" s="11">
        <v>2928.1</v>
      </c>
      <c r="R1595" s="12">
        <v>1.19</v>
      </c>
      <c r="S1595" s="71">
        <v>46397</v>
      </c>
      <c r="T1595" s="10"/>
      <c r="U1595" s="97"/>
      <c r="V1595" s="1"/>
      <c r="X1595" s="101">
        <v>2</v>
      </c>
    </row>
    <row r="1596" spans="2:24" hidden="1">
      <c r="B1596" s="6" t="s">
        <v>3847</v>
      </c>
      <c r="C1596" s="23">
        <v>46226.635416666664</v>
      </c>
      <c r="D1596" s="6" t="s">
        <v>24</v>
      </c>
      <c r="E1596" s="6"/>
      <c r="F1596" s="29">
        <v>46226</v>
      </c>
      <c r="G1596" s="27" t="s">
        <v>3641</v>
      </c>
      <c r="H1596" s="10" t="s">
        <v>51</v>
      </c>
      <c r="I1596" s="6" t="s">
        <v>3848</v>
      </c>
      <c r="J1596" s="196">
        <v>33805928380</v>
      </c>
      <c r="K1596" s="180" t="s">
        <v>3849</v>
      </c>
      <c r="L1596" s="107">
        <v>23021082</v>
      </c>
      <c r="M1596" s="37">
        <v>5216391354004</v>
      </c>
      <c r="N1596" s="169" t="s">
        <v>28</v>
      </c>
      <c r="O1596" s="48">
        <v>16839.48</v>
      </c>
      <c r="P1596" s="95">
        <v>3067.34</v>
      </c>
      <c r="Q1596" s="8">
        <v>5051.84</v>
      </c>
      <c r="R1596" s="9">
        <v>1984.5</v>
      </c>
      <c r="S1596" s="70">
        <v>46391</v>
      </c>
      <c r="T1596" s="6"/>
      <c r="U1596" s="164"/>
      <c r="V1596" s="1"/>
      <c r="X1596" s="101">
        <v>2</v>
      </c>
    </row>
    <row r="1597" spans="2:24" hidden="1">
      <c r="B1597" s="10" t="s">
        <v>3850</v>
      </c>
      <c r="C1597" s="24">
        <v>46226.636111111111</v>
      </c>
      <c r="D1597" s="10" t="s">
        <v>24</v>
      </c>
      <c r="E1597" s="10"/>
      <c r="F1597" s="29">
        <v>46226</v>
      </c>
      <c r="G1597" s="28" t="s">
        <v>3641</v>
      </c>
      <c r="H1597" s="10" t="s">
        <v>160</v>
      </c>
      <c r="I1597" s="10" t="s">
        <v>3851</v>
      </c>
      <c r="J1597" s="195">
        <v>49796219134</v>
      </c>
      <c r="K1597" s="181" t="s">
        <v>3852</v>
      </c>
      <c r="L1597" s="108">
        <v>23020950</v>
      </c>
      <c r="M1597" s="36">
        <v>5218681620416</v>
      </c>
      <c r="N1597" s="170" t="s">
        <v>47</v>
      </c>
      <c r="O1597" s="49">
        <v>9312.26</v>
      </c>
      <c r="P1597" s="96">
        <v>1840.4</v>
      </c>
      <c r="Q1597" s="11">
        <v>2793.68</v>
      </c>
      <c r="R1597" s="16">
        <v>953.28</v>
      </c>
      <c r="S1597" s="71"/>
      <c r="T1597" s="10"/>
      <c r="U1597" s="97"/>
      <c r="V1597" s="1"/>
      <c r="X1597" s="101">
        <v>1</v>
      </c>
    </row>
    <row r="1598" spans="2:24" hidden="1">
      <c r="B1598" s="6" t="s">
        <v>3795</v>
      </c>
      <c r="C1598" s="23">
        <v>46226.636805555558</v>
      </c>
      <c r="D1598" s="6" t="s">
        <v>24</v>
      </c>
      <c r="E1598" s="6"/>
      <c r="F1598" s="29">
        <v>46226</v>
      </c>
      <c r="G1598" s="27" t="s">
        <v>3641</v>
      </c>
      <c r="H1598" s="6" t="s">
        <v>1519</v>
      </c>
      <c r="I1598" s="6" t="s">
        <v>3853</v>
      </c>
      <c r="J1598" s="196">
        <v>15947209019</v>
      </c>
      <c r="K1598" s="180" t="s">
        <v>3854</v>
      </c>
      <c r="L1598" s="107">
        <v>22988238</v>
      </c>
      <c r="M1598" s="37">
        <v>5215645859587</v>
      </c>
      <c r="N1598" s="169" t="s">
        <v>32</v>
      </c>
      <c r="O1598" s="48">
        <v>3908.19</v>
      </c>
      <c r="P1598" s="95">
        <v>848</v>
      </c>
      <c r="Q1598" s="8">
        <v>1172.46</v>
      </c>
      <c r="R1598" s="13">
        <v>-848</v>
      </c>
      <c r="S1598" s="70"/>
      <c r="T1598" s="6"/>
      <c r="U1598" s="164"/>
      <c r="V1598" s="1"/>
      <c r="X1598" s="101">
        <v>1</v>
      </c>
    </row>
    <row r="1599" spans="2:24" hidden="1">
      <c r="B1599" s="10" t="s">
        <v>3855</v>
      </c>
      <c r="C1599" s="24">
        <v>46226.637499999997</v>
      </c>
      <c r="D1599" s="10" t="s">
        <v>24</v>
      </c>
      <c r="E1599" s="10"/>
      <c r="F1599" s="29">
        <v>46226</v>
      </c>
      <c r="G1599" s="28" t="s">
        <v>3641</v>
      </c>
      <c r="H1599" s="10" t="s">
        <v>51</v>
      </c>
      <c r="I1599" s="10" t="s">
        <v>3856</v>
      </c>
      <c r="J1599" s="195">
        <v>11654749305</v>
      </c>
      <c r="K1599" s="181" t="s">
        <v>3857</v>
      </c>
      <c r="L1599" s="108">
        <v>23018812</v>
      </c>
      <c r="M1599" s="36">
        <v>5214441164605</v>
      </c>
      <c r="N1599" s="170" t="s">
        <v>130</v>
      </c>
      <c r="O1599" s="49">
        <v>12903.64</v>
      </c>
      <c r="P1599" s="96">
        <v>3732.48</v>
      </c>
      <c r="Q1599" s="11">
        <v>3871.09</v>
      </c>
      <c r="R1599" s="12">
        <v>138.61000000000001</v>
      </c>
      <c r="S1599" s="71">
        <v>45662</v>
      </c>
      <c r="T1599" s="10"/>
      <c r="U1599" s="97"/>
      <c r="V1599" s="1"/>
      <c r="X1599" s="101">
        <v>2</v>
      </c>
    </row>
    <row r="1600" spans="2:24" hidden="1">
      <c r="B1600" s="6" t="s">
        <v>3858</v>
      </c>
      <c r="C1600" s="23">
        <v>46226.638194444444</v>
      </c>
      <c r="D1600" s="6" t="s">
        <v>24</v>
      </c>
      <c r="E1600" s="6"/>
      <c r="F1600" s="29">
        <v>46226</v>
      </c>
      <c r="G1600" s="27" t="s">
        <v>3641</v>
      </c>
      <c r="H1600" s="160" t="s">
        <v>3575</v>
      </c>
      <c r="I1600" s="6" t="s">
        <v>3859</v>
      </c>
      <c r="J1600" s="196"/>
      <c r="K1600" s="180" t="s">
        <v>3860</v>
      </c>
      <c r="L1600" s="107">
        <v>23027824</v>
      </c>
      <c r="M1600" s="37">
        <v>5214613192765</v>
      </c>
      <c r="N1600" s="169" t="s">
        <v>28</v>
      </c>
      <c r="O1600" s="48">
        <v>9760.32</v>
      </c>
      <c r="P1600" s="95">
        <v>848</v>
      </c>
      <c r="Q1600" s="8">
        <v>2928.1</v>
      </c>
      <c r="R1600" s="9">
        <v>2080.1</v>
      </c>
      <c r="S1600" s="70"/>
      <c r="T1600" s="6"/>
      <c r="U1600" s="164"/>
      <c r="V1600" s="1"/>
      <c r="X1600" s="101">
        <v>1</v>
      </c>
    </row>
    <row r="1601" spans="1:24" hidden="1">
      <c r="B1601" s="10" t="s">
        <v>3861</v>
      </c>
      <c r="C1601" s="24">
        <v>46226.638888888891</v>
      </c>
      <c r="D1601" s="10" t="s">
        <v>24</v>
      </c>
      <c r="E1601" s="10"/>
      <c r="F1601" s="29">
        <v>46226</v>
      </c>
      <c r="G1601" s="28" t="s">
        <v>2859</v>
      </c>
      <c r="H1601" s="10" t="s">
        <v>68</v>
      </c>
      <c r="I1601" s="10" t="s">
        <v>3862</v>
      </c>
      <c r="J1601" s="195"/>
      <c r="K1601" s="181" t="s">
        <v>3863</v>
      </c>
      <c r="L1601" s="108">
        <v>22883546</v>
      </c>
      <c r="M1601" s="36">
        <v>5212732286933</v>
      </c>
      <c r="N1601" s="170" t="s">
        <v>28</v>
      </c>
      <c r="O1601" s="49">
        <v>10636.54</v>
      </c>
      <c r="P1601" s="96"/>
      <c r="Q1601" s="42">
        <f>OfficeForms.Table[[#This Row],[ INFORMEDEPAGO ]]*0.3</f>
        <v>3190.962</v>
      </c>
      <c r="R1601" s="12">
        <f>(IF(O1601&lt;4172.98,0,MIN(O1601*0.3,O1601-4172.98)))-P1601</f>
        <v>3190.962</v>
      </c>
      <c r="S1601" s="71"/>
      <c r="T1601" s="10"/>
      <c r="U1601" s="97"/>
      <c r="V1601" s="1"/>
      <c r="X1601" s="101">
        <v>1</v>
      </c>
    </row>
    <row r="1602" spans="1:24" hidden="1">
      <c r="B1602" s="6" t="s">
        <v>3864</v>
      </c>
      <c r="C1602" s="23">
        <v>46226.63958333333</v>
      </c>
      <c r="D1602" s="6" t="s">
        <v>24</v>
      </c>
      <c r="E1602" s="6"/>
      <c r="F1602" s="29">
        <v>46226</v>
      </c>
      <c r="G1602" s="27" t="s">
        <v>3260</v>
      </c>
      <c r="H1602" s="6" t="s">
        <v>68</v>
      </c>
      <c r="I1602" s="6" t="s">
        <v>3865</v>
      </c>
      <c r="J1602" s="196">
        <v>24906611108</v>
      </c>
      <c r="K1602" s="180" t="s">
        <v>3866</v>
      </c>
      <c r="L1602" s="108">
        <v>23004738</v>
      </c>
      <c r="M1602" s="37">
        <v>5216441979773</v>
      </c>
      <c r="N1602" s="169" t="s">
        <v>37</v>
      </c>
      <c r="O1602" s="50">
        <v>10636.54</v>
      </c>
      <c r="P1602" s="97">
        <v>3189.27</v>
      </c>
      <c r="Q1602" s="42">
        <f>OfficeForms.Table[[#This Row],[ INFORMEDEPAGO ]]*0.3</f>
        <v>3190.962</v>
      </c>
      <c r="R1602" s="12">
        <f>(IF(O1602&lt;4172.98,0,MIN(O1602*0.3,O1602-4172.98)))-P1602</f>
        <v>1.6920000000000073</v>
      </c>
      <c r="S1602" s="70">
        <v>46905</v>
      </c>
      <c r="T1602" s="6"/>
      <c r="U1602" s="164"/>
      <c r="V1602" s="1"/>
      <c r="X1602" s="101">
        <v>2</v>
      </c>
    </row>
    <row r="1603" spans="1:24" hidden="1">
      <c r="B1603" s="10" t="s">
        <v>3867</v>
      </c>
      <c r="C1603" s="24">
        <v>46226.644444444442</v>
      </c>
      <c r="D1603" s="10" t="s">
        <v>24</v>
      </c>
      <c r="E1603" s="10"/>
      <c r="F1603" s="29">
        <v>46226</v>
      </c>
      <c r="G1603" s="28" t="s">
        <v>3641</v>
      </c>
      <c r="H1603" s="160" t="s">
        <v>3452</v>
      </c>
      <c r="I1603" s="10" t="s">
        <v>3868</v>
      </c>
      <c r="J1603" s="195"/>
      <c r="K1603" s="181" t="s">
        <v>3869</v>
      </c>
      <c r="L1603" s="108">
        <v>23030558</v>
      </c>
      <c r="M1603" s="36">
        <v>5565224304</v>
      </c>
      <c r="N1603" s="170" t="s">
        <v>28</v>
      </c>
      <c r="O1603" s="49">
        <v>23310.86</v>
      </c>
      <c r="P1603" s="96"/>
      <c r="Q1603" s="42">
        <f>OfficeForms.Table[[#This Row],[ INFORMEDEPAGO ]]*0.3</f>
        <v>6993.2579999999998</v>
      </c>
      <c r="R1603" s="12">
        <f>(IF(O1603&lt;4172.98,0,MIN(O1603*0.3,O1603-4172.98)))-P1603</f>
        <v>6993.2579999999998</v>
      </c>
      <c r="S1603" s="71"/>
      <c r="T1603" s="10"/>
      <c r="U1603" s="97"/>
      <c r="V1603" s="1"/>
      <c r="X1603" s="101">
        <v>1</v>
      </c>
    </row>
    <row r="1604" spans="1:24" hidden="1">
      <c r="B1604" s="6" t="s">
        <v>3870</v>
      </c>
      <c r="C1604" s="23">
        <v>46226.647222222222</v>
      </c>
      <c r="D1604" s="6" t="s">
        <v>24</v>
      </c>
      <c r="E1604" s="6"/>
      <c r="F1604" s="29">
        <v>46226</v>
      </c>
      <c r="G1604" s="27" t="s">
        <v>2142</v>
      </c>
      <c r="H1604" s="6" t="s">
        <v>78</v>
      </c>
      <c r="I1604" s="6" t="s">
        <v>3871</v>
      </c>
      <c r="J1604" s="196">
        <v>67856502231</v>
      </c>
      <c r="K1604" s="180" t="s">
        <v>3872</v>
      </c>
      <c r="L1604" s="108">
        <v>22784684</v>
      </c>
      <c r="M1604" s="37">
        <v>5212721684798</v>
      </c>
      <c r="N1604" s="169" t="s">
        <v>37</v>
      </c>
      <c r="O1604" s="50">
        <v>9760.32</v>
      </c>
      <c r="P1604" s="97">
        <v>2812.65</v>
      </c>
      <c r="Q1604" s="42">
        <f>OfficeForms.Table[[#This Row],[ INFORMEDEPAGO ]]*0.3</f>
        <v>2928.096</v>
      </c>
      <c r="R1604" s="12">
        <f>(IF(O1604&lt;4172.98,0,MIN(O1604*0.3,O1604-4172.98)))-P1604</f>
        <v>115.44599999999991</v>
      </c>
      <c r="S1604" s="70">
        <v>46661</v>
      </c>
      <c r="T1604" s="6"/>
      <c r="U1604" s="164"/>
      <c r="V1604" s="1"/>
      <c r="X1604" s="101">
        <v>2</v>
      </c>
    </row>
    <row r="1605" spans="1:24" hidden="1">
      <c r="B1605" s="10" t="s">
        <v>3858</v>
      </c>
      <c r="C1605" s="24">
        <v>46226.648611111108</v>
      </c>
      <c r="D1605" s="10" t="s">
        <v>24</v>
      </c>
      <c r="E1605" s="10"/>
      <c r="F1605" s="29">
        <v>46226</v>
      </c>
      <c r="G1605" s="28" t="s">
        <v>3641</v>
      </c>
      <c r="H1605" s="10" t="s">
        <v>127</v>
      </c>
      <c r="I1605" s="10" t="s">
        <v>3873</v>
      </c>
      <c r="J1605" s="195">
        <v>33846104660</v>
      </c>
      <c r="K1605" s="181" t="s">
        <v>3874</v>
      </c>
      <c r="L1605" s="108">
        <v>23007406</v>
      </c>
      <c r="M1605" s="36">
        <v>5214981049629</v>
      </c>
      <c r="N1605" s="170" t="s">
        <v>37</v>
      </c>
      <c r="O1605" s="50">
        <v>8634.4</v>
      </c>
      <c r="P1605" s="97">
        <v>2379.2800000000002</v>
      </c>
      <c r="Q1605" s="42">
        <f>OfficeForms.Table[[#This Row],[ INFORMEDEPAGO ]]*0.3</f>
        <v>2590.3199999999997</v>
      </c>
      <c r="R1605" s="12">
        <f>(IF(O1605&lt;4172.98,0,MIN(O1605*0.3,O1605-4172.98)))-P1605</f>
        <v>211.03999999999951</v>
      </c>
      <c r="S1605" s="71">
        <v>46235</v>
      </c>
      <c r="T1605" s="10"/>
      <c r="U1605" s="97"/>
      <c r="V1605" s="1"/>
      <c r="X1605" s="101">
        <v>2</v>
      </c>
    </row>
    <row r="1606" spans="1:24" hidden="1">
      <c r="B1606" s="6" t="s">
        <v>3875</v>
      </c>
      <c r="C1606" s="23">
        <v>46226.649305555555</v>
      </c>
      <c r="D1606" s="6" t="s">
        <v>24</v>
      </c>
      <c r="E1606" s="6"/>
      <c r="F1606" s="29">
        <v>46226</v>
      </c>
      <c r="G1606" s="27" t="s">
        <v>3641</v>
      </c>
      <c r="H1606" s="6" t="s">
        <v>39</v>
      </c>
      <c r="I1606" s="6" t="s">
        <v>3876</v>
      </c>
      <c r="J1606" s="196">
        <v>25936916524</v>
      </c>
      <c r="K1606" s="180" t="s">
        <v>3877</v>
      </c>
      <c r="L1606" s="108">
        <v>23027520</v>
      </c>
      <c r="M1606" s="37">
        <v>5216632117015</v>
      </c>
      <c r="N1606" s="169" t="s">
        <v>37</v>
      </c>
      <c r="O1606" s="50">
        <v>7693.6</v>
      </c>
      <c r="P1606" s="97">
        <v>2214.9699999999998</v>
      </c>
      <c r="Q1606" s="42">
        <f>OfficeForms.Table[[#This Row],[ INFORMEDEPAGO ]]*0.3</f>
        <v>2308.08</v>
      </c>
      <c r="R1606" s="12">
        <f>(IF(O1606&lt;4172.98,0,MIN(O1606*0.3,O1606-4172.98)))-P1606</f>
        <v>93.110000000000127</v>
      </c>
      <c r="S1606" s="70">
        <v>46722</v>
      </c>
      <c r="T1606" s="6" t="s">
        <v>178</v>
      </c>
      <c r="U1606" s="164"/>
      <c r="V1606" s="1"/>
      <c r="X1606" s="101">
        <v>2</v>
      </c>
    </row>
    <row r="1607" spans="1:24" hidden="1">
      <c r="B1607" s="10" t="s">
        <v>3878</v>
      </c>
      <c r="C1607" s="24">
        <v>46226.652777777781</v>
      </c>
      <c r="D1607" s="10" t="s">
        <v>24</v>
      </c>
      <c r="E1607" s="10"/>
      <c r="F1607" s="29">
        <v>46226</v>
      </c>
      <c r="G1607" s="28" t="s">
        <v>3641</v>
      </c>
      <c r="H1607" s="10" t="s">
        <v>1625</v>
      </c>
      <c r="I1607" s="10" t="s">
        <v>3879</v>
      </c>
      <c r="J1607" s="198">
        <v>32713310129</v>
      </c>
      <c r="K1607" s="179" t="s">
        <v>3880</v>
      </c>
      <c r="L1607" s="116">
        <v>2</v>
      </c>
      <c r="M1607" s="36">
        <v>8662544008</v>
      </c>
      <c r="N1607" s="170" t="s">
        <v>32</v>
      </c>
      <c r="O1607" s="50">
        <v>3530.52</v>
      </c>
      <c r="P1607" s="97">
        <v>848</v>
      </c>
      <c r="Q1607" s="42">
        <f>OfficeForms.Table[[#This Row],[ INFORMEDEPAGO ]]*0.3</f>
        <v>1059.1559999999999</v>
      </c>
      <c r="R1607" s="12">
        <f>(IF(O1607&lt;4172.98,0,MIN(O1607*0.3,O1607-4172.98)))-P1607</f>
        <v>-848</v>
      </c>
      <c r="S1607" s="71"/>
      <c r="T1607" s="10"/>
      <c r="U1607" s="97"/>
      <c r="V1607" s="1"/>
      <c r="X1607" s="101">
        <v>1</v>
      </c>
    </row>
    <row r="1608" spans="1:24" hidden="1">
      <c r="B1608" s="6" t="s">
        <v>3881</v>
      </c>
      <c r="C1608" s="23">
        <v>46226.65625</v>
      </c>
      <c r="D1608" s="6" t="s">
        <v>24</v>
      </c>
      <c r="E1608" s="6"/>
      <c r="F1608" s="29">
        <v>46226</v>
      </c>
      <c r="G1608" s="27" t="s">
        <v>3641</v>
      </c>
      <c r="H1608" s="7" t="s">
        <v>107</v>
      </c>
      <c r="I1608" s="44"/>
      <c r="J1608" s="196">
        <v>65675015187</v>
      </c>
      <c r="K1608" s="180" t="s">
        <v>3882</v>
      </c>
      <c r="L1608" s="108">
        <v>23028862</v>
      </c>
      <c r="M1608" s="37">
        <v>19242122819</v>
      </c>
      <c r="N1608" s="169" t="s">
        <v>37</v>
      </c>
      <c r="O1608" s="43">
        <v>8861.0300000000007</v>
      </c>
      <c r="P1608" s="97">
        <v>2559.0300000000002</v>
      </c>
      <c r="Q1608" s="42">
        <f>OfficeForms.Table[[#This Row],[ INFORMEDEPAGO ]]*0.3</f>
        <v>2658.3090000000002</v>
      </c>
      <c r="R1608" s="12">
        <f>(IF(O1608&lt;4172.98,0,MIN(O1608*0.3,O1608-4172.98)))-P1608</f>
        <v>99.278999999999996</v>
      </c>
      <c r="S1608" s="70">
        <v>46508</v>
      </c>
      <c r="T1608" s="6"/>
      <c r="U1608" s="164"/>
      <c r="V1608" s="1"/>
      <c r="X1608" s="101">
        <v>2</v>
      </c>
    </row>
    <row r="1609" spans="1:24" hidden="1">
      <c r="B1609" s="10" t="s">
        <v>3883</v>
      </c>
      <c r="C1609" s="24">
        <v>46226.65625</v>
      </c>
      <c r="D1609" s="10" t="s">
        <v>24</v>
      </c>
      <c r="E1609" s="10"/>
      <c r="F1609" s="29">
        <v>46226</v>
      </c>
      <c r="G1609" s="28" t="s">
        <v>3260</v>
      </c>
      <c r="H1609" s="10" t="s">
        <v>160</v>
      </c>
      <c r="I1609" s="10" t="s">
        <v>3884</v>
      </c>
      <c r="J1609" s="195">
        <v>88826214426</v>
      </c>
      <c r="K1609" s="181" t="s">
        <v>3885</v>
      </c>
      <c r="L1609" s="108">
        <v>22984028</v>
      </c>
      <c r="M1609" s="36">
        <v>5215565167048</v>
      </c>
      <c r="N1609" s="170" t="s">
        <v>37</v>
      </c>
      <c r="O1609" s="43">
        <v>9760.32</v>
      </c>
      <c r="P1609" s="97">
        <v>2806.88</v>
      </c>
      <c r="Q1609" s="42">
        <f>OfficeForms.Table[[#This Row],[ INFORMEDEPAGO ]]*0.3</f>
        <v>2928.096</v>
      </c>
      <c r="R1609" s="12">
        <f>(IF(O1609&lt;4172.98,0,MIN(O1609*0.3,O1609-4172.98)))-P1609</f>
        <v>121.21599999999989</v>
      </c>
      <c r="S1609" s="71">
        <v>46569</v>
      </c>
      <c r="T1609" s="10" t="s">
        <v>84</v>
      </c>
      <c r="U1609" s="97"/>
      <c r="V1609" s="1"/>
      <c r="X1609" s="101">
        <v>2</v>
      </c>
    </row>
    <row r="1610" spans="1:24" hidden="1">
      <c r="A1610">
        <v>1</v>
      </c>
      <c r="B1610" s="2">
        <v>46226.709537037037</v>
      </c>
      <c r="C1610" s="2">
        <v>46226.711157407408</v>
      </c>
      <c r="D1610" t="s">
        <v>3886</v>
      </c>
      <c r="F1610" s="29">
        <v>46226</v>
      </c>
      <c r="G1610" s="29">
        <v>46226</v>
      </c>
      <c r="H1610" t="s">
        <v>51</v>
      </c>
      <c r="I1610" t="s">
        <v>3887</v>
      </c>
      <c r="K1610" s="173" t="s">
        <v>3888</v>
      </c>
      <c r="L1610" s="62">
        <v>23020314</v>
      </c>
      <c r="M1610" s="41" t="s">
        <v>3889</v>
      </c>
      <c r="N1610" s="171" t="s">
        <v>106</v>
      </c>
      <c r="O1610" s="43">
        <v>8299.1</v>
      </c>
      <c r="P1610" s="97">
        <v>2015.16</v>
      </c>
      <c r="Q1610" s="42">
        <f>OfficeForms.Table[[#This Row],[ INFORMEDEPAGO ]]*0.3</f>
        <v>2489.73</v>
      </c>
      <c r="R1610" s="12">
        <f>(IF(O1610&lt;4172.98,0,MIN(O1610*0.3,O1610-4172.98)))-P1610</f>
        <v>474.56999999999994</v>
      </c>
      <c r="S1610" s="74">
        <v>45566</v>
      </c>
      <c r="T1610" s="1"/>
      <c r="V1610" s="1"/>
      <c r="X1610" s="101">
        <v>2</v>
      </c>
    </row>
    <row r="1611" spans="1:24" hidden="1">
      <c r="A1611">
        <v>2</v>
      </c>
      <c r="B1611" s="2">
        <v>46226.7112962963</v>
      </c>
      <c r="C1611" s="2">
        <v>46226.714861111097</v>
      </c>
      <c r="D1611" s="1" t="s">
        <v>24</v>
      </c>
      <c r="E1611" s="1"/>
      <c r="F1611" s="29">
        <v>46226</v>
      </c>
      <c r="G1611" s="29">
        <v>46226</v>
      </c>
      <c r="H1611" s="1" t="s">
        <v>39</v>
      </c>
      <c r="I1611" s="1" t="s">
        <v>3890</v>
      </c>
      <c r="J1611" s="175"/>
      <c r="K1611" s="171" t="s">
        <v>3891</v>
      </c>
      <c r="L1611" s="62">
        <v>23012372</v>
      </c>
      <c r="M1611" s="41" t="s">
        <v>3892</v>
      </c>
      <c r="N1611" s="171" t="s">
        <v>32</v>
      </c>
      <c r="O1611" s="51">
        <v>4226.16</v>
      </c>
      <c r="Q1611" s="42">
        <f>OfficeForms.Table[[#This Row],[ INFORMEDEPAGO ]]*0.3</f>
        <v>1267.848</v>
      </c>
      <c r="R1611" s="12">
        <f>(IF(O1611&lt;4172.98,0,MIN(O1611*0.3,O1611-4172.98)))-P1611</f>
        <v>53.180000000000291</v>
      </c>
      <c r="T1611" s="1"/>
      <c r="V1611" s="1"/>
      <c r="X1611" s="101">
        <v>1</v>
      </c>
    </row>
    <row r="1612" spans="1:24" hidden="1">
      <c r="A1612">
        <v>3</v>
      </c>
      <c r="B1612" s="2">
        <v>46226.723425925898</v>
      </c>
      <c r="C1612" s="2">
        <v>46226.724699074097</v>
      </c>
      <c r="D1612" s="1" t="s">
        <v>24</v>
      </c>
      <c r="E1612" s="1"/>
      <c r="F1612" s="29">
        <v>46226</v>
      </c>
      <c r="G1612" s="29">
        <v>46226</v>
      </c>
      <c r="H1612" s="1" t="s">
        <v>3036</v>
      </c>
      <c r="I1612" s="1" t="s">
        <v>3893</v>
      </c>
      <c r="J1612" s="175"/>
      <c r="K1612" s="171" t="s">
        <v>3894</v>
      </c>
      <c r="L1612" s="62">
        <v>23032436</v>
      </c>
      <c r="M1612" s="30">
        <v>5219841357497</v>
      </c>
      <c r="N1612" s="171" t="s">
        <v>28</v>
      </c>
      <c r="O1612" s="51">
        <v>9760.32</v>
      </c>
      <c r="Q1612" s="42">
        <f>OfficeForms.Table[[#This Row],[ INFORMEDEPAGO ]]*0.3</f>
        <v>2928.096</v>
      </c>
      <c r="R1612" s="12">
        <f>(IF(O1612&lt;4172.98,0,MIN(O1612*0.3,O1612-4172.98)))-P1612</f>
        <v>2928.096</v>
      </c>
      <c r="T1612" s="1"/>
      <c r="V1612" s="1"/>
      <c r="X1612" s="101">
        <v>1</v>
      </c>
    </row>
    <row r="1613" spans="1:24" hidden="1">
      <c r="A1613">
        <v>4</v>
      </c>
      <c r="B1613" s="2">
        <v>46226.723946759303</v>
      </c>
      <c r="C1613" s="2">
        <v>46226.725231481498</v>
      </c>
      <c r="D1613" s="1" t="s">
        <v>24</v>
      </c>
      <c r="E1613" s="1"/>
      <c r="F1613" s="29">
        <v>46226</v>
      </c>
      <c r="G1613" s="29">
        <v>46226</v>
      </c>
      <c r="H1613" s="1" t="s">
        <v>71</v>
      </c>
      <c r="I1613" s="1" t="s">
        <v>3895</v>
      </c>
      <c r="J1613" s="175">
        <v>82926600758</v>
      </c>
      <c r="K1613" s="171"/>
      <c r="L1613" s="62">
        <v>23032608</v>
      </c>
      <c r="M1613" s="30">
        <v>5219931160471</v>
      </c>
      <c r="N1613" s="171" t="s">
        <v>37</v>
      </c>
      <c r="O1613" s="43">
        <v>10636.54</v>
      </c>
      <c r="P1613" s="97">
        <v>3184.73</v>
      </c>
      <c r="Q1613" s="42">
        <f>OfficeForms.Table[[#This Row],[ INFORMEDEPAGO ]]*0.3</f>
        <v>3190.962</v>
      </c>
      <c r="R1613" s="12">
        <f>(IF(O1613&lt;4172.98,0,MIN(O1613*0.3,O1613-4172.98)))-P1613</f>
        <v>6.2319999999999709</v>
      </c>
      <c r="S1613" s="74">
        <v>46935</v>
      </c>
      <c r="T1613" s="1" t="s">
        <v>84</v>
      </c>
      <c r="V1613" s="1"/>
      <c r="X1613" s="101">
        <v>2</v>
      </c>
    </row>
    <row r="1614" spans="1:24" hidden="1">
      <c r="A1614">
        <v>5</v>
      </c>
      <c r="B1614" s="2">
        <v>46226.725208333301</v>
      </c>
      <c r="C1614" s="2">
        <v>46226.725868055597</v>
      </c>
      <c r="D1614" s="1" t="s">
        <v>24</v>
      </c>
      <c r="E1614" s="1"/>
      <c r="F1614" s="29">
        <v>46226</v>
      </c>
      <c r="G1614" s="29">
        <v>46226</v>
      </c>
      <c r="H1614" s="1" t="s">
        <v>3575</v>
      </c>
      <c r="I1614" s="1" t="s">
        <v>3896</v>
      </c>
      <c r="J1614" s="175"/>
      <c r="K1614" s="171" t="s">
        <v>3897</v>
      </c>
      <c r="L1614" s="62">
        <v>23029090</v>
      </c>
      <c r="M1614" s="30">
        <v>5216221228242</v>
      </c>
      <c r="N1614" s="171" t="s">
        <v>37</v>
      </c>
      <c r="O1614" s="43">
        <v>9081.52</v>
      </c>
      <c r="P1614" s="97">
        <v>2520</v>
      </c>
      <c r="Q1614" s="42">
        <f>OfficeForms.Table[[#This Row],[ INFORMEDEPAGO ]]*0.3</f>
        <v>2724.4560000000001</v>
      </c>
      <c r="R1614" s="12">
        <f>(IF(O1614&lt;4172.98,0,MIN(O1614*0.3,O1614-4172.98)))-P1614</f>
        <v>204.45600000000013</v>
      </c>
      <c r="S1614" s="74">
        <v>46266</v>
      </c>
      <c r="T1614" s="1"/>
      <c r="V1614" s="1"/>
      <c r="X1614" s="101">
        <v>2</v>
      </c>
    </row>
    <row r="1615" spans="1:24" hidden="1">
      <c r="A1615">
        <v>6</v>
      </c>
      <c r="B1615" s="2">
        <v>46226.725787037001</v>
      </c>
      <c r="C1615" s="2">
        <v>46226.72625</v>
      </c>
      <c r="D1615" s="1" t="s">
        <v>24</v>
      </c>
      <c r="E1615" s="1"/>
      <c r="F1615" s="29">
        <v>46226</v>
      </c>
      <c r="G1615" s="29">
        <v>46226</v>
      </c>
      <c r="H1615" s="1" t="s">
        <v>71</v>
      </c>
      <c r="I1615" s="1" t="s">
        <v>3898</v>
      </c>
      <c r="J1615" s="207" t="s">
        <v>3899</v>
      </c>
      <c r="K1615" s="171"/>
      <c r="L1615" s="62">
        <v>23031796</v>
      </c>
      <c r="M1615" s="30">
        <v>5217351020353</v>
      </c>
      <c r="N1615" s="171" t="s">
        <v>28</v>
      </c>
      <c r="O1615" s="51">
        <v>9760.32</v>
      </c>
      <c r="Q1615" s="42">
        <f>OfficeForms.Table[[#This Row],[ INFORMEDEPAGO ]]*0.3</f>
        <v>2928.096</v>
      </c>
      <c r="R1615" s="12">
        <f>(IF(O1615&lt;4172.98,0,MIN(O1615*0.3,O1615-4172.98)))-P1615</f>
        <v>2928.096</v>
      </c>
      <c r="T1615" s="1"/>
      <c r="V1615" s="1"/>
      <c r="X1615" s="101">
        <v>1</v>
      </c>
    </row>
    <row r="1616" spans="1:24" hidden="1">
      <c r="A1616">
        <v>7</v>
      </c>
      <c r="B1616" s="2">
        <v>46226.724340277797</v>
      </c>
      <c r="C1616" s="2">
        <v>46226.726365740702</v>
      </c>
      <c r="D1616" s="1" t="s">
        <v>24</v>
      </c>
      <c r="E1616" s="1"/>
      <c r="F1616" s="29">
        <v>46226</v>
      </c>
      <c r="G1616" s="29">
        <v>46226</v>
      </c>
      <c r="H1616" s="1" t="s">
        <v>1629</v>
      </c>
      <c r="I1616" s="1" t="s">
        <v>3900</v>
      </c>
      <c r="J1616" s="207">
        <v>11786026424</v>
      </c>
      <c r="K1616" s="171" t="s">
        <v>3901</v>
      </c>
      <c r="L1616" s="62">
        <v>2</v>
      </c>
      <c r="M1616" s="30">
        <v>5520954629</v>
      </c>
      <c r="N1616" s="171" t="s">
        <v>37</v>
      </c>
      <c r="O1616" s="43">
        <v>5617.63</v>
      </c>
      <c r="P1616" s="97">
        <v>1443.34</v>
      </c>
      <c r="Q1616" s="42">
        <f>OfficeForms.Table[[#This Row],[ INFORMEDEPAGO ]]*0.3</f>
        <v>1685.289</v>
      </c>
      <c r="R1616" s="12">
        <f>(IF(O1616&lt;4172.98,0,MIN(O1616*0.3,O1616-4172.98)))-P1616</f>
        <v>1.3100000000006276</v>
      </c>
      <c r="S1616" s="74">
        <v>46722</v>
      </c>
      <c r="T1616" s="1"/>
      <c r="V1616" s="1"/>
      <c r="X1616" s="101">
        <v>2</v>
      </c>
    </row>
    <row r="1617" spans="1:24" hidden="1">
      <c r="A1617">
        <v>9</v>
      </c>
      <c r="B1617" s="2">
        <v>46226.725578703699</v>
      </c>
      <c r="C1617" s="2">
        <v>46226.726527777799</v>
      </c>
      <c r="D1617" s="1" t="s">
        <v>24</v>
      </c>
      <c r="E1617" s="1"/>
      <c r="F1617" s="29">
        <v>46226</v>
      </c>
      <c r="G1617" s="29">
        <v>46226</v>
      </c>
      <c r="H1617" s="1" t="s">
        <v>3022</v>
      </c>
      <c r="I1617" s="1" t="s">
        <v>3902</v>
      </c>
      <c r="J1617" s="207"/>
      <c r="K1617" s="185" t="s">
        <v>3903</v>
      </c>
      <c r="L1617" s="62">
        <v>23031968</v>
      </c>
      <c r="M1617" s="30">
        <v>6221725468</v>
      </c>
      <c r="N1617" s="171" t="s">
        <v>32</v>
      </c>
      <c r="O1617" s="43">
        <v>3246.8</v>
      </c>
      <c r="P1617" s="97">
        <v>782</v>
      </c>
      <c r="Q1617" s="42">
        <f>OfficeForms.Table[[#This Row],[ INFORMEDEPAGO ]]*0.3</f>
        <v>974.04</v>
      </c>
      <c r="R1617" s="12">
        <f>(IF(O1617&lt;4172.98,0,MIN(O1617*0.3,O1617-4172.98)))-P1617</f>
        <v>-782</v>
      </c>
      <c r="T1617" s="1"/>
      <c r="V1617" s="1"/>
      <c r="X1617" s="101">
        <v>1</v>
      </c>
    </row>
    <row r="1618" spans="1:24" hidden="1">
      <c r="A1618">
        <v>10</v>
      </c>
      <c r="B1618" s="2">
        <v>46226.7265162037</v>
      </c>
      <c r="C1618" s="2">
        <v>46226.726944444403</v>
      </c>
      <c r="D1618" s="1" t="s">
        <v>24</v>
      </c>
      <c r="E1618" s="1"/>
      <c r="F1618" s="29">
        <v>46226</v>
      </c>
      <c r="G1618" s="29">
        <v>46226</v>
      </c>
      <c r="H1618" s="1" t="s">
        <v>1625</v>
      </c>
      <c r="I1618" s="1" t="s">
        <v>3904</v>
      </c>
      <c r="J1618" s="207">
        <v>31815908988</v>
      </c>
      <c r="K1618" s="171" t="s">
        <v>3905</v>
      </c>
      <c r="L1618" s="62">
        <v>2</v>
      </c>
      <c r="M1618" s="41" t="s">
        <v>3906</v>
      </c>
      <c r="N1618" s="171" t="s">
        <v>37</v>
      </c>
      <c r="O1618" s="52">
        <v>11103.69</v>
      </c>
      <c r="P1618" s="99">
        <v>3212.57</v>
      </c>
      <c r="Q1618" s="42">
        <f>OfficeForms.Table[[#This Row],[ INFORMEDEPAGO ]]*0.3</f>
        <v>3331.107</v>
      </c>
      <c r="R1618" s="12">
        <f>(IF(O1618&lt;4172.98,0,MIN(O1618*0.3,O1618-4172.98)))-P1618</f>
        <v>118.53699999999981</v>
      </c>
      <c r="S1618" s="74">
        <v>46419</v>
      </c>
      <c r="T1618" s="1"/>
      <c r="V1618" s="1"/>
      <c r="X1618" s="101">
        <v>2</v>
      </c>
    </row>
    <row r="1619" spans="1:24" hidden="1">
      <c r="A1619">
        <v>11</v>
      </c>
      <c r="B1619" s="2">
        <v>46226.7269675926</v>
      </c>
      <c r="C1619" s="2">
        <v>46226.7273726852</v>
      </c>
      <c r="D1619" s="1" t="s">
        <v>24</v>
      </c>
      <c r="E1619" s="1"/>
      <c r="F1619" s="29">
        <v>46226</v>
      </c>
      <c r="G1619" s="29">
        <v>46226</v>
      </c>
      <c r="H1619" s="1" t="s">
        <v>1625</v>
      </c>
      <c r="I1619" s="1" t="s">
        <v>3907</v>
      </c>
      <c r="J1619" s="207">
        <v>16897236168</v>
      </c>
      <c r="K1619" s="171" t="s">
        <v>1274</v>
      </c>
      <c r="L1619" s="62">
        <v>2</v>
      </c>
      <c r="M1619" s="41" t="s">
        <v>3908</v>
      </c>
      <c r="N1619" s="170" t="s">
        <v>37</v>
      </c>
      <c r="O1619" s="49">
        <v>12462.75</v>
      </c>
      <c r="P1619" s="96">
        <v>3605.08</v>
      </c>
      <c r="Q1619" s="12">
        <v>3738.83</v>
      </c>
      <c r="R1619" s="12">
        <v>133.75</v>
      </c>
      <c r="S1619" s="74">
        <v>46539</v>
      </c>
      <c r="T1619" s="1"/>
      <c r="V1619" s="1"/>
      <c r="X1619" s="101">
        <v>2</v>
      </c>
    </row>
    <row r="1620" spans="1:24" hidden="1">
      <c r="A1620">
        <v>12</v>
      </c>
      <c r="B1620" s="2">
        <v>46226.725092592598</v>
      </c>
      <c r="C1620" s="2">
        <v>46226.7278240741</v>
      </c>
      <c r="D1620" s="1" t="s">
        <v>24</v>
      </c>
      <c r="E1620" s="1"/>
      <c r="F1620" s="29">
        <v>46226</v>
      </c>
      <c r="G1620" s="29">
        <v>46216</v>
      </c>
      <c r="H1620" s="1" t="s">
        <v>476</v>
      </c>
      <c r="I1620" s="1" t="s">
        <v>3909</v>
      </c>
      <c r="J1620" s="207" t="s">
        <v>3910</v>
      </c>
      <c r="K1620" s="171"/>
      <c r="L1620" s="62">
        <v>22673378</v>
      </c>
      <c r="M1620" s="30">
        <v>5216141023371</v>
      </c>
      <c r="N1620" s="171" t="s">
        <v>28</v>
      </c>
      <c r="O1620" s="51">
        <v>9081.52</v>
      </c>
      <c r="Q1620" s="42">
        <f>OfficeForms.Table[[#This Row],[ INFORMEDEPAGO ]]*0.3</f>
        <v>2724.4560000000001</v>
      </c>
      <c r="R1620" s="12">
        <f>(IF(O1620&lt;4172.98,0,MIN(O1620*0.3,O1620-4172.98)))-P1620</f>
        <v>2724.4560000000001</v>
      </c>
      <c r="T1620" s="1"/>
      <c r="V1620" s="1"/>
      <c r="X1620" s="101">
        <v>1</v>
      </c>
    </row>
    <row r="1621" spans="1:24" hidden="1">
      <c r="A1621">
        <v>13</v>
      </c>
      <c r="B1621" s="2">
        <v>46226.725150462997</v>
      </c>
      <c r="C1621" s="2">
        <v>46226.728206018503</v>
      </c>
      <c r="D1621" s="1" t="s">
        <v>24</v>
      </c>
      <c r="E1621" s="1"/>
      <c r="F1621" s="29">
        <v>46226</v>
      </c>
      <c r="G1621" s="29">
        <v>46226</v>
      </c>
      <c r="H1621" s="1" t="s">
        <v>3452</v>
      </c>
      <c r="I1621" s="1" t="s">
        <v>3911</v>
      </c>
      <c r="J1621" s="207"/>
      <c r="K1621" s="171" t="s">
        <v>3912</v>
      </c>
      <c r="L1621" s="62">
        <v>23033444</v>
      </c>
      <c r="M1621" s="30">
        <v>5527575598</v>
      </c>
      <c r="N1621" s="171" t="s">
        <v>37</v>
      </c>
      <c r="O1621" s="52">
        <v>9760.32</v>
      </c>
      <c r="P1621" s="99">
        <v>2927.79</v>
      </c>
      <c r="Q1621" s="42">
        <f>OfficeForms.Table[[#This Row],[ INFORMEDEPAGO ]]*0.3</f>
        <v>2928.096</v>
      </c>
      <c r="R1621" s="12">
        <f>(IF(O1621&lt;4172.98,0,MIN(O1621*0.3,O1621-4172.98)))-P1621</f>
        <v>0.30600000000004002</v>
      </c>
      <c r="S1621" s="74">
        <v>46844</v>
      </c>
      <c r="T1621" s="1"/>
      <c r="V1621" s="1"/>
      <c r="X1621" s="101">
        <v>2</v>
      </c>
    </row>
    <row r="1622" spans="1:24" hidden="1">
      <c r="A1622">
        <v>14</v>
      </c>
      <c r="B1622" s="2">
        <v>46226.725312499999</v>
      </c>
      <c r="C1622" s="2">
        <v>46226.731493055602</v>
      </c>
      <c r="D1622" s="1" t="s">
        <v>24</v>
      </c>
      <c r="E1622" s="1"/>
      <c r="F1622" s="29">
        <v>46226</v>
      </c>
      <c r="G1622" s="29">
        <v>46226</v>
      </c>
      <c r="H1622" s="1" t="s">
        <v>160</v>
      </c>
      <c r="I1622" s="1" t="s">
        <v>3913</v>
      </c>
      <c r="J1622" s="207">
        <v>12856201426</v>
      </c>
      <c r="K1622" s="171" t="s">
        <v>3914</v>
      </c>
      <c r="L1622" s="62">
        <v>23009262</v>
      </c>
      <c r="M1622" s="30">
        <v>5214772862358</v>
      </c>
      <c r="N1622" s="171" t="s">
        <v>28</v>
      </c>
      <c r="O1622" s="51">
        <v>7116.73</v>
      </c>
      <c r="Q1622" s="42">
        <f>OfficeForms.Table[[#This Row],[ INFORMEDEPAGO ]]*0.3</f>
        <v>2135.0189999999998</v>
      </c>
      <c r="R1622" s="12">
        <f>(IF(O1622&lt;4172.98,0,MIN(O1622*0.3,O1622-4172.98)))-P1622</f>
        <v>2135.0189999999998</v>
      </c>
      <c r="T1622" s="1"/>
      <c r="V1622" s="1"/>
      <c r="X1622" s="101">
        <v>1</v>
      </c>
    </row>
    <row r="1623" spans="1:24" hidden="1">
      <c r="A1623">
        <v>15</v>
      </c>
      <c r="B1623" s="2">
        <v>46226.717615740701</v>
      </c>
      <c r="C1623" s="2">
        <v>46226.732245370396</v>
      </c>
      <c r="D1623" s="1" t="s">
        <v>24</v>
      </c>
      <c r="E1623" s="1"/>
      <c r="F1623" s="29">
        <v>46226</v>
      </c>
      <c r="G1623" s="29">
        <v>46226</v>
      </c>
      <c r="H1623" s="1" t="s">
        <v>81</v>
      </c>
      <c r="I1623" s="1" t="s">
        <v>3915</v>
      </c>
      <c r="J1623" s="207">
        <v>65674725828</v>
      </c>
      <c r="K1623" s="171"/>
      <c r="L1623" s="62">
        <v>23007592</v>
      </c>
      <c r="M1623" s="30">
        <v>5217821052834</v>
      </c>
      <c r="N1623" s="171" t="s">
        <v>32</v>
      </c>
      <c r="O1623" s="51">
        <v>3908.19</v>
      </c>
      <c r="Q1623" s="42">
        <f>OfficeForms.Table[[#This Row],[ INFORMEDEPAGO ]]*0.3</f>
        <v>1172.4569999999999</v>
      </c>
      <c r="R1623" s="12">
        <f>(IF(O1623&lt;4172.98,0,MIN(O1623*0.3,O1623-4172.98)))-P1623</f>
        <v>0</v>
      </c>
      <c r="T1623" s="1"/>
      <c r="V1623" s="1"/>
      <c r="X1623" s="101">
        <v>1</v>
      </c>
    </row>
    <row r="1624" spans="1:24" hidden="1">
      <c r="A1624">
        <v>16</v>
      </c>
      <c r="B1624" s="2">
        <v>46226.719687500001</v>
      </c>
      <c r="C1624" s="2">
        <v>46226.7323958333</v>
      </c>
      <c r="D1624" s="1" t="s">
        <v>24</v>
      </c>
      <c r="E1624" s="1"/>
      <c r="F1624" s="29">
        <v>46226</v>
      </c>
      <c r="G1624" s="29">
        <v>46226</v>
      </c>
      <c r="H1624" s="1" t="s">
        <v>81</v>
      </c>
      <c r="I1624" s="1" t="s">
        <v>3916</v>
      </c>
      <c r="J1624" s="207"/>
      <c r="K1624" s="171" t="s">
        <v>3917</v>
      </c>
      <c r="L1624" s="62">
        <v>23019566</v>
      </c>
      <c r="M1624" s="30">
        <v>5214611481033</v>
      </c>
      <c r="N1624" s="171" t="s">
        <v>37</v>
      </c>
      <c r="O1624" s="52">
        <v>6262.86</v>
      </c>
      <c r="P1624" s="99">
        <v>1809.73</v>
      </c>
      <c r="Q1624" s="42">
        <f>OfficeForms.Table[[#This Row],[ INFORMEDEPAGO ]]*0.3</f>
        <v>1878.8579999999997</v>
      </c>
      <c r="R1624" s="12">
        <f>(IF(O1624&lt;4172.98,0,MIN(O1624*0.3,O1624-4172.98)))-P1624</f>
        <v>69.127999999999702</v>
      </c>
      <c r="S1624" s="74">
        <v>46539</v>
      </c>
      <c r="T1624" s="1"/>
      <c r="V1624" s="1"/>
      <c r="X1624" s="101">
        <v>2</v>
      </c>
    </row>
    <row r="1625" spans="1:24" hidden="1">
      <c r="A1625">
        <v>17</v>
      </c>
      <c r="B1625" s="2">
        <v>46226.732418981497</v>
      </c>
      <c r="C1625" s="2">
        <v>46226.735532407401</v>
      </c>
      <c r="D1625" s="1" t="s">
        <v>24</v>
      </c>
      <c r="E1625" s="1"/>
      <c r="F1625" s="29">
        <v>46226</v>
      </c>
      <c r="G1625" s="29">
        <v>46225</v>
      </c>
      <c r="H1625" s="1" t="s">
        <v>81</v>
      </c>
      <c r="I1625" s="1" t="s">
        <v>3918</v>
      </c>
      <c r="J1625" s="207"/>
      <c r="K1625" s="171" t="s">
        <v>3919</v>
      </c>
      <c r="L1625" s="62">
        <v>23004668</v>
      </c>
      <c r="M1625" s="30">
        <v>5218446662486</v>
      </c>
      <c r="N1625" s="171" t="s">
        <v>37</v>
      </c>
      <c r="O1625" s="52">
        <v>30022.720000000001</v>
      </c>
      <c r="P1625" s="99">
        <v>8903.31</v>
      </c>
      <c r="Q1625" s="42">
        <f>OfficeForms.Table[[#This Row],[ INFORMEDEPAGO ]]*0.3</f>
        <v>9006.8160000000007</v>
      </c>
      <c r="R1625" s="12">
        <f>(IF(O1625&lt;4172.98,0,MIN(O1625*0.3,O1625-4172.98)))-P1625</f>
        <v>103.50600000000122</v>
      </c>
      <c r="S1625" s="74">
        <v>46784</v>
      </c>
      <c r="T1625" s="1"/>
      <c r="V1625" s="1"/>
      <c r="X1625" s="101">
        <v>2</v>
      </c>
    </row>
    <row r="1626" spans="1:24" hidden="1">
      <c r="A1626">
        <v>18</v>
      </c>
      <c r="B1626" s="2">
        <v>46226.7359027778</v>
      </c>
      <c r="C1626" s="2">
        <v>46226.736863425896</v>
      </c>
      <c r="D1626" s="1" t="s">
        <v>24</v>
      </c>
      <c r="E1626" s="1"/>
      <c r="F1626" s="29">
        <v>46226</v>
      </c>
      <c r="G1626" s="29">
        <v>46226</v>
      </c>
      <c r="H1626" s="1" t="s">
        <v>3352</v>
      </c>
      <c r="I1626" s="1" t="s">
        <v>3920</v>
      </c>
      <c r="J1626" s="207">
        <v>81794900803</v>
      </c>
      <c r="K1626" s="171"/>
      <c r="L1626" s="62">
        <v>23032674</v>
      </c>
      <c r="M1626" s="30">
        <v>9381707237</v>
      </c>
      <c r="N1626" s="171" t="s">
        <v>32</v>
      </c>
      <c r="O1626" s="51">
        <f>2970.93+848</f>
        <v>3818.93</v>
      </c>
      <c r="P1626" s="98" t="s">
        <v>3921</v>
      </c>
      <c r="Q1626" s="42">
        <f>OfficeForms.Table[[#This Row],[ INFORMEDEPAGO ]]*0.3</f>
        <v>1145.6789999999999</v>
      </c>
      <c r="R1626" s="12">
        <f>(IF(O1626&lt;4172.98,0,MIN(O1626*0.3,O1626-4172.98)))-P1626</f>
        <v>-848</v>
      </c>
      <c r="T1626" s="1"/>
      <c r="V1626" s="1"/>
      <c r="X1626" s="101">
        <v>1</v>
      </c>
    </row>
    <row r="1627" spans="1:24" hidden="1">
      <c r="A1627">
        <v>19</v>
      </c>
      <c r="B1627" s="2">
        <v>46226.737314814804</v>
      </c>
      <c r="C1627" s="2">
        <v>46226.738391203697</v>
      </c>
      <c r="D1627" s="1" t="s">
        <v>24</v>
      </c>
      <c r="E1627" s="1"/>
      <c r="F1627" s="29">
        <v>46226</v>
      </c>
      <c r="G1627" s="29">
        <v>46226</v>
      </c>
      <c r="H1627" s="1" t="s">
        <v>3352</v>
      </c>
      <c r="I1627" s="1" t="s">
        <v>3922</v>
      </c>
      <c r="J1627" s="207" t="s">
        <v>3923</v>
      </c>
      <c r="K1627" s="171"/>
      <c r="L1627" s="62">
        <v>23032050</v>
      </c>
      <c r="M1627" s="30">
        <v>4497663133</v>
      </c>
      <c r="N1627" s="171" t="s">
        <v>37</v>
      </c>
      <c r="O1627" s="51">
        <v>8784.27</v>
      </c>
      <c r="P1627" s="98" t="s">
        <v>3924</v>
      </c>
      <c r="Q1627" s="42">
        <f>OfficeForms.Table[[#This Row],[ INFORMEDEPAGO ]]*0.3</f>
        <v>2635.2809999999999</v>
      </c>
      <c r="R1627" s="12">
        <f>(IF(O1627&lt;4172.98,0,MIN(O1627*0.3,O1627-4172.98)))-P1627</f>
        <v>41.320999999999913</v>
      </c>
      <c r="S1627" s="74">
        <v>46784</v>
      </c>
      <c r="T1627" s="1"/>
      <c r="V1627" s="1"/>
      <c r="X1627" s="101">
        <v>2</v>
      </c>
    </row>
    <row r="1628" spans="1:24" hidden="1">
      <c r="A1628">
        <v>20</v>
      </c>
      <c r="B1628" s="2">
        <v>46226.736319444397</v>
      </c>
      <c r="C1628" s="2">
        <v>46226.739374999997</v>
      </c>
      <c r="D1628" s="1" t="s">
        <v>24</v>
      </c>
      <c r="E1628" s="1"/>
      <c r="F1628" s="29">
        <v>46226</v>
      </c>
      <c r="G1628" s="29">
        <v>46226</v>
      </c>
      <c r="H1628" s="1" t="s">
        <v>160</v>
      </c>
      <c r="I1628" s="1" t="s">
        <v>3925</v>
      </c>
      <c r="J1628" s="207" t="s">
        <v>3926</v>
      </c>
      <c r="K1628" s="171" t="s">
        <v>3927</v>
      </c>
      <c r="L1628" s="62">
        <v>23016342</v>
      </c>
      <c r="M1628" s="30">
        <v>5218442924987</v>
      </c>
      <c r="N1628" s="171" t="s">
        <v>28</v>
      </c>
      <c r="O1628" s="51">
        <v>21031.67</v>
      </c>
      <c r="Q1628" s="42">
        <f>OfficeForms.Table[[#This Row],[ INFORMEDEPAGO ]]*0.3</f>
        <v>6309.5009999999993</v>
      </c>
      <c r="R1628" s="12">
        <f>(IF(O1628&lt;4172.98,0,MIN(O1628*0.3,O1628-4172.98)))-P1628</f>
        <v>6309.5009999999993</v>
      </c>
      <c r="T1628" s="1"/>
      <c r="V1628" s="1"/>
      <c r="X1628" s="101">
        <v>1</v>
      </c>
    </row>
    <row r="1629" spans="1:24" hidden="1">
      <c r="A1629">
        <v>21</v>
      </c>
      <c r="B1629" s="2">
        <v>46226.7246759259</v>
      </c>
      <c r="C1629" s="2">
        <v>46226.742106481499</v>
      </c>
      <c r="D1629" s="1" t="s">
        <v>24</v>
      </c>
      <c r="E1629" s="1"/>
      <c r="F1629" s="29">
        <v>46226</v>
      </c>
      <c r="G1629" s="29">
        <v>46226</v>
      </c>
      <c r="H1629" s="1" t="s">
        <v>39</v>
      </c>
      <c r="I1629" s="1" t="s">
        <v>3928</v>
      </c>
      <c r="J1629" s="207"/>
      <c r="K1629" s="171" t="s">
        <v>3929</v>
      </c>
      <c r="L1629" s="62">
        <v>23014646</v>
      </c>
      <c r="M1629" s="30">
        <v>5214747946258</v>
      </c>
      <c r="N1629" s="171" t="s">
        <v>28</v>
      </c>
      <c r="O1629" s="51">
        <v>12721.06</v>
      </c>
      <c r="Q1629" s="42">
        <f>OfficeForms.Table[[#This Row],[ INFORMEDEPAGO ]]*0.3</f>
        <v>3816.3179999999998</v>
      </c>
      <c r="R1629" s="12">
        <f>(IF(O1629&lt;4172.98,0,MIN(O1629*0.3,O1629-4172.98)))-P1629</f>
        <v>3816.3179999999998</v>
      </c>
      <c r="T1629" s="1"/>
      <c r="V1629" s="1"/>
      <c r="X1629" s="101">
        <v>1</v>
      </c>
    </row>
    <row r="1630" spans="1:24" hidden="1">
      <c r="A1630">
        <v>22</v>
      </c>
      <c r="B1630" s="2">
        <v>46226.739409722199</v>
      </c>
      <c r="C1630" s="2">
        <v>46226.742476851898</v>
      </c>
      <c r="D1630" s="1" t="s">
        <v>24</v>
      </c>
      <c r="E1630" s="1"/>
      <c r="F1630" s="29">
        <v>46226</v>
      </c>
      <c r="G1630" s="29">
        <v>46226</v>
      </c>
      <c r="H1630" s="1" t="s">
        <v>160</v>
      </c>
      <c r="I1630" s="1" t="s">
        <v>3930</v>
      </c>
      <c r="J1630" s="207" t="s">
        <v>3931</v>
      </c>
      <c r="K1630" s="171" t="s">
        <v>3932</v>
      </c>
      <c r="L1630" s="62">
        <v>23007636</v>
      </c>
      <c r="M1630" s="30">
        <v>5215527047295</v>
      </c>
      <c r="N1630" s="171" t="s">
        <v>37</v>
      </c>
      <c r="O1630" s="52">
        <v>9081.52</v>
      </c>
      <c r="P1630" s="99">
        <v>2627.48</v>
      </c>
      <c r="Q1630" s="42">
        <f>OfficeForms.Table[[#This Row],[ INFORMEDEPAGO ]]*0.3</f>
        <v>2724.4560000000001</v>
      </c>
      <c r="R1630" s="12">
        <f>(IF(O1630&lt;4172.98,0,MIN(O1630*0.3,O1630-4172.98)))-P1630</f>
        <v>96.976000000000113</v>
      </c>
      <c r="S1630" s="74">
        <v>46478</v>
      </c>
      <c r="T1630" s="1"/>
      <c r="V1630" s="1"/>
      <c r="X1630" s="101">
        <v>2</v>
      </c>
    </row>
    <row r="1631" spans="1:24" hidden="1">
      <c r="A1631">
        <v>23</v>
      </c>
      <c r="B1631" s="2">
        <v>46226.743217592601</v>
      </c>
      <c r="C1631" s="2">
        <v>46226.744456018503</v>
      </c>
      <c r="D1631" s="1" t="s">
        <v>24</v>
      </c>
      <c r="E1631" s="1"/>
      <c r="F1631" s="29">
        <v>46226</v>
      </c>
      <c r="G1631" s="29">
        <v>46226</v>
      </c>
      <c r="H1631" s="1" t="s">
        <v>3007</v>
      </c>
      <c r="I1631" s="1" t="s">
        <v>3933</v>
      </c>
      <c r="J1631" s="207">
        <v>53704915510</v>
      </c>
      <c r="K1631" s="171"/>
      <c r="L1631" s="62">
        <v>23028936</v>
      </c>
      <c r="M1631" s="30">
        <v>4434903604</v>
      </c>
      <c r="N1631" s="171" t="s">
        <v>28</v>
      </c>
      <c r="O1631" s="51">
        <f>13652.78+879</f>
        <v>14531.78</v>
      </c>
      <c r="P1631" s="98" t="s">
        <v>3934</v>
      </c>
      <c r="Q1631" s="42">
        <f>OfficeForms.Table[[#This Row],[ INFORMEDEPAGO ]]*0.3</f>
        <v>4359.5339999999997</v>
      </c>
      <c r="R1631" s="12">
        <f>(IF(O1631&lt;4172.98,0,MIN(O1631*0.3,O1631-4172.98)))-P1631</f>
        <v>3480.5339999999997</v>
      </c>
      <c r="T1631" s="1"/>
      <c r="V1631" s="1"/>
      <c r="X1631" s="101">
        <v>1</v>
      </c>
    </row>
    <row r="1632" spans="1:24" hidden="1">
      <c r="A1632">
        <v>25</v>
      </c>
      <c r="B1632" s="2">
        <v>46226.742615740703</v>
      </c>
      <c r="C1632" s="2">
        <v>46226.746782407397</v>
      </c>
      <c r="D1632" s="1" t="s">
        <v>24</v>
      </c>
      <c r="E1632" s="1"/>
      <c r="F1632" s="29">
        <v>46226</v>
      </c>
      <c r="G1632" s="29">
        <v>46226</v>
      </c>
      <c r="H1632" s="1" t="s">
        <v>68</v>
      </c>
      <c r="I1632" s="1" t="s">
        <v>3935</v>
      </c>
      <c r="J1632" s="208" t="s">
        <v>3936</v>
      </c>
      <c r="K1632" s="171" t="s">
        <v>3937</v>
      </c>
      <c r="L1632" s="62">
        <v>23011264</v>
      </c>
      <c r="M1632" s="30">
        <v>5215621832566</v>
      </c>
      <c r="N1632" s="171" t="s">
        <v>32</v>
      </c>
      <c r="O1632" s="52">
        <v>4084.45</v>
      </c>
      <c r="P1632" s="99">
        <v>267.52999999999997</v>
      </c>
      <c r="Q1632" s="42">
        <f>OfficeForms.Table[[#This Row],[ INFORMEDEPAGO ]]*0.3</f>
        <v>1225.3349999999998</v>
      </c>
      <c r="R1632" s="12">
        <f>(IF(O1632&lt;4172.98,0,MIN(O1632*0.3,O1632-4172.98)))-P1632</f>
        <v>-267.52999999999997</v>
      </c>
      <c r="T1632" s="1"/>
      <c r="V1632" s="1"/>
      <c r="X1632" s="101">
        <v>1</v>
      </c>
    </row>
    <row r="1633" spans="1:24" hidden="1">
      <c r="A1633">
        <v>26</v>
      </c>
      <c r="B1633" s="2">
        <v>46226.744398148097</v>
      </c>
      <c r="C1633" s="2">
        <v>46226.747164351902</v>
      </c>
      <c r="D1633" s="1" t="s">
        <v>24</v>
      </c>
      <c r="E1633" s="1"/>
      <c r="F1633" s="29">
        <v>46226</v>
      </c>
      <c r="G1633" s="29">
        <v>46226</v>
      </c>
      <c r="H1633" s="1" t="s">
        <v>68</v>
      </c>
      <c r="I1633" s="1" t="s">
        <v>3938</v>
      </c>
      <c r="J1633" s="207" t="s">
        <v>3939</v>
      </c>
      <c r="K1633" s="171" t="s">
        <v>3940</v>
      </c>
      <c r="L1633" s="62">
        <v>23007396</v>
      </c>
      <c r="M1633" s="30">
        <v>5215542680943</v>
      </c>
      <c r="N1633" s="171" t="s">
        <v>106</v>
      </c>
      <c r="O1633" s="43">
        <v>7920.51</v>
      </c>
      <c r="P1633" s="97">
        <v>2091.52</v>
      </c>
      <c r="Q1633" s="42">
        <f>OfficeForms.Table[[#This Row],[ INFORMEDEPAGO ]]*0.3</f>
        <v>2376.1529999999998</v>
      </c>
      <c r="R1633" s="12">
        <f>(IF(O1633&lt;4172.98,0,MIN(O1633*0.3,O1633-4172.98)))-P1633</f>
        <v>284.63299999999981</v>
      </c>
      <c r="S1633" s="74">
        <v>45962</v>
      </c>
      <c r="T1633" s="1"/>
      <c r="V1633" s="1"/>
      <c r="X1633" s="101">
        <v>2</v>
      </c>
    </row>
    <row r="1634" spans="1:24" hidden="1">
      <c r="A1634">
        <v>27</v>
      </c>
      <c r="B1634" s="2">
        <v>46226.747094907398</v>
      </c>
      <c r="C1634" s="2">
        <v>46226.747824074097</v>
      </c>
      <c r="D1634" s="1" t="s">
        <v>24</v>
      </c>
      <c r="E1634" s="1"/>
      <c r="F1634" s="29">
        <v>46226</v>
      </c>
      <c r="G1634" s="29">
        <v>46226</v>
      </c>
      <c r="H1634" s="1" t="s">
        <v>3036</v>
      </c>
      <c r="I1634" s="1"/>
      <c r="J1634" s="207">
        <v>78987820012</v>
      </c>
      <c r="K1634" s="171"/>
      <c r="L1634" s="62">
        <v>23033848</v>
      </c>
      <c r="M1634" s="30">
        <v>5219711528751</v>
      </c>
      <c r="N1634" s="171" t="s">
        <v>98</v>
      </c>
      <c r="Q1634" s="42">
        <f>OfficeForms.Table[[#This Row],[ INFORMEDEPAGO ]]*0.3</f>
        <v>0</v>
      </c>
      <c r="R1634" s="12">
        <f>(IF(O1634&lt;4172.98,0,MIN(O1634*0.3,O1634-4172.98)))-P1634</f>
        <v>0</v>
      </c>
      <c r="T1634" s="1"/>
      <c r="V1634" s="1"/>
      <c r="X1634" s="101">
        <v>0</v>
      </c>
    </row>
    <row r="1635" spans="1:24" hidden="1">
      <c r="A1635">
        <v>28</v>
      </c>
      <c r="B1635" s="2">
        <v>46226.723900463003</v>
      </c>
      <c r="C1635" s="2">
        <v>46226.754884259302</v>
      </c>
      <c r="D1635" s="1" t="s">
        <v>24</v>
      </c>
      <c r="E1635" s="1"/>
      <c r="F1635" s="29">
        <v>46226</v>
      </c>
      <c r="G1635" s="29">
        <v>46226</v>
      </c>
      <c r="H1635" s="1" t="s">
        <v>1519</v>
      </c>
      <c r="I1635" s="1" t="s">
        <v>2874</v>
      </c>
      <c r="J1635" s="207"/>
      <c r="K1635" s="171" t="s">
        <v>2875</v>
      </c>
      <c r="L1635" s="62">
        <v>23008104</v>
      </c>
      <c r="M1635" s="30">
        <v>5214423157488</v>
      </c>
      <c r="N1635" s="171" t="s">
        <v>37</v>
      </c>
      <c r="O1635" s="43">
        <v>25705.87</v>
      </c>
      <c r="P1635" s="97">
        <v>7700</v>
      </c>
      <c r="Q1635" s="42">
        <f>OfficeForms.Table[[#This Row],[ INFORMEDEPAGO ]]*0.3</f>
        <v>7711.7609999999995</v>
      </c>
      <c r="R1635" s="12">
        <f>(IF(O1635&lt;4172.98,0,MIN(O1635*0.3,O1635-4172.98)))-P1635</f>
        <v>11.760999999999513</v>
      </c>
      <c r="S1635" s="74">
        <v>46905</v>
      </c>
      <c r="T1635" s="1" t="s">
        <v>192</v>
      </c>
      <c r="V1635" s="1"/>
      <c r="X1635" s="101">
        <v>2</v>
      </c>
    </row>
    <row r="1636" spans="1:24" hidden="1">
      <c r="A1636">
        <v>29</v>
      </c>
      <c r="B1636" s="2">
        <v>46226.741817129601</v>
      </c>
      <c r="C1636" s="2">
        <v>46226.7577199074</v>
      </c>
      <c r="D1636" s="1" t="s">
        <v>24</v>
      </c>
      <c r="E1636" s="1"/>
      <c r="F1636" s="29">
        <v>46226</v>
      </c>
      <c r="G1636" s="29">
        <v>46226</v>
      </c>
      <c r="H1636" s="1" t="s">
        <v>3452</v>
      </c>
      <c r="I1636" s="1" t="s">
        <v>3941</v>
      </c>
      <c r="J1636" s="207"/>
      <c r="K1636" s="171" t="s">
        <v>3942</v>
      </c>
      <c r="L1636" s="62">
        <v>23032666</v>
      </c>
      <c r="M1636" s="30">
        <v>8713933984</v>
      </c>
      <c r="N1636" s="171" t="s">
        <v>37</v>
      </c>
      <c r="O1636" s="43">
        <v>7116.73</v>
      </c>
      <c r="P1636" s="97">
        <v>2057.92</v>
      </c>
      <c r="Q1636" s="42">
        <f>OfficeForms.Table[[#This Row],[ INFORMEDEPAGO ]]*0.3</f>
        <v>2135.0189999999998</v>
      </c>
      <c r="R1636" s="12">
        <f>(IF(O1636&lt;4172.98,0,MIN(O1636*0.3,O1636-4172.98)))-P1636</f>
        <v>77.098999999999705</v>
      </c>
      <c r="S1636" s="74">
        <v>46692</v>
      </c>
      <c r="T1636" s="1"/>
      <c r="V1636" s="1"/>
      <c r="X1636" s="101">
        <v>2</v>
      </c>
    </row>
    <row r="1637" spans="1:24" hidden="1">
      <c r="A1637">
        <v>30</v>
      </c>
      <c r="B1637" s="2">
        <v>46226.776458333297</v>
      </c>
      <c r="C1637" s="2">
        <v>46226.777210648099</v>
      </c>
      <c r="D1637" s="1" t="s">
        <v>24</v>
      </c>
      <c r="E1637" s="1"/>
      <c r="F1637" s="29">
        <v>46226</v>
      </c>
      <c r="G1637" s="29">
        <v>46226</v>
      </c>
      <c r="H1637" s="1" t="s">
        <v>3036</v>
      </c>
      <c r="I1637" s="1" t="s">
        <v>3943</v>
      </c>
      <c r="J1637" s="207"/>
      <c r="K1637" s="171" t="s">
        <v>3944</v>
      </c>
      <c r="L1637" s="62">
        <v>23031992</v>
      </c>
      <c r="M1637" s="30">
        <v>5212481134369</v>
      </c>
      <c r="N1637" s="171" t="s">
        <v>98</v>
      </c>
      <c r="O1637" s="50"/>
      <c r="P1637" s="97"/>
      <c r="Q1637" s="42">
        <f>OfficeForms.Table[[#This Row],[ INFORMEDEPAGO ]]*0.3</f>
        <v>0</v>
      </c>
      <c r="R1637" s="12">
        <f>(IF(O1637&lt;4172.98,0,MIN(O1637*0.3,O1637-4172.98)))-P1637</f>
        <v>0</v>
      </c>
      <c r="T1637" s="1"/>
      <c r="V1637" s="1"/>
      <c r="X1637" s="101">
        <v>0</v>
      </c>
    </row>
    <row r="1638" spans="1:24" hidden="1">
      <c r="A1638">
        <v>31</v>
      </c>
      <c r="B1638" s="2">
        <v>46226.738414351901</v>
      </c>
      <c r="C1638" s="2">
        <v>46226.783472222203</v>
      </c>
      <c r="D1638" s="1" t="s">
        <v>24</v>
      </c>
      <c r="E1638" s="1"/>
      <c r="F1638" s="29">
        <v>46226</v>
      </c>
      <c r="G1638" s="29">
        <v>46226</v>
      </c>
      <c r="H1638" s="1" t="s">
        <v>3352</v>
      </c>
      <c r="I1638" s="1" t="s">
        <v>3945</v>
      </c>
      <c r="J1638" s="207"/>
      <c r="K1638" s="171" t="s">
        <v>3946</v>
      </c>
      <c r="L1638" s="62">
        <v>23034092</v>
      </c>
      <c r="M1638" s="30">
        <v>5587596376</v>
      </c>
      <c r="N1638" s="171" t="s">
        <v>32</v>
      </c>
      <c r="O1638" s="50">
        <v>4342.43</v>
      </c>
      <c r="P1638" s="97"/>
      <c r="Q1638" s="42">
        <f>OfficeForms.Table[[#This Row],[ INFORMEDEPAGO ]]*0.3</f>
        <v>1302.729</v>
      </c>
      <c r="R1638" s="12">
        <f>(IF(O1638&lt;4172.98,0,MIN(O1638*0.3,O1638-4172.98)))-P1638</f>
        <v>169.45000000000073</v>
      </c>
      <c r="T1638" s="1"/>
      <c r="V1638" s="1"/>
      <c r="X1638" s="101">
        <v>1</v>
      </c>
    </row>
    <row r="1639" spans="1:24" hidden="1">
      <c r="A1639">
        <v>32</v>
      </c>
      <c r="B1639" s="2">
        <v>46226.798217592601</v>
      </c>
      <c r="C1639" s="2">
        <v>46226.7988078704</v>
      </c>
      <c r="D1639" s="1" t="s">
        <v>24</v>
      </c>
      <c r="E1639" s="1"/>
      <c r="F1639" s="29">
        <v>46226</v>
      </c>
      <c r="G1639" s="29">
        <v>46226</v>
      </c>
      <c r="H1639" s="1" t="s">
        <v>3036</v>
      </c>
      <c r="I1639" s="1" t="s">
        <v>3947</v>
      </c>
      <c r="J1639" s="207">
        <v>32967713507</v>
      </c>
      <c r="K1639" s="171" t="s">
        <v>3948</v>
      </c>
      <c r="L1639" s="62">
        <v>23034296</v>
      </c>
      <c r="M1639" s="30">
        <v>5218441396051</v>
      </c>
      <c r="N1639" s="171" t="s">
        <v>37</v>
      </c>
      <c r="O1639" s="52">
        <v>15359.55</v>
      </c>
      <c r="P1639" s="99">
        <v>4607.26</v>
      </c>
      <c r="Q1639" s="42">
        <f>OfficeForms.Table[[#This Row],[ INFORMEDEPAGO ]]*0.3</f>
        <v>4607.8649999999998</v>
      </c>
      <c r="R1639" s="12">
        <f>(IF(O1639&lt;4172.98,0,MIN(O1639*0.3,O1639-4172.98)))-P1639</f>
        <v>0.60499999999956344</v>
      </c>
      <c r="S1639" s="74">
        <v>46539</v>
      </c>
      <c r="T1639" s="1"/>
      <c r="V1639" s="1"/>
      <c r="X1639" s="101">
        <v>2</v>
      </c>
    </row>
    <row r="1640" spans="1:24" hidden="1">
      <c r="A1640">
        <v>33</v>
      </c>
      <c r="B1640" s="2">
        <v>46227.340590277803</v>
      </c>
      <c r="C1640" s="2">
        <v>46227.342013888898</v>
      </c>
      <c r="D1640" s="1" t="s">
        <v>24</v>
      </c>
      <c r="E1640" s="1"/>
      <c r="F1640" s="29">
        <v>46227</v>
      </c>
      <c r="G1640" s="29">
        <v>46226</v>
      </c>
      <c r="H1640" s="1" t="s">
        <v>3007</v>
      </c>
      <c r="I1640" s="1" t="s">
        <v>3949</v>
      </c>
      <c r="J1640" s="207">
        <v>32725421997</v>
      </c>
      <c r="K1640" s="171" t="s">
        <v>3950</v>
      </c>
      <c r="L1640" s="62">
        <v>23033304</v>
      </c>
      <c r="M1640" s="30">
        <v>8444281164</v>
      </c>
      <c r="N1640" s="171" t="s">
        <v>37</v>
      </c>
      <c r="O1640" s="52">
        <v>50227.78</v>
      </c>
      <c r="P1640" s="99">
        <v>15064.48</v>
      </c>
      <c r="Q1640" s="42">
        <f>OfficeForms.Table[[#This Row],[ INFORMEDEPAGO ]]*0.3</f>
        <v>15068.333999999999</v>
      </c>
      <c r="R1640" s="12">
        <f>(IF(O1640&lt;4172.98,0,MIN(O1640*0.3,O1640-4172.98)))-P1640</f>
        <v>3.8539999999993597</v>
      </c>
      <c r="S1640" s="74">
        <v>46419</v>
      </c>
      <c r="T1640" s="1"/>
      <c r="V1640" s="1"/>
      <c r="X1640" s="101">
        <v>2</v>
      </c>
    </row>
    <row r="1641" spans="1:24" hidden="1">
      <c r="A1641">
        <v>34</v>
      </c>
      <c r="B1641" s="2">
        <v>46227.346817129597</v>
      </c>
      <c r="C1641" s="2">
        <v>46227.347638888903</v>
      </c>
      <c r="D1641" s="1" t="s">
        <v>24</v>
      </c>
      <c r="E1641" s="1"/>
      <c r="F1641" s="29">
        <v>46227</v>
      </c>
      <c r="G1641" s="29">
        <v>46225</v>
      </c>
      <c r="H1641" s="1" t="s">
        <v>3036</v>
      </c>
      <c r="I1641" s="1" t="s">
        <v>3951</v>
      </c>
      <c r="J1641" s="207">
        <v>48048550627</v>
      </c>
      <c r="K1641" s="171" t="s">
        <v>3952</v>
      </c>
      <c r="L1641" s="62">
        <v>23038358</v>
      </c>
      <c r="M1641" s="30">
        <v>5212431322440</v>
      </c>
      <c r="N1641" s="171" t="s">
        <v>98</v>
      </c>
      <c r="O1641" s="67"/>
      <c r="P1641" s="99"/>
      <c r="Q1641" s="42">
        <f>OfficeForms.Table[[#This Row],[ INFORMEDEPAGO ]]*0.3</f>
        <v>0</v>
      </c>
      <c r="R1641" s="12">
        <f>(IF(O1641&lt;4172.98,0,MIN(O1641*0.3,O1641-4172.98)))-P1641</f>
        <v>0</v>
      </c>
      <c r="T1641" s="1"/>
      <c r="V1641" s="1"/>
      <c r="X1641" s="101">
        <v>0</v>
      </c>
    </row>
    <row r="1642" spans="1:24" hidden="1">
      <c r="A1642">
        <v>35</v>
      </c>
      <c r="B1642" s="2">
        <v>46227.336307870399</v>
      </c>
      <c r="C1642" s="2">
        <v>46227.3491782407</v>
      </c>
      <c r="D1642" s="1" t="s">
        <v>24</v>
      </c>
      <c r="E1642" s="1"/>
      <c r="F1642" s="29">
        <v>46227</v>
      </c>
      <c r="G1642" s="29">
        <v>46227</v>
      </c>
      <c r="H1642" s="1" t="s">
        <v>1625</v>
      </c>
      <c r="I1642" s="1" t="s">
        <v>3953</v>
      </c>
      <c r="J1642" s="207" t="s">
        <v>3954</v>
      </c>
      <c r="K1642" s="171" t="s">
        <v>3955</v>
      </c>
      <c r="L1642" s="62">
        <v>2</v>
      </c>
      <c r="M1642" s="30" t="s">
        <v>3956</v>
      </c>
      <c r="N1642" s="171" t="s">
        <v>37</v>
      </c>
      <c r="O1642" s="52">
        <v>26552.93</v>
      </c>
      <c r="P1642" s="99">
        <v>7965</v>
      </c>
      <c r="Q1642" s="42">
        <f>OfficeForms.Table[[#This Row],[ INFORMEDEPAGO ]]*0.3</f>
        <v>7965.8789999999999</v>
      </c>
      <c r="R1642" s="12">
        <f>(IF(O1642&lt;4172.98,0,MIN(O1642*0.3,O1642-4172.98)))-P1642</f>
        <v>0.87899999999990541</v>
      </c>
      <c r="S1642" s="74">
        <v>46296</v>
      </c>
      <c r="T1642" s="1"/>
      <c r="V1642" s="1"/>
      <c r="X1642" s="101">
        <v>2</v>
      </c>
    </row>
    <row r="1643" spans="1:24" hidden="1">
      <c r="A1643">
        <v>36</v>
      </c>
      <c r="B1643" s="2">
        <v>46227.349212963003</v>
      </c>
      <c r="C1643" s="2">
        <v>46227.352025462998</v>
      </c>
      <c r="D1643" s="1" t="s">
        <v>24</v>
      </c>
      <c r="E1643" s="1"/>
      <c r="F1643" s="29">
        <v>46227</v>
      </c>
      <c r="G1643" s="29">
        <v>46227</v>
      </c>
      <c r="H1643" s="1" t="s">
        <v>1625</v>
      </c>
      <c r="I1643" s="1" t="s">
        <v>3957</v>
      </c>
      <c r="J1643" s="207" t="s">
        <v>3958</v>
      </c>
      <c r="K1643" s="171" t="s">
        <v>3959</v>
      </c>
      <c r="L1643" s="62">
        <v>2</v>
      </c>
      <c r="M1643" s="30" t="s">
        <v>3960</v>
      </c>
      <c r="N1643" s="171" t="s">
        <v>37</v>
      </c>
      <c r="O1643" s="52">
        <v>7363.38</v>
      </c>
      <c r="P1643" s="99">
        <v>2126.75</v>
      </c>
      <c r="Q1643" s="42">
        <f>OfficeForms.Table[[#This Row],[ INFORMEDEPAGO ]]*0.3</f>
        <v>2209.0140000000001</v>
      </c>
      <c r="R1643" s="12">
        <f>(IF(O1643&lt;4172.98,0,MIN(O1643*0.3,O1643-4172.98)))-P1643</f>
        <v>82.264000000000124</v>
      </c>
      <c r="S1643" s="74">
        <v>46569</v>
      </c>
      <c r="T1643" s="1"/>
      <c r="V1643" s="1"/>
      <c r="X1643" s="101">
        <v>2</v>
      </c>
    </row>
    <row r="1644" spans="1:24" hidden="1">
      <c r="A1644">
        <v>38</v>
      </c>
      <c r="B1644" s="2">
        <v>46227.352071759298</v>
      </c>
      <c r="C1644" s="2">
        <v>46227.395717592597</v>
      </c>
      <c r="D1644" s="1" t="s">
        <v>24</v>
      </c>
      <c r="E1644" s="1"/>
      <c r="F1644" s="29">
        <v>46227</v>
      </c>
      <c r="G1644" s="29">
        <v>46227</v>
      </c>
      <c r="H1644" s="1" t="s">
        <v>1625</v>
      </c>
      <c r="I1644" s="1" t="s">
        <v>3961</v>
      </c>
      <c r="J1644" s="207" t="s">
        <v>3962</v>
      </c>
      <c r="K1644" s="171" t="s">
        <v>3963</v>
      </c>
      <c r="L1644" s="62">
        <v>2</v>
      </c>
      <c r="M1644" s="30" t="s">
        <v>3964</v>
      </c>
      <c r="N1644" s="171" t="s">
        <v>32</v>
      </c>
      <c r="O1644" s="50">
        <v>3882.85</v>
      </c>
      <c r="P1644" s="97"/>
      <c r="Q1644" s="42">
        <f>OfficeForms.Table[[#This Row],[ INFORMEDEPAGO ]]*0.3</f>
        <v>1164.855</v>
      </c>
      <c r="R1644" s="12">
        <f>(IF(O1644&lt;4172.98,0,MIN(O1644*0.3,O1644-4172.98)))-P1644</f>
        <v>0</v>
      </c>
      <c r="T1644" s="1"/>
      <c r="V1644" s="1"/>
      <c r="X1644" s="101">
        <v>1</v>
      </c>
    </row>
    <row r="1645" spans="1:24" hidden="1">
      <c r="A1645">
        <v>39</v>
      </c>
      <c r="B1645" s="2">
        <v>46227.399756944404</v>
      </c>
      <c r="C1645" s="2">
        <v>46227.404849537001</v>
      </c>
      <c r="D1645" s="1" t="s">
        <v>24</v>
      </c>
      <c r="E1645" s="1"/>
      <c r="F1645" s="29">
        <v>46227</v>
      </c>
      <c r="G1645" s="29">
        <v>46226</v>
      </c>
      <c r="H1645" s="1" t="s">
        <v>51</v>
      </c>
      <c r="I1645" s="1" t="s">
        <v>3965</v>
      </c>
      <c r="J1645" s="175" t="s">
        <v>3966</v>
      </c>
      <c r="K1645" s="171" t="s">
        <v>3967</v>
      </c>
      <c r="L1645" s="62">
        <v>23014586</v>
      </c>
      <c r="M1645" s="30">
        <v>5219986812218</v>
      </c>
      <c r="N1645" s="171" t="s">
        <v>37</v>
      </c>
      <c r="O1645" s="43">
        <v>6813.58</v>
      </c>
      <c r="P1645" s="97">
        <v>1891.69</v>
      </c>
      <c r="Q1645" s="42">
        <f>OfficeForms.Table[[#This Row],[ INFORMEDEPAGO ]]*0.3</f>
        <v>2044.0739999999998</v>
      </c>
      <c r="R1645" s="12">
        <f>(IF(O1645&lt;4172.98,0,MIN(O1645*0.3,O1645-4172.98)))-P1645</f>
        <v>152.38399999999979</v>
      </c>
      <c r="S1645" s="74">
        <v>46357</v>
      </c>
      <c r="T1645" s="1"/>
      <c r="V1645" s="1"/>
      <c r="X1645" s="101">
        <v>2</v>
      </c>
    </row>
    <row r="1646" spans="1:24" hidden="1">
      <c r="A1646">
        <v>40</v>
      </c>
      <c r="B1646" s="2">
        <v>46227.369108796302</v>
      </c>
      <c r="C1646" s="2">
        <v>46227.406724537002</v>
      </c>
      <c r="D1646" s="1" t="s">
        <v>24</v>
      </c>
      <c r="E1646" s="1"/>
      <c r="F1646" s="29">
        <v>46227</v>
      </c>
      <c r="G1646" s="29">
        <v>46227</v>
      </c>
      <c r="H1646" s="1" t="s">
        <v>1629</v>
      </c>
      <c r="I1646" s="1" t="s">
        <v>3968</v>
      </c>
      <c r="J1646" s="175" t="s">
        <v>3969</v>
      </c>
      <c r="K1646" s="171" t="s">
        <v>3970</v>
      </c>
      <c r="L1646" s="62">
        <v>2</v>
      </c>
      <c r="M1646" s="30">
        <v>4493436106</v>
      </c>
      <c r="N1646" s="171" t="s">
        <v>37</v>
      </c>
      <c r="O1646" s="43">
        <v>7116.73</v>
      </c>
      <c r="P1646" s="97">
        <v>1975</v>
      </c>
      <c r="Q1646" s="42">
        <f>OfficeForms.Table[[#This Row],[ INFORMEDEPAGO ]]*0.3</f>
        <v>2135.0189999999998</v>
      </c>
      <c r="R1646" s="12">
        <f>(IF(O1646&lt;4172.98,0,MIN(O1646*0.3,O1646-4172.98)))-P1646</f>
        <v>160.01899999999978</v>
      </c>
      <c r="S1646" s="74">
        <v>46357</v>
      </c>
      <c r="T1646" s="1"/>
      <c r="V1646" s="1"/>
      <c r="X1646" s="101">
        <v>2</v>
      </c>
    </row>
    <row r="1647" spans="1:24" hidden="1">
      <c r="A1647">
        <v>41</v>
      </c>
      <c r="B1647" s="2">
        <v>46227.410185185203</v>
      </c>
      <c r="C1647" s="2">
        <v>46227.411064814798</v>
      </c>
      <c r="D1647" s="1" t="s">
        <v>24</v>
      </c>
      <c r="E1647" s="1"/>
      <c r="F1647" s="29">
        <v>46227</v>
      </c>
      <c r="G1647" s="29">
        <v>46227</v>
      </c>
      <c r="H1647" s="1" t="s">
        <v>1629</v>
      </c>
      <c r="I1647" s="1" t="s">
        <v>3971</v>
      </c>
      <c r="J1647" s="175" t="s">
        <v>3972</v>
      </c>
      <c r="K1647" s="171" t="s">
        <v>3973</v>
      </c>
      <c r="L1647" s="62">
        <v>2</v>
      </c>
      <c r="M1647" s="30">
        <v>5519382993</v>
      </c>
      <c r="N1647" s="171" t="s">
        <v>37</v>
      </c>
      <c r="O1647" s="43">
        <v>17010.52</v>
      </c>
      <c r="P1647" s="97">
        <v>4919.7</v>
      </c>
      <c r="Q1647" s="42">
        <f>OfficeForms.Table[[#This Row],[ INFORMEDEPAGO ]]*0.3</f>
        <v>5103.1559999999999</v>
      </c>
      <c r="R1647" s="12">
        <f>(IF(O1647&lt;4172.98,0,MIN(O1647*0.3,O1647-4172.98)))-P1647</f>
        <v>183.45600000000013</v>
      </c>
      <c r="S1647" s="74">
        <v>46600</v>
      </c>
      <c r="T1647" s="1"/>
      <c r="V1647" s="1"/>
      <c r="X1647" s="101">
        <v>2</v>
      </c>
    </row>
    <row r="1648" spans="1:24" hidden="1">
      <c r="A1648">
        <v>42</v>
      </c>
      <c r="B1648" s="2">
        <v>46227.395775463003</v>
      </c>
      <c r="C1648" s="2">
        <v>46227.413993055598</v>
      </c>
      <c r="D1648" s="1" t="s">
        <v>24</v>
      </c>
      <c r="E1648" s="1"/>
      <c r="F1648" s="29">
        <v>46227</v>
      </c>
      <c r="G1648" s="29">
        <v>46227</v>
      </c>
      <c r="H1648" s="1" t="s">
        <v>1625</v>
      </c>
      <c r="I1648" s="1" t="s">
        <v>3974</v>
      </c>
      <c r="J1648" s="175" t="s">
        <v>3975</v>
      </c>
      <c r="K1648" s="171" t="s">
        <v>3976</v>
      </c>
      <c r="L1648" s="62">
        <v>2</v>
      </c>
      <c r="M1648" s="30">
        <v>5525379069</v>
      </c>
      <c r="N1648" s="171" t="s">
        <v>37</v>
      </c>
      <c r="O1648" s="43">
        <v>14676.75</v>
      </c>
      <c r="P1648" s="97">
        <v>4393.3599999999997</v>
      </c>
      <c r="Q1648" s="42">
        <f>OfficeForms.Table[[#This Row],[ INFORMEDEPAGO ]]*0.3</f>
        <v>4403.0249999999996</v>
      </c>
      <c r="R1648" s="12">
        <f>(IF(O1648&lt;4172.98,0,MIN(O1648*0.3,O1648-4172.98)))-P1648</f>
        <v>9.6649999999999636</v>
      </c>
      <c r="S1648" s="74">
        <v>46631</v>
      </c>
      <c r="T1648" s="1"/>
      <c r="V1648" s="1"/>
      <c r="X1648" s="101">
        <v>2</v>
      </c>
    </row>
    <row r="1649" spans="1:24" hidden="1">
      <c r="A1649">
        <v>43</v>
      </c>
      <c r="B1649" s="2">
        <v>46226.785439814797</v>
      </c>
      <c r="C1649" s="2">
        <v>46227.418113425898</v>
      </c>
      <c r="D1649" s="1" t="s">
        <v>24</v>
      </c>
      <c r="E1649" s="1"/>
      <c r="F1649" s="29">
        <v>46227</v>
      </c>
      <c r="G1649" s="29">
        <v>46227</v>
      </c>
      <c r="H1649" s="1" t="s">
        <v>3022</v>
      </c>
      <c r="I1649" s="1" t="s">
        <v>3977</v>
      </c>
      <c r="J1649" s="175"/>
      <c r="K1649" s="171" t="s">
        <v>3978</v>
      </c>
      <c r="L1649" s="62">
        <v>23038314</v>
      </c>
      <c r="M1649" s="30">
        <v>9361142259</v>
      </c>
      <c r="N1649" s="171" t="s">
        <v>98</v>
      </c>
      <c r="O1649" s="50"/>
      <c r="P1649" s="97"/>
      <c r="Q1649" s="42">
        <f>OfficeForms.Table[[#This Row],[ INFORMEDEPAGO ]]*0.3</f>
        <v>0</v>
      </c>
      <c r="R1649" s="12">
        <f>(IF(O1649&lt;4172.98,0,MIN(O1649*0.3,O1649-4172.98)))-P1649</f>
        <v>0</v>
      </c>
      <c r="T1649" s="1"/>
      <c r="V1649" s="1"/>
      <c r="X1649" s="101">
        <v>0</v>
      </c>
    </row>
    <row r="1650" spans="1:24" hidden="1">
      <c r="A1650">
        <v>44</v>
      </c>
      <c r="B1650" s="2">
        <v>46227.430648148104</v>
      </c>
      <c r="C1650" s="2">
        <v>46227.436145833301</v>
      </c>
      <c r="D1650" s="1" t="s">
        <v>24</v>
      </c>
      <c r="E1650" s="1"/>
      <c r="F1650" s="29">
        <v>46227</v>
      </c>
      <c r="G1650" s="29">
        <v>46226</v>
      </c>
      <c r="H1650" s="1" t="s">
        <v>81</v>
      </c>
      <c r="I1650" s="1" t="s">
        <v>3979</v>
      </c>
      <c r="J1650" s="175"/>
      <c r="K1650" s="171" t="s">
        <v>3980</v>
      </c>
      <c r="L1650" s="62">
        <v>23037662</v>
      </c>
      <c r="M1650" s="30">
        <v>5217775340579</v>
      </c>
      <c r="N1650" s="171" t="s">
        <v>37</v>
      </c>
      <c r="O1650" s="52">
        <v>12429.51</v>
      </c>
      <c r="P1650" s="99">
        <v>3596.16</v>
      </c>
      <c r="Q1650" s="42">
        <f>OfficeForms.Table[[#This Row],[ INFORMEDEPAGO ]]*0.3</f>
        <v>3728.8530000000001</v>
      </c>
      <c r="R1650" s="12">
        <f>(IF(O1650&lt;4172.98,0,MIN(O1650*0.3,O1650-4172.98)))-P1650</f>
        <v>132.69300000000021</v>
      </c>
      <c r="S1650" s="74">
        <v>46631</v>
      </c>
      <c r="T1650" s="1"/>
      <c r="V1650" s="1"/>
      <c r="X1650" s="101">
        <v>2</v>
      </c>
    </row>
    <row r="1651" spans="1:24" hidden="1">
      <c r="A1651">
        <v>45</v>
      </c>
      <c r="B1651" s="2">
        <v>46227.425949074102</v>
      </c>
      <c r="C1651" s="2">
        <v>46227.436215277798</v>
      </c>
      <c r="D1651" s="1" t="s">
        <v>24</v>
      </c>
      <c r="E1651" s="1"/>
      <c r="F1651" s="29">
        <v>46227</v>
      </c>
      <c r="G1651" s="29">
        <v>46227</v>
      </c>
      <c r="H1651" s="1" t="s">
        <v>1519</v>
      </c>
      <c r="I1651" s="1" t="s">
        <v>3981</v>
      </c>
      <c r="J1651" s="175"/>
      <c r="K1651" s="171" t="s">
        <v>3982</v>
      </c>
      <c r="L1651" s="62">
        <v>23046656</v>
      </c>
      <c r="M1651" s="30">
        <v>5214422039382</v>
      </c>
      <c r="N1651" s="171" t="s">
        <v>37</v>
      </c>
      <c r="O1651" s="52">
        <v>34902.089999999997</v>
      </c>
      <c r="P1651" s="99">
        <v>10460.66</v>
      </c>
      <c r="Q1651" s="42">
        <f>OfficeForms.Table[[#This Row],[ INFORMEDEPAGO ]]*0.3</f>
        <v>10470.626999999999</v>
      </c>
      <c r="R1651" s="12">
        <f>(IF(O1651&lt;4172.98,0,MIN(O1651*0.3,O1651-4172.98)))-P1651</f>
        <v>9.966999999998734</v>
      </c>
      <c r="S1651" s="74">
        <v>46419</v>
      </c>
      <c r="T1651" s="1" t="s">
        <v>259</v>
      </c>
      <c r="V1651" s="1"/>
      <c r="X1651" s="101">
        <v>2</v>
      </c>
    </row>
    <row r="1652" spans="1:24" hidden="1">
      <c r="A1652">
        <v>46</v>
      </c>
      <c r="B1652" s="2">
        <v>46227.453194444402</v>
      </c>
      <c r="C1652" s="2">
        <v>46227.454560185201</v>
      </c>
      <c r="D1652" s="1" t="s">
        <v>24</v>
      </c>
      <c r="E1652" s="1"/>
      <c r="F1652" s="29">
        <v>46227</v>
      </c>
      <c r="G1652" s="29">
        <v>46227</v>
      </c>
      <c r="H1652" s="1" t="s">
        <v>1629</v>
      </c>
      <c r="I1652" s="1" t="s">
        <v>3983</v>
      </c>
      <c r="J1652" s="175" t="s">
        <v>3984</v>
      </c>
      <c r="K1652" s="171" t="s">
        <v>3985</v>
      </c>
      <c r="L1652" s="62">
        <v>2</v>
      </c>
      <c r="M1652" s="30">
        <v>8443442121</v>
      </c>
      <c r="N1652" s="171" t="s">
        <v>37</v>
      </c>
      <c r="O1652" s="52">
        <v>9760.32</v>
      </c>
      <c r="P1652" s="99">
        <v>2822.57</v>
      </c>
      <c r="Q1652" s="42">
        <f>OfficeForms.Table[[#This Row],[ INFORMEDEPAGO ]]*0.3</f>
        <v>2928.096</v>
      </c>
      <c r="R1652" s="12">
        <f>(IF(O1652&lt;4172.98,0,MIN(O1652*0.3,O1652-4172.98)))-P1652</f>
        <v>105.52599999999984</v>
      </c>
      <c r="S1652" s="74">
        <v>45778</v>
      </c>
      <c r="T1652" s="1"/>
      <c r="V1652" s="1"/>
      <c r="X1652" s="101">
        <v>2</v>
      </c>
    </row>
    <row r="1653" spans="1:24" hidden="1">
      <c r="A1653">
        <v>47</v>
      </c>
      <c r="B1653" s="2">
        <v>46227.450277777803</v>
      </c>
      <c r="C1653" s="2">
        <v>46227.458356481497</v>
      </c>
      <c r="D1653" s="1" t="s">
        <v>24</v>
      </c>
      <c r="E1653" s="1"/>
      <c r="F1653" s="29">
        <v>46227</v>
      </c>
      <c r="G1653" s="29">
        <v>46227</v>
      </c>
      <c r="H1653" s="1" t="s">
        <v>68</v>
      </c>
      <c r="I1653" s="1" t="s">
        <v>3986</v>
      </c>
      <c r="J1653" s="175"/>
      <c r="K1653" s="171" t="s">
        <v>789</v>
      </c>
      <c r="L1653" s="62">
        <v>23048698</v>
      </c>
      <c r="M1653" s="30">
        <v>5218114746025</v>
      </c>
      <c r="N1653" s="171" t="s">
        <v>37</v>
      </c>
      <c r="O1653" s="52">
        <v>28095.21</v>
      </c>
      <c r="P1653" s="99">
        <v>8411</v>
      </c>
      <c r="Q1653" s="42">
        <f>OfficeForms.Table[[#This Row],[ INFORMEDEPAGO ]]*0.3</f>
        <v>8428.5630000000001</v>
      </c>
      <c r="R1653" s="12">
        <f>(IF(O1653&lt;4172.98,0,MIN(O1653*0.3,O1653-4172.98)))-P1653</f>
        <v>17.563000000000102</v>
      </c>
      <c r="S1653" s="74">
        <v>46722</v>
      </c>
      <c r="T1653" s="1" t="s">
        <v>84</v>
      </c>
      <c r="V1653" s="1"/>
      <c r="X1653" s="101">
        <v>2</v>
      </c>
    </row>
    <row r="1654" spans="1:24" hidden="1">
      <c r="A1654">
        <v>48</v>
      </c>
      <c r="B1654" s="2">
        <v>46227.455347222203</v>
      </c>
      <c r="C1654" s="2">
        <v>46227.460254629601</v>
      </c>
      <c r="D1654" s="1" t="s">
        <v>24</v>
      </c>
      <c r="E1654" s="1"/>
      <c r="F1654" s="29">
        <v>46227</v>
      </c>
      <c r="G1654" s="29">
        <v>46227</v>
      </c>
      <c r="H1654" s="1" t="s">
        <v>1519</v>
      </c>
      <c r="I1654" s="1" t="s">
        <v>3987</v>
      </c>
      <c r="J1654" s="175">
        <v>12715407263</v>
      </c>
      <c r="K1654" s="171" t="s">
        <v>3988</v>
      </c>
      <c r="L1654" s="62">
        <v>23050142</v>
      </c>
      <c r="M1654" s="30">
        <v>5214622641800</v>
      </c>
      <c r="N1654" s="171" t="s">
        <v>32</v>
      </c>
      <c r="O1654" s="52">
        <v>3879.3</v>
      </c>
      <c r="P1654" s="99">
        <v>848</v>
      </c>
      <c r="Q1654" s="42">
        <f>OfficeForms.Table[[#This Row],[ INFORMEDEPAGO ]]*0.3</f>
        <v>1163.79</v>
      </c>
      <c r="R1654" s="12">
        <f>(IF(O1654&lt;4172.98,0,MIN(O1654*0.3,O1654-4172.98)))-P1654</f>
        <v>-848</v>
      </c>
      <c r="T1654" s="1"/>
      <c r="V1654" s="1"/>
      <c r="X1654" s="101">
        <v>1</v>
      </c>
    </row>
    <row r="1655" spans="1:24" hidden="1">
      <c r="A1655">
        <v>49</v>
      </c>
      <c r="B1655" s="2">
        <v>46227.387210648099</v>
      </c>
      <c r="C1655" s="2">
        <v>46227.460879629602</v>
      </c>
      <c r="D1655" s="1" t="s">
        <v>24</v>
      </c>
      <c r="E1655" s="1"/>
      <c r="F1655" s="29">
        <v>46227</v>
      </c>
      <c r="G1655" s="29">
        <v>46227</v>
      </c>
      <c r="H1655" s="1" t="s">
        <v>39</v>
      </c>
      <c r="I1655" s="1" t="s">
        <v>3989</v>
      </c>
      <c r="J1655" s="175">
        <v>20886606217</v>
      </c>
      <c r="K1655" s="171" t="s">
        <v>3990</v>
      </c>
      <c r="L1655" s="62">
        <v>23048482</v>
      </c>
      <c r="M1655" s="30">
        <v>5219833674878</v>
      </c>
      <c r="N1655" s="171" t="s">
        <v>32</v>
      </c>
      <c r="O1655" s="67">
        <v>3902.99</v>
      </c>
      <c r="P1655" s="99"/>
      <c r="Q1655" s="42">
        <f>OfficeForms.Table[[#This Row],[ INFORMEDEPAGO ]]*0.3</f>
        <v>1170.8969999999999</v>
      </c>
      <c r="R1655" s="12">
        <f>(IF(O1655&lt;4172.98,0,MIN(O1655*0.3,O1655-4172.98)))-P1655</f>
        <v>0</v>
      </c>
      <c r="T1655" s="1"/>
      <c r="V1655" s="1"/>
      <c r="X1655" s="101">
        <v>1</v>
      </c>
    </row>
    <row r="1656" spans="1:24" hidden="1">
      <c r="A1656">
        <v>50</v>
      </c>
      <c r="B1656" s="2">
        <v>46227.459699074097</v>
      </c>
      <c r="C1656" s="2">
        <v>46227.463865740698</v>
      </c>
      <c r="D1656" s="1" t="s">
        <v>24</v>
      </c>
      <c r="E1656" s="1"/>
      <c r="F1656" s="29">
        <v>46227</v>
      </c>
      <c r="G1656" s="29">
        <v>46226</v>
      </c>
      <c r="H1656" s="1" t="s">
        <v>160</v>
      </c>
      <c r="I1656" s="1" t="s">
        <v>3991</v>
      </c>
      <c r="J1656" s="175">
        <v>94937210972</v>
      </c>
      <c r="K1656" s="171" t="s">
        <v>3992</v>
      </c>
      <c r="L1656" s="62">
        <v>23021358</v>
      </c>
      <c r="M1656" s="30">
        <v>5215532675237</v>
      </c>
      <c r="N1656" s="171" t="s">
        <v>28</v>
      </c>
      <c r="O1656" s="52">
        <v>7135.6</v>
      </c>
      <c r="P1656" s="99">
        <v>879</v>
      </c>
      <c r="Q1656" s="42">
        <f>OfficeForms.Table[[#This Row],[ INFORMEDEPAGO ]]*0.3</f>
        <v>2140.6799999999998</v>
      </c>
      <c r="R1656" s="12">
        <f>(IF(O1656&lt;4172.98,0,MIN(O1656*0.3,O1656-4172.98)))-P1656</f>
        <v>1261.6799999999998</v>
      </c>
      <c r="T1656" s="1"/>
      <c r="V1656" s="1"/>
      <c r="X1656" s="101">
        <v>1</v>
      </c>
    </row>
    <row r="1657" spans="1:24" hidden="1">
      <c r="A1657">
        <v>51</v>
      </c>
      <c r="B1657" s="2">
        <v>46226.7834953704</v>
      </c>
      <c r="C1657" s="2">
        <v>46227.464675925898</v>
      </c>
      <c r="D1657" s="1" t="s">
        <v>24</v>
      </c>
      <c r="E1657" s="1"/>
      <c r="F1657" s="29">
        <v>46227</v>
      </c>
      <c r="G1657" s="29">
        <v>46227</v>
      </c>
      <c r="H1657" s="1" t="s">
        <v>3352</v>
      </c>
      <c r="I1657" s="1" t="s">
        <v>3993</v>
      </c>
      <c r="J1657" s="175"/>
      <c r="K1657" s="171" t="s">
        <v>3994</v>
      </c>
      <c r="L1657" s="62">
        <v>23041250</v>
      </c>
      <c r="M1657" s="30">
        <v>4426229296</v>
      </c>
      <c r="N1657" s="171" t="s">
        <v>37</v>
      </c>
      <c r="O1657" s="52">
        <v>31723.040000000001</v>
      </c>
      <c r="P1657" s="99">
        <v>9516.64</v>
      </c>
      <c r="Q1657" s="42">
        <f>OfficeForms.Table[[#This Row],[ INFORMEDEPAGO ]]*0.3</f>
        <v>9516.9120000000003</v>
      </c>
      <c r="R1657" s="12">
        <f>(IF(O1657&lt;4172.98,0,MIN(O1657*0.3,O1657-4172.98)))-P1657</f>
        <v>0.27200000000084401</v>
      </c>
      <c r="S1657" s="74">
        <v>46569</v>
      </c>
      <c r="T1657" s="1"/>
      <c r="V1657" s="1"/>
      <c r="X1657" s="101">
        <v>2</v>
      </c>
    </row>
    <row r="1658" spans="1:24" hidden="1">
      <c r="A1658">
        <v>52</v>
      </c>
      <c r="B1658" s="2">
        <v>46227.464687500003</v>
      </c>
      <c r="C1658" s="2">
        <v>46227.466041666703</v>
      </c>
      <c r="D1658" s="1" t="s">
        <v>24</v>
      </c>
      <c r="E1658" s="1"/>
      <c r="F1658" s="29">
        <v>46227</v>
      </c>
      <c r="G1658" s="29">
        <v>46227</v>
      </c>
      <c r="H1658" s="1" t="s">
        <v>3352</v>
      </c>
      <c r="I1658" s="1" t="s">
        <v>3995</v>
      </c>
      <c r="J1658" s="175" t="s">
        <v>3996</v>
      </c>
      <c r="K1658" s="171" t="s">
        <v>3997</v>
      </c>
      <c r="L1658" s="62">
        <v>23049464</v>
      </c>
      <c r="M1658" s="30">
        <v>5524350831</v>
      </c>
      <c r="N1658" s="171" t="s">
        <v>106</v>
      </c>
      <c r="O1658" s="52">
        <v>6405.06</v>
      </c>
      <c r="P1658" s="99">
        <v>1775.93</v>
      </c>
      <c r="Q1658" s="42">
        <f>OfficeForms.Table[[#This Row],[ INFORMEDEPAGO ]]*0.3</f>
        <v>1921.518</v>
      </c>
      <c r="R1658" s="12">
        <f>(IF(O1658&lt;4172.98,0,MIN(O1658*0.3,O1658-4172.98)))-P1658</f>
        <v>145.58799999999997</v>
      </c>
      <c r="S1658" s="74">
        <v>46174</v>
      </c>
      <c r="T1658" s="1"/>
      <c r="V1658" s="1"/>
      <c r="X1658" s="101">
        <v>2</v>
      </c>
    </row>
    <row r="1659" spans="1:24" hidden="1">
      <c r="A1659">
        <v>53</v>
      </c>
      <c r="B1659" s="2">
        <v>46227.466736111099</v>
      </c>
      <c r="C1659" s="2">
        <v>46227.4678472222</v>
      </c>
      <c r="D1659" s="1" t="s">
        <v>24</v>
      </c>
      <c r="E1659" s="1"/>
      <c r="F1659" s="29">
        <v>46227</v>
      </c>
      <c r="G1659" s="29">
        <v>46227</v>
      </c>
      <c r="H1659" s="1" t="s">
        <v>3022</v>
      </c>
      <c r="I1659" s="1" t="s">
        <v>3998</v>
      </c>
      <c r="J1659" s="175"/>
      <c r="K1659" s="171" t="s">
        <v>3999</v>
      </c>
      <c r="L1659" s="62">
        <v>23050884</v>
      </c>
      <c r="M1659" s="30">
        <v>3312398712</v>
      </c>
      <c r="N1659" s="171" t="s">
        <v>37</v>
      </c>
      <c r="O1659" s="52">
        <v>11029.03</v>
      </c>
      <c r="P1659" s="99">
        <v>3306.7</v>
      </c>
      <c r="Q1659" s="42">
        <f>OfficeForms.Table[[#This Row],[ INFORMEDEPAGO ]]*0.3</f>
        <v>3308.7090000000003</v>
      </c>
      <c r="R1659" s="12">
        <f>(IF(O1659&lt;4172.98,0,MIN(O1659*0.3,O1659-4172.98)))-P1659</f>
        <v>2.0090000000004693</v>
      </c>
      <c r="S1659" s="74">
        <v>46844</v>
      </c>
      <c r="T1659" s="1"/>
      <c r="V1659" s="1"/>
      <c r="X1659" s="101">
        <v>2</v>
      </c>
    </row>
    <row r="1660" spans="1:24" hidden="1">
      <c r="A1660">
        <v>54</v>
      </c>
      <c r="B1660" s="2">
        <v>46227.414050925901</v>
      </c>
      <c r="C1660" s="2">
        <v>46227.478240740696</v>
      </c>
      <c r="D1660" s="1" t="s">
        <v>24</v>
      </c>
      <c r="E1660" s="1"/>
      <c r="F1660" s="29">
        <v>46227</v>
      </c>
      <c r="G1660" s="29">
        <v>46227</v>
      </c>
      <c r="H1660" s="1" t="s">
        <v>1625</v>
      </c>
      <c r="I1660" s="1" t="s">
        <v>4000</v>
      </c>
      <c r="J1660" s="175">
        <v>13815805877</v>
      </c>
      <c r="K1660" s="171" t="s">
        <v>4001</v>
      </c>
      <c r="L1660" s="62">
        <v>2</v>
      </c>
      <c r="M1660" s="30">
        <v>7713715110</v>
      </c>
      <c r="N1660" s="171" t="s">
        <v>37</v>
      </c>
      <c r="O1660" s="52">
        <v>9492.73</v>
      </c>
      <c r="P1660" s="99">
        <v>2842.72</v>
      </c>
      <c r="Q1660" s="42">
        <f>OfficeForms.Table[[#This Row],[ INFORMEDEPAGO ]]*0.3</f>
        <v>2847.819</v>
      </c>
      <c r="R1660" s="12">
        <f>(IF(O1660&lt;4172.98,0,MIN(O1660*0.3,O1660-4172.98)))-P1660</f>
        <v>5.0990000000001601</v>
      </c>
      <c r="S1660" s="74">
        <v>46813</v>
      </c>
      <c r="T1660" s="1"/>
      <c r="V1660" s="1"/>
      <c r="X1660" s="101">
        <v>2</v>
      </c>
    </row>
    <row r="1661" spans="1:24" hidden="1">
      <c r="A1661">
        <v>55</v>
      </c>
      <c r="B1661" s="2">
        <v>46227.466064814798</v>
      </c>
      <c r="C1661" s="2">
        <v>46227.479131944398</v>
      </c>
      <c r="D1661" s="1" t="s">
        <v>24</v>
      </c>
      <c r="E1661" s="1"/>
      <c r="F1661" s="29">
        <v>46227</v>
      </c>
      <c r="G1661" s="29">
        <v>46227</v>
      </c>
      <c r="H1661" s="1" t="s">
        <v>3352</v>
      </c>
      <c r="I1661" s="1" t="s">
        <v>4002</v>
      </c>
      <c r="J1661" s="175" t="s">
        <v>4003</v>
      </c>
      <c r="K1661" s="171" t="s">
        <v>4004</v>
      </c>
      <c r="L1661" s="62">
        <v>23033636</v>
      </c>
      <c r="M1661" s="30">
        <v>8120173066</v>
      </c>
      <c r="N1661" s="171" t="s">
        <v>28</v>
      </c>
      <c r="O1661" s="67">
        <v>15727.43</v>
      </c>
      <c r="P1661" s="99"/>
      <c r="Q1661" s="42">
        <f>OfficeForms.Table[[#This Row],[ INFORMEDEPAGO ]]*0.3</f>
        <v>4718.2290000000003</v>
      </c>
      <c r="R1661" s="12">
        <f>(IF(O1661&lt;4172.98,0,MIN(O1661*0.3,O1661-4172.98)))-P1661</f>
        <v>4718.2290000000003</v>
      </c>
      <c r="T1661" s="1"/>
      <c r="V1661" s="1"/>
      <c r="X1661" s="101">
        <v>1</v>
      </c>
    </row>
    <row r="1662" spans="1:24" hidden="1">
      <c r="A1662">
        <v>56</v>
      </c>
      <c r="B1662" s="2">
        <v>46227.466180555602</v>
      </c>
      <c r="C1662" s="2">
        <v>46227.481018518498</v>
      </c>
      <c r="D1662" s="1" t="s">
        <v>24</v>
      </c>
      <c r="E1662" s="1"/>
      <c r="F1662" s="29">
        <v>46227</v>
      </c>
      <c r="G1662" s="29">
        <v>46227</v>
      </c>
      <c r="H1662" s="1" t="s">
        <v>51</v>
      </c>
      <c r="I1662" s="1" t="s">
        <v>4005</v>
      </c>
      <c r="J1662" s="175">
        <v>33967609943</v>
      </c>
      <c r="K1662" s="171" t="s">
        <v>4006</v>
      </c>
      <c r="L1662" s="62">
        <v>23051190</v>
      </c>
      <c r="M1662" s="30">
        <v>5216563603362</v>
      </c>
      <c r="N1662" s="171" t="s">
        <v>32</v>
      </c>
      <c r="O1662" s="67">
        <v>2783.2</v>
      </c>
      <c r="P1662" s="99"/>
      <c r="Q1662" s="42">
        <f>OfficeForms.Table[[#This Row],[ INFORMEDEPAGO ]]*0.3</f>
        <v>834.95999999999992</v>
      </c>
      <c r="R1662" s="12">
        <f>(IF(O1662&lt;4172.98,0,MIN(O1662*0.3,O1662-4172.98)))-P1662</f>
        <v>0</v>
      </c>
      <c r="T1662" s="1"/>
      <c r="V1662" s="1"/>
      <c r="X1662" s="101">
        <v>1</v>
      </c>
    </row>
    <row r="1663" spans="1:24" hidden="1">
      <c r="A1663">
        <v>57</v>
      </c>
      <c r="B1663" s="2">
        <v>46227.476458333302</v>
      </c>
      <c r="C1663" s="2">
        <v>46227.482615740701</v>
      </c>
      <c r="D1663" s="1" t="s">
        <v>24</v>
      </c>
      <c r="E1663" s="1"/>
      <c r="F1663" s="29">
        <v>46227</v>
      </c>
      <c r="G1663" s="29">
        <v>46227</v>
      </c>
      <c r="H1663" s="1" t="s">
        <v>78</v>
      </c>
      <c r="I1663" s="1" t="s">
        <v>4007</v>
      </c>
      <c r="J1663" s="175">
        <v>64836517785</v>
      </c>
      <c r="K1663" s="171" t="s">
        <v>4008</v>
      </c>
      <c r="L1663" s="62">
        <v>23048926</v>
      </c>
      <c r="M1663" s="30">
        <v>5215637782895</v>
      </c>
      <c r="N1663" s="171" t="s">
        <v>37</v>
      </c>
      <c r="O1663" s="52">
        <v>9760.32</v>
      </c>
      <c r="P1663" s="99">
        <v>2927.84</v>
      </c>
      <c r="Q1663" s="42">
        <f>OfficeForms.Table[[#This Row],[ INFORMEDEPAGO ]]*0.3</f>
        <v>2928.096</v>
      </c>
      <c r="R1663" s="12">
        <f>(IF(O1663&lt;4172.98,0,MIN(O1663*0.3,O1663-4172.98)))-P1663</f>
        <v>0.25599999999985812</v>
      </c>
      <c r="S1663" s="74">
        <v>46813</v>
      </c>
      <c r="T1663" s="1" t="s">
        <v>178</v>
      </c>
      <c r="V1663" s="1"/>
      <c r="X1663" s="101">
        <v>2</v>
      </c>
    </row>
    <row r="1664" spans="1:24" hidden="1">
      <c r="A1664">
        <v>58</v>
      </c>
      <c r="B1664" s="2">
        <v>46227.478715277801</v>
      </c>
      <c r="C1664" s="2">
        <v>46227.482696759304</v>
      </c>
      <c r="D1664" s="1" t="s">
        <v>24</v>
      </c>
      <c r="E1664" s="1"/>
      <c r="F1664" s="29">
        <v>46227</v>
      </c>
      <c r="G1664" s="29">
        <v>46227</v>
      </c>
      <c r="H1664" s="1" t="s">
        <v>78</v>
      </c>
      <c r="I1664" s="1" t="s">
        <v>4009</v>
      </c>
      <c r="J1664" s="175">
        <v>84775707122</v>
      </c>
      <c r="K1664" s="171" t="s">
        <v>4010</v>
      </c>
      <c r="L1664" s="62">
        <v>23049320</v>
      </c>
      <c r="M1664" s="30">
        <v>5219992205909</v>
      </c>
      <c r="N1664" s="171" t="s">
        <v>37</v>
      </c>
      <c r="O1664" s="52">
        <v>4993.79</v>
      </c>
      <c r="P1664" s="99">
        <v>790.34</v>
      </c>
      <c r="Q1664" s="42">
        <f>OfficeForms.Table[[#This Row],[ INFORMEDEPAGO ]]*0.3</f>
        <v>1498.1369999999999</v>
      </c>
      <c r="R1664" s="12">
        <f>(IF(O1664&lt;4172.98,0,MIN(O1664*0.3,O1664-4172.98)))-P1664</f>
        <v>30.470000000000368</v>
      </c>
      <c r="S1664" s="74">
        <v>46722</v>
      </c>
      <c r="T1664" s="1"/>
      <c r="V1664" s="1"/>
      <c r="X1664" s="101">
        <v>2</v>
      </c>
    </row>
    <row r="1665" spans="1:24" hidden="1">
      <c r="A1665">
        <v>59</v>
      </c>
      <c r="B1665" s="2">
        <v>46227.480439814797</v>
      </c>
      <c r="C1665" s="2">
        <v>46227.483425925901</v>
      </c>
      <c r="D1665" s="1" t="s">
        <v>24</v>
      </c>
      <c r="E1665" s="1"/>
      <c r="F1665" s="29">
        <v>46227</v>
      </c>
      <c r="G1665" s="29">
        <v>46227</v>
      </c>
      <c r="H1665" s="1" t="s">
        <v>78</v>
      </c>
      <c r="I1665" s="1" t="s">
        <v>4011</v>
      </c>
      <c r="J1665" s="175">
        <v>62815802152</v>
      </c>
      <c r="K1665" s="171" t="s">
        <v>4012</v>
      </c>
      <c r="L1665" s="62">
        <v>23050582</v>
      </c>
      <c r="M1665" s="30">
        <v>5212213091324</v>
      </c>
      <c r="N1665" s="171" t="s">
        <v>37</v>
      </c>
      <c r="O1665" s="52">
        <v>6262.86</v>
      </c>
      <c r="P1665" s="99">
        <v>1810.65</v>
      </c>
      <c r="Q1665" s="42">
        <f>OfficeForms.Table[[#This Row],[ INFORMEDEPAGO ]]*0.3</f>
        <v>1878.8579999999997</v>
      </c>
      <c r="R1665" s="12">
        <f>(IF(O1665&lt;4172.98,0,MIN(O1665*0.3,O1665-4172.98)))-P1665</f>
        <v>68.207999999999629</v>
      </c>
      <c r="S1665" s="74">
        <v>46631</v>
      </c>
      <c r="T1665" s="1"/>
      <c r="V1665" s="1"/>
      <c r="X1665" s="101">
        <v>2</v>
      </c>
    </row>
    <row r="1666" spans="1:24" hidden="1">
      <c r="A1666">
        <v>60</v>
      </c>
      <c r="B1666" s="2">
        <v>46227.482685185198</v>
      </c>
      <c r="C1666" s="2">
        <v>46227.483495370398</v>
      </c>
      <c r="D1666" s="1" t="s">
        <v>24</v>
      </c>
      <c r="E1666" s="1"/>
      <c r="F1666" s="29">
        <v>46227</v>
      </c>
      <c r="G1666" s="29">
        <v>46227</v>
      </c>
      <c r="H1666" s="1" t="s">
        <v>3036</v>
      </c>
      <c r="I1666" s="1" t="s">
        <v>4013</v>
      </c>
      <c r="J1666" s="175">
        <v>63907247728</v>
      </c>
      <c r="K1666" s="171" t="s">
        <v>4014</v>
      </c>
      <c r="L1666" s="62">
        <v>23045118</v>
      </c>
      <c r="M1666" s="30">
        <v>5214131211790</v>
      </c>
      <c r="N1666" s="171" t="s">
        <v>32</v>
      </c>
      <c r="O1666" s="52">
        <v>3231.1</v>
      </c>
      <c r="P1666" s="99">
        <v>779</v>
      </c>
      <c r="Q1666" s="42">
        <f>OfficeForms.Table[[#This Row],[ INFORMEDEPAGO ]]*0.3</f>
        <v>969.32999999999993</v>
      </c>
      <c r="R1666" s="12">
        <f>(IF(O1666&lt;4172.98,0,MIN(O1666*0.3,O1666-4172.98)))-P1666</f>
        <v>-779</v>
      </c>
      <c r="T1666" s="1"/>
      <c r="V1666" s="1"/>
      <c r="X1666" s="101">
        <v>1</v>
      </c>
    </row>
    <row r="1667" spans="1:24" hidden="1">
      <c r="A1667">
        <v>61</v>
      </c>
      <c r="B1667" s="2">
        <v>46227.476261574098</v>
      </c>
      <c r="C1667" s="2">
        <v>46227.4856365741</v>
      </c>
      <c r="D1667" s="1" t="s">
        <v>24</v>
      </c>
      <c r="E1667" s="1"/>
      <c r="F1667" s="29">
        <v>46227</v>
      </c>
      <c r="G1667" s="29">
        <v>46227</v>
      </c>
      <c r="H1667" s="1" t="s">
        <v>127</v>
      </c>
      <c r="I1667" s="1" t="s">
        <v>4015</v>
      </c>
      <c r="J1667" s="175">
        <v>49826411776</v>
      </c>
      <c r="K1667" s="171" t="s">
        <v>4016</v>
      </c>
      <c r="L1667" s="62">
        <v>22987130</v>
      </c>
      <c r="M1667" s="30">
        <v>5218681615532</v>
      </c>
      <c r="N1667" s="171" t="s">
        <v>37</v>
      </c>
      <c r="O1667" s="52">
        <v>9081.44</v>
      </c>
      <c r="P1667" s="99">
        <v>2518.1999999999998</v>
      </c>
      <c r="Q1667" s="42">
        <f>OfficeForms.Table[[#This Row],[ INFORMEDEPAGO ]]*0.3</f>
        <v>2724.4320000000002</v>
      </c>
      <c r="R1667" s="12">
        <f>(IF(O1667&lt;4172.98,0,MIN(O1667*0.3,O1667-4172.98)))-P1667</f>
        <v>206.23200000000043</v>
      </c>
      <c r="S1667" s="74">
        <v>46388</v>
      </c>
      <c r="T1667" s="1"/>
      <c r="V1667" s="1"/>
      <c r="X1667" s="101">
        <v>2</v>
      </c>
    </row>
    <row r="1668" spans="1:24" hidden="1">
      <c r="A1668">
        <v>62</v>
      </c>
      <c r="B1668" s="2">
        <v>46227.458391203698</v>
      </c>
      <c r="C1668" s="2">
        <v>46227.489293981504</v>
      </c>
      <c r="D1668" s="1" t="s">
        <v>24</v>
      </c>
      <c r="E1668" s="1"/>
      <c r="F1668" s="29">
        <v>46227</v>
      </c>
      <c r="G1668" s="29">
        <v>46227</v>
      </c>
      <c r="H1668" s="1" t="s">
        <v>68</v>
      </c>
      <c r="I1668" s="1" t="s">
        <v>4017</v>
      </c>
      <c r="J1668" s="175">
        <v>24866334543</v>
      </c>
      <c r="K1668" s="171" t="s">
        <v>4018</v>
      </c>
      <c r="L1668" s="62">
        <v>23039364</v>
      </c>
      <c r="M1668" s="30">
        <v>5216628470915</v>
      </c>
      <c r="N1668" s="171" t="s">
        <v>47</v>
      </c>
      <c r="O1668" s="52">
        <v>50082.26</v>
      </c>
      <c r="P1668" s="99">
        <v>14489.99</v>
      </c>
      <c r="Q1668" s="42">
        <f>OfficeForms.Table[[#This Row],[ INFORMEDEPAGO ]]*0.3</f>
        <v>15024.678</v>
      </c>
      <c r="R1668" s="12">
        <f>(IF(O1668&lt;4172.98,0,MIN(O1668*0.3,O1668-4172.98)))-P1668</f>
        <v>534.6880000000001</v>
      </c>
      <c r="S1668" s="74">
        <v>46235</v>
      </c>
      <c r="T1668" s="1" t="s">
        <v>259</v>
      </c>
      <c r="V1668" s="1"/>
      <c r="X1668" s="101">
        <v>2</v>
      </c>
    </row>
    <row r="1669" spans="1:24" hidden="1">
      <c r="A1669">
        <v>63</v>
      </c>
      <c r="B1669" s="2">
        <v>46227.485671296301</v>
      </c>
      <c r="C1669" s="2">
        <v>46227.489722222199</v>
      </c>
      <c r="D1669" s="1" t="s">
        <v>24</v>
      </c>
      <c r="E1669" s="1"/>
      <c r="F1669" s="29">
        <v>46227</v>
      </c>
      <c r="G1669" s="29">
        <v>46226</v>
      </c>
      <c r="H1669" s="1" t="s">
        <v>127</v>
      </c>
      <c r="I1669" s="1" t="s">
        <v>4019</v>
      </c>
      <c r="J1669" s="175" t="s">
        <v>4020</v>
      </c>
      <c r="K1669" s="171" t="s">
        <v>4021</v>
      </c>
      <c r="L1669" s="62">
        <v>23019126</v>
      </c>
      <c r="M1669" s="30">
        <v>5215545798756</v>
      </c>
      <c r="N1669" s="171" t="s">
        <v>37</v>
      </c>
      <c r="O1669" s="52">
        <v>5980.05</v>
      </c>
      <c r="P1669" s="99">
        <v>1717.26</v>
      </c>
      <c r="Q1669" s="42">
        <f>OfficeForms.Table[[#This Row],[ INFORMEDEPAGO ]]*0.3</f>
        <v>1794.0150000000001</v>
      </c>
      <c r="R1669" s="12">
        <f>(IF(O1669&lt;4172.98,0,MIN(O1669*0.3,O1669-4172.98)))-P1669</f>
        <v>76.755000000000109</v>
      </c>
      <c r="S1669" s="74">
        <v>46722</v>
      </c>
      <c r="T1669" s="1" t="s">
        <v>178</v>
      </c>
      <c r="V1669" s="1"/>
      <c r="X1669" s="101">
        <v>2</v>
      </c>
    </row>
    <row r="1670" spans="1:24" hidden="1">
      <c r="A1670">
        <v>64</v>
      </c>
      <c r="B1670" s="2">
        <v>46227.490370370397</v>
      </c>
      <c r="C1670" s="2">
        <v>46227.490810185198</v>
      </c>
      <c r="D1670" s="1" t="s">
        <v>24</v>
      </c>
      <c r="E1670" s="1"/>
      <c r="F1670" s="29">
        <v>46227</v>
      </c>
      <c r="G1670" s="29">
        <v>46227</v>
      </c>
      <c r="H1670" s="1" t="s">
        <v>1625</v>
      </c>
      <c r="I1670" s="1" t="s">
        <v>4022</v>
      </c>
      <c r="J1670" s="175" t="s">
        <v>4023</v>
      </c>
      <c r="K1670" s="171" t="s">
        <v>4024</v>
      </c>
      <c r="L1670" s="62">
        <v>2</v>
      </c>
      <c r="M1670" s="30">
        <v>5636008087</v>
      </c>
      <c r="N1670" s="171" t="s">
        <v>32</v>
      </c>
      <c r="O1670" s="67">
        <v>4199.87</v>
      </c>
      <c r="P1670" s="99"/>
      <c r="Q1670" s="42">
        <f>OfficeForms.Table[[#This Row],[ INFORMEDEPAGO ]]*0.3</f>
        <v>1259.961</v>
      </c>
      <c r="R1670" s="12">
        <f>(IF(O1670&lt;4172.98,0,MIN(O1670*0.3,O1670-4172.98)))-P1670</f>
        <v>26.890000000000327</v>
      </c>
      <c r="T1670" s="1"/>
      <c r="V1670" s="1"/>
      <c r="X1670" s="101">
        <v>1</v>
      </c>
    </row>
    <row r="1671" spans="1:24" hidden="1">
      <c r="A1671">
        <v>65</v>
      </c>
      <c r="B1671" s="2">
        <v>46227.489780092597</v>
      </c>
      <c r="C1671" s="2">
        <v>46227.493425925903</v>
      </c>
      <c r="D1671" s="1" t="s">
        <v>24</v>
      </c>
      <c r="E1671" s="1"/>
      <c r="F1671" s="29">
        <v>46227</v>
      </c>
      <c r="G1671" s="29">
        <v>46226</v>
      </c>
      <c r="H1671" s="1" t="s">
        <v>127</v>
      </c>
      <c r="I1671" s="1" t="s">
        <v>4025</v>
      </c>
      <c r="J1671" s="175">
        <v>32796313768</v>
      </c>
      <c r="K1671" s="171" t="s">
        <v>4026</v>
      </c>
      <c r="L1671" s="62">
        <v>23007704</v>
      </c>
      <c r="M1671" s="30">
        <v>5218782303546</v>
      </c>
      <c r="N1671" s="171" t="s">
        <v>47</v>
      </c>
      <c r="O1671" s="52">
        <v>7920.51</v>
      </c>
      <c r="P1671" s="99">
        <v>1436.63</v>
      </c>
      <c r="Q1671" s="42">
        <f>OfficeForms.Table[[#This Row],[ INFORMEDEPAGO ]]*0.3</f>
        <v>2376.1529999999998</v>
      </c>
      <c r="R1671" s="12">
        <f>(IF(O1671&lt;4172.98,0,MIN(O1671*0.3,O1671-4172.98)))-P1671</f>
        <v>939.52299999999968</v>
      </c>
      <c r="S1671" s="74">
        <v>46753</v>
      </c>
      <c r="T1671" s="1"/>
      <c r="V1671" s="1"/>
      <c r="X1671" s="101">
        <v>2</v>
      </c>
    </row>
    <row r="1672" spans="1:24" hidden="1">
      <c r="A1672">
        <v>66</v>
      </c>
      <c r="B1672" s="2">
        <v>46227.493460648097</v>
      </c>
      <c r="C1672" s="2">
        <v>46227.504780092597</v>
      </c>
      <c r="D1672" s="1" t="s">
        <v>24</v>
      </c>
      <c r="E1672" s="1"/>
      <c r="F1672" s="29">
        <v>46227</v>
      </c>
      <c r="G1672" s="29">
        <v>46226</v>
      </c>
      <c r="H1672" s="1" t="s">
        <v>127</v>
      </c>
      <c r="I1672" s="1" t="s">
        <v>4027</v>
      </c>
      <c r="J1672" s="175" t="s">
        <v>4028</v>
      </c>
      <c r="K1672" s="171"/>
      <c r="L1672" s="62">
        <v>23027468</v>
      </c>
      <c r="M1672" s="30">
        <v>5216632135477</v>
      </c>
      <c r="N1672" s="171" t="s">
        <v>28</v>
      </c>
      <c r="O1672" s="67">
        <v>9081.52</v>
      </c>
      <c r="P1672" s="99"/>
      <c r="Q1672" s="42">
        <f>OfficeForms.Table[[#This Row],[ INFORMEDEPAGO ]]*0.3</f>
        <v>2724.4560000000001</v>
      </c>
      <c r="R1672" s="12">
        <f>(IF(O1672&lt;4172.98,0,MIN(O1672*0.3,O1672-4172.98)))-P1672</f>
        <v>2724.4560000000001</v>
      </c>
      <c r="T1672" s="1"/>
      <c r="V1672" s="1"/>
      <c r="X1672" s="101">
        <v>1</v>
      </c>
    </row>
    <row r="1673" spans="1:24" hidden="1">
      <c r="A1673">
        <v>67</v>
      </c>
      <c r="B1673" s="2">
        <v>46227.436180555596</v>
      </c>
      <c r="C1673" s="2">
        <v>46227.505150463003</v>
      </c>
      <c r="D1673" s="1" t="s">
        <v>24</v>
      </c>
      <c r="E1673" s="1"/>
      <c r="F1673" s="29">
        <v>46227</v>
      </c>
      <c r="G1673" s="29">
        <v>46226</v>
      </c>
      <c r="H1673" s="1" t="s">
        <v>81</v>
      </c>
      <c r="I1673" s="1" t="s">
        <v>4029</v>
      </c>
      <c r="J1673" s="175" t="s">
        <v>4030</v>
      </c>
      <c r="K1673" s="171" t="s">
        <v>4031</v>
      </c>
      <c r="L1673" s="62">
        <v>23038264</v>
      </c>
      <c r="M1673" s="30">
        <v>5217772401397</v>
      </c>
      <c r="N1673" s="171" t="s">
        <v>32</v>
      </c>
      <c r="O1673" s="67">
        <f>2976.42+879</f>
        <v>3855.42</v>
      </c>
      <c r="P1673" s="99" t="s">
        <v>3934</v>
      </c>
      <c r="Q1673" s="42">
        <f>OfficeForms.Table[[#This Row],[ INFORMEDEPAGO ]]*0.3</f>
        <v>1156.626</v>
      </c>
      <c r="R1673" s="12">
        <f>(IF(O1673&lt;4172.98,0,MIN(O1673*0.3,O1673-4172.98)))-P1673</f>
        <v>-879</v>
      </c>
      <c r="T1673" s="1"/>
      <c r="V1673" s="1"/>
      <c r="X1673" s="101">
        <v>1</v>
      </c>
    </row>
    <row r="1674" spans="1:24" hidden="1">
      <c r="A1674">
        <v>69</v>
      </c>
      <c r="B1674" s="2">
        <v>46227.505243055602</v>
      </c>
      <c r="C1674" s="2">
        <v>46227.507083333301</v>
      </c>
      <c r="D1674" s="1" t="s">
        <v>24</v>
      </c>
      <c r="E1674" s="1"/>
      <c r="F1674" s="29">
        <v>46227</v>
      </c>
      <c r="G1674" s="29">
        <v>46226</v>
      </c>
      <c r="H1674" s="1" t="s">
        <v>110</v>
      </c>
      <c r="I1674" s="1" t="s">
        <v>4032</v>
      </c>
      <c r="J1674" s="175">
        <v>35897031486</v>
      </c>
      <c r="K1674" s="171"/>
      <c r="L1674" s="62">
        <v>22834102</v>
      </c>
      <c r="M1674" s="30">
        <v>5216141401190</v>
      </c>
      <c r="N1674" s="171" t="s">
        <v>32</v>
      </c>
      <c r="O1674" s="50">
        <v>2336.86</v>
      </c>
      <c r="P1674" s="97"/>
      <c r="Q1674" s="42">
        <f>OfficeForms.Table[[#This Row],[ INFORMEDEPAGO ]]*0.3</f>
        <v>701.05799999999999</v>
      </c>
      <c r="R1674" s="12">
        <f>(IF(O1674&lt;4172.98,0,MIN(O1674*0.3,O1674-4172.98)))-P1674</f>
        <v>0</v>
      </c>
      <c r="T1674" s="1"/>
      <c r="V1674" s="1"/>
      <c r="X1674" s="101">
        <v>1</v>
      </c>
    </row>
    <row r="1675" spans="1:24" hidden="1">
      <c r="A1675">
        <v>70</v>
      </c>
      <c r="B1675" s="2">
        <v>46226.7254861111</v>
      </c>
      <c r="C1675" s="2">
        <v>46227.507187499999</v>
      </c>
      <c r="D1675" s="1" t="s">
        <v>24</v>
      </c>
      <c r="E1675" s="1"/>
      <c r="F1675" s="29">
        <v>46227</v>
      </c>
      <c r="G1675" s="29">
        <v>46226</v>
      </c>
      <c r="H1675" s="1" t="s">
        <v>107</v>
      </c>
      <c r="I1675" s="1"/>
      <c r="J1675" s="175">
        <v>92927612272</v>
      </c>
      <c r="K1675" s="171" t="s">
        <v>4033</v>
      </c>
      <c r="L1675" s="62">
        <v>23032298</v>
      </c>
      <c r="M1675" s="30">
        <v>5215564563698</v>
      </c>
      <c r="N1675" s="171" t="s">
        <v>37</v>
      </c>
      <c r="O1675" s="50">
        <v>14821.95</v>
      </c>
      <c r="P1675" s="97" t="s">
        <v>4034</v>
      </c>
      <c r="Q1675" s="42">
        <f>OfficeForms.Table[[#This Row],[ INFORMEDEPAGO ]]*0.3</f>
        <v>4446.585</v>
      </c>
      <c r="R1675" s="12">
        <f>(IF(O1675&lt;4172.98,0,MIN(O1675*0.3,O1675-4172.98)))-P1675</f>
        <v>158.44499999999971</v>
      </c>
      <c r="S1675" s="74">
        <v>46539</v>
      </c>
      <c r="T1675" s="1"/>
      <c r="V1675" s="1"/>
      <c r="X1675" s="101">
        <v>2</v>
      </c>
    </row>
    <row r="1676" spans="1:24" hidden="1">
      <c r="A1676">
        <v>71</v>
      </c>
      <c r="B1676" s="2">
        <v>46227.505231481497</v>
      </c>
      <c r="C1676" s="2">
        <v>46227.511921296304</v>
      </c>
      <c r="D1676" s="1" t="s">
        <v>24</v>
      </c>
      <c r="E1676" s="1"/>
      <c r="F1676" s="29">
        <v>46227</v>
      </c>
      <c r="G1676" s="29">
        <v>46227</v>
      </c>
      <c r="H1676" s="1" t="s">
        <v>81</v>
      </c>
      <c r="I1676" s="1" t="s">
        <v>4035</v>
      </c>
      <c r="J1676" s="175"/>
      <c r="K1676" s="171" t="s">
        <v>4036</v>
      </c>
      <c r="L1676" s="62">
        <v>23052072</v>
      </c>
      <c r="M1676" s="30">
        <v>5218343114074</v>
      </c>
      <c r="N1676" s="171" t="s">
        <v>37</v>
      </c>
      <c r="O1676" s="43">
        <v>10171.24</v>
      </c>
      <c r="P1676" s="97">
        <v>2939.64</v>
      </c>
      <c r="Q1676" s="42">
        <f>OfficeForms.Table[[#This Row],[ INFORMEDEPAGO ]]*0.3</f>
        <v>3051.3719999999998</v>
      </c>
      <c r="R1676" s="12">
        <f>(IF(O1676&lt;4172.98,0,MIN(O1676*0.3,O1676-4172.98)))-P1676</f>
        <v>111.73199999999997</v>
      </c>
      <c r="S1676" s="74">
        <v>46447</v>
      </c>
      <c r="T1676" s="1"/>
      <c r="V1676" s="1"/>
      <c r="X1676" s="101">
        <v>2</v>
      </c>
    </row>
    <row r="1677" spans="1:24" hidden="1">
      <c r="A1677">
        <v>72</v>
      </c>
      <c r="B1677" s="2">
        <v>46227.508379629602</v>
      </c>
      <c r="C1677" s="2">
        <v>46227.512349536999</v>
      </c>
      <c r="D1677" s="1" t="s">
        <v>24</v>
      </c>
      <c r="E1677" s="1"/>
      <c r="F1677" s="29">
        <v>46227</v>
      </c>
      <c r="G1677" s="29">
        <v>46227</v>
      </c>
      <c r="H1677" s="1" t="s">
        <v>39</v>
      </c>
      <c r="I1677" s="1" t="s">
        <v>4037</v>
      </c>
      <c r="J1677" s="175">
        <v>33796216407</v>
      </c>
      <c r="K1677" s="171" t="s">
        <v>4038</v>
      </c>
      <c r="L1677" s="62">
        <v>23051454</v>
      </c>
      <c r="M1677" s="30">
        <v>5216142726941</v>
      </c>
      <c r="N1677" s="171" t="s">
        <v>37</v>
      </c>
      <c r="O1677" s="52">
        <v>10171.24</v>
      </c>
      <c r="P1677" s="99">
        <v>2942</v>
      </c>
      <c r="Q1677" s="42">
        <f>OfficeForms.Table[[#This Row],[ INFORMEDEPAGO ]]*0.3</f>
        <v>3051.3719999999998</v>
      </c>
      <c r="R1677" s="12">
        <f>(IF(O1677&lt;4172.98,0,MIN(O1677*0.3,O1677-4172.98)))-P1677</f>
        <v>109.37199999999984</v>
      </c>
      <c r="S1677" s="74">
        <v>46508</v>
      </c>
      <c r="T1677" s="1"/>
      <c r="V1677" s="1"/>
      <c r="X1677" s="101">
        <v>2</v>
      </c>
    </row>
    <row r="1678" spans="1:24" hidden="1">
      <c r="A1678">
        <v>73</v>
      </c>
      <c r="B1678" s="2">
        <v>46227.513935185198</v>
      </c>
      <c r="C1678" s="2">
        <v>46227.514687499999</v>
      </c>
      <c r="D1678" s="1" t="s">
        <v>24</v>
      </c>
      <c r="E1678" s="1"/>
      <c r="F1678" s="29">
        <v>46227</v>
      </c>
      <c r="G1678" s="29">
        <v>46227</v>
      </c>
      <c r="H1678" s="1" t="s">
        <v>3036</v>
      </c>
      <c r="I1678" s="1" t="s">
        <v>4039</v>
      </c>
      <c r="J1678" s="175">
        <v>32786034911</v>
      </c>
      <c r="K1678" s="171" t="s">
        <v>4040</v>
      </c>
      <c r="L1678" s="62">
        <v>23050904</v>
      </c>
      <c r="M1678" s="30">
        <v>5218661396013</v>
      </c>
      <c r="N1678" s="171" t="s">
        <v>47</v>
      </c>
      <c r="O1678" s="43">
        <v>13902.91</v>
      </c>
      <c r="P1678" s="97">
        <v>3642.77</v>
      </c>
      <c r="Q1678" s="42">
        <f>OfficeForms.Table[[#This Row],[ INFORMEDEPAGO ]]*0.3</f>
        <v>4170.8729999999996</v>
      </c>
      <c r="R1678" s="12">
        <f>(IF(O1678&lt;4172.98,0,MIN(O1678*0.3,O1678-4172.98)))-P1678</f>
        <v>528.10299999999961</v>
      </c>
      <c r="S1678" s="74">
        <v>46235</v>
      </c>
      <c r="T1678" s="1"/>
      <c r="V1678" s="1"/>
      <c r="X1678" s="101">
        <v>2</v>
      </c>
    </row>
    <row r="1679" spans="1:24" hidden="1">
      <c r="A1679">
        <v>74</v>
      </c>
      <c r="B1679" s="2">
        <v>46227.512546296297</v>
      </c>
      <c r="C1679" s="2">
        <v>46227.518310185202</v>
      </c>
      <c r="D1679" s="1" t="s">
        <v>24</v>
      </c>
      <c r="E1679" s="1"/>
      <c r="F1679" s="29">
        <v>46227</v>
      </c>
      <c r="G1679" s="29">
        <v>46227</v>
      </c>
      <c r="H1679" s="1" t="s">
        <v>78</v>
      </c>
      <c r="I1679" s="1" t="s">
        <v>4041</v>
      </c>
      <c r="J1679" s="175">
        <v>84836416200</v>
      </c>
      <c r="K1679" s="171" t="s">
        <v>4042</v>
      </c>
      <c r="L1679" s="62">
        <v>23051200</v>
      </c>
      <c r="M1679" s="30">
        <v>5219981558086</v>
      </c>
      <c r="N1679" s="171" t="s">
        <v>28</v>
      </c>
      <c r="O1679" s="50">
        <v>35855.53</v>
      </c>
      <c r="P1679" s="97"/>
      <c r="Q1679" s="42">
        <f>OfficeForms.Table[[#This Row],[ INFORMEDEPAGO ]]*0.3</f>
        <v>10756.659</v>
      </c>
      <c r="R1679" s="12">
        <f>(IF(O1679&lt;4172.98,0,MIN(O1679*0.3,O1679-4172.98)))-P1679</f>
        <v>10756.659</v>
      </c>
      <c r="T1679" s="1"/>
      <c r="V1679" s="1"/>
      <c r="X1679" s="101">
        <v>1</v>
      </c>
    </row>
    <row r="1680" spans="1:24" hidden="1">
      <c r="A1680">
        <v>76</v>
      </c>
      <c r="B1680" s="2">
        <v>46227.516365740703</v>
      </c>
      <c r="C1680" s="2">
        <v>46227.524131944403</v>
      </c>
      <c r="D1680" s="1" t="s">
        <v>24</v>
      </c>
      <c r="E1680" s="1"/>
      <c r="F1680" s="29">
        <v>46227</v>
      </c>
      <c r="G1680" s="29">
        <v>46226</v>
      </c>
      <c r="H1680" s="1" t="s">
        <v>160</v>
      </c>
      <c r="I1680" s="1" t="s">
        <v>4043</v>
      </c>
      <c r="J1680" s="175">
        <v>22976101182</v>
      </c>
      <c r="K1680" s="171" t="s">
        <v>4044</v>
      </c>
      <c r="L1680" s="62">
        <v>23019992</v>
      </c>
      <c r="M1680" s="30">
        <v>5216243558847</v>
      </c>
      <c r="N1680" s="171" t="s">
        <v>106</v>
      </c>
      <c r="O1680" s="43">
        <v>7920.51</v>
      </c>
      <c r="P1680" s="97">
        <v>2193.15</v>
      </c>
      <c r="Q1680" s="42">
        <f>OfficeForms.Table[[#This Row],[ INFORMEDEPAGO ]]*0.3</f>
        <v>2376.1529999999998</v>
      </c>
      <c r="R1680" s="12">
        <f>(IF(O1680&lt;4172.98,0,MIN(O1680*0.3,O1680-4172.98)))-P1680</f>
        <v>183.0029999999997</v>
      </c>
      <c r="S1680" s="74">
        <v>46174</v>
      </c>
      <c r="T1680" s="1"/>
      <c r="V1680" s="1"/>
      <c r="X1680" s="101">
        <v>2</v>
      </c>
    </row>
    <row r="1681" spans="1:24" hidden="1">
      <c r="A1681">
        <v>77</v>
      </c>
      <c r="B1681" s="2">
        <v>46227.512129629598</v>
      </c>
      <c r="C1681" s="2">
        <v>46227.5251041667</v>
      </c>
      <c r="D1681" s="1" t="s">
        <v>24</v>
      </c>
      <c r="E1681" s="1"/>
      <c r="F1681" s="29">
        <v>46227</v>
      </c>
      <c r="G1681" s="29">
        <v>46227</v>
      </c>
      <c r="H1681" s="1" t="s">
        <v>127</v>
      </c>
      <c r="I1681" s="1" t="s">
        <v>4045</v>
      </c>
      <c r="J1681" s="175">
        <v>67917570755</v>
      </c>
      <c r="K1681" s="171" t="s">
        <v>4046</v>
      </c>
      <c r="L1681" s="62">
        <v>23048360</v>
      </c>
      <c r="M1681" s="30">
        <v>5216566517643</v>
      </c>
      <c r="N1681" s="171" t="s">
        <v>37</v>
      </c>
      <c r="O1681" s="50">
        <v>8173.37</v>
      </c>
      <c r="P1681" s="97" t="s">
        <v>4047</v>
      </c>
      <c r="Q1681" s="42">
        <f>OfficeForms.Table[[#This Row],[ INFORMEDEPAGO ]]*0.3</f>
        <v>2452.011</v>
      </c>
      <c r="R1681" s="12">
        <f>(IF(O1681&lt;4172.98,0,MIN(O1681*0.3,O1681-4172.98)))-P1681</f>
        <v>182.79100000000017</v>
      </c>
      <c r="S1681" s="74">
        <v>46235</v>
      </c>
      <c r="T1681" s="1"/>
      <c r="V1681" s="1"/>
      <c r="X1681" s="101">
        <v>2</v>
      </c>
    </row>
    <row r="1682" spans="1:24" hidden="1">
      <c r="A1682">
        <v>78</v>
      </c>
      <c r="B1682" s="2">
        <v>46227.519166666701</v>
      </c>
      <c r="C1682" s="2">
        <v>46227.529259259303</v>
      </c>
      <c r="D1682" s="1" t="s">
        <v>24</v>
      </c>
      <c r="E1682" s="1"/>
      <c r="F1682" s="29">
        <v>46227</v>
      </c>
      <c r="G1682" s="29">
        <v>46227</v>
      </c>
      <c r="H1682" s="1" t="s">
        <v>1519</v>
      </c>
      <c r="I1682" s="1" t="s">
        <v>4048</v>
      </c>
      <c r="J1682" s="175"/>
      <c r="K1682" s="171" t="s">
        <v>4049</v>
      </c>
      <c r="L1682" s="62">
        <v>23037962</v>
      </c>
      <c r="M1682" s="30">
        <v>5215570121572</v>
      </c>
      <c r="N1682" s="171" t="s">
        <v>37</v>
      </c>
      <c r="O1682" s="43">
        <v>13643.44</v>
      </c>
      <c r="P1682" s="97">
        <v>3930.48</v>
      </c>
      <c r="Q1682" s="42">
        <f>OfficeForms.Table[[#This Row],[ INFORMEDEPAGO ]]*0.3</f>
        <v>4093.0320000000002</v>
      </c>
      <c r="R1682" s="12">
        <f>(IF(O1682&lt;4172.98,0,MIN(O1682*0.3,O1682-4172.98)))-P1682</f>
        <v>162.55200000000013</v>
      </c>
      <c r="S1682" s="74">
        <v>46692</v>
      </c>
      <c r="T1682" s="1" t="s">
        <v>192</v>
      </c>
      <c r="V1682" s="1"/>
      <c r="X1682" s="101">
        <v>2</v>
      </c>
    </row>
    <row r="1683" spans="1:24" hidden="1">
      <c r="A1683">
        <v>79</v>
      </c>
      <c r="B1683" s="2">
        <v>46227.5177430556</v>
      </c>
      <c r="C1683" s="2">
        <v>46227.529571759304</v>
      </c>
      <c r="D1683" s="1" t="s">
        <v>24</v>
      </c>
      <c r="E1683" s="1"/>
      <c r="F1683" s="29">
        <v>46227</v>
      </c>
      <c r="G1683" s="29">
        <v>46227</v>
      </c>
      <c r="H1683" s="1" t="s">
        <v>127</v>
      </c>
      <c r="I1683" s="1" t="s">
        <v>4050</v>
      </c>
      <c r="J1683" s="175" t="s">
        <v>4051</v>
      </c>
      <c r="K1683" s="171" t="s">
        <v>4052</v>
      </c>
      <c r="L1683" s="62">
        <v>23051158</v>
      </c>
      <c r="M1683" s="30">
        <v>5215560392259</v>
      </c>
      <c r="N1683" s="171" t="s">
        <v>28</v>
      </c>
      <c r="O1683" s="50">
        <v>5617.63</v>
      </c>
      <c r="P1683" s="97"/>
      <c r="Q1683" s="42">
        <f>OfficeForms.Table[[#This Row],[ INFORMEDEPAGO ]]*0.3</f>
        <v>1685.289</v>
      </c>
      <c r="R1683" s="12">
        <f>(IF(O1683&lt;4172.98,0,MIN(O1683*0.3,O1683-4172.98)))-P1683</f>
        <v>1444.6500000000005</v>
      </c>
      <c r="T1683" s="1"/>
      <c r="V1683" s="1"/>
      <c r="X1683" s="101">
        <v>1</v>
      </c>
    </row>
    <row r="1684" spans="1:24" hidden="1">
      <c r="A1684">
        <v>80</v>
      </c>
      <c r="B1684" s="2">
        <v>46227.528437499997</v>
      </c>
      <c r="C1684" s="2">
        <v>46227.531458333302</v>
      </c>
      <c r="D1684" s="1" t="s">
        <v>24</v>
      </c>
      <c r="E1684" s="1"/>
      <c r="F1684" s="29">
        <v>46227</v>
      </c>
      <c r="G1684" s="29">
        <v>46226</v>
      </c>
      <c r="H1684" s="1" t="s">
        <v>160</v>
      </c>
      <c r="I1684" s="1" t="s">
        <v>4053</v>
      </c>
      <c r="J1684" s="175">
        <v>62896611852</v>
      </c>
      <c r="K1684" s="171" t="s">
        <v>4054</v>
      </c>
      <c r="L1684" s="62">
        <v>23017954</v>
      </c>
      <c r="M1684" s="30">
        <v>5212213475134</v>
      </c>
      <c r="N1684" s="171" t="s">
        <v>28</v>
      </c>
      <c r="O1684" s="50">
        <v>10636.54</v>
      </c>
      <c r="P1684" s="97"/>
      <c r="Q1684" s="42">
        <f>OfficeForms.Table[[#This Row],[ INFORMEDEPAGO ]]*0.3</f>
        <v>3190.962</v>
      </c>
      <c r="R1684" s="12">
        <f>(IF(O1684&lt;4172.98,0,MIN(O1684*0.3,O1684-4172.98)))-P1684</f>
        <v>3190.962</v>
      </c>
      <c r="T1684" s="1"/>
      <c r="V1684" s="1"/>
      <c r="X1684" s="101">
        <v>1</v>
      </c>
    </row>
    <row r="1685" spans="1:24" hidden="1">
      <c r="A1685">
        <v>81</v>
      </c>
      <c r="B1685" s="2">
        <v>46227.521493055603</v>
      </c>
      <c r="C1685" s="2">
        <v>46227.5339930556</v>
      </c>
      <c r="D1685" s="1" t="s">
        <v>24</v>
      </c>
      <c r="E1685" s="1"/>
      <c r="F1685" s="29">
        <v>46227</v>
      </c>
      <c r="G1685" s="29">
        <v>46227</v>
      </c>
      <c r="H1685" s="1" t="s">
        <v>1625</v>
      </c>
      <c r="I1685" s="1" t="s">
        <v>3129</v>
      </c>
      <c r="J1685" s="175">
        <v>16785801057</v>
      </c>
      <c r="K1685" s="171" t="s">
        <v>3130</v>
      </c>
      <c r="L1685" s="62">
        <v>2</v>
      </c>
      <c r="M1685" s="30">
        <v>7203184208</v>
      </c>
      <c r="N1685" s="169" t="s">
        <v>32</v>
      </c>
      <c r="O1685" s="48">
        <v>4342.43</v>
      </c>
      <c r="P1685" s="95"/>
      <c r="Q1685" s="42">
        <f>OfficeForms.Table[[#This Row],[ INFORMEDEPAGO ]]*0.3</f>
        <v>1302.729</v>
      </c>
      <c r="R1685" s="12">
        <f>(IF(O1685&lt;4172.98,0,MIN(O1685*0.3,O1685-4172.98)))-P1685</f>
        <v>169.45000000000073</v>
      </c>
      <c r="S1685" s="75"/>
      <c r="T1685" s="1"/>
      <c r="V1685" s="1"/>
      <c r="X1685" s="101">
        <v>1</v>
      </c>
    </row>
    <row r="1686" spans="1:24" hidden="1">
      <c r="A1686">
        <v>82</v>
      </c>
      <c r="B1686" s="2">
        <v>46227.481030092596</v>
      </c>
      <c r="C1686" s="2">
        <v>46227.534247685202</v>
      </c>
      <c r="D1686" s="1" t="s">
        <v>24</v>
      </c>
      <c r="E1686" s="1"/>
      <c r="F1686" s="29">
        <v>46227</v>
      </c>
      <c r="G1686" s="29">
        <v>46226</v>
      </c>
      <c r="H1686" s="1" t="s">
        <v>51</v>
      </c>
      <c r="I1686" s="1" t="s">
        <v>4055</v>
      </c>
      <c r="J1686" s="175" t="s">
        <v>4056</v>
      </c>
      <c r="K1686" s="171" t="s">
        <v>4057</v>
      </c>
      <c r="L1686" s="62">
        <v>23007866</v>
      </c>
      <c r="M1686" s="30">
        <v>5215619307625</v>
      </c>
      <c r="N1686" s="171" t="s">
        <v>37</v>
      </c>
      <c r="O1686" s="52">
        <v>7116.73</v>
      </c>
      <c r="P1686" s="99">
        <v>1974.7</v>
      </c>
      <c r="Q1686" s="42">
        <f>OfficeForms.Table[[#This Row],[ INFORMEDEPAGO ]]*0.3</f>
        <v>2135.0189999999998</v>
      </c>
      <c r="R1686" s="12">
        <f>(IF(O1686&lt;4172.98,0,MIN(O1686*0.3,O1686-4172.98)))-P1686</f>
        <v>160.31899999999973</v>
      </c>
      <c r="S1686" s="74">
        <v>46296</v>
      </c>
      <c r="T1686" s="1" t="s">
        <v>192</v>
      </c>
      <c r="V1686" s="1"/>
      <c r="X1686" s="101">
        <v>2</v>
      </c>
    </row>
    <row r="1687" spans="1:24" hidden="1">
      <c r="A1687">
        <v>83</v>
      </c>
      <c r="B1687" s="2">
        <v>46227.5377546296</v>
      </c>
      <c r="C1687" s="2">
        <v>46227.543067129598</v>
      </c>
      <c r="D1687" s="1" t="s">
        <v>24</v>
      </c>
      <c r="E1687" s="1"/>
      <c r="F1687" s="29">
        <v>46227</v>
      </c>
      <c r="G1687" s="29">
        <v>46226</v>
      </c>
      <c r="H1687" s="1" t="s">
        <v>160</v>
      </c>
      <c r="I1687" s="1" t="s">
        <v>4058</v>
      </c>
      <c r="J1687" s="175">
        <v>11926306843</v>
      </c>
      <c r="K1687" s="171" t="s">
        <v>4059</v>
      </c>
      <c r="L1687" s="62">
        <v>23025612</v>
      </c>
      <c r="M1687" s="30">
        <v>5215527127866</v>
      </c>
      <c r="N1687" s="171" t="s">
        <v>37</v>
      </c>
      <c r="O1687" s="43">
        <v>54757.39</v>
      </c>
      <c r="P1687" s="97">
        <v>16421.43</v>
      </c>
      <c r="Q1687" s="42">
        <f>OfficeForms.Table[[#This Row],[ INFORMEDEPAGO ]]*0.3</f>
        <v>16427.217000000001</v>
      </c>
      <c r="R1687" s="12">
        <f>(IF(O1687&lt;4172.98,0,MIN(O1687*0.3,O1687-4172.98)))-P1687</f>
        <v>5.7870000000002619</v>
      </c>
      <c r="S1687" s="74">
        <v>46661</v>
      </c>
      <c r="T1687" s="1"/>
      <c r="V1687" s="1"/>
      <c r="X1687" s="101">
        <v>2</v>
      </c>
    </row>
    <row r="1688" spans="1:24" hidden="1">
      <c r="A1688">
        <v>84</v>
      </c>
      <c r="B1688" s="2">
        <v>46227.534270833297</v>
      </c>
      <c r="C1688" s="2">
        <v>46227.543564814798</v>
      </c>
      <c r="D1688" s="1" t="s">
        <v>24</v>
      </c>
      <c r="E1688" s="1"/>
      <c r="F1688" s="29">
        <v>46227</v>
      </c>
      <c r="G1688" s="29">
        <v>46220</v>
      </c>
      <c r="H1688" s="1" t="s">
        <v>51</v>
      </c>
      <c r="I1688" s="1" t="s">
        <v>4060</v>
      </c>
      <c r="J1688" s="175" t="s">
        <v>4061</v>
      </c>
      <c r="K1688" s="171" t="s">
        <v>4062</v>
      </c>
      <c r="L1688" s="62">
        <v>22804080</v>
      </c>
      <c r="M1688" s="30">
        <v>5217294539672</v>
      </c>
      <c r="N1688" s="171" t="s">
        <v>37</v>
      </c>
      <c r="O1688" s="50">
        <v>7363.38</v>
      </c>
      <c r="P1688" s="97" t="s">
        <v>4063</v>
      </c>
      <c r="Q1688" s="42">
        <f>OfficeForms.Table[[#This Row],[ INFORMEDEPAGO ]]*0.3</f>
        <v>2209.0140000000001</v>
      </c>
      <c r="R1688" s="12">
        <f>(IF(O1688&lt;4172.98,0,MIN(O1688*0.3,O1688-4172.98)))-P1688</f>
        <v>164.6840000000002</v>
      </c>
      <c r="S1688" s="74">
        <v>46388</v>
      </c>
      <c r="T1688" s="1"/>
      <c r="V1688" s="1"/>
      <c r="X1688" s="101">
        <v>2</v>
      </c>
    </row>
    <row r="1689" spans="1:24" hidden="1">
      <c r="A1689">
        <v>85</v>
      </c>
      <c r="B1689" s="2">
        <v>46227.489328703698</v>
      </c>
      <c r="C1689" s="2">
        <v>46227.544872685197</v>
      </c>
      <c r="D1689" s="1" t="s">
        <v>24</v>
      </c>
      <c r="E1689" s="1"/>
      <c r="F1689" s="29">
        <v>46227</v>
      </c>
      <c r="G1689" s="29">
        <v>46227</v>
      </c>
      <c r="H1689" s="1" t="s">
        <v>68</v>
      </c>
      <c r="I1689" s="1" t="s">
        <v>4064</v>
      </c>
      <c r="J1689" s="175">
        <v>67725308331</v>
      </c>
      <c r="K1689" s="171" t="s">
        <v>4065</v>
      </c>
      <c r="L1689" s="62">
        <v>23039752</v>
      </c>
      <c r="M1689" s="30">
        <v>5219211532284</v>
      </c>
      <c r="N1689" s="171" t="s">
        <v>37</v>
      </c>
      <c r="O1689" s="52">
        <v>5636.59</v>
      </c>
      <c r="P1689" s="99">
        <v>1630.8</v>
      </c>
      <c r="Q1689" s="42">
        <f>OfficeForms.Table[[#This Row],[ INFORMEDEPAGO ]]*0.3</f>
        <v>1690.9770000000001</v>
      </c>
      <c r="R1689" s="12">
        <f>(IF(O1689&lt;4172.98,0,MIN(O1689*0.3,O1689-4172.98)))-P1689</f>
        <v>-167.18999999999937</v>
      </c>
      <c r="S1689" s="74">
        <v>46539</v>
      </c>
      <c r="T1689" s="1"/>
      <c r="V1689" s="1"/>
      <c r="X1689" s="101">
        <v>2</v>
      </c>
    </row>
    <row r="1690" spans="1:24" hidden="1">
      <c r="A1690">
        <v>86</v>
      </c>
      <c r="B1690" s="2">
        <v>46227.546342592599</v>
      </c>
      <c r="C1690" s="2">
        <v>46227.547361111101</v>
      </c>
      <c r="D1690" s="1" t="s">
        <v>24</v>
      </c>
      <c r="E1690" s="1"/>
      <c r="F1690" s="29">
        <v>46227</v>
      </c>
      <c r="G1690" s="29">
        <v>46227</v>
      </c>
      <c r="H1690" s="1" t="s">
        <v>107</v>
      </c>
      <c r="I1690" s="1" t="s">
        <v>4066</v>
      </c>
      <c r="J1690" s="175"/>
      <c r="K1690" s="171" t="s">
        <v>4067</v>
      </c>
      <c r="L1690" s="62">
        <v>23061016</v>
      </c>
      <c r="M1690" s="30">
        <v>5214446353430</v>
      </c>
      <c r="N1690" s="171" t="s">
        <v>37</v>
      </c>
      <c r="O1690" s="43">
        <v>14466.54</v>
      </c>
      <c r="P1690" s="97">
        <v>4185.5200000000004</v>
      </c>
      <c r="Q1690" s="42">
        <f>OfficeForms.Table[[#This Row],[ INFORMEDEPAGO ]]*0.3</f>
        <v>4339.9620000000004</v>
      </c>
      <c r="R1690" s="12">
        <f>(IF(O1690&lt;4172.98,0,MIN(O1690*0.3,O1690-4172.98)))-P1690</f>
        <v>154.44200000000001</v>
      </c>
      <c r="S1690" s="74">
        <v>46296</v>
      </c>
      <c r="T1690" s="1"/>
      <c r="V1690" s="1"/>
      <c r="X1690" s="101">
        <v>2</v>
      </c>
    </row>
    <row r="1691" spans="1:24" hidden="1">
      <c r="A1691">
        <v>87</v>
      </c>
      <c r="B1691" s="2">
        <v>46227.549328703702</v>
      </c>
      <c r="C1691" s="2">
        <v>46227.551053240699</v>
      </c>
      <c r="D1691" s="1" t="s">
        <v>24</v>
      </c>
      <c r="E1691" s="1"/>
      <c r="F1691" s="29">
        <v>46227</v>
      </c>
      <c r="G1691" s="29">
        <v>46227</v>
      </c>
      <c r="H1691" s="1" t="s">
        <v>3022</v>
      </c>
      <c r="I1691" s="1" t="s">
        <v>4068</v>
      </c>
      <c r="J1691" s="175"/>
      <c r="K1691" s="171" t="s">
        <v>4069</v>
      </c>
      <c r="L1691" s="62">
        <v>23061444</v>
      </c>
      <c r="M1691" s="30">
        <v>4612926902</v>
      </c>
      <c r="N1691" s="171" t="s">
        <v>37</v>
      </c>
      <c r="O1691" s="43">
        <v>5617.63</v>
      </c>
      <c r="P1691" s="97">
        <v>1392.57</v>
      </c>
      <c r="Q1691" s="42">
        <f>OfficeForms.Table[[#This Row],[ INFORMEDEPAGO ]]*0.3</f>
        <v>1685.289</v>
      </c>
      <c r="R1691" s="12">
        <f>(IF(O1691&lt;4172.98,0,MIN(O1691*0.3,O1691-4172.98)))-P1691</f>
        <v>52.080000000000609</v>
      </c>
      <c r="S1691" s="74">
        <v>46478</v>
      </c>
      <c r="T1691" s="1"/>
      <c r="V1691" s="1"/>
      <c r="X1691" s="101">
        <v>2</v>
      </c>
    </row>
    <row r="1692" spans="1:24" hidden="1">
      <c r="A1692">
        <v>88</v>
      </c>
      <c r="B1692" s="2">
        <v>46227.550289351901</v>
      </c>
      <c r="C1692" s="2">
        <v>46227.551226851901</v>
      </c>
      <c r="D1692" s="1" t="s">
        <v>24</v>
      </c>
      <c r="E1692" s="1"/>
      <c r="F1692" s="29">
        <v>46227</v>
      </c>
      <c r="G1692" s="29">
        <v>46226</v>
      </c>
      <c r="H1692" s="1" t="s">
        <v>3036</v>
      </c>
      <c r="I1692" s="1" t="s">
        <v>4070</v>
      </c>
      <c r="J1692" s="175" t="s">
        <v>4071</v>
      </c>
      <c r="K1692" s="171" t="s">
        <v>4072</v>
      </c>
      <c r="L1692" s="62">
        <v>23037754</v>
      </c>
      <c r="M1692" s="30">
        <v>5216563858391</v>
      </c>
      <c r="N1692" s="171" t="s">
        <v>37</v>
      </c>
      <c r="O1692" s="52">
        <v>13836</v>
      </c>
      <c r="P1692" s="99">
        <v>4150.03</v>
      </c>
      <c r="Q1692" s="42">
        <f>OfficeForms.Table[[#This Row],[ INFORMEDEPAGO ]]*0.3</f>
        <v>4150.8</v>
      </c>
      <c r="R1692" s="12">
        <f>(IF(O1692&lt;4172.98,0,MIN(O1692*0.3,O1692-4172.98)))-P1692</f>
        <v>0.77000000000043656</v>
      </c>
      <c r="S1692" s="74">
        <v>46784</v>
      </c>
      <c r="T1692" s="1" t="s">
        <v>259</v>
      </c>
      <c r="V1692" s="1"/>
      <c r="X1692" s="101">
        <v>2</v>
      </c>
    </row>
    <row r="1693" spans="1:24" hidden="1">
      <c r="A1693">
        <v>89</v>
      </c>
      <c r="B1693" s="2">
        <v>46227.550844907397</v>
      </c>
      <c r="C1693" s="2">
        <v>46227.559745370403</v>
      </c>
      <c r="D1693" s="1" t="s">
        <v>24</v>
      </c>
      <c r="E1693" s="1"/>
      <c r="F1693" s="29">
        <v>46227</v>
      </c>
      <c r="G1693" s="29">
        <v>46226</v>
      </c>
      <c r="H1693" s="1" t="s">
        <v>3572</v>
      </c>
      <c r="I1693" s="1" t="s">
        <v>4073</v>
      </c>
      <c r="J1693" s="175">
        <v>81856607775</v>
      </c>
      <c r="K1693" s="171" t="s">
        <v>4074</v>
      </c>
      <c r="L1693" s="62">
        <v>23033164</v>
      </c>
      <c r="M1693" s="30">
        <v>5219812100303</v>
      </c>
      <c r="N1693" s="171" t="s">
        <v>47</v>
      </c>
      <c r="O1693" s="52">
        <v>8548.4699999999993</v>
      </c>
      <c r="P1693" s="99">
        <v>2140.66</v>
      </c>
      <c r="Q1693" s="42">
        <f>OfficeForms.Table[[#This Row],[ INFORMEDEPAGO ]]*0.3</f>
        <v>2564.5409999999997</v>
      </c>
      <c r="R1693" s="12">
        <f>(IF(O1693&lt;4172.98,0,MIN(O1693*0.3,O1693-4172.98)))-P1693</f>
        <v>423.88099999999986</v>
      </c>
      <c r="S1693" s="74">
        <v>46905</v>
      </c>
      <c r="T1693" s="1" t="s">
        <v>259</v>
      </c>
      <c r="V1693" s="1"/>
      <c r="X1693" s="101">
        <v>2</v>
      </c>
    </row>
    <row r="1694" spans="1:24" hidden="1">
      <c r="A1694">
        <v>90</v>
      </c>
      <c r="B1694" s="2">
        <v>46227.545069444401</v>
      </c>
      <c r="C1694" s="2">
        <v>46227.583344907398</v>
      </c>
      <c r="D1694" s="1" t="s">
        <v>24</v>
      </c>
      <c r="E1694" s="1"/>
      <c r="F1694" s="29">
        <v>46227</v>
      </c>
      <c r="G1694" s="29">
        <v>46227</v>
      </c>
      <c r="H1694" s="1" t="s">
        <v>160</v>
      </c>
      <c r="I1694" s="1" t="s">
        <v>4075</v>
      </c>
      <c r="J1694" s="175">
        <v>21815803602</v>
      </c>
      <c r="K1694" s="171" t="s">
        <v>4076</v>
      </c>
      <c r="L1694" s="62">
        <v>23048684</v>
      </c>
      <c r="M1694" s="30">
        <v>5216221220776</v>
      </c>
      <c r="N1694" s="171" t="s">
        <v>37</v>
      </c>
      <c r="O1694" s="52">
        <v>6262.86</v>
      </c>
      <c r="P1694" s="99">
        <v>1799.28</v>
      </c>
      <c r="Q1694" s="42">
        <f>OfficeForms.Table[[#This Row],[ INFORMEDEPAGO ]]*0.3</f>
        <v>1878.8579999999997</v>
      </c>
      <c r="R1694" s="12">
        <f>(IF(O1694&lt;4172.98,0,MIN(O1694*0.3,O1694-4172.98)))-P1694</f>
        <v>79.577999999999747</v>
      </c>
      <c r="S1694" s="74">
        <v>46753</v>
      </c>
      <c r="T1694" s="1"/>
      <c r="V1694" s="1"/>
      <c r="X1694" s="101">
        <v>2</v>
      </c>
    </row>
    <row r="1695" spans="1:24" hidden="1">
      <c r="A1695">
        <v>91</v>
      </c>
      <c r="B1695" s="2">
        <v>46227.582812499997</v>
      </c>
      <c r="C1695" s="2">
        <v>46227.583368055602</v>
      </c>
      <c r="D1695" s="1" t="s">
        <v>24</v>
      </c>
      <c r="E1695" s="1"/>
      <c r="F1695" s="29">
        <v>46227</v>
      </c>
      <c r="G1695" s="29">
        <v>46226</v>
      </c>
      <c r="H1695" s="1" t="s">
        <v>3007</v>
      </c>
      <c r="I1695" s="1" t="s">
        <v>4077</v>
      </c>
      <c r="J1695" s="175"/>
      <c r="K1695" s="171" t="s">
        <v>4078</v>
      </c>
      <c r="L1695" s="62">
        <v>23026316</v>
      </c>
      <c r="M1695" s="30">
        <v>5616550058</v>
      </c>
      <c r="N1695" s="171" t="s">
        <v>47</v>
      </c>
      <c r="O1695" s="52">
        <v>9081.52</v>
      </c>
      <c r="P1695" s="99">
        <v>1771.98</v>
      </c>
      <c r="Q1695" s="42">
        <f>OfficeForms.Table[[#This Row],[ INFORMEDEPAGO ]]*0.3</f>
        <v>2724.4560000000001</v>
      </c>
      <c r="R1695" s="12">
        <f>(IF(O1695&lt;4172.98,0,MIN(O1695*0.3,O1695-4172.98)))-P1695</f>
        <v>952.47600000000011</v>
      </c>
      <c r="S1695" s="74">
        <v>46508</v>
      </c>
      <c r="T1695" s="1"/>
      <c r="V1695" s="1"/>
      <c r="X1695" s="101">
        <v>2</v>
      </c>
    </row>
    <row r="1696" spans="1:24" hidden="1">
      <c r="A1696">
        <v>92</v>
      </c>
      <c r="B1696" s="2">
        <v>46227.582499999997</v>
      </c>
      <c r="C1696" s="2">
        <v>46227.583495370403</v>
      </c>
      <c r="D1696" s="1" t="s">
        <v>24</v>
      </c>
      <c r="E1696" s="1"/>
      <c r="F1696" s="29">
        <v>46227</v>
      </c>
      <c r="G1696" s="29">
        <v>46227</v>
      </c>
      <c r="H1696" s="1" t="s">
        <v>1629</v>
      </c>
      <c r="I1696" s="1" t="s">
        <v>4079</v>
      </c>
      <c r="J1696" s="175">
        <v>20886606217</v>
      </c>
      <c r="K1696" s="171" t="s">
        <v>4080</v>
      </c>
      <c r="L1696" s="62">
        <v>2</v>
      </c>
      <c r="M1696" s="30">
        <v>9833674878</v>
      </c>
      <c r="N1696" s="171" t="s">
        <v>32</v>
      </c>
      <c r="O1696" s="67">
        <v>3902.99</v>
      </c>
      <c r="P1696" s="99"/>
      <c r="Q1696" s="42">
        <f>OfficeForms.Table[[#This Row],[ INFORMEDEPAGO ]]*0.3</f>
        <v>1170.8969999999999</v>
      </c>
      <c r="R1696" s="12">
        <f>(IF(O1696&lt;4172.98,0,MIN(O1696*0.3,O1696-4172.98)))-P1696</f>
        <v>0</v>
      </c>
      <c r="T1696" s="1"/>
      <c r="V1696" s="1"/>
      <c r="X1696" s="101">
        <v>1</v>
      </c>
    </row>
    <row r="1697" spans="1:24" hidden="1">
      <c r="A1697">
        <v>93</v>
      </c>
      <c r="B1697" s="2">
        <v>46227.5340393519</v>
      </c>
      <c r="C1697" s="2">
        <v>46227.583796296298</v>
      </c>
      <c r="D1697" s="1" t="s">
        <v>24</v>
      </c>
      <c r="E1697" s="1"/>
      <c r="F1697" s="29">
        <v>46227</v>
      </c>
      <c r="G1697" s="29">
        <v>46227</v>
      </c>
      <c r="H1697" s="1" t="s">
        <v>1625</v>
      </c>
      <c r="I1697" s="1" t="s">
        <v>4081</v>
      </c>
      <c r="J1697" s="175">
        <v>32786211188</v>
      </c>
      <c r="K1697" s="171" t="s">
        <v>4082</v>
      </c>
      <c r="L1697" s="62">
        <v>2</v>
      </c>
      <c r="M1697" s="30">
        <v>8661826908</v>
      </c>
      <c r="N1697" s="171" t="s">
        <v>37</v>
      </c>
      <c r="O1697" s="52">
        <v>7116.73</v>
      </c>
      <c r="P1697" s="99">
        <v>2133.44</v>
      </c>
      <c r="Q1697" s="42">
        <f>OfficeForms.Table[[#This Row],[ INFORMEDEPAGO ]]*0.3</f>
        <v>2135.0189999999998</v>
      </c>
      <c r="R1697" s="12">
        <f>(IF(O1697&lt;4172.98,0,MIN(O1697*0.3,O1697-4172.98)))-P1697</f>
        <v>1.5789999999997235</v>
      </c>
      <c r="S1697" s="74">
        <v>46478</v>
      </c>
      <c r="T1697" s="1"/>
      <c r="V1697" s="1"/>
      <c r="X1697" s="101">
        <v>2</v>
      </c>
    </row>
    <row r="1698" spans="1:24" hidden="1">
      <c r="A1698">
        <v>94</v>
      </c>
      <c r="B1698" s="2">
        <v>46227.584525462997</v>
      </c>
      <c r="C1698" s="2">
        <v>46227.585405092599</v>
      </c>
      <c r="D1698" s="1" t="s">
        <v>24</v>
      </c>
      <c r="E1698" s="1"/>
      <c r="F1698" s="29">
        <v>46227</v>
      </c>
      <c r="G1698" s="29">
        <v>46227</v>
      </c>
      <c r="H1698" s="1" t="s">
        <v>3575</v>
      </c>
      <c r="I1698" s="1" t="s">
        <v>4083</v>
      </c>
      <c r="J1698" s="175"/>
      <c r="K1698" s="171" t="s">
        <v>4084</v>
      </c>
      <c r="L1698" s="62">
        <v>23062504</v>
      </c>
      <c r="M1698" s="30">
        <v>5213328170374</v>
      </c>
      <c r="N1698" s="171" t="s">
        <v>37</v>
      </c>
      <c r="O1698" s="52">
        <v>14245.42</v>
      </c>
      <c r="P1698" s="99">
        <v>4269.83</v>
      </c>
      <c r="Q1698" s="42">
        <f>OfficeForms.Table[[#This Row],[ INFORMEDEPAGO ]]*0.3</f>
        <v>4273.6260000000002</v>
      </c>
      <c r="R1698" s="12">
        <f>(IF(O1698&lt;4172.98,0,MIN(O1698*0.3,O1698-4172.98)))-P1698</f>
        <v>3.7960000000002765</v>
      </c>
      <c r="S1698" s="74">
        <v>46327</v>
      </c>
      <c r="T1698" s="1"/>
      <c r="V1698" s="1"/>
      <c r="X1698" s="101">
        <v>2</v>
      </c>
    </row>
    <row r="1699" spans="1:24" hidden="1">
      <c r="A1699">
        <v>95</v>
      </c>
      <c r="B1699" s="2">
        <v>46227.584988425901</v>
      </c>
      <c r="C1699" s="2">
        <v>46227.585625</v>
      </c>
      <c r="D1699" s="1" t="s">
        <v>24</v>
      </c>
      <c r="E1699" s="1"/>
      <c r="F1699" s="29">
        <v>46227</v>
      </c>
      <c r="G1699" s="29">
        <v>46227</v>
      </c>
      <c r="H1699" s="1" t="s">
        <v>3022</v>
      </c>
      <c r="I1699" s="1" t="s">
        <v>4085</v>
      </c>
      <c r="J1699" s="175"/>
      <c r="K1699" s="171" t="s">
        <v>4086</v>
      </c>
      <c r="L1699" s="62">
        <v>23061046</v>
      </c>
      <c r="M1699" s="30">
        <v>2211228830</v>
      </c>
      <c r="N1699" s="171" t="s">
        <v>37</v>
      </c>
      <c r="O1699" s="52">
        <v>5176.47</v>
      </c>
      <c r="P1699" s="99">
        <v>1544.81</v>
      </c>
      <c r="Q1699" s="42">
        <f>OfficeForms.Table[[#This Row],[ INFORMEDEPAGO ]]*0.3</f>
        <v>1552.941</v>
      </c>
      <c r="R1699" s="12">
        <f>(IF(O1699&lt;4172.98,0,MIN(O1699*0.3,O1699-4172.98)))-P1699</f>
        <v>-541.31999999999925</v>
      </c>
      <c r="S1699" s="74">
        <v>46235</v>
      </c>
      <c r="T1699" s="1"/>
      <c r="V1699" s="1"/>
      <c r="X1699" s="101">
        <v>2</v>
      </c>
    </row>
    <row r="1700" spans="1:24" hidden="1">
      <c r="A1700">
        <v>96</v>
      </c>
      <c r="B1700" s="2">
        <v>46227.507164351897</v>
      </c>
      <c r="C1700" s="2">
        <v>46227.589178240698</v>
      </c>
      <c r="D1700" s="1" t="s">
        <v>24</v>
      </c>
      <c r="E1700" s="1"/>
      <c r="F1700" s="29">
        <v>46227</v>
      </c>
      <c r="G1700" s="29">
        <v>46227</v>
      </c>
      <c r="H1700" s="1" t="s">
        <v>110</v>
      </c>
      <c r="I1700" s="1" t="s">
        <v>4087</v>
      </c>
      <c r="J1700" s="175"/>
      <c r="K1700" s="171" t="s">
        <v>4088</v>
      </c>
      <c r="L1700" s="62">
        <v>22999390</v>
      </c>
      <c r="M1700" s="30">
        <v>5217772170042</v>
      </c>
      <c r="N1700" s="171" t="s">
        <v>98</v>
      </c>
      <c r="O1700" s="50"/>
      <c r="P1700" s="97"/>
      <c r="Q1700" s="42">
        <f>OfficeForms.Table[[#This Row],[ INFORMEDEPAGO ]]*0.3</f>
        <v>0</v>
      </c>
      <c r="R1700" s="12">
        <f>(IF(O1700&lt;4172.98,0,MIN(O1700*0.3,O1700-4172.98)))-P1700</f>
        <v>0</v>
      </c>
      <c r="T1700" s="1"/>
      <c r="V1700" s="1"/>
      <c r="X1700" s="101">
        <v>0</v>
      </c>
    </row>
    <row r="1701" spans="1:24" hidden="1">
      <c r="A1701">
        <v>97</v>
      </c>
      <c r="B1701" s="2">
        <v>46227.5448958333</v>
      </c>
      <c r="C1701" s="2">
        <v>46227.591990740701</v>
      </c>
      <c r="D1701" s="1" t="s">
        <v>24</v>
      </c>
      <c r="E1701" s="1"/>
      <c r="F1701" s="29">
        <v>46227</v>
      </c>
      <c r="G1701" s="29">
        <v>46226</v>
      </c>
      <c r="H1701" s="1" t="s">
        <v>68</v>
      </c>
      <c r="I1701" s="1" t="s">
        <v>4089</v>
      </c>
      <c r="J1701" s="175">
        <v>49785811651</v>
      </c>
      <c r="K1701" s="171" t="s">
        <v>4090</v>
      </c>
      <c r="L1701" s="62">
        <v>23019720</v>
      </c>
      <c r="M1701" s="30">
        <v>5218444286289</v>
      </c>
      <c r="N1701" s="171" t="s">
        <v>106</v>
      </c>
      <c r="O1701" s="52">
        <v>15155.95</v>
      </c>
      <c r="P1701" s="99">
        <v>4384.8999999999996</v>
      </c>
      <c r="Q1701" s="42">
        <f>OfficeForms.Table[[#This Row],[ INFORMEDEPAGO ]]*0.3</f>
        <v>4546.7849999999999</v>
      </c>
      <c r="R1701" s="12">
        <f>(IF(O1701&lt;4172.98,0,MIN(O1701*0.3,O1701-4172.98)))-P1701</f>
        <v>161.88500000000022</v>
      </c>
      <c r="S1701" s="74">
        <v>45505</v>
      </c>
      <c r="T1701" s="1"/>
      <c r="V1701" s="1"/>
      <c r="X1701" s="101">
        <v>2</v>
      </c>
    </row>
    <row r="1702" spans="1:24" hidden="1">
      <c r="A1702">
        <v>98</v>
      </c>
      <c r="B1702" s="2">
        <v>46227.593912037002</v>
      </c>
      <c r="C1702" s="2">
        <v>46227.597951388903</v>
      </c>
      <c r="D1702" s="1" t="s">
        <v>24</v>
      </c>
      <c r="E1702" s="1"/>
      <c r="F1702" s="29">
        <v>46227</v>
      </c>
      <c r="G1702" s="29">
        <v>46227</v>
      </c>
      <c r="H1702" s="1" t="s">
        <v>160</v>
      </c>
      <c r="I1702" s="1" t="s">
        <v>4091</v>
      </c>
      <c r="J1702" s="175">
        <v>43857019723</v>
      </c>
      <c r="K1702" s="171" t="s">
        <v>4092</v>
      </c>
      <c r="L1702" s="62">
        <v>23049560</v>
      </c>
      <c r="M1702" s="30">
        <v>5218132367866</v>
      </c>
      <c r="N1702" s="171" t="s">
        <v>47</v>
      </c>
      <c r="O1702" s="52">
        <v>24949.72</v>
      </c>
      <c r="P1702" s="99">
        <v>6762.23</v>
      </c>
      <c r="Q1702" s="42">
        <f>OfficeForms.Table[[#This Row],[ INFORMEDEPAGO ]]*0.3</f>
        <v>7484.9160000000002</v>
      </c>
      <c r="R1702" s="12">
        <f>(IF(O1702&lt;4172.98,0,MIN(O1702*0.3,O1702-4172.98)))-P1702</f>
        <v>722.6860000000006</v>
      </c>
      <c r="S1702" s="74">
        <v>46419</v>
      </c>
      <c r="T1702" s="1"/>
      <c r="V1702" s="1"/>
      <c r="X1702" s="101">
        <v>2</v>
      </c>
    </row>
    <row r="1703" spans="1:24" hidden="1">
      <c r="A1703">
        <v>99</v>
      </c>
      <c r="B1703" s="2">
        <v>46227.598495370403</v>
      </c>
      <c r="C1703" s="2">
        <v>46227.5992708333</v>
      </c>
      <c r="D1703" s="1" t="s">
        <v>24</v>
      </c>
      <c r="E1703" s="1"/>
      <c r="F1703" s="29">
        <v>46227</v>
      </c>
      <c r="G1703" s="29">
        <v>46227</v>
      </c>
      <c r="H1703" s="1" t="s">
        <v>3352</v>
      </c>
      <c r="I1703" s="1" t="s">
        <v>4093</v>
      </c>
      <c r="J1703" s="175"/>
      <c r="K1703" s="171" t="s">
        <v>4094</v>
      </c>
      <c r="L1703" s="62">
        <v>23039328</v>
      </c>
      <c r="M1703" s="30">
        <v>5642956938</v>
      </c>
      <c r="N1703" s="171" t="s">
        <v>98</v>
      </c>
      <c r="O1703" s="50"/>
      <c r="P1703" s="99"/>
      <c r="Q1703" s="42">
        <f>OfficeForms.Table[[#This Row],[ INFORMEDEPAGO ]]*0.3</f>
        <v>0</v>
      </c>
      <c r="R1703" s="12">
        <f>(IF(O1703&lt;4172.98,0,MIN(O1703*0.3,O1703-4172.98)))-P1703</f>
        <v>0</v>
      </c>
      <c r="T1703" s="1"/>
      <c r="V1703" s="1"/>
      <c r="X1703" s="101">
        <v>0</v>
      </c>
    </row>
    <row r="1704" spans="1:24" hidden="1">
      <c r="A1704">
        <v>100</v>
      </c>
      <c r="B1704" s="2">
        <v>46227.593148148197</v>
      </c>
      <c r="C1704" s="2">
        <v>46227.600358796299</v>
      </c>
      <c r="D1704" s="1" t="s">
        <v>24</v>
      </c>
      <c r="E1704" s="1"/>
      <c r="F1704" s="29">
        <v>46227</v>
      </c>
      <c r="G1704" s="29">
        <v>46227</v>
      </c>
      <c r="H1704" s="1" t="s">
        <v>78</v>
      </c>
      <c r="I1704" s="1" t="s">
        <v>4095</v>
      </c>
      <c r="J1704" s="175">
        <v>32745912728</v>
      </c>
      <c r="K1704" s="171" t="s">
        <v>4096</v>
      </c>
      <c r="L1704" s="62">
        <v>23046406</v>
      </c>
      <c r="M1704" s="30">
        <v>5218711613550</v>
      </c>
      <c r="N1704" s="171" t="s">
        <v>28</v>
      </c>
      <c r="O1704" s="50">
        <v>28731.22</v>
      </c>
      <c r="P1704" s="99"/>
      <c r="Q1704" s="42">
        <f>OfficeForms.Table[[#This Row],[ INFORMEDEPAGO ]]*0.3</f>
        <v>8619.366</v>
      </c>
      <c r="R1704" s="12">
        <f>(IF(O1704&lt;4172.98,0,MIN(O1704*0.3,O1704-4172.98)))-P1704</f>
        <v>8619.366</v>
      </c>
      <c r="T1704" s="1"/>
      <c r="V1704" s="1"/>
      <c r="X1704" s="101">
        <v>1</v>
      </c>
    </row>
    <row r="1705" spans="1:24" hidden="1">
      <c r="A1705">
        <v>101</v>
      </c>
      <c r="B1705" s="2">
        <v>46227.598020833299</v>
      </c>
      <c r="C1705" s="2">
        <v>46227.6004861111</v>
      </c>
      <c r="D1705" s="1" t="s">
        <v>24</v>
      </c>
      <c r="E1705" s="1"/>
      <c r="F1705" s="29">
        <v>46227</v>
      </c>
      <c r="G1705" s="29">
        <v>46227</v>
      </c>
      <c r="H1705" s="1" t="s">
        <v>160</v>
      </c>
      <c r="I1705" s="1" t="s">
        <v>4097</v>
      </c>
      <c r="J1705" s="175"/>
      <c r="K1705" s="171" t="s">
        <v>4098</v>
      </c>
      <c r="L1705" s="62">
        <v>23046962</v>
      </c>
      <c r="M1705" s="30">
        <v>5215663573515</v>
      </c>
      <c r="N1705" s="171" t="s">
        <v>32</v>
      </c>
      <c r="O1705" s="50">
        <v>1127.0899999999999</v>
      </c>
      <c r="P1705" s="99"/>
      <c r="Q1705" s="42">
        <f>OfficeForms.Table[[#This Row],[ INFORMEDEPAGO ]]*0.3</f>
        <v>338.12699999999995</v>
      </c>
      <c r="R1705" s="12">
        <f>(IF(O1705&lt;4172.98,0,MIN(O1705*0.3,O1705-4172.98)))-P1705</f>
        <v>0</v>
      </c>
      <c r="T1705" s="1"/>
      <c r="V1705" s="1"/>
      <c r="X1705" s="101">
        <v>1</v>
      </c>
    </row>
    <row r="1706" spans="1:24" hidden="1">
      <c r="A1706">
        <v>102</v>
      </c>
      <c r="B1706" s="2">
        <v>46227.599976851903</v>
      </c>
      <c r="C1706" s="2">
        <v>46227.600729166697</v>
      </c>
      <c r="D1706" s="1" t="s">
        <v>24</v>
      </c>
      <c r="E1706" s="1"/>
      <c r="F1706" s="29">
        <v>46227</v>
      </c>
      <c r="G1706" s="29">
        <v>46227</v>
      </c>
      <c r="H1706" s="1" t="s">
        <v>26</v>
      </c>
      <c r="I1706" s="1" t="s">
        <v>4099</v>
      </c>
      <c r="J1706" s="175" t="s">
        <v>4100</v>
      </c>
      <c r="K1706" s="171" t="s">
        <v>4101</v>
      </c>
      <c r="L1706" s="62">
        <v>23061008</v>
      </c>
      <c r="M1706" s="30">
        <v>5219625886121</v>
      </c>
      <c r="N1706" s="171" t="s">
        <v>263</v>
      </c>
      <c r="O1706" s="52">
        <v>5617.63</v>
      </c>
      <c r="P1706" s="99">
        <v>1390.03</v>
      </c>
      <c r="Q1706" s="42">
        <f>OfficeForms.Table[[#This Row],[ INFORMEDEPAGO ]]*0.3</f>
        <v>1685.289</v>
      </c>
      <c r="R1706" s="12">
        <f>(IF(O1706&lt;4172.98,0,MIN(O1706*0.3,O1706-4172.98)))-P1706</f>
        <v>54.620000000000573</v>
      </c>
      <c r="S1706" s="74">
        <v>45717</v>
      </c>
      <c r="T1706" s="1"/>
      <c r="V1706" s="1"/>
      <c r="X1706" s="101">
        <v>2</v>
      </c>
    </row>
    <row r="1707" spans="1:24" hidden="1">
      <c r="A1707">
        <v>103</v>
      </c>
      <c r="B1707" s="2">
        <v>46227.600243055596</v>
      </c>
      <c r="C1707" s="2">
        <v>46227.601122685199</v>
      </c>
      <c r="D1707" s="1" t="s">
        <v>24</v>
      </c>
      <c r="E1707" s="1"/>
      <c r="F1707" s="29">
        <v>46227</v>
      </c>
      <c r="G1707" s="29">
        <v>46227</v>
      </c>
      <c r="H1707" s="1" t="s">
        <v>3352</v>
      </c>
      <c r="I1707" s="1" t="s">
        <v>4102</v>
      </c>
      <c r="J1707" s="175">
        <v>49765907719</v>
      </c>
      <c r="K1707" s="171" t="s">
        <v>4103</v>
      </c>
      <c r="L1707" s="62">
        <v>23034992</v>
      </c>
      <c r="M1707" s="30">
        <v>8681760114</v>
      </c>
      <c r="N1707" s="171" t="s">
        <v>37</v>
      </c>
      <c r="O1707" s="52">
        <v>7920.51</v>
      </c>
      <c r="P1707" s="99">
        <v>2374</v>
      </c>
      <c r="Q1707" s="42">
        <f>OfficeForms.Table[[#This Row],[ INFORMEDEPAGO ]]*0.3</f>
        <v>2376.1529999999998</v>
      </c>
      <c r="R1707" s="12">
        <f>(IF(O1707&lt;4172.98,0,MIN(O1707*0.3,O1707-4172.98)))-P1707</f>
        <v>2.1529999999997926</v>
      </c>
      <c r="S1707" s="74">
        <v>46419</v>
      </c>
      <c r="T1707" s="1"/>
      <c r="V1707" s="1"/>
      <c r="X1707" s="101">
        <v>2</v>
      </c>
    </row>
    <row r="1708" spans="1:24" hidden="1">
      <c r="A1708">
        <v>104</v>
      </c>
      <c r="B1708" s="2">
        <v>46227.602152777799</v>
      </c>
      <c r="C1708" s="2">
        <v>46227.6030439815</v>
      </c>
      <c r="D1708" s="1" t="s">
        <v>24</v>
      </c>
      <c r="E1708" s="1"/>
      <c r="F1708" s="29">
        <v>46227</v>
      </c>
      <c r="G1708" s="29">
        <v>46227</v>
      </c>
      <c r="H1708" s="1" t="s">
        <v>110</v>
      </c>
      <c r="I1708" s="1" t="s">
        <v>4104</v>
      </c>
      <c r="J1708" s="175"/>
      <c r="K1708" s="171" t="s">
        <v>4105</v>
      </c>
      <c r="L1708" s="119">
        <v>23063150</v>
      </c>
      <c r="M1708" s="30">
        <v>5219221591755</v>
      </c>
      <c r="N1708" s="171" t="s">
        <v>98</v>
      </c>
      <c r="O1708" s="50"/>
      <c r="P1708" s="99"/>
      <c r="Q1708" s="42">
        <f>OfficeForms.Table[[#This Row],[ INFORMEDEPAGO ]]*0.3</f>
        <v>0</v>
      </c>
      <c r="R1708" s="12">
        <f>(IF(O1708&lt;4172.98,0,MIN(O1708*0.3,O1708-4172.98)))-P1708</f>
        <v>0</v>
      </c>
      <c r="T1708" s="1"/>
      <c r="V1708" s="1"/>
      <c r="X1708" s="101">
        <v>0</v>
      </c>
    </row>
    <row r="1709" spans="1:24" hidden="1">
      <c r="A1709">
        <v>105</v>
      </c>
      <c r="B1709" s="2">
        <v>46227.6036805556</v>
      </c>
      <c r="C1709" s="2">
        <v>46227.609490740702</v>
      </c>
      <c r="D1709" s="1" t="s">
        <v>24</v>
      </c>
      <c r="E1709" s="1"/>
      <c r="F1709" s="29">
        <v>46227</v>
      </c>
      <c r="G1709" s="29">
        <v>46227</v>
      </c>
      <c r="H1709" s="1" t="s">
        <v>160</v>
      </c>
      <c r="I1709" s="1" t="s">
        <v>4106</v>
      </c>
      <c r="J1709" s="175">
        <v>14877118977</v>
      </c>
      <c r="K1709" s="171" t="s">
        <v>4107</v>
      </c>
      <c r="L1709" s="62">
        <v>23051830</v>
      </c>
      <c r="M1709" s="30">
        <v>5214425575999</v>
      </c>
      <c r="N1709" s="171" t="s">
        <v>37</v>
      </c>
      <c r="O1709" s="52">
        <v>6681.7</v>
      </c>
      <c r="P1709" s="99">
        <v>1810.65</v>
      </c>
      <c r="Q1709" s="42">
        <f>OfficeForms.Table[[#This Row],[ INFORMEDEPAGO ]]*0.3</f>
        <v>2004.5099999999998</v>
      </c>
      <c r="R1709" s="12">
        <f>(IF(O1709&lt;4172.98,0,MIN(O1709*0.3,O1709-4172.98)))-P1709</f>
        <v>193.85999999999967</v>
      </c>
      <c r="S1709" s="74">
        <v>46539</v>
      </c>
      <c r="T1709" s="1"/>
      <c r="V1709" s="1"/>
      <c r="X1709" s="101">
        <v>2</v>
      </c>
    </row>
    <row r="1710" spans="1:24" hidden="1">
      <c r="A1710">
        <v>106</v>
      </c>
      <c r="B1710" s="2">
        <v>46227.601134259297</v>
      </c>
      <c r="C1710" s="2">
        <v>46227.611585648097</v>
      </c>
      <c r="D1710" s="1" t="s">
        <v>24</v>
      </c>
      <c r="E1710" s="1"/>
      <c r="F1710" s="29">
        <v>46227</v>
      </c>
      <c r="G1710" s="29">
        <v>46227</v>
      </c>
      <c r="H1710" s="1" t="s">
        <v>3352</v>
      </c>
      <c r="I1710" s="1" t="s">
        <v>4108</v>
      </c>
      <c r="J1710" s="175">
        <v>54957918680</v>
      </c>
      <c r="K1710" s="171" t="s">
        <v>4109</v>
      </c>
      <c r="L1710" s="62">
        <v>23037992</v>
      </c>
      <c r="M1710" s="30">
        <v>3481939516</v>
      </c>
      <c r="N1710" s="171" t="s">
        <v>74</v>
      </c>
      <c r="O1710" s="50"/>
      <c r="P1710" s="99"/>
      <c r="Q1710" s="42">
        <f>OfficeForms.Table[[#This Row],[ INFORMEDEPAGO ]]*0.3</f>
        <v>0</v>
      </c>
      <c r="R1710" s="12">
        <f>(IF(O1710&lt;4172.98,0,MIN(O1710*0.3,O1710-4172.98)))-P1710</f>
        <v>0</v>
      </c>
      <c r="T1710" s="1"/>
      <c r="V1710" s="1"/>
      <c r="X1710" s="101">
        <v>1</v>
      </c>
    </row>
    <row r="1711" spans="1:24" hidden="1">
      <c r="A1711">
        <v>107</v>
      </c>
      <c r="B1711" s="2">
        <v>46227.614340277803</v>
      </c>
      <c r="C1711" s="2">
        <v>46227.615104166704</v>
      </c>
      <c r="D1711" s="1" t="s">
        <v>24</v>
      </c>
      <c r="E1711" s="1"/>
      <c r="F1711" s="29">
        <v>46227</v>
      </c>
      <c r="G1711" s="29">
        <v>46227</v>
      </c>
      <c r="H1711" s="1" t="s">
        <v>71</v>
      </c>
      <c r="I1711" s="1" t="s">
        <v>4110</v>
      </c>
      <c r="J1711" s="175"/>
      <c r="K1711" s="171" t="s">
        <v>4111</v>
      </c>
      <c r="L1711" s="62">
        <v>23062046</v>
      </c>
      <c r="M1711" s="30">
        <v>5218251004232</v>
      </c>
      <c r="N1711" s="171" t="s">
        <v>37</v>
      </c>
      <c r="O1711" s="52">
        <v>7920.51</v>
      </c>
      <c r="P1711" s="99">
        <v>2375.52</v>
      </c>
      <c r="Q1711" s="42">
        <f>OfficeForms.Table[[#This Row],[ INFORMEDEPAGO ]]*0.3</f>
        <v>2376.1529999999998</v>
      </c>
      <c r="R1711" s="12">
        <f>(IF(O1711&lt;4172.98,0,MIN(O1711*0.3,O1711-4172.98)))-P1711</f>
        <v>0.63299999999981083</v>
      </c>
      <c r="S1711" s="74">
        <v>46935</v>
      </c>
      <c r="T1711" s="1"/>
      <c r="V1711" s="1"/>
      <c r="X1711" s="101">
        <v>2</v>
      </c>
    </row>
    <row r="1712" spans="1:24" hidden="1">
      <c r="A1712">
        <v>108</v>
      </c>
      <c r="B1712" s="2">
        <v>46227.543587963002</v>
      </c>
      <c r="C1712" s="2">
        <v>46227.615590277797</v>
      </c>
      <c r="D1712" s="1" t="s">
        <v>24</v>
      </c>
      <c r="E1712" s="1"/>
      <c r="F1712" s="29">
        <v>46227</v>
      </c>
      <c r="G1712" s="29">
        <v>46227</v>
      </c>
      <c r="H1712" s="1" t="s">
        <v>51</v>
      </c>
      <c r="I1712" s="1" t="s">
        <v>4112</v>
      </c>
      <c r="J1712" s="175" t="s">
        <v>4113</v>
      </c>
      <c r="K1712" s="171" t="s">
        <v>4114</v>
      </c>
      <c r="L1712" s="62">
        <v>23049686</v>
      </c>
      <c r="M1712" s="30">
        <v>5218134148183</v>
      </c>
      <c r="N1712" s="171" t="s">
        <v>263</v>
      </c>
      <c r="O1712" s="52">
        <v>10328.93</v>
      </c>
      <c r="P1712" s="99">
        <v>2158.67</v>
      </c>
      <c r="Q1712" s="42">
        <f>OfficeForms.Table[[#This Row],[ INFORMEDEPAGO ]]*0.3</f>
        <v>3098.6790000000001</v>
      </c>
      <c r="R1712" s="12">
        <f>(IF(O1712&lt;4172.98,0,MIN(O1712*0.3,O1712-4172.98)))-P1712</f>
        <v>940.00900000000001</v>
      </c>
      <c r="S1712" s="74">
        <v>45597</v>
      </c>
      <c r="T1712" s="1"/>
      <c r="V1712" s="1"/>
      <c r="X1712" s="101">
        <v>2</v>
      </c>
    </row>
    <row r="1713" spans="1:24" hidden="1">
      <c r="A1713">
        <v>109</v>
      </c>
      <c r="B1713" s="2">
        <v>46227.613148148099</v>
      </c>
      <c r="C1713" s="2">
        <v>46227.620833333298</v>
      </c>
      <c r="D1713" s="1" t="s">
        <v>24</v>
      </c>
      <c r="E1713" s="1"/>
      <c r="F1713" s="29">
        <v>46227</v>
      </c>
      <c r="G1713" s="29">
        <v>46203</v>
      </c>
      <c r="H1713" s="1" t="s">
        <v>107</v>
      </c>
      <c r="I1713" s="1"/>
      <c r="J1713" s="175">
        <v>33745315789</v>
      </c>
      <c r="K1713" s="171" t="s">
        <v>4115</v>
      </c>
      <c r="L1713" s="62">
        <v>22128172</v>
      </c>
      <c r="M1713" s="30">
        <v>5216391474469</v>
      </c>
      <c r="N1713" s="171" t="s">
        <v>106</v>
      </c>
      <c r="O1713" s="52">
        <v>8173.37</v>
      </c>
      <c r="P1713" s="99">
        <v>2451.0100000000002</v>
      </c>
      <c r="Q1713" s="42">
        <f>OfficeForms.Table[[#This Row],[ INFORMEDEPAGO ]]*0.3</f>
        <v>2452.011</v>
      </c>
      <c r="R1713" s="12">
        <f>(IF(O1713&lt;4172.98,0,MIN(O1713*0.3,O1713-4172.98)))-P1713</f>
        <v>1.000999999999749</v>
      </c>
      <c r="S1713" s="74">
        <v>46204</v>
      </c>
      <c r="T1713" s="1"/>
      <c r="V1713" s="1"/>
      <c r="X1713" s="101">
        <v>2</v>
      </c>
    </row>
    <row r="1714" spans="1:24" hidden="1">
      <c r="A1714">
        <v>110</v>
      </c>
      <c r="B1714" s="2">
        <v>46227.620127314804</v>
      </c>
      <c r="C1714" s="2">
        <v>46227.621168981503</v>
      </c>
      <c r="D1714" s="1" t="s">
        <v>24</v>
      </c>
      <c r="E1714" s="1"/>
      <c r="F1714" s="29">
        <v>46227</v>
      </c>
      <c r="G1714" s="29">
        <v>46227</v>
      </c>
      <c r="H1714" s="1" t="s">
        <v>71</v>
      </c>
      <c r="I1714" s="1" t="s">
        <v>4116</v>
      </c>
      <c r="J1714" s="175" t="s">
        <v>4117</v>
      </c>
      <c r="K1714" s="171" t="s">
        <v>4118</v>
      </c>
      <c r="L1714" s="62">
        <v>23061702</v>
      </c>
      <c r="M1714" s="30">
        <v>5219214901004</v>
      </c>
      <c r="N1714" s="171" t="s">
        <v>74</v>
      </c>
      <c r="O1714" s="67"/>
      <c r="P1714" s="99"/>
      <c r="Q1714" s="42">
        <f>OfficeForms.Table[[#This Row],[ INFORMEDEPAGO ]]*0.3</f>
        <v>0</v>
      </c>
      <c r="R1714" s="12">
        <f>(IF(O1714&lt;4172.98,0,MIN(O1714*0.3,O1714-4172.98)))-P1714</f>
        <v>0</v>
      </c>
      <c r="T1714" s="1"/>
      <c r="V1714" s="1"/>
      <c r="X1714" s="101">
        <v>1</v>
      </c>
    </row>
    <row r="1715" spans="1:24" hidden="1">
      <c r="A1715">
        <v>111</v>
      </c>
      <c r="B1715" s="2">
        <v>46227.622581018499</v>
      </c>
      <c r="C1715" s="2">
        <v>46227.623090277797</v>
      </c>
      <c r="D1715" s="1" t="s">
        <v>24</v>
      </c>
      <c r="E1715" s="1"/>
      <c r="F1715" s="29">
        <v>46227</v>
      </c>
      <c r="G1715" s="29">
        <v>46227</v>
      </c>
      <c r="H1715" s="1" t="s">
        <v>110</v>
      </c>
      <c r="I1715" s="1" t="s">
        <v>4119</v>
      </c>
      <c r="J1715" s="175"/>
      <c r="K1715" s="171" t="s">
        <v>4120</v>
      </c>
      <c r="L1715" s="119">
        <v>23060688</v>
      </c>
      <c r="M1715" s="30">
        <v>5212225207405</v>
      </c>
      <c r="N1715" s="171" t="s">
        <v>32</v>
      </c>
      <c r="O1715" s="67">
        <v>2798</v>
      </c>
      <c r="P1715" s="99"/>
      <c r="Q1715" s="42">
        <f>OfficeForms.Table[[#This Row],[ INFORMEDEPAGO ]]*0.3</f>
        <v>839.4</v>
      </c>
      <c r="R1715" s="12">
        <f>(IF(O1715&lt;4172.98,0,MIN(O1715*0.3,O1715-4172.98)))-P1715</f>
        <v>0</v>
      </c>
      <c r="T1715" s="1"/>
      <c r="V1715" s="1"/>
      <c r="X1715" s="101">
        <v>1</v>
      </c>
    </row>
    <row r="1716" spans="1:24" hidden="1">
      <c r="A1716">
        <v>112</v>
      </c>
      <c r="B1716" s="2">
        <v>46227.624131944402</v>
      </c>
      <c r="C1716" s="2">
        <v>46227.624699074098</v>
      </c>
      <c r="D1716" s="1" t="s">
        <v>24</v>
      </c>
      <c r="E1716" s="1"/>
      <c r="F1716" s="29">
        <v>46227</v>
      </c>
      <c r="G1716" s="29">
        <v>46227</v>
      </c>
      <c r="H1716" s="1" t="s">
        <v>3352</v>
      </c>
      <c r="I1716" s="1" t="s">
        <v>4121</v>
      </c>
      <c r="J1716" s="175">
        <v>67917053844</v>
      </c>
      <c r="K1716" s="171"/>
      <c r="L1716" s="62">
        <v>23062118</v>
      </c>
      <c r="M1716" s="30">
        <v>9211236027</v>
      </c>
      <c r="N1716" s="171" t="s">
        <v>32</v>
      </c>
      <c r="O1716" s="67">
        <v>4263.68</v>
      </c>
      <c r="P1716" s="99"/>
      <c r="Q1716" s="42">
        <f>OfficeForms.Table[[#This Row],[ INFORMEDEPAGO ]]*0.3</f>
        <v>1279.104</v>
      </c>
      <c r="R1716" s="12">
        <f>(IF(O1716&lt;4172.98,0,MIN(O1716*0.3,O1716-4172.98)))-P1716</f>
        <v>90.700000000000728</v>
      </c>
      <c r="T1716" s="1"/>
      <c r="V1716" s="1"/>
      <c r="X1716" s="101">
        <v>1</v>
      </c>
    </row>
    <row r="1717" spans="1:24" hidden="1">
      <c r="A1717">
        <v>113</v>
      </c>
      <c r="B1717" s="2">
        <v>46227.638518518499</v>
      </c>
      <c r="C1717" s="2">
        <v>46227.639189814799</v>
      </c>
      <c r="D1717" s="1" t="s">
        <v>24</v>
      </c>
      <c r="E1717" s="1"/>
      <c r="F1717" s="29">
        <v>46227</v>
      </c>
      <c r="G1717" s="29">
        <v>46227</v>
      </c>
      <c r="H1717" s="1" t="s">
        <v>110</v>
      </c>
      <c r="I1717" s="1" t="s">
        <v>4122</v>
      </c>
      <c r="J1717" s="175"/>
      <c r="K1717" s="171" t="s">
        <v>4123</v>
      </c>
      <c r="L1717" s="62">
        <v>23062268</v>
      </c>
      <c r="M1717" s="30">
        <v>5213318404669</v>
      </c>
      <c r="N1717" s="171" t="s">
        <v>37</v>
      </c>
      <c r="O1717" s="52">
        <v>5617.63</v>
      </c>
      <c r="P1717" s="99">
        <v>1393.17</v>
      </c>
      <c r="Q1717" s="42">
        <f>OfficeForms.Table[[#This Row],[ INFORMEDEPAGO ]]*0.3</f>
        <v>1685.289</v>
      </c>
      <c r="R1717" s="12">
        <f>(IF(O1717&lt;4172.98,0,MIN(O1717*0.3,O1717-4172.98)))-P1717</f>
        <v>51.480000000000473</v>
      </c>
      <c r="S1717" s="74">
        <v>46661</v>
      </c>
      <c r="T1717" s="1"/>
      <c r="V1717" s="1"/>
      <c r="X1717" s="101">
        <v>2</v>
      </c>
    </row>
    <row r="1718" spans="1:24" hidden="1">
      <c r="A1718">
        <v>114</v>
      </c>
      <c r="B1718" s="2">
        <v>46227.6401273148</v>
      </c>
      <c r="C1718" s="2">
        <v>46227.640752314801</v>
      </c>
      <c r="D1718" s="1" t="s">
        <v>24</v>
      </c>
      <c r="E1718" s="1"/>
      <c r="F1718" s="29">
        <v>46227</v>
      </c>
      <c r="G1718" s="29">
        <v>46227</v>
      </c>
      <c r="H1718" s="1" t="s">
        <v>3575</v>
      </c>
      <c r="I1718" s="1" t="s">
        <v>4124</v>
      </c>
      <c r="J1718" s="175"/>
      <c r="K1718" s="171" t="s">
        <v>4125</v>
      </c>
      <c r="L1718" s="62">
        <v>23064214</v>
      </c>
      <c r="M1718" s="30">
        <v>5216221258857</v>
      </c>
      <c r="N1718" s="171" t="s">
        <v>37</v>
      </c>
      <c r="O1718" s="52">
        <v>9760.32</v>
      </c>
      <c r="P1718" s="99">
        <v>2812.52</v>
      </c>
      <c r="Q1718" s="42">
        <f>OfficeForms.Table[[#This Row],[ INFORMEDEPAGO ]]*0.3</f>
        <v>2928.096</v>
      </c>
      <c r="R1718" s="12">
        <f>(IF(O1718&lt;4172.98,0,MIN(O1718*0.3,O1718-4172.98)))-P1718</f>
        <v>115.57600000000002</v>
      </c>
      <c r="S1718" s="74">
        <v>46661</v>
      </c>
      <c r="T1718" s="1" t="s">
        <v>259</v>
      </c>
      <c r="V1718" s="1"/>
      <c r="X1718" s="101">
        <v>2</v>
      </c>
    </row>
    <row r="1719" spans="1:24" hidden="1">
      <c r="A1719">
        <v>115</v>
      </c>
      <c r="B1719" s="2">
        <v>46227.642777777801</v>
      </c>
      <c r="C1719" s="2">
        <v>46227.643784722197</v>
      </c>
      <c r="D1719" s="1" t="s">
        <v>24</v>
      </c>
      <c r="E1719" s="1"/>
      <c r="F1719" s="29">
        <v>46227</v>
      </c>
      <c r="G1719" s="29">
        <v>46227</v>
      </c>
      <c r="H1719" s="1" t="s">
        <v>110</v>
      </c>
      <c r="I1719" s="1" t="s">
        <v>4126</v>
      </c>
      <c r="J1719" s="175"/>
      <c r="K1719" s="171" t="s">
        <v>4127</v>
      </c>
      <c r="L1719" s="62">
        <v>23064786</v>
      </c>
      <c r="M1719" s="30">
        <v>5215615586581</v>
      </c>
      <c r="N1719" s="171" t="s">
        <v>28</v>
      </c>
      <c r="O1719" s="52">
        <v>11526.67</v>
      </c>
      <c r="P1719" s="99">
        <v>848</v>
      </c>
      <c r="Q1719" s="42">
        <f>OfficeForms.Table[[#This Row],[ INFORMEDEPAGO ]]*0.3</f>
        <v>3458.0009999999997</v>
      </c>
      <c r="R1719" s="12">
        <f>(IF(O1719&lt;4172.98,0,MIN(O1719*0.3,O1719-4172.98)))-P1719</f>
        <v>2610.0009999999997</v>
      </c>
      <c r="T1719" s="1"/>
      <c r="V1719" s="1"/>
      <c r="X1719" s="101">
        <v>1</v>
      </c>
    </row>
    <row r="1720" spans="1:24" hidden="1">
      <c r="A1720">
        <v>116</v>
      </c>
      <c r="B1720" s="2">
        <v>46227.583831018499</v>
      </c>
      <c r="C1720" s="2">
        <v>46227.646793981497</v>
      </c>
      <c r="D1720" s="1" t="s">
        <v>24</v>
      </c>
      <c r="E1720" s="1"/>
      <c r="F1720" s="29">
        <v>46227</v>
      </c>
      <c r="G1720" s="29">
        <v>46227</v>
      </c>
      <c r="H1720" s="1" t="s">
        <v>1625</v>
      </c>
      <c r="I1720" s="1" t="s">
        <v>4128</v>
      </c>
      <c r="J1720" s="175">
        <v>16897103012</v>
      </c>
      <c r="K1720" s="171" t="s">
        <v>4129</v>
      </c>
      <c r="L1720" s="62">
        <v>2</v>
      </c>
      <c r="M1720" s="30">
        <v>7292671311</v>
      </c>
      <c r="N1720" s="171" t="s">
        <v>37</v>
      </c>
      <c r="O1720" s="52">
        <v>22564.15</v>
      </c>
      <c r="P1720" s="99">
        <v>6765.2</v>
      </c>
      <c r="Q1720" s="42">
        <f>OfficeForms.Table[[#This Row],[ INFORMEDEPAGO ]]*0.3</f>
        <v>6769.2449999999999</v>
      </c>
      <c r="R1720" s="12">
        <f>(IF(O1720&lt;4172.98,0,MIN(O1720*0.3,O1720-4172.98)))-P1720</f>
        <v>4.0450000000000728</v>
      </c>
      <c r="S1720" s="74">
        <v>46508</v>
      </c>
      <c r="T1720" s="1"/>
      <c r="V1720" s="1"/>
      <c r="X1720" s="101">
        <v>2</v>
      </c>
    </row>
    <row r="1721" spans="1:24" hidden="1">
      <c r="A1721">
        <v>117</v>
      </c>
      <c r="B1721" s="2">
        <v>46227.625324074099</v>
      </c>
      <c r="C1721" s="2">
        <v>46227.647685185198</v>
      </c>
      <c r="D1721" s="1" t="s">
        <v>24</v>
      </c>
      <c r="E1721" s="1"/>
      <c r="F1721" s="29">
        <v>46227</v>
      </c>
      <c r="G1721" s="29">
        <v>46225</v>
      </c>
      <c r="H1721" s="1" t="s">
        <v>78</v>
      </c>
      <c r="I1721" s="1" t="s">
        <v>4130</v>
      </c>
      <c r="J1721" s="175">
        <v>43976617266</v>
      </c>
      <c r="K1721" s="171" t="s">
        <v>4131</v>
      </c>
      <c r="L1721" s="62">
        <v>23003640</v>
      </c>
      <c r="M1721" s="30">
        <v>5218132805334</v>
      </c>
      <c r="N1721" s="171" t="s">
        <v>74</v>
      </c>
      <c r="O1721" s="67"/>
      <c r="P1721" s="99"/>
      <c r="Q1721" s="42">
        <f>OfficeForms.Table[[#This Row],[ INFORMEDEPAGO ]]*0.3</f>
        <v>0</v>
      </c>
      <c r="R1721" s="12">
        <f>(IF(O1721&lt;4172.98,0,MIN(O1721*0.3,O1721-4172.98)))-P1721</f>
        <v>0</v>
      </c>
      <c r="T1721" s="1"/>
      <c r="V1721" s="1"/>
      <c r="X1721" s="101">
        <v>1</v>
      </c>
    </row>
    <row r="1722" spans="1:24" hidden="1">
      <c r="A1722">
        <v>118</v>
      </c>
      <c r="B1722" s="2">
        <v>46227.636759259301</v>
      </c>
      <c r="C1722" s="2">
        <v>46227.649097222202</v>
      </c>
      <c r="D1722" s="1" t="s">
        <v>24</v>
      </c>
      <c r="E1722" s="1"/>
      <c r="F1722" s="29">
        <v>46227</v>
      </c>
      <c r="G1722" s="29">
        <v>46227</v>
      </c>
      <c r="H1722" s="1" t="s">
        <v>1519</v>
      </c>
      <c r="I1722" s="1" t="s">
        <v>4132</v>
      </c>
      <c r="J1722" s="175"/>
      <c r="K1722" s="171" t="s">
        <v>4133</v>
      </c>
      <c r="L1722" s="62">
        <v>23052532</v>
      </c>
      <c r="M1722" s="30">
        <v>5218683476252</v>
      </c>
      <c r="N1722" s="171" t="s">
        <v>37</v>
      </c>
      <c r="O1722" s="52">
        <v>7920.51</v>
      </c>
      <c r="P1722" s="99">
        <v>2344.41</v>
      </c>
      <c r="Q1722" s="42">
        <f>OfficeForms.Table[[#This Row],[ INFORMEDEPAGO ]]*0.3</f>
        <v>2376.1529999999998</v>
      </c>
      <c r="R1722" s="12">
        <f>(IF(O1722&lt;4172.98,0,MIN(O1722*0.3,O1722-4172.98)))-P1722</f>
        <v>31.742999999999938</v>
      </c>
      <c r="S1722" s="74">
        <v>46722</v>
      </c>
      <c r="T1722" s="1"/>
      <c r="V1722" s="1"/>
      <c r="X1722" s="101">
        <v>2</v>
      </c>
    </row>
    <row r="1723" spans="1:24" hidden="1">
      <c r="A1723">
        <v>119</v>
      </c>
      <c r="B1723" s="2">
        <v>46227.650266203702</v>
      </c>
      <c r="C1723" s="2">
        <v>46227.6511805556</v>
      </c>
      <c r="D1723" s="1" t="s">
        <v>24</v>
      </c>
      <c r="E1723" s="1"/>
      <c r="F1723" s="29">
        <v>46227</v>
      </c>
      <c r="G1723" s="29">
        <v>46227</v>
      </c>
      <c r="H1723" s="1" t="s">
        <v>71</v>
      </c>
      <c r="I1723" s="1" t="s">
        <v>4134</v>
      </c>
      <c r="J1723" s="175"/>
      <c r="K1723" s="171" t="s">
        <v>4135</v>
      </c>
      <c r="L1723" s="62">
        <v>23064884</v>
      </c>
      <c r="M1723" s="30">
        <v>5212214080406</v>
      </c>
      <c r="N1723" s="171" t="s">
        <v>37</v>
      </c>
      <c r="O1723" s="43">
        <v>9760.32</v>
      </c>
      <c r="P1723" s="97">
        <v>2927.76</v>
      </c>
      <c r="Q1723" s="42">
        <f>OfficeForms.Table[[#This Row],[ INFORMEDEPAGO ]]*0.3</f>
        <v>2928.096</v>
      </c>
      <c r="R1723" s="12">
        <f>(IF(O1723&lt;4172.98,0,MIN(O1723*0.3,O1723-4172.98)))-P1723</f>
        <v>0.33599999999978536</v>
      </c>
      <c r="S1723" s="74">
        <v>46569</v>
      </c>
      <c r="T1723" s="1"/>
      <c r="V1723" s="1"/>
      <c r="X1723" s="101">
        <v>2</v>
      </c>
    </row>
    <row r="1724" spans="1:24" hidden="1">
      <c r="A1724">
        <v>120</v>
      </c>
      <c r="B1724" s="2">
        <v>46227.615601851903</v>
      </c>
      <c r="C1724" s="2">
        <v>46227.6531944444</v>
      </c>
      <c r="D1724" s="1" t="s">
        <v>24</v>
      </c>
      <c r="E1724" s="1"/>
      <c r="F1724" s="29">
        <v>46227</v>
      </c>
      <c r="G1724" s="29">
        <v>46225</v>
      </c>
      <c r="H1724" s="1" t="s">
        <v>51</v>
      </c>
      <c r="I1724" s="1" t="s">
        <v>4136</v>
      </c>
      <c r="J1724" s="175">
        <v>11705132964</v>
      </c>
      <c r="K1724" s="171" t="s">
        <v>4137</v>
      </c>
      <c r="L1724" s="62">
        <v>22990750</v>
      </c>
      <c r="M1724" s="30">
        <v>16195301267</v>
      </c>
      <c r="N1724" s="171" t="s">
        <v>32</v>
      </c>
      <c r="O1724" s="67">
        <v>3961.31</v>
      </c>
      <c r="P1724" s="99"/>
      <c r="Q1724" s="42">
        <f>OfficeForms.Table[[#This Row],[ INFORMEDEPAGO ]]*0.3</f>
        <v>1188.393</v>
      </c>
      <c r="R1724" s="12">
        <f>(IF(O1724&lt;4172.98,0,MIN(O1724*0.3,O1724-4172.98)))-P1724</f>
        <v>0</v>
      </c>
      <c r="T1724" s="1"/>
      <c r="V1724" s="1"/>
      <c r="X1724" s="101">
        <v>1</v>
      </c>
    </row>
    <row r="1725" spans="1:24" hidden="1">
      <c r="A1725">
        <v>121</v>
      </c>
      <c r="B1725" s="2">
        <v>46227.648402777799</v>
      </c>
      <c r="C1725" s="2">
        <v>46227.654687499999</v>
      </c>
      <c r="D1725" s="1" t="s">
        <v>24</v>
      </c>
      <c r="E1725" s="1"/>
      <c r="F1725" s="29">
        <v>46227</v>
      </c>
      <c r="G1725" s="29">
        <v>46219</v>
      </c>
      <c r="H1725" s="1" t="s">
        <v>160</v>
      </c>
      <c r="I1725" s="1" t="s">
        <v>4138</v>
      </c>
      <c r="J1725" s="175"/>
      <c r="K1725" s="171" t="s">
        <v>4139</v>
      </c>
      <c r="L1725" s="62">
        <v>22764638</v>
      </c>
      <c r="M1725" s="30">
        <v>5215572888803</v>
      </c>
      <c r="N1725" s="171" t="s">
        <v>28</v>
      </c>
      <c r="O1725" s="52">
        <v>7119.08</v>
      </c>
      <c r="P1725" s="99">
        <v>848</v>
      </c>
      <c r="Q1725" s="42">
        <f>OfficeForms.Table[[#This Row],[ INFORMEDEPAGO ]]*0.3</f>
        <v>2135.7239999999997</v>
      </c>
      <c r="R1725" s="12">
        <f>(IF(O1725&lt;4172.98,0,MIN(O1725*0.3,O1725-4172.98)))-P1725</f>
        <v>1287.7239999999997</v>
      </c>
      <c r="T1725" s="1"/>
      <c r="V1725" s="1"/>
      <c r="X1725" s="101">
        <v>1</v>
      </c>
    </row>
    <row r="1726" spans="1:24" hidden="1">
      <c r="A1726">
        <v>122</v>
      </c>
      <c r="B1726" s="2">
        <v>46227.647210648203</v>
      </c>
      <c r="C1726" s="2">
        <v>46227.654976851903</v>
      </c>
      <c r="D1726" s="1" t="s">
        <v>24</v>
      </c>
      <c r="E1726" s="1"/>
      <c r="F1726" s="29">
        <v>46227</v>
      </c>
      <c r="G1726" s="29">
        <v>46227</v>
      </c>
      <c r="H1726" s="1" t="s">
        <v>127</v>
      </c>
      <c r="I1726" s="1" t="s">
        <v>4140</v>
      </c>
      <c r="J1726" s="175">
        <v>4986680902</v>
      </c>
      <c r="K1726" s="171" t="s">
        <v>4141</v>
      </c>
      <c r="L1726" s="62">
        <v>23049622</v>
      </c>
      <c r="M1726" s="30">
        <v>5218671632682</v>
      </c>
      <c r="N1726" s="171" t="s">
        <v>47</v>
      </c>
      <c r="O1726" s="52">
        <v>13787.87</v>
      </c>
      <c r="P1726" s="99">
        <v>3579.72</v>
      </c>
      <c r="Q1726" s="42">
        <f>OfficeForms.Table[[#This Row],[ INFORMEDEPAGO ]]*0.3</f>
        <v>4136.3609999999999</v>
      </c>
      <c r="R1726" s="12">
        <f>(IF(O1726&lt;4172.98,0,MIN(O1726*0.3,O1726-4172.98)))-P1726</f>
        <v>556.64100000000008</v>
      </c>
      <c r="S1726" s="74">
        <v>46600</v>
      </c>
      <c r="T1726" s="1"/>
      <c r="V1726" s="1"/>
      <c r="X1726" s="101">
        <v>2</v>
      </c>
    </row>
    <row r="1727" spans="1:24" hidden="1">
      <c r="A1727">
        <v>123</v>
      </c>
      <c r="B1727" s="2">
        <v>46227.6471296296</v>
      </c>
      <c r="C1727" s="2">
        <v>46227.655069444401</v>
      </c>
      <c r="D1727" s="1" t="s">
        <v>24</v>
      </c>
      <c r="E1727" s="1"/>
      <c r="F1727" s="29">
        <v>46227</v>
      </c>
      <c r="G1727" s="29">
        <v>46227</v>
      </c>
      <c r="H1727" s="1" t="s">
        <v>127</v>
      </c>
      <c r="I1727" s="1" t="s">
        <v>4142</v>
      </c>
      <c r="J1727" s="175">
        <v>54946606511</v>
      </c>
      <c r="K1727" s="171" t="s">
        <v>4143</v>
      </c>
      <c r="L1727" s="62">
        <v>23051976</v>
      </c>
      <c r="M1727" s="30">
        <v>5214747386360</v>
      </c>
      <c r="N1727" s="171" t="s">
        <v>28</v>
      </c>
      <c r="O1727" s="67">
        <v>13122.88</v>
      </c>
      <c r="P1727" s="99"/>
      <c r="Q1727" s="42">
        <f>OfficeForms.Table[[#This Row],[ INFORMEDEPAGO ]]*0.3</f>
        <v>3936.8639999999996</v>
      </c>
      <c r="R1727" s="12">
        <f>(IF(O1727&lt;4172.98,0,MIN(O1727*0.3,O1727-4172.98)))-P1727</f>
        <v>3936.8639999999996</v>
      </c>
      <c r="T1727" s="1"/>
      <c r="V1727" s="1"/>
      <c r="X1727" s="101">
        <v>1</v>
      </c>
    </row>
    <row r="1728" spans="1:24" hidden="1">
      <c r="A1728">
        <v>124</v>
      </c>
      <c r="B1728" s="2">
        <v>46227.6558912037</v>
      </c>
      <c r="C1728" s="2">
        <v>46227.656423611101</v>
      </c>
      <c r="D1728" s="1" t="s">
        <v>24</v>
      </c>
      <c r="E1728" s="1"/>
      <c r="F1728" s="29">
        <v>46227</v>
      </c>
      <c r="G1728" s="29">
        <v>46227</v>
      </c>
      <c r="H1728" s="1" t="s">
        <v>26</v>
      </c>
      <c r="I1728" s="1" t="s">
        <v>4144</v>
      </c>
      <c r="J1728" s="175">
        <v>33735801004</v>
      </c>
      <c r="K1728" s="171"/>
      <c r="L1728" s="62">
        <v>23034742</v>
      </c>
      <c r="M1728" s="30">
        <v>5216145950325</v>
      </c>
      <c r="N1728" s="171" t="s">
        <v>32</v>
      </c>
      <c r="O1728" s="67">
        <v>4342.43</v>
      </c>
      <c r="P1728" s="99"/>
      <c r="Q1728" s="42">
        <f>OfficeForms.Table[[#This Row],[ INFORMEDEPAGO ]]*0.3</f>
        <v>1302.729</v>
      </c>
      <c r="R1728" s="12">
        <f>(IF(O1728&lt;4172.98,0,MIN(O1728*0.3,O1728-4172.98)))-P1728</f>
        <v>169.45000000000073</v>
      </c>
      <c r="T1728" s="1"/>
      <c r="V1728" s="1"/>
      <c r="X1728" s="101">
        <v>1</v>
      </c>
    </row>
    <row r="1729" spans="1:24" hidden="1">
      <c r="A1729">
        <v>125</v>
      </c>
      <c r="B1729" s="2">
        <v>46227.420694444401</v>
      </c>
      <c r="C1729" s="2">
        <v>46227.659837963001</v>
      </c>
      <c r="D1729" s="1" t="s">
        <v>24</v>
      </c>
      <c r="E1729" s="1"/>
      <c r="F1729" s="29">
        <v>46227</v>
      </c>
      <c r="G1729" s="29">
        <v>46227</v>
      </c>
      <c r="H1729" s="1" t="s">
        <v>3452</v>
      </c>
      <c r="I1729" s="1" t="s">
        <v>4145</v>
      </c>
      <c r="J1729" s="175"/>
      <c r="K1729" s="171" t="s">
        <v>4146</v>
      </c>
      <c r="L1729" s="62">
        <v>23064700</v>
      </c>
      <c r="M1729" s="30">
        <v>8110708092</v>
      </c>
      <c r="N1729" s="171" t="s">
        <v>37</v>
      </c>
      <c r="O1729" s="52">
        <v>7116.73</v>
      </c>
      <c r="P1729" s="99">
        <v>2133.64</v>
      </c>
      <c r="Q1729" s="42">
        <f>OfficeForms.Table[[#This Row],[ INFORMEDEPAGO ]]*0.3</f>
        <v>2135.0189999999998</v>
      </c>
      <c r="R1729" s="12">
        <f>(IF(O1729&lt;4172.98,0,MIN(O1729*0.3,O1729-4172.98)))-P1729</f>
        <v>1.3789999999999054</v>
      </c>
      <c r="S1729" s="74">
        <v>46813</v>
      </c>
      <c r="T1729" s="1"/>
      <c r="V1729" s="1"/>
      <c r="X1729" s="101">
        <v>2</v>
      </c>
    </row>
    <row r="1730" spans="1:24" hidden="1">
      <c r="A1730">
        <v>126</v>
      </c>
      <c r="B1730" s="2">
        <v>46227.523692129602</v>
      </c>
      <c r="C1730" s="2">
        <v>46227.663483796299</v>
      </c>
      <c r="D1730" s="1" t="s">
        <v>24</v>
      </c>
      <c r="E1730" s="1"/>
      <c r="F1730" s="29">
        <v>46227</v>
      </c>
      <c r="G1730" s="29">
        <v>46223</v>
      </c>
      <c r="H1730" s="1" t="s">
        <v>81</v>
      </c>
      <c r="I1730" s="1" t="s">
        <v>4147</v>
      </c>
      <c r="J1730" s="175"/>
      <c r="K1730" s="171" t="s">
        <v>4148</v>
      </c>
      <c r="L1730" s="62">
        <v>22859498</v>
      </c>
      <c r="M1730" s="30">
        <v>5219931578928</v>
      </c>
      <c r="N1730" s="171" t="s">
        <v>47</v>
      </c>
      <c r="O1730" s="43">
        <v>10282.92</v>
      </c>
      <c r="P1730" s="97">
        <v>2571.44</v>
      </c>
      <c r="Q1730" s="42">
        <f>OfficeForms.Table[[#This Row],[ INFORMEDEPAGO ]]*0.3</f>
        <v>3084.8759999999997</v>
      </c>
      <c r="R1730" s="12">
        <f>(IF(O1730&lt;4172.98,0,MIN(O1730*0.3,O1730-4172.98)))-P1730</f>
        <v>513.43599999999969</v>
      </c>
      <c r="S1730" s="74">
        <v>46813</v>
      </c>
      <c r="T1730" s="1"/>
      <c r="V1730" s="1"/>
      <c r="X1730" s="101">
        <v>2</v>
      </c>
    </row>
    <row r="1731" spans="1:24" hidden="1">
      <c r="A1731">
        <v>127</v>
      </c>
      <c r="B1731" s="2">
        <v>46227.663807870398</v>
      </c>
      <c r="C1731" s="2">
        <v>46227.672916666699</v>
      </c>
      <c r="D1731" s="1" t="s">
        <v>24</v>
      </c>
      <c r="E1731" s="1"/>
      <c r="F1731" s="29">
        <v>46227</v>
      </c>
      <c r="G1731" s="29">
        <v>46227</v>
      </c>
      <c r="H1731" s="1" t="s">
        <v>81</v>
      </c>
      <c r="I1731" s="1" t="s">
        <v>4149</v>
      </c>
      <c r="J1731" s="175">
        <v>28876101701</v>
      </c>
      <c r="K1731" s="171" t="s">
        <v>4150</v>
      </c>
      <c r="L1731" s="62">
        <v>23047422</v>
      </c>
      <c r="M1731" s="30">
        <v>5215573640465</v>
      </c>
      <c r="N1731" s="171" t="s">
        <v>28</v>
      </c>
      <c r="O1731" s="50">
        <f>97031.82-87271.5</f>
        <v>9760.320000000007</v>
      </c>
      <c r="P1731" s="97"/>
      <c r="Q1731" s="42">
        <f>OfficeForms.Table[[#This Row],[ INFORMEDEPAGO ]]*0.3</f>
        <v>2928.0960000000018</v>
      </c>
      <c r="R1731" s="12">
        <f>(IF(O1731&lt;4172.98,0,MIN(O1731*0.3,O1731-4172.98)))-P1731</f>
        <v>2928.0960000000018</v>
      </c>
      <c r="T1731" s="1"/>
      <c r="V1731" s="1"/>
      <c r="X1731" s="101">
        <v>1</v>
      </c>
    </row>
    <row r="1732" spans="1:24" hidden="1">
      <c r="A1732">
        <v>129</v>
      </c>
      <c r="B1732" s="2">
        <v>46227.672939814802</v>
      </c>
      <c r="C1732" s="2">
        <v>46227.683749999997</v>
      </c>
      <c r="D1732" s="1" t="s">
        <v>24</v>
      </c>
      <c r="E1732" s="1"/>
      <c r="F1732" s="29">
        <v>46227</v>
      </c>
      <c r="G1732" s="29">
        <v>46223</v>
      </c>
      <c r="H1732" s="1" t="s">
        <v>81</v>
      </c>
      <c r="I1732" s="1" t="s">
        <v>4151</v>
      </c>
      <c r="J1732" s="175">
        <v>43826574964</v>
      </c>
      <c r="K1732" s="171" t="s">
        <v>4152</v>
      </c>
      <c r="L1732" s="62">
        <v>22873266</v>
      </c>
      <c r="M1732" s="30">
        <v>5218180103277</v>
      </c>
      <c r="N1732" s="171" t="s">
        <v>28</v>
      </c>
      <c r="O1732" s="50">
        <v>21483.13</v>
      </c>
      <c r="P1732" s="97"/>
      <c r="Q1732" s="42">
        <f>OfficeForms.Table[[#This Row],[ INFORMEDEPAGO ]]*0.3</f>
        <v>6444.9390000000003</v>
      </c>
      <c r="R1732" s="12">
        <f>(IF(O1732&lt;4172.98,0,MIN(O1732*0.3,O1732-4172.98)))-P1732</f>
        <v>6444.9390000000003</v>
      </c>
      <c r="T1732" s="1"/>
      <c r="V1732" s="1"/>
      <c r="X1732" s="101">
        <v>1</v>
      </c>
    </row>
    <row r="1733" spans="1:24" hidden="1">
      <c r="A1733">
        <v>130</v>
      </c>
      <c r="B1733" s="2">
        <v>46227.653530092597</v>
      </c>
      <c r="C1733" s="2">
        <v>46227.684016203697</v>
      </c>
      <c r="D1733" s="1" t="s">
        <v>24</v>
      </c>
      <c r="E1733" s="1"/>
      <c r="F1733" s="29">
        <v>46227</v>
      </c>
      <c r="G1733" s="29">
        <v>46227</v>
      </c>
      <c r="H1733" s="1" t="s">
        <v>39</v>
      </c>
      <c r="I1733" s="1" t="s">
        <v>4153</v>
      </c>
      <c r="J1733" s="175"/>
      <c r="K1733" s="171" t="s">
        <v>4154</v>
      </c>
      <c r="L1733" s="62">
        <v>22856802</v>
      </c>
      <c r="M1733" s="30">
        <v>5216688203620</v>
      </c>
      <c r="N1733" s="171" t="s">
        <v>47</v>
      </c>
      <c r="O1733" s="50">
        <v>5046.1899999999996</v>
      </c>
      <c r="P1733" s="97"/>
      <c r="Q1733" s="42">
        <f>OfficeForms.Table[[#This Row],[ INFORMEDEPAGO ]]*0.3</f>
        <v>1513.8569999999997</v>
      </c>
      <c r="R1733" s="12">
        <f>(IF(O1733&lt;4172.98,0,MIN(O1733*0.3,O1733-4172.98)))-P1733</f>
        <v>873.21</v>
      </c>
      <c r="T1733" s="1"/>
      <c r="V1733" s="1"/>
      <c r="X1733" s="101">
        <v>1</v>
      </c>
    </row>
    <row r="1734" spans="1:24" hidden="1">
      <c r="A1734">
        <v>131</v>
      </c>
      <c r="B1734" s="2">
        <v>46227.684479166703</v>
      </c>
      <c r="C1734" s="2">
        <v>46227.6884027778</v>
      </c>
      <c r="D1734" s="1" t="s">
        <v>24</v>
      </c>
      <c r="E1734" s="1"/>
      <c r="F1734" s="29">
        <v>46227</v>
      </c>
      <c r="G1734" s="29">
        <v>46225</v>
      </c>
      <c r="H1734" s="1" t="s">
        <v>160</v>
      </c>
      <c r="I1734" s="1" t="s">
        <v>4155</v>
      </c>
      <c r="J1734" s="175">
        <v>90907293584</v>
      </c>
      <c r="K1734" s="171" t="s">
        <v>4156</v>
      </c>
      <c r="L1734" s="62">
        <v>23005816</v>
      </c>
      <c r="M1734" s="30">
        <v>5215565793009</v>
      </c>
      <c r="N1734" s="171" t="s">
        <v>47</v>
      </c>
      <c r="O1734" s="43">
        <v>16971.349999999999</v>
      </c>
      <c r="P1734" s="97">
        <v>4775.18</v>
      </c>
      <c r="Q1734" s="42">
        <f>OfficeForms.Table[[#This Row],[ INFORMEDEPAGO ]]*0.3</f>
        <v>5091.4049999999997</v>
      </c>
      <c r="R1734" s="12">
        <f>(IF(O1734&lt;4172.98,0,MIN(O1734*0.3,O1734-4172.98)))-P1734</f>
        <v>316.22499999999945</v>
      </c>
      <c r="S1734" s="74">
        <v>46539</v>
      </c>
      <c r="T1734" s="1"/>
      <c r="V1734" s="1"/>
      <c r="X1734" s="101">
        <v>2</v>
      </c>
    </row>
    <row r="1735" spans="1:24" hidden="1">
      <c r="A1735">
        <v>132</v>
      </c>
      <c r="B1735" s="2">
        <v>46227.681944444397</v>
      </c>
      <c r="C1735" s="2">
        <v>46227.688518518502</v>
      </c>
      <c r="D1735" s="1" t="s">
        <v>24</v>
      </c>
      <c r="E1735" s="1"/>
      <c r="F1735" s="29">
        <v>46227</v>
      </c>
      <c r="G1735" s="29">
        <v>46227</v>
      </c>
      <c r="H1735" s="1" t="s">
        <v>3572</v>
      </c>
      <c r="I1735" s="1" t="s">
        <v>4157</v>
      </c>
      <c r="J1735" s="175">
        <v>62806254405</v>
      </c>
      <c r="K1735" s="171" t="s">
        <v>4158</v>
      </c>
      <c r="L1735" s="62">
        <v>23065420</v>
      </c>
      <c r="M1735" s="30">
        <v>5212227428554</v>
      </c>
      <c r="N1735" s="171" t="s">
        <v>37</v>
      </c>
      <c r="O1735" s="52">
        <v>7116.73</v>
      </c>
      <c r="P1735" s="99">
        <v>2134.98</v>
      </c>
      <c r="Q1735" s="42">
        <f>OfficeForms.Table[[#This Row],[ INFORMEDEPAGO ]]*0.3</f>
        <v>2135.0189999999998</v>
      </c>
      <c r="R1735" s="12">
        <f>(IF(O1735&lt;4172.98,0,MIN(O1735*0.3,O1735-4172.98)))-P1735</f>
        <v>3.8999999999759893E-2</v>
      </c>
      <c r="S1735" s="74">
        <v>46722</v>
      </c>
      <c r="T1735" s="1"/>
      <c r="V1735" s="1"/>
      <c r="X1735" s="101">
        <v>2</v>
      </c>
    </row>
    <row r="1736" spans="1:24" hidden="1">
      <c r="A1736">
        <v>133</v>
      </c>
      <c r="B1736" s="2">
        <v>46227.592025462996</v>
      </c>
      <c r="C1736" s="2">
        <v>46227.701134259303</v>
      </c>
      <c r="D1736" s="1" t="s">
        <v>24</v>
      </c>
      <c r="E1736" s="1"/>
      <c r="F1736" s="29">
        <v>46227</v>
      </c>
      <c r="G1736" s="29">
        <v>46226</v>
      </c>
      <c r="H1736" s="1" t="s">
        <v>68</v>
      </c>
      <c r="I1736" s="1" t="s">
        <v>4159</v>
      </c>
      <c r="J1736" s="175" t="s">
        <v>4160</v>
      </c>
      <c r="K1736" s="171" t="s">
        <v>4161</v>
      </c>
      <c r="L1736" s="62">
        <v>23037456</v>
      </c>
      <c r="M1736" s="30">
        <v>5216623850766</v>
      </c>
      <c r="N1736" s="171" t="s">
        <v>37</v>
      </c>
      <c r="O1736" s="52">
        <v>15755.47</v>
      </c>
      <c r="P1736" s="99">
        <v>4721.8100000000004</v>
      </c>
      <c r="Q1736" s="42">
        <f>OfficeForms.Table[[#This Row],[ INFORMEDEPAGO ]]*0.3</f>
        <v>4726.6409999999996</v>
      </c>
      <c r="R1736" s="12">
        <f>(IF(O1736&lt;4172.98,0,MIN(O1736*0.3,O1736-4172.98)))-P1736</f>
        <v>4.8309999999992215</v>
      </c>
      <c r="S1736" s="74">
        <v>46784</v>
      </c>
      <c r="T1736" s="1"/>
      <c r="V1736" s="1"/>
      <c r="X1736" s="101">
        <v>2</v>
      </c>
    </row>
    <row r="1737" spans="1:24" hidden="1">
      <c r="A1737">
        <v>134</v>
      </c>
      <c r="B1737" s="2">
        <v>46227.701944444401</v>
      </c>
      <c r="C1737" s="2">
        <v>46227.702754629601</v>
      </c>
      <c r="D1737" s="1" t="s">
        <v>24</v>
      </c>
      <c r="E1737" s="1"/>
      <c r="F1737" s="29">
        <v>46227</v>
      </c>
      <c r="G1737" s="29">
        <v>46227</v>
      </c>
      <c r="H1737" s="1" t="s">
        <v>71</v>
      </c>
      <c r="I1737" s="1" t="s">
        <v>4162</v>
      </c>
      <c r="J1737" s="175"/>
      <c r="K1737" s="171" t="s">
        <v>4163</v>
      </c>
      <c r="L1737" s="62">
        <v>23060634</v>
      </c>
      <c r="M1737" s="30">
        <v>5214445798764</v>
      </c>
      <c r="N1737" s="171" t="s">
        <v>74</v>
      </c>
      <c r="O1737" s="50"/>
      <c r="P1737" s="97"/>
      <c r="Q1737" s="42">
        <f>OfficeForms.Table[[#This Row],[ INFORMEDEPAGO ]]*0.3</f>
        <v>0</v>
      </c>
      <c r="R1737" s="12">
        <f>(IF(O1737&lt;4172.98,0,MIN(O1737*0.3,O1737-4172.98)))-P1737</f>
        <v>0</v>
      </c>
      <c r="T1737" s="1"/>
      <c r="V1737" s="1"/>
      <c r="X1737" s="101">
        <v>1</v>
      </c>
    </row>
    <row r="1738" spans="1:24" hidden="1">
      <c r="A1738">
        <v>135</v>
      </c>
      <c r="B1738" s="2">
        <v>46227.705636574101</v>
      </c>
      <c r="C1738" s="2">
        <v>46227.707951388897</v>
      </c>
      <c r="D1738" s="1" t="s">
        <v>24</v>
      </c>
      <c r="E1738" s="1"/>
      <c r="F1738" s="29">
        <v>46227</v>
      </c>
      <c r="G1738" s="29">
        <v>46227</v>
      </c>
      <c r="H1738" s="1" t="s">
        <v>3452</v>
      </c>
      <c r="I1738" s="1" t="s">
        <v>4164</v>
      </c>
      <c r="J1738" s="175"/>
      <c r="K1738" s="171" t="s">
        <v>4165</v>
      </c>
      <c r="L1738" s="62">
        <v>23065908</v>
      </c>
      <c r="M1738" s="30">
        <v>3921109934</v>
      </c>
      <c r="N1738" s="171" t="s">
        <v>32</v>
      </c>
      <c r="O1738" s="50">
        <v>2649.14</v>
      </c>
      <c r="P1738" s="97"/>
      <c r="Q1738" s="42">
        <f>OfficeForms.Table[[#This Row],[ INFORMEDEPAGO ]]*0.3</f>
        <v>794.74199999999996</v>
      </c>
      <c r="R1738" s="12">
        <f>(IF(O1738&lt;4172.98,0,MIN(O1738*0.3,O1738-4172.98)))-P1738</f>
        <v>0</v>
      </c>
      <c r="T1738" s="1"/>
      <c r="V1738" s="1"/>
      <c r="X1738" s="101">
        <v>1</v>
      </c>
    </row>
    <row r="1739" spans="1:24" hidden="1">
      <c r="A1739">
        <v>136</v>
      </c>
      <c r="B1739" s="2">
        <v>46227.708703703698</v>
      </c>
      <c r="C1739" s="2">
        <v>46227.7093171296</v>
      </c>
      <c r="D1739" s="1" t="s">
        <v>24</v>
      </c>
      <c r="E1739" s="1"/>
      <c r="F1739" s="29">
        <v>46227</v>
      </c>
      <c r="G1739" s="29">
        <v>46227</v>
      </c>
      <c r="H1739" s="1" t="s">
        <v>107</v>
      </c>
      <c r="I1739" s="1"/>
      <c r="J1739" s="175" t="s">
        <v>4166</v>
      </c>
      <c r="K1739" s="171"/>
      <c r="L1739" s="62">
        <v>23063762</v>
      </c>
      <c r="M1739" s="30">
        <v>5217713830204</v>
      </c>
      <c r="N1739" s="171" t="s">
        <v>37</v>
      </c>
      <c r="O1739" s="52">
        <v>9064.2000000000007</v>
      </c>
      <c r="P1739" s="99">
        <v>2681.77</v>
      </c>
      <c r="Q1739" s="42">
        <f>OfficeForms.Table[[#This Row],[ INFORMEDEPAGO ]]*0.3</f>
        <v>2719.26</v>
      </c>
      <c r="R1739" s="12">
        <f>(IF(O1739&lt;4172.98,0,MIN(O1739*0.3,O1739-4172.98)))-P1739</f>
        <v>37.490000000000236</v>
      </c>
      <c r="S1739" s="74">
        <v>46661</v>
      </c>
      <c r="T1739" s="1"/>
      <c r="V1739" s="1"/>
      <c r="X1739" s="101">
        <v>2</v>
      </c>
    </row>
    <row r="1740" spans="1:24" hidden="1">
      <c r="A1740">
        <v>137</v>
      </c>
      <c r="B1740" s="2">
        <v>46227.705520833297</v>
      </c>
      <c r="C1740" s="2">
        <v>46227.709780092599</v>
      </c>
      <c r="D1740" s="1" t="s">
        <v>24</v>
      </c>
      <c r="E1740" s="1"/>
      <c r="F1740" s="29">
        <v>46227</v>
      </c>
      <c r="G1740" s="29">
        <v>46227</v>
      </c>
      <c r="H1740" s="1" t="s">
        <v>160</v>
      </c>
      <c r="I1740" s="1" t="s">
        <v>4167</v>
      </c>
      <c r="J1740" s="175">
        <v>41846312829</v>
      </c>
      <c r="K1740" s="171" t="s">
        <v>4168</v>
      </c>
      <c r="L1740" s="62">
        <v>23042162</v>
      </c>
      <c r="M1740" s="30">
        <v>5214443492410</v>
      </c>
      <c r="N1740" s="171" t="s">
        <v>37</v>
      </c>
      <c r="O1740" s="52">
        <v>23614.18</v>
      </c>
      <c r="P1740" s="99">
        <v>6829.81</v>
      </c>
      <c r="Q1740" s="42">
        <f>OfficeForms.Table[[#This Row],[ INFORMEDEPAGO ]]*0.3</f>
        <v>7084.2539999999999</v>
      </c>
      <c r="R1740" s="12">
        <f>(IF(O1740&lt;4172.98,0,MIN(O1740*0.3,O1740-4172.98)))-P1740</f>
        <v>254.44399999999951</v>
      </c>
      <c r="S1740" s="74">
        <v>46388</v>
      </c>
      <c r="T1740" s="1"/>
      <c r="V1740" s="1"/>
      <c r="X1740" s="101">
        <v>2</v>
      </c>
    </row>
    <row r="1741" spans="1:24" hidden="1">
      <c r="A1741">
        <v>138</v>
      </c>
      <c r="B1741" s="2">
        <v>46227.653229166703</v>
      </c>
      <c r="C1741" s="2">
        <v>46227.710335648197</v>
      </c>
      <c r="D1741" s="1" t="s">
        <v>24</v>
      </c>
      <c r="E1741" s="1"/>
      <c r="F1741" s="29">
        <v>46227</v>
      </c>
      <c r="G1741" s="29">
        <v>46227</v>
      </c>
      <c r="H1741" s="1" t="s">
        <v>51</v>
      </c>
      <c r="I1741" s="1" t="s">
        <v>4169</v>
      </c>
      <c r="J1741" s="175">
        <v>8173550029</v>
      </c>
      <c r="K1741" s="171" t="s">
        <v>4170</v>
      </c>
      <c r="L1741" s="62">
        <v>23039382</v>
      </c>
      <c r="M1741" s="30">
        <v>5219384010286</v>
      </c>
      <c r="N1741" s="171" t="s">
        <v>37</v>
      </c>
      <c r="O1741" s="52">
        <v>9202.4699999999993</v>
      </c>
      <c r="P1741" s="99">
        <v>2660</v>
      </c>
      <c r="Q1741" s="42">
        <f>OfficeForms.Table[[#This Row],[ INFORMEDEPAGO ]]*0.3</f>
        <v>2760.7409999999995</v>
      </c>
      <c r="R1741" s="12">
        <f>(IF(O1741&lt;4172.98,0,MIN(O1741*0.3,O1741-4172.98)))-P1741</f>
        <v>100.74099999999953</v>
      </c>
      <c r="S1741" s="74">
        <v>46478</v>
      </c>
      <c r="T1741" s="1"/>
      <c r="V1741" s="1"/>
      <c r="X1741" s="101">
        <v>2</v>
      </c>
    </row>
    <row r="1742" spans="1:24" hidden="1">
      <c r="A1742">
        <v>139</v>
      </c>
      <c r="B1742" s="2">
        <v>46227.718414351897</v>
      </c>
      <c r="C1742" s="2">
        <v>46227.719131944403</v>
      </c>
      <c r="D1742" s="1" t="s">
        <v>24</v>
      </c>
      <c r="E1742" s="1"/>
      <c r="F1742" s="29">
        <v>46227</v>
      </c>
      <c r="G1742" s="29">
        <v>46227</v>
      </c>
      <c r="H1742" s="1" t="s">
        <v>71</v>
      </c>
      <c r="I1742" s="1" t="s">
        <v>4171</v>
      </c>
      <c r="J1742" s="175" t="s">
        <v>4172</v>
      </c>
      <c r="K1742" s="171"/>
      <c r="L1742" s="62">
        <v>23082252</v>
      </c>
      <c r="M1742" s="30">
        <v>5217751316607</v>
      </c>
      <c r="N1742" s="171" t="s">
        <v>37</v>
      </c>
      <c r="O1742" s="52">
        <v>8800.3700000000008</v>
      </c>
      <c r="P1742" s="99">
        <v>2640.1</v>
      </c>
      <c r="Q1742" s="42">
        <f>OfficeForms.Table[[#This Row],[ INFORMEDEPAGO ]]*0.3</f>
        <v>2640.1110000000003</v>
      </c>
      <c r="R1742" s="12">
        <f>(IF(O1742&lt;4172.98,0,MIN(O1742*0.3,O1742-4172.98)))-P1742</f>
        <v>1.1000000000422006E-2</v>
      </c>
      <c r="S1742" s="74">
        <v>46661</v>
      </c>
      <c r="T1742" s="1"/>
      <c r="V1742" s="1"/>
      <c r="X1742" s="101">
        <v>2</v>
      </c>
    </row>
    <row r="1743" spans="1:24" hidden="1">
      <c r="A1743">
        <v>140</v>
      </c>
      <c r="B1743" s="2">
        <v>46227.715300925898</v>
      </c>
      <c r="C1743" s="2">
        <v>46227.719340277799</v>
      </c>
      <c r="D1743" s="1" t="s">
        <v>24</v>
      </c>
      <c r="E1743" s="1"/>
      <c r="F1743" s="29">
        <v>46227</v>
      </c>
      <c r="G1743" s="29">
        <v>46226</v>
      </c>
      <c r="H1743" s="1" t="s">
        <v>78</v>
      </c>
      <c r="I1743" s="1" t="s">
        <v>4173</v>
      </c>
      <c r="J1743" s="175"/>
      <c r="K1743" s="171" t="s">
        <v>4174</v>
      </c>
      <c r="L1743" s="62">
        <v>23024814</v>
      </c>
      <c r="M1743" s="30">
        <v>5214423567734</v>
      </c>
      <c r="N1743" s="171" t="s">
        <v>37</v>
      </c>
      <c r="O1743" s="52">
        <v>16132.22</v>
      </c>
      <c r="P1743" s="99">
        <v>4839.67</v>
      </c>
      <c r="Q1743" s="42">
        <f>OfficeForms.Table[[#This Row],[ INFORMEDEPAGO ]]*0.3</f>
        <v>4839.6659999999993</v>
      </c>
      <c r="R1743" s="12">
        <f>(IF(O1743&lt;4172.98,0,MIN(O1743*0.3,O1743-4172.98)))-P1743</f>
        <v>-4.0000000008149073E-3</v>
      </c>
      <c r="S1743" s="74">
        <v>46813</v>
      </c>
      <c r="T1743" s="1"/>
      <c r="V1743" s="1"/>
      <c r="X1743" s="101">
        <v>2</v>
      </c>
    </row>
    <row r="1744" spans="1:24" hidden="1">
      <c r="A1744">
        <v>141</v>
      </c>
      <c r="B1744" s="2">
        <v>46227.7190162037</v>
      </c>
      <c r="C1744" s="2">
        <v>46227.72</v>
      </c>
      <c r="D1744" s="1" t="s">
        <v>24</v>
      </c>
      <c r="E1744" s="1"/>
      <c r="F1744" s="29">
        <v>46227</v>
      </c>
      <c r="G1744" s="29">
        <v>46227</v>
      </c>
      <c r="H1744" s="1" t="s">
        <v>110</v>
      </c>
      <c r="I1744" s="1" t="s">
        <v>4175</v>
      </c>
      <c r="J1744" s="175"/>
      <c r="K1744" s="171" t="s">
        <v>4176</v>
      </c>
      <c r="L1744" s="62">
        <v>23085064</v>
      </c>
      <c r="M1744" s="30">
        <v>5215578285240</v>
      </c>
      <c r="N1744" s="171" t="s">
        <v>37</v>
      </c>
      <c r="O1744" s="52">
        <v>7920.51</v>
      </c>
      <c r="P1744" s="99">
        <v>2291.6</v>
      </c>
      <c r="Q1744" s="42">
        <f>OfficeForms.Table[[#This Row],[ INFORMEDEPAGO ]]*0.3</f>
        <v>2376.1529999999998</v>
      </c>
      <c r="R1744" s="12">
        <f>(IF(O1744&lt;4172.98,0,MIN(O1744*0.3,O1744-4172.98)))-P1744</f>
        <v>84.552999999999884</v>
      </c>
      <c r="S1744" s="74">
        <v>46447</v>
      </c>
      <c r="T1744" s="1"/>
      <c r="V1744" s="1"/>
      <c r="X1744" s="101">
        <v>2</v>
      </c>
    </row>
    <row r="1745" spans="1:24" hidden="1">
      <c r="A1745">
        <v>142</v>
      </c>
      <c r="B1745" s="2">
        <v>46227.710358796299</v>
      </c>
      <c r="C1745" s="2">
        <v>46227.722835648201</v>
      </c>
      <c r="D1745" s="1" t="s">
        <v>24</v>
      </c>
      <c r="E1745" s="1"/>
      <c r="F1745" s="29">
        <v>46227</v>
      </c>
      <c r="G1745" s="29">
        <v>46226</v>
      </c>
      <c r="H1745" s="1" t="s">
        <v>51</v>
      </c>
      <c r="I1745" s="1" t="s">
        <v>4177</v>
      </c>
      <c r="J1745" s="175" t="s">
        <v>4178</v>
      </c>
      <c r="K1745" s="171" t="s">
        <v>4179</v>
      </c>
      <c r="L1745" s="62">
        <v>23038056</v>
      </c>
      <c r="M1745" s="30">
        <v>5215539046165</v>
      </c>
      <c r="N1745" s="171" t="s">
        <v>28</v>
      </c>
      <c r="O1745" s="50">
        <v>8430.01</v>
      </c>
      <c r="P1745" s="99"/>
      <c r="Q1745" s="42">
        <f>OfficeForms.Table[[#This Row],[ INFORMEDEPAGO ]]*0.3</f>
        <v>2529.0030000000002</v>
      </c>
      <c r="R1745" s="12">
        <f>(IF(O1745&lt;4172.98,0,MIN(O1745*0.3,O1745-4172.98)))-P1745</f>
        <v>2529.0030000000002</v>
      </c>
      <c r="T1745" s="1"/>
      <c r="V1745" s="1"/>
      <c r="X1745" s="101">
        <v>1</v>
      </c>
    </row>
    <row r="1746" spans="1:24" hidden="1">
      <c r="A1746">
        <v>143</v>
      </c>
      <c r="B1746" s="2">
        <v>46227.724050925899</v>
      </c>
      <c r="C1746" s="2">
        <v>46227.726712962998</v>
      </c>
      <c r="D1746" s="1" t="s">
        <v>24</v>
      </c>
      <c r="E1746" s="1"/>
      <c r="F1746" s="29">
        <v>46227</v>
      </c>
      <c r="G1746" s="29">
        <v>46227</v>
      </c>
      <c r="H1746" s="1" t="s">
        <v>3452</v>
      </c>
      <c r="I1746" s="1" t="s">
        <v>4180</v>
      </c>
      <c r="J1746" s="175"/>
      <c r="K1746" s="171" t="s">
        <v>4181</v>
      </c>
      <c r="L1746" s="62">
        <v>23065988</v>
      </c>
      <c r="M1746" s="30">
        <v>9931996664</v>
      </c>
      <c r="N1746" s="171" t="s">
        <v>28</v>
      </c>
      <c r="O1746" s="50">
        <v>10571.66</v>
      </c>
      <c r="P1746" s="99"/>
      <c r="Q1746" s="42">
        <f>OfficeForms.Table[[#This Row],[ INFORMEDEPAGO ]]*0.3</f>
        <v>3171.498</v>
      </c>
      <c r="R1746" s="12">
        <f>(IF(O1746&lt;4172.98,0,MIN(O1746*0.3,O1746-4172.98)))-P1746</f>
        <v>3171.498</v>
      </c>
      <c r="T1746" s="1"/>
      <c r="V1746" s="1"/>
      <c r="X1746" s="101">
        <v>1</v>
      </c>
    </row>
    <row r="1747" spans="1:24" hidden="1">
      <c r="A1747">
        <v>144</v>
      </c>
      <c r="B1747" s="2">
        <v>46227.726481481499</v>
      </c>
      <c r="C1747" s="2">
        <v>46227.727314814802</v>
      </c>
      <c r="D1747" s="1" t="s">
        <v>24</v>
      </c>
      <c r="E1747" s="1"/>
      <c r="F1747" s="29">
        <v>46227</v>
      </c>
      <c r="G1747" s="29">
        <v>46226</v>
      </c>
      <c r="H1747" s="1" t="s">
        <v>3352</v>
      </c>
      <c r="I1747" s="1" t="s">
        <v>4182</v>
      </c>
      <c r="J1747" s="175"/>
      <c r="K1747" s="171" t="s">
        <v>4183</v>
      </c>
      <c r="L1747" s="62">
        <v>23031288</v>
      </c>
      <c r="M1747" s="30">
        <v>2231068999</v>
      </c>
      <c r="N1747" s="171" t="s">
        <v>98</v>
      </c>
      <c r="O1747" s="50"/>
      <c r="P1747" s="99"/>
      <c r="Q1747" s="42">
        <f>OfficeForms.Table[[#This Row],[ INFORMEDEPAGO ]]*0.3</f>
        <v>0</v>
      </c>
      <c r="R1747" s="12">
        <f>(IF(O1747&lt;4172.98,0,MIN(O1747*0.3,O1747-4172.98)))-P1747</f>
        <v>0</v>
      </c>
      <c r="T1747" s="1"/>
      <c r="V1747" s="1"/>
      <c r="X1747" s="101">
        <v>0</v>
      </c>
    </row>
    <row r="1748" spans="1:24" hidden="1">
      <c r="A1748">
        <v>145</v>
      </c>
      <c r="B1748" s="2">
        <v>46227.683715277803</v>
      </c>
      <c r="C1748" s="2">
        <v>46227.728483796302</v>
      </c>
      <c r="D1748" s="1" t="s">
        <v>24</v>
      </c>
      <c r="E1748" s="1"/>
      <c r="F1748" s="29">
        <v>46227</v>
      </c>
      <c r="G1748" s="29">
        <v>46227</v>
      </c>
      <c r="H1748" s="1" t="s">
        <v>26</v>
      </c>
      <c r="I1748" s="1" t="s">
        <v>4184</v>
      </c>
      <c r="J1748" s="175"/>
      <c r="K1748" s="171" t="s">
        <v>4185</v>
      </c>
      <c r="L1748" s="119">
        <v>23065380</v>
      </c>
      <c r="M1748" s="30">
        <v>5218131950721</v>
      </c>
      <c r="N1748" s="171" t="s">
        <v>37</v>
      </c>
      <c r="O1748" s="52">
        <v>7920.51</v>
      </c>
      <c r="P1748" s="99">
        <v>2375</v>
      </c>
      <c r="Q1748" s="42">
        <f>OfficeForms.Table[[#This Row],[ INFORMEDEPAGO ]]*0.3</f>
        <v>2376.1529999999998</v>
      </c>
      <c r="R1748" s="12">
        <f>(IF(O1748&lt;4172.98,0,MIN(O1748*0.3,O1748-4172.98)))-P1748</f>
        <v>1.1529999999997926</v>
      </c>
      <c r="S1748" s="74">
        <v>46905</v>
      </c>
      <c r="T1748" s="1"/>
      <c r="V1748" s="1"/>
      <c r="X1748" s="101">
        <v>2</v>
      </c>
    </row>
    <row r="1749" spans="1:24" hidden="1">
      <c r="A1749">
        <v>146</v>
      </c>
      <c r="B1749" s="2">
        <v>46227.723634259302</v>
      </c>
      <c r="C1749" s="2">
        <v>46227.729976851901</v>
      </c>
      <c r="D1749" s="1" t="s">
        <v>24</v>
      </c>
      <c r="E1749" s="1"/>
      <c r="F1749" s="29">
        <v>46227</v>
      </c>
      <c r="G1749" s="29">
        <v>46223</v>
      </c>
      <c r="H1749" s="1" t="s">
        <v>39</v>
      </c>
      <c r="I1749" s="1" t="s">
        <v>4186</v>
      </c>
      <c r="J1749" s="175"/>
      <c r="K1749" s="171" t="s">
        <v>4187</v>
      </c>
      <c r="L1749" s="62">
        <v>22872378</v>
      </c>
      <c r="M1749" s="30">
        <v>5215547831885</v>
      </c>
      <c r="N1749" s="171" t="s">
        <v>37</v>
      </c>
      <c r="O1749" s="52">
        <v>16467.509999999998</v>
      </c>
      <c r="P1749" s="99">
        <v>4940.25</v>
      </c>
      <c r="Q1749" s="42">
        <f>OfficeForms.Table[[#This Row],[ INFORMEDEPAGO ]]*0.3</f>
        <v>4940.2529999999997</v>
      </c>
      <c r="R1749" s="12">
        <f>(IF(O1749&lt;4172.98,0,MIN(O1749*0.3,O1749-4172.98)))-P1749</f>
        <v>2.9999999997016857E-3</v>
      </c>
      <c r="S1749" s="74">
        <v>46661</v>
      </c>
      <c r="T1749" s="1"/>
      <c r="V1749" s="1"/>
      <c r="X1749" s="101">
        <v>2</v>
      </c>
    </row>
    <row r="1750" spans="1:24" hidden="1">
      <c r="A1750">
        <v>147</v>
      </c>
      <c r="B1750" s="2">
        <v>46227.701168981497</v>
      </c>
      <c r="C1750" s="2">
        <v>46227.730891203697</v>
      </c>
      <c r="D1750" s="1" t="s">
        <v>24</v>
      </c>
      <c r="E1750" s="1"/>
      <c r="F1750" s="29">
        <v>46227</v>
      </c>
      <c r="G1750" s="29">
        <v>46226</v>
      </c>
      <c r="H1750" s="1" t="s">
        <v>68</v>
      </c>
      <c r="I1750" s="1" t="s">
        <v>4188</v>
      </c>
      <c r="J1750" s="175"/>
      <c r="K1750" s="171" t="s">
        <v>4189</v>
      </c>
      <c r="L1750" s="62">
        <v>23038168</v>
      </c>
      <c r="M1750" s="30">
        <v>5213515190433</v>
      </c>
      <c r="N1750" s="171" t="s">
        <v>263</v>
      </c>
      <c r="O1750" s="52">
        <v>9629.15</v>
      </c>
      <c r="P1750" s="99">
        <v>2785.94</v>
      </c>
      <c r="Q1750" s="42">
        <f>OfficeForms.Table[[#This Row],[ INFORMEDEPAGO ]]*0.3</f>
        <v>2888.7449999999999</v>
      </c>
      <c r="R1750" s="12">
        <f>(IF(O1750&lt;4172.98,0,MIN(O1750*0.3,O1750-4172.98)))-P1750</f>
        <v>102.80499999999984</v>
      </c>
      <c r="S1750" s="74">
        <v>46174</v>
      </c>
      <c r="T1750" s="1"/>
      <c r="V1750" s="1"/>
      <c r="X1750" s="101">
        <v>2</v>
      </c>
    </row>
    <row r="1751" spans="1:24" hidden="1">
      <c r="A1751">
        <v>148</v>
      </c>
      <c r="B1751" s="2">
        <v>46227.733981481499</v>
      </c>
      <c r="C1751" s="2">
        <v>46227.734409722201</v>
      </c>
      <c r="D1751" s="1" t="s">
        <v>24</v>
      </c>
      <c r="E1751" s="1"/>
      <c r="F1751" s="29">
        <v>46227</v>
      </c>
      <c r="G1751" s="29">
        <v>46227</v>
      </c>
      <c r="H1751" s="1" t="s">
        <v>71</v>
      </c>
      <c r="I1751" s="1" t="s">
        <v>4190</v>
      </c>
      <c r="J1751" s="175"/>
      <c r="K1751" s="171" t="s">
        <v>4191</v>
      </c>
      <c r="L1751" s="62">
        <v>23065722</v>
      </c>
      <c r="M1751" s="30">
        <v>5218712514343</v>
      </c>
      <c r="N1751" s="171" t="s">
        <v>28</v>
      </c>
      <c r="O1751" s="50">
        <f>23045.85-12409.31</f>
        <v>10636.539999999999</v>
      </c>
      <c r="P1751" s="99"/>
      <c r="Q1751" s="42">
        <f>OfficeForms.Table[[#This Row],[ INFORMEDEPAGO ]]*0.3</f>
        <v>3190.9619999999995</v>
      </c>
      <c r="R1751" s="12">
        <f>(IF(O1751&lt;4172.98,0,MIN(O1751*0.3,O1751-4172.98)))-P1751</f>
        <v>3190.9619999999995</v>
      </c>
      <c r="T1751" s="1"/>
      <c r="V1751" s="1"/>
      <c r="X1751" s="101">
        <v>1</v>
      </c>
    </row>
    <row r="1752" spans="1:24" hidden="1">
      <c r="A1752">
        <v>149</v>
      </c>
      <c r="B1752" s="2">
        <v>46227.722858796304</v>
      </c>
      <c r="C1752" s="2">
        <v>46227.744444444397</v>
      </c>
      <c r="D1752" s="1" t="s">
        <v>24</v>
      </c>
      <c r="E1752" s="1"/>
      <c r="F1752" s="29">
        <v>46227</v>
      </c>
      <c r="G1752" s="29">
        <v>46227</v>
      </c>
      <c r="H1752" s="1" t="s">
        <v>51</v>
      </c>
      <c r="I1752" s="1" t="s">
        <v>4192</v>
      </c>
      <c r="J1752" s="209" t="s">
        <v>4193</v>
      </c>
      <c r="K1752" s="171" t="s">
        <v>4194</v>
      </c>
      <c r="L1752" s="62">
        <v>23088358</v>
      </c>
      <c r="M1752" s="30">
        <v>5215539346991</v>
      </c>
      <c r="N1752" s="171" t="s">
        <v>32</v>
      </c>
      <c r="O1752" s="50">
        <v>4159.45</v>
      </c>
      <c r="P1752" s="99"/>
      <c r="Q1752" s="42">
        <f>OfficeForms.Table[[#This Row],[ INFORMEDEPAGO ]]*0.3</f>
        <v>1247.8349999999998</v>
      </c>
      <c r="R1752" s="12">
        <f>(IF(O1752&lt;4172.98,0,MIN(O1752*0.3,O1752-4172.98)))-P1752</f>
        <v>0</v>
      </c>
      <c r="T1752" s="1"/>
      <c r="V1752" s="1"/>
      <c r="X1752" s="101">
        <v>1</v>
      </c>
    </row>
    <row r="1753" spans="1:24" hidden="1">
      <c r="A1753">
        <v>150</v>
      </c>
      <c r="B1753" s="2">
        <v>46227.740995370397</v>
      </c>
      <c r="C1753" s="2">
        <v>46227.750891203701</v>
      </c>
      <c r="D1753" s="1" t="s">
        <v>24</v>
      </c>
      <c r="E1753" s="1"/>
      <c r="F1753" s="29">
        <v>46227</v>
      </c>
      <c r="G1753" s="29">
        <v>46227</v>
      </c>
      <c r="H1753" s="1" t="s">
        <v>127</v>
      </c>
      <c r="I1753" s="1" t="s">
        <v>4195</v>
      </c>
      <c r="J1753" s="175"/>
      <c r="K1753" s="171" t="s">
        <v>4196</v>
      </c>
      <c r="L1753" s="120">
        <v>23047824</v>
      </c>
      <c r="M1753" s="30">
        <v>5212295515828</v>
      </c>
      <c r="N1753" s="171" t="s">
        <v>28</v>
      </c>
      <c r="O1753" s="50">
        <f>7760.45+848</f>
        <v>8608.4500000000007</v>
      </c>
      <c r="P1753" s="99" t="s">
        <v>3921</v>
      </c>
      <c r="Q1753" s="42">
        <f>OfficeForms.Table[[#This Row],[ INFORMEDEPAGO ]]*0.3</f>
        <v>2582.5350000000003</v>
      </c>
      <c r="R1753" s="12">
        <f>(IF(O1753&lt;4172.98,0,MIN(O1753*0.3,O1753-4172.98)))-P1753</f>
        <v>1734.5350000000003</v>
      </c>
      <c r="T1753" s="1"/>
      <c r="V1753" s="1"/>
      <c r="X1753" s="101">
        <v>1</v>
      </c>
    </row>
    <row r="1754" spans="1:24" hidden="1">
      <c r="A1754">
        <v>151</v>
      </c>
      <c r="B1754" s="2">
        <v>46227.750567129602</v>
      </c>
      <c r="C1754" s="2">
        <v>46227.751145833303</v>
      </c>
      <c r="D1754" s="1" t="s">
        <v>24</v>
      </c>
      <c r="E1754" s="1"/>
      <c r="F1754" s="29">
        <v>46227</v>
      </c>
      <c r="G1754" s="29">
        <v>46227</v>
      </c>
      <c r="H1754" s="1" t="s">
        <v>71</v>
      </c>
      <c r="I1754" s="1" t="s">
        <v>4197</v>
      </c>
      <c r="J1754" s="175" t="s">
        <v>4198</v>
      </c>
      <c r="K1754" s="171"/>
      <c r="L1754" s="62">
        <v>23088956</v>
      </c>
      <c r="M1754" s="30">
        <v>5218182069781</v>
      </c>
      <c r="N1754" s="171" t="s">
        <v>37</v>
      </c>
      <c r="O1754" s="52">
        <v>12870.48</v>
      </c>
      <c r="P1754" s="99">
        <v>3720.4</v>
      </c>
      <c r="Q1754" s="42">
        <f>OfficeForms.Table[[#This Row],[ INFORMEDEPAGO ]]*0.3</f>
        <v>3861.1439999999998</v>
      </c>
      <c r="R1754" s="12">
        <f>(IF(O1754&lt;4172.98,0,MIN(O1754*0.3,O1754-4172.98)))-P1754</f>
        <v>140.74399999999969</v>
      </c>
      <c r="S1754" s="74">
        <v>46569</v>
      </c>
      <c r="T1754" s="1"/>
      <c r="V1754" s="1"/>
      <c r="X1754" s="101">
        <v>2</v>
      </c>
    </row>
    <row r="1755" spans="1:24" hidden="1">
      <c r="A1755">
        <v>152</v>
      </c>
      <c r="B1755" s="2">
        <v>46227.754386574103</v>
      </c>
      <c r="C1755" s="2">
        <v>46227.754965277803</v>
      </c>
      <c r="D1755" s="1" t="s">
        <v>24</v>
      </c>
      <c r="E1755" s="1"/>
      <c r="F1755" s="29">
        <v>46227</v>
      </c>
      <c r="G1755" s="29">
        <v>46227</v>
      </c>
      <c r="H1755" s="1" t="s">
        <v>107</v>
      </c>
      <c r="I1755" s="1"/>
      <c r="J1755" s="175"/>
      <c r="K1755" s="171" t="s">
        <v>4199</v>
      </c>
      <c r="L1755" s="62">
        <v>23065768</v>
      </c>
      <c r="M1755" s="30">
        <v>5216146658885</v>
      </c>
      <c r="N1755" s="171" t="s">
        <v>37</v>
      </c>
      <c r="O1755" s="52">
        <v>9760.32</v>
      </c>
      <c r="P1755" s="99">
        <v>2813.43</v>
      </c>
      <c r="Q1755" s="42">
        <f>OfficeForms.Table[[#This Row],[ INFORMEDEPAGO ]]*0.3</f>
        <v>2928.096</v>
      </c>
      <c r="R1755" s="12">
        <f>(IF(O1755&lt;4172.98,0,MIN(O1755*0.3,O1755-4172.98)))-P1755</f>
        <v>114.66600000000017</v>
      </c>
      <c r="S1755" s="74">
        <v>46569</v>
      </c>
      <c r="T1755" s="1"/>
      <c r="V1755" s="1"/>
      <c r="X1755" s="101">
        <v>2</v>
      </c>
    </row>
    <row r="1756" spans="1:24" hidden="1">
      <c r="A1756">
        <v>153</v>
      </c>
      <c r="B1756" s="2">
        <v>46227.763009259303</v>
      </c>
      <c r="C1756" s="2">
        <v>46227.7633333333</v>
      </c>
      <c r="D1756" s="1" t="s">
        <v>24</v>
      </c>
      <c r="E1756" s="1"/>
      <c r="F1756" s="29">
        <v>46227</v>
      </c>
      <c r="G1756" s="29">
        <v>46227</v>
      </c>
      <c r="H1756" s="1" t="s">
        <v>26</v>
      </c>
      <c r="I1756" s="1" t="s">
        <v>4200</v>
      </c>
      <c r="J1756" s="175" t="s">
        <v>4201</v>
      </c>
      <c r="K1756" s="171"/>
      <c r="L1756" s="62">
        <v>23071740</v>
      </c>
      <c r="M1756" s="30">
        <v>5213317629107</v>
      </c>
      <c r="N1756" s="171" t="s">
        <v>37</v>
      </c>
      <c r="O1756" s="52">
        <v>9081.52</v>
      </c>
      <c r="P1756" s="99">
        <v>2627.5</v>
      </c>
      <c r="Q1756" s="42">
        <f>OfficeForms.Table[[#This Row],[ INFORMEDEPAGO ]]*0.3</f>
        <v>2724.4560000000001</v>
      </c>
      <c r="R1756" s="12">
        <f>(IF(O1756&lt;4172.98,0,MIN(O1756*0.3,O1756-4172.98)))-P1756</f>
        <v>96.956000000000131</v>
      </c>
      <c r="S1756" s="74">
        <v>46447</v>
      </c>
      <c r="T1756" s="1"/>
      <c r="V1756" s="1"/>
      <c r="X1756" s="101">
        <v>2</v>
      </c>
    </row>
    <row r="1757" spans="1:24" hidden="1">
      <c r="A1757">
        <v>154</v>
      </c>
      <c r="B1757" s="2">
        <v>46227.767164351899</v>
      </c>
      <c r="C1757" s="2">
        <v>46227.767951388902</v>
      </c>
      <c r="D1757" s="1" t="s">
        <v>24</v>
      </c>
      <c r="E1757" s="1"/>
      <c r="F1757" s="29">
        <v>46227</v>
      </c>
      <c r="G1757" s="29">
        <v>46227</v>
      </c>
      <c r="H1757" s="1" t="s">
        <v>3022</v>
      </c>
      <c r="I1757" s="1" t="s">
        <v>4202</v>
      </c>
      <c r="J1757" s="175">
        <v>12046601873</v>
      </c>
      <c r="K1757" s="171"/>
      <c r="L1757" s="62">
        <v>23088356</v>
      </c>
      <c r="M1757" s="30">
        <v>4775864155</v>
      </c>
      <c r="N1757" s="171" t="s">
        <v>37</v>
      </c>
      <c r="O1757" s="52">
        <v>10310.719999999999</v>
      </c>
      <c r="P1757" s="99">
        <v>3093</v>
      </c>
      <c r="Q1757" s="42">
        <f>OfficeForms.Table[[#This Row],[ INFORMEDEPAGO ]]*0.3</f>
        <v>3093.2159999999999</v>
      </c>
      <c r="R1757" s="12">
        <f>(IF(O1757&lt;4172.98,0,MIN(O1757*0.3,O1757-4172.98)))-P1757</f>
        <v>0.2159999999998945</v>
      </c>
      <c r="S1757" s="74">
        <v>46935</v>
      </c>
      <c r="T1757" s="1"/>
      <c r="V1757" s="1"/>
      <c r="X1757" s="101">
        <v>2</v>
      </c>
    </row>
    <row r="1758" spans="1:24" hidden="1">
      <c r="A1758">
        <v>155</v>
      </c>
      <c r="B1758" s="2">
        <v>46227.768298611103</v>
      </c>
      <c r="C1758" s="2">
        <v>46227.770115740699</v>
      </c>
      <c r="D1758" s="1" t="s">
        <v>24</v>
      </c>
      <c r="E1758" s="1"/>
      <c r="F1758" s="29">
        <v>46227</v>
      </c>
      <c r="G1758" s="29">
        <v>46227</v>
      </c>
      <c r="H1758" s="1" t="s">
        <v>3022</v>
      </c>
      <c r="I1758" s="1" t="s">
        <v>4203</v>
      </c>
      <c r="J1758" s="175"/>
      <c r="K1758" s="171" t="s">
        <v>4204</v>
      </c>
      <c r="L1758" s="62">
        <v>23089218</v>
      </c>
      <c r="M1758" s="30">
        <v>6444551599</v>
      </c>
      <c r="N1758" s="171" t="s">
        <v>32</v>
      </c>
      <c r="O1758" s="67">
        <f>3112.31+848</f>
        <v>3960.31</v>
      </c>
      <c r="P1758" s="99" t="s">
        <v>3921</v>
      </c>
      <c r="Q1758" s="42">
        <f>OfficeForms.Table[[#This Row],[ INFORMEDEPAGO ]]*0.3</f>
        <v>1188.0929999999998</v>
      </c>
      <c r="R1758" s="12">
        <f>(IF(O1758&lt;4172.98,0,MIN(O1758*0.3,O1758-4172.98)))-P1758</f>
        <v>-848</v>
      </c>
      <c r="T1758" s="1"/>
      <c r="V1758" s="1"/>
      <c r="X1758" s="101">
        <v>1</v>
      </c>
    </row>
    <row r="1759" spans="1:24" hidden="1">
      <c r="A1759">
        <v>156</v>
      </c>
      <c r="B1759" s="2">
        <v>46227.772037037001</v>
      </c>
      <c r="C1759" s="2">
        <v>46227.772800925901</v>
      </c>
      <c r="D1759" s="1" t="s">
        <v>24</v>
      </c>
      <c r="E1759" s="1"/>
      <c r="F1759" s="29">
        <v>46227</v>
      </c>
      <c r="G1759" s="29">
        <v>46226</v>
      </c>
      <c r="H1759" s="1" t="s">
        <v>3022</v>
      </c>
      <c r="I1759" s="1" t="s">
        <v>4205</v>
      </c>
      <c r="J1759" s="175"/>
      <c r="K1759" s="171" t="s">
        <v>4206</v>
      </c>
      <c r="L1759" s="62">
        <v>23031456</v>
      </c>
      <c r="M1759" s="30">
        <v>4623383344</v>
      </c>
      <c r="N1759" s="171" t="s">
        <v>37</v>
      </c>
      <c r="O1759" s="52">
        <v>21171.35</v>
      </c>
      <c r="P1759" s="99">
        <v>6351.41</v>
      </c>
      <c r="Q1759" s="42">
        <f>OfficeForms.Table[[#This Row],[ INFORMEDEPAGO ]]*0.3</f>
        <v>6351.4049999999997</v>
      </c>
      <c r="R1759" s="12">
        <f>(IF(O1759&lt;4172.98,0,MIN(O1759*0.3,O1759-4172.98)))-P1759</f>
        <v>-5.0000000001091394E-3</v>
      </c>
      <c r="S1759" s="74">
        <v>46722</v>
      </c>
      <c r="T1759" s="1"/>
      <c r="V1759" s="1"/>
      <c r="X1759" s="101">
        <v>2</v>
      </c>
    </row>
    <row r="1760" spans="1:24" hidden="1">
      <c r="A1760">
        <v>157</v>
      </c>
      <c r="B1760" s="2">
        <v>46227.744456018503</v>
      </c>
      <c r="C1760" s="2">
        <v>46227.776782407404</v>
      </c>
      <c r="D1760" s="1" t="s">
        <v>24</v>
      </c>
      <c r="E1760" s="1"/>
      <c r="F1760" s="29">
        <v>46227</v>
      </c>
      <c r="G1760" s="29">
        <v>46227</v>
      </c>
      <c r="H1760" s="1" t="s">
        <v>51</v>
      </c>
      <c r="I1760" s="1" t="s">
        <v>4207</v>
      </c>
      <c r="J1760" s="175">
        <v>62846312247</v>
      </c>
      <c r="K1760" s="171" t="s">
        <v>4208</v>
      </c>
      <c r="L1760" s="62">
        <v>23089110</v>
      </c>
      <c r="M1760" s="30">
        <v>5212382035750</v>
      </c>
      <c r="N1760" s="171" t="s">
        <v>37</v>
      </c>
      <c r="O1760" s="52">
        <v>15323.09</v>
      </c>
      <c r="P1760" s="99">
        <v>4596.93</v>
      </c>
      <c r="Q1760" s="42">
        <f>OfficeForms.Table[[#This Row],[ INFORMEDEPAGO ]]*0.3</f>
        <v>4596.9269999999997</v>
      </c>
      <c r="R1760" s="12">
        <f>(IF(O1760&lt;4172.98,0,MIN(O1760*0.3,O1760-4172.98)))-P1760</f>
        <v>-3.0000000006111804E-3</v>
      </c>
      <c r="S1760" s="74">
        <v>46661</v>
      </c>
      <c r="T1760" s="1"/>
      <c r="V1760" s="1"/>
      <c r="X1760" s="101">
        <v>2</v>
      </c>
    </row>
    <row r="1761" spans="1:24" hidden="1">
      <c r="A1761">
        <v>158</v>
      </c>
      <c r="B1761" s="2">
        <v>46227.776828703703</v>
      </c>
      <c r="C1761" s="2">
        <v>46227.783796296302</v>
      </c>
      <c r="D1761" s="1" t="s">
        <v>24</v>
      </c>
      <c r="E1761" s="1"/>
      <c r="F1761" s="29">
        <v>46227</v>
      </c>
      <c r="G1761" s="29">
        <v>46227</v>
      </c>
      <c r="H1761" s="1" t="s">
        <v>51</v>
      </c>
      <c r="I1761" s="1" t="s">
        <v>4209</v>
      </c>
      <c r="J1761" s="207" t="s">
        <v>4210</v>
      </c>
      <c r="K1761" s="171" t="s">
        <v>4211</v>
      </c>
      <c r="L1761" s="62">
        <v>23088900</v>
      </c>
      <c r="M1761" s="30">
        <v>5214811208525</v>
      </c>
      <c r="N1761" s="171" t="s">
        <v>37</v>
      </c>
      <c r="O1761" s="52">
        <v>25911.9</v>
      </c>
      <c r="P1761" s="99">
        <v>7771.32</v>
      </c>
      <c r="Q1761" s="42">
        <f>OfficeForms.Table[[#This Row],[ INFORMEDEPAGO ]]*0.3</f>
        <v>7773.57</v>
      </c>
      <c r="R1761" s="12">
        <f>(IF(O1761&lt;4172.98,0,MIN(O1761*0.3,O1761-4172.98)))-P1761</f>
        <v>2.25</v>
      </c>
      <c r="S1761" s="74">
        <v>46569</v>
      </c>
      <c r="T1761" s="1"/>
      <c r="V1761" s="1"/>
      <c r="X1761" s="101">
        <v>2</v>
      </c>
    </row>
    <row r="1762" spans="1:24" hidden="1">
      <c r="A1762">
        <v>159</v>
      </c>
      <c r="B1762" s="2">
        <v>46227.788356481498</v>
      </c>
      <c r="C1762" s="2">
        <v>46227.788865740702</v>
      </c>
      <c r="D1762" s="1" t="s">
        <v>24</v>
      </c>
      <c r="E1762" s="1"/>
      <c r="F1762" s="29">
        <v>46227</v>
      </c>
      <c r="G1762" s="29">
        <v>46227</v>
      </c>
      <c r="H1762" s="1" t="s">
        <v>71</v>
      </c>
      <c r="I1762" s="1" t="s">
        <v>4212</v>
      </c>
      <c r="J1762" s="207"/>
      <c r="K1762" s="171" t="s">
        <v>4213</v>
      </c>
      <c r="L1762" s="62">
        <v>23089558</v>
      </c>
      <c r="M1762" s="30">
        <v>5213326256992</v>
      </c>
      <c r="N1762" s="171" t="s">
        <v>37</v>
      </c>
      <c r="O1762" s="52">
        <v>10559.68</v>
      </c>
      <c r="P1762" s="99">
        <v>3167.87</v>
      </c>
      <c r="Q1762" s="42">
        <f>OfficeForms.Table[[#This Row],[ INFORMEDEPAGO ]]*0.3</f>
        <v>3167.904</v>
      </c>
      <c r="R1762" s="12">
        <f>(IF(O1762&lt;4172.98,0,MIN(O1762*0.3,O1762-4172.98)))-P1762</f>
        <v>3.4000000000105501E-2</v>
      </c>
      <c r="S1762" s="74">
        <v>46539</v>
      </c>
      <c r="T1762" s="1"/>
      <c r="V1762" s="1"/>
      <c r="X1762" s="101">
        <v>2</v>
      </c>
    </row>
    <row r="1763" spans="1:24" hidden="1">
      <c r="A1763">
        <v>160</v>
      </c>
      <c r="B1763" s="2">
        <v>46228.317349536999</v>
      </c>
      <c r="C1763" s="2">
        <v>46228.325555555602</v>
      </c>
      <c r="D1763" s="1" t="s">
        <v>24</v>
      </c>
      <c r="E1763" s="1"/>
      <c r="F1763" s="29">
        <v>46228</v>
      </c>
      <c r="G1763" s="29">
        <v>46228</v>
      </c>
      <c r="H1763" s="1" t="s">
        <v>1625</v>
      </c>
      <c r="I1763" s="1" t="s">
        <v>4214</v>
      </c>
      <c r="J1763" s="207" t="s">
        <v>4215</v>
      </c>
      <c r="K1763" s="171" t="s">
        <v>4216</v>
      </c>
      <c r="L1763" s="62">
        <v>2</v>
      </c>
      <c r="M1763" s="30">
        <v>5667683078</v>
      </c>
      <c r="N1763" s="171" t="s">
        <v>37</v>
      </c>
      <c r="O1763" s="52">
        <v>9760.32</v>
      </c>
      <c r="P1763" s="99">
        <v>2926.65</v>
      </c>
      <c r="Q1763" s="42">
        <f>OfficeForms.Table[[#This Row],[ INFORMEDEPAGO ]]*0.3</f>
        <v>2928.096</v>
      </c>
      <c r="R1763" s="12">
        <f>(IF(O1763&lt;4172.98,0,MIN(O1763*0.3,O1763-4172.98)))-P1763</f>
        <v>1.4459999999999127</v>
      </c>
      <c r="S1763" s="74">
        <v>46813</v>
      </c>
      <c r="T1763" s="1"/>
      <c r="V1763" s="1"/>
      <c r="X1763" s="101">
        <v>2</v>
      </c>
    </row>
    <row r="1764" spans="1:24" hidden="1">
      <c r="A1764">
        <v>161</v>
      </c>
      <c r="B1764" s="2">
        <v>46228.325601851902</v>
      </c>
      <c r="C1764" s="2">
        <v>46228.3356712963</v>
      </c>
      <c r="D1764" s="1" t="s">
        <v>24</v>
      </c>
      <c r="E1764" s="1"/>
      <c r="F1764" s="29">
        <v>46228</v>
      </c>
      <c r="G1764" s="29">
        <v>46228</v>
      </c>
      <c r="H1764" s="1" t="s">
        <v>1625</v>
      </c>
      <c r="I1764" s="1" t="s">
        <v>4217</v>
      </c>
      <c r="J1764" s="207" t="s">
        <v>4218</v>
      </c>
      <c r="K1764" s="171" t="s">
        <v>4219</v>
      </c>
      <c r="L1764" s="62">
        <v>2</v>
      </c>
      <c r="M1764" s="30">
        <v>4621003072</v>
      </c>
      <c r="N1764" s="171" t="s">
        <v>37</v>
      </c>
      <c r="O1764" s="52">
        <v>5424.42</v>
      </c>
      <c r="P1764" s="99">
        <v>1206.9000000000001</v>
      </c>
      <c r="Q1764" s="42">
        <f>OfficeForms.Table[[#This Row],[ INFORMEDEPAGO ]]*0.3</f>
        <v>1627.326</v>
      </c>
      <c r="R1764" s="12">
        <f>(IF(O1764&lt;4172.98,0,MIN(O1764*0.3,O1764-4172.98)))-P1764</f>
        <v>44.540000000000418</v>
      </c>
      <c r="S1764" s="74">
        <v>46661</v>
      </c>
      <c r="T1764" s="1"/>
      <c r="V1764" s="1"/>
      <c r="X1764" s="101">
        <v>2</v>
      </c>
    </row>
    <row r="1765" spans="1:24" hidden="1">
      <c r="A1765">
        <v>162</v>
      </c>
      <c r="B1765" s="2">
        <v>46228.352118055598</v>
      </c>
      <c r="C1765" s="2">
        <v>46228.352673611102</v>
      </c>
      <c r="D1765" s="1" t="s">
        <v>24</v>
      </c>
      <c r="E1765" s="1"/>
      <c r="F1765" s="29">
        <v>46228</v>
      </c>
      <c r="G1765" s="29">
        <v>46228</v>
      </c>
      <c r="H1765" s="1" t="s">
        <v>1625</v>
      </c>
      <c r="I1765" s="1" t="s">
        <v>4220</v>
      </c>
      <c r="J1765" s="207">
        <v>92966203744</v>
      </c>
      <c r="K1765" s="171" t="s">
        <v>4221</v>
      </c>
      <c r="L1765" s="62">
        <v>2</v>
      </c>
      <c r="M1765" s="30">
        <v>5544147987</v>
      </c>
      <c r="N1765" s="171" t="s">
        <v>37</v>
      </c>
      <c r="O1765" s="52">
        <v>9081.52</v>
      </c>
      <c r="P1765" s="99">
        <v>2518.41</v>
      </c>
      <c r="Q1765" s="42">
        <f>OfficeForms.Table[[#This Row],[ INFORMEDEPAGO ]]*0.3</f>
        <v>2724.4560000000001</v>
      </c>
      <c r="R1765" s="12">
        <f>(IF(O1765&lt;4172.98,0,MIN(O1765*0.3,O1765-4172.98)))-P1765</f>
        <v>206.04600000000028</v>
      </c>
      <c r="S1765" s="74">
        <v>46327</v>
      </c>
      <c r="T1765" s="1"/>
      <c r="V1765" s="1"/>
      <c r="X1765" s="101">
        <v>2</v>
      </c>
    </row>
    <row r="1766" spans="1:24" hidden="1">
      <c r="A1766">
        <v>163</v>
      </c>
      <c r="B1766" s="2">
        <v>46228.3534953704</v>
      </c>
      <c r="C1766" s="2">
        <v>46228.354201388902</v>
      </c>
      <c r="D1766" s="1" t="s">
        <v>24</v>
      </c>
      <c r="E1766" s="1"/>
      <c r="F1766" s="29">
        <v>46228</v>
      </c>
      <c r="G1766" s="29">
        <v>46227</v>
      </c>
      <c r="H1766" s="1" t="s">
        <v>3352</v>
      </c>
      <c r="I1766" s="1" t="s">
        <v>4222</v>
      </c>
      <c r="J1766" s="207"/>
      <c r="K1766" s="171" t="s">
        <v>4223</v>
      </c>
      <c r="L1766" s="62">
        <v>23049124</v>
      </c>
      <c r="M1766" s="30">
        <v>8661347788</v>
      </c>
      <c r="N1766" s="171" t="s">
        <v>37</v>
      </c>
      <c r="O1766" s="52">
        <v>20228.48</v>
      </c>
      <c r="P1766" s="99">
        <v>6066.83</v>
      </c>
      <c r="Q1766" s="42">
        <f>OfficeForms.Table[[#This Row],[ INFORMEDEPAGO ]]*0.3</f>
        <v>6068.5439999999999</v>
      </c>
      <c r="R1766" s="12">
        <f>(IF(O1766&lt;4172.98,0,MIN(O1766*0.3,O1766-4172.98)))-P1766</f>
        <v>1.7139999999999418</v>
      </c>
      <c r="S1766" s="74">
        <v>46266</v>
      </c>
      <c r="T1766" s="1"/>
      <c r="V1766" s="1"/>
      <c r="X1766" s="101">
        <v>2</v>
      </c>
    </row>
    <row r="1767" spans="1:24" hidden="1">
      <c r="A1767">
        <v>164</v>
      </c>
      <c r="B1767" s="2">
        <v>46228.339687500003</v>
      </c>
      <c r="C1767" s="2">
        <v>46228.361724536997</v>
      </c>
      <c r="D1767" s="1" t="s">
        <v>24</v>
      </c>
      <c r="E1767" s="1"/>
      <c r="F1767" s="29">
        <v>46228</v>
      </c>
      <c r="G1767" s="29">
        <v>46228</v>
      </c>
      <c r="H1767" s="1" t="s">
        <v>1629</v>
      </c>
      <c r="I1767" s="1" t="s">
        <v>4224</v>
      </c>
      <c r="J1767" s="207">
        <v>4390600654</v>
      </c>
      <c r="K1767" s="171" t="s">
        <v>4225</v>
      </c>
      <c r="L1767" s="62">
        <v>2</v>
      </c>
      <c r="M1767" s="30">
        <v>8122068946</v>
      </c>
      <c r="N1767" s="171" t="s">
        <v>37</v>
      </c>
      <c r="O1767" s="52">
        <v>12511.16</v>
      </c>
      <c r="P1767" s="99">
        <v>3752.9</v>
      </c>
      <c r="Q1767" s="42">
        <f>OfficeForms.Table[[#This Row],[ INFORMEDEPAGO ]]*0.3</f>
        <v>3753.348</v>
      </c>
      <c r="R1767" s="12">
        <f>(IF(O1767&lt;4172.98,0,MIN(O1767*0.3,O1767-4172.98)))-P1767</f>
        <v>0.44799999999986539</v>
      </c>
      <c r="S1767" s="74">
        <v>46478</v>
      </c>
      <c r="T1767" s="1"/>
      <c r="V1767" s="1"/>
      <c r="X1767" s="101">
        <v>2</v>
      </c>
    </row>
    <row r="1768" spans="1:24" hidden="1">
      <c r="A1768">
        <v>165</v>
      </c>
      <c r="B1768" s="2">
        <v>46228.394687499997</v>
      </c>
      <c r="C1768" s="2">
        <v>46228.397928240702</v>
      </c>
      <c r="D1768" s="1" t="s">
        <v>24</v>
      </c>
      <c r="E1768" s="1"/>
      <c r="F1768" s="29">
        <v>46228</v>
      </c>
      <c r="G1768" s="29">
        <v>46228</v>
      </c>
      <c r="H1768" s="1" t="s">
        <v>160</v>
      </c>
      <c r="I1768" s="1" t="s">
        <v>4226</v>
      </c>
      <c r="J1768" s="207">
        <v>49966638121</v>
      </c>
      <c r="K1768" s="171" t="s">
        <v>4227</v>
      </c>
      <c r="L1768" s="62">
        <v>23098592</v>
      </c>
      <c r="M1768" s="30">
        <v>5218311181642</v>
      </c>
      <c r="N1768" s="171" t="s">
        <v>28</v>
      </c>
      <c r="O1768" s="50">
        <v>10636.54</v>
      </c>
      <c r="P1768" s="97"/>
      <c r="Q1768" s="42">
        <f>OfficeForms.Table[[#This Row],[ INFORMEDEPAGO ]]*0.3</f>
        <v>3190.962</v>
      </c>
      <c r="R1768" s="12">
        <f>(IF(O1768&lt;4172.98,0,MIN(O1768*0.3,O1768-4172.98)))-P1768</f>
        <v>3190.962</v>
      </c>
      <c r="T1768" s="1"/>
      <c r="V1768" s="1"/>
      <c r="X1768" s="101">
        <v>1</v>
      </c>
    </row>
    <row r="1769" spans="1:24" hidden="1">
      <c r="A1769">
        <v>166</v>
      </c>
      <c r="B1769" s="2">
        <v>46228.411192129599</v>
      </c>
      <c r="C1769" s="2">
        <v>46228.414861111101</v>
      </c>
      <c r="D1769" s="1" t="s">
        <v>24</v>
      </c>
      <c r="E1769" s="1"/>
      <c r="F1769" s="29">
        <v>46228</v>
      </c>
      <c r="G1769" s="29">
        <v>46227</v>
      </c>
      <c r="H1769" s="1" t="s">
        <v>81</v>
      </c>
      <c r="I1769" s="1" t="s">
        <v>4228</v>
      </c>
      <c r="J1769" s="207">
        <v>84816203586</v>
      </c>
      <c r="K1769" s="171" t="s">
        <v>4229</v>
      </c>
      <c r="L1769" s="62">
        <v>23092194</v>
      </c>
      <c r="M1769" s="30">
        <v>5219991083871</v>
      </c>
      <c r="N1769" s="171" t="s">
        <v>37</v>
      </c>
      <c r="O1769" s="52">
        <v>9561.24</v>
      </c>
      <c r="P1769" s="99">
        <v>2646.24</v>
      </c>
      <c r="Q1769" s="42">
        <f>OfficeForms.Table[[#This Row],[ INFORMEDEPAGO ]]*0.3</f>
        <v>2868.3719999999998</v>
      </c>
      <c r="R1769" s="12">
        <f>(IF(O1769&lt;4172.98,0,MIN(O1769*0.3,O1769-4172.98)))-P1769</f>
        <v>222.13200000000006</v>
      </c>
      <c r="S1769" s="74">
        <v>46266</v>
      </c>
      <c r="T1769" s="1"/>
      <c r="V1769" s="1"/>
      <c r="X1769" s="101">
        <v>2</v>
      </c>
    </row>
    <row r="1770" spans="1:24" hidden="1">
      <c r="A1770">
        <v>167</v>
      </c>
      <c r="B1770" s="2">
        <v>46228.420057870397</v>
      </c>
      <c r="C1770" s="2">
        <v>46228.422210648103</v>
      </c>
      <c r="D1770" s="1" t="s">
        <v>24</v>
      </c>
      <c r="E1770" s="1"/>
      <c r="F1770" s="29">
        <v>46228</v>
      </c>
      <c r="G1770" s="29">
        <v>46227</v>
      </c>
      <c r="H1770" s="1" t="s">
        <v>71</v>
      </c>
      <c r="I1770" s="1" t="s">
        <v>4230</v>
      </c>
      <c r="J1770" s="207"/>
      <c r="K1770" s="171" t="s">
        <v>4231</v>
      </c>
      <c r="L1770" s="62">
        <v>22831756</v>
      </c>
      <c r="M1770" s="30">
        <v>5218448061887</v>
      </c>
      <c r="N1770" s="171" t="s">
        <v>37</v>
      </c>
      <c r="O1770" s="52">
        <v>10636.54</v>
      </c>
      <c r="P1770" s="99">
        <v>3188.61</v>
      </c>
      <c r="Q1770" s="42">
        <f>OfficeForms.Table[[#This Row],[ INFORMEDEPAGO ]]*0.3</f>
        <v>3190.962</v>
      </c>
      <c r="R1770" s="12">
        <f>(IF(O1770&lt;4172.98,0,MIN(O1770*0.3,O1770-4172.98)))-P1770</f>
        <v>2.3519999999998618</v>
      </c>
      <c r="S1770" s="74">
        <v>46905</v>
      </c>
      <c r="T1770" s="1" t="s">
        <v>178</v>
      </c>
      <c r="V1770" s="1"/>
      <c r="X1770" s="101">
        <v>2</v>
      </c>
    </row>
    <row r="1771" spans="1:24" hidden="1">
      <c r="A1771">
        <v>168</v>
      </c>
      <c r="B1771" s="2">
        <v>46228.424131944397</v>
      </c>
      <c r="C1771" s="2">
        <v>46228.4281134259</v>
      </c>
      <c r="D1771" s="1" t="s">
        <v>24</v>
      </c>
      <c r="E1771" s="1"/>
      <c r="F1771" s="29">
        <v>46228</v>
      </c>
      <c r="G1771" s="29">
        <v>46228</v>
      </c>
      <c r="H1771" s="1" t="s">
        <v>68</v>
      </c>
      <c r="I1771" s="1" t="s">
        <v>4232</v>
      </c>
      <c r="J1771" s="175" t="s">
        <v>4233</v>
      </c>
      <c r="K1771" s="171" t="s">
        <v>4234</v>
      </c>
      <c r="L1771" s="62">
        <v>23092796</v>
      </c>
      <c r="M1771" s="30">
        <v>5215527402743</v>
      </c>
      <c r="N1771" s="171" t="s">
        <v>37</v>
      </c>
      <c r="O1771" s="52">
        <v>18606.099999999999</v>
      </c>
      <c r="P1771" s="99">
        <v>5581.71</v>
      </c>
      <c r="Q1771" s="42">
        <f>OfficeForms.Table[[#This Row],[ INFORMEDEPAGO ]]*0.3</f>
        <v>5581.829999999999</v>
      </c>
      <c r="R1771" s="12">
        <f>(IF(O1771&lt;4172.98,0,MIN(O1771*0.3,O1771-4172.98)))-P1771</f>
        <v>0.11999999999898137</v>
      </c>
      <c r="S1771" s="74">
        <v>46447</v>
      </c>
      <c r="T1771" s="1"/>
      <c r="V1771" s="1"/>
      <c r="X1771" s="101">
        <v>2</v>
      </c>
    </row>
    <row r="1772" spans="1:24" hidden="1">
      <c r="A1772">
        <v>169</v>
      </c>
      <c r="B1772" s="2">
        <v>46228.427893518499</v>
      </c>
      <c r="C1772" s="2">
        <v>46228.431678240697</v>
      </c>
      <c r="D1772" s="1" t="s">
        <v>24</v>
      </c>
      <c r="E1772" s="1"/>
      <c r="F1772" s="29">
        <v>46228</v>
      </c>
      <c r="G1772" s="29">
        <v>46227</v>
      </c>
      <c r="H1772" s="1" t="s">
        <v>160</v>
      </c>
      <c r="I1772" s="1" t="s">
        <v>4235</v>
      </c>
      <c r="J1772" s="175">
        <v>53866500332</v>
      </c>
      <c r="K1772" s="171" t="s">
        <v>4236</v>
      </c>
      <c r="L1772" s="62">
        <v>23048234</v>
      </c>
      <c r="M1772" s="30">
        <v>5214623555526</v>
      </c>
      <c r="N1772" s="171" t="s">
        <v>37</v>
      </c>
      <c r="O1772" s="52">
        <v>16800.099999999999</v>
      </c>
      <c r="P1772" s="99">
        <v>4860.67</v>
      </c>
      <c r="Q1772" s="42">
        <f>OfficeForms.Table[[#This Row],[ INFORMEDEPAGO ]]*0.3</f>
        <v>5040.03</v>
      </c>
      <c r="R1772" s="12">
        <f>(IF(O1772&lt;4172.98,0,MIN(O1772*0.3,O1772-4172.98)))-P1772</f>
        <v>179.35999999999967</v>
      </c>
      <c r="S1772" s="74">
        <v>46539</v>
      </c>
      <c r="T1772" s="1"/>
      <c r="V1772" s="1"/>
      <c r="X1772" s="101">
        <v>2</v>
      </c>
    </row>
    <row r="1773" spans="1:24" hidden="1">
      <c r="A1773">
        <v>170</v>
      </c>
      <c r="B1773" s="2">
        <v>46228.3527777778</v>
      </c>
      <c r="C1773" s="2">
        <v>46228.434328703697</v>
      </c>
      <c r="D1773" s="1" t="s">
        <v>24</v>
      </c>
      <c r="E1773" s="1"/>
      <c r="F1773" s="29">
        <v>46228</v>
      </c>
      <c r="G1773" s="29">
        <v>46228</v>
      </c>
      <c r="H1773" s="1" t="s">
        <v>1625</v>
      </c>
      <c r="I1773" s="1" t="s">
        <v>4237</v>
      </c>
      <c r="J1773" s="175">
        <v>12816010024</v>
      </c>
      <c r="K1773" s="171" t="s">
        <v>4238</v>
      </c>
      <c r="L1773" s="62">
        <v>2</v>
      </c>
      <c r="M1773" s="30">
        <v>3348104016</v>
      </c>
      <c r="N1773" s="171" t="s">
        <v>37</v>
      </c>
      <c r="O1773" s="52">
        <v>9081.52</v>
      </c>
      <c r="P1773" s="99">
        <v>2627.5</v>
      </c>
      <c r="Q1773" s="42">
        <f>OfficeForms.Table[[#This Row],[ INFORMEDEPAGO ]]*0.3</f>
        <v>2724.4560000000001</v>
      </c>
      <c r="R1773" s="12">
        <f>(IF(O1773&lt;4172.98,0,MIN(O1773*0.3,O1773-4172.98)))-P1773</f>
        <v>96.956000000000131</v>
      </c>
      <c r="S1773" s="74">
        <v>46419</v>
      </c>
      <c r="T1773" s="1"/>
      <c r="V1773" s="1"/>
      <c r="X1773" s="101">
        <v>2</v>
      </c>
    </row>
    <row r="1774" spans="1:24" hidden="1">
      <c r="A1774">
        <v>171</v>
      </c>
      <c r="B1774" s="2">
        <v>46228.440393518496</v>
      </c>
      <c r="C1774" s="2">
        <v>46228.442280092597</v>
      </c>
      <c r="D1774" s="1" t="s">
        <v>24</v>
      </c>
      <c r="E1774" s="1"/>
      <c r="F1774" s="29">
        <v>46228</v>
      </c>
      <c r="G1774" s="29">
        <v>46227</v>
      </c>
      <c r="H1774" s="1" t="s">
        <v>160</v>
      </c>
      <c r="I1774" s="1" t="s">
        <v>4239</v>
      </c>
      <c r="J1774" s="175" t="s">
        <v>4240</v>
      </c>
      <c r="K1774" s="171" t="s">
        <v>4241</v>
      </c>
      <c r="L1774" s="62">
        <v>23091902</v>
      </c>
      <c r="M1774" s="30">
        <v>5215619383590</v>
      </c>
      <c r="N1774" s="171" t="s">
        <v>37</v>
      </c>
      <c r="O1774" s="52">
        <v>7016.73</v>
      </c>
      <c r="P1774" s="99">
        <v>1949.67</v>
      </c>
      <c r="Q1774" s="42">
        <f>OfficeForms.Table[[#This Row],[ INFORMEDEPAGO ]]*0.3</f>
        <v>2105.0189999999998</v>
      </c>
      <c r="R1774" s="12">
        <f>(IF(O1774&lt;4172.98,0,MIN(O1774*0.3,O1774-4172.98)))-P1774</f>
        <v>155.34899999999971</v>
      </c>
      <c r="S1774" s="74">
        <v>46600</v>
      </c>
      <c r="T1774" s="1" t="s">
        <v>192</v>
      </c>
      <c r="V1774" s="1"/>
      <c r="X1774" s="101">
        <v>2</v>
      </c>
    </row>
    <row r="1775" spans="1:24" hidden="1">
      <c r="A1775">
        <v>172</v>
      </c>
      <c r="B1775" s="2">
        <v>46227.783807870401</v>
      </c>
      <c r="C1775" s="2">
        <v>46228.455115740697</v>
      </c>
      <c r="D1775" s="1" t="s">
        <v>24</v>
      </c>
      <c r="E1775" s="1"/>
      <c r="F1775" s="29">
        <v>46228</v>
      </c>
      <c r="G1775" s="29">
        <v>46228</v>
      </c>
      <c r="H1775" s="1" t="s">
        <v>51</v>
      </c>
      <c r="I1775" s="1" t="s">
        <v>4242</v>
      </c>
      <c r="J1775" s="175">
        <v>10695119114</v>
      </c>
      <c r="K1775" s="171" t="s">
        <v>4243</v>
      </c>
      <c r="L1775" s="62">
        <v>23099906</v>
      </c>
      <c r="M1775" s="30">
        <v>5215512996864</v>
      </c>
      <c r="N1775" s="171" t="s">
        <v>37</v>
      </c>
      <c r="O1775" s="52">
        <v>6776.21</v>
      </c>
      <c r="P1775" s="99">
        <v>2018.47</v>
      </c>
      <c r="Q1775" s="42">
        <f>OfficeForms.Table[[#This Row],[ INFORMEDEPAGO ]]*0.3</f>
        <v>2032.8629999999998</v>
      </c>
      <c r="R1775" s="12">
        <f>(IF(O1775&lt;4172.98,0,MIN(O1775*0.3,O1775-4172.98)))-P1775</f>
        <v>14.392999999999802</v>
      </c>
      <c r="S1775" s="74">
        <v>46296</v>
      </c>
      <c r="T1775" s="1"/>
      <c r="V1775" s="1"/>
      <c r="X1775" s="101">
        <v>2</v>
      </c>
    </row>
    <row r="1776" spans="1:24" hidden="1">
      <c r="A1776">
        <v>173</v>
      </c>
      <c r="B1776" s="2">
        <v>46228.455138888901</v>
      </c>
      <c r="C1776" s="2">
        <v>46228.4625115741</v>
      </c>
      <c r="D1776" s="1" t="s">
        <v>24</v>
      </c>
      <c r="E1776" s="1"/>
      <c r="F1776" s="29">
        <v>46228</v>
      </c>
      <c r="G1776" s="29">
        <v>46228</v>
      </c>
      <c r="H1776" s="1" t="s">
        <v>51</v>
      </c>
      <c r="I1776" s="1" t="s">
        <v>4244</v>
      </c>
      <c r="J1776" s="175">
        <v>22806306613</v>
      </c>
      <c r="K1776" s="171" t="s">
        <v>4245</v>
      </c>
      <c r="L1776" s="62">
        <v>23097674</v>
      </c>
      <c r="M1776" s="30">
        <v>5216151000276</v>
      </c>
      <c r="N1776" s="171" t="s">
        <v>106</v>
      </c>
      <c r="O1776" s="52">
        <v>7920.51</v>
      </c>
      <c r="P1776" s="99">
        <v>1842.71</v>
      </c>
      <c r="Q1776" s="42">
        <f>OfficeForms.Table[[#This Row],[ INFORMEDEPAGO ]]*0.3</f>
        <v>2376.1529999999998</v>
      </c>
      <c r="R1776" s="12">
        <f>(IF(O1776&lt;4172.98,0,MIN(O1776*0.3,O1776-4172.98)))-P1776</f>
        <v>533.44299999999976</v>
      </c>
      <c r="S1776" s="74">
        <v>46023</v>
      </c>
      <c r="T1776" s="1"/>
      <c r="V1776" s="1"/>
      <c r="X1776" s="101">
        <v>2</v>
      </c>
    </row>
    <row r="1777" spans="1:24" hidden="1">
      <c r="A1777">
        <v>174</v>
      </c>
      <c r="B1777" s="2">
        <v>46228.464733796303</v>
      </c>
      <c r="C1777" s="2">
        <v>46228.465185185203</v>
      </c>
      <c r="D1777" s="1" t="s">
        <v>24</v>
      </c>
      <c r="E1777" s="1"/>
      <c r="F1777" s="29">
        <v>46228</v>
      </c>
      <c r="G1777" s="29">
        <v>46228</v>
      </c>
      <c r="H1777" s="1" t="s">
        <v>1625</v>
      </c>
      <c r="I1777" s="1" t="s">
        <v>4246</v>
      </c>
      <c r="J1777" s="175">
        <v>43816224471</v>
      </c>
      <c r="K1777" s="171" t="s">
        <v>4247</v>
      </c>
      <c r="L1777" s="62">
        <v>2</v>
      </c>
      <c r="M1777" s="30">
        <v>8114741997</v>
      </c>
      <c r="N1777" s="171" t="s">
        <v>37</v>
      </c>
      <c r="O1777" s="52">
        <v>7920.51</v>
      </c>
      <c r="P1777" s="99">
        <v>2375.65</v>
      </c>
      <c r="Q1777" s="42">
        <f>OfficeForms.Table[[#This Row],[ INFORMEDEPAGO ]]*0.3</f>
        <v>2376.1529999999998</v>
      </c>
      <c r="R1777" s="12">
        <f>(IF(O1777&lt;4172.98,0,MIN(O1777*0.3,O1777-4172.98)))-P1777</f>
        <v>0.50299999999970169</v>
      </c>
      <c r="S1777" s="74">
        <v>46661</v>
      </c>
      <c r="T1777" s="1"/>
      <c r="V1777" s="1"/>
      <c r="X1777" s="101">
        <v>2</v>
      </c>
    </row>
    <row r="1778" spans="1:24" hidden="1">
      <c r="A1778">
        <v>175</v>
      </c>
      <c r="B1778" s="2">
        <v>46228.414884259299</v>
      </c>
      <c r="C1778" s="2">
        <v>46228.465775463003</v>
      </c>
      <c r="D1778" s="1" t="s">
        <v>24</v>
      </c>
      <c r="E1778" s="1"/>
      <c r="F1778" s="29">
        <v>46228</v>
      </c>
      <c r="G1778" s="29">
        <v>46227</v>
      </c>
      <c r="H1778" s="1" t="s">
        <v>81</v>
      </c>
      <c r="I1778" s="1" t="s">
        <v>4248</v>
      </c>
      <c r="J1778" s="175">
        <v>78796309173</v>
      </c>
      <c r="K1778" s="171" t="s">
        <v>4249</v>
      </c>
      <c r="L1778" s="62">
        <v>23091860</v>
      </c>
      <c r="M1778" s="30">
        <v>5216564470517</v>
      </c>
      <c r="N1778" s="171" t="s">
        <v>37</v>
      </c>
      <c r="O1778" s="52">
        <v>9760.32</v>
      </c>
      <c r="P1778" s="99">
        <v>2823.89</v>
      </c>
      <c r="Q1778" s="42">
        <f>OfficeForms.Table[[#This Row],[ INFORMEDEPAGO ]]*0.3</f>
        <v>2928.096</v>
      </c>
      <c r="R1778" s="12">
        <f>(IF(O1778&lt;4172.98,0,MIN(O1778*0.3,O1778-4172.98)))-P1778</f>
        <v>104.20600000000013</v>
      </c>
      <c r="S1778" s="74">
        <v>46631</v>
      </c>
      <c r="T1778" s="1"/>
      <c r="V1778" s="1"/>
      <c r="X1778" s="101">
        <v>2</v>
      </c>
    </row>
    <row r="1779" spans="1:24" hidden="1">
      <c r="A1779">
        <v>176</v>
      </c>
      <c r="B1779" s="2">
        <v>46228.4656944444</v>
      </c>
      <c r="C1779" s="2">
        <v>46228.466296296298</v>
      </c>
      <c r="D1779" s="1" t="s">
        <v>24</v>
      </c>
      <c r="E1779" s="1"/>
      <c r="F1779" s="29">
        <v>46228</v>
      </c>
      <c r="G1779" s="29">
        <v>46227</v>
      </c>
      <c r="H1779" s="1" t="s">
        <v>110</v>
      </c>
      <c r="I1779" s="1" t="s">
        <v>4250</v>
      </c>
      <c r="J1779" s="175"/>
      <c r="K1779" s="171" t="s">
        <v>4251</v>
      </c>
      <c r="L1779" s="62">
        <v>23088918</v>
      </c>
      <c r="M1779" s="30">
        <v>5218148004855</v>
      </c>
      <c r="N1779" s="171" t="s">
        <v>37</v>
      </c>
      <c r="O1779" s="52">
        <v>27064.48</v>
      </c>
      <c r="P1779" s="99">
        <v>7829.22</v>
      </c>
      <c r="Q1779" s="42">
        <f>OfficeForms.Table[[#This Row],[ INFORMEDEPAGO ]]*0.3</f>
        <v>8119.3439999999991</v>
      </c>
      <c r="R1779" s="12">
        <f>(IF(O1779&lt;4172.98,0,MIN(O1779*0.3,O1779-4172.98)))-P1779</f>
        <v>290.12399999999889</v>
      </c>
      <c r="S1779" s="74">
        <v>46296</v>
      </c>
      <c r="T1779" s="1"/>
      <c r="V1779" s="1"/>
      <c r="X1779" s="101">
        <v>2</v>
      </c>
    </row>
    <row r="1780" spans="1:24" hidden="1">
      <c r="A1780">
        <v>177</v>
      </c>
      <c r="B1780" s="2">
        <v>46228.4676273148</v>
      </c>
      <c r="C1780" s="2">
        <v>46228.4680787037</v>
      </c>
      <c r="D1780" s="1" t="s">
        <v>24</v>
      </c>
      <c r="E1780" s="1"/>
      <c r="F1780" s="29">
        <v>46228</v>
      </c>
      <c r="G1780" s="29">
        <v>46228</v>
      </c>
      <c r="H1780" s="1" t="s">
        <v>3352</v>
      </c>
      <c r="I1780" s="1" t="s">
        <v>4252</v>
      </c>
      <c r="J1780" s="175"/>
      <c r="K1780" s="171" t="s">
        <v>4253</v>
      </c>
      <c r="L1780" s="62">
        <v>23100774</v>
      </c>
      <c r="M1780" s="30">
        <v>4423770824</v>
      </c>
      <c r="N1780" s="171" t="s">
        <v>37</v>
      </c>
      <c r="O1780" s="52">
        <v>5617.63</v>
      </c>
      <c r="P1780" s="99">
        <v>1180.01</v>
      </c>
      <c r="Q1780" s="42">
        <f>OfficeForms.Table[[#This Row],[ INFORMEDEPAGO ]]*0.3</f>
        <v>1685.289</v>
      </c>
      <c r="R1780" s="12">
        <f>(IF(O1780&lt;4172.98,0,MIN(O1780*0.3,O1780-4172.98)))-P1780</f>
        <v>264.64000000000055</v>
      </c>
      <c r="S1780" s="74">
        <v>46966</v>
      </c>
      <c r="T1780" s="1"/>
      <c r="V1780" s="1"/>
      <c r="X1780" s="101">
        <v>2</v>
      </c>
    </row>
    <row r="1781" spans="1:24" hidden="1">
      <c r="A1781">
        <v>178</v>
      </c>
      <c r="B1781" s="2">
        <v>46228.465798611098</v>
      </c>
      <c r="C1781" s="2">
        <v>46228.4699652778</v>
      </c>
      <c r="D1781" s="1" t="s">
        <v>24</v>
      </c>
      <c r="E1781" s="1"/>
      <c r="F1781" s="29">
        <v>46228</v>
      </c>
      <c r="G1781" s="29">
        <v>46228</v>
      </c>
      <c r="H1781" s="1" t="s">
        <v>81</v>
      </c>
      <c r="I1781" s="1" t="s">
        <v>4254</v>
      </c>
      <c r="J1781" s="175">
        <v>32786002223</v>
      </c>
      <c r="K1781" s="171" t="s">
        <v>4255</v>
      </c>
      <c r="L1781" s="62">
        <v>23100746</v>
      </c>
      <c r="M1781" s="30">
        <v>5218448936036</v>
      </c>
      <c r="N1781" s="171" t="s">
        <v>37</v>
      </c>
      <c r="O1781" s="52">
        <v>12894.75</v>
      </c>
      <c r="P1781" s="99">
        <v>3868.42</v>
      </c>
      <c r="Q1781" s="42">
        <f>OfficeForms.Table[[#This Row],[ INFORMEDEPAGO ]]*0.3</f>
        <v>3868.4249999999997</v>
      </c>
      <c r="R1781" s="12">
        <f>(IF(O1781&lt;4172.98,0,MIN(O1781*0.3,O1781-4172.98)))-P1781</f>
        <v>4.999999999654392E-3</v>
      </c>
      <c r="S1781" s="74">
        <v>46327</v>
      </c>
      <c r="T1781" s="1"/>
      <c r="V1781" s="1"/>
      <c r="X1781" s="101">
        <v>2</v>
      </c>
    </row>
    <row r="1782" spans="1:24" hidden="1">
      <c r="A1782">
        <v>179</v>
      </c>
      <c r="B1782" s="2">
        <v>46228.462534722203</v>
      </c>
      <c r="C1782" s="2">
        <v>46228.475856481498</v>
      </c>
      <c r="D1782" s="1" t="s">
        <v>24</v>
      </c>
      <c r="E1782" s="1"/>
      <c r="F1782" s="29">
        <v>46228</v>
      </c>
      <c r="G1782" s="29">
        <v>46228</v>
      </c>
      <c r="H1782" s="1" t="s">
        <v>51</v>
      </c>
      <c r="I1782" s="1" t="s">
        <v>4256</v>
      </c>
      <c r="J1782" s="175">
        <v>43816583819</v>
      </c>
      <c r="K1782" s="171" t="s">
        <v>4257</v>
      </c>
      <c r="L1782" s="62">
        <v>23100930</v>
      </c>
      <c r="M1782" s="30">
        <v>5218144920231</v>
      </c>
      <c r="N1782" s="171" t="s">
        <v>37</v>
      </c>
      <c r="O1782" s="52">
        <v>9760.32</v>
      </c>
      <c r="P1782" s="99">
        <v>2822.92</v>
      </c>
      <c r="Q1782" s="42">
        <f>OfficeForms.Table[[#This Row],[ INFORMEDEPAGO ]]*0.3</f>
        <v>2928.096</v>
      </c>
      <c r="R1782" s="12">
        <f>(IF(O1782&lt;4172.98,0,MIN(O1782*0.3,O1782-4172.98)))-P1782</f>
        <v>105.17599999999993</v>
      </c>
      <c r="S1782" s="74">
        <v>46631</v>
      </c>
      <c r="T1782" s="1"/>
      <c r="V1782" s="1"/>
      <c r="X1782" s="101">
        <v>2</v>
      </c>
    </row>
    <row r="1783" spans="1:24" hidden="1">
      <c r="A1783">
        <v>180</v>
      </c>
      <c r="B1783" s="2">
        <v>46228.479895833298</v>
      </c>
      <c r="C1783" s="2">
        <v>46228.481469907398</v>
      </c>
      <c r="D1783" s="1" t="s">
        <v>24</v>
      </c>
      <c r="E1783" s="1"/>
      <c r="F1783" s="29">
        <v>46228</v>
      </c>
      <c r="G1783" s="29">
        <v>46228</v>
      </c>
      <c r="H1783" s="1" t="s">
        <v>3352</v>
      </c>
      <c r="I1783" s="1" t="s">
        <v>4258</v>
      </c>
      <c r="J1783" s="175">
        <v>55755413576</v>
      </c>
      <c r="K1783" s="171" t="s">
        <v>4259</v>
      </c>
      <c r="L1783" s="62">
        <v>23101092</v>
      </c>
      <c r="M1783" s="30">
        <v>3891020042</v>
      </c>
      <c r="N1783" s="171" t="s">
        <v>28</v>
      </c>
      <c r="O1783" s="67">
        <v>24824.3</v>
      </c>
      <c r="P1783" s="99"/>
      <c r="Q1783" s="42">
        <f>OfficeForms.Table[[#This Row],[ INFORMEDEPAGO ]]*0.3</f>
        <v>7447.2899999999991</v>
      </c>
      <c r="R1783" s="12">
        <f>(IF(O1783&lt;4172.98,0,MIN(O1783*0.3,O1783-4172.98)))-P1783</f>
        <v>7447.2899999999991</v>
      </c>
      <c r="T1783" s="1"/>
      <c r="V1783" s="1"/>
      <c r="X1783" s="101">
        <v>1</v>
      </c>
    </row>
    <row r="1784" spans="1:24" hidden="1">
      <c r="A1784">
        <v>181</v>
      </c>
      <c r="B1784" s="2">
        <v>46228.483148148203</v>
      </c>
      <c r="C1784" s="2">
        <v>46228.485937500001</v>
      </c>
      <c r="D1784" s="1" t="s">
        <v>24</v>
      </c>
      <c r="E1784" s="1"/>
      <c r="F1784" s="29">
        <v>46228</v>
      </c>
      <c r="G1784" s="29">
        <v>46226</v>
      </c>
      <c r="H1784" s="1" t="s">
        <v>160</v>
      </c>
      <c r="I1784" s="1" t="s">
        <v>4260</v>
      </c>
      <c r="J1784" s="175">
        <v>35886621040</v>
      </c>
      <c r="K1784" s="171" t="s">
        <v>4261</v>
      </c>
      <c r="L1784" s="62">
        <v>23027632</v>
      </c>
      <c r="M1784" s="30">
        <v>5216871652733</v>
      </c>
      <c r="N1784" s="171" t="s">
        <v>28</v>
      </c>
      <c r="O1784" s="67">
        <f>18791.22-8154.68</f>
        <v>10636.54</v>
      </c>
      <c r="P1784" s="99"/>
      <c r="Q1784" s="42">
        <f>OfficeForms.Table[[#This Row],[ INFORMEDEPAGO ]]*0.3</f>
        <v>3190.962</v>
      </c>
      <c r="R1784" s="12">
        <f>(IF(O1784&lt;4172.98,0,MIN(O1784*0.3,O1784-4172.98)))-P1784</f>
        <v>3190.962</v>
      </c>
      <c r="T1784" s="1"/>
      <c r="V1784" s="1"/>
      <c r="X1784" s="101">
        <v>1</v>
      </c>
    </row>
    <row r="1785" spans="1:24" hidden="1">
      <c r="A1785">
        <v>182</v>
      </c>
      <c r="B1785" s="2">
        <v>46228.481932870403</v>
      </c>
      <c r="C1785" s="2">
        <v>46228.489629629599</v>
      </c>
      <c r="D1785" s="1" t="s">
        <v>24</v>
      </c>
      <c r="E1785" s="1"/>
      <c r="F1785" s="29">
        <v>46228</v>
      </c>
      <c r="G1785" s="29">
        <v>46228</v>
      </c>
      <c r="H1785" s="1" t="s">
        <v>127</v>
      </c>
      <c r="I1785" s="1" t="s">
        <v>4262</v>
      </c>
      <c r="J1785" s="175">
        <v>54796407481</v>
      </c>
      <c r="K1785" s="171" t="s">
        <v>4263</v>
      </c>
      <c r="L1785" s="62">
        <v>23092834</v>
      </c>
      <c r="M1785" s="30">
        <v>5213320469868</v>
      </c>
      <c r="N1785" s="171" t="s">
        <v>28</v>
      </c>
      <c r="O1785" s="67">
        <v>22809.64</v>
      </c>
      <c r="P1785" s="99"/>
      <c r="Q1785" s="42">
        <f>OfficeForms.Table[[#This Row],[ INFORMEDEPAGO ]]*0.3</f>
        <v>6842.8919999999998</v>
      </c>
      <c r="R1785" s="12">
        <f>(IF(O1785&lt;4172.98,0,MIN(O1785*0.3,O1785-4172.98)))-P1785</f>
        <v>6842.8919999999998</v>
      </c>
      <c r="T1785" s="1"/>
      <c r="V1785" s="1"/>
      <c r="X1785" s="101">
        <v>1</v>
      </c>
    </row>
    <row r="1786" spans="1:24" hidden="1">
      <c r="A1786">
        <v>183</v>
      </c>
      <c r="B1786" s="2">
        <v>46228.495451388902</v>
      </c>
      <c r="C1786" s="2">
        <v>46228.500914351898</v>
      </c>
      <c r="D1786" s="1" t="s">
        <v>24</v>
      </c>
      <c r="E1786" s="1"/>
      <c r="F1786" s="29">
        <v>46228</v>
      </c>
      <c r="G1786" s="29">
        <v>46228</v>
      </c>
      <c r="H1786" s="1" t="s">
        <v>3007</v>
      </c>
      <c r="I1786" s="1" t="s">
        <v>4264</v>
      </c>
      <c r="J1786" s="175"/>
      <c r="K1786" s="171" t="s">
        <v>4265</v>
      </c>
      <c r="L1786" s="62">
        <v>23100760</v>
      </c>
      <c r="M1786" s="30">
        <v>2712460955</v>
      </c>
      <c r="N1786" s="171" t="s">
        <v>37</v>
      </c>
      <c r="O1786" s="52">
        <v>15069.59</v>
      </c>
      <c r="P1786" s="99">
        <f>2998.36+1469.84</f>
        <v>4468.2</v>
      </c>
      <c r="Q1786" s="42">
        <f>OfficeForms.Table[[#This Row],[ INFORMEDEPAGO ]]*0.3</f>
        <v>4520.8769999999995</v>
      </c>
      <c r="R1786" s="12">
        <f>(IF(O1786&lt;4172.98,0,MIN(O1786*0.3,O1786-4172.98)))-P1786</f>
        <v>52.67699999999968</v>
      </c>
      <c r="S1786" s="74">
        <v>46813</v>
      </c>
      <c r="T1786" s="1"/>
      <c r="V1786" s="1"/>
      <c r="X1786" s="101">
        <v>2</v>
      </c>
    </row>
    <row r="1787" spans="1:24" hidden="1">
      <c r="A1787">
        <v>184</v>
      </c>
      <c r="B1787" s="2">
        <v>46228.505370370403</v>
      </c>
      <c r="C1787" s="2">
        <v>46228.508182870399</v>
      </c>
      <c r="D1787" s="1" t="s">
        <v>24</v>
      </c>
      <c r="E1787" s="1"/>
      <c r="F1787" s="29">
        <v>46228</v>
      </c>
      <c r="G1787" s="29">
        <v>46228</v>
      </c>
      <c r="H1787" s="1" t="s">
        <v>3022</v>
      </c>
      <c r="I1787" s="1" t="s">
        <v>4266</v>
      </c>
      <c r="J1787" s="175">
        <v>23906933066</v>
      </c>
      <c r="K1787" s="171"/>
      <c r="L1787" s="62">
        <v>23101516</v>
      </c>
      <c r="M1787" s="30">
        <v>6681563558</v>
      </c>
      <c r="N1787" s="171" t="s">
        <v>32</v>
      </c>
      <c r="O1787" s="67">
        <f>2665.79+848</f>
        <v>3513.79</v>
      </c>
      <c r="P1787" s="99" t="s">
        <v>3921</v>
      </c>
      <c r="Q1787" s="42">
        <f>OfficeForms.Table[[#This Row],[ INFORMEDEPAGO ]]*0.3</f>
        <v>1054.1369999999999</v>
      </c>
      <c r="R1787" s="12">
        <f>(IF(O1787&lt;4172.98,0,MIN(O1787*0.3,O1787-4172.98)))-P1787</f>
        <v>-848</v>
      </c>
      <c r="T1787" s="1"/>
      <c r="V1787" s="1"/>
      <c r="X1787" s="101">
        <v>1</v>
      </c>
    </row>
    <row r="1788" spans="1:24" hidden="1">
      <c r="A1788">
        <v>185</v>
      </c>
      <c r="B1788" s="2">
        <v>46228.47</v>
      </c>
      <c r="C1788" s="2">
        <v>46228.5097916667</v>
      </c>
      <c r="D1788" s="1" t="s">
        <v>24</v>
      </c>
      <c r="E1788" s="1"/>
      <c r="F1788" s="29">
        <v>46228</v>
      </c>
      <c r="G1788" s="29">
        <v>46227</v>
      </c>
      <c r="H1788" s="1" t="s">
        <v>81</v>
      </c>
      <c r="I1788" s="1" t="s">
        <v>4267</v>
      </c>
      <c r="J1788" s="175"/>
      <c r="K1788" s="171" t="s">
        <v>4268</v>
      </c>
      <c r="L1788" s="62">
        <v>23092318</v>
      </c>
      <c r="M1788" s="30">
        <v>5215523233109</v>
      </c>
      <c r="N1788" s="171" t="s">
        <v>37</v>
      </c>
      <c r="O1788" s="52">
        <v>7116.73</v>
      </c>
      <c r="P1788" s="99">
        <v>2053.75</v>
      </c>
      <c r="Q1788" s="42">
        <f>OfficeForms.Table[[#This Row],[ INFORMEDEPAGO ]]*0.3</f>
        <v>2135.0189999999998</v>
      </c>
      <c r="R1788" s="12">
        <f>(IF(O1788&lt;4172.98,0,MIN(O1788*0.3,O1788-4172.98)))-P1788</f>
        <v>81.268999999999778</v>
      </c>
      <c r="S1788" s="74">
        <v>46478</v>
      </c>
      <c r="T1788" s="1"/>
      <c r="V1788" s="1"/>
      <c r="X1788" s="101">
        <v>2</v>
      </c>
    </row>
    <row r="1789" spans="1:24" hidden="1">
      <c r="A1789">
        <v>186</v>
      </c>
      <c r="B1789" s="2">
        <v>46228.5093865741</v>
      </c>
      <c r="C1789" s="2">
        <v>46228.513321759303</v>
      </c>
      <c r="D1789" s="1" t="s">
        <v>24</v>
      </c>
      <c r="E1789" s="1"/>
      <c r="F1789" s="29">
        <v>46228</v>
      </c>
      <c r="G1789" s="29">
        <v>46228</v>
      </c>
      <c r="H1789" s="1" t="s">
        <v>1519</v>
      </c>
      <c r="I1789" s="1" t="s">
        <v>4269</v>
      </c>
      <c r="J1789" s="175">
        <v>53856427165</v>
      </c>
      <c r="K1789" s="171" t="s">
        <v>4270</v>
      </c>
      <c r="L1789" s="62">
        <v>23048510</v>
      </c>
      <c r="M1789" s="30">
        <v>5214523063293</v>
      </c>
      <c r="N1789" s="171" t="s">
        <v>37</v>
      </c>
      <c r="O1789" s="52">
        <v>10414.52</v>
      </c>
      <c r="P1789" s="99">
        <v>3007.35</v>
      </c>
      <c r="Q1789" s="42">
        <f>OfficeForms.Table[[#This Row],[ INFORMEDEPAGO ]]*0.3</f>
        <v>3124.3560000000002</v>
      </c>
      <c r="R1789" s="12">
        <f>(IF(O1789&lt;4172.98,0,MIN(O1789*0.3,O1789-4172.98)))-P1789</f>
        <v>117.00600000000031</v>
      </c>
      <c r="S1789" s="74">
        <v>46388</v>
      </c>
      <c r="T1789" s="1"/>
      <c r="V1789" s="1"/>
      <c r="X1789" s="101">
        <v>2</v>
      </c>
    </row>
    <row r="1790" spans="1:24" hidden="1">
      <c r="A1790">
        <v>187</v>
      </c>
      <c r="B1790" s="2">
        <v>46228.5101967593</v>
      </c>
      <c r="C1790" s="2">
        <v>46228.514756944402</v>
      </c>
      <c r="D1790" s="1" t="s">
        <v>24</v>
      </c>
      <c r="E1790" s="1"/>
      <c r="F1790" s="29">
        <v>46228</v>
      </c>
      <c r="G1790" s="29">
        <v>46227</v>
      </c>
      <c r="H1790" s="1" t="s">
        <v>110</v>
      </c>
      <c r="I1790" s="1" t="s">
        <v>4271</v>
      </c>
      <c r="J1790" s="175">
        <v>65654720732</v>
      </c>
      <c r="K1790" s="171" t="s">
        <v>4272</v>
      </c>
      <c r="L1790" s="62">
        <v>23082838</v>
      </c>
      <c r="M1790" s="30">
        <v>5217838310608</v>
      </c>
      <c r="N1790" s="171" t="s">
        <v>32</v>
      </c>
      <c r="O1790" s="52">
        <v>3437.04</v>
      </c>
      <c r="P1790" s="99">
        <v>828</v>
      </c>
      <c r="Q1790" s="42">
        <f>OfficeForms.Table[[#This Row],[ INFORMEDEPAGO ]]*0.3</f>
        <v>1031.1119999999999</v>
      </c>
      <c r="R1790" s="12">
        <f>(IF(O1790&lt;4172.98,0,MIN(O1790*0.3,O1790-4172.98)))-P1790</f>
        <v>-828</v>
      </c>
      <c r="T1790" s="1"/>
      <c r="V1790" s="1"/>
      <c r="X1790" s="101">
        <v>1</v>
      </c>
    </row>
    <row r="1791" spans="1:24" hidden="1">
      <c r="A1791">
        <v>188</v>
      </c>
      <c r="B1791" s="2">
        <v>46228.5136921296</v>
      </c>
      <c r="C1791" s="2">
        <v>46228.514976851897</v>
      </c>
      <c r="D1791" s="1" t="s">
        <v>24</v>
      </c>
      <c r="E1791" s="1"/>
      <c r="F1791" s="29">
        <v>46228</v>
      </c>
      <c r="G1791" s="29">
        <v>46228</v>
      </c>
      <c r="H1791" s="1" t="s">
        <v>3036</v>
      </c>
      <c r="I1791" s="1" t="s">
        <v>4273</v>
      </c>
      <c r="J1791" s="175"/>
      <c r="K1791" s="171" t="s">
        <v>4274</v>
      </c>
      <c r="L1791" s="62">
        <v>23101522</v>
      </c>
      <c r="M1791" s="30">
        <v>5219381375880</v>
      </c>
      <c r="N1791" s="171" t="s">
        <v>32</v>
      </c>
      <c r="O1791" s="52">
        <v>4929.59</v>
      </c>
      <c r="P1791" s="99">
        <v>729.9</v>
      </c>
      <c r="Q1791" s="42">
        <f>OfficeForms.Table[[#This Row],[ INFORMEDEPAGO ]]*0.3</f>
        <v>1478.877</v>
      </c>
      <c r="R1791" s="12">
        <f>(IF(O1791&lt;4172.98,0,MIN(O1791*0.3,O1791-4172.98)))-P1791</f>
        <v>26.710000000000605</v>
      </c>
      <c r="T1791" s="1"/>
      <c r="V1791" s="1"/>
      <c r="X1791" s="101">
        <v>1</v>
      </c>
    </row>
    <row r="1792" spans="1:24" hidden="1">
      <c r="A1792">
        <v>189</v>
      </c>
      <c r="B1792" s="2">
        <v>46228.486423611103</v>
      </c>
      <c r="C1792" s="2">
        <v>46228.522777777798</v>
      </c>
      <c r="D1792" s="1" t="s">
        <v>24</v>
      </c>
      <c r="E1792" s="1"/>
      <c r="F1792" s="29">
        <v>46228</v>
      </c>
      <c r="G1792" s="29">
        <v>46227</v>
      </c>
      <c r="H1792" s="1" t="s">
        <v>3572</v>
      </c>
      <c r="I1792" s="1" t="s">
        <v>4275</v>
      </c>
      <c r="J1792" s="175"/>
      <c r="K1792" s="171" t="s">
        <v>4276</v>
      </c>
      <c r="L1792" s="62">
        <v>23088298</v>
      </c>
      <c r="M1792" s="30">
        <v>5216633343841</v>
      </c>
      <c r="N1792" s="171" t="s">
        <v>28</v>
      </c>
      <c r="O1792" s="67">
        <v>15526.18</v>
      </c>
      <c r="P1792" s="99"/>
      <c r="Q1792" s="42">
        <f>OfficeForms.Table[[#This Row],[ INFORMEDEPAGO ]]*0.3</f>
        <v>4657.8540000000003</v>
      </c>
      <c r="R1792" s="12">
        <f>(IF(O1792&lt;4172.98,0,MIN(O1792*0.3,O1792-4172.98)))-P1792</f>
        <v>4657.8540000000003</v>
      </c>
      <c r="T1792" s="1"/>
      <c r="V1792" s="1"/>
      <c r="X1792" s="101">
        <v>1</v>
      </c>
    </row>
    <row r="1793" spans="1:24" hidden="1">
      <c r="A1793">
        <v>190</v>
      </c>
      <c r="B1793" s="2">
        <v>46228.523414351803</v>
      </c>
      <c r="C1793" s="2">
        <v>46228.524282407401</v>
      </c>
      <c r="D1793" s="1" t="s">
        <v>24</v>
      </c>
      <c r="E1793" s="1"/>
      <c r="F1793" s="29">
        <v>46228</v>
      </c>
      <c r="G1793" s="29">
        <v>46228</v>
      </c>
      <c r="H1793" s="1" t="s">
        <v>3036</v>
      </c>
      <c r="I1793" s="1" t="s">
        <v>4277</v>
      </c>
      <c r="J1793" s="175"/>
      <c r="K1793" s="171" t="s">
        <v>4278</v>
      </c>
      <c r="L1793" s="62">
        <v>23101142</v>
      </c>
      <c r="M1793" s="30">
        <v>5219611209473</v>
      </c>
      <c r="N1793" s="171" t="s">
        <v>37</v>
      </c>
      <c r="O1793" s="52">
        <v>8440.7800000000007</v>
      </c>
      <c r="P1793" s="99">
        <v>2439.69</v>
      </c>
      <c r="Q1793" s="42">
        <f>OfficeForms.Table[[#This Row],[ INFORMEDEPAGO ]]*0.3</f>
        <v>2532.2339999999999</v>
      </c>
      <c r="R1793" s="12">
        <f>(IF(O1793&lt;4172.98,0,MIN(O1793*0.3,O1793-4172.98)))-P1793</f>
        <v>92.543999999999869</v>
      </c>
      <c r="S1793" s="74">
        <v>46327</v>
      </c>
      <c r="T1793" s="1" t="s">
        <v>259</v>
      </c>
      <c r="V1793" s="1"/>
      <c r="X1793" s="101">
        <v>2</v>
      </c>
    </row>
    <row r="1794" spans="1:24" hidden="1">
      <c r="A1794">
        <v>191</v>
      </c>
      <c r="B1794" s="2">
        <v>46228.504537036999</v>
      </c>
      <c r="C1794" s="2">
        <v>46228.524791666699</v>
      </c>
      <c r="D1794" s="1" t="s">
        <v>24</v>
      </c>
      <c r="E1794" s="1"/>
      <c r="F1794" s="29">
        <v>46228</v>
      </c>
      <c r="G1794" s="29">
        <v>46228</v>
      </c>
      <c r="H1794" s="1" t="s">
        <v>39</v>
      </c>
      <c r="I1794" s="1" t="s">
        <v>4279</v>
      </c>
      <c r="J1794" s="175"/>
      <c r="K1794" s="171" t="s">
        <v>4280</v>
      </c>
      <c r="L1794" s="62">
        <v>23101724</v>
      </c>
      <c r="M1794" s="30">
        <v>5215634810480</v>
      </c>
      <c r="N1794" s="171" t="s">
        <v>37</v>
      </c>
      <c r="O1794" s="52">
        <v>9081.52</v>
      </c>
      <c r="P1794" s="99">
        <v>2617.87</v>
      </c>
      <c r="Q1794" s="42">
        <f>OfficeForms.Table[[#This Row],[ INFORMEDEPAGO ]]*0.3</f>
        <v>2724.4560000000001</v>
      </c>
      <c r="R1794" s="12">
        <f>(IF(O1794&lt;4172.98,0,MIN(O1794*0.3,O1794-4172.98)))-P1794</f>
        <v>106.58600000000024</v>
      </c>
      <c r="S1794" s="74">
        <v>46539</v>
      </c>
      <c r="T1794" s="1"/>
      <c r="V1794" s="1"/>
      <c r="X1794" s="101">
        <v>2</v>
      </c>
    </row>
    <row r="1795" spans="1:24" hidden="1">
      <c r="A1795">
        <v>192</v>
      </c>
      <c r="B1795" s="2">
        <v>46228.515844907401</v>
      </c>
      <c r="C1795" s="2">
        <v>46228.526168981502</v>
      </c>
      <c r="D1795" s="1" t="s">
        <v>24</v>
      </c>
      <c r="E1795" s="1"/>
      <c r="F1795" s="29">
        <v>46228</v>
      </c>
      <c r="G1795" s="29">
        <v>46228</v>
      </c>
      <c r="H1795" s="1" t="s">
        <v>1519</v>
      </c>
      <c r="I1795" s="1" t="s">
        <v>4281</v>
      </c>
      <c r="J1795" s="175">
        <v>11735585892</v>
      </c>
      <c r="K1795" s="171" t="s">
        <v>4282</v>
      </c>
      <c r="L1795" s="62">
        <v>23102030</v>
      </c>
      <c r="M1795" s="30">
        <v>5215574318196</v>
      </c>
      <c r="N1795" s="171" t="s">
        <v>37</v>
      </c>
      <c r="O1795" s="52">
        <v>15393.39</v>
      </c>
      <c r="P1795" s="99">
        <v>4615.01</v>
      </c>
      <c r="Q1795" s="42">
        <f>OfficeForms.Table[[#This Row],[ INFORMEDEPAGO ]]*0.3</f>
        <v>4618.0169999999998</v>
      </c>
      <c r="R1795" s="12">
        <f>(IF(O1795&lt;4172.98,0,MIN(O1795*0.3,O1795-4172.98)))-P1795</f>
        <v>3.0069999999996071</v>
      </c>
      <c r="S1795" s="74">
        <v>46327</v>
      </c>
      <c r="T1795" s="1"/>
      <c r="V1795" s="1"/>
      <c r="X1795" s="101">
        <v>2</v>
      </c>
    </row>
    <row r="1796" spans="1:24" hidden="1">
      <c r="A1796">
        <v>193</v>
      </c>
      <c r="B1796" s="2">
        <v>46228.529571759304</v>
      </c>
      <c r="C1796" s="2">
        <v>46228.533611111103</v>
      </c>
      <c r="D1796" s="1" t="s">
        <v>24</v>
      </c>
      <c r="E1796" s="1"/>
      <c r="F1796" s="29">
        <v>46228</v>
      </c>
      <c r="G1796" s="29">
        <v>46228</v>
      </c>
      <c r="H1796" s="1" t="s">
        <v>39</v>
      </c>
      <c r="I1796" s="1" t="s">
        <v>4283</v>
      </c>
      <c r="J1796" s="175"/>
      <c r="K1796" s="171" t="s">
        <v>4284</v>
      </c>
      <c r="L1796" s="62">
        <v>22871140</v>
      </c>
      <c r="M1796" s="30">
        <v>5218661404755</v>
      </c>
      <c r="N1796" s="171" t="s">
        <v>32</v>
      </c>
      <c r="O1796" s="67">
        <v>3855.42</v>
      </c>
      <c r="P1796" s="99"/>
      <c r="Q1796" s="42">
        <f>OfficeForms.Table[[#This Row],[ INFORMEDEPAGO ]]*0.3</f>
        <v>1156.626</v>
      </c>
      <c r="R1796" s="12">
        <f>(IF(O1796&lt;4172.98,0,MIN(O1796*0.3,O1796-4172.98)))-P1796</f>
        <v>0</v>
      </c>
      <c r="T1796" s="1"/>
      <c r="V1796" s="1"/>
      <c r="X1796" s="101">
        <v>1</v>
      </c>
    </row>
    <row r="1797" spans="1:24" hidden="1">
      <c r="A1797">
        <v>194</v>
      </c>
      <c r="B1797" s="2">
        <v>46228.538680555597</v>
      </c>
      <c r="C1797" s="2">
        <v>46228.540208333303</v>
      </c>
      <c r="D1797" s="1" t="s">
        <v>24</v>
      </c>
      <c r="E1797" s="1"/>
      <c r="F1797" s="29">
        <v>46228</v>
      </c>
      <c r="G1797" s="29">
        <v>46211</v>
      </c>
      <c r="H1797" s="1" t="s">
        <v>107</v>
      </c>
      <c r="I1797" s="1"/>
      <c r="J1797" s="175"/>
      <c r="K1797" s="171" t="s">
        <v>4285</v>
      </c>
      <c r="L1797" s="62">
        <v>22458804</v>
      </c>
      <c r="M1797" s="30">
        <v>5215535790361</v>
      </c>
      <c r="N1797" s="171" t="s">
        <v>28</v>
      </c>
      <c r="O1797" s="52">
        <v>28044.81</v>
      </c>
      <c r="P1797" s="99">
        <v>1698.81</v>
      </c>
      <c r="Q1797" s="42">
        <f>OfficeForms.Table[[#This Row],[ INFORMEDEPAGO ]]*0.3</f>
        <v>8413.4429999999993</v>
      </c>
      <c r="R1797" s="12">
        <f>(IF(O1797&lt;4172.98,0,MIN(O1797*0.3,O1797-4172.98)))-P1797</f>
        <v>6714.6329999999998</v>
      </c>
      <c r="S1797" s="74">
        <v>46905</v>
      </c>
      <c r="T1797" s="1" t="s">
        <v>178</v>
      </c>
      <c r="V1797" s="1"/>
      <c r="X1797" s="101">
        <v>2</v>
      </c>
    </row>
    <row r="1798" spans="1:24" hidden="1">
      <c r="A1798">
        <v>195</v>
      </c>
      <c r="B1798" s="2">
        <v>46228.509814814803</v>
      </c>
      <c r="C1798" s="2">
        <v>46228.543865740699</v>
      </c>
      <c r="D1798" s="1" t="s">
        <v>24</v>
      </c>
      <c r="E1798" s="1"/>
      <c r="F1798" s="29">
        <v>46228</v>
      </c>
      <c r="G1798" s="29">
        <v>46227</v>
      </c>
      <c r="H1798" s="1" t="s">
        <v>81</v>
      </c>
      <c r="I1798" s="1" t="s">
        <v>4286</v>
      </c>
      <c r="J1798" s="175"/>
      <c r="K1798" s="171" t="s">
        <v>4287</v>
      </c>
      <c r="L1798" s="62">
        <v>23047980</v>
      </c>
      <c r="M1798" s="30">
        <v>5217772353510</v>
      </c>
      <c r="N1798" s="171" t="s">
        <v>28</v>
      </c>
      <c r="O1798" s="52">
        <v>10740</v>
      </c>
      <c r="P1798" s="99"/>
      <c r="Q1798" s="42">
        <f>OfficeForms.Table[[#This Row],[ INFORMEDEPAGO ]]*0.3</f>
        <v>3222</v>
      </c>
      <c r="R1798" s="12">
        <f>(IF(O1798&lt;4172.98,0,MIN(O1798*0.3,O1798-4172.98)))-P1798</f>
        <v>3222</v>
      </c>
      <c r="T1798" s="1"/>
      <c r="V1798" s="1"/>
      <c r="X1798" s="101">
        <v>1</v>
      </c>
    </row>
    <row r="1799" spans="1:24" hidden="1">
      <c r="A1799">
        <v>196</v>
      </c>
      <c r="B1799" s="2">
        <v>46228.551747685196</v>
      </c>
      <c r="C1799" s="2">
        <v>46228.552372685197</v>
      </c>
      <c r="D1799" s="1" t="s">
        <v>24</v>
      </c>
      <c r="E1799" s="1"/>
      <c r="F1799" s="29">
        <v>46228</v>
      </c>
      <c r="G1799" s="29">
        <v>46228</v>
      </c>
      <c r="H1799" s="1" t="s">
        <v>3007</v>
      </c>
      <c r="I1799" s="1" t="s">
        <v>4288</v>
      </c>
      <c r="J1799" s="175"/>
      <c r="K1799" s="171" t="s">
        <v>4289</v>
      </c>
      <c r="L1799" s="62">
        <v>23102974</v>
      </c>
      <c r="M1799" s="30">
        <v>7712729955</v>
      </c>
      <c r="N1799" s="171" t="s">
        <v>98</v>
      </c>
      <c r="Q1799" s="42">
        <f>OfficeForms.Table[[#This Row],[ INFORMEDEPAGO ]]*0.3</f>
        <v>0</v>
      </c>
      <c r="R1799" s="12">
        <f>(IF(O1799&lt;4172.98,0,MIN(O1799*0.3,O1799-4172.98)))-P1799</f>
        <v>0</v>
      </c>
      <c r="T1799" s="1"/>
      <c r="V1799" s="1"/>
      <c r="X1799" s="101">
        <v>0</v>
      </c>
    </row>
    <row r="1800" spans="1:24" hidden="1">
      <c r="A1800">
        <v>197</v>
      </c>
      <c r="B1800" s="2">
        <v>46228.559155092596</v>
      </c>
      <c r="C1800" s="2">
        <v>46228.560405092598</v>
      </c>
      <c r="D1800" s="1" t="s">
        <v>24</v>
      </c>
      <c r="E1800" s="1"/>
      <c r="F1800" s="29">
        <v>46228</v>
      </c>
      <c r="G1800" s="29">
        <v>46228</v>
      </c>
      <c r="H1800" s="1" t="s">
        <v>3022</v>
      </c>
      <c r="I1800" s="1" t="s">
        <v>4290</v>
      </c>
      <c r="J1800" s="175"/>
      <c r="K1800" s="171" t="s">
        <v>4291</v>
      </c>
      <c r="L1800" s="62">
        <v>23103194</v>
      </c>
      <c r="M1800" s="30">
        <v>6643714621</v>
      </c>
      <c r="N1800" s="171" t="s">
        <v>37</v>
      </c>
      <c r="O1800" s="52">
        <v>9081.52</v>
      </c>
      <c r="P1800" s="99">
        <v>2608.96</v>
      </c>
      <c r="Q1800" s="42">
        <f>OfficeForms.Table[[#This Row],[ INFORMEDEPAGO ]]*0.3</f>
        <v>2724.4560000000001</v>
      </c>
      <c r="R1800" s="12">
        <f>(IF(O1800&lt;4172.98,0,MIN(O1800*0.3,O1800-4172.98)))-P1800</f>
        <v>115.49600000000009</v>
      </c>
      <c r="S1800" s="74">
        <v>46722</v>
      </c>
      <c r="T1800" s="1" t="s">
        <v>84</v>
      </c>
      <c r="V1800" s="1"/>
      <c r="X1800" s="101">
        <v>2</v>
      </c>
    </row>
    <row r="1801" spans="1:24" hidden="1">
      <c r="A1801">
        <v>198</v>
      </c>
      <c r="B1801" s="2">
        <v>46228.563726851797</v>
      </c>
      <c r="C1801" s="2">
        <v>46228.564444444397</v>
      </c>
      <c r="D1801" s="1" t="s">
        <v>24</v>
      </c>
      <c r="E1801" s="1"/>
      <c r="F1801" s="29">
        <v>46228</v>
      </c>
      <c r="G1801" s="29">
        <v>46228</v>
      </c>
      <c r="H1801" s="1" t="s">
        <v>3007</v>
      </c>
      <c r="I1801" s="1" t="s">
        <v>4292</v>
      </c>
      <c r="J1801" s="175"/>
      <c r="K1801" s="171" t="s">
        <v>4293</v>
      </c>
      <c r="L1801" s="62">
        <v>23102050</v>
      </c>
      <c r="M1801" s="30">
        <v>8721392968</v>
      </c>
      <c r="N1801" s="171" t="s">
        <v>28</v>
      </c>
      <c r="O1801" s="67">
        <f>26945.9-16309.36</f>
        <v>10636.54</v>
      </c>
      <c r="P1801" s="99"/>
      <c r="Q1801" s="42">
        <f>OfficeForms.Table[[#This Row],[ INFORMEDEPAGO ]]*0.3</f>
        <v>3190.962</v>
      </c>
      <c r="R1801" s="12">
        <f>(IF(O1801&lt;4172.98,0,MIN(O1801*0.3,O1801-4172.98)))-P1801</f>
        <v>3190.962</v>
      </c>
      <c r="T1801" s="1"/>
      <c r="V1801" s="1"/>
      <c r="X1801" s="101">
        <v>1</v>
      </c>
    </row>
    <row r="1802" spans="1:24" hidden="1">
      <c r="A1802">
        <v>199</v>
      </c>
      <c r="B1802" s="2">
        <v>46228.566469907397</v>
      </c>
      <c r="C1802" s="2">
        <v>46228.567245370403</v>
      </c>
      <c r="D1802" s="1" t="s">
        <v>24</v>
      </c>
      <c r="E1802" s="1"/>
      <c r="F1802" s="29">
        <v>46228</v>
      </c>
      <c r="G1802" s="29">
        <v>46225</v>
      </c>
      <c r="H1802" s="1" t="s">
        <v>3022</v>
      </c>
      <c r="I1802" s="1" t="s">
        <v>4294</v>
      </c>
      <c r="J1802" s="175"/>
      <c r="K1802" s="171" t="s">
        <v>4295</v>
      </c>
      <c r="L1802" s="62">
        <v>22993688</v>
      </c>
      <c r="M1802" s="30">
        <v>9981594348</v>
      </c>
      <c r="N1802" s="171" t="s">
        <v>32</v>
      </c>
      <c r="O1802" s="67">
        <v>1412.49</v>
      </c>
      <c r="P1802" s="99"/>
      <c r="Q1802" s="42">
        <f>OfficeForms.Table[[#This Row],[ INFORMEDEPAGO ]]*0.3</f>
        <v>423.74700000000001</v>
      </c>
      <c r="R1802" s="12">
        <f>(IF(O1802&lt;4172.98,0,MIN(O1802*0.3,O1802-4172.98)))-P1802</f>
        <v>0</v>
      </c>
      <c r="T1802" s="1"/>
      <c r="V1802" s="1"/>
      <c r="X1802" s="101">
        <v>1</v>
      </c>
    </row>
    <row r="1803" spans="1:24" hidden="1">
      <c r="A1803">
        <v>200</v>
      </c>
      <c r="B1803" s="2">
        <v>46228.574178240699</v>
      </c>
      <c r="C1803" s="2">
        <v>46228.575104166703</v>
      </c>
      <c r="D1803" s="1" t="s">
        <v>24</v>
      </c>
      <c r="E1803" s="1"/>
      <c r="F1803" s="29">
        <v>46228</v>
      </c>
      <c r="G1803" s="29">
        <v>46228</v>
      </c>
      <c r="H1803" s="1" t="s">
        <v>103</v>
      </c>
      <c r="I1803" s="1" t="s">
        <v>4296</v>
      </c>
      <c r="J1803" s="175">
        <v>35947864381</v>
      </c>
      <c r="K1803" s="171"/>
      <c r="L1803" s="62">
        <v>1</v>
      </c>
      <c r="M1803" s="30">
        <v>8701719411</v>
      </c>
      <c r="N1803" s="171" t="s">
        <v>74</v>
      </c>
      <c r="O1803" s="67"/>
      <c r="P1803" s="99"/>
      <c r="Q1803" s="42">
        <f>OfficeForms.Table[[#This Row],[ INFORMEDEPAGO ]]*0.3</f>
        <v>0</v>
      </c>
      <c r="R1803" s="12">
        <f>(IF(O1803&lt;4172.98,0,MIN(O1803*0.3,O1803-4172.98)))-P1803</f>
        <v>0</v>
      </c>
      <c r="T1803" s="1"/>
      <c r="V1803" s="1"/>
      <c r="X1803" s="101">
        <v>1</v>
      </c>
    </row>
    <row r="1804" spans="1:24" hidden="1">
      <c r="A1804">
        <v>201</v>
      </c>
      <c r="B1804" s="2">
        <v>46228.579780092601</v>
      </c>
      <c r="C1804" s="2">
        <v>46228.581006944398</v>
      </c>
      <c r="D1804" s="1" t="s">
        <v>24</v>
      </c>
      <c r="E1804" s="1"/>
      <c r="F1804" s="29">
        <v>46228</v>
      </c>
      <c r="G1804" s="29">
        <v>46228</v>
      </c>
      <c r="H1804" s="1" t="s">
        <v>3022</v>
      </c>
      <c r="I1804" s="1" t="s">
        <v>4297</v>
      </c>
      <c r="J1804" s="175">
        <v>65734702668</v>
      </c>
      <c r="K1804" s="171" t="s">
        <v>4298</v>
      </c>
      <c r="L1804" s="62">
        <v>23103932</v>
      </c>
      <c r="M1804" s="30">
        <v>2294835213</v>
      </c>
      <c r="N1804" s="171" t="s">
        <v>37</v>
      </c>
      <c r="O1804" s="52">
        <v>6405.06</v>
      </c>
      <c r="P1804" s="99">
        <v>1776.31</v>
      </c>
      <c r="Q1804" s="42">
        <f>OfficeForms.Table[[#This Row],[ INFORMEDEPAGO ]]*0.3</f>
        <v>1921.518</v>
      </c>
      <c r="R1804" s="12">
        <f>(IF(O1804&lt;4172.98,0,MIN(O1804*0.3,O1804-4172.98)))-P1804</f>
        <v>145.20800000000008</v>
      </c>
      <c r="S1804" s="74">
        <v>46327</v>
      </c>
      <c r="T1804" s="1"/>
      <c r="V1804" s="1"/>
      <c r="X1804" s="101">
        <v>2</v>
      </c>
    </row>
    <row r="1805" spans="1:24" hidden="1">
      <c r="A1805">
        <v>203</v>
      </c>
      <c r="B1805" s="2">
        <v>46228.541944444398</v>
      </c>
      <c r="C1805" s="2">
        <v>46228.590717592597</v>
      </c>
      <c r="D1805" s="1" t="s">
        <v>24</v>
      </c>
      <c r="E1805" s="1"/>
      <c r="F1805" s="29">
        <v>46228</v>
      </c>
      <c r="G1805" s="29">
        <v>46227</v>
      </c>
      <c r="H1805" s="1" t="s">
        <v>68</v>
      </c>
      <c r="I1805" s="1" t="s">
        <v>4299</v>
      </c>
      <c r="J1805" s="175"/>
      <c r="K1805" s="171" t="s">
        <v>4300</v>
      </c>
      <c r="L1805" s="62">
        <v>23092124</v>
      </c>
      <c r="M1805" s="30">
        <v>5216242291039</v>
      </c>
      <c r="N1805" s="171" t="s">
        <v>37</v>
      </c>
      <c r="O1805" s="52">
        <v>9081.52</v>
      </c>
      <c r="P1805" s="99">
        <v>2716.91</v>
      </c>
      <c r="Q1805" s="42">
        <f>OfficeForms.Table[[#This Row],[ INFORMEDEPAGO ]]*0.3</f>
        <v>2724.4560000000001</v>
      </c>
      <c r="R1805" s="12">
        <f>(IF(O1805&lt;4172.98,0,MIN(O1805*0.3,O1805-4172.98)))-P1805</f>
        <v>7.5460000000002765</v>
      </c>
      <c r="S1805" s="74">
        <v>46844</v>
      </c>
      <c r="T1805" s="1"/>
      <c r="V1805" s="1"/>
      <c r="X1805" s="101">
        <v>2</v>
      </c>
    </row>
    <row r="1806" spans="1:24" hidden="1">
      <c r="A1806">
        <v>204</v>
      </c>
      <c r="B1806" s="2">
        <v>46228.541828703703</v>
      </c>
      <c r="C1806" s="2">
        <v>46228.590775463003</v>
      </c>
      <c r="D1806" s="1" t="s">
        <v>24</v>
      </c>
      <c r="E1806" s="1"/>
      <c r="F1806" s="29">
        <v>46228</v>
      </c>
      <c r="G1806" s="29">
        <v>46228</v>
      </c>
      <c r="H1806" s="1" t="s">
        <v>68</v>
      </c>
      <c r="I1806" s="1" t="s">
        <v>4301</v>
      </c>
      <c r="J1806" s="175">
        <v>24937517142</v>
      </c>
      <c r="K1806" s="171" t="s">
        <v>4302</v>
      </c>
      <c r="L1806" s="62">
        <v>23102654</v>
      </c>
      <c r="M1806" s="30">
        <v>5216864289099</v>
      </c>
      <c r="N1806" s="171" t="s">
        <v>37</v>
      </c>
      <c r="O1806" s="52">
        <v>11386.64</v>
      </c>
      <c r="P1806" s="99">
        <v>3415.99</v>
      </c>
      <c r="Q1806" s="42">
        <f>OfficeForms.Table[[#This Row],[ INFORMEDEPAGO ]]*0.3</f>
        <v>3415.9919999999997</v>
      </c>
      <c r="R1806" s="12">
        <f>(IF(O1806&lt;4172.98,0,MIN(O1806*0.3,O1806-4172.98)))-P1806</f>
        <v>1.9999999999527063E-3</v>
      </c>
      <c r="S1806" s="74">
        <v>46631</v>
      </c>
      <c r="T1806" s="1"/>
      <c r="V1806" s="1"/>
      <c r="X1806" s="101">
        <v>2</v>
      </c>
    </row>
    <row r="1807" spans="1:24" hidden="1">
      <c r="A1807">
        <v>205</v>
      </c>
      <c r="B1807" s="2">
        <v>46228.589629629598</v>
      </c>
      <c r="C1807" s="2">
        <v>46228.590798611098</v>
      </c>
      <c r="D1807" s="1" t="s">
        <v>24</v>
      </c>
      <c r="E1807" s="1"/>
      <c r="F1807" s="29">
        <v>46228</v>
      </c>
      <c r="G1807" s="29">
        <v>46227</v>
      </c>
      <c r="H1807" s="1" t="s">
        <v>3022</v>
      </c>
      <c r="I1807" s="1" t="s">
        <v>4303</v>
      </c>
      <c r="J1807" s="209" t="s">
        <v>4304</v>
      </c>
      <c r="K1807" s="171" t="s">
        <v>4305</v>
      </c>
      <c r="L1807" s="62">
        <v>23051582</v>
      </c>
      <c r="M1807" s="30">
        <v>9512738029</v>
      </c>
      <c r="N1807" s="171" t="s">
        <v>98</v>
      </c>
      <c r="O1807" s="52"/>
      <c r="P1807" s="99"/>
      <c r="Q1807" s="42">
        <f>OfficeForms.Table[[#This Row],[ INFORMEDEPAGO ]]*0.3</f>
        <v>0</v>
      </c>
      <c r="R1807" s="12">
        <f>(IF(O1807&lt;4172.98,0,MIN(O1807*0.3,O1807-4172.98)))-P1807</f>
        <v>0</v>
      </c>
      <c r="T1807" s="1"/>
      <c r="V1807" s="1"/>
      <c r="X1807" s="101">
        <v>0</v>
      </c>
    </row>
    <row r="1808" spans="1:24" hidden="1">
      <c r="A1808">
        <v>206</v>
      </c>
      <c r="B1808" s="2">
        <v>46228.535486111097</v>
      </c>
      <c r="C1808" s="2">
        <v>46228.591249999998</v>
      </c>
      <c r="D1808" s="1" t="s">
        <v>24</v>
      </c>
      <c r="E1808" s="1"/>
      <c r="F1808" s="29">
        <v>46228</v>
      </c>
      <c r="G1808" s="29">
        <v>46227</v>
      </c>
      <c r="H1808" s="1" t="s">
        <v>78</v>
      </c>
      <c r="I1808" s="1" t="s">
        <v>4306</v>
      </c>
      <c r="J1808" s="175">
        <v>84816318632</v>
      </c>
      <c r="K1808" s="171" t="s">
        <v>4307</v>
      </c>
      <c r="L1808" s="62">
        <v>23047162</v>
      </c>
      <c r="M1808" s="30">
        <v>5219991509815</v>
      </c>
      <c r="N1808" s="171" t="s">
        <v>37</v>
      </c>
      <c r="O1808" s="52">
        <v>9504.7000000000007</v>
      </c>
      <c r="P1808" s="99">
        <v>2633.18</v>
      </c>
      <c r="Q1808" s="42">
        <f>OfficeForms.Table[[#This Row],[ INFORMEDEPAGO ]]*0.3</f>
        <v>2851.4100000000003</v>
      </c>
      <c r="R1808" s="12">
        <f>(IF(O1808&lt;4172.98,0,MIN(O1808*0.3,O1808-4172.98)))-P1808</f>
        <v>218.23000000000047</v>
      </c>
      <c r="S1808" s="74">
        <v>46235</v>
      </c>
      <c r="T1808" s="1"/>
      <c r="V1808" s="1"/>
      <c r="X1808" s="101">
        <v>2</v>
      </c>
    </row>
    <row r="1809" spans="1:24" hidden="1">
      <c r="A1809">
        <v>207</v>
      </c>
      <c r="B1809" s="2">
        <v>46228.594722222202</v>
      </c>
      <c r="C1809" s="2">
        <v>46228.5959953704</v>
      </c>
      <c r="D1809" s="1" t="s">
        <v>24</v>
      </c>
      <c r="E1809" s="1"/>
      <c r="F1809" s="29">
        <v>46228</v>
      </c>
      <c r="G1809" s="29">
        <v>46227</v>
      </c>
      <c r="H1809" s="1" t="s">
        <v>71</v>
      </c>
      <c r="I1809" s="1" t="s">
        <v>4308</v>
      </c>
      <c r="J1809" s="175"/>
      <c r="K1809" s="171" t="s">
        <v>4309</v>
      </c>
      <c r="L1809" s="62">
        <v>23063756</v>
      </c>
      <c r="M1809" s="30">
        <v>5218445052140</v>
      </c>
      <c r="N1809" s="171" t="s">
        <v>98</v>
      </c>
      <c r="O1809" s="67"/>
      <c r="P1809" s="99"/>
      <c r="Q1809" s="42">
        <f>OfficeForms.Table[[#This Row],[ INFORMEDEPAGO ]]*0.3</f>
        <v>0</v>
      </c>
      <c r="R1809" s="12">
        <f>(IF(O1809&lt;4172.98,0,MIN(O1809*0.3,O1809-4172.98)))-P1809</f>
        <v>0</v>
      </c>
      <c r="T1809" s="1"/>
      <c r="V1809" s="1"/>
      <c r="X1809" s="101">
        <v>0</v>
      </c>
    </row>
    <row r="1810" spans="1:24" hidden="1">
      <c r="A1810">
        <v>208</v>
      </c>
      <c r="B1810" s="2">
        <v>46228.492939814802</v>
      </c>
      <c r="C1810" s="2">
        <v>46228.596574074101</v>
      </c>
      <c r="D1810" s="1" t="s">
        <v>24</v>
      </c>
      <c r="E1810" s="1"/>
      <c r="F1810" s="29">
        <v>46228</v>
      </c>
      <c r="G1810" s="29">
        <v>46225</v>
      </c>
      <c r="H1810" s="1" t="s">
        <v>160</v>
      </c>
      <c r="I1810" s="1" t="s">
        <v>4310</v>
      </c>
      <c r="J1810" s="175">
        <v>24594114159</v>
      </c>
      <c r="K1810" s="171" t="s">
        <v>4311</v>
      </c>
      <c r="L1810" s="62">
        <v>22917570</v>
      </c>
      <c r="M1810" s="30">
        <v>5216311262052</v>
      </c>
      <c r="N1810" s="171" t="s">
        <v>37</v>
      </c>
      <c r="O1810" s="67">
        <v>14976.01</v>
      </c>
      <c r="P1810" s="99" t="s">
        <v>4312</v>
      </c>
      <c r="Q1810" s="42">
        <f>OfficeForms.Table[[#This Row],[ INFORMEDEPAGO ]]*0.3</f>
        <v>4492.8029999999999</v>
      </c>
      <c r="R1810" s="12">
        <f>(IF(O1810&lt;4172.98,0,MIN(O1810*0.3,O1810-4172.98)))-P1810</f>
        <v>160.79299999999967</v>
      </c>
      <c r="S1810" s="74">
        <v>46692</v>
      </c>
      <c r="T1810" s="1"/>
      <c r="V1810" s="1"/>
      <c r="X1810" s="101">
        <v>2</v>
      </c>
    </row>
    <row r="1811" spans="1:24" hidden="1">
      <c r="A1811">
        <v>209</v>
      </c>
      <c r="B1811" s="2">
        <v>46228.599837962996</v>
      </c>
      <c r="C1811" s="2">
        <v>46228.601736111101</v>
      </c>
      <c r="D1811" s="1" t="s">
        <v>24</v>
      </c>
      <c r="E1811" s="1"/>
      <c r="F1811" s="29">
        <v>46228</v>
      </c>
      <c r="G1811" s="29">
        <v>46228</v>
      </c>
      <c r="H1811" s="1" t="s">
        <v>476</v>
      </c>
      <c r="I1811" s="1" t="s">
        <v>4313</v>
      </c>
      <c r="J1811" s="175">
        <v>84816304566</v>
      </c>
      <c r="K1811" s="171"/>
      <c r="L1811" s="62">
        <v>23103252</v>
      </c>
      <c r="M1811" s="30">
        <v>5219992762286</v>
      </c>
      <c r="N1811" s="171" t="s">
        <v>37</v>
      </c>
      <c r="O1811" s="52">
        <v>9081.52</v>
      </c>
      <c r="P1811" s="99">
        <v>2723.59</v>
      </c>
      <c r="Q1811" s="42">
        <f>OfficeForms.Table[[#This Row],[ INFORMEDEPAGO ]]*0.3</f>
        <v>2724.4560000000001</v>
      </c>
      <c r="R1811" s="12">
        <f>(IF(O1811&lt;4172.98,0,MIN(O1811*0.3,O1811-4172.98)))-P1811</f>
        <v>0.86599999999998545</v>
      </c>
      <c r="S1811" s="74">
        <v>46266</v>
      </c>
      <c r="T1811" s="1"/>
      <c r="V1811" s="1"/>
      <c r="X1811" s="101">
        <v>2</v>
      </c>
    </row>
    <row r="1812" spans="1:24" hidden="1">
      <c r="A1812">
        <v>210</v>
      </c>
      <c r="B1812" s="2">
        <v>46228.543900463003</v>
      </c>
      <c r="C1812" s="2">
        <v>46228.6026388889</v>
      </c>
      <c r="D1812" s="1" t="s">
        <v>24</v>
      </c>
      <c r="E1812" s="1"/>
      <c r="F1812" s="29">
        <v>46228</v>
      </c>
      <c r="G1812" s="29">
        <v>46228</v>
      </c>
      <c r="H1812" s="1" t="s">
        <v>81</v>
      </c>
      <c r="I1812" s="1" t="s">
        <v>4314</v>
      </c>
      <c r="J1812" s="175"/>
      <c r="K1812" s="171" t="s">
        <v>4315</v>
      </c>
      <c r="L1812" s="62">
        <v>23101030</v>
      </c>
      <c r="M1812" s="30">
        <v>5219518492489</v>
      </c>
      <c r="N1812" s="171" t="s">
        <v>37</v>
      </c>
      <c r="O1812" s="52">
        <v>9081.52</v>
      </c>
      <c r="P1812" s="99">
        <v>2453.87</v>
      </c>
      <c r="Q1812" s="42">
        <f>OfficeForms.Table[[#This Row],[ INFORMEDEPAGO ]]*0.3</f>
        <v>2724.4560000000001</v>
      </c>
      <c r="R1812" s="12">
        <f>(IF(O1812&lt;4172.98,0,MIN(O1812*0.3,O1812-4172.98)))-P1812</f>
        <v>270.58600000000024</v>
      </c>
      <c r="S1812" s="74">
        <v>46327</v>
      </c>
      <c r="T1812" s="1"/>
      <c r="V1812" s="1"/>
      <c r="X1812" s="101">
        <v>2</v>
      </c>
    </row>
    <row r="1813" spans="1:24" hidden="1">
      <c r="A1813">
        <v>211</v>
      </c>
      <c r="B1813" s="2">
        <v>46228.601030092599</v>
      </c>
      <c r="C1813" s="2">
        <v>46228.605486111097</v>
      </c>
      <c r="D1813" s="1" t="s">
        <v>24</v>
      </c>
      <c r="E1813" s="1"/>
      <c r="F1813" s="29">
        <v>46228</v>
      </c>
      <c r="G1813" s="29">
        <v>46228</v>
      </c>
      <c r="H1813" s="1" t="s">
        <v>1519</v>
      </c>
      <c r="I1813" s="1" t="s">
        <v>4316</v>
      </c>
      <c r="J1813" s="175">
        <v>51887113408</v>
      </c>
      <c r="K1813" s="171" t="s">
        <v>4317</v>
      </c>
      <c r="L1813" s="62">
        <v>23092914</v>
      </c>
      <c r="M1813" s="30">
        <v>5214493237735</v>
      </c>
      <c r="N1813" s="171" t="s">
        <v>32</v>
      </c>
      <c r="O1813" s="52">
        <v>3766.51</v>
      </c>
      <c r="P1813" s="99"/>
      <c r="Q1813" s="42">
        <f>OfficeForms.Table[[#This Row],[ INFORMEDEPAGO ]]*0.3</f>
        <v>1129.953</v>
      </c>
      <c r="R1813" s="12">
        <f>(IF(O1813&lt;4172.98,0,MIN(O1813*0.3,O1813-4172.98)))-P1813</f>
        <v>0</v>
      </c>
      <c r="T1813" s="1"/>
      <c r="V1813" s="1"/>
      <c r="X1813" s="101">
        <v>1</v>
      </c>
    </row>
    <row r="1814" spans="1:24" hidden="1">
      <c r="A1814">
        <v>212</v>
      </c>
      <c r="B1814" s="2">
        <v>46228.602662037003</v>
      </c>
      <c r="C1814" s="2">
        <v>46228.606006944399</v>
      </c>
      <c r="D1814" s="1" t="s">
        <v>24</v>
      </c>
      <c r="E1814" s="1"/>
      <c r="F1814" s="29">
        <v>46228</v>
      </c>
      <c r="G1814" s="29">
        <v>46228</v>
      </c>
      <c r="H1814" s="1" t="s">
        <v>81</v>
      </c>
      <c r="I1814" s="1" t="s">
        <v>4318</v>
      </c>
      <c r="J1814" s="175"/>
      <c r="K1814" s="171" t="s">
        <v>4319</v>
      </c>
      <c r="L1814" s="62">
        <v>23102296</v>
      </c>
      <c r="M1814" s="30">
        <v>5219532765112</v>
      </c>
      <c r="N1814" s="171" t="s">
        <v>37</v>
      </c>
      <c r="O1814" s="52">
        <v>6262.86</v>
      </c>
      <c r="P1814" s="99">
        <v>1792.85</v>
      </c>
      <c r="Q1814" s="42">
        <f>OfficeForms.Table[[#This Row],[ INFORMEDEPAGO ]]*0.3</f>
        <v>1878.8579999999997</v>
      </c>
      <c r="R1814" s="12">
        <f>(IF(O1814&lt;4172.98,0,MIN(O1814*0.3,O1814-4172.98)))-P1814</f>
        <v>86.007999999999811</v>
      </c>
      <c r="S1814" s="74">
        <v>46661</v>
      </c>
      <c r="T1814" s="1"/>
      <c r="V1814" s="1"/>
      <c r="X1814" s="101">
        <v>2</v>
      </c>
    </row>
    <row r="1815" spans="1:24" hidden="1">
      <c r="A1815">
        <v>213</v>
      </c>
      <c r="B1815" s="2">
        <v>46228.608900462998</v>
      </c>
      <c r="C1815" s="2">
        <v>46228.621030092603</v>
      </c>
      <c r="D1815" s="1" t="s">
        <v>24</v>
      </c>
      <c r="E1815" s="1"/>
      <c r="F1815" s="29">
        <v>46228</v>
      </c>
      <c r="G1815" s="29">
        <v>46227</v>
      </c>
      <c r="H1815" s="1" t="s">
        <v>160</v>
      </c>
      <c r="I1815" s="1" t="s">
        <v>4320</v>
      </c>
      <c r="J1815" s="175">
        <v>90907210265</v>
      </c>
      <c r="K1815" s="171" t="s">
        <v>4321</v>
      </c>
      <c r="L1815" s="62">
        <v>23092468</v>
      </c>
      <c r="M1815" s="30">
        <v>5215537356433</v>
      </c>
      <c r="N1815" s="171" t="s">
        <v>37</v>
      </c>
      <c r="O1815" s="52">
        <v>8181.55</v>
      </c>
      <c r="P1815" s="99">
        <v>2449.0500000000002</v>
      </c>
      <c r="Q1815" s="42">
        <f>OfficeForms.Table[[#This Row],[ INFORMEDEPAGO ]]*0.3</f>
        <v>2454.4650000000001</v>
      </c>
      <c r="R1815" s="12">
        <f>(IF(O1815&lt;4172.98,0,MIN(O1815*0.3,O1815-4172.98)))-P1815</f>
        <v>5.4149999999999636</v>
      </c>
      <c r="S1815" s="74">
        <v>46447</v>
      </c>
      <c r="T1815" s="1"/>
      <c r="V1815" s="1"/>
      <c r="X1815" s="101">
        <v>2</v>
      </c>
    </row>
    <row r="1816" spans="1:24" hidden="1">
      <c r="A1816">
        <v>214</v>
      </c>
      <c r="B1816" s="2">
        <v>46228.620844907397</v>
      </c>
      <c r="C1816" s="2">
        <v>46228.623993055597</v>
      </c>
      <c r="D1816" s="1" t="s">
        <v>24</v>
      </c>
      <c r="E1816" s="1"/>
      <c r="F1816" s="29">
        <v>46228</v>
      </c>
      <c r="G1816" s="29">
        <v>46228</v>
      </c>
      <c r="H1816" s="1" t="s">
        <v>1519</v>
      </c>
      <c r="I1816" s="1"/>
      <c r="J1816" s="175"/>
      <c r="K1816" s="171" t="s">
        <v>4322</v>
      </c>
      <c r="L1816" s="62">
        <v>23092080</v>
      </c>
      <c r="M1816" s="30">
        <v>5215610946088</v>
      </c>
      <c r="N1816" s="171" t="s">
        <v>28</v>
      </c>
      <c r="O1816" s="67">
        <v>6460.14</v>
      </c>
      <c r="P1816" s="99"/>
      <c r="Q1816" s="42">
        <f>OfficeForms.Table[[#This Row],[ INFORMEDEPAGO ]]*0.3</f>
        <v>1938.0419999999999</v>
      </c>
      <c r="R1816" s="12">
        <f>(IF(O1816&lt;4172.98,0,MIN(O1816*0.3,O1816-4172.98)))-P1816</f>
        <v>1938.0419999999999</v>
      </c>
      <c r="T1816" s="1"/>
      <c r="V1816" s="1"/>
      <c r="X1816" s="101">
        <v>1</v>
      </c>
    </row>
    <row r="1817" spans="1:24" hidden="1">
      <c r="A1817">
        <v>215</v>
      </c>
      <c r="B1817" s="2">
        <v>46228.6262615741</v>
      </c>
      <c r="C1817" s="2">
        <v>46228.629305555602</v>
      </c>
      <c r="D1817" s="1" t="s">
        <v>24</v>
      </c>
      <c r="E1817" s="1"/>
      <c r="F1817" s="29">
        <v>46228</v>
      </c>
      <c r="G1817" s="29">
        <v>46225</v>
      </c>
      <c r="H1817" s="1" t="s">
        <v>68</v>
      </c>
      <c r="I1817" s="1" t="s">
        <v>4323</v>
      </c>
      <c r="J1817" s="175">
        <v>53705415742</v>
      </c>
      <c r="K1817" s="171" t="s">
        <v>4324</v>
      </c>
      <c r="L1817" s="62">
        <v>22916538</v>
      </c>
      <c r="M1817" s="30">
        <v>5216691635915</v>
      </c>
      <c r="N1817" s="171" t="s">
        <v>32</v>
      </c>
      <c r="O1817" s="67">
        <v>3961.31</v>
      </c>
      <c r="P1817" s="99"/>
      <c r="Q1817" s="42">
        <f>OfficeForms.Table[[#This Row],[ INFORMEDEPAGO ]]*0.3</f>
        <v>1188.393</v>
      </c>
      <c r="R1817" s="12">
        <f>(IF(O1817&lt;4172.98,0,MIN(O1817*0.3,O1817-4172.98)))-P1817</f>
        <v>0</v>
      </c>
      <c r="T1817" s="1"/>
      <c r="V1817" s="1"/>
      <c r="X1817" s="101">
        <v>1</v>
      </c>
    </row>
    <row r="1818" spans="1:24" hidden="1">
      <c r="A1818">
        <v>216</v>
      </c>
      <c r="B1818" s="2">
        <v>46228.629259259302</v>
      </c>
      <c r="C1818" s="2">
        <v>46228.630254629599</v>
      </c>
      <c r="D1818" s="1" t="s">
        <v>24</v>
      </c>
      <c r="E1818" s="1"/>
      <c r="F1818" s="29">
        <v>46228</v>
      </c>
      <c r="G1818" s="29">
        <v>46228</v>
      </c>
      <c r="H1818" s="1" t="s">
        <v>476</v>
      </c>
      <c r="I1818" s="1" t="s">
        <v>4325</v>
      </c>
      <c r="J1818" s="175"/>
      <c r="K1818" s="171" t="s">
        <v>4326</v>
      </c>
      <c r="L1818" s="62">
        <v>23104790</v>
      </c>
      <c r="M1818" s="30">
        <v>5217298709711</v>
      </c>
      <c r="N1818" s="171" t="s">
        <v>32</v>
      </c>
      <c r="O1818" s="67">
        <v>3869.36</v>
      </c>
      <c r="P1818" s="99"/>
      <c r="Q1818" s="42">
        <f>OfficeForms.Table[[#This Row],[ INFORMEDEPAGO ]]*0.3</f>
        <v>1160.808</v>
      </c>
      <c r="R1818" s="12">
        <f>(IF(O1818&lt;4172.98,0,MIN(O1818*0.3,O1818-4172.98)))-P1818</f>
        <v>0</v>
      </c>
      <c r="T1818" s="1"/>
      <c r="V1818" s="1"/>
      <c r="X1818" s="101">
        <v>1</v>
      </c>
    </row>
    <row r="1819" spans="1:24" hidden="1">
      <c r="A1819">
        <v>217</v>
      </c>
      <c r="B1819" s="2">
        <v>46228.640868055598</v>
      </c>
      <c r="C1819" s="2">
        <v>46228.641354166699</v>
      </c>
      <c r="D1819" s="1" t="s">
        <v>24</v>
      </c>
      <c r="E1819" s="1"/>
      <c r="F1819" s="29">
        <v>46228</v>
      </c>
      <c r="G1819" s="29">
        <v>46228</v>
      </c>
      <c r="H1819" s="1" t="s">
        <v>3352</v>
      </c>
      <c r="I1819" s="1" t="s">
        <v>4327</v>
      </c>
      <c r="J1819" s="175"/>
      <c r="K1819" s="171" t="s">
        <v>4328</v>
      </c>
      <c r="L1819" s="62">
        <v>23103394</v>
      </c>
      <c r="M1819" s="30">
        <v>3314448836</v>
      </c>
      <c r="N1819" s="171" t="s">
        <v>37</v>
      </c>
      <c r="O1819" s="52">
        <v>22248.52</v>
      </c>
      <c r="P1819" s="99">
        <v>6670.46</v>
      </c>
      <c r="Q1819" s="42">
        <f>OfficeForms.Table[[#This Row],[ INFORMEDEPAGO ]]*0.3</f>
        <v>6674.5559999999996</v>
      </c>
      <c r="R1819" s="12">
        <f>(IF(O1819&lt;4172.98,0,MIN(O1819*0.3,O1819-4172.98)))-P1819</f>
        <v>4.0959999999995489</v>
      </c>
      <c r="S1819" s="74">
        <v>46600</v>
      </c>
      <c r="T1819" s="1"/>
      <c r="V1819" s="1"/>
      <c r="X1819" s="101">
        <v>2</v>
      </c>
    </row>
    <row r="1820" spans="1:24" hidden="1">
      <c r="A1820">
        <v>218</v>
      </c>
      <c r="B1820" s="2">
        <v>46228.632997685199</v>
      </c>
      <c r="C1820" s="2">
        <v>46228.648402777799</v>
      </c>
      <c r="D1820" s="1" t="s">
        <v>24</v>
      </c>
      <c r="E1820" s="1"/>
      <c r="F1820" s="29">
        <v>46228</v>
      </c>
      <c r="G1820" s="29">
        <v>46228</v>
      </c>
      <c r="H1820" s="1" t="s">
        <v>51</v>
      </c>
      <c r="I1820" s="1" t="s">
        <v>4329</v>
      </c>
      <c r="J1820" s="207" t="s">
        <v>4330</v>
      </c>
      <c r="K1820" s="171" t="s">
        <v>4331</v>
      </c>
      <c r="L1820" s="62">
        <v>23101924</v>
      </c>
      <c r="M1820" s="30">
        <v>5218126390227</v>
      </c>
      <c r="N1820" s="171" t="s">
        <v>28</v>
      </c>
      <c r="O1820" s="67">
        <v>5956.8</v>
      </c>
      <c r="P1820" s="99"/>
      <c r="Q1820" s="42">
        <f>OfficeForms.Table[[#This Row],[ INFORMEDEPAGO ]]*0.3</f>
        <v>1787.04</v>
      </c>
      <c r="R1820" s="12">
        <f>(IF(O1820&lt;4172.98,0,MIN(O1820*0.3,O1820-4172.98)))-P1820</f>
        <v>1783.8200000000006</v>
      </c>
      <c r="T1820" s="1"/>
      <c r="V1820" s="1"/>
      <c r="X1820" s="101">
        <v>1</v>
      </c>
    </row>
    <row r="1821" spans="1:24" hidden="1">
      <c r="A1821">
        <v>219</v>
      </c>
      <c r="B1821" s="2">
        <v>46228.640636574099</v>
      </c>
      <c r="C1821" s="2">
        <v>46228.649432870399</v>
      </c>
      <c r="D1821" s="1" t="s">
        <v>24</v>
      </c>
      <c r="E1821" s="1"/>
      <c r="F1821" s="29">
        <v>46228</v>
      </c>
      <c r="G1821" s="29">
        <v>46228</v>
      </c>
      <c r="H1821" s="1" t="s">
        <v>1519</v>
      </c>
      <c r="I1821" s="1"/>
      <c r="J1821" s="207">
        <v>2376480305</v>
      </c>
      <c r="K1821" s="171" t="s">
        <v>4332</v>
      </c>
      <c r="L1821" s="62">
        <v>23105260</v>
      </c>
      <c r="M1821" s="30">
        <v>5216674790785</v>
      </c>
      <c r="N1821" s="171" t="s">
        <v>32</v>
      </c>
      <c r="O1821" s="67">
        <v>3685.17</v>
      </c>
      <c r="P1821" s="99"/>
      <c r="Q1821" s="42">
        <f>OfficeForms.Table[[#This Row],[ INFORMEDEPAGO ]]*0.3</f>
        <v>1105.5509999999999</v>
      </c>
      <c r="R1821" s="12">
        <f>(IF(O1821&lt;4172.98,0,MIN(O1821*0.3,O1821-4172.98)))-P1821</f>
        <v>0</v>
      </c>
      <c r="T1821" s="1"/>
      <c r="V1821" s="1"/>
      <c r="X1821" s="101">
        <v>1</v>
      </c>
    </row>
    <row r="1822" spans="1:24" hidden="1">
      <c r="A1822">
        <v>220</v>
      </c>
      <c r="B1822" s="2">
        <v>46228.647303240701</v>
      </c>
      <c r="C1822" s="2">
        <v>46228.649618055599</v>
      </c>
      <c r="D1822" s="1" t="s">
        <v>24</v>
      </c>
      <c r="E1822" s="1"/>
      <c r="F1822" s="29">
        <v>46228</v>
      </c>
      <c r="G1822" s="29">
        <v>46228</v>
      </c>
      <c r="H1822" s="1" t="s">
        <v>476</v>
      </c>
      <c r="I1822" s="1" t="s">
        <v>4333</v>
      </c>
      <c r="J1822" s="207"/>
      <c r="K1822" s="171" t="s">
        <v>4334</v>
      </c>
      <c r="L1822" s="62">
        <v>23104908</v>
      </c>
      <c r="M1822" s="30">
        <v>5215582484428</v>
      </c>
      <c r="N1822" s="171" t="s">
        <v>28</v>
      </c>
      <c r="O1822" s="67">
        <v>10636.54</v>
      </c>
      <c r="P1822" s="99"/>
      <c r="Q1822" s="42">
        <f>OfficeForms.Table[[#This Row],[ INFORMEDEPAGO ]]*0.3</f>
        <v>3190.962</v>
      </c>
      <c r="R1822" s="12">
        <f>(IF(O1822&lt;4172.98,0,MIN(O1822*0.3,O1822-4172.98)))-P1822</f>
        <v>3190.962</v>
      </c>
      <c r="T1822" s="1"/>
      <c r="V1822" s="1"/>
      <c r="X1822" s="101">
        <v>1</v>
      </c>
    </row>
    <row r="1823" spans="1:24" hidden="1">
      <c r="A1823">
        <v>221</v>
      </c>
      <c r="B1823" s="2">
        <v>46228.644340277802</v>
      </c>
      <c r="C1823" s="2">
        <v>46228.651539351798</v>
      </c>
      <c r="D1823" s="1" t="s">
        <v>24</v>
      </c>
      <c r="E1823" s="1"/>
      <c r="F1823" s="29">
        <v>46228</v>
      </c>
      <c r="G1823" s="29">
        <v>46228</v>
      </c>
      <c r="H1823" s="1" t="s">
        <v>68</v>
      </c>
      <c r="I1823" s="1" t="s">
        <v>4335</v>
      </c>
      <c r="J1823" s="207"/>
      <c r="K1823" s="171" t="s">
        <v>4336</v>
      </c>
      <c r="L1823" s="62">
        <v>23103276</v>
      </c>
      <c r="M1823" s="30">
        <v>5215539419051</v>
      </c>
      <c r="N1823" s="171" t="s">
        <v>37</v>
      </c>
      <c r="O1823" s="52">
        <v>29692.68</v>
      </c>
      <c r="P1823" s="99">
        <v>8904.5499999999993</v>
      </c>
      <c r="Q1823" s="42">
        <f>OfficeForms.Table[[#This Row],[ INFORMEDEPAGO ]]*0.3</f>
        <v>8907.8040000000001</v>
      </c>
      <c r="R1823" s="12">
        <f>(IF(O1823&lt;4172.98,0,MIN(O1823*0.3,O1823-4172.98)))-P1823</f>
        <v>3.2540000000008149</v>
      </c>
      <c r="S1823" s="74">
        <v>46296</v>
      </c>
      <c r="T1823" s="1"/>
      <c r="V1823" s="1"/>
      <c r="X1823" s="101">
        <v>2</v>
      </c>
    </row>
    <row r="1824" spans="1:24" hidden="1">
      <c r="A1824">
        <v>222</v>
      </c>
      <c r="B1824" s="2">
        <v>46228.653749999998</v>
      </c>
      <c r="C1824" s="2">
        <v>46228.654976851903</v>
      </c>
      <c r="D1824" s="1" t="s">
        <v>24</v>
      </c>
      <c r="E1824" s="1"/>
      <c r="F1824" s="29">
        <v>46228</v>
      </c>
      <c r="G1824" s="29">
        <v>46228</v>
      </c>
      <c r="H1824" s="1" t="s">
        <v>71</v>
      </c>
      <c r="I1824" s="1" t="s">
        <v>4337</v>
      </c>
      <c r="J1824" s="207"/>
      <c r="K1824" s="171" t="s">
        <v>4338</v>
      </c>
      <c r="L1824" s="62">
        <v>23105556</v>
      </c>
      <c r="M1824" s="30">
        <v>5215529143477</v>
      </c>
      <c r="N1824" s="171" t="s">
        <v>28</v>
      </c>
      <c r="O1824" s="52">
        <v>9081.52</v>
      </c>
      <c r="P1824" s="99">
        <v>1453.76</v>
      </c>
      <c r="Q1824" s="42">
        <f>OfficeForms.Table[[#This Row],[ INFORMEDEPAGO ]]*0.3</f>
        <v>2724.4560000000001</v>
      </c>
      <c r="R1824" s="12">
        <f>(IF(O1824&lt;4172.98,0,MIN(O1824*0.3,O1824-4172.98)))-P1824</f>
        <v>1270.6960000000001</v>
      </c>
      <c r="S1824" s="74">
        <v>46753</v>
      </c>
      <c r="T1824" s="1"/>
      <c r="V1824" s="1"/>
      <c r="X1824" s="101">
        <v>2</v>
      </c>
    </row>
    <row r="1825" spans="1:24" hidden="1">
      <c r="A1825">
        <v>223</v>
      </c>
      <c r="B1825" s="2">
        <v>46228.633472222202</v>
      </c>
      <c r="C1825" s="2">
        <v>46228.655972222201</v>
      </c>
      <c r="D1825" s="1" t="s">
        <v>24</v>
      </c>
      <c r="E1825" s="1"/>
      <c r="F1825" s="29">
        <v>46228</v>
      </c>
      <c r="G1825" s="29">
        <v>46228</v>
      </c>
      <c r="H1825" s="1" t="s">
        <v>78</v>
      </c>
      <c r="I1825" s="1" t="s">
        <v>4339</v>
      </c>
      <c r="J1825" s="207">
        <v>67735708546</v>
      </c>
      <c r="K1825" s="171" t="s">
        <v>4340</v>
      </c>
      <c r="L1825" s="62">
        <v>23104170</v>
      </c>
      <c r="M1825" s="30">
        <v>5212881149903</v>
      </c>
      <c r="N1825" s="171" t="s">
        <v>37</v>
      </c>
      <c r="O1825" s="52">
        <v>12889.09</v>
      </c>
      <c r="P1825" s="99">
        <v>3865.03</v>
      </c>
      <c r="Q1825" s="42">
        <f>OfficeForms.Table[[#This Row],[ INFORMEDEPAGO ]]*0.3</f>
        <v>3866.7269999999999</v>
      </c>
      <c r="R1825" s="12">
        <f>(IF(O1825&lt;4172.98,0,MIN(O1825*0.3,O1825-4172.98)))-P1825</f>
        <v>1.6969999999996617</v>
      </c>
      <c r="S1825" s="74">
        <v>46508</v>
      </c>
      <c r="T1825" s="1"/>
      <c r="V1825" s="1"/>
      <c r="X1825" s="101">
        <v>2</v>
      </c>
    </row>
    <row r="1826" spans="1:24" hidden="1">
      <c r="A1826">
        <v>224</v>
      </c>
      <c r="B1826" s="2">
        <v>46228.633645833303</v>
      </c>
      <c r="C1826" s="2">
        <v>46228.656030092599</v>
      </c>
      <c r="D1826" s="1" t="s">
        <v>24</v>
      </c>
      <c r="E1826" s="1"/>
      <c r="F1826" s="29">
        <v>46228</v>
      </c>
      <c r="G1826" s="29">
        <v>46228</v>
      </c>
      <c r="H1826" s="1" t="s">
        <v>78</v>
      </c>
      <c r="I1826" s="1" t="s">
        <v>4341</v>
      </c>
      <c r="J1826" s="207">
        <v>16846439103</v>
      </c>
      <c r="K1826" s="171" t="s">
        <v>4342</v>
      </c>
      <c r="L1826" s="62">
        <v>23103564</v>
      </c>
      <c r="M1826" s="30">
        <v>5217229048477</v>
      </c>
      <c r="N1826" s="171" t="s">
        <v>37</v>
      </c>
      <c r="O1826" s="52">
        <v>9760.32</v>
      </c>
      <c r="P1826" s="99">
        <v>2928.1</v>
      </c>
      <c r="Q1826" s="42">
        <f>OfficeForms.Table[[#This Row],[ INFORMEDEPAGO ]]*0.3</f>
        <v>2928.096</v>
      </c>
      <c r="R1826" s="12">
        <f>(IF(O1826&lt;4172.98,0,MIN(O1826*0.3,O1826-4172.98)))-P1826</f>
        <v>-3.9999999999054126E-3</v>
      </c>
      <c r="S1826" s="74">
        <v>46844</v>
      </c>
      <c r="T1826" s="1"/>
      <c r="V1826" s="1"/>
      <c r="X1826" s="101">
        <v>2</v>
      </c>
    </row>
    <row r="1827" spans="1:24" hidden="1">
      <c r="A1827">
        <v>225</v>
      </c>
      <c r="B1827" s="2">
        <v>46228.641365740703</v>
      </c>
      <c r="C1827" s="2">
        <v>46228.661539351902</v>
      </c>
      <c r="D1827" s="1" t="s">
        <v>24</v>
      </c>
      <c r="E1827" s="1"/>
      <c r="F1827" s="29">
        <v>46228</v>
      </c>
      <c r="G1827" s="29">
        <v>46227</v>
      </c>
      <c r="H1827" s="1" t="s">
        <v>3352</v>
      </c>
      <c r="I1827" s="1" t="s">
        <v>4343</v>
      </c>
      <c r="J1827" s="207"/>
      <c r="K1827" s="171" t="s">
        <v>4344</v>
      </c>
      <c r="L1827" s="62">
        <v>23047446</v>
      </c>
      <c r="M1827" s="30">
        <v>8331896905</v>
      </c>
      <c r="N1827" s="171" t="s">
        <v>28</v>
      </c>
      <c r="O1827" s="67">
        <v>13861.31</v>
      </c>
      <c r="P1827" s="99"/>
      <c r="Q1827" s="42">
        <f>OfficeForms.Table[[#This Row],[ INFORMEDEPAGO ]]*0.3</f>
        <v>4158.393</v>
      </c>
      <c r="R1827" s="12">
        <f>(IF(O1827&lt;4172.98,0,MIN(O1827*0.3,O1827-4172.98)))-P1827</f>
        <v>4158.393</v>
      </c>
      <c r="T1827" s="1"/>
      <c r="V1827" s="1"/>
      <c r="X1827" s="101">
        <v>1</v>
      </c>
    </row>
    <row r="1828" spans="1:24" hidden="1">
      <c r="A1828">
        <v>226</v>
      </c>
      <c r="B1828" s="2">
        <v>46228.647812499999</v>
      </c>
      <c r="C1828" s="2">
        <v>46228.665960648097</v>
      </c>
      <c r="D1828" s="1" t="s">
        <v>24</v>
      </c>
      <c r="E1828" s="1"/>
      <c r="F1828" s="29">
        <v>46228</v>
      </c>
      <c r="G1828" s="29">
        <v>46228</v>
      </c>
      <c r="H1828" s="1" t="s">
        <v>51</v>
      </c>
      <c r="I1828" s="1" t="s">
        <v>4345</v>
      </c>
      <c r="J1828" s="207" t="s">
        <v>4346</v>
      </c>
      <c r="K1828" s="171" t="s">
        <v>4347</v>
      </c>
      <c r="L1828" s="62">
        <v>23104166</v>
      </c>
      <c r="M1828" s="30">
        <v>5215580608688</v>
      </c>
      <c r="N1828" s="171" t="s">
        <v>28</v>
      </c>
      <c r="O1828" s="67">
        <v>9760.32</v>
      </c>
      <c r="P1828" s="99"/>
      <c r="Q1828" s="42">
        <f>OfficeForms.Table[[#This Row],[ INFORMEDEPAGO ]]*0.3</f>
        <v>2928.096</v>
      </c>
      <c r="R1828" s="12">
        <f>(IF(O1828&lt;4172.98,0,MIN(O1828*0.3,O1828-4172.98)))-P1828</f>
        <v>2928.096</v>
      </c>
      <c r="T1828" s="1"/>
      <c r="V1828" s="1"/>
      <c r="X1828" s="101">
        <v>1</v>
      </c>
    </row>
    <row r="1829" spans="1:24" hidden="1">
      <c r="A1829">
        <v>227</v>
      </c>
      <c r="B1829" s="2">
        <v>46228.652002314797</v>
      </c>
      <c r="C1829" s="2">
        <v>46228.6663078704</v>
      </c>
      <c r="D1829" s="1" t="s">
        <v>24</v>
      </c>
      <c r="E1829" s="1"/>
      <c r="F1829" s="29">
        <v>46228</v>
      </c>
      <c r="G1829" s="29">
        <v>46226</v>
      </c>
      <c r="H1829" s="1" t="s">
        <v>160</v>
      </c>
      <c r="I1829" s="1" t="s">
        <v>4348</v>
      </c>
      <c r="J1829" s="207">
        <v>51884700348</v>
      </c>
      <c r="K1829" s="171" t="s">
        <v>4349</v>
      </c>
      <c r="L1829" s="62">
        <v>23037766</v>
      </c>
      <c r="M1829" s="30">
        <v>5214922273512</v>
      </c>
      <c r="N1829" s="171" t="s">
        <v>37</v>
      </c>
      <c r="O1829" s="52">
        <v>9696</v>
      </c>
      <c r="P1829" s="99">
        <v>2805.29</v>
      </c>
      <c r="Q1829" s="42">
        <f>OfficeForms.Table[[#This Row],[ INFORMEDEPAGO ]]*0.3</f>
        <v>2908.7999999999997</v>
      </c>
      <c r="R1829" s="12">
        <f>(IF(O1829&lt;4172.98,0,MIN(O1829*0.3,O1829-4172.98)))-P1829</f>
        <v>103.50999999999976</v>
      </c>
      <c r="S1829" s="74">
        <v>46539</v>
      </c>
      <c r="T1829" s="1"/>
      <c r="V1829" s="1"/>
      <c r="X1829" s="101">
        <v>2</v>
      </c>
    </row>
    <row r="1830" spans="1:24" hidden="1">
      <c r="A1830">
        <v>228</v>
      </c>
      <c r="B1830" s="2">
        <v>46228.601226851897</v>
      </c>
      <c r="C1830" s="2">
        <v>46228.666967592602</v>
      </c>
      <c r="D1830" s="1" t="s">
        <v>24</v>
      </c>
      <c r="E1830" s="1"/>
      <c r="F1830" s="29">
        <v>46228</v>
      </c>
      <c r="G1830" s="29">
        <v>46228</v>
      </c>
      <c r="H1830" s="1" t="s">
        <v>39</v>
      </c>
      <c r="I1830" s="1" t="s">
        <v>4350</v>
      </c>
      <c r="J1830" s="207">
        <v>21806338782</v>
      </c>
      <c r="K1830" s="171"/>
      <c r="L1830" s="62">
        <v>23093160</v>
      </c>
      <c r="M1830" s="30">
        <v>5216864002780</v>
      </c>
      <c r="N1830" s="171" t="s">
        <v>37</v>
      </c>
      <c r="O1830" s="52">
        <v>7920.51</v>
      </c>
      <c r="P1830" s="99">
        <v>2375.15</v>
      </c>
      <c r="Q1830" s="42">
        <f>OfficeForms.Table[[#This Row],[ INFORMEDEPAGO ]]*0.3</f>
        <v>2376.1529999999998</v>
      </c>
      <c r="R1830" s="12">
        <f>(IF(O1830&lt;4172.98,0,MIN(O1830*0.3,O1830-4172.98)))-P1830</f>
        <v>1.0029999999997017</v>
      </c>
      <c r="S1830" s="74">
        <v>46874</v>
      </c>
      <c r="T1830" s="1"/>
      <c r="V1830" s="1"/>
      <c r="X1830" s="101">
        <v>2</v>
      </c>
    </row>
    <row r="1831" spans="1:24" hidden="1">
      <c r="A1831">
        <v>229</v>
      </c>
      <c r="B1831" s="2">
        <v>46228.6640625</v>
      </c>
      <c r="C1831" s="2">
        <v>46228.670138888898</v>
      </c>
      <c r="D1831" s="1" t="s">
        <v>24</v>
      </c>
      <c r="E1831" s="1"/>
      <c r="F1831" s="29">
        <v>46228</v>
      </c>
      <c r="G1831" s="29">
        <v>46228</v>
      </c>
      <c r="H1831" s="1" t="s">
        <v>39</v>
      </c>
      <c r="I1831" s="1" t="s">
        <v>3961</v>
      </c>
      <c r="J1831" s="207" t="s">
        <v>4351</v>
      </c>
      <c r="K1831" s="171" t="s">
        <v>3963</v>
      </c>
      <c r="L1831" s="62">
        <v>23104860</v>
      </c>
      <c r="M1831" s="30">
        <v>5215616833761</v>
      </c>
      <c r="N1831" s="171" t="s">
        <v>32</v>
      </c>
      <c r="O1831" s="50">
        <v>3882.85</v>
      </c>
      <c r="P1831" s="97"/>
      <c r="Q1831" s="42">
        <f>OfficeForms.Table[[#This Row],[ INFORMEDEPAGO ]]*0.3</f>
        <v>1164.855</v>
      </c>
      <c r="R1831" s="12">
        <f>(IF(O1831&lt;4172.98,0,MIN(O1831*0.3,O1831-4172.98)))-P1831</f>
        <v>0</v>
      </c>
      <c r="T1831" s="1"/>
      <c r="V1831" s="1"/>
      <c r="X1831" s="101">
        <v>1</v>
      </c>
    </row>
    <row r="1832" spans="1:24" hidden="1">
      <c r="A1832">
        <v>230</v>
      </c>
      <c r="B1832" s="2">
        <v>46228.671840277799</v>
      </c>
      <c r="C1832" s="2">
        <v>46228.678229166697</v>
      </c>
      <c r="D1832" s="1" t="s">
        <v>24</v>
      </c>
      <c r="E1832" s="1"/>
      <c r="F1832" s="29">
        <v>46228</v>
      </c>
      <c r="G1832" s="29">
        <v>46228</v>
      </c>
      <c r="H1832" s="1" t="s">
        <v>1519</v>
      </c>
      <c r="I1832" s="1" t="s">
        <v>4352</v>
      </c>
      <c r="J1832" s="207"/>
      <c r="K1832" s="171" t="s">
        <v>4353</v>
      </c>
      <c r="L1832" s="62">
        <v>23104372</v>
      </c>
      <c r="M1832" s="30">
        <v>5215632839585</v>
      </c>
      <c r="N1832" s="171" t="s">
        <v>37</v>
      </c>
      <c r="O1832" s="52">
        <v>5617.63</v>
      </c>
      <c r="P1832" s="99">
        <v>1392.24</v>
      </c>
      <c r="Q1832" s="42">
        <f>OfficeForms.Table[[#This Row],[ INFORMEDEPAGO ]]*0.3</f>
        <v>1685.289</v>
      </c>
      <c r="R1832" s="12">
        <f>(IF(O1832&lt;4172.98,0,MIN(O1832*0.3,O1832-4172.98)))-P1832</f>
        <v>52.410000000000537</v>
      </c>
      <c r="S1832" s="74">
        <v>46419</v>
      </c>
      <c r="T1832" s="1"/>
      <c r="V1832" s="1"/>
      <c r="X1832" s="101">
        <v>2</v>
      </c>
    </row>
    <row r="1833" spans="1:24" hidden="1">
      <c r="A1833">
        <v>231</v>
      </c>
      <c r="B1833" s="2">
        <v>46228.680914351797</v>
      </c>
      <c r="C1833" s="2">
        <v>46228.682303240697</v>
      </c>
      <c r="D1833" s="1" t="s">
        <v>24</v>
      </c>
      <c r="E1833" s="1"/>
      <c r="F1833" s="29">
        <v>46228</v>
      </c>
      <c r="G1833" s="29">
        <v>46228</v>
      </c>
      <c r="H1833" s="1" t="s">
        <v>476</v>
      </c>
      <c r="I1833" s="1" t="s">
        <v>4354</v>
      </c>
      <c r="J1833" s="207"/>
      <c r="K1833" s="171" t="s">
        <v>4355</v>
      </c>
      <c r="L1833" s="62">
        <v>23105696</v>
      </c>
      <c r="M1833" s="30">
        <v>5215512706754</v>
      </c>
      <c r="N1833" s="171" t="s">
        <v>28</v>
      </c>
      <c r="O1833" s="67">
        <v>10345.469999999999</v>
      </c>
      <c r="P1833" s="99"/>
      <c r="Q1833" s="42">
        <f>OfficeForms.Table[[#This Row],[ INFORMEDEPAGO ]]*0.3</f>
        <v>3103.6409999999996</v>
      </c>
      <c r="R1833" s="12">
        <f>(IF(O1833&lt;4172.98,0,MIN(O1833*0.3,O1833-4172.98)))-P1833</f>
        <v>3103.6409999999996</v>
      </c>
      <c r="T1833" s="1"/>
      <c r="V1833" s="1"/>
      <c r="X1833" s="101">
        <v>1</v>
      </c>
    </row>
    <row r="1834" spans="1:24" hidden="1">
      <c r="A1834">
        <v>232</v>
      </c>
      <c r="B1834" s="2">
        <v>46228.678043981497</v>
      </c>
      <c r="C1834" s="2">
        <v>46228.682453703703</v>
      </c>
      <c r="D1834" s="1" t="s">
        <v>24</v>
      </c>
      <c r="E1834" s="1"/>
      <c r="F1834" s="29">
        <v>46228</v>
      </c>
      <c r="G1834" s="29">
        <v>46228</v>
      </c>
      <c r="H1834" s="1" t="s">
        <v>160</v>
      </c>
      <c r="I1834" s="1" t="s">
        <v>4356</v>
      </c>
      <c r="J1834" s="207">
        <v>67944550051</v>
      </c>
      <c r="K1834" s="171" t="s">
        <v>4357</v>
      </c>
      <c r="L1834" s="62">
        <v>23102388</v>
      </c>
      <c r="M1834" s="30">
        <v>5219531236785</v>
      </c>
      <c r="N1834" s="171" t="s">
        <v>37</v>
      </c>
      <c r="O1834" s="52">
        <v>10388.06</v>
      </c>
      <c r="P1834" s="99">
        <v>3115.33</v>
      </c>
      <c r="Q1834" s="42">
        <f>OfficeForms.Table[[#This Row],[ INFORMEDEPAGO ]]*0.3</f>
        <v>3116.4179999999997</v>
      </c>
      <c r="R1834" s="12">
        <f>(IF(O1834&lt;4172.98,0,MIN(O1834*0.3,O1834-4172.98)))-P1834</f>
        <v>1.0879999999997381</v>
      </c>
      <c r="S1834" s="74">
        <v>46388</v>
      </c>
      <c r="T1834" s="1"/>
      <c r="V1834" s="1"/>
      <c r="X1834" s="101">
        <v>2</v>
      </c>
    </row>
    <row r="1835" spans="1:24" hidden="1">
      <c r="A1835">
        <v>233</v>
      </c>
      <c r="B1835" s="2">
        <v>46228.6778009259</v>
      </c>
      <c r="C1835" s="2">
        <v>46228.683935185203</v>
      </c>
      <c r="D1835" s="1" t="s">
        <v>24</v>
      </c>
      <c r="E1835" s="1"/>
      <c r="F1835" s="29">
        <v>46228</v>
      </c>
      <c r="G1835" s="29">
        <v>46228</v>
      </c>
      <c r="H1835" s="1" t="s">
        <v>78</v>
      </c>
      <c r="I1835" s="1" t="s">
        <v>4358</v>
      </c>
      <c r="J1835" s="207">
        <v>63846404083</v>
      </c>
      <c r="K1835" s="171" t="s">
        <v>4359</v>
      </c>
      <c r="L1835" s="62">
        <v>23105336</v>
      </c>
      <c r="M1835" s="30">
        <v>5215574663595</v>
      </c>
      <c r="N1835" s="171" t="s">
        <v>28</v>
      </c>
      <c r="O1835" s="52">
        <v>9417.83</v>
      </c>
      <c r="P1835" s="99">
        <v>277.95</v>
      </c>
      <c r="Q1835" s="42">
        <f>OfficeForms.Table[[#This Row],[ INFORMEDEPAGO ]]*0.3</f>
        <v>2825.3489999999997</v>
      </c>
      <c r="R1835" s="12">
        <f>(IF(O1835&lt;4172.98,0,MIN(O1835*0.3,O1835-4172.98)))-P1835</f>
        <v>2547.3989999999999</v>
      </c>
      <c r="T1835" s="1"/>
      <c r="V1835" s="1"/>
      <c r="X1835" s="101">
        <v>1</v>
      </c>
    </row>
    <row r="1836" spans="1:24" hidden="1">
      <c r="A1836">
        <v>234</v>
      </c>
      <c r="B1836" s="2">
        <v>46228.674722222197</v>
      </c>
      <c r="C1836" s="2">
        <v>46228.684120370403</v>
      </c>
      <c r="D1836" s="1" t="s">
        <v>24</v>
      </c>
      <c r="E1836" s="1"/>
      <c r="F1836" s="29">
        <v>46228</v>
      </c>
      <c r="G1836" s="29">
        <v>46227</v>
      </c>
      <c r="H1836" s="1" t="s">
        <v>127</v>
      </c>
      <c r="I1836" s="1" t="s">
        <v>4360</v>
      </c>
      <c r="J1836" s="207"/>
      <c r="K1836" s="171" t="s">
        <v>4361</v>
      </c>
      <c r="L1836" s="62">
        <v>23091626</v>
      </c>
      <c r="M1836" s="30">
        <v>5213222297502</v>
      </c>
      <c r="N1836" s="171" t="s">
        <v>37</v>
      </c>
      <c r="O1836" s="52">
        <v>9081.52</v>
      </c>
      <c r="P1836" s="99">
        <v>2724.46</v>
      </c>
      <c r="Q1836" s="42">
        <f>OfficeForms.Table[[#This Row],[ INFORMEDEPAGO ]]*0.3</f>
        <v>2724.4560000000001</v>
      </c>
      <c r="R1836" s="12">
        <f>(IF(O1836&lt;4172.98,0,MIN(O1836*0.3,O1836-4172.98)))-P1836</f>
        <v>-3.9999999999054126E-3</v>
      </c>
      <c r="S1836" s="74">
        <v>46844</v>
      </c>
      <c r="T1836" s="1"/>
      <c r="V1836" s="1"/>
      <c r="X1836" s="101">
        <v>1</v>
      </c>
    </row>
    <row r="1837" spans="1:24" hidden="1">
      <c r="A1837">
        <v>235</v>
      </c>
      <c r="B1837" s="2">
        <v>46228.677199074104</v>
      </c>
      <c r="C1837" s="2">
        <v>46228.684537036999</v>
      </c>
      <c r="D1837" s="1" t="s">
        <v>24</v>
      </c>
      <c r="E1837" s="1"/>
      <c r="F1837" s="29">
        <v>46228</v>
      </c>
      <c r="G1837" s="29">
        <v>46228</v>
      </c>
      <c r="H1837" s="1" t="s">
        <v>127</v>
      </c>
      <c r="I1837" s="1" t="s">
        <v>4362</v>
      </c>
      <c r="J1837" s="207">
        <v>68947914401</v>
      </c>
      <c r="K1837" s="171" t="s">
        <v>4363</v>
      </c>
      <c r="L1837" s="62">
        <v>23101642</v>
      </c>
      <c r="M1837" s="30">
        <v>5215585794286</v>
      </c>
      <c r="N1837" s="171" t="s">
        <v>37</v>
      </c>
      <c r="O1837" s="52">
        <v>18950.37</v>
      </c>
      <c r="P1837" s="99">
        <v>5669.76</v>
      </c>
      <c r="Q1837" s="42">
        <f>OfficeForms.Table[[#This Row],[ INFORMEDEPAGO ]]*0.3</f>
        <v>5685.1109999999999</v>
      </c>
      <c r="R1837" s="12">
        <f>(IF(O1837&lt;4172.98,0,MIN(O1837*0.3,O1837-4172.98)))-P1837</f>
        <v>15.350999999999658</v>
      </c>
      <c r="S1837" s="74">
        <v>46478</v>
      </c>
      <c r="T1837" s="1"/>
      <c r="V1837" s="1"/>
      <c r="X1837" s="101">
        <v>2</v>
      </c>
    </row>
    <row r="1838" spans="1:24" hidden="1">
      <c r="A1838">
        <v>236</v>
      </c>
      <c r="B1838" s="2">
        <v>46228.679247685199</v>
      </c>
      <c r="C1838" s="2">
        <v>46228.685104166703</v>
      </c>
      <c r="D1838" s="1" t="s">
        <v>24</v>
      </c>
      <c r="E1838" s="1"/>
      <c r="F1838" s="29">
        <v>46228</v>
      </c>
      <c r="G1838" s="29">
        <v>46228</v>
      </c>
      <c r="H1838" s="1" t="s">
        <v>127</v>
      </c>
      <c r="I1838" s="1" t="s">
        <v>4364</v>
      </c>
      <c r="J1838" s="207">
        <v>12765827303</v>
      </c>
      <c r="K1838" s="171" t="s">
        <v>4365</v>
      </c>
      <c r="L1838" s="62">
        <v>23102226</v>
      </c>
      <c r="M1838" s="30">
        <v>5214771146386</v>
      </c>
      <c r="N1838" s="171" t="s">
        <v>37</v>
      </c>
      <c r="O1838" s="52">
        <v>7844.5</v>
      </c>
      <c r="P1838" s="99">
        <v>2268</v>
      </c>
      <c r="Q1838" s="42">
        <f>OfficeForms.Table[[#This Row],[ INFORMEDEPAGO ]]*0.3</f>
        <v>2353.35</v>
      </c>
      <c r="R1838" s="12">
        <f>(IF(O1838&lt;4172.98,0,MIN(O1838*0.3,O1838-4172.98)))-P1838</f>
        <v>85.349999999999909</v>
      </c>
      <c r="S1838" s="74">
        <v>46296</v>
      </c>
      <c r="T1838" s="1"/>
      <c r="V1838" s="1"/>
      <c r="X1838" s="101">
        <v>2</v>
      </c>
    </row>
    <row r="1839" spans="1:24" hidden="1">
      <c r="A1839">
        <v>237</v>
      </c>
      <c r="B1839" s="2">
        <v>46228.685590277797</v>
      </c>
      <c r="C1839" s="2">
        <v>46228.6884027778</v>
      </c>
      <c r="D1839" s="1" t="s">
        <v>24</v>
      </c>
      <c r="E1839" s="1"/>
      <c r="F1839" s="29">
        <v>46228</v>
      </c>
      <c r="G1839" s="29">
        <v>46228</v>
      </c>
      <c r="H1839" s="1" t="s">
        <v>78</v>
      </c>
      <c r="I1839" s="1" t="s">
        <v>4366</v>
      </c>
      <c r="J1839" s="207" t="s">
        <v>4367</v>
      </c>
      <c r="K1839" s="171" t="s">
        <v>4368</v>
      </c>
      <c r="L1839" s="62">
        <v>23103304</v>
      </c>
      <c r="M1839" s="30">
        <v>5213314884133</v>
      </c>
      <c r="N1839" s="171" t="s">
        <v>37</v>
      </c>
      <c r="O1839" s="52">
        <v>9760.32</v>
      </c>
      <c r="P1839" s="99">
        <v>2823.87</v>
      </c>
      <c r="Q1839" s="42">
        <f>OfficeForms.Table[[#This Row],[ INFORMEDEPAGO ]]*0.3</f>
        <v>2928.096</v>
      </c>
      <c r="R1839" s="12">
        <f>(IF(O1839&lt;4172.98,0,MIN(O1839*0.3,O1839-4172.98)))-P1839</f>
        <v>104.22600000000011</v>
      </c>
      <c r="S1839" s="74">
        <v>46539</v>
      </c>
      <c r="T1839" s="1"/>
      <c r="V1839" s="1"/>
      <c r="X1839" s="101">
        <v>2</v>
      </c>
    </row>
    <row r="1840" spans="1:24" hidden="1">
      <c r="A1840">
        <v>239</v>
      </c>
      <c r="B1840" s="2">
        <v>46228.692141203697</v>
      </c>
      <c r="C1840" s="2">
        <v>46228.692696759303</v>
      </c>
      <c r="D1840" s="1" t="s">
        <v>24</v>
      </c>
      <c r="E1840" s="1"/>
      <c r="F1840" s="29">
        <v>46228</v>
      </c>
      <c r="G1840" s="29">
        <v>46228</v>
      </c>
      <c r="H1840" s="1" t="s">
        <v>3007</v>
      </c>
      <c r="I1840" s="1" t="s">
        <v>4369</v>
      </c>
      <c r="J1840" s="208" t="s">
        <v>4370</v>
      </c>
      <c r="K1840" s="171" t="s">
        <v>4371</v>
      </c>
      <c r="L1840" s="62">
        <v>23091872</v>
      </c>
      <c r="M1840" s="30">
        <v>9994856120</v>
      </c>
      <c r="N1840" s="171" t="s">
        <v>32</v>
      </c>
      <c r="O1840" s="67">
        <v>3547.06</v>
      </c>
      <c r="P1840" s="99" t="s">
        <v>3921</v>
      </c>
      <c r="Q1840" s="42">
        <f>OfficeForms.Table[[#This Row],[ INFORMEDEPAGO ]]*0.3</f>
        <v>1064.1179999999999</v>
      </c>
      <c r="R1840" s="12">
        <f>(IF(O1840&lt;4172.98,0,MIN(O1840*0.3,O1840-4172.98)))-P1840</f>
        <v>-848</v>
      </c>
      <c r="T1840" s="1"/>
      <c r="V1840" s="1"/>
      <c r="X1840" s="101">
        <v>1</v>
      </c>
    </row>
    <row r="1841" spans="1:24" hidden="1">
      <c r="A1841">
        <v>240</v>
      </c>
      <c r="B1841" s="2">
        <v>46228.690868055601</v>
      </c>
      <c r="C1841" s="2">
        <v>46228.698622685202</v>
      </c>
      <c r="D1841" s="1" t="s">
        <v>24</v>
      </c>
      <c r="E1841" s="1"/>
      <c r="F1841" s="29">
        <v>46228</v>
      </c>
      <c r="G1841" s="29">
        <v>46228</v>
      </c>
      <c r="H1841" s="1" t="s">
        <v>160</v>
      </c>
      <c r="I1841" s="1" t="s">
        <v>4372</v>
      </c>
      <c r="J1841" s="207">
        <v>62786106237</v>
      </c>
      <c r="K1841" s="171" t="s">
        <v>4373</v>
      </c>
      <c r="L1841" s="62">
        <v>23101160</v>
      </c>
      <c r="M1841" s="30">
        <v>5212214641894</v>
      </c>
      <c r="N1841" s="171" t="s">
        <v>37</v>
      </c>
      <c r="O1841" s="52">
        <v>6262.86</v>
      </c>
      <c r="P1841" s="99">
        <v>1811.88</v>
      </c>
      <c r="Q1841" s="42">
        <f>OfficeForms.Table[[#This Row],[ INFORMEDEPAGO ]]*0.3</f>
        <v>1878.8579999999997</v>
      </c>
      <c r="R1841" s="12">
        <f>(IF(O1841&lt;4172.98,0,MIN(O1841*0.3,O1841-4172.98)))-P1841</f>
        <v>66.977999999999611</v>
      </c>
      <c r="S1841" s="74">
        <v>46478</v>
      </c>
      <c r="T1841" s="1"/>
      <c r="V1841" s="1"/>
      <c r="X1841" s="101">
        <v>2</v>
      </c>
    </row>
    <row r="1842" spans="1:24" hidden="1">
      <c r="A1842">
        <v>241</v>
      </c>
      <c r="B1842" s="2">
        <v>46228.696817129603</v>
      </c>
      <c r="C1842" s="2">
        <v>46228.699548611097</v>
      </c>
      <c r="D1842" s="1" t="s">
        <v>24</v>
      </c>
      <c r="E1842" s="1"/>
      <c r="F1842" s="29">
        <v>46228</v>
      </c>
      <c r="G1842" s="29">
        <v>46228</v>
      </c>
      <c r="H1842" s="1" t="s">
        <v>476</v>
      </c>
      <c r="I1842" s="1" t="s">
        <v>4374</v>
      </c>
      <c r="J1842" s="207">
        <v>83644710481</v>
      </c>
      <c r="K1842" s="171"/>
      <c r="L1842" s="62">
        <v>23103036</v>
      </c>
      <c r="M1842" s="30">
        <v>5219934284179</v>
      </c>
      <c r="N1842" s="171" t="s">
        <v>32</v>
      </c>
      <c r="O1842" s="67">
        <v>4035.69</v>
      </c>
      <c r="P1842" s="99"/>
      <c r="Q1842" s="42">
        <f>OfficeForms.Table[[#This Row],[ INFORMEDEPAGO ]]*0.3</f>
        <v>1210.7069999999999</v>
      </c>
      <c r="R1842" s="12">
        <f>(IF(O1842&lt;4172.98,0,MIN(O1842*0.3,O1842-4172.98)))-P1842</f>
        <v>0</v>
      </c>
      <c r="T1842" s="1"/>
      <c r="V1842" s="1"/>
      <c r="X1842" s="101">
        <v>1</v>
      </c>
    </row>
    <row r="1843" spans="1:24" hidden="1">
      <c r="A1843">
        <v>242</v>
      </c>
      <c r="B1843" s="2">
        <v>46228.661562499998</v>
      </c>
      <c r="C1843" s="2">
        <v>46228.700752314799</v>
      </c>
      <c r="D1843" s="1" t="s">
        <v>24</v>
      </c>
      <c r="E1843" s="1"/>
      <c r="F1843" s="29">
        <v>46228</v>
      </c>
      <c r="G1843" s="29">
        <v>46228</v>
      </c>
      <c r="H1843" s="1" t="s">
        <v>3352</v>
      </c>
      <c r="I1843" s="1" t="s">
        <v>4375</v>
      </c>
      <c r="J1843" s="207"/>
      <c r="K1843" s="171" t="s">
        <v>4376</v>
      </c>
      <c r="L1843" s="62">
        <v>23106220</v>
      </c>
      <c r="M1843" s="30">
        <v>7841414260</v>
      </c>
      <c r="N1843" s="171" t="s">
        <v>130</v>
      </c>
      <c r="O1843" s="52">
        <v>6021.85</v>
      </c>
      <c r="P1843" s="99">
        <v>1742.26</v>
      </c>
      <c r="Q1843" s="42">
        <f>OfficeForms.Table[[#This Row],[ INFORMEDEPAGO ]]*0.3</f>
        <v>1806.5550000000001</v>
      </c>
      <c r="R1843" s="12">
        <f>(IF(O1843&lt;4172.98,0,MIN(O1843*0.3,O1843-4172.98)))-P1843</f>
        <v>64.295000000000073</v>
      </c>
      <c r="S1843" s="74">
        <v>45444</v>
      </c>
      <c r="T1843" s="1"/>
      <c r="V1843" s="1"/>
      <c r="X1843" s="101">
        <v>2</v>
      </c>
    </row>
    <row r="1844" spans="1:24" hidden="1">
      <c r="A1844">
        <v>243</v>
      </c>
      <c r="B1844" s="2">
        <v>46228.700462963003</v>
      </c>
      <c r="C1844" s="2">
        <v>46228.701030092598</v>
      </c>
      <c r="D1844" s="1" t="s">
        <v>24</v>
      </c>
      <c r="E1844" s="1"/>
      <c r="F1844" s="29">
        <v>46228</v>
      </c>
      <c r="G1844" s="29">
        <v>46228</v>
      </c>
      <c r="H1844" s="1" t="s">
        <v>71</v>
      </c>
      <c r="I1844" s="1" t="s">
        <v>4377</v>
      </c>
      <c r="J1844" s="207" t="s">
        <v>4378</v>
      </c>
      <c r="K1844" s="171"/>
      <c r="L1844" s="62">
        <v>23106358</v>
      </c>
      <c r="M1844" s="30">
        <v>5218115646900</v>
      </c>
      <c r="N1844" s="171" t="s">
        <v>47</v>
      </c>
      <c r="O1844" s="67">
        <f>4716.45+848</f>
        <v>5564.45</v>
      </c>
      <c r="P1844" s="99" t="s">
        <v>3921</v>
      </c>
      <c r="Q1844" s="42">
        <f>OfficeForms.Table[[#This Row],[ INFORMEDEPAGO ]]*0.3</f>
        <v>1669.3349999999998</v>
      </c>
      <c r="R1844" s="12">
        <f>(IF(O1844&lt;4172.98,0,MIN(O1844*0.3,O1844-4172.98)))-P1844</f>
        <v>543.47000000000025</v>
      </c>
      <c r="T1844" s="1"/>
      <c r="V1844" s="1"/>
      <c r="X1844" s="101">
        <v>1</v>
      </c>
    </row>
    <row r="1845" spans="1:24" hidden="1">
      <c r="A1845">
        <v>244</v>
      </c>
      <c r="B1845" s="2">
        <v>46228.700775463003</v>
      </c>
      <c r="C1845" s="2">
        <v>46228.706701388903</v>
      </c>
      <c r="D1845" s="1" t="s">
        <v>24</v>
      </c>
      <c r="E1845" s="1"/>
      <c r="F1845" s="29">
        <v>46228</v>
      </c>
      <c r="G1845" s="29">
        <v>46228</v>
      </c>
      <c r="H1845" s="1" t="s">
        <v>3352</v>
      </c>
      <c r="I1845" s="1" t="s">
        <v>4379</v>
      </c>
      <c r="J1845" s="207"/>
      <c r="K1845" s="171" t="s">
        <v>4380</v>
      </c>
      <c r="L1845" s="62">
        <v>23106318</v>
      </c>
      <c r="M1845" s="30">
        <v>4131285201</v>
      </c>
      <c r="N1845" s="171" t="s">
        <v>32</v>
      </c>
      <c r="O1845" s="67">
        <f>3082.31+879</f>
        <v>3961.31</v>
      </c>
      <c r="P1845" s="99" t="s">
        <v>3934</v>
      </c>
      <c r="Q1845" s="42">
        <f>OfficeForms.Table[[#This Row],[ INFORMEDEPAGO ]]*0.3</f>
        <v>1188.393</v>
      </c>
      <c r="R1845" s="12">
        <f>(IF(O1845&lt;4172.98,0,MIN(O1845*0.3,O1845-4172.98)))-P1845</f>
        <v>-879</v>
      </c>
      <c r="T1845" s="1"/>
      <c r="V1845" s="1"/>
      <c r="X1845" s="101">
        <v>1</v>
      </c>
    </row>
    <row r="1846" spans="1:24" hidden="1">
      <c r="A1846">
        <v>245</v>
      </c>
      <c r="B1846" s="2">
        <v>46228.692731481497</v>
      </c>
      <c r="C1846" s="2">
        <v>46228.709247685198</v>
      </c>
      <c r="D1846" s="1" t="s">
        <v>24</v>
      </c>
      <c r="E1846" s="1"/>
      <c r="F1846" s="29">
        <v>46228</v>
      </c>
      <c r="G1846" s="29">
        <v>46228</v>
      </c>
      <c r="H1846" s="1" t="s">
        <v>3007</v>
      </c>
      <c r="I1846" s="1" t="s">
        <v>4381</v>
      </c>
      <c r="J1846" s="207"/>
      <c r="K1846" s="171" t="s">
        <v>4382</v>
      </c>
      <c r="L1846" s="62">
        <v>23106282</v>
      </c>
      <c r="M1846" s="30">
        <v>5647758447</v>
      </c>
      <c r="N1846" s="171" t="s">
        <v>47</v>
      </c>
      <c r="O1846" s="52">
        <v>9582.4699999999993</v>
      </c>
      <c r="P1846" s="99">
        <v>2559.4299999999998</v>
      </c>
      <c r="Q1846" s="42">
        <f>OfficeForms.Table[[#This Row],[ INFORMEDEPAGO ]]*0.3</f>
        <v>2874.7409999999995</v>
      </c>
      <c r="R1846" s="12">
        <f>(IF(O1846&lt;4172.98,0,MIN(O1846*0.3,O1846-4172.98)))-P1846</f>
        <v>315.31099999999969</v>
      </c>
      <c r="S1846" s="74">
        <v>46905</v>
      </c>
      <c r="T1846" s="1"/>
      <c r="V1846" s="1"/>
      <c r="X1846" s="101">
        <v>2</v>
      </c>
    </row>
    <row r="1847" spans="1:24" hidden="1">
      <c r="A1847">
        <v>246</v>
      </c>
      <c r="B1847" s="2">
        <v>46228.684571759302</v>
      </c>
      <c r="C1847" s="2">
        <v>46228.711354166699</v>
      </c>
      <c r="D1847" s="1" t="s">
        <v>24</v>
      </c>
      <c r="E1847" s="1"/>
      <c r="F1847" s="29">
        <v>46228</v>
      </c>
      <c r="G1847" s="29">
        <v>46228</v>
      </c>
      <c r="H1847" s="1" t="s">
        <v>127</v>
      </c>
      <c r="I1847" s="1" t="s">
        <v>4383</v>
      </c>
      <c r="J1847" s="207">
        <v>62836112870</v>
      </c>
      <c r="K1847" s="171" t="s">
        <v>4384</v>
      </c>
      <c r="L1847" s="62">
        <v>23105324</v>
      </c>
      <c r="M1847" s="30">
        <v>5212221548751</v>
      </c>
      <c r="N1847" s="171" t="s">
        <v>37</v>
      </c>
      <c r="O1847" s="52">
        <v>45485.59</v>
      </c>
      <c r="P1847" s="99">
        <v>13643.55</v>
      </c>
      <c r="Q1847" s="42">
        <f>OfficeForms.Table[[#This Row],[ INFORMEDEPAGO ]]*0.3</f>
        <v>13645.676999999998</v>
      </c>
      <c r="R1847" s="12">
        <f>(IF(O1847&lt;4172.98,0,MIN(O1847*0.3,O1847-4172.98)))-P1847</f>
        <v>2.1269999999985885</v>
      </c>
      <c r="S1847" s="74">
        <v>46539</v>
      </c>
      <c r="T1847" s="1"/>
      <c r="V1847" s="1"/>
      <c r="X1847" s="101">
        <v>2</v>
      </c>
    </row>
    <row r="1848" spans="1:24" hidden="1">
      <c r="A1848">
        <v>247</v>
      </c>
      <c r="B1848" s="2">
        <v>46228.712071759299</v>
      </c>
      <c r="C1848" s="2">
        <v>46228.7133680556</v>
      </c>
      <c r="D1848" s="1" t="s">
        <v>24</v>
      </c>
      <c r="E1848" s="1"/>
      <c r="F1848" s="29">
        <v>46228</v>
      </c>
      <c r="G1848" s="29">
        <v>46228</v>
      </c>
      <c r="H1848" s="1" t="s">
        <v>3007</v>
      </c>
      <c r="I1848" s="1" t="s">
        <v>4385</v>
      </c>
      <c r="J1848" s="207">
        <v>23816409918</v>
      </c>
      <c r="K1848" s="171" t="s">
        <v>4386</v>
      </c>
      <c r="L1848" s="62">
        <v>23106500</v>
      </c>
      <c r="M1848" s="30">
        <v>6647627952</v>
      </c>
      <c r="N1848" s="171" t="s">
        <v>37</v>
      </c>
      <c r="O1848" s="52">
        <v>13507.95</v>
      </c>
      <c r="P1848" s="99">
        <v>4052.36</v>
      </c>
      <c r="Q1848" s="42">
        <f>OfficeForms.Table[[#This Row],[ INFORMEDEPAGO ]]*0.3</f>
        <v>4052.3850000000002</v>
      </c>
      <c r="R1848" s="12">
        <f>(IF(O1848&lt;4172.98,0,MIN(O1848*0.3,O1848-4172.98)))-P1848</f>
        <v>2.5000000000090949E-2</v>
      </c>
      <c r="S1848" s="74">
        <v>46296</v>
      </c>
      <c r="T1848" s="1"/>
      <c r="V1848" s="1"/>
      <c r="X1848" s="101">
        <v>2</v>
      </c>
    </row>
    <row r="1849" spans="1:24" hidden="1">
      <c r="A1849">
        <v>248</v>
      </c>
      <c r="B1849" s="2">
        <v>46228.709224537</v>
      </c>
      <c r="C1849" s="2">
        <v>46228.713981481502</v>
      </c>
      <c r="D1849" s="1" t="s">
        <v>24</v>
      </c>
      <c r="E1849" s="1"/>
      <c r="F1849" s="29">
        <v>46228</v>
      </c>
      <c r="G1849" s="29">
        <v>46228</v>
      </c>
      <c r="H1849" s="1" t="s">
        <v>127</v>
      </c>
      <c r="I1849" s="1" t="s">
        <v>4387</v>
      </c>
      <c r="J1849" s="207">
        <v>62886946482</v>
      </c>
      <c r="K1849" s="171" t="s">
        <v>4388</v>
      </c>
      <c r="L1849" s="62">
        <v>23104138</v>
      </c>
      <c r="M1849" s="30">
        <v>5212214373304</v>
      </c>
      <c r="N1849" s="171" t="s">
        <v>37</v>
      </c>
      <c r="O1849" s="52">
        <v>10639.54</v>
      </c>
      <c r="P1849" s="99">
        <v>3143.79</v>
      </c>
      <c r="Q1849" s="42">
        <f>OfficeForms.Table[[#This Row],[ INFORMEDEPAGO ]]*0.3</f>
        <v>3191.8620000000001</v>
      </c>
      <c r="R1849" s="12">
        <f>(IF(O1849&lt;4172.98,0,MIN(O1849*0.3,O1849-4172.98)))-P1849</f>
        <v>48.072000000000116</v>
      </c>
      <c r="S1849" s="74">
        <v>46935</v>
      </c>
      <c r="T1849" s="1"/>
      <c r="V1849" s="1"/>
      <c r="X1849" s="101">
        <v>2</v>
      </c>
    </row>
    <row r="1850" spans="1:24" hidden="1">
      <c r="A1850">
        <v>249</v>
      </c>
      <c r="B1850" s="2">
        <v>46228.712141203701</v>
      </c>
      <c r="C1850" s="2">
        <v>46228.714120370401</v>
      </c>
      <c r="D1850" s="1" t="s">
        <v>24</v>
      </c>
      <c r="E1850" s="1"/>
      <c r="F1850" s="29">
        <v>46228</v>
      </c>
      <c r="G1850" s="29">
        <v>46228</v>
      </c>
      <c r="H1850" s="1" t="s">
        <v>160</v>
      </c>
      <c r="I1850" s="1" t="s">
        <v>4389</v>
      </c>
      <c r="J1850" s="207">
        <v>83795905872</v>
      </c>
      <c r="K1850" s="171" t="s">
        <v>4390</v>
      </c>
      <c r="L1850" s="62">
        <v>23103266</v>
      </c>
      <c r="M1850" s="30">
        <v>5219931342395</v>
      </c>
      <c r="N1850" s="171" t="s">
        <v>263</v>
      </c>
      <c r="O1850" s="52">
        <v>4813.6899999999996</v>
      </c>
      <c r="P1850" s="99">
        <v>523.36</v>
      </c>
      <c r="Q1850" s="42">
        <f>OfficeForms.Table[[#This Row],[ INFORMEDEPAGO ]]*0.3</f>
        <v>1444.1069999999997</v>
      </c>
      <c r="R1850" s="12">
        <f>(IF(O1850&lt;4172.98,0,MIN(O1850*0.3,O1850-4172.98)))-P1850</f>
        <v>117.35000000000002</v>
      </c>
      <c r="S1850" s="74">
        <v>45566</v>
      </c>
      <c r="T1850" s="1"/>
      <c r="V1850" s="1"/>
      <c r="X1850" s="101">
        <v>2</v>
      </c>
    </row>
    <row r="1851" spans="1:24" hidden="1">
      <c r="A1851">
        <v>250</v>
      </c>
      <c r="B1851" s="2">
        <v>46228.689305555599</v>
      </c>
      <c r="C1851" s="2">
        <v>46228.716331018499</v>
      </c>
      <c r="D1851" s="1" t="s">
        <v>24</v>
      </c>
      <c r="E1851" s="1"/>
      <c r="F1851" s="29">
        <v>46228</v>
      </c>
      <c r="G1851" s="29">
        <v>46228</v>
      </c>
      <c r="H1851" s="1" t="s">
        <v>3572</v>
      </c>
      <c r="I1851" s="1" t="s">
        <v>4391</v>
      </c>
      <c r="J1851" s="207">
        <v>84795910078</v>
      </c>
      <c r="K1851" s="171" t="s">
        <v>4392</v>
      </c>
      <c r="L1851" s="62">
        <v>23106364</v>
      </c>
      <c r="M1851" s="30">
        <v>5219995020381</v>
      </c>
      <c r="N1851" s="171" t="s">
        <v>37</v>
      </c>
      <c r="O1851" s="52">
        <v>12358.27</v>
      </c>
      <c r="P1851" s="99">
        <v>3705.17</v>
      </c>
      <c r="Q1851" s="42">
        <f>OfficeForms.Table[[#This Row],[ INFORMEDEPAGO ]]*0.3</f>
        <v>3707.4809999999998</v>
      </c>
      <c r="R1851" s="12">
        <f>(IF(O1851&lt;4172.98,0,MIN(O1851*0.3,O1851-4172.98)))-P1851</f>
        <v>2.3109999999996944</v>
      </c>
      <c r="S1851" s="74">
        <v>46327</v>
      </c>
      <c r="T1851" s="1"/>
      <c r="V1851" s="1"/>
      <c r="X1851" s="101">
        <v>2</v>
      </c>
    </row>
    <row r="1852" spans="1:24" hidden="1">
      <c r="A1852">
        <v>251</v>
      </c>
      <c r="B1852" s="2">
        <v>46228.725092592598</v>
      </c>
      <c r="C1852" s="2">
        <v>46228.725787037001</v>
      </c>
      <c r="D1852" s="1" t="s">
        <v>24</v>
      </c>
      <c r="E1852" s="1"/>
      <c r="F1852" s="29">
        <v>46228</v>
      </c>
      <c r="G1852" s="29">
        <v>46228</v>
      </c>
      <c r="H1852" s="1" t="s">
        <v>3007</v>
      </c>
      <c r="I1852" s="1" t="s">
        <v>4393</v>
      </c>
      <c r="J1852" s="207"/>
      <c r="K1852" s="171" t="s">
        <v>4394</v>
      </c>
      <c r="L1852" s="62">
        <v>23106676</v>
      </c>
      <c r="M1852" s="30">
        <v>7734101967</v>
      </c>
      <c r="N1852" s="171" t="s">
        <v>37</v>
      </c>
      <c r="O1852" s="52">
        <v>19920.28</v>
      </c>
      <c r="P1852" s="99">
        <v>5757.7</v>
      </c>
      <c r="Q1852" s="42">
        <f>OfficeForms.Table[[#This Row],[ INFORMEDEPAGO ]]*0.3</f>
        <v>5976.0839999999998</v>
      </c>
      <c r="R1852" s="12">
        <f>(IF(O1852&lt;4172.98,0,MIN(O1852*0.3,O1852-4172.98)))-P1852</f>
        <v>218.38400000000001</v>
      </c>
      <c r="S1852" s="74">
        <v>46661</v>
      </c>
      <c r="T1852" s="1"/>
      <c r="V1852" s="1"/>
      <c r="X1852" s="101">
        <v>2</v>
      </c>
    </row>
    <row r="1853" spans="1:24" hidden="1">
      <c r="A1853">
        <v>252</v>
      </c>
      <c r="B1853" s="2">
        <v>46228.717199074097</v>
      </c>
      <c r="C1853" s="2">
        <v>46228.7322569444</v>
      </c>
      <c r="D1853" s="1" t="s">
        <v>24</v>
      </c>
      <c r="E1853" s="1"/>
      <c r="F1853" s="29">
        <v>46228</v>
      </c>
      <c r="G1853" s="29">
        <v>46228</v>
      </c>
      <c r="H1853" s="1" t="s">
        <v>39</v>
      </c>
      <c r="I1853" s="1" t="s">
        <v>4395</v>
      </c>
      <c r="J1853" s="207">
        <v>24846771905</v>
      </c>
      <c r="K1853" s="171" t="s">
        <v>4396</v>
      </c>
      <c r="L1853" s="62">
        <v>23104462</v>
      </c>
      <c r="M1853" s="30">
        <v>5216221115784</v>
      </c>
      <c r="N1853" s="171" t="s">
        <v>32</v>
      </c>
      <c r="O1853" s="67">
        <v>3783.67</v>
      </c>
      <c r="P1853" s="99"/>
      <c r="Q1853" s="42">
        <f>OfficeForms.Table[[#This Row],[ INFORMEDEPAGO ]]*0.3</f>
        <v>1135.1009999999999</v>
      </c>
      <c r="R1853" s="12">
        <f>(IF(O1853&lt;4172.98,0,MIN(O1853*0.3,O1853-4172.98)))-P1853</f>
        <v>0</v>
      </c>
      <c r="T1853" s="1"/>
      <c r="V1853" s="1"/>
      <c r="X1853" s="101">
        <v>1</v>
      </c>
    </row>
    <row r="1854" spans="1:24" hidden="1">
      <c r="A1854">
        <v>253</v>
      </c>
      <c r="B1854" s="2">
        <v>46228.732337963003</v>
      </c>
      <c r="C1854" s="2">
        <v>46228.739189814798</v>
      </c>
      <c r="D1854" s="1" t="s">
        <v>24</v>
      </c>
      <c r="E1854" s="1"/>
      <c r="F1854" s="29">
        <v>46228</v>
      </c>
      <c r="G1854" s="29">
        <v>46228</v>
      </c>
      <c r="H1854" s="1" t="s">
        <v>78</v>
      </c>
      <c r="I1854" s="1" t="s">
        <v>4397</v>
      </c>
      <c r="J1854" s="207"/>
      <c r="K1854" s="171" t="s">
        <v>4398</v>
      </c>
      <c r="L1854" s="62">
        <v>23104858</v>
      </c>
      <c r="M1854" s="30">
        <v>5218110719954</v>
      </c>
      <c r="N1854" s="171" t="s">
        <v>37</v>
      </c>
      <c r="O1854" s="52">
        <v>5483.36</v>
      </c>
      <c r="P1854" s="99">
        <v>1307.72</v>
      </c>
      <c r="Q1854" s="42">
        <f>OfficeForms.Table[[#This Row],[ INFORMEDEPAGO ]]*0.3</f>
        <v>1645.0079999999998</v>
      </c>
      <c r="R1854" s="12">
        <f>(IF(O1854&lt;4172.98,0,MIN(O1854*0.3,O1854-4172.98)))-P1854</f>
        <v>2.6600000000000819</v>
      </c>
      <c r="S1854" s="74">
        <v>46784</v>
      </c>
      <c r="T1854" s="1"/>
      <c r="V1854" s="1"/>
      <c r="X1854" s="101">
        <v>2</v>
      </c>
    </row>
    <row r="1855" spans="1:24" hidden="1">
      <c r="A1855">
        <v>254</v>
      </c>
      <c r="B1855" s="2">
        <v>46228.732002314799</v>
      </c>
      <c r="C1855" s="2">
        <v>46228.740902777798</v>
      </c>
      <c r="D1855" s="1" t="s">
        <v>24</v>
      </c>
      <c r="E1855" s="1"/>
      <c r="F1855" s="29">
        <v>46228</v>
      </c>
      <c r="G1855" s="29">
        <v>46225</v>
      </c>
      <c r="H1855" s="1" t="s">
        <v>78</v>
      </c>
      <c r="I1855" s="1" t="s">
        <v>4399</v>
      </c>
      <c r="J1855" s="207"/>
      <c r="K1855" s="171" t="s">
        <v>4400</v>
      </c>
      <c r="L1855" s="62">
        <v>22988344</v>
      </c>
      <c r="M1855" s="30">
        <v>5219931691613</v>
      </c>
      <c r="N1855" s="171" t="s">
        <v>37</v>
      </c>
      <c r="O1855" s="52">
        <v>8181.55</v>
      </c>
      <c r="P1855" s="99">
        <v>2454.2199999999998</v>
      </c>
      <c r="Q1855" s="42">
        <f>OfficeForms.Table[[#This Row],[ INFORMEDEPAGO ]]*0.3</f>
        <v>2454.4650000000001</v>
      </c>
      <c r="R1855" s="12">
        <f>(IF(O1855&lt;4172.98,0,MIN(O1855*0.3,O1855-4172.98)))-P1855</f>
        <v>0.24500000000034561</v>
      </c>
      <c r="S1855" s="74">
        <v>46935</v>
      </c>
      <c r="T1855" s="1"/>
      <c r="V1855" s="1"/>
      <c r="X1855" s="101">
        <v>2</v>
      </c>
    </row>
    <row r="1856" spans="1:24" hidden="1">
      <c r="A1856">
        <v>255</v>
      </c>
      <c r="B1856" s="2">
        <v>46228.740046296298</v>
      </c>
      <c r="C1856" s="2">
        <v>46228.742511574099</v>
      </c>
      <c r="D1856" s="1" t="s">
        <v>24</v>
      </c>
      <c r="E1856" s="1"/>
      <c r="F1856" s="29">
        <v>46228</v>
      </c>
      <c r="G1856" s="29">
        <v>46228</v>
      </c>
      <c r="H1856" s="1" t="s">
        <v>160</v>
      </c>
      <c r="I1856" s="1" t="s">
        <v>4401</v>
      </c>
      <c r="J1856" s="207" t="s">
        <v>4402</v>
      </c>
      <c r="K1856" s="171" t="s">
        <v>4403</v>
      </c>
      <c r="L1856" s="62">
        <v>23104236</v>
      </c>
      <c r="M1856" s="30">
        <v>5215521450837</v>
      </c>
      <c r="N1856" s="171" t="s">
        <v>28</v>
      </c>
      <c r="O1856" s="67">
        <v>16326.66</v>
      </c>
      <c r="P1856" s="99"/>
      <c r="Q1856" s="42">
        <f>OfficeForms.Table[[#This Row],[ INFORMEDEPAGO ]]*0.3</f>
        <v>4897.9979999999996</v>
      </c>
      <c r="R1856" s="12">
        <f>(IF(O1856&lt;4172.98,0,MIN(O1856*0.3,O1856-4172.98)))-P1856</f>
        <v>4897.9979999999996</v>
      </c>
      <c r="T1856" s="1"/>
      <c r="V1856" s="1"/>
      <c r="X1856" s="101">
        <v>1</v>
      </c>
    </row>
    <row r="1857" spans="1:24" hidden="1">
      <c r="A1857">
        <v>256</v>
      </c>
      <c r="B1857" s="2">
        <v>46228.744548611103</v>
      </c>
      <c r="C1857" s="2">
        <v>46228.7501388889</v>
      </c>
      <c r="D1857" s="1" t="s">
        <v>24</v>
      </c>
      <c r="E1857" s="1"/>
      <c r="F1857" s="29">
        <v>46228</v>
      </c>
      <c r="G1857" s="29">
        <v>46228</v>
      </c>
      <c r="H1857" s="1" t="s">
        <v>127</v>
      </c>
      <c r="I1857" s="1" t="s">
        <v>4404</v>
      </c>
      <c r="J1857" s="207">
        <v>49937744933</v>
      </c>
      <c r="K1857" s="171" t="s">
        <v>4405</v>
      </c>
      <c r="L1857" s="62">
        <v>23103064</v>
      </c>
      <c r="M1857" s="30">
        <v>5218124213957</v>
      </c>
      <c r="N1857" s="171" t="s">
        <v>32</v>
      </c>
      <c r="O1857" s="67">
        <f>3064.1+848</f>
        <v>3912.1</v>
      </c>
      <c r="P1857" s="99" t="s">
        <v>3921</v>
      </c>
      <c r="Q1857" s="42">
        <f>OfficeForms.Table[[#This Row],[ INFORMEDEPAGO ]]*0.3</f>
        <v>1173.6299999999999</v>
      </c>
      <c r="R1857" s="12">
        <f>(IF(O1857&lt;4172.98,0,MIN(O1857*0.3,O1857-4172.98)))-P1857</f>
        <v>-848</v>
      </c>
      <c r="T1857" s="1"/>
      <c r="V1857" s="1"/>
      <c r="X1857" s="101">
        <v>1</v>
      </c>
    </row>
    <row r="1858" spans="1:24" hidden="1">
      <c r="A1858">
        <v>257</v>
      </c>
      <c r="B1858" s="2">
        <v>46228.754849536999</v>
      </c>
      <c r="C1858" s="2">
        <v>46228.755659722199</v>
      </c>
      <c r="D1858" s="1" t="s">
        <v>24</v>
      </c>
      <c r="E1858" s="1"/>
      <c r="F1858" s="29">
        <v>46228</v>
      </c>
      <c r="G1858" s="29">
        <v>46228</v>
      </c>
      <c r="H1858" s="1" t="s">
        <v>3022</v>
      </c>
      <c r="I1858" s="1" t="s">
        <v>4406</v>
      </c>
      <c r="J1858" s="207"/>
      <c r="K1858" s="171" t="s">
        <v>4407</v>
      </c>
      <c r="L1858" s="62">
        <v>23106160</v>
      </c>
      <c r="M1858" s="30">
        <v>9511968472</v>
      </c>
      <c r="N1858" s="171" t="s">
        <v>28</v>
      </c>
      <c r="O1858" s="67">
        <v>9081.52</v>
      </c>
      <c r="P1858" s="99"/>
      <c r="Q1858" s="42">
        <f>OfficeForms.Table[[#This Row],[ INFORMEDEPAGO ]]*0.3</f>
        <v>2724.4560000000001</v>
      </c>
      <c r="R1858" s="12">
        <f>(IF(O1858&lt;4172.98,0,MIN(O1858*0.3,O1858-4172.98)))-P1858</f>
        <v>2724.4560000000001</v>
      </c>
      <c r="T1858" s="1"/>
      <c r="V1858" s="1"/>
      <c r="X1858" s="101">
        <v>1</v>
      </c>
    </row>
    <row r="1859" spans="1:24" hidden="1">
      <c r="A1859">
        <v>258</v>
      </c>
      <c r="B1859" s="2">
        <v>46228.755706018499</v>
      </c>
      <c r="C1859" s="2">
        <v>46228.757685185199</v>
      </c>
      <c r="D1859" s="1" t="s">
        <v>24</v>
      </c>
      <c r="E1859" s="1"/>
      <c r="F1859" s="29">
        <v>46228</v>
      </c>
      <c r="G1859" s="29">
        <v>46228</v>
      </c>
      <c r="H1859" s="1" t="s">
        <v>3022</v>
      </c>
      <c r="I1859" s="1" t="s">
        <v>4408</v>
      </c>
      <c r="J1859" s="207"/>
      <c r="K1859" s="171" t="s">
        <v>4409</v>
      </c>
      <c r="L1859" s="62">
        <v>23106918</v>
      </c>
      <c r="M1859" s="30">
        <v>8621023435</v>
      </c>
      <c r="N1859" s="171" t="s">
        <v>37</v>
      </c>
      <c r="O1859" s="52">
        <v>12186.86</v>
      </c>
      <c r="P1859" s="99">
        <v>3525.95</v>
      </c>
      <c r="Q1859" s="42">
        <f>OfficeForms.Table[[#This Row],[ INFORMEDEPAGO ]]*0.3</f>
        <v>3656.058</v>
      </c>
      <c r="R1859" s="12">
        <f>(IF(O1859&lt;4172.98,0,MIN(O1859*0.3,O1859-4172.98)))-P1859</f>
        <v>130.10800000000017</v>
      </c>
      <c r="S1859" s="74">
        <v>46661</v>
      </c>
      <c r="T1859" s="1"/>
      <c r="V1859" s="1"/>
      <c r="X1859" s="101">
        <v>2</v>
      </c>
    </row>
    <row r="1860" spans="1:24" hidden="1">
      <c r="A1860">
        <v>259</v>
      </c>
      <c r="B1860" s="2">
        <v>46228.761828703697</v>
      </c>
      <c r="C1860" s="2">
        <v>46228.762939814798</v>
      </c>
      <c r="D1860" s="1" t="s">
        <v>24</v>
      </c>
      <c r="E1860" s="1"/>
      <c r="F1860" s="29">
        <v>46228</v>
      </c>
      <c r="G1860" s="29">
        <v>46228</v>
      </c>
      <c r="H1860" s="1" t="s">
        <v>71</v>
      </c>
      <c r="I1860" s="1" t="s">
        <v>4410</v>
      </c>
      <c r="J1860" s="207" t="s">
        <v>4411</v>
      </c>
      <c r="K1860" s="171"/>
      <c r="L1860" s="62">
        <v>23107184</v>
      </c>
      <c r="M1860" s="30">
        <v>5213313819615</v>
      </c>
      <c r="N1860" s="171" t="s">
        <v>32</v>
      </c>
      <c r="O1860" s="67">
        <v>4342.43</v>
      </c>
      <c r="P1860" s="99"/>
      <c r="Q1860" s="42">
        <f>OfficeForms.Table[[#This Row],[ INFORMEDEPAGO ]]*0.3</f>
        <v>1302.729</v>
      </c>
      <c r="R1860" s="12">
        <f>(IF(O1860&lt;4172.98,0,MIN(O1860*0.3,O1860-4172.98)))-P1860</f>
        <v>169.45000000000073</v>
      </c>
      <c r="T1860" s="1"/>
      <c r="V1860" s="1"/>
      <c r="X1860" s="101">
        <v>1</v>
      </c>
    </row>
    <row r="1861" spans="1:24" hidden="1">
      <c r="A1861">
        <v>260</v>
      </c>
      <c r="B1861" s="2">
        <v>46228.762175925898</v>
      </c>
      <c r="C1861" s="2">
        <v>46228.763900462996</v>
      </c>
      <c r="D1861" s="1" t="s">
        <v>24</v>
      </c>
      <c r="E1861" s="1"/>
      <c r="F1861" s="29">
        <v>46228</v>
      </c>
      <c r="G1861" s="29">
        <v>46228</v>
      </c>
      <c r="H1861" s="1" t="s">
        <v>3572</v>
      </c>
      <c r="I1861" s="1" t="s">
        <v>4412</v>
      </c>
      <c r="J1861" s="207">
        <v>32017701940</v>
      </c>
      <c r="K1861" s="171"/>
      <c r="L1861" s="62">
        <v>23104804</v>
      </c>
      <c r="M1861" s="30">
        <v>5218126145371</v>
      </c>
      <c r="N1861" s="171" t="s">
        <v>74</v>
      </c>
      <c r="O1861" s="67"/>
      <c r="P1861" s="99"/>
      <c r="Q1861" s="42">
        <f>OfficeForms.Table[[#This Row],[ INFORMEDEPAGO ]]*0.3</f>
        <v>0</v>
      </c>
      <c r="R1861" s="12">
        <f>(IF(O1861&lt;4172.98,0,MIN(O1861*0.3,O1861-4172.98)))-P1861</f>
        <v>0</v>
      </c>
      <c r="T1861" s="1"/>
      <c r="V1861" s="1"/>
      <c r="X1861" s="101">
        <v>1</v>
      </c>
    </row>
    <row r="1862" spans="1:24" hidden="1">
      <c r="A1862">
        <v>261</v>
      </c>
      <c r="B1862" s="2">
        <v>46228.778402777803</v>
      </c>
      <c r="C1862" s="2">
        <v>46228.780729166698</v>
      </c>
      <c r="D1862" s="1" t="s">
        <v>24</v>
      </c>
      <c r="E1862" s="1"/>
      <c r="F1862" s="29">
        <v>46228</v>
      </c>
      <c r="G1862" s="29">
        <v>46228</v>
      </c>
      <c r="H1862" s="1" t="s">
        <v>3007</v>
      </c>
      <c r="I1862" s="1" t="s">
        <v>4413</v>
      </c>
      <c r="J1862" s="207"/>
      <c r="K1862" s="171" t="s">
        <v>4414</v>
      </c>
      <c r="L1862" s="62">
        <v>23107746</v>
      </c>
      <c r="M1862" s="30">
        <v>8119147579</v>
      </c>
      <c r="N1862" s="171" t="s">
        <v>37</v>
      </c>
      <c r="O1862" s="52">
        <v>9081.52</v>
      </c>
      <c r="P1862" s="99">
        <v>2623.96</v>
      </c>
      <c r="Q1862" s="42">
        <f>OfficeForms.Table[[#This Row],[ INFORMEDEPAGO ]]*0.3</f>
        <v>2724.4560000000001</v>
      </c>
      <c r="R1862" s="12">
        <f>(IF(O1862&lt;4172.98,0,MIN(O1862*0.3,O1862-4172.98)))-P1862</f>
        <v>100.49600000000009</v>
      </c>
      <c r="S1862" s="74">
        <v>46478</v>
      </c>
      <c r="T1862" s="1"/>
      <c r="V1862" s="1"/>
      <c r="X1862" s="101">
        <v>2</v>
      </c>
    </row>
    <row r="1863" spans="1:24" hidden="1">
      <c r="A1863">
        <v>262</v>
      </c>
      <c r="B1863" s="2">
        <v>46228.794861111099</v>
      </c>
      <c r="C1863" s="2">
        <v>46228.795439814799</v>
      </c>
      <c r="D1863" s="1" t="s">
        <v>24</v>
      </c>
      <c r="E1863" s="1"/>
      <c r="F1863" s="29">
        <v>46228</v>
      </c>
      <c r="G1863" s="29">
        <v>46228</v>
      </c>
      <c r="H1863" s="1" t="s">
        <v>3007</v>
      </c>
      <c r="I1863" s="1" t="s">
        <v>4415</v>
      </c>
      <c r="J1863" s="207"/>
      <c r="K1863" s="171" t="s">
        <v>4416</v>
      </c>
      <c r="L1863" s="62">
        <v>23107506</v>
      </c>
      <c r="M1863" s="30">
        <v>6442284741</v>
      </c>
      <c r="N1863" s="171" t="s">
        <v>28</v>
      </c>
      <c r="O1863" s="67">
        <f>7212.08+703</f>
        <v>7915.08</v>
      </c>
      <c r="P1863" s="99" t="s">
        <v>4417</v>
      </c>
      <c r="Q1863" s="42">
        <f>OfficeForms.Table[[#This Row],[ INFORMEDEPAGO ]]*0.3</f>
        <v>2374.5239999999999</v>
      </c>
      <c r="R1863" s="12">
        <f>(IF(O1863&lt;4172.98,0,MIN(O1863*0.3,O1863-4172.98)))-P1863</f>
        <v>1671.5239999999999</v>
      </c>
      <c r="T1863" s="1"/>
      <c r="V1863" s="1"/>
      <c r="X1863" s="101">
        <v>1</v>
      </c>
    </row>
    <row r="1864" spans="1:24" hidden="1">
      <c r="A1864">
        <v>263</v>
      </c>
      <c r="B1864" s="2">
        <v>46229.358171296299</v>
      </c>
      <c r="C1864" s="2">
        <v>46229.358865740702</v>
      </c>
      <c r="D1864" s="1" t="s">
        <v>24</v>
      </c>
      <c r="E1864" s="1"/>
      <c r="F1864" s="29">
        <v>46229</v>
      </c>
      <c r="G1864" s="29">
        <v>46227</v>
      </c>
      <c r="H1864" s="1" t="s">
        <v>3575</v>
      </c>
      <c r="I1864" s="1" t="s">
        <v>4418</v>
      </c>
      <c r="J1864" s="207"/>
      <c r="K1864" s="171" t="s">
        <v>4419</v>
      </c>
      <c r="L1864" s="62">
        <v>23076268</v>
      </c>
      <c r="M1864" s="30">
        <v>5212722616917</v>
      </c>
      <c r="N1864" s="171" t="s">
        <v>32</v>
      </c>
      <c r="O1864" s="67">
        <f>2970.93+848</f>
        <v>3818.93</v>
      </c>
      <c r="P1864" s="99" t="s">
        <v>3921</v>
      </c>
      <c r="Q1864" s="42">
        <f>OfficeForms.Table[[#This Row],[ INFORMEDEPAGO ]]*0.3</f>
        <v>1145.6789999999999</v>
      </c>
      <c r="R1864" s="12">
        <f>(IF(O1864&lt;4172.98,0,MIN(O1864*0.3,O1864-4172.98)))-P1864</f>
        <v>-848</v>
      </c>
      <c r="T1864" s="1"/>
      <c r="V1864" s="1"/>
      <c r="X1864" s="101">
        <v>1</v>
      </c>
    </row>
    <row r="1865" spans="1:24" hidden="1">
      <c r="A1865">
        <v>264</v>
      </c>
      <c r="B1865" s="2">
        <v>46229.352395833303</v>
      </c>
      <c r="C1865" s="2">
        <v>46229.361678240697</v>
      </c>
      <c r="D1865" s="1" t="s">
        <v>24</v>
      </c>
      <c r="E1865" s="1"/>
      <c r="F1865" s="29">
        <v>46229</v>
      </c>
      <c r="G1865" s="29">
        <v>46229</v>
      </c>
      <c r="H1865" s="1" t="s">
        <v>71</v>
      </c>
      <c r="I1865" s="1" t="s">
        <v>4420</v>
      </c>
      <c r="J1865" s="207"/>
      <c r="K1865" s="171" t="s">
        <v>4421</v>
      </c>
      <c r="L1865" s="62">
        <v>23112638</v>
      </c>
      <c r="M1865" s="30">
        <v>5216631492858</v>
      </c>
      <c r="N1865" s="171" t="s">
        <v>32</v>
      </c>
      <c r="O1865" s="67">
        <v>4441.09</v>
      </c>
      <c r="P1865" s="99"/>
      <c r="Q1865" s="42">
        <f>OfficeForms.Table[[#This Row],[ INFORMEDEPAGO ]]*0.3</f>
        <v>1332.327</v>
      </c>
      <c r="R1865" s="12">
        <f>(IF(O1865&lt;4172.98,0,MIN(O1865*0.3,O1865-4172.98)))-P1865</f>
        <v>268.11000000000058</v>
      </c>
      <c r="T1865" s="1"/>
      <c r="V1865" s="1"/>
      <c r="X1865" s="101">
        <v>1</v>
      </c>
    </row>
    <row r="1866" spans="1:24" hidden="1">
      <c r="A1866">
        <v>265</v>
      </c>
      <c r="B1866" s="2">
        <v>46229.371469907397</v>
      </c>
      <c r="C1866" s="2">
        <v>46229.3722106481</v>
      </c>
      <c r="D1866" s="1" t="s">
        <v>24</v>
      </c>
      <c r="E1866" s="1"/>
      <c r="F1866" s="29">
        <v>46229</v>
      </c>
      <c r="G1866" s="29">
        <v>46228</v>
      </c>
      <c r="H1866" s="1" t="s">
        <v>3575</v>
      </c>
      <c r="I1866" s="1" t="s">
        <v>4422</v>
      </c>
      <c r="J1866" s="207">
        <v>31786102231</v>
      </c>
      <c r="K1866" s="171"/>
      <c r="L1866" s="62">
        <v>23109270</v>
      </c>
      <c r="M1866" s="30">
        <v>5216567738109</v>
      </c>
      <c r="N1866" s="171" t="s">
        <v>130</v>
      </c>
      <c r="O1866" s="52">
        <v>7920.51</v>
      </c>
      <c r="P1866" s="99">
        <v>2290.34</v>
      </c>
      <c r="Q1866" s="42">
        <f>OfficeForms.Table[[#This Row],[ INFORMEDEPAGO ]]*0.3</f>
        <v>2376.1529999999998</v>
      </c>
      <c r="R1866" s="12">
        <f>(IF(O1866&lt;4172.98,0,MIN(O1866*0.3,O1866-4172.98)))-P1866</f>
        <v>85.812999999999647</v>
      </c>
      <c r="S1866" s="74">
        <v>46082</v>
      </c>
      <c r="T1866" s="1"/>
      <c r="V1866" s="1"/>
      <c r="X1866" s="101">
        <v>2</v>
      </c>
    </row>
    <row r="1867" spans="1:24" hidden="1">
      <c r="A1867">
        <v>266</v>
      </c>
      <c r="B1867" s="2">
        <v>46229.370057870401</v>
      </c>
      <c r="C1867" s="2">
        <v>46229.377523148098</v>
      </c>
      <c r="D1867" s="1" t="s">
        <v>24</v>
      </c>
      <c r="E1867" s="1"/>
      <c r="F1867" s="29">
        <v>46229</v>
      </c>
      <c r="G1867" s="29">
        <v>46228</v>
      </c>
      <c r="H1867" s="1" t="s">
        <v>476</v>
      </c>
      <c r="I1867" s="1" t="s">
        <v>4423</v>
      </c>
      <c r="J1867" s="207"/>
      <c r="K1867" s="171" t="s">
        <v>4424</v>
      </c>
      <c r="L1867" s="62">
        <v>23106252</v>
      </c>
      <c r="M1867" s="30">
        <v>5215512450192</v>
      </c>
      <c r="N1867" s="171" t="s">
        <v>235</v>
      </c>
      <c r="O1867" s="67"/>
      <c r="P1867" s="99"/>
      <c r="Q1867" s="42">
        <f>OfficeForms.Table[[#This Row],[ INFORMEDEPAGO ]]*0.3</f>
        <v>0</v>
      </c>
      <c r="R1867" s="12">
        <f>(IF(O1867&lt;4172.98,0,MIN(O1867*0.3,O1867-4172.98)))-P1867</f>
        <v>0</v>
      </c>
      <c r="T1867" s="1"/>
      <c r="V1867" s="1"/>
      <c r="X1867" s="101">
        <v>1</v>
      </c>
    </row>
    <row r="1868" spans="1:24" hidden="1">
      <c r="A1868">
        <v>267</v>
      </c>
      <c r="B1868" s="2">
        <v>46229.381215277797</v>
      </c>
      <c r="C1868" s="2">
        <v>46229.381805555597</v>
      </c>
      <c r="D1868" s="1" t="s">
        <v>24</v>
      </c>
      <c r="E1868" s="1"/>
      <c r="F1868" s="29">
        <v>46229</v>
      </c>
      <c r="G1868" s="29">
        <v>46229</v>
      </c>
      <c r="H1868" s="1" t="s">
        <v>3575</v>
      </c>
      <c r="I1868" s="1" t="s">
        <v>4425</v>
      </c>
      <c r="J1868" s="207"/>
      <c r="K1868" s="171" t="s">
        <v>4426</v>
      </c>
      <c r="L1868" s="62">
        <v>23110486</v>
      </c>
      <c r="M1868" s="30">
        <v>5213316046148</v>
      </c>
      <c r="N1868" s="171" t="s">
        <v>37</v>
      </c>
      <c r="O1868" s="52">
        <v>32329.27</v>
      </c>
      <c r="P1868" s="99">
        <v>9696.4699999999993</v>
      </c>
      <c r="Q1868" s="42">
        <f>OfficeForms.Table[[#This Row],[ INFORMEDEPAGO ]]*0.3</f>
        <v>9698.780999999999</v>
      </c>
      <c r="R1868" s="12">
        <f>(IF(O1868&lt;4172.98,0,MIN(O1868*0.3,O1868-4172.98)))-P1868</f>
        <v>2.3109999999996944</v>
      </c>
      <c r="S1868" s="74">
        <v>46447</v>
      </c>
      <c r="T1868" s="1"/>
      <c r="V1868" s="1"/>
      <c r="X1868" s="101">
        <v>2</v>
      </c>
    </row>
    <row r="1869" spans="1:24" hidden="1">
      <c r="A1869">
        <v>268</v>
      </c>
      <c r="B1869" s="2">
        <v>46229.381076388898</v>
      </c>
      <c r="C1869" s="2">
        <v>46229.381898148102</v>
      </c>
      <c r="D1869" s="1" t="s">
        <v>24</v>
      </c>
      <c r="E1869" s="1"/>
      <c r="F1869" s="29">
        <v>46229</v>
      </c>
      <c r="G1869" s="29">
        <v>46228</v>
      </c>
      <c r="H1869" s="1" t="s">
        <v>3036</v>
      </c>
      <c r="I1869" s="1" t="s">
        <v>4427</v>
      </c>
      <c r="J1869" s="207" t="s">
        <v>4428</v>
      </c>
      <c r="K1869" s="171"/>
      <c r="L1869" s="62">
        <v>23110172</v>
      </c>
      <c r="M1869" s="30">
        <v>5215571769525</v>
      </c>
      <c r="N1869" s="171" t="s">
        <v>263</v>
      </c>
      <c r="O1869" s="52">
        <v>6488.7</v>
      </c>
      <c r="P1869" s="99">
        <v>1945.35</v>
      </c>
      <c r="Q1869" s="42">
        <f>OfficeForms.Table[[#This Row],[ INFORMEDEPAGO ]]*0.3</f>
        <v>1946.61</v>
      </c>
      <c r="R1869" s="12">
        <f>(IF(O1869&lt;4172.98,0,MIN(O1869*0.3,O1869-4172.98)))-P1869</f>
        <v>1.2599999999999909</v>
      </c>
      <c r="S1869" s="74">
        <v>45901</v>
      </c>
      <c r="T1869" s="1"/>
      <c r="V1869" s="1"/>
      <c r="X1869" s="101">
        <v>2</v>
      </c>
    </row>
    <row r="1870" spans="1:24" hidden="1">
      <c r="A1870">
        <v>269</v>
      </c>
      <c r="B1870" s="2">
        <v>46229.382627314801</v>
      </c>
      <c r="C1870" s="2">
        <v>46229.3833101852</v>
      </c>
      <c r="D1870" s="1" t="s">
        <v>24</v>
      </c>
      <c r="E1870" s="1"/>
      <c r="F1870" s="29">
        <v>46229</v>
      </c>
      <c r="G1870" s="29">
        <v>46228</v>
      </c>
      <c r="H1870" s="1" t="s">
        <v>476</v>
      </c>
      <c r="I1870" s="1" t="s">
        <v>4429</v>
      </c>
      <c r="J1870" s="207"/>
      <c r="K1870" s="171" t="s">
        <v>4430</v>
      </c>
      <c r="L1870" s="62">
        <v>23105968</v>
      </c>
      <c r="M1870" s="30">
        <v>5212711891200</v>
      </c>
      <c r="N1870" s="171" t="s">
        <v>28</v>
      </c>
      <c r="O1870" s="67">
        <f>12366.93+848</f>
        <v>13214.93</v>
      </c>
      <c r="P1870" s="99" t="s">
        <v>3921</v>
      </c>
      <c r="Q1870" s="42">
        <f>OfficeForms.Table[[#This Row],[ INFORMEDEPAGO ]]*0.3</f>
        <v>3964.4789999999998</v>
      </c>
      <c r="R1870" s="12">
        <f>(IF(O1870&lt;4172.98,0,MIN(O1870*0.3,O1870-4172.98)))-P1870</f>
        <v>3116.4789999999998</v>
      </c>
      <c r="T1870" s="1"/>
      <c r="V1870" s="1"/>
      <c r="X1870" s="101">
        <v>1</v>
      </c>
    </row>
    <row r="1871" spans="1:24" hidden="1">
      <c r="A1871">
        <v>270</v>
      </c>
      <c r="B1871" s="2">
        <v>46229.387685185196</v>
      </c>
      <c r="C1871" s="2">
        <v>46229.388460648101</v>
      </c>
      <c r="D1871" s="1" t="s">
        <v>24</v>
      </c>
      <c r="E1871" s="1"/>
      <c r="F1871" s="29">
        <v>46229</v>
      </c>
      <c r="G1871" s="29">
        <v>46229</v>
      </c>
      <c r="H1871" s="1" t="s">
        <v>3036</v>
      </c>
      <c r="I1871" s="1" t="s">
        <v>4431</v>
      </c>
      <c r="J1871" s="207"/>
      <c r="K1871" s="171" t="s">
        <v>4432</v>
      </c>
      <c r="L1871" s="62">
        <v>23113836</v>
      </c>
      <c r="M1871" s="30">
        <v>5213121527712</v>
      </c>
      <c r="N1871" s="171" t="s">
        <v>28</v>
      </c>
      <c r="O1871" s="67">
        <v>9760.32</v>
      </c>
      <c r="P1871" s="99"/>
      <c r="Q1871" s="42">
        <f>OfficeForms.Table[[#This Row],[ INFORMEDEPAGO ]]*0.3</f>
        <v>2928.096</v>
      </c>
      <c r="R1871" s="12">
        <f>(IF(O1871&lt;4172.98,0,MIN(O1871*0.3,O1871-4172.98)))-P1871</f>
        <v>2928.096</v>
      </c>
      <c r="T1871" s="1"/>
      <c r="V1871" s="1"/>
      <c r="X1871" s="101">
        <v>1</v>
      </c>
    </row>
    <row r="1872" spans="1:24" hidden="1">
      <c r="A1872">
        <v>271</v>
      </c>
      <c r="B1872" s="2">
        <v>46229.394340277802</v>
      </c>
      <c r="C1872" s="2">
        <v>46229.394837963002</v>
      </c>
      <c r="D1872" s="1" t="s">
        <v>24</v>
      </c>
      <c r="E1872" s="1"/>
      <c r="F1872" s="29">
        <v>46229</v>
      </c>
      <c r="G1872" s="29">
        <v>46228</v>
      </c>
      <c r="H1872" s="1" t="s">
        <v>3007</v>
      </c>
      <c r="I1872" s="1" t="s">
        <v>4433</v>
      </c>
      <c r="J1872" s="207"/>
      <c r="K1872" s="171" t="s">
        <v>4434</v>
      </c>
      <c r="L1872" s="62">
        <v>23108994</v>
      </c>
      <c r="M1872" s="30">
        <v>9212662425</v>
      </c>
      <c r="N1872" s="171" t="s">
        <v>98</v>
      </c>
      <c r="O1872" s="67"/>
      <c r="P1872" s="99"/>
      <c r="Q1872" s="42">
        <f>OfficeForms.Table[[#This Row],[ INFORMEDEPAGO ]]*0.3</f>
        <v>0</v>
      </c>
      <c r="R1872" s="12">
        <f>(IF(O1872&lt;4172.98,0,MIN(O1872*0.3,O1872-4172.98)))-P1872</f>
        <v>0</v>
      </c>
      <c r="T1872" s="1"/>
      <c r="V1872" s="1"/>
      <c r="X1872" s="101">
        <v>0</v>
      </c>
    </row>
    <row r="1873" spans="1:24" hidden="1">
      <c r="A1873">
        <v>272</v>
      </c>
      <c r="B1873" s="2">
        <v>46229.395868055602</v>
      </c>
      <c r="C1873" s="2">
        <v>46229.400451388901</v>
      </c>
      <c r="D1873" s="1" t="s">
        <v>24</v>
      </c>
      <c r="E1873" s="1"/>
      <c r="F1873" s="29">
        <v>46229</v>
      </c>
      <c r="G1873" s="29">
        <v>46228</v>
      </c>
      <c r="H1873" s="1" t="s">
        <v>3452</v>
      </c>
      <c r="I1873" s="1" t="s">
        <v>4435</v>
      </c>
      <c r="J1873" s="207"/>
      <c r="K1873" s="171" t="s">
        <v>4436</v>
      </c>
      <c r="L1873" s="62">
        <v>23108328</v>
      </c>
      <c r="M1873" s="30">
        <v>4774809296</v>
      </c>
      <c r="N1873" s="171" t="s">
        <v>37</v>
      </c>
      <c r="O1873" s="52">
        <v>13792.94</v>
      </c>
      <c r="P1873" s="99">
        <v>3990.63</v>
      </c>
      <c r="Q1873" s="42">
        <f>OfficeForms.Table[[#This Row],[ INFORMEDEPAGO ]]*0.3</f>
        <v>4137.8819999999996</v>
      </c>
      <c r="R1873" s="12">
        <f>(IF(O1873&lt;4172.98,0,MIN(O1873*0.3,O1873-4172.98)))-P1873</f>
        <v>147.2519999999995</v>
      </c>
      <c r="S1873" s="74">
        <v>46539</v>
      </c>
      <c r="T1873" s="1"/>
      <c r="V1873" s="1"/>
      <c r="X1873" s="101">
        <v>2</v>
      </c>
    </row>
    <row r="1874" spans="1:24" hidden="1">
      <c r="A1874">
        <v>273</v>
      </c>
      <c r="B1874" s="2">
        <v>46229.404224537</v>
      </c>
      <c r="C1874" s="2">
        <v>46229.405266203699</v>
      </c>
      <c r="D1874" s="1" t="s">
        <v>24</v>
      </c>
      <c r="E1874" s="1"/>
      <c r="F1874" s="29">
        <v>46229</v>
      </c>
      <c r="G1874" s="29">
        <v>46228</v>
      </c>
      <c r="H1874" s="1" t="s">
        <v>3452</v>
      </c>
      <c r="I1874" s="1" t="s">
        <v>4437</v>
      </c>
      <c r="J1874" s="207"/>
      <c r="K1874" s="171" t="s">
        <v>4438</v>
      </c>
      <c r="L1874" s="62">
        <v>23109912</v>
      </c>
      <c r="M1874" s="30">
        <v>3312809037</v>
      </c>
      <c r="N1874" s="171" t="s">
        <v>37</v>
      </c>
      <c r="O1874" s="52">
        <v>28019.74</v>
      </c>
      <c r="P1874" s="99">
        <v>8391.69</v>
      </c>
      <c r="Q1874" s="42">
        <f>OfficeForms.Table[[#This Row],[ INFORMEDEPAGO ]]*0.3</f>
        <v>8405.9220000000005</v>
      </c>
      <c r="R1874" s="12">
        <f>(IF(O1874&lt;4172.98,0,MIN(O1874*0.3,O1874-4172.98)))-P1874</f>
        <v>14.231999999999971</v>
      </c>
      <c r="S1874" s="74">
        <v>46753</v>
      </c>
      <c r="T1874" s="1"/>
      <c r="V1874" s="1"/>
      <c r="X1874" s="101">
        <v>2</v>
      </c>
    </row>
    <row r="1875" spans="1:24" hidden="1">
      <c r="A1875">
        <v>274</v>
      </c>
      <c r="B1875" s="2">
        <v>46229.4067476852</v>
      </c>
      <c r="C1875" s="2">
        <v>46229.408125000002</v>
      </c>
      <c r="D1875" s="1" t="s">
        <v>24</v>
      </c>
      <c r="E1875" s="1"/>
      <c r="F1875" s="29">
        <v>46229</v>
      </c>
      <c r="G1875" s="29">
        <v>46228</v>
      </c>
      <c r="H1875" s="1" t="s">
        <v>71</v>
      </c>
      <c r="I1875" s="1" t="s">
        <v>4439</v>
      </c>
      <c r="J1875" s="207"/>
      <c r="K1875" s="171" t="s">
        <v>4440</v>
      </c>
      <c r="L1875" s="62">
        <v>23108282</v>
      </c>
      <c r="M1875" s="30">
        <v>5214251246456</v>
      </c>
      <c r="N1875" s="171" t="s">
        <v>98</v>
      </c>
      <c r="O1875" s="67"/>
      <c r="P1875" s="99"/>
      <c r="Q1875" s="42">
        <f>OfficeForms.Table[[#This Row],[ INFORMEDEPAGO ]]*0.3</f>
        <v>0</v>
      </c>
      <c r="R1875" s="12">
        <f>(IF(O1875&lt;4172.98,0,MIN(O1875*0.3,O1875-4172.98)))-P1875</f>
        <v>0</v>
      </c>
      <c r="T1875" s="1"/>
      <c r="V1875" s="1"/>
      <c r="X1875" s="101">
        <v>0</v>
      </c>
    </row>
    <row r="1876" spans="1:24" hidden="1">
      <c r="A1876">
        <v>275</v>
      </c>
      <c r="B1876" s="2">
        <v>46229.408391203702</v>
      </c>
      <c r="C1876" s="2">
        <v>46229.409189814804</v>
      </c>
      <c r="D1876" s="1" t="s">
        <v>24</v>
      </c>
      <c r="E1876" s="1"/>
      <c r="F1876" s="29">
        <v>46229</v>
      </c>
      <c r="G1876" s="29">
        <v>46228</v>
      </c>
      <c r="H1876" s="1" t="s">
        <v>110</v>
      </c>
      <c r="I1876" s="1" t="s">
        <v>4441</v>
      </c>
      <c r="J1876" s="207"/>
      <c r="K1876" s="171" t="s">
        <v>4442</v>
      </c>
      <c r="L1876" s="62">
        <v>23108886</v>
      </c>
      <c r="M1876" s="30">
        <v>521734127631</v>
      </c>
      <c r="N1876" s="171" t="s">
        <v>37</v>
      </c>
      <c r="O1876" s="52">
        <v>9760.32</v>
      </c>
      <c r="P1876" s="99">
        <v>2822.12</v>
      </c>
      <c r="Q1876" s="42">
        <f>OfficeForms.Table[[#This Row],[ INFORMEDEPAGO ]]*0.3</f>
        <v>2928.096</v>
      </c>
      <c r="R1876" s="12">
        <f>(IF(O1876&lt;4172.98,0,MIN(O1876*0.3,O1876-4172.98)))-P1876</f>
        <v>105.97600000000011</v>
      </c>
      <c r="S1876" s="74">
        <v>46600</v>
      </c>
      <c r="T1876" s="1"/>
      <c r="V1876" s="1"/>
      <c r="X1876" s="101">
        <v>2</v>
      </c>
    </row>
    <row r="1877" spans="1:24" hidden="1">
      <c r="A1877">
        <v>276</v>
      </c>
      <c r="B1877" s="2">
        <v>46229.418101851901</v>
      </c>
      <c r="C1877" s="2">
        <v>46229.419224537</v>
      </c>
      <c r="D1877" s="1" t="s">
        <v>24</v>
      </c>
      <c r="E1877" s="1"/>
      <c r="F1877" s="29">
        <v>46229</v>
      </c>
      <c r="G1877" s="29">
        <v>46228</v>
      </c>
      <c r="H1877" s="1" t="s">
        <v>110</v>
      </c>
      <c r="I1877" s="1" t="s">
        <v>4443</v>
      </c>
      <c r="J1877" s="207"/>
      <c r="K1877" s="171" t="s">
        <v>4444</v>
      </c>
      <c r="L1877" s="62">
        <v>23110728</v>
      </c>
      <c r="M1877" s="30">
        <v>5214112424985</v>
      </c>
      <c r="N1877" s="171" t="s">
        <v>235</v>
      </c>
      <c r="O1877" s="67"/>
      <c r="P1877" s="99"/>
      <c r="Q1877" s="42">
        <f>OfficeForms.Table[[#This Row],[ INFORMEDEPAGO ]]*0.3</f>
        <v>0</v>
      </c>
      <c r="R1877" s="12">
        <f>(IF(O1877&lt;4172.98,0,MIN(O1877*0.3,O1877-4172.98)))-P1877</f>
        <v>0</v>
      </c>
      <c r="T1877" s="1"/>
      <c r="V1877" s="1"/>
      <c r="X1877" s="101">
        <v>1</v>
      </c>
    </row>
    <row r="1878" spans="1:24" hidden="1">
      <c r="A1878">
        <v>277</v>
      </c>
      <c r="B1878" s="2">
        <v>46229.417337963001</v>
      </c>
      <c r="C1878" s="2">
        <v>46229.419699074097</v>
      </c>
      <c r="D1878" s="1" t="s">
        <v>24</v>
      </c>
      <c r="E1878" s="1"/>
      <c r="F1878" s="29">
        <v>46229</v>
      </c>
      <c r="G1878" s="29">
        <v>46228</v>
      </c>
      <c r="H1878" s="1" t="s">
        <v>3022</v>
      </c>
      <c r="I1878" s="1" t="s">
        <v>4445</v>
      </c>
      <c r="J1878" s="207">
        <v>10866933848</v>
      </c>
      <c r="K1878" s="171"/>
      <c r="L1878" s="62">
        <v>23107274</v>
      </c>
      <c r="M1878" s="30">
        <v>5534260921</v>
      </c>
      <c r="N1878" s="171" t="s">
        <v>235</v>
      </c>
      <c r="O1878" s="67"/>
      <c r="P1878" s="99"/>
      <c r="Q1878" s="42">
        <f>OfficeForms.Table[[#This Row],[ INFORMEDEPAGO ]]*0.3</f>
        <v>0</v>
      </c>
      <c r="R1878" s="12">
        <f>(IF(O1878&lt;4172.98,0,MIN(O1878*0.3,O1878-4172.98)))-P1878</f>
        <v>0</v>
      </c>
      <c r="T1878" s="1"/>
      <c r="V1878" s="1"/>
      <c r="X1878" s="101">
        <v>1</v>
      </c>
    </row>
    <row r="1879" spans="1:24" hidden="1">
      <c r="A1879">
        <v>278</v>
      </c>
      <c r="B1879" s="2">
        <v>46229.427314814799</v>
      </c>
      <c r="C1879" s="2">
        <v>46229.428101851903</v>
      </c>
      <c r="D1879" s="1" t="s">
        <v>24</v>
      </c>
      <c r="E1879" s="1"/>
      <c r="F1879" s="29">
        <v>46229</v>
      </c>
      <c r="G1879" s="29">
        <v>46228</v>
      </c>
      <c r="H1879" s="1" t="s">
        <v>3022</v>
      </c>
      <c r="I1879" s="1" t="s">
        <v>4446</v>
      </c>
      <c r="J1879" s="207"/>
      <c r="K1879" s="171" t="s">
        <v>4447</v>
      </c>
      <c r="L1879" s="62">
        <v>23107898</v>
      </c>
      <c r="M1879" s="30">
        <v>9992501199</v>
      </c>
      <c r="N1879" s="171" t="s">
        <v>28</v>
      </c>
      <c r="O1879" s="67">
        <v>29590.5</v>
      </c>
      <c r="P1879" s="99"/>
      <c r="Q1879" s="42">
        <f>OfficeForms.Table[[#This Row],[ INFORMEDEPAGO ]]*0.3</f>
        <v>8877.15</v>
      </c>
      <c r="R1879" s="12">
        <f>(IF(O1879&lt;4172.98,0,MIN(O1879*0.3,O1879-4172.98)))-P1879</f>
        <v>8877.15</v>
      </c>
      <c r="T1879" s="1"/>
      <c r="V1879" s="1"/>
      <c r="X1879" s="101">
        <v>1</v>
      </c>
    </row>
    <row r="1880" spans="1:24" hidden="1">
      <c r="A1880">
        <v>279</v>
      </c>
      <c r="B1880" s="2">
        <v>46229.429814814801</v>
      </c>
      <c r="C1880" s="2">
        <v>46229.4309490741</v>
      </c>
      <c r="D1880" s="1" t="s">
        <v>24</v>
      </c>
      <c r="E1880" s="1"/>
      <c r="F1880" s="29">
        <v>46229</v>
      </c>
      <c r="G1880" s="29">
        <v>46229</v>
      </c>
      <c r="H1880" s="1" t="s">
        <v>3036</v>
      </c>
      <c r="I1880" s="1" t="s">
        <v>4448</v>
      </c>
      <c r="J1880" s="207"/>
      <c r="K1880" s="171" t="s">
        <v>4449</v>
      </c>
      <c r="L1880" s="62">
        <v>23110702</v>
      </c>
      <c r="M1880" s="30">
        <v>5215539194819</v>
      </c>
      <c r="N1880" s="171" t="s">
        <v>98</v>
      </c>
      <c r="O1880" s="67"/>
      <c r="P1880" s="99"/>
      <c r="Q1880" s="42">
        <f>OfficeForms.Table[[#This Row],[ INFORMEDEPAGO ]]*0.3</f>
        <v>0</v>
      </c>
      <c r="R1880" s="12">
        <f>(IF(O1880&lt;4172.98,0,MIN(O1880*0.3,O1880-4172.98)))-P1880</f>
        <v>0</v>
      </c>
      <c r="T1880" s="1"/>
      <c r="V1880" s="1"/>
      <c r="X1880" s="101">
        <v>0</v>
      </c>
    </row>
    <row r="1881" spans="1:24" hidden="1">
      <c r="A1881">
        <v>280</v>
      </c>
      <c r="B1881" s="2">
        <v>46229.3589236111</v>
      </c>
      <c r="C1881" s="2">
        <v>46229.436006944401</v>
      </c>
      <c r="D1881" s="1" t="s">
        <v>24</v>
      </c>
      <c r="E1881" s="1"/>
      <c r="F1881" s="29">
        <v>46229</v>
      </c>
      <c r="G1881" s="29">
        <v>46228</v>
      </c>
      <c r="H1881" s="1" t="s">
        <v>3352</v>
      </c>
      <c r="I1881" s="1" t="s">
        <v>4450</v>
      </c>
      <c r="J1881" s="207"/>
      <c r="K1881" s="171" t="s">
        <v>4451</v>
      </c>
      <c r="L1881" s="62">
        <v>23109136</v>
      </c>
      <c r="M1881" s="30">
        <v>7221490476</v>
      </c>
      <c r="N1881" s="171" t="s">
        <v>235</v>
      </c>
      <c r="O1881" s="67"/>
      <c r="P1881" s="99"/>
      <c r="Q1881" s="42">
        <f>OfficeForms.Table[[#This Row],[ INFORMEDEPAGO ]]*0.3</f>
        <v>0</v>
      </c>
      <c r="R1881" s="12">
        <f>(IF(O1881&lt;4172.98,0,MIN(O1881*0.3,O1881-4172.98)))-P1881</f>
        <v>0</v>
      </c>
      <c r="T1881" s="1"/>
      <c r="V1881" s="1"/>
      <c r="X1881" s="101">
        <v>1</v>
      </c>
    </row>
    <row r="1882" spans="1:24" hidden="1">
      <c r="A1882">
        <v>281</v>
      </c>
      <c r="B1882" s="2">
        <v>46229.4463888889</v>
      </c>
      <c r="C1882" s="2">
        <v>46229.448460648098</v>
      </c>
      <c r="D1882" s="1" t="s">
        <v>24</v>
      </c>
      <c r="E1882" s="1"/>
      <c r="F1882" s="29">
        <v>46229</v>
      </c>
      <c r="G1882" s="29">
        <v>46228</v>
      </c>
      <c r="H1882" s="1" t="s">
        <v>476</v>
      </c>
      <c r="I1882" s="1" t="s">
        <v>4452</v>
      </c>
      <c r="J1882" s="207" t="s">
        <v>4453</v>
      </c>
      <c r="K1882" s="171" t="s">
        <v>4454</v>
      </c>
      <c r="L1882" s="62">
        <v>23106644</v>
      </c>
      <c r="M1882" s="30">
        <v>5216141594029</v>
      </c>
      <c r="N1882" s="171" t="s">
        <v>32</v>
      </c>
      <c r="O1882" s="67">
        <v>4342.43</v>
      </c>
      <c r="P1882" s="99"/>
      <c r="Q1882" s="42">
        <f>OfficeForms.Table[[#This Row],[ INFORMEDEPAGO ]]*0.3</f>
        <v>1302.729</v>
      </c>
      <c r="R1882" s="12">
        <f>(IF(O1882&lt;4172.98,0,MIN(O1882*0.3,O1882-4172.98)))-P1882</f>
        <v>169.45000000000073</v>
      </c>
      <c r="T1882" s="1"/>
      <c r="V1882" s="1"/>
      <c r="X1882" s="101">
        <v>1</v>
      </c>
    </row>
    <row r="1883" spans="1:24" hidden="1">
      <c r="A1883">
        <v>282</v>
      </c>
      <c r="B1883" s="2">
        <v>46229.449351851901</v>
      </c>
      <c r="C1883" s="2">
        <v>46229.449965277803</v>
      </c>
      <c r="D1883" s="1" t="s">
        <v>24</v>
      </c>
      <c r="E1883" s="1"/>
      <c r="F1883" s="29">
        <v>46229</v>
      </c>
      <c r="G1883" s="29">
        <v>46229</v>
      </c>
      <c r="H1883" s="1" t="s">
        <v>71</v>
      </c>
      <c r="I1883" s="1" t="s">
        <v>4455</v>
      </c>
      <c r="J1883" s="207" t="s">
        <v>4456</v>
      </c>
      <c r="K1883" s="171"/>
      <c r="L1883" s="62">
        <v>23116628</v>
      </c>
      <c r="M1883" s="30">
        <v>5218711185305</v>
      </c>
      <c r="N1883" s="171" t="s">
        <v>37</v>
      </c>
      <c r="O1883" s="52">
        <v>18302.509999999998</v>
      </c>
      <c r="P1883" s="99">
        <v>5485.41</v>
      </c>
      <c r="Q1883" s="42">
        <f>OfficeForms.Table[[#This Row],[ INFORMEDEPAGO ]]*0.3</f>
        <v>5490.7529999999997</v>
      </c>
      <c r="R1883" s="12">
        <f>(IF(O1883&lt;4172.98,0,MIN(O1883*0.3,O1883-4172.98)))-P1883</f>
        <v>5.3429999999998472</v>
      </c>
      <c r="S1883" s="74">
        <v>46935</v>
      </c>
      <c r="T1883" s="1"/>
      <c r="V1883" s="1"/>
      <c r="X1883" s="101">
        <v>2</v>
      </c>
    </row>
    <row r="1884" spans="1:24" hidden="1">
      <c r="A1884">
        <v>283</v>
      </c>
      <c r="B1884" s="2">
        <v>46229.449293981503</v>
      </c>
      <c r="C1884" s="2">
        <v>46229.450034722198</v>
      </c>
      <c r="D1884" s="1" t="s">
        <v>24</v>
      </c>
      <c r="E1884" s="1"/>
      <c r="F1884" s="29">
        <v>46229</v>
      </c>
      <c r="G1884" s="29">
        <v>46229</v>
      </c>
      <c r="H1884" s="1" t="s">
        <v>110</v>
      </c>
      <c r="I1884" s="1" t="s">
        <v>4457</v>
      </c>
      <c r="J1884" s="207">
        <v>15806012270</v>
      </c>
      <c r="K1884" s="171"/>
      <c r="L1884" s="62">
        <v>23116612</v>
      </c>
      <c r="M1884" s="30">
        <v>5217343713792</v>
      </c>
      <c r="N1884" s="171" t="s">
        <v>98</v>
      </c>
      <c r="O1884" s="67"/>
      <c r="P1884" s="99"/>
      <c r="Q1884" s="42">
        <f>OfficeForms.Table[[#This Row],[ INFORMEDEPAGO ]]*0.3</f>
        <v>0</v>
      </c>
      <c r="R1884" s="12">
        <f>(IF(O1884&lt;4172.98,0,MIN(O1884*0.3,O1884-4172.98)))-P1884</f>
        <v>0</v>
      </c>
      <c r="T1884" s="1"/>
      <c r="V1884" s="1"/>
      <c r="X1884" s="101">
        <v>0</v>
      </c>
    </row>
    <row r="1885" spans="1:24" hidden="1">
      <c r="A1885">
        <v>284</v>
      </c>
      <c r="B1885" s="2">
        <v>46229.437743055598</v>
      </c>
      <c r="C1885" s="2">
        <v>46229.450451388897</v>
      </c>
      <c r="D1885" s="1" t="s">
        <v>24</v>
      </c>
      <c r="E1885" s="1"/>
      <c r="F1885" s="29">
        <v>46229</v>
      </c>
      <c r="G1885" s="29">
        <v>46228</v>
      </c>
      <c r="H1885" s="1" t="s">
        <v>3022</v>
      </c>
      <c r="I1885" s="1" t="s">
        <v>4458</v>
      </c>
      <c r="J1885" s="207">
        <v>78947531535</v>
      </c>
      <c r="K1885" s="171"/>
      <c r="L1885" s="62">
        <v>23108120</v>
      </c>
      <c r="M1885" s="30">
        <v>8442257861</v>
      </c>
      <c r="N1885" s="171" t="s">
        <v>74</v>
      </c>
      <c r="O1885" s="67"/>
      <c r="P1885" s="99"/>
      <c r="Q1885" s="42">
        <f>OfficeForms.Table[[#This Row],[ INFORMEDEPAGO ]]*0.3</f>
        <v>0</v>
      </c>
      <c r="R1885" s="12">
        <f>(IF(O1885&lt;4172.98,0,MIN(O1885*0.3,O1885-4172.98)))-P1885</f>
        <v>0</v>
      </c>
      <c r="T1885" s="1"/>
      <c r="V1885" s="1"/>
      <c r="X1885" s="101">
        <v>1</v>
      </c>
    </row>
    <row r="1886" spans="1:24" hidden="1">
      <c r="A1886">
        <v>285</v>
      </c>
      <c r="B1886" s="2">
        <v>46229.457187499997</v>
      </c>
      <c r="C1886" s="2">
        <v>46229.458009259302</v>
      </c>
      <c r="D1886" s="1" t="s">
        <v>24</v>
      </c>
      <c r="E1886" s="1"/>
      <c r="F1886" s="29">
        <v>46229</v>
      </c>
      <c r="G1886" s="29">
        <v>46229</v>
      </c>
      <c r="H1886" s="1" t="s">
        <v>3036</v>
      </c>
      <c r="I1886" s="1" t="s">
        <v>4459</v>
      </c>
      <c r="J1886" s="207" t="s">
        <v>4460</v>
      </c>
      <c r="K1886" s="171" t="s">
        <v>4461</v>
      </c>
      <c r="L1886" s="62">
        <v>23116594</v>
      </c>
      <c r="M1886" s="30">
        <v>5215538863186</v>
      </c>
      <c r="N1886" s="171" t="s">
        <v>28</v>
      </c>
      <c r="O1886" s="67">
        <v>7920.53</v>
      </c>
      <c r="P1886" s="99"/>
      <c r="Q1886" s="42">
        <f>OfficeForms.Table[[#This Row],[ INFORMEDEPAGO ]]*0.3</f>
        <v>2376.1589999999997</v>
      </c>
      <c r="R1886" s="12">
        <f>(IF(O1886&lt;4172.98,0,MIN(O1886*0.3,O1886-4172.98)))-P1886</f>
        <v>2376.1589999999997</v>
      </c>
      <c r="T1886" s="1"/>
      <c r="V1886" s="1"/>
      <c r="X1886" s="101">
        <v>1</v>
      </c>
    </row>
    <row r="1887" spans="1:24" hidden="1">
      <c r="A1887">
        <v>286</v>
      </c>
      <c r="B1887" s="2">
        <v>46229.436030092598</v>
      </c>
      <c r="C1887" s="2">
        <v>46229.461921296301</v>
      </c>
      <c r="D1887" s="1" t="s">
        <v>24</v>
      </c>
      <c r="E1887" s="1"/>
      <c r="F1887" s="29">
        <v>46229</v>
      </c>
      <c r="G1887" s="29">
        <v>46229</v>
      </c>
      <c r="H1887" s="1" t="s">
        <v>3352</v>
      </c>
      <c r="I1887" s="1" t="s">
        <v>4462</v>
      </c>
      <c r="J1887" s="207" t="s">
        <v>4463</v>
      </c>
      <c r="K1887" s="171" t="s">
        <v>4464</v>
      </c>
      <c r="L1887" s="62">
        <v>23116688</v>
      </c>
      <c r="M1887" s="30">
        <v>8182609860</v>
      </c>
      <c r="N1887" s="171" t="s">
        <v>37</v>
      </c>
      <c r="O1887" s="52">
        <v>18276.88</v>
      </c>
      <c r="P1887" s="99">
        <v>5238.25</v>
      </c>
      <c r="Q1887" s="42">
        <f>OfficeForms.Table[[#This Row],[ INFORMEDEPAGO ]]*0.3</f>
        <v>5483.0640000000003</v>
      </c>
      <c r="R1887" s="12">
        <f>(IF(O1887&lt;4172.98,0,MIN(O1887*0.3,O1887-4172.98)))-P1887</f>
        <v>244.81400000000031</v>
      </c>
      <c r="S1887" s="74">
        <v>46569</v>
      </c>
      <c r="T1887" s="1"/>
      <c r="V1887" s="1"/>
      <c r="X1887" s="101">
        <v>2</v>
      </c>
    </row>
    <row r="1888" spans="1:24" hidden="1">
      <c r="A1888">
        <v>287</v>
      </c>
      <c r="B1888" s="2">
        <v>46229.461712962999</v>
      </c>
      <c r="C1888" s="2">
        <v>46229.463784722197</v>
      </c>
      <c r="D1888" s="1" t="s">
        <v>24</v>
      </c>
      <c r="E1888" s="1"/>
      <c r="F1888" s="29">
        <v>46229</v>
      </c>
      <c r="G1888" s="29">
        <v>46229</v>
      </c>
      <c r="H1888" s="1" t="s">
        <v>3575</v>
      </c>
      <c r="I1888" s="1" t="s">
        <v>4465</v>
      </c>
      <c r="J1888" s="207">
        <v>14806007937</v>
      </c>
      <c r="K1888" s="185" t="s">
        <v>4466</v>
      </c>
      <c r="L1888" s="62">
        <v>23112798</v>
      </c>
      <c r="M1888" s="30">
        <v>5214425455231</v>
      </c>
      <c r="N1888" s="171" t="s">
        <v>37</v>
      </c>
      <c r="O1888" s="52">
        <v>38536.980000000003</v>
      </c>
      <c r="P1888" s="99">
        <v>11560.08</v>
      </c>
      <c r="Q1888" s="42">
        <f>OfficeForms.Table[[#This Row],[ INFORMEDEPAGO ]]*0.3</f>
        <v>11561.094000000001</v>
      </c>
      <c r="R1888" s="12">
        <f>(IF(O1888&lt;4172.98,0,MIN(O1888*0.3,O1888-4172.98)))-P1888</f>
        <v>1.0140000000010332</v>
      </c>
      <c r="S1888" s="74">
        <v>46478</v>
      </c>
      <c r="T1888" s="1"/>
      <c r="V1888" s="1"/>
      <c r="X1888" s="101">
        <v>2</v>
      </c>
    </row>
    <row r="1889" spans="1:24" hidden="1">
      <c r="A1889">
        <v>288</v>
      </c>
      <c r="B1889" s="2">
        <v>46229.483437499999</v>
      </c>
      <c r="C1889" s="2">
        <v>46229.4842824074</v>
      </c>
      <c r="D1889" s="1" t="s">
        <v>24</v>
      </c>
      <c r="E1889" s="1"/>
      <c r="F1889" s="29">
        <v>46229</v>
      </c>
      <c r="G1889" s="29">
        <v>46226</v>
      </c>
      <c r="H1889" s="1" t="s">
        <v>3575</v>
      </c>
      <c r="I1889" s="1" t="s">
        <v>4467</v>
      </c>
      <c r="J1889" s="207">
        <v>13796402553</v>
      </c>
      <c r="K1889" s="171" t="s">
        <v>4468</v>
      </c>
      <c r="L1889" s="62">
        <v>23034616</v>
      </c>
      <c r="M1889" s="30">
        <v>5216641727738</v>
      </c>
      <c r="N1889" s="171" t="s">
        <v>37</v>
      </c>
      <c r="O1889" s="52">
        <v>28750.39</v>
      </c>
      <c r="P1889" s="99">
        <v>8625.09</v>
      </c>
      <c r="Q1889" s="42">
        <f>OfficeForms.Table[[#This Row],[ INFORMEDEPAGO ]]*0.3</f>
        <v>8625.1170000000002</v>
      </c>
      <c r="R1889" s="12">
        <f>(IF(O1889&lt;4172.98,0,MIN(O1889*0.3,O1889-4172.98)))-P1889</f>
        <v>2.7000000000043656E-2</v>
      </c>
      <c r="S1889" s="74">
        <v>46813</v>
      </c>
      <c r="T1889" s="1"/>
      <c r="V1889" s="1"/>
      <c r="X1889" s="101">
        <v>2</v>
      </c>
    </row>
    <row r="1890" spans="1:24" hidden="1">
      <c r="A1890">
        <v>289</v>
      </c>
      <c r="B1890" s="2">
        <v>46229.483900462998</v>
      </c>
      <c r="C1890" s="2">
        <v>46229.484351851803</v>
      </c>
      <c r="D1890" s="1" t="s">
        <v>24</v>
      </c>
      <c r="E1890" s="1"/>
      <c r="F1890" s="29">
        <v>46229</v>
      </c>
      <c r="G1890" s="29">
        <v>46228</v>
      </c>
      <c r="H1890" s="1" t="s">
        <v>3352</v>
      </c>
      <c r="I1890" s="1" t="s">
        <v>4469</v>
      </c>
      <c r="J1890" s="207">
        <v>43796278430</v>
      </c>
      <c r="K1890" s="171"/>
      <c r="L1890" s="62">
        <v>23109044</v>
      </c>
      <c r="M1890" s="30">
        <v>8140199759</v>
      </c>
      <c r="N1890" s="171" t="s">
        <v>32</v>
      </c>
      <c r="O1890" s="67">
        <v>4209.8500000000004</v>
      </c>
      <c r="P1890" s="99"/>
      <c r="Q1890" s="42">
        <f>OfficeForms.Table[[#This Row],[ INFORMEDEPAGO ]]*0.3</f>
        <v>1262.9550000000002</v>
      </c>
      <c r="R1890" s="12">
        <f>(IF(O1890&lt;4172.98,0,MIN(O1890*0.3,O1890-4172.98)))-P1890</f>
        <v>36.8700000000008</v>
      </c>
      <c r="T1890" s="1"/>
      <c r="V1890" s="1"/>
      <c r="X1890" s="101">
        <v>1</v>
      </c>
    </row>
    <row r="1891" spans="1:24" hidden="1">
      <c r="A1891">
        <v>290</v>
      </c>
      <c r="B1891" s="2">
        <v>46229.405300925901</v>
      </c>
      <c r="C1891" s="2">
        <v>46229.486770833297</v>
      </c>
      <c r="D1891" s="1" t="s">
        <v>24</v>
      </c>
      <c r="E1891" s="1"/>
      <c r="F1891" s="29">
        <v>46229</v>
      </c>
      <c r="G1891" s="29">
        <v>46229</v>
      </c>
      <c r="H1891" s="1" t="s">
        <v>3452</v>
      </c>
      <c r="I1891" s="1" t="s">
        <v>4470</v>
      </c>
      <c r="J1891" s="207"/>
      <c r="K1891" s="171" t="s">
        <v>4471</v>
      </c>
      <c r="L1891" s="62">
        <v>23117146</v>
      </c>
      <c r="M1891" s="30">
        <v>7221471547</v>
      </c>
      <c r="N1891" s="171" t="s">
        <v>130</v>
      </c>
      <c r="O1891" s="52">
        <v>6708.48</v>
      </c>
      <c r="P1891" s="99">
        <v>1938.71</v>
      </c>
      <c r="Q1891" s="42">
        <f>OfficeForms.Table[[#This Row],[ INFORMEDEPAGO ]]*0.3</f>
        <v>2012.5439999999999</v>
      </c>
      <c r="R1891" s="12">
        <f>(IF(O1891&lt;4172.98,0,MIN(O1891*0.3,O1891-4172.98)))-P1891</f>
        <v>73.833999999999833</v>
      </c>
      <c r="S1891" s="74">
        <v>45717</v>
      </c>
      <c r="T1891" s="1"/>
      <c r="V1891" s="1"/>
      <c r="X1891" s="101">
        <v>2</v>
      </c>
    </row>
    <row r="1892" spans="1:24" hidden="1">
      <c r="A1892">
        <v>291</v>
      </c>
      <c r="B1892" s="2">
        <v>46229.486967592602</v>
      </c>
      <c r="C1892" s="2">
        <v>46229.489594907398</v>
      </c>
      <c r="D1892" s="1" t="s">
        <v>24</v>
      </c>
      <c r="E1892" s="1"/>
      <c r="F1892" s="29">
        <v>46229</v>
      </c>
      <c r="G1892" s="29">
        <v>46229</v>
      </c>
      <c r="H1892" s="1" t="s">
        <v>110</v>
      </c>
      <c r="I1892" s="1" t="s">
        <v>4472</v>
      </c>
      <c r="J1892" s="207">
        <v>33836623901</v>
      </c>
      <c r="K1892" s="171" t="s">
        <v>4473</v>
      </c>
      <c r="L1892" s="62">
        <v>23117026</v>
      </c>
      <c r="M1892" s="30">
        <v>5216563319066</v>
      </c>
      <c r="N1892" s="171" t="s">
        <v>28</v>
      </c>
      <c r="O1892" s="67">
        <v>60440.11</v>
      </c>
      <c r="P1892" s="99"/>
      <c r="Q1892" s="42">
        <f>OfficeForms.Table[[#This Row],[ INFORMEDEPAGO ]]*0.3</f>
        <v>18132.032999999999</v>
      </c>
      <c r="R1892" s="12">
        <f>(IF(O1892&lt;4172.98,0,MIN(O1892*0.3,O1892-4172.98)))-P1892</f>
        <v>18132.032999999999</v>
      </c>
      <c r="T1892" s="1"/>
      <c r="V1892" s="1"/>
      <c r="X1892" s="101">
        <v>1</v>
      </c>
    </row>
    <row r="1893" spans="1:24" hidden="1">
      <c r="A1893">
        <v>292</v>
      </c>
      <c r="B1893" s="2">
        <v>46229.490358796298</v>
      </c>
      <c r="C1893" s="2">
        <v>46229.490983796299</v>
      </c>
      <c r="D1893" s="1" t="s">
        <v>24</v>
      </c>
      <c r="E1893" s="1"/>
      <c r="F1893" s="29">
        <v>46229</v>
      </c>
      <c r="G1893" s="29">
        <v>46227</v>
      </c>
      <c r="H1893" s="1" t="s">
        <v>3452</v>
      </c>
      <c r="I1893" s="1" t="s">
        <v>4474</v>
      </c>
      <c r="J1893" s="207"/>
      <c r="K1893" s="171" t="s">
        <v>4475</v>
      </c>
      <c r="L1893" s="62">
        <v>23063424</v>
      </c>
      <c r="M1893" s="30">
        <v>8713327854</v>
      </c>
      <c r="N1893" s="171" t="s">
        <v>37</v>
      </c>
      <c r="O1893" s="52">
        <v>9081.52</v>
      </c>
      <c r="P1893" s="99">
        <v>2515.4699999999998</v>
      </c>
      <c r="Q1893" s="42">
        <f>OfficeForms.Table[[#This Row],[ INFORMEDEPAGO ]]*0.3</f>
        <v>2724.4560000000001</v>
      </c>
      <c r="R1893" s="12">
        <f>(IF(O1893&lt;4172.98,0,MIN(O1893*0.3,O1893-4172.98)))-P1893</f>
        <v>208.98600000000033</v>
      </c>
      <c r="S1893" s="74">
        <v>46388</v>
      </c>
      <c r="T1893" s="1"/>
      <c r="V1893" s="1"/>
      <c r="X1893" s="101">
        <v>2</v>
      </c>
    </row>
    <row r="1894" spans="1:24" hidden="1">
      <c r="A1894">
        <v>293</v>
      </c>
      <c r="B1894" s="2">
        <v>46229.484432870398</v>
      </c>
      <c r="C1894" s="2">
        <v>46229.491319444402</v>
      </c>
      <c r="D1894" s="1" t="s">
        <v>24</v>
      </c>
      <c r="E1894" s="1"/>
      <c r="F1894" s="29">
        <v>46229</v>
      </c>
      <c r="G1894" s="29">
        <v>46228</v>
      </c>
      <c r="H1894" s="1" t="s">
        <v>3352</v>
      </c>
      <c r="I1894" s="1" t="s">
        <v>4476</v>
      </c>
      <c r="J1894" s="207"/>
      <c r="K1894" s="171" t="s">
        <v>4477</v>
      </c>
      <c r="L1894" s="62">
        <v>23109328</v>
      </c>
      <c r="M1894" s="30">
        <v>6622404284</v>
      </c>
      <c r="N1894" s="171" t="s">
        <v>32</v>
      </c>
      <c r="O1894" s="67">
        <v>2776.11</v>
      </c>
      <c r="P1894" s="99" t="s">
        <v>4478</v>
      </c>
      <c r="Q1894" s="42">
        <f>OfficeForms.Table[[#This Row],[ INFORMEDEPAGO ]]*0.3</f>
        <v>832.83299999999997</v>
      </c>
      <c r="R1894" s="12">
        <f>(IF(O1894&lt;4172.98,0,MIN(O1894*0.3,O1894-4172.98)))-P1894</f>
        <v>-669</v>
      </c>
      <c r="T1894" s="1"/>
      <c r="V1894" s="1"/>
      <c r="X1894" s="101">
        <v>1</v>
      </c>
    </row>
    <row r="1895" spans="1:24" hidden="1">
      <c r="A1895">
        <v>294</v>
      </c>
      <c r="B1895" s="2">
        <v>46229.4922337963</v>
      </c>
      <c r="C1895" s="2">
        <v>46229.493298611102</v>
      </c>
      <c r="D1895" s="1" t="s">
        <v>24</v>
      </c>
      <c r="E1895" s="1"/>
      <c r="F1895" s="29">
        <v>46229</v>
      </c>
      <c r="G1895" s="29">
        <v>46229</v>
      </c>
      <c r="H1895" s="1" t="s">
        <v>110</v>
      </c>
      <c r="I1895" s="1" t="s">
        <v>4479</v>
      </c>
      <c r="J1895" s="207">
        <v>10796124708</v>
      </c>
      <c r="K1895" s="171"/>
      <c r="L1895" s="62">
        <v>23117246</v>
      </c>
      <c r="M1895" s="30">
        <v>5215624794910</v>
      </c>
      <c r="N1895" s="171" t="s">
        <v>37</v>
      </c>
      <c r="O1895" s="52">
        <v>6262.86</v>
      </c>
      <c r="P1895" s="99">
        <v>1811.9</v>
      </c>
      <c r="Q1895" s="42">
        <f>OfficeForms.Table[[#This Row],[ INFORMEDEPAGO ]]*0.3</f>
        <v>1878.8579999999997</v>
      </c>
      <c r="R1895" s="12">
        <f>(IF(O1895&lt;4172.98,0,MIN(O1895*0.3,O1895-4172.98)))-P1895</f>
        <v>66.957999999999629</v>
      </c>
      <c r="S1895" s="74">
        <v>46447</v>
      </c>
      <c r="T1895" s="1"/>
      <c r="V1895" s="1"/>
      <c r="X1895" s="101">
        <v>2</v>
      </c>
    </row>
    <row r="1896" spans="1:24" hidden="1">
      <c r="A1896">
        <v>295</v>
      </c>
      <c r="B1896" s="2">
        <v>46229.502731481502</v>
      </c>
      <c r="C1896" s="2">
        <v>46229.503784722197</v>
      </c>
      <c r="D1896" s="1" t="s">
        <v>24</v>
      </c>
      <c r="E1896" s="1"/>
      <c r="F1896" s="29">
        <v>46229</v>
      </c>
      <c r="G1896" s="29">
        <v>46228</v>
      </c>
      <c r="H1896" s="1" t="s">
        <v>3036</v>
      </c>
      <c r="I1896" s="1" t="s">
        <v>4480</v>
      </c>
      <c r="J1896" s="207"/>
      <c r="K1896" s="171" t="s">
        <v>4481</v>
      </c>
      <c r="L1896" s="62">
        <v>23107430</v>
      </c>
      <c r="M1896" s="30">
        <v>5215525112699</v>
      </c>
      <c r="N1896" s="171" t="s">
        <v>28</v>
      </c>
      <c r="O1896" s="67">
        <f>7072.51+848</f>
        <v>7920.51</v>
      </c>
      <c r="P1896" s="99" t="s">
        <v>3921</v>
      </c>
      <c r="Q1896" s="42">
        <f>OfficeForms.Table[[#This Row],[ INFORMEDEPAGO ]]*0.3</f>
        <v>2376.1529999999998</v>
      </c>
      <c r="R1896" s="12">
        <f>(IF(O1896&lt;4172.98,0,MIN(O1896*0.3,O1896-4172.98)))-P1896</f>
        <v>1528.1529999999998</v>
      </c>
      <c r="T1896" s="1"/>
      <c r="V1896" s="1"/>
      <c r="X1896" s="101">
        <v>1</v>
      </c>
    </row>
    <row r="1897" spans="1:24" hidden="1">
      <c r="A1897">
        <v>296</v>
      </c>
      <c r="B1897" s="2">
        <v>46229.528136574103</v>
      </c>
      <c r="C1897" s="2">
        <v>46229.529282407399</v>
      </c>
      <c r="D1897" s="1" t="s">
        <v>24</v>
      </c>
      <c r="E1897" s="1"/>
      <c r="F1897" s="29">
        <v>46229</v>
      </c>
      <c r="G1897" s="29">
        <v>46229</v>
      </c>
      <c r="H1897" s="1" t="s">
        <v>3036</v>
      </c>
      <c r="I1897" s="1" t="s">
        <v>4482</v>
      </c>
      <c r="J1897" s="207">
        <v>12907439439</v>
      </c>
      <c r="K1897" s="171"/>
      <c r="L1897" s="62">
        <v>23117788</v>
      </c>
      <c r="M1897" s="30">
        <v>5214121271645</v>
      </c>
      <c r="N1897" s="171" t="s">
        <v>32</v>
      </c>
      <c r="O1897" s="67">
        <v>3496.99</v>
      </c>
      <c r="P1897" s="99"/>
      <c r="Q1897" s="42">
        <f>OfficeForms.Table[[#This Row],[ INFORMEDEPAGO ]]*0.3</f>
        <v>1049.097</v>
      </c>
      <c r="R1897" s="12">
        <f>(IF(O1897&lt;4172.98,0,MIN(O1897*0.3,O1897-4172.98)))-P1897</f>
        <v>0</v>
      </c>
      <c r="T1897" s="1"/>
      <c r="V1897" s="1"/>
      <c r="X1897" s="101">
        <v>1</v>
      </c>
    </row>
    <row r="1898" spans="1:24" hidden="1">
      <c r="A1898">
        <v>297</v>
      </c>
      <c r="B1898" s="2">
        <v>46229.540034722202</v>
      </c>
      <c r="C1898" s="2">
        <v>46229.541250000002</v>
      </c>
      <c r="D1898" s="1" t="s">
        <v>24</v>
      </c>
      <c r="E1898" s="1"/>
      <c r="F1898" s="29">
        <v>46229</v>
      </c>
      <c r="G1898" s="29">
        <v>46229</v>
      </c>
      <c r="H1898" s="1" t="s">
        <v>3036</v>
      </c>
      <c r="I1898" s="1" t="s">
        <v>4483</v>
      </c>
      <c r="J1898" s="207" t="s">
        <v>4484</v>
      </c>
      <c r="K1898" s="171" t="s">
        <v>4485</v>
      </c>
      <c r="L1898" s="62">
        <v>23117384</v>
      </c>
      <c r="M1898" s="30">
        <v>5214495804427</v>
      </c>
      <c r="N1898" s="171" t="s">
        <v>47</v>
      </c>
      <c r="O1898" s="52">
        <v>5309.87</v>
      </c>
      <c r="P1898" s="99">
        <v>238.13</v>
      </c>
      <c r="Q1898" s="42">
        <f>OfficeForms.Table[[#This Row],[ INFORMEDEPAGO ]]*0.3</f>
        <v>1592.961</v>
      </c>
      <c r="R1898" s="12">
        <f>(IF(O1898&lt;4172.98,0,MIN(O1898*0.3,O1898-4172.98)))-P1898</f>
        <v>898.76000000000033</v>
      </c>
      <c r="S1898" s="74">
        <v>46296</v>
      </c>
      <c r="T1898" s="1"/>
      <c r="V1898" s="1"/>
      <c r="X1898" s="101">
        <v>2</v>
      </c>
    </row>
    <row r="1899" spans="1:24" hidden="1">
      <c r="A1899">
        <v>298</v>
      </c>
      <c r="B1899" s="2">
        <v>46229.498703703699</v>
      </c>
      <c r="C1899" s="2">
        <v>46229.541990740698</v>
      </c>
      <c r="D1899" s="1" t="s">
        <v>24</v>
      </c>
      <c r="E1899" s="1"/>
      <c r="F1899" s="29">
        <v>46229</v>
      </c>
      <c r="G1899" s="29">
        <v>46229</v>
      </c>
      <c r="H1899" s="1" t="s">
        <v>110</v>
      </c>
      <c r="I1899" s="1" t="s">
        <v>4486</v>
      </c>
      <c r="J1899" s="207">
        <v>10705240009</v>
      </c>
      <c r="K1899" s="171"/>
      <c r="L1899" s="62">
        <v>23118588</v>
      </c>
      <c r="M1899" s="30">
        <v>5219613367097</v>
      </c>
      <c r="N1899" s="171" t="s">
        <v>263</v>
      </c>
      <c r="O1899" s="52">
        <v>8532.41</v>
      </c>
      <c r="P1899" s="99">
        <v>2353.4299999999998</v>
      </c>
      <c r="Q1899" s="42">
        <f>OfficeForms.Table[[#This Row],[ INFORMEDEPAGO ]]*0.3</f>
        <v>2559.723</v>
      </c>
      <c r="R1899" s="12">
        <f>(IF(O1899&lt;4172.98,0,MIN(O1899*0.3,O1899-4172.98)))-P1899</f>
        <v>206.29300000000012</v>
      </c>
      <c r="S1899" s="74">
        <v>46143</v>
      </c>
      <c r="T1899" s="1"/>
      <c r="V1899" s="1"/>
      <c r="X1899" s="101">
        <v>2</v>
      </c>
    </row>
    <row r="1900" spans="1:24" hidden="1">
      <c r="A1900">
        <v>299</v>
      </c>
      <c r="B1900" s="2">
        <v>46229.549548611103</v>
      </c>
      <c r="C1900" s="2">
        <v>46229.550231481502</v>
      </c>
      <c r="D1900" s="1" t="s">
        <v>24</v>
      </c>
      <c r="E1900" s="1"/>
      <c r="F1900" s="29">
        <v>46229</v>
      </c>
      <c r="G1900" s="29">
        <v>46229</v>
      </c>
      <c r="H1900" s="1" t="s">
        <v>71</v>
      </c>
      <c r="I1900" s="1" t="s">
        <v>4487</v>
      </c>
      <c r="J1900" s="207"/>
      <c r="K1900" s="171" t="s">
        <v>4488</v>
      </c>
      <c r="L1900" s="62">
        <v>23117548</v>
      </c>
      <c r="M1900" s="30">
        <v>5219618011799</v>
      </c>
      <c r="N1900" s="171" t="s">
        <v>32</v>
      </c>
      <c r="O1900" s="67">
        <f>3025.19+879</f>
        <v>3904.19</v>
      </c>
      <c r="P1900" s="99" t="s">
        <v>3934</v>
      </c>
      <c r="Q1900" s="42">
        <f>OfficeForms.Table[[#This Row],[ INFORMEDEPAGO ]]*0.3</f>
        <v>1171.2570000000001</v>
      </c>
      <c r="R1900" s="12">
        <f>(IF(O1900&lt;4172.98,0,MIN(O1900*0.3,O1900-4172.98)))-P1900</f>
        <v>-879</v>
      </c>
      <c r="T1900" s="1"/>
      <c r="V1900" s="1"/>
      <c r="X1900" s="101">
        <v>1</v>
      </c>
    </row>
    <row r="1901" spans="1:24" hidden="1">
      <c r="A1901">
        <v>300</v>
      </c>
      <c r="B1901" s="2">
        <v>46229.550138888902</v>
      </c>
      <c r="C1901" s="2">
        <v>46229.553541666697</v>
      </c>
      <c r="D1901" s="1" t="s">
        <v>24</v>
      </c>
      <c r="E1901" s="1"/>
      <c r="F1901" s="29">
        <v>46229</v>
      </c>
      <c r="G1901" s="29">
        <v>46229</v>
      </c>
      <c r="H1901" s="1" t="s">
        <v>3022</v>
      </c>
      <c r="I1901" s="1" t="s">
        <v>4489</v>
      </c>
      <c r="J1901" s="207"/>
      <c r="K1901" s="171" t="s">
        <v>4490</v>
      </c>
      <c r="L1901" s="62">
        <v>23118526</v>
      </c>
      <c r="M1901" s="30">
        <v>9221892429</v>
      </c>
      <c r="N1901" s="171" t="s">
        <v>74</v>
      </c>
      <c r="O1901" s="67"/>
      <c r="P1901" s="99"/>
      <c r="Q1901" s="42">
        <f>OfficeForms.Table[[#This Row],[ INFORMEDEPAGO ]]*0.3</f>
        <v>0</v>
      </c>
      <c r="R1901" s="12">
        <f>(IF(O1901&lt;4172.98,0,MIN(O1901*0.3,O1901-4172.98)))-P1901</f>
        <v>0</v>
      </c>
      <c r="T1901" s="1"/>
      <c r="V1901" s="1"/>
      <c r="X1901" s="101">
        <v>1</v>
      </c>
    </row>
    <row r="1902" spans="1:24" hidden="1">
      <c r="A1902">
        <v>301</v>
      </c>
      <c r="B1902" s="2">
        <v>46229.557835648098</v>
      </c>
      <c r="C1902" s="2">
        <v>46229.558391203696</v>
      </c>
      <c r="D1902" s="1" t="s">
        <v>24</v>
      </c>
      <c r="E1902" s="1"/>
      <c r="F1902" s="29">
        <v>46229</v>
      </c>
      <c r="G1902" s="29">
        <v>46229</v>
      </c>
      <c r="H1902" s="1" t="s">
        <v>3007</v>
      </c>
      <c r="I1902" s="1" t="s">
        <v>4491</v>
      </c>
      <c r="J1902" s="207"/>
      <c r="K1902" s="171" t="s">
        <v>4492</v>
      </c>
      <c r="L1902" s="62">
        <v>23118792</v>
      </c>
      <c r="M1902" s="30">
        <v>3113939639</v>
      </c>
      <c r="N1902" s="171" t="s">
        <v>47</v>
      </c>
      <c r="O1902" s="52">
        <v>6262.86</v>
      </c>
      <c r="P1902" s="99">
        <v>1525.08</v>
      </c>
      <c r="Q1902" s="42">
        <f>OfficeForms.Table[[#This Row],[ INFORMEDEPAGO ]]*0.3</f>
        <v>1878.8579999999997</v>
      </c>
      <c r="R1902" s="12">
        <f>(IF(O1902&lt;4172.98,0,MIN(O1902*0.3,O1902-4172.98)))-P1902</f>
        <v>353.77799999999979</v>
      </c>
      <c r="S1902" s="74">
        <v>46753</v>
      </c>
      <c r="T1902" s="1"/>
      <c r="V1902" s="1"/>
      <c r="X1902" s="101">
        <v>2</v>
      </c>
    </row>
    <row r="1903" spans="1:24" hidden="1">
      <c r="A1903">
        <v>302</v>
      </c>
      <c r="B1903" s="2">
        <v>46229.565613425897</v>
      </c>
      <c r="C1903" s="2">
        <v>46229.566493055601</v>
      </c>
      <c r="D1903" s="1" t="s">
        <v>24</v>
      </c>
      <c r="E1903" s="1"/>
      <c r="F1903" s="29">
        <v>46229</v>
      </c>
      <c r="G1903" s="29">
        <v>46229</v>
      </c>
      <c r="H1903" s="1" t="s">
        <v>3036</v>
      </c>
      <c r="I1903" s="1" t="s">
        <v>4493</v>
      </c>
      <c r="J1903" s="207"/>
      <c r="K1903" s="171" t="s">
        <v>4494</v>
      </c>
      <c r="L1903" s="62">
        <v>23117636</v>
      </c>
      <c r="M1903" s="30">
        <v>5219381707404</v>
      </c>
      <c r="N1903" s="171" t="s">
        <v>28</v>
      </c>
      <c r="O1903" s="67">
        <v>7125.87</v>
      </c>
      <c r="P1903" s="99"/>
      <c r="Q1903" s="42">
        <f>OfficeForms.Table[[#This Row],[ INFORMEDEPAGO ]]*0.3</f>
        <v>2137.761</v>
      </c>
      <c r="R1903" s="12">
        <f>(IF(O1903&lt;4172.98,0,MIN(O1903*0.3,O1903-4172.98)))-P1903</f>
        <v>2137.761</v>
      </c>
      <c r="T1903" s="1"/>
      <c r="V1903" s="1"/>
      <c r="X1903" s="101">
        <v>1</v>
      </c>
    </row>
    <row r="1904" spans="1:24" hidden="1">
      <c r="A1904">
        <v>303</v>
      </c>
      <c r="B1904" s="2">
        <v>46229.560231481497</v>
      </c>
      <c r="C1904" s="2">
        <v>46229.566655092603</v>
      </c>
      <c r="D1904" s="1" t="s">
        <v>24</v>
      </c>
      <c r="E1904" s="1"/>
      <c r="F1904" s="29">
        <v>46229</v>
      </c>
      <c r="G1904" s="29">
        <v>46228</v>
      </c>
      <c r="H1904" s="1" t="s">
        <v>476</v>
      </c>
      <c r="I1904" s="1" t="s">
        <v>4495</v>
      </c>
      <c r="J1904" s="207" t="s">
        <v>4496</v>
      </c>
      <c r="K1904" s="171" t="s">
        <v>4497</v>
      </c>
      <c r="L1904" s="62">
        <v>23107200</v>
      </c>
      <c r="M1904" s="30">
        <v>5219221970337</v>
      </c>
      <c r="N1904" s="171" t="s">
        <v>37</v>
      </c>
      <c r="O1904" s="52">
        <v>5414.96</v>
      </c>
      <c r="P1904" s="99">
        <v>1566</v>
      </c>
      <c r="Q1904" s="42">
        <f>OfficeForms.Table[[#This Row],[ INFORMEDEPAGO ]]*0.3</f>
        <v>1624.4880000000001</v>
      </c>
      <c r="R1904" s="12">
        <f>(IF(O1904&lt;4172.98,0,MIN(O1904*0.3,O1904-4172.98)))-P1904</f>
        <v>-324.01999999999953</v>
      </c>
      <c r="S1904" s="74">
        <v>46388</v>
      </c>
      <c r="T1904" s="1"/>
      <c r="V1904" s="1"/>
      <c r="X1904" s="101">
        <v>2</v>
      </c>
    </row>
    <row r="1905" spans="1:24" hidden="1">
      <c r="A1905">
        <v>304</v>
      </c>
      <c r="B1905" s="2">
        <v>46229.567141203697</v>
      </c>
      <c r="C1905" s="2">
        <v>46229.568124999998</v>
      </c>
      <c r="D1905" s="1" t="s">
        <v>24</v>
      </c>
      <c r="E1905" s="1"/>
      <c r="F1905" s="29">
        <v>46229</v>
      </c>
      <c r="G1905" s="29">
        <v>46229</v>
      </c>
      <c r="H1905" s="1" t="s">
        <v>3022</v>
      </c>
      <c r="I1905" s="1" t="s">
        <v>4498</v>
      </c>
      <c r="J1905" s="207"/>
      <c r="K1905" s="171" t="s">
        <v>4499</v>
      </c>
      <c r="L1905" s="62">
        <v>23118814</v>
      </c>
      <c r="M1905" s="30">
        <v>2224651747</v>
      </c>
      <c r="N1905" s="171" t="s">
        <v>28</v>
      </c>
      <c r="O1905" s="67">
        <v>11029.03</v>
      </c>
      <c r="P1905" s="99"/>
      <c r="Q1905" s="42">
        <f>OfficeForms.Table[[#This Row],[ INFORMEDEPAGO ]]*0.3</f>
        <v>3308.7090000000003</v>
      </c>
      <c r="R1905" s="12">
        <f>(IF(O1905&lt;4172.98,0,MIN(O1905*0.3,O1905-4172.98)))-P1905</f>
        <v>3308.7090000000003</v>
      </c>
      <c r="T1905" s="1"/>
      <c r="V1905" s="1"/>
      <c r="X1905" s="101">
        <v>1</v>
      </c>
    </row>
    <row r="1906" spans="1:24" hidden="1">
      <c r="A1906">
        <v>305</v>
      </c>
      <c r="B1906" s="2">
        <v>46229.567743055602</v>
      </c>
      <c r="C1906" s="2">
        <v>46229.568391203698</v>
      </c>
      <c r="D1906" s="1" t="s">
        <v>24</v>
      </c>
      <c r="E1906" s="1"/>
      <c r="F1906" s="29">
        <v>46229</v>
      </c>
      <c r="G1906" s="29">
        <v>46230</v>
      </c>
      <c r="H1906" s="1" t="s">
        <v>3007</v>
      </c>
      <c r="I1906" s="1" t="s">
        <v>4500</v>
      </c>
      <c r="J1906" s="208" t="s">
        <v>4501</v>
      </c>
      <c r="K1906" s="171" t="s">
        <v>4502</v>
      </c>
      <c r="L1906" s="62">
        <v>23118448</v>
      </c>
      <c r="M1906" s="30">
        <v>8343511463</v>
      </c>
      <c r="N1906" s="171" t="s">
        <v>98</v>
      </c>
      <c r="O1906" s="52">
        <v>40603.370000000003</v>
      </c>
      <c r="P1906" s="99">
        <v>10129.61</v>
      </c>
      <c r="Q1906" s="42">
        <f>OfficeForms.Table[[#This Row],[ INFORMEDEPAGO ]]*0.3</f>
        <v>12181.011</v>
      </c>
      <c r="R1906" s="12">
        <f>(IF(O1906&lt;4172.98,0,MIN(O1906*0.3,O1906-4172.98)))-P1906</f>
        <v>2051.4009999999998</v>
      </c>
      <c r="T1906" s="1"/>
      <c r="V1906" s="1"/>
      <c r="X1906" s="101">
        <v>0</v>
      </c>
    </row>
    <row r="1907" spans="1:24" hidden="1">
      <c r="A1907">
        <v>306</v>
      </c>
      <c r="B1907" s="2">
        <v>46229.571250000001</v>
      </c>
      <c r="C1907" s="2">
        <v>46229.572256944397</v>
      </c>
      <c r="D1907" s="1" t="s">
        <v>24</v>
      </c>
      <c r="E1907" s="1"/>
      <c r="F1907" s="29">
        <v>46229</v>
      </c>
      <c r="G1907" s="29">
        <v>46229</v>
      </c>
      <c r="H1907" s="1" t="s">
        <v>71</v>
      </c>
      <c r="I1907" s="1" t="s">
        <v>4503</v>
      </c>
      <c r="J1907" s="207"/>
      <c r="K1907" s="171" t="s">
        <v>4504</v>
      </c>
      <c r="L1907" s="62">
        <v>23118396</v>
      </c>
      <c r="M1907" s="30">
        <v>5215663784810</v>
      </c>
      <c r="N1907" s="171" t="s">
        <v>32</v>
      </c>
      <c r="O1907" s="67">
        <v>4299.51</v>
      </c>
      <c r="P1907" s="99"/>
      <c r="Q1907" s="42">
        <f>OfficeForms.Table[[#This Row],[ INFORMEDEPAGO ]]*0.3</f>
        <v>1289.8530000000001</v>
      </c>
      <c r="R1907" s="12">
        <f>(IF(O1907&lt;4172.98,0,MIN(O1907*0.3,O1907-4172.98)))-P1907</f>
        <v>126.53000000000065</v>
      </c>
      <c r="T1907" s="1"/>
      <c r="V1907" s="1"/>
      <c r="X1907" s="101">
        <v>1</v>
      </c>
    </row>
    <row r="1908" spans="1:24" hidden="1">
      <c r="A1908">
        <v>307</v>
      </c>
      <c r="B1908" s="2">
        <v>46229.4913310185</v>
      </c>
      <c r="C1908" s="2">
        <v>46229.586574074099</v>
      </c>
      <c r="D1908" s="1" t="s">
        <v>24</v>
      </c>
      <c r="E1908" s="1"/>
      <c r="F1908" s="29">
        <v>46229</v>
      </c>
      <c r="G1908" s="29">
        <v>46229</v>
      </c>
      <c r="H1908" s="1" t="s">
        <v>3352</v>
      </c>
      <c r="I1908" s="1" t="s">
        <v>4505</v>
      </c>
      <c r="J1908" s="207"/>
      <c r="K1908" s="171" t="s">
        <v>4506</v>
      </c>
      <c r="L1908" s="62">
        <v>23118482</v>
      </c>
      <c r="M1908" s="30">
        <v>5573314391</v>
      </c>
      <c r="N1908" s="171" t="s">
        <v>37</v>
      </c>
      <c r="O1908" s="52">
        <v>28139.23</v>
      </c>
      <c r="P1908" s="99">
        <v>8440.66</v>
      </c>
      <c r="Q1908" s="42">
        <f>OfficeForms.Table[[#This Row],[ INFORMEDEPAGO ]]*0.3</f>
        <v>8441.7690000000002</v>
      </c>
      <c r="R1908" s="12">
        <f>(IF(O1908&lt;4172.98,0,MIN(O1908*0.3,O1908-4172.98)))-P1908</f>
        <v>1.1090000000003783</v>
      </c>
      <c r="S1908" s="74">
        <v>46327</v>
      </c>
      <c r="T1908" s="1"/>
      <c r="V1908" s="1"/>
      <c r="X1908" s="101">
        <v>2</v>
      </c>
    </row>
    <row r="1909" spans="1:24" hidden="1">
      <c r="A1909">
        <v>308</v>
      </c>
      <c r="B1909" s="2">
        <v>46229.585706018501</v>
      </c>
      <c r="C1909" s="2">
        <v>46229.586678240703</v>
      </c>
      <c r="D1909" s="1" t="s">
        <v>24</v>
      </c>
      <c r="E1909" s="1"/>
      <c r="F1909" s="29">
        <v>46229</v>
      </c>
      <c r="G1909" s="29">
        <v>46229</v>
      </c>
      <c r="H1909" s="1" t="s">
        <v>3452</v>
      </c>
      <c r="I1909" s="1" t="s">
        <v>4507</v>
      </c>
      <c r="J1909" s="207"/>
      <c r="K1909" s="171" t="s">
        <v>4508</v>
      </c>
      <c r="L1909" s="62">
        <v>23112486</v>
      </c>
      <c r="M1909" s="30">
        <v>4891235987</v>
      </c>
      <c r="N1909" s="171" t="s">
        <v>37</v>
      </c>
      <c r="O1909" s="52">
        <v>7919.84</v>
      </c>
      <c r="P1909" s="99">
        <v>2374.84</v>
      </c>
      <c r="Q1909" s="42">
        <f>OfficeForms.Table[[#This Row],[ INFORMEDEPAGO ]]*0.3</f>
        <v>2375.9519999999998</v>
      </c>
      <c r="R1909" s="12">
        <f>(IF(O1909&lt;4172.98,0,MIN(O1909*0.3,O1909-4172.98)))-P1909</f>
        <v>1.1119999999996253</v>
      </c>
      <c r="S1909" s="74">
        <v>46419</v>
      </c>
      <c r="T1909" s="1"/>
      <c r="V1909" s="1"/>
      <c r="X1909" s="101">
        <v>2</v>
      </c>
    </row>
    <row r="1910" spans="1:24" hidden="1">
      <c r="A1910">
        <v>309</v>
      </c>
      <c r="B1910" s="2">
        <v>46229.593263888899</v>
      </c>
      <c r="C1910" s="2">
        <v>46229.593726851803</v>
      </c>
      <c r="D1910" s="1" t="s">
        <v>24</v>
      </c>
      <c r="E1910" s="1"/>
      <c r="F1910" s="29">
        <v>46229</v>
      </c>
      <c r="G1910" s="29">
        <v>46229</v>
      </c>
      <c r="H1910" s="1" t="s">
        <v>26</v>
      </c>
      <c r="I1910" s="1" t="s">
        <v>4509</v>
      </c>
      <c r="J1910" s="207"/>
      <c r="K1910" s="171" t="s">
        <v>4510</v>
      </c>
      <c r="L1910" s="62">
        <v>23117680</v>
      </c>
      <c r="M1910" s="30">
        <v>5214615560914</v>
      </c>
      <c r="N1910" s="171" t="s">
        <v>98</v>
      </c>
      <c r="O1910" s="67"/>
      <c r="P1910" s="99"/>
      <c r="Q1910" s="42">
        <f>OfficeForms.Table[[#This Row],[ INFORMEDEPAGO ]]*0.3</f>
        <v>0</v>
      </c>
      <c r="R1910" s="12">
        <f>(IF(O1910&lt;4172.98,0,MIN(O1910*0.3,O1910-4172.98)))-P1910</f>
        <v>0</v>
      </c>
      <c r="T1910" s="1"/>
      <c r="V1910" s="1"/>
      <c r="X1910" s="101">
        <v>0</v>
      </c>
    </row>
    <row r="1911" spans="1:24" hidden="1">
      <c r="A1911">
        <v>310</v>
      </c>
      <c r="B1911" s="2">
        <v>46229.600011574097</v>
      </c>
      <c r="C1911" s="2">
        <v>46229.600879629601</v>
      </c>
      <c r="D1911" s="1" t="s">
        <v>24</v>
      </c>
      <c r="E1911" s="1"/>
      <c r="F1911" s="29">
        <v>46229</v>
      </c>
      <c r="G1911" s="29">
        <v>46229</v>
      </c>
      <c r="H1911" s="1" t="s">
        <v>3022</v>
      </c>
      <c r="I1911" s="1" t="s">
        <v>4511</v>
      </c>
      <c r="J1911" s="207"/>
      <c r="K1911" s="171" t="s">
        <v>4512</v>
      </c>
      <c r="L1911" s="62">
        <v>23119666</v>
      </c>
      <c r="M1911" s="30">
        <v>6182759709</v>
      </c>
      <c r="N1911" s="171" t="s">
        <v>37</v>
      </c>
      <c r="O1911" s="52">
        <v>9760.32</v>
      </c>
      <c r="P1911" s="99">
        <v>2823.89</v>
      </c>
      <c r="Q1911" s="42">
        <f>OfficeForms.Table[[#This Row],[ INFORMEDEPAGO ]]*0.3</f>
        <v>2928.096</v>
      </c>
      <c r="R1911" s="12">
        <f>(IF(O1911&lt;4172.98,0,MIN(O1911*0.3,O1911-4172.98)))-P1911</f>
        <v>104.20600000000013</v>
      </c>
      <c r="S1911" s="74">
        <v>46692</v>
      </c>
      <c r="T1911" s="1"/>
      <c r="V1911" s="1"/>
      <c r="X1911" s="101">
        <v>2</v>
      </c>
    </row>
    <row r="1912" spans="1:24" hidden="1">
      <c r="A1912">
        <v>311</v>
      </c>
      <c r="B1912" s="2">
        <v>46229.590474536999</v>
      </c>
      <c r="C1912" s="2">
        <v>46229.605763888903</v>
      </c>
      <c r="D1912" s="1" t="s">
        <v>24</v>
      </c>
      <c r="E1912" s="1"/>
      <c r="F1912" s="29">
        <v>46229</v>
      </c>
      <c r="G1912" s="29">
        <v>46228</v>
      </c>
      <c r="H1912" s="1" t="s">
        <v>476</v>
      </c>
      <c r="I1912" s="1" t="s">
        <v>4513</v>
      </c>
      <c r="J1912" s="207" t="s">
        <v>4514</v>
      </c>
      <c r="K1912" s="171" t="s">
        <v>4515</v>
      </c>
      <c r="L1912" s="62">
        <v>23108616</v>
      </c>
      <c r="M1912" s="30">
        <v>5215620356811</v>
      </c>
      <c r="N1912" s="171" t="s">
        <v>37</v>
      </c>
      <c r="O1912" s="52">
        <v>10636.54</v>
      </c>
      <c r="P1912" s="99">
        <v>3143.79</v>
      </c>
      <c r="Q1912" s="42">
        <f>OfficeForms.Table[[#This Row],[ INFORMEDEPAGO ]]*0.3</f>
        <v>3190.962</v>
      </c>
      <c r="R1912" s="12">
        <f>(IF(O1912&lt;4172.98,0,MIN(O1912*0.3,O1912-4172.98)))-P1912</f>
        <v>47.172000000000025</v>
      </c>
      <c r="S1912" s="74">
        <v>46844</v>
      </c>
      <c r="T1912" s="1"/>
      <c r="V1912" s="1"/>
      <c r="X1912" s="101">
        <v>2</v>
      </c>
    </row>
    <row r="1913" spans="1:24" hidden="1">
      <c r="A1913">
        <v>312</v>
      </c>
      <c r="B1913" s="2">
        <v>46229.607476851903</v>
      </c>
      <c r="C1913" s="2">
        <v>46229.609189814801</v>
      </c>
      <c r="D1913" s="1" t="s">
        <v>24</v>
      </c>
      <c r="E1913" s="1"/>
      <c r="F1913" s="29">
        <v>46229</v>
      </c>
      <c r="G1913" s="29">
        <v>46229</v>
      </c>
      <c r="H1913" s="1" t="s">
        <v>3452</v>
      </c>
      <c r="I1913" s="1" t="s">
        <v>4516</v>
      </c>
      <c r="J1913" s="207"/>
      <c r="K1913" s="171" t="s">
        <v>4517</v>
      </c>
      <c r="L1913" s="62">
        <v>23119734</v>
      </c>
      <c r="M1913" s="30">
        <v>5518113928</v>
      </c>
      <c r="N1913" s="171" t="s">
        <v>37</v>
      </c>
      <c r="O1913" s="52">
        <v>7920.51</v>
      </c>
      <c r="P1913" s="99">
        <v>2367.42</v>
      </c>
      <c r="Q1913" s="42">
        <f>OfficeForms.Table[[#This Row],[ INFORMEDEPAGO ]]*0.3</f>
        <v>2376.1529999999998</v>
      </c>
      <c r="R1913" s="12">
        <f>(IF(O1913&lt;4172.98,0,MIN(O1913*0.3,O1913-4172.98)))-P1913</f>
        <v>8.7329999999997199</v>
      </c>
      <c r="S1913" s="74">
        <v>46569</v>
      </c>
      <c r="T1913" s="1"/>
      <c r="V1913" s="1"/>
      <c r="X1913" s="101">
        <v>2</v>
      </c>
    </row>
    <row r="1914" spans="1:24" hidden="1">
      <c r="A1914">
        <v>313</v>
      </c>
      <c r="B1914" s="2">
        <v>46229.618622685201</v>
      </c>
      <c r="C1914" s="2">
        <v>46229.619189814803</v>
      </c>
      <c r="D1914" s="1" t="s">
        <v>24</v>
      </c>
      <c r="E1914" s="1"/>
      <c r="F1914" s="29">
        <v>46229</v>
      </c>
      <c r="G1914" s="29">
        <v>46229</v>
      </c>
      <c r="H1914" s="1" t="s">
        <v>3007</v>
      </c>
      <c r="I1914" s="1" t="s">
        <v>4518</v>
      </c>
      <c r="J1914" s="207"/>
      <c r="K1914" s="171" t="s">
        <v>4519</v>
      </c>
      <c r="L1914" s="62">
        <v>23120302</v>
      </c>
      <c r="M1914" s="30">
        <v>9381070742</v>
      </c>
      <c r="N1914" s="171" t="s">
        <v>32</v>
      </c>
      <c r="O1914" s="67">
        <f>3351.87+848</f>
        <v>4199.87</v>
      </c>
      <c r="P1914" s="99" t="s">
        <v>3921</v>
      </c>
      <c r="Q1914" s="42">
        <f>OfficeForms.Table[[#This Row],[ INFORMEDEPAGO ]]*0.3</f>
        <v>1259.961</v>
      </c>
      <c r="R1914" s="12">
        <f>(IF(O1914&lt;4172.98,0,MIN(O1914*0.3,O1914-4172.98)))-P1914</f>
        <v>-821.10999999999967</v>
      </c>
      <c r="T1914" s="1"/>
      <c r="V1914" s="1"/>
      <c r="X1914" s="101">
        <v>1</v>
      </c>
    </row>
    <row r="1915" spans="1:24" hidden="1">
      <c r="A1915">
        <v>314</v>
      </c>
      <c r="B1915" s="2">
        <v>46229.620486111096</v>
      </c>
      <c r="C1915" s="2">
        <v>46229.622974537</v>
      </c>
      <c r="D1915" s="1" t="s">
        <v>24</v>
      </c>
      <c r="E1915" s="1"/>
      <c r="F1915" s="29">
        <v>46229</v>
      </c>
      <c r="G1915" s="29">
        <v>46229</v>
      </c>
      <c r="H1915" s="1" t="s">
        <v>3452</v>
      </c>
      <c r="I1915" s="1" t="s">
        <v>4520</v>
      </c>
      <c r="J1915" s="207"/>
      <c r="K1915" s="171" t="s">
        <v>4521</v>
      </c>
      <c r="L1915" s="62">
        <v>23119936</v>
      </c>
      <c r="M1915" s="30">
        <v>5612734656</v>
      </c>
      <c r="N1915" s="171" t="s">
        <v>37</v>
      </c>
      <c r="O1915" s="52">
        <v>9081.52</v>
      </c>
      <c r="P1915" s="99">
        <v>2607.86</v>
      </c>
      <c r="Q1915" s="42">
        <f>OfficeForms.Table[[#This Row],[ INFORMEDEPAGO ]]*0.3</f>
        <v>2724.4560000000001</v>
      </c>
      <c r="R1915" s="12">
        <f>(IF(O1915&lt;4172.98,0,MIN(O1915*0.3,O1915-4172.98)))-P1915</f>
        <v>116.596</v>
      </c>
      <c r="S1915" s="74">
        <v>46478</v>
      </c>
      <c r="T1915" s="1"/>
      <c r="V1915" s="1"/>
      <c r="X1915" s="101">
        <v>2</v>
      </c>
    </row>
    <row r="1916" spans="1:24" hidden="1">
      <c r="A1916">
        <v>315</v>
      </c>
      <c r="B1916" s="2">
        <v>46229.625555555598</v>
      </c>
      <c r="C1916" s="2">
        <v>46229.626296296301</v>
      </c>
      <c r="D1916" s="1" t="s">
        <v>24</v>
      </c>
      <c r="E1916" s="1"/>
      <c r="F1916" s="29">
        <v>46229</v>
      </c>
      <c r="G1916" s="29">
        <v>46228</v>
      </c>
      <c r="H1916" s="1" t="s">
        <v>3036</v>
      </c>
      <c r="I1916" s="1" t="s">
        <v>4522</v>
      </c>
      <c r="J1916" s="207">
        <v>51816205465</v>
      </c>
      <c r="K1916" s="171"/>
      <c r="L1916" s="62">
        <v>23110236</v>
      </c>
      <c r="M1916" s="30">
        <v>5214492114986</v>
      </c>
      <c r="N1916" s="171" t="s">
        <v>37</v>
      </c>
      <c r="O1916" s="52">
        <v>26932.68</v>
      </c>
      <c r="P1916" s="99">
        <v>8062.49</v>
      </c>
      <c r="Q1916" s="42">
        <f>OfficeForms.Table[[#This Row],[ INFORMEDEPAGO ]]*0.3</f>
        <v>8079.8040000000001</v>
      </c>
      <c r="R1916" s="12">
        <f>(IF(O1916&lt;4172.98,0,MIN(O1916*0.3,O1916-4172.98)))-P1916</f>
        <v>17.314000000000306</v>
      </c>
      <c r="S1916" s="74">
        <v>46722</v>
      </c>
      <c r="T1916" s="1"/>
      <c r="V1916" s="1"/>
      <c r="X1916" s="101">
        <v>2</v>
      </c>
    </row>
    <row r="1917" spans="1:24" hidden="1">
      <c r="A1917">
        <v>316</v>
      </c>
      <c r="B1917" s="2">
        <v>46229.631712962997</v>
      </c>
      <c r="C1917" s="2">
        <v>46229.632569444402</v>
      </c>
      <c r="D1917" s="1" t="s">
        <v>24</v>
      </c>
      <c r="E1917" s="1"/>
      <c r="F1917" s="29">
        <v>46229</v>
      </c>
      <c r="G1917" s="29">
        <v>46229</v>
      </c>
      <c r="H1917" s="1" t="s">
        <v>3575</v>
      </c>
      <c r="I1917" s="1" t="s">
        <v>4523</v>
      </c>
      <c r="J1917" s="207"/>
      <c r="K1917" s="171" t="s">
        <v>4524</v>
      </c>
      <c r="L1917" s="62">
        <v>23115760</v>
      </c>
      <c r="M1917" s="30">
        <v>5215518308804</v>
      </c>
      <c r="N1917" s="171" t="s">
        <v>106</v>
      </c>
      <c r="O1917" s="52">
        <v>15932.2</v>
      </c>
      <c r="P1917" s="99">
        <v>4197.28</v>
      </c>
      <c r="Q1917" s="42">
        <f>OfficeForms.Table[[#This Row],[ INFORMEDEPAGO ]]*0.3</f>
        <v>4779.66</v>
      </c>
      <c r="R1917" s="12">
        <f>(IF(O1917&lt;4172.98,0,MIN(O1917*0.3,O1917-4172.98)))-P1917</f>
        <v>582.38000000000011</v>
      </c>
      <c r="S1917" s="74">
        <v>46023</v>
      </c>
      <c r="T1917" s="1"/>
      <c r="V1917" s="1"/>
      <c r="X1917" s="101">
        <v>2</v>
      </c>
    </row>
    <row r="1918" spans="1:24" hidden="1">
      <c r="A1918">
        <v>317</v>
      </c>
      <c r="B1918" s="2">
        <v>46229.6323611111</v>
      </c>
      <c r="C1918" s="2">
        <v>46229.632777777799</v>
      </c>
      <c r="D1918" s="1" t="s">
        <v>24</v>
      </c>
      <c r="E1918" s="1"/>
      <c r="F1918" s="29">
        <v>46229</v>
      </c>
      <c r="G1918" s="29">
        <v>46229</v>
      </c>
      <c r="H1918" s="1" t="s">
        <v>3352</v>
      </c>
      <c r="I1918" s="1" t="s">
        <v>4525</v>
      </c>
      <c r="J1918" s="207"/>
      <c r="K1918" s="171" t="s">
        <v>4526</v>
      </c>
      <c r="L1918" s="62">
        <v>23119464</v>
      </c>
      <c r="M1918" s="30">
        <v>5617748480</v>
      </c>
      <c r="N1918" s="171" t="s">
        <v>32</v>
      </c>
      <c r="O1918" s="67">
        <v>4190.21</v>
      </c>
      <c r="P1918" s="99"/>
      <c r="Q1918" s="42">
        <f>OfficeForms.Table[[#This Row],[ INFORMEDEPAGO ]]*0.3</f>
        <v>1257.0629999999999</v>
      </c>
      <c r="R1918" s="12">
        <f>(IF(O1918&lt;4172.98,0,MIN(O1918*0.3,O1918-4172.98)))-P1918</f>
        <v>17.230000000000473</v>
      </c>
      <c r="T1918" s="1"/>
      <c r="V1918" s="1"/>
      <c r="X1918" s="101">
        <v>1</v>
      </c>
    </row>
    <row r="1919" spans="1:24" hidden="1">
      <c r="A1919">
        <v>318</v>
      </c>
      <c r="B1919" s="2">
        <v>46229.635486111103</v>
      </c>
      <c r="C1919" s="2">
        <v>46229.638425925899</v>
      </c>
      <c r="D1919" s="1" t="s">
        <v>24</v>
      </c>
      <c r="E1919" s="1"/>
      <c r="F1919" s="29">
        <v>46229</v>
      </c>
      <c r="G1919" s="29">
        <v>46229</v>
      </c>
      <c r="H1919" s="1" t="s">
        <v>476</v>
      </c>
      <c r="I1919" s="1" t="s">
        <v>4527</v>
      </c>
      <c r="J1919" s="207"/>
      <c r="K1919" s="171" t="s">
        <v>4528</v>
      </c>
      <c r="L1919" s="62">
        <v>23120190</v>
      </c>
      <c r="M1919" s="30">
        <v>5215634168404</v>
      </c>
      <c r="N1919" s="171" t="s">
        <v>98</v>
      </c>
      <c r="O1919" s="67"/>
      <c r="P1919" s="99"/>
      <c r="Q1919" s="42">
        <f>OfficeForms.Table[[#This Row],[ INFORMEDEPAGO ]]*0.3</f>
        <v>0</v>
      </c>
      <c r="R1919" s="12">
        <f>(IF(O1919&lt;4172.98,0,MIN(O1919*0.3,O1919-4172.98)))-P1919</f>
        <v>0</v>
      </c>
      <c r="T1919" s="1"/>
      <c r="V1919" s="1"/>
      <c r="X1919" s="101">
        <v>0</v>
      </c>
    </row>
    <row r="1920" spans="1:24" hidden="1">
      <c r="A1920">
        <v>319</v>
      </c>
      <c r="B1920" s="2">
        <v>46229.643506944398</v>
      </c>
      <c r="C1920" s="2">
        <v>46229.644432870402</v>
      </c>
      <c r="D1920" s="1" t="s">
        <v>24</v>
      </c>
      <c r="E1920" s="1"/>
      <c r="F1920" s="29">
        <v>46229</v>
      </c>
      <c r="G1920" s="29">
        <v>46229</v>
      </c>
      <c r="H1920" s="1" t="s">
        <v>3575</v>
      </c>
      <c r="I1920" s="1" t="s">
        <v>4529</v>
      </c>
      <c r="J1920" s="207"/>
      <c r="K1920" s="171" t="s">
        <v>4530</v>
      </c>
      <c r="L1920" s="62">
        <v>23120236</v>
      </c>
      <c r="M1920" s="30">
        <v>5213343343499</v>
      </c>
      <c r="N1920" s="171" t="s">
        <v>37</v>
      </c>
      <c r="O1920" s="52">
        <v>4534.54</v>
      </c>
      <c r="P1920" s="99">
        <v>348.69</v>
      </c>
      <c r="Q1920" s="42">
        <f>OfficeForms.Table[[#This Row],[ INFORMEDEPAGO ]]*0.3</f>
        <v>1360.3619999999999</v>
      </c>
      <c r="R1920" s="12">
        <f>(IF(O1920&lt;4172.98,0,MIN(O1920*0.3,O1920-4172.98)))-P1920</f>
        <v>12.870000000000402</v>
      </c>
      <c r="S1920" s="74">
        <v>46508</v>
      </c>
      <c r="T1920" s="1"/>
      <c r="V1920" s="1"/>
      <c r="X1920" s="101">
        <v>2</v>
      </c>
    </row>
    <row r="1921" spans="1:24" hidden="1">
      <c r="A1921">
        <v>320</v>
      </c>
      <c r="B1921" s="2">
        <v>46229.652627314797</v>
      </c>
      <c r="C1921" s="2">
        <v>46229.653159722198</v>
      </c>
      <c r="D1921" s="1" t="s">
        <v>24</v>
      </c>
      <c r="E1921" s="1"/>
      <c r="F1921" s="29">
        <v>46229</v>
      </c>
      <c r="G1921" s="29">
        <v>46229</v>
      </c>
      <c r="H1921" s="1" t="s">
        <v>3007</v>
      </c>
      <c r="I1921" s="1" t="s">
        <v>4531</v>
      </c>
      <c r="J1921" s="207"/>
      <c r="K1921" s="171" t="s">
        <v>4532</v>
      </c>
      <c r="L1921" s="62">
        <v>23117742</v>
      </c>
      <c r="M1921" s="30">
        <v>3931808851</v>
      </c>
      <c r="N1921" s="171" t="s">
        <v>106</v>
      </c>
      <c r="O1921" s="52">
        <v>7640.52</v>
      </c>
      <c r="P1921" s="99">
        <v>2109.29</v>
      </c>
      <c r="Q1921" s="42">
        <f>OfficeForms.Table[[#This Row],[ INFORMEDEPAGO ]]*0.3</f>
        <v>2292.1559999999999</v>
      </c>
      <c r="R1921" s="12">
        <f>(IF(O1921&lt;4172.98,0,MIN(O1921*0.3,O1921-4172.98)))-P1921</f>
        <v>182.86599999999999</v>
      </c>
      <c r="S1921" s="74">
        <v>45931</v>
      </c>
      <c r="T1921" s="1"/>
      <c r="V1921" s="1"/>
      <c r="X1921" s="101">
        <v>2</v>
      </c>
    </row>
    <row r="1922" spans="1:24" hidden="1">
      <c r="A1922">
        <v>321</v>
      </c>
      <c r="B1922" s="2">
        <v>46229.652534722198</v>
      </c>
      <c r="C1922" s="2">
        <v>46229.654710648101</v>
      </c>
      <c r="D1922" s="1" t="s">
        <v>24</v>
      </c>
      <c r="E1922" s="1"/>
      <c r="F1922" s="29">
        <v>46229</v>
      </c>
      <c r="G1922" s="29">
        <v>46229</v>
      </c>
      <c r="H1922" s="1" t="s">
        <v>476</v>
      </c>
      <c r="I1922" s="1" t="s">
        <v>4533</v>
      </c>
      <c r="J1922" s="207">
        <v>15796302881</v>
      </c>
      <c r="K1922" s="171"/>
      <c r="L1922" s="62">
        <v>23120452</v>
      </c>
      <c r="M1922" s="30">
        <v>5217779140822</v>
      </c>
      <c r="N1922" s="171" t="s">
        <v>106</v>
      </c>
      <c r="O1922" s="52">
        <v>7920.51</v>
      </c>
      <c r="P1922" s="99">
        <v>1384.04</v>
      </c>
      <c r="Q1922" s="42">
        <f>OfficeForms.Table[[#This Row],[ INFORMEDEPAGO ]]*0.3</f>
        <v>2376.1529999999998</v>
      </c>
      <c r="R1922" s="12">
        <f>(IF(O1922&lt;4172.98,0,MIN(O1922*0.3,O1922-4172.98)))-P1922</f>
        <v>992.11299999999983</v>
      </c>
      <c r="S1922" s="74">
        <v>46174</v>
      </c>
      <c r="T1922" s="1"/>
      <c r="V1922" s="1"/>
      <c r="X1922" s="101">
        <v>2</v>
      </c>
    </row>
    <row r="1923" spans="1:24" hidden="1">
      <c r="A1923">
        <v>322</v>
      </c>
      <c r="B1923" s="2">
        <v>46229.670648148203</v>
      </c>
      <c r="C1923" s="2">
        <v>46229.671481481499</v>
      </c>
      <c r="D1923" s="1" t="s">
        <v>24</v>
      </c>
      <c r="E1923" s="1"/>
      <c r="F1923" s="29">
        <v>46229</v>
      </c>
      <c r="G1923" s="29">
        <v>46229</v>
      </c>
      <c r="H1923" s="1" t="s">
        <v>3575</v>
      </c>
      <c r="I1923" s="1" t="s">
        <v>4534</v>
      </c>
      <c r="J1923" s="207"/>
      <c r="K1923" s="171" t="s">
        <v>4535</v>
      </c>
      <c r="L1923" s="62">
        <v>23121272</v>
      </c>
      <c r="M1923" s="30">
        <v>5216681128850</v>
      </c>
      <c r="N1923" s="171" t="s">
        <v>37</v>
      </c>
      <c r="O1923" s="52">
        <v>9081.52</v>
      </c>
      <c r="P1923" s="99">
        <v>2518</v>
      </c>
      <c r="Q1923" s="42">
        <f>OfficeForms.Table[[#This Row],[ INFORMEDEPAGO ]]*0.3</f>
        <v>2724.4560000000001</v>
      </c>
      <c r="R1923" s="12">
        <f>(IF(O1923&lt;4172.98,0,MIN(O1923*0.3,O1923-4172.98)))-P1923</f>
        <v>206.45600000000013</v>
      </c>
      <c r="S1923" s="74">
        <v>46327</v>
      </c>
      <c r="T1923" s="1"/>
      <c r="V1923" s="1"/>
      <c r="X1923" s="101">
        <v>2</v>
      </c>
    </row>
    <row r="1924" spans="1:24" hidden="1">
      <c r="A1924">
        <v>323</v>
      </c>
      <c r="B1924" s="2">
        <v>46229.542372685202</v>
      </c>
      <c r="C1924" s="2">
        <v>46229.676400463002</v>
      </c>
      <c r="D1924" s="1" t="s">
        <v>24</v>
      </c>
      <c r="E1924" s="1"/>
      <c r="F1924" s="29">
        <v>46229</v>
      </c>
      <c r="G1924" s="29">
        <v>46229</v>
      </c>
      <c r="H1924" s="1" t="s">
        <v>110</v>
      </c>
      <c r="I1924" s="1" t="s">
        <v>4536</v>
      </c>
      <c r="J1924" s="207" t="s">
        <v>3975</v>
      </c>
      <c r="K1924" s="171"/>
      <c r="L1924" s="62">
        <v>23119126</v>
      </c>
      <c r="M1924" s="30">
        <v>5215525379069</v>
      </c>
      <c r="N1924" s="171" t="s">
        <v>37</v>
      </c>
      <c r="O1924" s="43">
        <v>14676.75</v>
      </c>
      <c r="P1924" s="97">
        <v>4393.3599999999997</v>
      </c>
      <c r="Q1924" s="42">
        <f>OfficeForms.Table[[#This Row],[ INFORMEDEPAGO ]]*0.3</f>
        <v>4403.0249999999996</v>
      </c>
      <c r="R1924" s="12">
        <f>(IF(O1924&lt;4172.98,0,MIN(O1924*0.3,O1924-4172.98)))-P1924</f>
        <v>9.6649999999999636</v>
      </c>
      <c r="S1924" s="74">
        <v>46631</v>
      </c>
      <c r="T1924" s="74"/>
      <c r="U1924" s="165"/>
      <c r="V1924" s="1"/>
      <c r="X1924" s="101">
        <v>2</v>
      </c>
    </row>
    <row r="1925" spans="1:24" hidden="1">
      <c r="A1925">
        <v>324</v>
      </c>
      <c r="B1925" s="2">
        <v>46229.680462962999</v>
      </c>
      <c r="C1925" s="2">
        <v>46229.681250000001</v>
      </c>
      <c r="D1925" s="1" t="s">
        <v>24</v>
      </c>
      <c r="E1925" s="1"/>
      <c r="F1925" s="29">
        <v>46229</v>
      </c>
      <c r="G1925" s="29">
        <v>46229</v>
      </c>
      <c r="H1925" s="1" t="s">
        <v>107</v>
      </c>
      <c r="I1925" s="1"/>
      <c r="J1925" s="207">
        <v>16633611229</v>
      </c>
      <c r="K1925" s="171" t="s">
        <v>4537</v>
      </c>
      <c r="L1925" s="62">
        <v>23118680</v>
      </c>
      <c r="M1925" s="30">
        <v>5217223216759</v>
      </c>
      <c r="N1925" s="171" t="s">
        <v>32</v>
      </c>
      <c r="O1925" s="67">
        <v>3599.32</v>
      </c>
      <c r="P1925" s="99"/>
      <c r="Q1925" s="42">
        <f>OfficeForms.Table[[#This Row],[ INFORMEDEPAGO ]]*0.3</f>
        <v>1079.796</v>
      </c>
      <c r="R1925" s="12">
        <f>(IF(O1925&lt;4172.98,0,MIN(O1925*0.3,O1925-4172.98)))-P1925</f>
        <v>0</v>
      </c>
      <c r="T1925" s="1"/>
      <c r="V1925" s="1"/>
      <c r="X1925" s="101">
        <v>1</v>
      </c>
    </row>
    <row r="1926" spans="1:24" hidden="1">
      <c r="A1926">
        <v>325</v>
      </c>
      <c r="B1926" s="2">
        <v>46229.685787037</v>
      </c>
      <c r="C1926" s="2">
        <v>46229.687118055597</v>
      </c>
      <c r="D1926" s="1" t="s">
        <v>24</v>
      </c>
      <c r="E1926" s="1"/>
      <c r="F1926" s="29">
        <v>46229</v>
      </c>
      <c r="G1926" s="29">
        <v>46229</v>
      </c>
      <c r="H1926" s="1" t="s">
        <v>110</v>
      </c>
      <c r="I1926" s="1" t="s">
        <v>4538</v>
      </c>
      <c r="J1926" s="207">
        <v>52978031707</v>
      </c>
      <c r="K1926" s="171"/>
      <c r="L1926" s="62">
        <v>23118872</v>
      </c>
      <c r="M1926" s="30">
        <v>5213142482525</v>
      </c>
      <c r="N1926" s="171" t="s">
        <v>98</v>
      </c>
      <c r="O1926" s="67"/>
      <c r="P1926" s="99"/>
      <c r="Q1926" s="42">
        <f>OfficeForms.Table[[#This Row],[ INFORMEDEPAGO ]]*0.3</f>
        <v>0</v>
      </c>
      <c r="R1926" s="12">
        <f>(IF(O1926&lt;4172.98,0,MIN(O1926*0.3,O1926-4172.98)))-P1926</f>
        <v>0</v>
      </c>
      <c r="T1926" s="1"/>
      <c r="V1926" s="1"/>
      <c r="X1926" s="101">
        <v>0</v>
      </c>
    </row>
    <row r="1927" spans="1:24" hidden="1">
      <c r="A1927">
        <v>326</v>
      </c>
      <c r="B1927" s="2">
        <v>46229.696990740696</v>
      </c>
      <c r="C1927" s="2">
        <v>46229.697592592602</v>
      </c>
      <c r="D1927" s="1" t="s">
        <v>24</v>
      </c>
      <c r="E1927" s="1"/>
      <c r="F1927" s="29">
        <v>46229</v>
      </c>
      <c r="G1927" s="29">
        <v>46229</v>
      </c>
      <c r="H1927" s="1" t="s">
        <v>3575</v>
      </c>
      <c r="I1927" s="1" t="s">
        <v>4539</v>
      </c>
      <c r="J1927" s="207"/>
      <c r="K1927" s="171" t="s">
        <v>4540</v>
      </c>
      <c r="L1927" s="62">
        <v>23119706</v>
      </c>
      <c r="M1927" s="30">
        <v>5215543515800</v>
      </c>
      <c r="N1927" s="171" t="s">
        <v>28</v>
      </c>
      <c r="O1927" s="52">
        <v>43100.88</v>
      </c>
      <c r="P1927" s="99">
        <v>3291.73</v>
      </c>
      <c r="Q1927" s="42">
        <f>OfficeForms.Table[[#This Row],[ INFORMEDEPAGO ]]*0.3</f>
        <v>12930.263999999999</v>
      </c>
      <c r="R1927" s="12">
        <f>(IF(O1927&lt;4172.98,0,MIN(O1927*0.3,O1927-4172.98)))-P1927</f>
        <v>9638.5339999999997</v>
      </c>
      <c r="S1927" s="74">
        <v>46813</v>
      </c>
      <c r="T1927" s="1"/>
      <c r="V1927" s="1"/>
      <c r="X1927" s="101">
        <v>2</v>
      </c>
    </row>
    <row r="1928" spans="1:24" hidden="1">
      <c r="A1928">
        <v>327</v>
      </c>
      <c r="B1928" s="2">
        <v>46229.705578703702</v>
      </c>
      <c r="C1928" s="2">
        <v>46229.706111111103</v>
      </c>
      <c r="D1928" s="1" t="s">
        <v>24</v>
      </c>
      <c r="E1928" s="1"/>
      <c r="F1928" s="29">
        <v>46229</v>
      </c>
      <c r="G1928" s="29">
        <v>46229</v>
      </c>
      <c r="H1928" s="1" t="s">
        <v>3007</v>
      </c>
      <c r="I1928" s="1" t="s">
        <v>4541</v>
      </c>
      <c r="J1928" s="207">
        <v>92907005539</v>
      </c>
      <c r="K1928" s="171"/>
      <c r="L1928" s="62">
        <v>23121188</v>
      </c>
      <c r="M1928" s="30">
        <v>5579665495</v>
      </c>
      <c r="N1928" s="171" t="s">
        <v>28</v>
      </c>
      <c r="O1928" s="67">
        <v>23122.76</v>
      </c>
      <c r="P1928" s="99"/>
      <c r="Q1928" s="42">
        <f>OfficeForms.Table[[#This Row],[ INFORMEDEPAGO ]]*0.3</f>
        <v>6936.8279999999995</v>
      </c>
      <c r="R1928" s="12">
        <f>(IF(O1928&lt;4172.98,0,MIN(O1928*0.3,O1928-4172.98)))-P1928</f>
        <v>6936.8279999999995</v>
      </c>
      <c r="T1928" s="1"/>
      <c r="V1928" s="1"/>
      <c r="X1928" s="101">
        <v>1</v>
      </c>
    </row>
    <row r="1929" spans="1:24" hidden="1">
      <c r="A1929">
        <v>328</v>
      </c>
      <c r="B1929" s="2">
        <v>46229.709027777797</v>
      </c>
      <c r="C1929" s="2">
        <v>46229.709780092599</v>
      </c>
      <c r="D1929" s="1" t="s">
        <v>24</v>
      </c>
      <c r="E1929" s="1"/>
      <c r="F1929" s="29">
        <v>46229</v>
      </c>
      <c r="G1929" s="29">
        <v>46229</v>
      </c>
      <c r="H1929" s="1" t="s">
        <v>3575</v>
      </c>
      <c r="I1929" s="1" t="s">
        <v>4542</v>
      </c>
      <c r="J1929" s="207" t="s">
        <v>4543</v>
      </c>
      <c r="K1929" s="171" t="s">
        <v>4544</v>
      </c>
      <c r="L1929" s="62">
        <v>23117348</v>
      </c>
      <c r="M1929" s="30">
        <v>5219514741546</v>
      </c>
      <c r="N1929" s="171" t="s">
        <v>28</v>
      </c>
      <c r="O1929" s="67">
        <v>11876.9</v>
      </c>
      <c r="P1929" s="99" t="s">
        <v>3934</v>
      </c>
      <c r="Q1929" s="42">
        <f>OfficeForms.Table[[#This Row],[ INFORMEDEPAGO ]]*0.3</f>
        <v>3563.0699999999997</v>
      </c>
      <c r="R1929" s="12">
        <f>(IF(O1929&lt;4172.98,0,MIN(O1929*0.3,O1929-4172.98)))-P1929</f>
        <v>2684.0699999999997</v>
      </c>
      <c r="T1929" s="1"/>
      <c r="V1929" s="1"/>
      <c r="X1929" s="101">
        <v>1</v>
      </c>
    </row>
    <row r="1930" spans="1:24" hidden="1">
      <c r="A1930">
        <v>329</v>
      </c>
      <c r="B1930" s="2">
        <v>46229.7192013889</v>
      </c>
      <c r="C1930" s="2">
        <v>46229.7196527778</v>
      </c>
      <c r="D1930" s="1" t="s">
        <v>24</v>
      </c>
      <c r="E1930" s="1"/>
      <c r="F1930" s="29">
        <v>46229</v>
      </c>
      <c r="G1930" s="29">
        <v>46229</v>
      </c>
      <c r="H1930" s="1" t="s">
        <v>3007</v>
      </c>
      <c r="I1930" s="1" t="s">
        <v>4545</v>
      </c>
      <c r="J1930" s="207"/>
      <c r="K1930" s="171" t="s">
        <v>4546</v>
      </c>
      <c r="L1930" s="62">
        <v>23122470</v>
      </c>
      <c r="M1930" s="30">
        <v>3315407783</v>
      </c>
      <c r="N1930" s="171" t="s">
        <v>32</v>
      </c>
      <c r="O1930" s="67">
        <v>3912.1</v>
      </c>
      <c r="P1930" s="99"/>
      <c r="Q1930" s="42">
        <f>OfficeForms.Table[[#This Row],[ INFORMEDEPAGO ]]*0.3</f>
        <v>1173.6299999999999</v>
      </c>
      <c r="R1930" s="12">
        <f>(IF(O1930&lt;4172.98,0,MIN(O1930*0.3,O1930-4172.98)))-P1930</f>
        <v>0</v>
      </c>
      <c r="T1930" s="1"/>
      <c r="V1930" s="1"/>
      <c r="X1930" s="101">
        <v>1</v>
      </c>
    </row>
    <row r="1931" spans="1:24" hidden="1">
      <c r="A1931">
        <v>330</v>
      </c>
      <c r="B1931" s="2">
        <v>46229.632800925901</v>
      </c>
      <c r="C1931" s="2">
        <v>46229.725729166697</v>
      </c>
      <c r="D1931" s="1" t="s">
        <v>24</v>
      </c>
      <c r="E1931" s="1"/>
      <c r="F1931" s="29">
        <v>46229</v>
      </c>
      <c r="G1931" s="29">
        <v>46229</v>
      </c>
      <c r="H1931" s="1" t="s">
        <v>3352</v>
      </c>
      <c r="I1931" s="1" t="s">
        <v>4547</v>
      </c>
      <c r="J1931" s="207">
        <v>32816375466</v>
      </c>
      <c r="K1931" s="171"/>
      <c r="L1931" s="62">
        <v>23122480</v>
      </c>
      <c r="M1931" s="30">
        <v>8445441173</v>
      </c>
      <c r="N1931" s="171" t="s">
        <v>37</v>
      </c>
      <c r="O1931" s="52">
        <v>7920.51</v>
      </c>
      <c r="P1931" s="99">
        <v>2375.0500000000002</v>
      </c>
      <c r="Q1931" s="42">
        <f>OfficeForms.Table[[#This Row],[ INFORMEDEPAGO ]]*0.3</f>
        <v>2376.1529999999998</v>
      </c>
      <c r="R1931" s="12">
        <f>(IF(O1931&lt;4172.98,0,MIN(O1931*0.3,O1931-4172.98)))-P1931</f>
        <v>1.1029999999996107</v>
      </c>
      <c r="S1931" s="74">
        <v>46784</v>
      </c>
      <c r="T1931" s="1"/>
      <c r="V1931" s="1"/>
      <c r="X1931" s="101">
        <v>2</v>
      </c>
    </row>
    <row r="1932" spans="1:24" hidden="1">
      <c r="A1932">
        <v>331</v>
      </c>
      <c r="B1932" s="2">
        <v>46229.7335648148</v>
      </c>
      <c r="C1932" s="2">
        <v>46229.733946759297</v>
      </c>
      <c r="D1932" s="1" t="s">
        <v>24</v>
      </c>
      <c r="E1932" s="1"/>
      <c r="F1932" s="29">
        <v>46229</v>
      </c>
      <c r="G1932" s="29">
        <v>46229</v>
      </c>
      <c r="H1932" s="1" t="s">
        <v>3352</v>
      </c>
      <c r="I1932" s="1" t="s">
        <v>4548</v>
      </c>
      <c r="J1932" s="207"/>
      <c r="K1932" s="171" t="s">
        <v>4549</v>
      </c>
      <c r="L1932" s="62">
        <v>23122648</v>
      </c>
      <c r="M1932" s="30">
        <v>9141090525</v>
      </c>
      <c r="N1932" s="171" t="s">
        <v>98</v>
      </c>
      <c r="O1932" s="67"/>
      <c r="P1932" s="99"/>
      <c r="Q1932" s="42">
        <f>OfficeForms.Table[[#This Row],[ INFORMEDEPAGO ]]*0.3</f>
        <v>0</v>
      </c>
      <c r="R1932" s="12">
        <f>(IF(O1932&lt;4172.98,0,MIN(O1932*0.3,O1932-4172.98)))-P1932</f>
        <v>0</v>
      </c>
      <c r="T1932" s="1"/>
      <c r="V1932" s="1"/>
      <c r="X1932" s="101">
        <v>0</v>
      </c>
    </row>
    <row r="1933" spans="1:24" hidden="1">
      <c r="A1933">
        <v>332</v>
      </c>
      <c r="B1933" s="2">
        <v>46229.733958333301</v>
      </c>
      <c r="C1933" s="2">
        <v>46229.747118055602</v>
      </c>
      <c r="D1933" s="1" t="s">
        <v>24</v>
      </c>
      <c r="E1933" s="1"/>
      <c r="F1933" s="29">
        <v>46229</v>
      </c>
      <c r="G1933" s="29">
        <v>46229</v>
      </c>
      <c r="H1933" s="1" t="s">
        <v>3352</v>
      </c>
      <c r="I1933" s="1" t="s">
        <v>4550</v>
      </c>
      <c r="J1933" s="207">
        <v>24796241305</v>
      </c>
      <c r="K1933" s="171"/>
      <c r="L1933" s="62">
        <v>23123024</v>
      </c>
      <c r="M1933" s="30">
        <v>6624155730</v>
      </c>
      <c r="N1933" s="171" t="s">
        <v>47</v>
      </c>
      <c r="O1933" s="52">
        <v>7920.51</v>
      </c>
      <c r="P1933" s="99">
        <v>1477.6</v>
      </c>
      <c r="Q1933" s="42">
        <f>OfficeForms.Table[[#This Row],[ INFORMEDEPAGO ]]*0.3</f>
        <v>2376.1529999999998</v>
      </c>
      <c r="R1933" s="12">
        <f>(IF(O1933&lt;4172.98,0,MIN(O1933*0.3,O1933-4172.98)))-P1933</f>
        <v>898.55299999999988</v>
      </c>
      <c r="S1933" s="74">
        <v>46569</v>
      </c>
      <c r="T1933" s="1"/>
      <c r="V1933" s="1"/>
      <c r="X1933" s="101">
        <v>2</v>
      </c>
    </row>
    <row r="1934" spans="1:24" hidden="1">
      <c r="A1934">
        <v>333</v>
      </c>
      <c r="B1934" s="2">
        <v>46230.320798611101</v>
      </c>
      <c r="C1934" s="2">
        <v>46230.348090277803</v>
      </c>
      <c r="D1934" s="1" t="s">
        <v>24</v>
      </c>
      <c r="E1934" s="1"/>
      <c r="F1934" s="29">
        <v>46230</v>
      </c>
      <c r="G1934" s="29">
        <v>46230</v>
      </c>
      <c r="H1934" s="1" t="s">
        <v>1625</v>
      </c>
      <c r="I1934" s="1" t="s">
        <v>4551</v>
      </c>
      <c r="J1934" s="207">
        <v>49795812798</v>
      </c>
      <c r="K1934" s="171" t="s">
        <v>4552</v>
      </c>
      <c r="L1934" s="62">
        <v>2</v>
      </c>
      <c r="M1934" s="30">
        <v>8991233087</v>
      </c>
      <c r="N1934" s="171" t="s">
        <v>47</v>
      </c>
      <c r="O1934" s="43">
        <v>6090.77</v>
      </c>
      <c r="P1934" s="97">
        <v>1313.26</v>
      </c>
      <c r="Q1934" s="42">
        <f>OfficeForms.Table[[#This Row],[ INFORMEDEPAGO ]]*0.3</f>
        <v>1827.231</v>
      </c>
      <c r="R1934" s="12">
        <f>(IF(O1934&lt;4172.98,0,MIN(O1934*0.3,O1934-4172.98)))-P1934</f>
        <v>513.971</v>
      </c>
      <c r="S1934" s="74">
        <v>46447</v>
      </c>
      <c r="T1934" s="1"/>
      <c r="V1934" s="1"/>
      <c r="X1934" s="101">
        <v>2</v>
      </c>
    </row>
    <row r="1935" spans="1:24" hidden="1">
      <c r="A1935">
        <v>334</v>
      </c>
      <c r="B1935" s="2">
        <v>46230.350555555597</v>
      </c>
      <c r="C1935" s="2">
        <v>46230.351574074099</v>
      </c>
      <c r="D1935" s="1" t="s">
        <v>24</v>
      </c>
      <c r="E1935" s="1"/>
      <c r="F1935" s="29">
        <v>46230</v>
      </c>
      <c r="G1935" s="29">
        <v>46230</v>
      </c>
      <c r="H1935" s="1" t="s">
        <v>1625</v>
      </c>
      <c r="I1935" s="1" t="s">
        <v>4553</v>
      </c>
      <c r="J1935" s="207">
        <v>32755920736</v>
      </c>
      <c r="K1935" s="171" t="s">
        <v>4554</v>
      </c>
      <c r="L1935" s="62">
        <v>2</v>
      </c>
      <c r="M1935" s="30">
        <v>8661893511</v>
      </c>
      <c r="N1935" s="171" t="s">
        <v>37</v>
      </c>
      <c r="O1935" s="67">
        <v>4554.84</v>
      </c>
      <c r="P1935" s="99" t="s">
        <v>4555</v>
      </c>
      <c r="Q1935" s="42">
        <f>OfficeForms.Table[[#This Row],[ INFORMEDEPAGO ]]*0.3</f>
        <v>1366.452</v>
      </c>
      <c r="R1935" s="12">
        <f>(IF(O1935&lt;4172.98,0,MIN(O1935*0.3,O1935-4172.98)))-P1935</f>
        <v>-372.2799999999994</v>
      </c>
      <c r="S1935" s="74">
        <v>46447</v>
      </c>
      <c r="T1935" s="1" t="s">
        <v>259</v>
      </c>
      <c r="V1935" s="1"/>
      <c r="X1935" s="101">
        <v>2</v>
      </c>
    </row>
    <row r="1936" spans="1:24" hidden="1">
      <c r="A1936">
        <v>335</v>
      </c>
      <c r="B1936" s="2">
        <v>46230.348854166703</v>
      </c>
      <c r="C1936" s="2">
        <v>46230.352696759299</v>
      </c>
      <c r="D1936" s="1" t="s">
        <v>24</v>
      </c>
      <c r="E1936" s="1"/>
      <c r="F1936" s="29">
        <v>46230</v>
      </c>
      <c r="G1936" s="29">
        <v>46230</v>
      </c>
      <c r="H1936" s="1" t="s">
        <v>1629</v>
      </c>
      <c r="I1936" s="1" t="s">
        <v>4556</v>
      </c>
      <c r="J1936" s="207">
        <v>43816256101</v>
      </c>
      <c r="K1936" s="171" t="s">
        <v>4557</v>
      </c>
      <c r="L1936" s="62">
        <v>2</v>
      </c>
      <c r="M1936" s="30">
        <v>8112626305</v>
      </c>
      <c r="N1936" s="171" t="s">
        <v>130</v>
      </c>
      <c r="O1936" s="43">
        <v>7116.73</v>
      </c>
      <c r="P1936" s="97">
        <v>2059.04</v>
      </c>
      <c r="Q1936" s="42">
        <f>OfficeForms.Table[[#This Row],[ INFORMEDEPAGO ]]*0.3</f>
        <v>2135.0189999999998</v>
      </c>
      <c r="R1936" s="12">
        <f>(IF(O1936&lt;4172.98,0,MIN(O1936*0.3,O1936-4172.98)))-P1936</f>
        <v>75.978999999999814</v>
      </c>
      <c r="S1936" s="74">
        <v>46143</v>
      </c>
      <c r="T1936" s="1"/>
      <c r="V1936" s="1"/>
      <c r="X1936" s="101">
        <v>2</v>
      </c>
    </row>
    <row r="1937" spans="1:24" hidden="1">
      <c r="A1937">
        <v>336</v>
      </c>
      <c r="B1937" s="2">
        <v>46230.355069444398</v>
      </c>
      <c r="C1937" s="2">
        <v>46230.355729166702</v>
      </c>
      <c r="D1937" s="1" t="s">
        <v>24</v>
      </c>
      <c r="E1937" s="1"/>
      <c r="F1937" s="29">
        <v>46230</v>
      </c>
      <c r="G1937" s="29">
        <v>46230</v>
      </c>
      <c r="H1937" s="1" t="s">
        <v>1629</v>
      </c>
      <c r="I1937" s="1" t="s">
        <v>4558</v>
      </c>
      <c r="J1937" s="207">
        <v>81775903545</v>
      </c>
      <c r="K1937" s="171" t="s">
        <v>4559</v>
      </c>
      <c r="L1937" s="62">
        <v>2</v>
      </c>
      <c r="M1937" s="30">
        <v>9382916151</v>
      </c>
      <c r="N1937" s="171" t="s">
        <v>37</v>
      </c>
      <c r="O1937" s="43">
        <v>12777.55</v>
      </c>
      <c r="P1937" s="97">
        <v>3832.13</v>
      </c>
      <c r="Q1937" s="42">
        <f>OfficeForms.Table[[#This Row],[ INFORMEDEPAGO ]]*0.3</f>
        <v>3833.2649999999994</v>
      </c>
      <c r="R1937" s="12">
        <f>(IF(O1937&lt;4172.98,0,MIN(O1937*0.3,O1937-4172.98)))-P1937</f>
        <v>1.1349999999993088</v>
      </c>
      <c r="S1937" s="74">
        <v>46357</v>
      </c>
      <c r="T1937" s="1"/>
      <c r="V1937" s="1"/>
      <c r="X1937" s="101">
        <v>2</v>
      </c>
    </row>
    <row r="1938" spans="1:24" hidden="1">
      <c r="A1938">
        <v>337</v>
      </c>
      <c r="B1938" s="2">
        <v>46230.351631944402</v>
      </c>
      <c r="C1938" s="2">
        <v>46230.3719444444</v>
      </c>
      <c r="D1938" s="1" t="s">
        <v>24</v>
      </c>
      <c r="E1938" s="1"/>
      <c r="F1938" s="29">
        <v>46230</v>
      </c>
      <c r="G1938" s="29">
        <v>46230</v>
      </c>
      <c r="H1938" s="1" t="s">
        <v>1625</v>
      </c>
      <c r="I1938" s="1" t="s">
        <v>4560</v>
      </c>
      <c r="J1938" s="207">
        <v>10816320658</v>
      </c>
      <c r="K1938" s="171" t="s">
        <v>4561</v>
      </c>
      <c r="L1938" s="62">
        <v>2</v>
      </c>
      <c r="M1938" s="30">
        <v>5527986575</v>
      </c>
      <c r="N1938" s="171" t="s">
        <v>37</v>
      </c>
      <c r="O1938" s="43">
        <v>7920.51</v>
      </c>
      <c r="P1938" s="97">
        <v>2376.12</v>
      </c>
      <c r="Q1938" s="42">
        <f>OfficeForms.Table[[#This Row],[ INFORMEDEPAGO ]]*0.3</f>
        <v>2376.1529999999998</v>
      </c>
      <c r="R1938" s="12">
        <f>(IF(O1938&lt;4172.98,0,MIN(O1938*0.3,O1938-4172.98)))-P1938</f>
        <v>3.2999999999901775E-2</v>
      </c>
      <c r="S1938" s="74">
        <v>46600</v>
      </c>
      <c r="T1938" s="1"/>
      <c r="V1938" s="1"/>
      <c r="X1938" s="101">
        <v>2</v>
      </c>
    </row>
    <row r="1939" spans="1:24" hidden="1">
      <c r="A1939">
        <v>338</v>
      </c>
      <c r="B1939" s="2">
        <v>46230.371446759302</v>
      </c>
      <c r="C1939" s="2">
        <v>46230.372106481504</v>
      </c>
      <c r="D1939" s="1" t="s">
        <v>24</v>
      </c>
      <c r="E1939" s="1"/>
      <c r="F1939" s="29">
        <v>46230</v>
      </c>
      <c r="G1939" s="29">
        <v>46229</v>
      </c>
      <c r="H1939" s="1" t="s">
        <v>3007</v>
      </c>
      <c r="I1939" s="1" t="s">
        <v>4562</v>
      </c>
      <c r="J1939" s="207"/>
      <c r="K1939" s="171" t="s">
        <v>4563</v>
      </c>
      <c r="L1939" s="62">
        <v>23119562</v>
      </c>
      <c r="M1939" s="30">
        <v>5566839539</v>
      </c>
      <c r="N1939" s="171" t="s">
        <v>32</v>
      </c>
      <c r="O1939" s="67">
        <v>3893.6</v>
      </c>
      <c r="P1939" s="99"/>
      <c r="Q1939" s="42">
        <f>OfficeForms.Table[[#This Row],[ INFORMEDEPAGO ]]*0.3</f>
        <v>1168.08</v>
      </c>
      <c r="R1939" s="12">
        <f>(IF(O1939&lt;4172.98,0,MIN(O1939*0.3,O1939-4172.98)))-P1939</f>
        <v>0</v>
      </c>
      <c r="T1939" s="1"/>
      <c r="V1939" s="1"/>
      <c r="X1939" s="101">
        <v>1</v>
      </c>
    </row>
    <row r="1940" spans="1:24" hidden="1">
      <c r="A1940">
        <v>339</v>
      </c>
      <c r="B1940" s="2">
        <v>46230.381365740701</v>
      </c>
      <c r="C1940" s="2">
        <v>46230.3820486111</v>
      </c>
      <c r="D1940" s="1" t="s">
        <v>24</v>
      </c>
      <c r="E1940" s="1"/>
      <c r="F1940" s="29">
        <v>46230</v>
      </c>
      <c r="G1940" s="29">
        <v>46230</v>
      </c>
      <c r="H1940" s="1" t="s">
        <v>1629</v>
      </c>
      <c r="I1940" s="1" t="s">
        <v>4564</v>
      </c>
      <c r="J1940" s="207" t="s">
        <v>4565</v>
      </c>
      <c r="K1940" s="171" t="s">
        <v>2802</v>
      </c>
      <c r="L1940" s="62">
        <v>2</v>
      </c>
      <c r="M1940" s="30">
        <v>4761313465</v>
      </c>
      <c r="N1940" s="170" t="s">
        <v>37</v>
      </c>
      <c r="O1940" s="49">
        <v>7920.51</v>
      </c>
      <c r="P1940" s="96">
        <v>2376.14</v>
      </c>
      <c r="Q1940" s="42">
        <f>OfficeForms.Table[[#This Row],[ INFORMEDEPAGO ]]*0.3</f>
        <v>2376.1529999999998</v>
      </c>
      <c r="R1940" s="12">
        <f>(IF(O1940&lt;4172.98,0,MIN(O1940*0.3,O1940-4172.98)))-P1940</f>
        <v>1.2999999999919964E-2</v>
      </c>
      <c r="S1940" s="71">
        <v>46391</v>
      </c>
      <c r="T1940" s="1"/>
      <c r="V1940" s="1"/>
      <c r="X1940" s="101">
        <v>2</v>
      </c>
    </row>
    <row r="1941" spans="1:24" hidden="1">
      <c r="A1941">
        <v>340</v>
      </c>
      <c r="B1941" s="2">
        <v>46230.390324074098</v>
      </c>
      <c r="C1941" s="2">
        <v>46230.407858796301</v>
      </c>
      <c r="D1941" s="1" t="s">
        <v>24</v>
      </c>
      <c r="E1941" s="1"/>
      <c r="F1941" s="29">
        <v>46230</v>
      </c>
      <c r="G1941" s="29">
        <v>46229</v>
      </c>
      <c r="H1941" s="1" t="s">
        <v>3007</v>
      </c>
      <c r="I1941" s="1"/>
      <c r="J1941" s="207"/>
      <c r="K1941" s="171" t="s">
        <v>4566</v>
      </c>
      <c r="L1941" s="62">
        <v>23122596</v>
      </c>
      <c r="M1941" s="30">
        <v>9372891978</v>
      </c>
      <c r="N1941" s="172" t="s">
        <v>32</v>
      </c>
      <c r="O1941" s="50">
        <v>3494.87</v>
      </c>
      <c r="P1941" s="97"/>
      <c r="Q1941" s="42">
        <f>OfficeForms.Table[[#This Row],[ INFORMEDEPAGO ]]*0.3</f>
        <v>1048.461</v>
      </c>
      <c r="R1941" s="12">
        <f>(IF(O1941&lt;4172.98,0,MIN(O1941*0.3,O1941-4172.98)))-P1941</f>
        <v>0</v>
      </c>
      <c r="S1941" s="78"/>
      <c r="T1941" s="1"/>
      <c r="V1941" s="1"/>
      <c r="X1941" s="101">
        <v>1</v>
      </c>
    </row>
    <row r="1942" spans="1:24" hidden="1">
      <c r="A1942">
        <v>341</v>
      </c>
      <c r="B1942" s="2">
        <v>46230.408043981501</v>
      </c>
      <c r="C1942" s="2">
        <v>46230.408506944397</v>
      </c>
      <c r="D1942" s="1" t="s">
        <v>24</v>
      </c>
      <c r="E1942" s="1"/>
      <c r="F1942" s="29">
        <v>46230</v>
      </c>
      <c r="G1942" s="29">
        <v>46229</v>
      </c>
      <c r="H1942" s="1" t="s">
        <v>3007</v>
      </c>
      <c r="I1942" s="1" t="s">
        <v>3527</v>
      </c>
      <c r="J1942" s="207">
        <v>2177560578</v>
      </c>
      <c r="K1942" s="171"/>
      <c r="L1942" s="62">
        <v>23123368</v>
      </c>
      <c r="M1942" s="30">
        <v>6531168218</v>
      </c>
      <c r="N1942" s="172" t="s">
        <v>32</v>
      </c>
      <c r="O1942" s="50">
        <f>3034.85+848</f>
        <v>3882.85</v>
      </c>
      <c r="P1942" s="97" t="s">
        <v>3921</v>
      </c>
      <c r="Q1942" s="42">
        <f>OfficeForms.Table[[#This Row],[ INFORMEDEPAGO ]]*0.3</f>
        <v>1164.855</v>
      </c>
      <c r="R1942" s="12">
        <f>(IF(O1942&lt;4172.98,0,MIN(O1942*0.3,O1942-4172.98)))-P1942</f>
        <v>-848</v>
      </c>
      <c r="S1942" s="78"/>
      <c r="T1942" s="1"/>
      <c r="V1942" s="1"/>
      <c r="X1942" s="101">
        <v>1</v>
      </c>
    </row>
    <row r="1943" spans="1:24" hidden="1">
      <c r="A1943">
        <v>342</v>
      </c>
      <c r="B1943" s="2">
        <v>46230.408750000002</v>
      </c>
      <c r="C1943" s="2">
        <v>46230.410486111097</v>
      </c>
      <c r="D1943" s="1" t="s">
        <v>24</v>
      </c>
      <c r="E1943" s="1"/>
      <c r="F1943" s="29">
        <v>46230</v>
      </c>
      <c r="G1943" s="29">
        <v>46229</v>
      </c>
      <c r="H1943" s="1" t="s">
        <v>3036</v>
      </c>
      <c r="I1943" s="1" t="s">
        <v>4567</v>
      </c>
      <c r="J1943" s="207">
        <v>33007912000</v>
      </c>
      <c r="K1943" s="171" t="s">
        <v>4568</v>
      </c>
      <c r="L1943" s="62">
        <v>23121780</v>
      </c>
      <c r="M1943" s="30">
        <v>5218448921701</v>
      </c>
      <c r="N1943" s="172" t="s">
        <v>74</v>
      </c>
      <c r="O1943" s="50"/>
      <c r="P1943" s="97"/>
      <c r="Q1943" s="42">
        <f>OfficeForms.Table[[#This Row],[ INFORMEDEPAGO ]]*0.3</f>
        <v>0</v>
      </c>
      <c r="R1943" s="12">
        <f>(IF(O1943&lt;4172.98,0,MIN(O1943*0.3,O1943-4172.98)))-P1943</f>
        <v>0</v>
      </c>
      <c r="S1943" s="78"/>
      <c r="T1943" s="1"/>
      <c r="V1943" s="1"/>
      <c r="X1943" s="101">
        <v>1</v>
      </c>
    </row>
    <row r="1944" spans="1:24" hidden="1">
      <c r="A1944">
        <v>343</v>
      </c>
      <c r="B1944" s="2">
        <v>46230.423298611102</v>
      </c>
      <c r="C1944" s="2">
        <v>46230.426817129599</v>
      </c>
      <c r="D1944" s="1" t="s">
        <v>24</v>
      </c>
      <c r="E1944" s="1"/>
      <c r="F1944" s="29">
        <v>46230</v>
      </c>
      <c r="G1944" s="29">
        <v>46230</v>
      </c>
      <c r="H1944" s="1" t="s">
        <v>1629</v>
      </c>
      <c r="I1944" s="1" t="s">
        <v>4569</v>
      </c>
      <c r="J1944" s="207">
        <v>89826327200</v>
      </c>
      <c r="K1944" s="171" t="s">
        <v>4570</v>
      </c>
      <c r="L1944" s="62">
        <v>2</v>
      </c>
      <c r="M1944" s="30">
        <v>5585792268</v>
      </c>
      <c r="N1944" s="172" t="s">
        <v>37</v>
      </c>
      <c r="O1944" s="43">
        <v>9760.32</v>
      </c>
      <c r="P1944" s="97">
        <v>2820.1</v>
      </c>
      <c r="Q1944" s="42">
        <f>OfficeForms.Table[[#This Row],[ INFORMEDEPAGO ]]*0.3</f>
        <v>2928.096</v>
      </c>
      <c r="R1944" s="12">
        <f>(IF(O1944&lt;4172.98,0,MIN(O1944*0.3,O1944-4172.98)))-P1944</f>
        <v>107.99600000000009</v>
      </c>
      <c r="S1944" s="78">
        <v>46631</v>
      </c>
      <c r="T1944" s="1"/>
      <c r="V1944" s="1"/>
      <c r="X1944" s="101">
        <v>2</v>
      </c>
    </row>
    <row r="1945" spans="1:24" hidden="1">
      <c r="A1945">
        <v>344</v>
      </c>
      <c r="B1945" s="2">
        <v>46230.417743055601</v>
      </c>
      <c r="C1945" s="2">
        <v>46230.427743055603</v>
      </c>
      <c r="D1945" s="1" t="s">
        <v>24</v>
      </c>
      <c r="E1945" s="1"/>
      <c r="F1945" s="29">
        <v>46230</v>
      </c>
      <c r="G1945" s="29">
        <v>46230</v>
      </c>
      <c r="H1945" s="1" t="s">
        <v>1519</v>
      </c>
      <c r="I1945" s="1" t="s">
        <v>4571</v>
      </c>
      <c r="J1945" s="207">
        <v>53815908131</v>
      </c>
      <c r="K1945" s="171" t="s">
        <v>4572</v>
      </c>
      <c r="L1945" s="62">
        <v>23135182</v>
      </c>
      <c r="M1945" s="30">
        <v>5214432270268</v>
      </c>
      <c r="N1945" s="172" t="s">
        <v>47</v>
      </c>
      <c r="O1945" s="43">
        <v>37988.089999999997</v>
      </c>
      <c r="P1945" s="97">
        <v>10520.97</v>
      </c>
      <c r="Q1945" s="42">
        <f>OfficeForms.Table[[#This Row],[ INFORMEDEPAGO ]]*0.3</f>
        <v>11396.426999999998</v>
      </c>
      <c r="R1945" s="12">
        <f>(IF(O1945&lt;4172.98,0,MIN(O1945*0.3,O1945-4172.98)))-P1945</f>
        <v>875.45699999999852</v>
      </c>
      <c r="S1945" s="78">
        <v>46419</v>
      </c>
      <c r="T1945" s="1"/>
      <c r="V1945" s="1"/>
      <c r="X1945" s="101">
        <v>2</v>
      </c>
    </row>
    <row r="1946" spans="1:24" hidden="1">
      <c r="A1946">
        <v>345</v>
      </c>
      <c r="B1946" s="2">
        <v>46230.433611111097</v>
      </c>
      <c r="C1946" s="2">
        <v>46230.434456018498</v>
      </c>
      <c r="D1946" s="1" t="s">
        <v>24</v>
      </c>
      <c r="E1946" s="1"/>
      <c r="F1946" s="29">
        <v>46230</v>
      </c>
      <c r="G1946" s="29">
        <v>46230</v>
      </c>
      <c r="H1946" s="1" t="s">
        <v>1629</v>
      </c>
      <c r="I1946" s="1" t="s">
        <v>4573</v>
      </c>
      <c r="J1946" s="207" t="s">
        <v>4574</v>
      </c>
      <c r="K1946" s="171" t="s">
        <v>4575</v>
      </c>
      <c r="L1946" s="62">
        <v>2</v>
      </c>
      <c r="M1946" s="30">
        <v>8713487235</v>
      </c>
      <c r="N1946" s="172" t="s">
        <v>28</v>
      </c>
      <c r="O1946" s="50">
        <v>9572.89</v>
      </c>
      <c r="P1946" s="97"/>
      <c r="Q1946" s="42">
        <f>OfficeForms.Table[[#This Row],[ INFORMEDEPAGO ]]*0.3</f>
        <v>2871.8669999999997</v>
      </c>
      <c r="R1946" s="12">
        <f>(IF(O1946&lt;4172.98,0,MIN(O1946*0.3,O1946-4172.98)))-P1946</f>
        <v>2871.8669999999997</v>
      </c>
      <c r="S1946" s="78"/>
      <c r="T1946" s="1"/>
      <c r="V1946" s="1"/>
      <c r="X1946" s="101">
        <v>1</v>
      </c>
    </row>
    <row r="1947" spans="1:24" hidden="1">
      <c r="A1947">
        <v>346</v>
      </c>
      <c r="B1947" s="2">
        <v>46230.437129629601</v>
      </c>
      <c r="C1947" s="2">
        <v>46230.438182870399</v>
      </c>
      <c r="D1947" s="1" t="s">
        <v>24</v>
      </c>
      <c r="E1947" s="1"/>
      <c r="F1947" s="29">
        <v>46230</v>
      </c>
      <c r="G1947" s="29">
        <v>46229</v>
      </c>
      <c r="H1947" s="1" t="s">
        <v>3036</v>
      </c>
      <c r="I1947" s="1" t="s">
        <v>4576</v>
      </c>
      <c r="J1947" s="207">
        <v>19796286193</v>
      </c>
      <c r="K1947" s="171" t="s">
        <v>4577</v>
      </c>
      <c r="L1947" s="62">
        <v>23121518</v>
      </c>
      <c r="M1947" s="30">
        <v>5214272240538</v>
      </c>
      <c r="N1947" s="172" t="s">
        <v>37</v>
      </c>
      <c r="O1947" s="43">
        <v>9760.32</v>
      </c>
      <c r="P1947" s="97">
        <v>2928</v>
      </c>
      <c r="Q1947" s="42">
        <f>OfficeForms.Table[[#This Row],[ INFORMEDEPAGO ]]*0.3</f>
        <v>2928.096</v>
      </c>
      <c r="R1947" s="12">
        <f>(IF(O1947&lt;4172.98,0,MIN(O1947*0.3,O1947-4172.98)))-P1947</f>
        <v>9.6000000000003638E-2</v>
      </c>
      <c r="S1947" s="78">
        <v>46844</v>
      </c>
      <c r="T1947" s="1"/>
      <c r="V1947" s="1"/>
      <c r="X1947" s="101">
        <v>2</v>
      </c>
    </row>
    <row r="1948" spans="1:24" hidden="1">
      <c r="A1948">
        <v>347</v>
      </c>
      <c r="B1948" s="2">
        <v>46230.372094907398</v>
      </c>
      <c r="C1948" s="2">
        <v>46230.4382638889</v>
      </c>
      <c r="D1948" s="1" t="s">
        <v>24</v>
      </c>
      <c r="E1948" s="1"/>
      <c r="F1948" s="29">
        <v>46230</v>
      </c>
      <c r="G1948" s="29">
        <v>46230</v>
      </c>
      <c r="H1948" s="1" t="s">
        <v>1625</v>
      </c>
      <c r="I1948" s="1" t="s">
        <v>4578</v>
      </c>
      <c r="J1948" s="207">
        <v>10775915761</v>
      </c>
      <c r="K1948" s="171" t="s">
        <v>4579</v>
      </c>
      <c r="L1948" s="62">
        <v>2</v>
      </c>
      <c r="M1948" s="30">
        <v>9932780378</v>
      </c>
      <c r="N1948" s="172" t="s">
        <v>263</v>
      </c>
      <c r="O1948" s="43">
        <v>7928.07</v>
      </c>
      <c r="P1948" s="97">
        <v>2181.2600000000002</v>
      </c>
      <c r="Q1948" s="42">
        <f>OfficeForms.Table[[#This Row],[ INFORMEDEPAGO ]]*0.3</f>
        <v>2378.4209999999998</v>
      </c>
      <c r="R1948" s="12">
        <f>(IF(O1948&lt;4172.98,0,MIN(O1948*0.3,O1948-4172.98)))-P1948</f>
        <v>197.1609999999996</v>
      </c>
      <c r="S1948" s="78">
        <v>45323</v>
      </c>
      <c r="T1948" s="1"/>
      <c r="V1948" s="1"/>
      <c r="X1948" s="101">
        <v>2</v>
      </c>
    </row>
    <row r="1949" spans="1:24" hidden="1">
      <c r="A1949">
        <v>348</v>
      </c>
      <c r="B1949" s="2">
        <v>46230.444826388899</v>
      </c>
      <c r="C1949" s="2">
        <v>46230.446562500001</v>
      </c>
      <c r="D1949" s="1" t="s">
        <v>24</v>
      </c>
      <c r="E1949" s="1"/>
      <c r="F1949" s="29">
        <v>46230</v>
      </c>
      <c r="G1949" s="29">
        <v>46230</v>
      </c>
      <c r="H1949" s="1" t="s">
        <v>1625</v>
      </c>
      <c r="I1949" s="1" t="s">
        <v>4580</v>
      </c>
      <c r="J1949" s="207">
        <v>43816216287</v>
      </c>
      <c r="K1949" s="171" t="s">
        <v>4581</v>
      </c>
      <c r="L1949" s="62">
        <v>2</v>
      </c>
      <c r="M1949" s="30">
        <v>8187093221</v>
      </c>
      <c r="N1949" s="172" t="s">
        <v>37</v>
      </c>
      <c r="O1949" s="43">
        <v>7116.73</v>
      </c>
      <c r="P1949" s="97">
        <v>2042.89</v>
      </c>
      <c r="Q1949" s="42">
        <f>OfficeForms.Table[[#This Row],[ INFORMEDEPAGO ]]*0.3</f>
        <v>2135.0189999999998</v>
      </c>
      <c r="R1949" s="12">
        <f>(IF(O1949&lt;4172.98,0,MIN(O1949*0.3,O1949-4172.98)))-P1949</f>
        <v>92.128999999999678</v>
      </c>
      <c r="S1949" s="78">
        <v>46661</v>
      </c>
      <c r="T1949" s="1"/>
      <c r="V1949" s="1"/>
      <c r="X1949" s="101">
        <v>2</v>
      </c>
    </row>
    <row r="1950" spans="1:24" hidden="1">
      <c r="A1950">
        <v>349</v>
      </c>
      <c r="B1950" s="2">
        <v>46230.445775462998</v>
      </c>
      <c r="C1950" s="2">
        <v>46230.447719907403</v>
      </c>
      <c r="D1950" s="1" t="s">
        <v>24</v>
      </c>
      <c r="E1950" s="1"/>
      <c r="F1950" s="29">
        <v>46230</v>
      </c>
      <c r="G1950" s="29">
        <v>46229</v>
      </c>
      <c r="H1950" s="1" t="s">
        <v>3022</v>
      </c>
      <c r="I1950" s="1" t="s">
        <v>4582</v>
      </c>
      <c r="J1950" s="207"/>
      <c r="K1950" s="171" t="s">
        <v>4583</v>
      </c>
      <c r="L1950" s="62">
        <v>23118294</v>
      </c>
      <c r="M1950" s="30">
        <v>5584257438</v>
      </c>
      <c r="N1950" s="172" t="s">
        <v>47</v>
      </c>
      <c r="O1950" s="43">
        <v>9081.52</v>
      </c>
      <c r="P1950" s="97">
        <v>1809.74</v>
      </c>
      <c r="Q1950" s="42">
        <f>OfficeForms.Table[[#This Row],[ INFORMEDEPAGO ]]*0.3</f>
        <v>2724.4560000000001</v>
      </c>
      <c r="R1950" s="12">
        <f>(IF(O1950&lt;4172.98,0,MIN(O1950*0.3,O1950-4172.98)))-P1950</f>
        <v>914.71600000000012</v>
      </c>
      <c r="S1950" s="78">
        <v>46722</v>
      </c>
      <c r="T1950" s="1"/>
      <c r="V1950" s="1"/>
      <c r="X1950" s="101">
        <v>2</v>
      </c>
    </row>
    <row r="1951" spans="1:24" hidden="1">
      <c r="A1951">
        <v>350</v>
      </c>
      <c r="B1951" s="2">
        <v>46230.430034722202</v>
      </c>
      <c r="C1951" s="2">
        <v>46230.447928240697</v>
      </c>
      <c r="D1951" s="1" t="s">
        <v>24</v>
      </c>
      <c r="E1951" s="1"/>
      <c r="F1951" s="29">
        <v>46230</v>
      </c>
      <c r="G1951" s="29">
        <v>46230</v>
      </c>
      <c r="H1951" s="1" t="s">
        <v>1519</v>
      </c>
      <c r="I1951" s="1" t="s">
        <v>4584</v>
      </c>
      <c r="J1951" s="207">
        <v>1782610377</v>
      </c>
      <c r="K1951" s="171" t="s">
        <v>4585</v>
      </c>
      <c r="L1951" s="62">
        <v>23135552</v>
      </c>
      <c r="M1951" s="30">
        <v>5214432449385</v>
      </c>
      <c r="N1951" s="172" t="s">
        <v>37</v>
      </c>
      <c r="O1951" s="43">
        <v>7116.73</v>
      </c>
      <c r="P1951" s="97">
        <v>2057.34</v>
      </c>
      <c r="Q1951" s="42">
        <f>OfficeForms.Table[[#This Row],[ INFORMEDEPAGO ]]*0.3</f>
        <v>2135.0189999999998</v>
      </c>
      <c r="R1951" s="12">
        <f>(IF(O1951&lt;4172.98,0,MIN(O1951*0.3,O1951-4172.98)))-P1951</f>
        <v>77.678999999999633</v>
      </c>
      <c r="S1951" s="78">
        <v>46419</v>
      </c>
      <c r="T1951" s="1"/>
      <c r="V1951" s="1"/>
      <c r="X1951" s="101">
        <v>2</v>
      </c>
    </row>
    <row r="1952" spans="1:24" hidden="1">
      <c r="A1952">
        <v>351</v>
      </c>
      <c r="B1952" s="2">
        <v>46230.4469791667</v>
      </c>
      <c r="C1952" s="2">
        <v>46230.447974536997</v>
      </c>
      <c r="D1952" s="1" t="s">
        <v>24</v>
      </c>
      <c r="E1952" s="1"/>
      <c r="F1952" s="29">
        <v>46230</v>
      </c>
      <c r="G1952" s="29">
        <v>46228</v>
      </c>
      <c r="H1952" s="1" t="s">
        <v>3575</v>
      </c>
      <c r="I1952" s="1" t="s">
        <v>4586</v>
      </c>
      <c r="J1952" s="207"/>
      <c r="K1952" s="171" t="s">
        <v>4587</v>
      </c>
      <c r="L1952" s="62">
        <v>23110096</v>
      </c>
      <c r="M1952" s="30">
        <v>5215658697611</v>
      </c>
      <c r="N1952" s="172" t="s">
        <v>37</v>
      </c>
      <c r="O1952" s="43">
        <v>10636.54</v>
      </c>
      <c r="P1952" s="97">
        <v>3188.97</v>
      </c>
      <c r="Q1952" s="42">
        <f>OfficeForms.Table[[#This Row],[ INFORMEDEPAGO ]]*0.3</f>
        <v>3190.962</v>
      </c>
      <c r="R1952" s="12">
        <f>(IF(O1952&lt;4172.98,0,MIN(O1952*0.3,O1952-4172.98)))-P1952</f>
        <v>1.9920000000001892</v>
      </c>
      <c r="S1952" s="78">
        <v>46874</v>
      </c>
      <c r="T1952" s="1"/>
      <c r="V1952" s="1"/>
      <c r="X1952" s="101">
        <v>2</v>
      </c>
    </row>
    <row r="1953" spans="1:24" hidden="1">
      <c r="A1953">
        <v>352</v>
      </c>
      <c r="B1953" s="2">
        <v>46230.452650462998</v>
      </c>
      <c r="C1953" s="2">
        <v>46230.455266203702</v>
      </c>
      <c r="D1953" s="1" t="s">
        <v>24</v>
      </c>
      <c r="E1953" s="1"/>
      <c r="F1953" s="29">
        <v>46230</v>
      </c>
      <c r="G1953" s="29">
        <v>46229</v>
      </c>
      <c r="H1953" s="1" t="s">
        <v>26</v>
      </c>
      <c r="I1953" s="1" t="s">
        <v>4588</v>
      </c>
      <c r="J1953" s="207" t="s">
        <v>4589</v>
      </c>
      <c r="K1953" s="171"/>
      <c r="L1953" s="62">
        <v>23117240</v>
      </c>
      <c r="M1953" s="30">
        <v>5218641320033</v>
      </c>
      <c r="N1953" s="172" t="s">
        <v>37</v>
      </c>
      <c r="O1953" s="43">
        <v>9890.3700000000008</v>
      </c>
      <c r="P1953" s="97">
        <v>2745.74</v>
      </c>
      <c r="Q1953" s="42">
        <f>OfficeForms.Table[[#This Row],[ INFORMEDEPAGO ]]*0.3</f>
        <v>2967.1110000000003</v>
      </c>
      <c r="R1953" s="12">
        <f>(IF(O1953&lt;4172.98,0,MIN(O1953*0.3,O1953-4172.98)))-P1953</f>
        <v>221.37100000000055</v>
      </c>
      <c r="S1953" s="78">
        <v>46235</v>
      </c>
      <c r="T1953" s="1"/>
      <c r="V1953" s="1"/>
      <c r="X1953" s="101">
        <v>2</v>
      </c>
    </row>
    <row r="1954" spans="1:24" hidden="1">
      <c r="A1954">
        <v>353</v>
      </c>
      <c r="B1954" s="2">
        <v>46230.454618055599</v>
      </c>
      <c r="C1954" s="2">
        <v>46230.455300925903</v>
      </c>
      <c r="D1954" s="1" t="s">
        <v>24</v>
      </c>
      <c r="E1954" s="1"/>
      <c r="F1954" s="29">
        <v>46230</v>
      </c>
      <c r="G1954" s="29">
        <v>46229</v>
      </c>
      <c r="H1954" s="1" t="s">
        <v>3452</v>
      </c>
      <c r="I1954" s="1" t="s">
        <v>4590</v>
      </c>
      <c r="J1954" s="207"/>
      <c r="K1954" s="171" t="s">
        <v>4591</v>
      </c>
      <c r="L1954" s="62">
        <v>23123362</v>
      </c>
      <c r="M1954" s="30">
        <v>6864325794</v>
      </c>
      <c r="N1954" s="172" t="s">
        <v>37</v>
      </c>
      <c r="O1954" s="43">
        <v>10797.37</v>
      </c>
      <c r="P1954" s="97">
        <v>3058.78</v>
      </c>
      <c r="Q1954" s="42">
        <f>OfficeForms.Table[[#This Row],[ INFORMEDEPAGO ]]*0.3</f>
        <v>3239.2110000000002</v>
      </c>
      <c r="R1954" s="12">
        <f>(IF(O1954&lt;4172.98,0,MIN(O1954*0.3,O1954-4172.98)))-P1954</f>
        <v>180.43100000000004</v>
      </c>
      <c r="S1954" s="78">
        <v>46661</v>
      </c>
      <c r="T1954" s="1" t="s">
        <v>84</v>
      </c>
      <c r="V1954" s="1"/>
      <c r="X1954" s="101">
        <v>2</v>
      </c>
    </row>
    <row r="1955" spans="1:24" hidden="1">
      <c r="A1955">
        <v>354</v>
      </c>
      <c r="B1955" s="2">
        <v>46230.454074074099</v>
      </c>
      <c r="C1955" s="2">
        <v>46230.455393518503</v>
      </c>
      <c r="D1955" s="1" t="s">
        <v>24</v>
      </c>
      <c r="E1955" s="1"/>
      <c r="F1955" s="29">
        <v>46230</v>
      </c>
      <c r="G1955" s="29">
        <v>46228</v>
      </c>
      <c r="H1955" s="1" t="s">
        <v>3575</v>
      </c>
      <c r="I1955" s="1" t="s">
        <v>4592</v>
      </c>
      <c r="J1955" s="207">
        <v>33907250700</v>
      </c>
      <c r="K1955" s="171" t="s">
        <v>4593</v>
      </c>
      <c r="L1955" s="62">
        <v>23109104</v>
      </c>
      <c r="M1955" s="30">
        <v>5216643587287</v>
      </c>
      <c r="N1955" s="172" t="s">
        <v>98</v>
      </c>
      <c r="O1955" s="50"/>
      <c r="P1955" s="97"/>
      <c r="Q1955" s="42">
        <f>OfficeForms.Table[[#This Row],[ INFORMEDEPAGO ]]*0.3</f>
        <v>0</v>
      </c>
      <c r="R1955" s="12">
        <f>(IF(O1955&lt;4172.98,0,MIN(O1955*0.3,O1955-4172.98)))-P1955</f>
        <v>0</v>
      </c>
      <c r="S1955" s="78"/>
      <c r="T1955" s="1"/>
      <c r="V1955" s="1"/>
      <c r="X1955" s="101">
        <v>0</v>
      </c>
    </row>
    <row r="1956" spans="1:24" hidden="1">
      <c r="A1956">
        <v>355</v>
      </c>
      <c r="B1956" s="2">
        <v>46230.456516203703</v>
      </c>
      <c r="C1956" s="2">
        <v>46230.457488425898</v>
      </c>
      <c r="D1956" s="1" t="s">
        <v>24</v>
      </c>
      <c r="E1956" s="1"/>
      <c r="F1956" s="29">
        <v>46230</v>
      </c>
      <c r="G1956" s="29">
        <v>46229</v>
      </c>
      <c r="H1956" s="1" t="s">
        <v>3007</v>
      </c>
      <c r="I1956" s="1" t="s">
        <v>4594</v>
      </c>
      <c r="J1956" s="207"/>
      <c r="K1956" s="171" t="s">
        <v>4595</v>
      </c>
      <c r="L1956" s="62">
        <v>23109292</v>
      </c>
      <c r="M1956" s="30">
        <v>3339564627</v>
      </c>
      <c r="N1956" s="172" t="s">
        <v>98</v>
      </c>
      <c r="O1956" s="50"/>
      <c r="P1956" s="97"/>
      <c r="Q1956" s="42">
        <f>OfficeForms.Table[[#This Row],[ INFORMEDEPAGO ]]*0.3</f>
        <v>0</v>
      </c>
      <c r="R1956" s="12">
        <f>(IF(O1956&lt;4172.98,0,MIN(O1956*0.3,O1956-4172.98)))-P1956</f>
        <v>0</v>
      </c>
      <c r="S1956" s="78"/>
      <c r="T1956" s="1"/>
      <c r="V1956" s="1"/>
      <c r="X1956" s="101">
        <v>0</v>
      </c>
    </row>
    <row r="1957" spans="1:24" hidden="1">
      <c r="A1957">
        <v>356</v>
      </c>
      <c r="B1957" s="2">
        <v>46230.457511574103</v>
      </c>
      <c r="C1957" s="2">
        <v>46230.458414351902</v>
      </c>
      <c r="D1957" s="1" t="s">
        <v>24</v>
      </c>
      <c r="E1957" s="1"/>
      <c r="F1957" s="29">
        <v>46230</v>
      </c>
      <c r="G1957" s="29">
        <v>46229</v>
      </c>
      <c r="H1957" s="1" t="s">
        <v>3007</v>
      </c>
      <c r="I1957" s="1" t="s">
        <v>4596</v>
      </c>
      <c r="J1957" s="207"/>
      <c r="K1957" s="171" t="s">
        <v>4597</v>
      </c>
      <c r="L1957" s="62">
        <v>23122784</v>
      </c>
      <c r="M1957" s="30">
        <v>4361159582</v>
      </c>
      <c r="N1957" s="172" t="s">
        <v>235</v>
      </c>
      <c r="O1957" s="50">
        <v>2012.24</v>
      </c>
      <c r="P1957" s="97"/>
      <c r="Q1957" s="42">
        <f>OfficeForms.Table[[#This Row],[ INFORMEDEPAGO ]]*0.3</f>
        <v>603.67200000000003</v>
      </c>
      <c r="R1957" s="12">
        <f>(IF(O1957&lt;4172.98,0,MIN(O1957*0.3,O1957-4172.98)))-P1957</f>
        <v>0</v>
      </c>
      <c r="S1957" s="78"/>
      <c r="T1957" s="1"/>
      <c r="V1957" s="1"/>
      <c r="X1957" s="101">
        <v>1</v>
      </c>
    </row>
    <row r="1958" spans="1:24" hidden="1">
      <c r="A1958">
        <v>357</v>
      </c>
      <c r="B1958" s="2">
        <v>46230.460648148102</v>
      </c>
      <c r="C1958" s="2">
        <v>46230.4617939815</v>
      </c>
      <c r="D1958" s="1" t="s">
        <v>24</v>
      </c>
      <c r="E1958" s="1"/>
      <c r="F1958" s="29">
        <v>46230</v>
      </c>
      <c r="G1958" s="29">
        <v>46229</v>
      </c>
      <c r="H1958" s="1" t="s">
        <v>3452</v>
      </c>
      <c r="I1958" s="1" t="s">
        <v>4598</v>
      </c>
      <c r="J1958" s="207"/>
      <c r="K1958" s="171" t="s">
        <v>4599</v>
      </c>
      <c r="L1958" s="62">
        <v>23115770</v>
      </c>
      <c r="M1958" s="30">
        <v>6142438889</v>
      </c>
      <c r="N1958" s="172" t="s">
        <v>28</v>
      </c>
      <c r="O1958" s="50">
        <v>25173.29</v>
      </c>
      <c r="P1958" s="97"/>
      <c r="Q1958" s="42">
        <f>OfficeForms.Table[[#This Row],[ INFORMEDEPAGO ]]*0.3</f>
        <v>7551.9870000000001</v>
      </c>
      <c r="R1958" s="12">
        <f>(IF(O1958&lt;4172.98,0,MIN(O1958*0.3,O1958-4172.98)))-P1958</f>
        <v>7551.9870000000001</v>
      </c>
      <c r="S1958" s="78"/>
      <c r="T1958" s="1"/>
      <c r="V1958" s="1"/>
      <c r="X1958" s="101">
        <v>1</v>
      </c>
    </row>
    <row r="1959" spans="1:24" hidden="1">
      <c r="A1959">
        <v>358</v>
      </c>
      <c r="B1959" s="2">
        <v>46228.665972222203</v>
      </c>
      <c r="C1959" s="2">
        <v>46230.463958333297</v>
      </c>
      <c r="D1959" s="1" t="s">
        <v>24</v>
      </c>
      <c r="E1959" s="1"/>
      <c r="F1959" s="29">
        <v>46230</v>
      </c>
      <c r="G1959" s="29">
        <v>46230</v>
      </c>
      <c r="H1959" s="1" t="s">
        <v>51</v>
      </c>
      <c r="I1959" s="1" t="s">
        <v>4600</v>
      </c>
      <c r="J1959" s="207">
        <v>49685614659</v>
      </c>
      <c r="K1959" s="171" t="s">
        <v>4601</v>
      </c>
      <c r="L1959" s="62">
        <v>23136892</v>
      </c>
      <c r="M1959" s="30">
        <v>5218311034212</v>
      </c>
      <c r="N1959" s="172" t="s">
        <v>37</v>
      </c>
      <c r="O1959" s="43">
        <v>27122.799999999999</v>
      </c>
      <c r="P1959" s="97">
        <v>8135.97</v>
      </c>
      <c r="Q1959" s="42">
        <f>OfficeForms.Table[[#This Row],[ INFORMEDEPAGO ]]*0.3</f>
        <v>8136.8399999999992</v>
      </c>
      <c r="R1959" s="12">
        <f>(IF(O1959&lt;4172.98,0,MIN(O1959*0.3,O1959-4172.98)))-P1959</f>
        <v>0.86999999999898137</v>
      </c>
      <c r="S1959" s="78">
        <v>46266</v>
      </c>
      <c r="T1959" s="1"/>
      <c r="V1959" s="1"/>
      <c r="X1959" s="101">
        <v>2</v>
      </c>
    </row>
    <row r="1960" spans="1:24" hidden="1">
      <c r="A1960">
        <v>359</v>
      </c>
      <c r="B1960" s="2">
        <v>46230.464861111097</v>
      </c>
      <c r="C1960" s="2">
        <v>46230.465532407397</v>
      </c>
      <c r="D1960" s="1" t="s">
        <v>24</v>
      </c>
      <c r="E1960" s="1"/>
      <c r="F1960" s="29">
        <v>46230</v>
      </c>
      <c r="G1960" s="29">
        <v>46229</v>
      </c>
      <c r="H1960" s="1" t="s">
        <v>3036</v>
      </c>
      <c r="I1960" s="1" t="s">
        <v>4602</v>
      </c>
      <c r="J1960" s="207"/>
      <c r="K1960" s="171" t="s">
        <v>4603</v>
      </c>
      <c r="L1960" s="62">
        <v>23123010</v>
      </c>
      <c r="M1960" s="30">
        <v>5216673574956</v>
      </c>
      <c r="N1960" s="172" t="s">
        <v>37</v>
      </c>
      <c r="O1960" s="52">
        <v>9081.2199999999993</v>
      </c>
      <c r="P1960" s="99">
        <v>2722.12</v>
      </c>
      <c r="Q1960" s="42">
        <f>OfficeForms.Table[[#This Row],[ INFORMEDEPAGO ]]*0.3</f>
        <v>2724.3659999999995</v>
      </c>
      <c r="R1960" s="12">
        <f>(IF(O1960&lt;4172.98,0,MIN(O1960*0.3,O1960-4172.98)))-P1960</f>
        <v>2.2459999999996398</v>
      </c>
      <c r="S1960" s="78">
        <v>46478</v>
      </c>
      <c r="T1960" s="1"/>
      <c r="V1960" s="1"/>
      <c r="X1960" s="101">
        <v>2</v>
      </c>
    </row>
    <row r="1961" spans="1:24" hidden="1">
      <c r="A1961">
        <v>360</v>
      </c>
      <c r="B1961" s="2">
        <v>46230.467060185198</v>
      </c>
      <c r="C1961" s="2">
        <v>46230.4676736111</v>
      </c>
      <c r="D1961" s="1" t="s">
        <v>24</v>
      </c>
      <c r="E1961" s="1"/>
      <c r="F1961" s="29">
        <v>46230</v>
      </c>
      <c r="G1961" s="29">
        <v>46230</v>
      </c>
      <c r="H1961" s="1" t="s">
        <v>1629</v>
      </c>
      <c r="I1961" s="1" t="s">
        <v>4604</v>
      </c>
      <c r="J1961" s="207" t="s">
        <v>4605</v>
      </c>
      <c r="K1961" s="171" t="s">
        <v>4606</v>
      </c>
      <c r="L1961" s="62">
        <v>2</v>
      </c>
      <c r="M1961" s="30">
        <v>2214001141</v>
      </c>
      <c r="N1961" s="172" t="s">
        <v>47</v>
      </c>
      <c r="O1961" s="50">
        <v>4813.6899999999996</v>
      </c>
      <c r="P1961" s="97"/>
      <c r="Q1961" s="42">
        <f>OfficeForms.Table[[#This Row],[ INFORMEDEPAGO ]]*0.3</f>
        <v>1444.1069999999997</v>
      </c>
      <c r="R1961" s="12">
        <f>(IF(O1961&lt;4172.98,0,MIN(O1961*0.3,O1961-4172.98)))-P1961</f>
        <v>640.71</v>
      </c>
      <c r="S1961" s="78"/>
      <c r="T1961" s="1"/>
      <c r="V1961" s="1"/>
      <c r="X1961" s="101">
        <v>1</v>
      </c>
    </row>
    <row r="1962" spans="1:24" hidden="1">
      <c r="A1962">
        <v>361</v>
      </c>
      <c r="B1962" s="2">
        <v>46230.467731481498</v>
      </c>
      <c r="C1962" s="2">
        <v>46230.468854166698</v>
      </c>
      <c r="D1962" s="1" t="s">
        <v>24</v>
      </c>
      <c r="E1962" s="1"/>
      <c r="F1962" s="29">
        <v>46230</v>
      </c>
      <c r="G1962" s="29">
        <v>46230</v>
      </c>
      <c r="H1962" s="1" t="s">
        <v>1629</v>
      </c>
      <c r="I1962" s="1" t="s">
        <v>4607</v>
      </c>
      <c r="J1962" s="207" t="s">
        <v>4608</v>
      </c>
      <c r="K1962" s="171" t="s">
        <v>4609</v>
      </c>
      <c r="L1962" s="62">
        <v>2</v>
      </c>
      <c r="M1962" s="30">
        <v>5560696056</v>
      </c>
      <c r="N1962" s="172" t="s">
        <v>37</v>
      </c>
      <c r="O1962" s="52">
        <v>10020.75</v>
      </c>
      <c r="P1962" s="99">
        <v>2899</v>
      </c>
      <c r="Q1962" s="42">
        <f>OfficeForms.Table[[#This Row],[ INFORMEDEPAGO ]]*0.3</f>
        <v>3006.2249999999999</v>
      </c>
      <c r="R1962" s="12">
        <f>(IF(O1962&lt;4172.98,0,MIN(O1962*0.3,O1962-4172.98)))-P1962</f>
        <v>107.22499999999991</v>
      </c>
      <c r="S1962" s="78">
        <v>46692</v>
      </c>
      <c r="T1962" s="1" t="s">
        <v>178</v>
      </c>
      <c r="V1962" s="1"/>
      <c r="X1962" s="101">
        <v>2</v>
      </c>
    </row>
    <row r="1963" spans="1:24" hidden="1">
      <c r="A1963">
        <v>362</v>
      </c>
      <c r="B1963" s="2">
        <v>46230.455289351899</v>
      </c>
      <c r="C1963" s="2">
        <v>46230.469236111101</v>
      </c>
      <c r="D1963" s="1" t="s">
        <v>24</v>
      </c>
      <c r="E1963" s="1"/>
      <c r="F1963" s="29">
        <v>46230</v>
      </c>
      <c r="G1963" s="29">
        <v>46229</v>
      </c>
      <c r="H1963" s="1" t="s">
        <v>26</v>
      </c>
      <c r="I1963" s="1" t="s">
        <v>4588</v>
      </c>
      <c r="J1963" s="207" t="s">
        <v>4610</v>
      </c>
      <c r="K1963" s="171"/>
      <c r="L1963" s="62">
        <v>23117240</v>
      </c>
      <c r="M1963" s="30">
        <v>5218641320033</v>
      </c>
      <c r="N1963" s="172" t="s">
        <v>37</v>
      </c>
      <c r="O1963" s="43">
        <v>9760.32</v>
      </c>
      <c r="P1963" s="97">
        <v>2823.87</v>
      </c>
      <c r="Q1963" s="42">
        <f>OfficeForms.Table[[#This Row],[ INFORMEDEPAGO ]]*0.3</f>
        <v>2928.096</v>
      </c>
      <c r="R1963" s="12">
        <f>(IF(O1963&lt;4172.98,0,MIN(O1963*0.3,O1963-4172.98)))-P1963</f>
        <v>104.22600000000011</v>
      </c>
      <c r="S1963" s="78">
        <v>46539</v>
      </c>
      <c r="T1963" s="1"/>
      <c r="V1963" s="1"/>
      <c r="X1963" s="101">
        <v>2</v>
      </c>
    </row>
    <row r="1964" spans="1:24" hidden="1">
      <c r="A1964">
        <v>363</v>
      </c>
      <c r="B1964" s="2">
        <v>46230.468923611101</v>
      </c>
      <c r="C1964" s="2">
        <v>46230.4695601852</v>
      </c>
      <c r="D1964" s="1" t="s">
        <v>24</v>
      </c>
      <c r="E1964" s="1"/>
      <c r="F1964" s="29">
        <v>46230</v>
      </c>
      <c r="G1964" s="29">
        <v>46229</v>
      </c>
      <c r="H1964" s="1" t="s">
        <v>3036</v>
      </c>
      <c r="I1964" s="1" t="s">
        <v>4611</v>
      </c>
      <c r="J1964" s="207"/>
      <c r="K1964" s="171" t="s">
        <v>4612</v>
      </c>
      <c r="L1964" s="62">
        <v>23116844</v>
      </c>
      <c r="M1964" s="30">
        <v>5213311699036</v>
      </c>
      <c r="N1964" s="172" t="s">
        <v>37</v>
      </c>
      <c r="O1964" s="52">
        <v>39352.089999999997</v>
      </c>
      <c r="P1964" s="99">
        <v>11784.83</v>
      </c>
      <c r="Q1964" s="42">
        <f>OfficeForms.Table[[#This Row],[ INFORMEDEPAGO ]]*0.3</f>
        <v>11805.626999999999</v>
      </c>
      <c r="R1964" s="12">
        <f>(IF(O1964&lt;4172.98,0,MIN(O1964*0.3,O1964-4172.98)))-P1964</f>
        <v>20.796999999998661</v>
      </c>
      <c r="S1964" s="78">
        <v>46813</v>
      </c>
      <c r="T1964" s="1" t="s">
        <v>178</v>
      </c>
      <c r="V1964" s="1"/>
      <c r="X1964" s="101">
        <v>2</v>
      </c>
    </row>
    <row r="1965" spans="1:24" hidden="1">
      <c r="A1965">
        <v>364</v>
      </c>
      <c r="B1965" s="2">
        <v>46230.474571759303</v>
      </c>
      <c r="C1965" s="2">
        <v>46230.475740740701</v>
      </c>
      <c r="D1965" s="1" t="s">
        <v>24</v>
      </c>
      <c r="E1965" s="1"/>
      <c r="F1965" s="29">
        <v>46230</v>
      </c>
      <c r="G1965" s="29">
        <v>46230</v>
      </c>
      <c r="H1965" s="1" t="s">
        <v>269</v>
      </c>
      <c r="I1965" s="1" t="s">
        <v>4613</v>
      </c>
      <c r="J1965" s="207" t="s">
        <v>4614</v>
      </c>
      <c r="K1965" s="171" t="s">
        <v>4615</v>
      </c>
      <c r="L1965" s="62">
        <v>23136336</v>
      </c>
      <c r="M1965" s="30">
        <v>5212211631150</v>
      </c>
      <c r="N1965" s="172" t="s">
        <v>28</v>
      </c>
      <c r="O1965" s="50">
        <f>42900.71-32264.17</f>
        <v>10636.54</v>
      </c>
      <c r="P1965" s="97"/>
      <c r="Q1965" s="42">
        <f>OfficeForms.Table[[#This Row],[ INFORMEDEPAGO ]]*0.3</f>
        <v>3190.962</v>
      </c>
      <c r="R1965" s="12">
        <f>(IF(O1965&lt;4172.98,0,MIN(O1965*0.3,O1965-4172.98)))-P1965</f>
        <v>3190.962</v>
      </c>
      <c r="S1965" s="78"/>
      <c r="T1965" s="1"/>
      <c r="V1965" s="1"/>
      <c r="X1965" s="101">
        <v>1</v>
      </c>
    </row>
    <row r="1966" spans="1:24" hidden="1">
      <c r="A1966">
        <v>365</v>
      </c>
      <c r="B1966" s="2">
        <v>46230.4670833333</v>
      </c>
      <c r="C1966" s="2">
        <v>46230.479004629597</v>
      </c>
      <c r="D1966" s="1" t="s">
        <v>24</v>
      </c>
      <c r="E1966" s="1"/>
      <c r="F1966" s="29">
        <v>46230</v>
      </c>
      <c r="G1966" s="29">
        <v>46230</v>
      </c>
      <c r="H1966" s="1" t="s">
        <v>1625</v>
      </c>
      <c r="I1966" s="1" t="s">
        <v>4616</v>
      </c>
      <c r="J1966" s="207">
        <v>92936300448</v>
      </c>
      <c r="K1966" s="171" t="s">
        <v>4617</v>
      </c>
      <c r="L1966" s="62">
        <v>2</v>
      </c>
      <c r="M1966" s="30">
        <v>8128247289</v>
      </c>
      <c r="N1966" s="172" t="s">
        <v>37</v>
      </c>
      <c r="O1966" s="52">
        <v>9081.52</v>
      </c>
      <c r="P1966" s="99">
        <v>2693.06</v>
      </c>
      <c r="Q1966" s="42">
        <f>OfficeForms.Table[[#This Row],[ INFORMEDEPAGO ]]*0.3</f>
        <v>2724.4560000000001</v>
      </c>
      <c r="R1966" s="12">
        <f>(IF(O1966&lt;4172.98,0,MIN(O1966*0.3,O1966-4172.98)))-P1966</f>
        <v>31.396000000000186</v>
      </c>
      <c r="S1966" s="78">
        <v>46784</v>
      </c>
      <c r="T1966" s="1"/>
      <c r="V1966" s="1"/>
      <c r="X1966" s="101">
        <v>2</v>
      </c>
    </row>
    <row r="1967" spans="1:24" hidden="1">
      <c r="A1967">
        <v>366</v>
      </c>
      <c r="B1967" s="2">
        <v>46230.476527777799</v>
      </c>
      <c r="C1967" s="2">
        <v>46230.479502314804</v>
      </c>
      <c r="D1967" s="1" t="s">
        <v>24</v>
      </c>
      <c r="E1967" s="1"/>
      <c r="F1967" s="29">
        <v>46230</v>
      </c>
      <c r="G1967" s="29">
        <v>46228</v>
      </c>
      <c r="H1967" s="1" t="s">
        <v>3572</v>
      </c>
      <c r="I1967" s="1" t="s">
        <v>4618</v>
      </c>
      <c r="J1967" s="207">
        <v>11967501849</v>
      </c>
      <c r="K1967" s="171" t="s">
        <v>4619</v>
      </c>
      <c r="L1967" s="62">
        <v>23103988</v>
      </c>
      <c r="M1967" s="30">
        <v>5215532737492</v>
      </c>
      <c r="N1967" s="172" t="s">
        <v>37</v>
      </c>
      <c r="O1967" s="52">
        <v>5055.88</v>
      </c>
      <c r="P1967" s="99">
        <v>1253.8599999999999</v>
      </c>
      <c r="Q1967" s="42">
        <f>OfficeForms.Table[[#This Row],[ INFORMEDEPAGO ]]*0.3</f>
        <v>1516.7639999999999</v>
      </c>
      <c r="R1967" s="12">
        <f>(IF(O1967&lt;4172.98,0,MIN(O1967*0.3,O1967-4172.98)))-P1967</f>
        <v>-370.95999999999935</v>
      </c>
      <c r="S1967" s="78">
        <v>46447</v>
      </c>
      <c r="T1967" s="1"/>
      <c r="V1967" s="1"/>
      <c r="X1967" s="101">
        <v>2</v>
      </c>
    </row>
    <row r="1968" spans="1:24" hidden="1">
      <c r="A1968">
        <v>367</v>
      </c>
      <c r="B1968" s="2">
        <v>46230.455034722203</v>
      </c>
      <c r="C1968" s="2">
        <v>46230.486180555599</v>
      </c>
      <c r="D1968" s="1" t="s">
        <v>24</v>
      </c>
      <c r="E1968" s="1"/>
      <c r="F1968" s="29">
        <v>46230</v>
      </c>
      <c r="G1968" s="29">
        <v>46230</v>
      </c>
      <c r="H1968" s="1" t="s">
        <v>1519</v>
      </c>
      <c r="I1968" s="1" t="s">
        <v>4620</v>
      </c>
      <c r="J1968" s="207">
        <v>33836202110</v>
      </c>
      <c r="K1968" s="171" t="s">
        <v>4621</v>
      </c>
      <c r="L1968" s="62">
        <v>23140674</v>
      </c>
      <c r="M1968" s="30">
        <v>5216141914478</v>
      </c>
      <c r="N1968" s="172" t="s">
        <v>106</v>
      </c>
      <c r="O1968" s="43">
        <v>11495.7</v>
      </c>
      <c r="P1968" s="97">
        <v>3049.51</v>
      </c>
      <c r="Q1968" s="42">
        <f>OfficeForms.Table[[#This Row],[ INFORMEDEPAGO ]]*0.3</f>
        <v>3448.71</v>
      </c>
      <c r="R1968" s="12">
        <f>(IF(O1968&lt;4172.98,0,MIN(O1968*0.3,O1968-4172.98)))-P1968</f>
        <v>399.19999999999982</v>
      </c>
      <c r="S1968" s="78">
        <v>45809</v>
      </c>
      <c r="T1968" s="1"/>
      <c r="V1968" s="1"/>
      <c r="X1968" s="101">
        <v>2</v>
      </c>
    </row>
    <row r="1969" spans="1:24" hidden="1">
      <c r="A1969">
        <v>368</v>
      </c>
      <c r="B1969" s="2">
        <v>46230.459907407399</v>
      </c>
      <c r="C1969" s="2">
        <v>46230.487199074101</v>
      </c>
      <c r="D1969" s="1" t="s">
        <v>24</v>
      </c>
      <c r="E1969" s="1"/>
      <c r="F1969" s="29">
        <v>46230</v>
      </c>
      <c r="G1969" s="29">
        <v>46228</v>
      </c>
      <c r="H1969" s="1" t="s">
        <v>78</v>
      </c>
      <c r="I1969" s="1" t="s">
        <v>4622</v>
      </c>
      <c r="J1969" s="207">
        <v>64806325433</v>
      </c>
      <c r="K1969" s="171" t="s">
        <v>4623</v>
      </c>
      <c r="L1969" s="62">
        <v>23102686</v>
      </c>
      <c r="M1969" s="30">
        <v>5215612773637</v>
      </c>
      <c r="N1969" s="172" t="s">
        <v>28</v>
      </c>
      <c r="O1969" s="50">
        <f>8233.52+848</f>
        <v>9081.52</v>
      </c>
      <c r="P1969" s="97" t="s">
        <v>3921</v>
      </c>
      <c r="Q1969" s="42">
        <f>OfficeForms.Table[[#This Row],[ INFORMEDEPAGO ]]*0.3</f>
        <v>2724.4560000000001</v>
      </c>
      <c r="R1969" s="12">
        <f>(IF(O1969&lt;4172.98,0,MIN(O1969*0.3,O1969-4172.98)))-P1969</f>
        <v>1876.4560000000001</v>
      </c>
      <c r="S1969" s="78"/>
      <c r="T1969" s="1"/>
      <c r="V1969" s="1"/>
      <c r="X1969" s="101">
        <v>1</v>
      </c>
    </row>
    <row r="1970" spans="1:24" hidden="1">
      <c r="A1970">
        <v>369</v>
      </c>
      <c r="B1970" s="2">
        <v>46230.486516203702</v>
      </c>
      <c r="C1970" s="2">
        <v>46230.487326388902</v>
      </c>
      <c r="D1970" s="1" t="s">
        <v>24</v>
      </c>
      <c r="E1970" s="1"/>
      <c r="F1970" s="29">
        <v>46230</v>
      </c>
      <c r="G1970" s="29">
        <v>46229</v>
      </c>
      <c r="H1970" s="1" t="s">
        <v>3575</v>
      </c>
      <c r="I1970" s="1" t="s">
        <v>4624</v>
      </c>
      <c r="J1970" s="207" t="s">
        <v>4625</v>
      </c>
      <c r="K1970" s="171" t="s">
        <v>4626</v>
      </c>
      <c r="L1970" s="62">
        <v>23121454</v>
      </c>
      <c r="M1970" s="30">
        <v>5215537718839</v>
      </c>
      <c r="N1970" s="172" t="s">
        <v>37</v>
      </c>
      <c r="O1970" s="52">
        <v>5055.87</v>
      </c>
      <c r="P1970" s="99">
        <v>1300.18</v>
      </c>
      <c r="Q1970" s="42">
        <f>OfficeForms.Table[[#This Row],[ INFORMEDEPAGO ]]*0.3</f>
        <v>1516.761</v>
      </c>
      <c r="R1970" s="12">
        <f>(IF(O1970&lt;4172.98,0,MIN(O1970*0.3,O1970-4172.98)))-P1970</f>
        <v>-417.28999999999974</v>
      </c>
      <c r="S1970" s="78">
        <v>46905</v>
      </c>
      <c r="T1970" s="1"/>
      <c r="V1970" s="1"/>
      <c r="X1970" s="101">
        <v>2</v>
      </c>
    </row>
    <row r="1971" spans="1:24" hidden="1">
      <c r="A1971">
        <v>370</v>
      </c>
      <c r="B1971" s="2">
        <v>46230.486273148097</v>
      </c>
      <c r="C1971" s="2">
        <v>46230.487418981502</v>
      </c>
      <c r="D1971" s="1" t="s">
        <v>24</v>
      </c>
      <c r="E1971" s="1"/>
      <c r="F1971" s="29">
        <v>46230</v>
      </c>
      <c r="G1971" s="29">
        <v>46229</v>
      </c>
      <c r="H1971" s="1" t="s">
        <v>71</v>
      </c>
      <c r="I1971" s="1" t="s">
        <v>4627</v>
      </c>
      <c r="J1971" s="207" t="s">
        <v>4628</v>
      </c>
      <c r="K1971" s="171"/>
      <c r="L1971" s="62">
        <v>23120198</v>
      </c>
      <c r="M1971" s="30">
        <v>5217352152795</v>
      </c>
      <c r="N1971" s="172" t="s">
        <v>37</v>
      </c>
      <c r="O1971" s="52">
        <v>7920.51</v>
      </c>
      <c r="P1971" s="99">
        <v>2286.54</v>
      </c>
      <c r="Q1971" s="42">
        <f>OfficeForms.Table[[#This Row],[ INFORMEDEPAGO ]]*0.3</f>
        <v>2376.1529999999998</v>
      </c>
      <c r="R1971" s="12">
        <f>(IF(O1971&lt;4172.98,0,MIN(O1971*0.3,O1971-4172.98)))-P1971</f>
        <v>89.612999999999829</v>
      </c>
      <c r="S1971" s="78">
        <v>46631</v>
      </c>
      <c r="T1971" s="1"/>
      <c r="V1971" s="1"/>
      <c r="X1971" s="101">
        <v>2</v>
      </c>
    </row>
    <row r="1972" spans="1:24" hidden="1">
      <c r="A1972">
        <v>371</v>
      </c>
      <c r="B1972" s="2">
        <v>46230.476400462998</v>
      </c>
      <c r="C1972" s="2">
        <v>46230.487500000003</v>
      </c>
      <c r="D1972" s="1" t="s">
        <v>24</v>
      </c>
      <c r="E1972" s="1"/>
      <c r="F1972" s="29">
        <v>46230</v>
      </c>
      <c r="G1972" s="29">
        <v>46225</v>
      </c>
      <c r="H1972" s="1" t="s">
        <v>78</v>
      </c>
      <c r="I1972" s="1" t="s">
        <v>4629</v>
      </c>
      <c r="J1972" s="207">
        <v>43735737439</v>
      </c>
      <c r="K1972" s="171" t="s">
        <v>4630</v>
      </c>
      <c r="L1972" s="62">
        <v>22989172</v>
      </c>
      <c r="M1972" s="30">
        <v>5218182014913</v>
      </c>
      <c r="N1972" s="172" t="s">
        <v>37</v>
      </c>
      <c r="O1972" s="50">
        <v>8784.2900000000009</v>
      </c>
      <c r="P1972" s="97" t="s">
        <v>4631</v>
      </c>
      <c r="Q1972" s="42">
        <f>OfficeForms.Table[[#This Row],[ INFORMEDEPAGO ]]*0.3</f>
        <v>2635.2870000000003</v>
      </c>
      <c r="R1972" s="12">
        <f>(IF(O1972&lt;4172.98,0,MIN(O1972*0.3,O1972-4172.98)))-P1972</f>
        <v>123.52700000000004</v>
      </c>
      <c r="S1972" s="78">
        <v>46661</v>
      </c>
      <c r="T1972" s="1"/>
      <c r="V1972" s="1"/>
      <c r="X1972" s="101">
        <v>2</v>
      </c>
    </row>
    <row r="1973" spans="1:24" hidden="1">
      <c r="A1973">
        <v>372</v>
      </c>
      <c r="B1973" s="2">
        <v>46230.473935185197</v>
      </c>
      <c r="C1973" s="2">
        <v>46230.489456018498</v>
      </c>
      <c r="D1973" s="1" t="s">
        <v>24</v>
      </c>
      <c r="E1973" s="1"/>
      <c r="F1973" s="29">
        <v>46230</v>
      </c>
      <c r="G1973" s="29">
        <v>46230</v>
      </c>
      <c r="H1973" s="1" t="s">
        <v>1519</v>
      </c>
      <c r="I1973" s="1" t="s">
        <v>4632</v>
      </c>
      <c r="J1973" s="207">
        <v>11826416767</v>
      </c>
      <c r="K1973" s="171" t="s">
        <v>4633</v>
      </c>
      <c r="L1973" s="62">
        <v>23139300</v>
      </c>
      <c r="M1973" s="30">
        <v>5215588128709</v>
      </c>
      <c r="N1973" s="172" t="s">
        <v>37</v>
      </c>
      <c r="O1973" s="52">
        <v>11195.8</v>
      </c>
      <c r="P1973" s="99">
        <v>3356.19</v>
      </c>
      <c r="Q1973" s="42">
        <f>OfficeForms.Table[[#This Row],[ INFORMEDEPAGO ]]*0.3</f>
        <v>3358.74</v>
      </c>
      <c r="R1973" s="12">
        <f>(IF(O1973&lt;4172.98,0,MIN(O1973*0.3,O1973-4172.98)))-P1973</f>
        <v>2.5499999999997272</v>
      </c>
      <c r="S1973" s="78">
        <v>46874</v>
      </c>
      <c r="T1973" s="1"/>
      <c r="V1973" s="1"/>
      <c r="X1973" s="101">
        <v>2</v>
      </c>
    </row>
    <row r="1974" spans="1:24" hidden="1">
      <c r="A1974">
        <v>373</v>
      </c>
      <c r="B1974" s="2">
        <v>46230.484386574099</v>
      </c>
      <c r="C1974" s="2">
        <v>46230.4903009259</v>
      </c>
      <c r="D1974" s="1" t="s">
        <v>24</v>
      </c>
      <c r="E1974" s="1"/>
      <c r="F1974" s="29">
        <v>46230</v>
      </c>
      <c r="G1974" s="29">
        <v>46230</v>
      </c>
      <c r="H1974" s="1" t="s">
        <v>81</v>
      </c>
      <c r="I1974" s="1" t="s">
        <v>4634</v>
      </c>
      <c r="J1974" s="207"/>
      <c r="K1974" s="171" t="s">
        <v>4635</v>
      </c>
      <c r="L1974" s="62">
        <v>23135966</v>
      </c>
      <c r="M1974" s="30">
        <v>5213311140890</v>
      </c>
      <c r="N1974" s="172" t="s">
        <v>130</v>
      </c>
      <c r="O1974" s="52">
        <v>5617.63</v>
      </c>
      <c r="P1974" s="99">
        <v>1393.24</v>
      </c>
      <c r="Q1974" s="42">
        <f>OfficeForms.Table[[#This Row],[ INFORMEDEPAGO ]]*0.3</f>
        <v>1685.289</v>
      </c>
      <c r="R1974" s="12">
        <f>(IF(O1974&lt;4172.98,0,MIN(O1974*0.3,O1974-4172.98)))-P1974</f>
        <v>51.410000000000537</v>
      </c>
      <c r="S1974" s="78">
        <v>46082</v>
      </c>
      <c r="T1974" s="1"/>
      <c r="V1974" s="1"/>
      <c r="X1974" s="101">
        <v>2</v>
      </c>
    </row>
    <row r="1975" spans="1:24" hidden="1">
      <c r="A1975">
        <v>374</v>
      </c>
      <c r="B1975" s="2">
        <v>46230.481296296297</v>
      </c>
      <c r="C1975" s="2">
        <v>46230.490601851903</v>
      </c>
      <c r="D1975" s="1" t="s">
        <v>24</v>
      </c>
      <c r="E1975" s="1"/>
      <c r="F1975" s="29">
        <v>46230</v>
      </c>
      <c r="G1975" s="29">
        <v>46229</v>
      </c>
      <c r="H1975" s="1" t="s">
        <v>160</v>
      </c>
      <c r="I1975" s="1" t="s">
        <v>4636</v>
      </c>
      <c r="J1975" s="207">
        <v>43926601550</v>
      </c>
      <c r="K1975" s="171" t="s">
        <v>4637</v>
      </c>
      <c r="L1975" s="62">
        <v>23126544</v>
      </c>
      <c r="M1975" s="30">
        <v>5218180137738</v>
      </c>
      <c r="N1975" s="172" t="s">
        <v>37</v>
      </c>
      <c r="O1975" s="52">
        <v>10636.54</v>
      </c>
      <c r="P1975" s="99">
        <v>3188.97</v>
      </c>
      <c r="Q1975" s="42">
        <f>OfficeForms.Table[[#This Row],[ INFORMEDEPAGO ]]*0.3</f>
        <v>3190.962</v>
      </c>
      <c r="R1975" s="12">
        <f>(IF(O1975&lt;4172.98,0,MIN(O1975*0.3,O1975-4172.98)))-P1975</f>
        <v>1.9920000000001892</v>
      </c>
      <c r="S1975" s="78">
        <v>46905</v>
      </c>
      <c r="T1975" s="1"/>
      <c r="V1975" s="1"/>
      <c r="X1975" s="101">
        <v>2</v>
      </c>
    </row>
    <row r="1976" spans="1:24" hidden="1">
      <c r="A1976">
        <v>375</v>
      </c>
      <c r="B1976" s="2">
        <v>46230.490324074097</v>
      </c>
      <c r="C1976" s="2">
        <v>46230.491273148102</v>
      </c>
      <c r="D1976" s="1" t="s">
        <v>24</v>
      </c>
      <c r="E1976" s="1"/>
      <c r="F1976" s="29">
        <v>46230</v>
      </c>
      <c r="G1976" s="29">
        <v>46230</v>
      </c>
      <c r="H1976" s="1" t="s">
        <v>81</v>
      </c>
      <c r="I1976" s="1" t="s">
        <v>4638</v>
      </c>
      <c r="J1976" s="207">
        <v>32695011331</v>
      </c>
      <c r="K1976" s="171" t="s">
        <v>4639</v>
      </c>
      <c r="L1976" s="62">
        <v>23136444</v>
      </c>
      <c r="M1976" s="30">
        <v>5218443069769</v>
      </c>
      <c r="N1976" s="172" t="s">
        <v>37</v>
      </c>
      <c r="O1976" s="43">
        <v>20040.759999999998</v>
      </c>
      <c r="P1976" s="97">
        <v>5792.28</v>
      </c>
      <c r="Q1976" s="42">
        <f>OfficeForms.Table[[#This Row],[ INFORMEDEPAGO ]]*0.3</f>
        <v>6012.2279999999992</v>
      </c>
      <c r="R1976" s="12">
        <f>(IF(O1976&lt;4172.98,0,MIN(O1976*0.3,O1976-4172.98)))-P1976</f>
        <v>219.94799999999941</v>
      </c>
      <c r="S1976" s="78">
        <v>46784</v>
      </c>
      <c r="T1976" s="1"/>
      <c r="V1976" s="1"/>
      <c r="X1976" s="101">
        <v>2</v>
      </c>
    </row>
    <row r="1977" spans="1:24" hidden="1">
      <c r="A1977">
        <v>376</v>
      </c>
      <c r="B1977" s="2">
        <v>46230.485729166699</v>
      </c>
      <c r="C1977" s="2">
        <v>46230.493819444397</v>
      </c>
      <c r="D1977" s="1" t="s">
        <v>24</v>
      </c>
      <c r="E1977" s="1"/>
      <c r="F1977" s="29">
        <v>46230</v>
      </c>
      <c r="G1977" s="29">
        <v>46230</v>
      </c>
      <c r="H1977" s="1" t="s">
        <v>78</v>
      </c>
      <c r="I1977" s="1" t="s">
        <v>4640</v>
      </c>
      <c r="J1977" s="207">
        <v>54796300082</v>
      </c>
      <c r="K1977" s="171" t="s">
        <v>4641</v>
      </c>
      <c r="L1977" s="62">
        <v>23131072</v>
      </c>
      <c r="M1977" s="30">
        <v>5213348549225</v>
      </c>
      <c r="N1977" s="172" t="s">
        <v>37</v>
      </c>
      <c r="O1977" s="52">
        <v>10171.24</v>
      </c>
      <c r="P1977" s="99">
        <v>2942.78</v>
      </c>
      <c r="Q1977" s="42">
        <f>OfficeForms.Table[[#This Row],[ INFORMEDEPAGO ]]*0.3</f>
        <v>3051.3719999999998</v>
      </c>
      <c r="R1977" s="12">
        <f>(IF(O1977&lt;4172.98,0,MIN(O1977*0.3,O1977-4172.98)))-P1977</f>
        <v>108.59199999999964</v>
      </c>
      <c r="S1977" s="78">
        <v>46600</v>
      </c>
      <c r="T1977" s="1"/>
      <c r="V1977" s="1"/>
      <c r="X1977" s="101">
        <v>2</v>
      </c>
    </row>
    <row r="1978" spans="1:24" hidden="1">
      <c r="A1978">
        <v>377</v>
      </c>
      <c r="B1978" s="2">
        <v>46230.491296296299</v>
      </c>
      <c r="C1978" s="2">
        <v>46230.497418981497</v>
      </c>
      <c r="D1978" s="1" t="s">
        <v>24</v>
      </c>
      <c r="E1978" s="1"/>
      <c r="F1978" s="29">
        <v>46230</v>
      </c>
      <c r="G1978" s="29">
        <v>46230</v>
      </c>
      <c r="H1978" s="1" t="s">
        <v>81</v>
      </c>
      <c r="I1978" s="1" t="s">
        <v>4642</v>
      </c>
      <c r="J1978" s="207"/>
      <c r="K1978" s="171" t="s">
        <v>4643</v>
      </c>
      <c r="L1978" s="62">
        <v>23139244</v>
      </c>
      <c r="M1978" s="30">
        <v>5218114718669</v>
      </c>
      <c r="N1978" s="172" t="s">
        <v>37</v>
      </c>
      <c r="O1978" s="43">
        <v>8160.87</v>
      </c>
      <c r="P1978" s="97">
        <v>2360</v>
      </c>
      <c r="Q1978" s="42">
        <f>OfficeForms.Table[[#This Row],[ INFORMEDEPAGO ]]*0.3</f>
        <v>2448.261</v>
      </c>
      <c r="R1978" s="12">
        <f>(IF(O1978&lt;4172.98,0,MIN(O1978*0.3,O1978-4172.98)))-P1978</f>
        <v>88.260999999999967</v>
      </c>
      <c r="S1978" s="78">
        <v>46661</v>
      </c>
      <c r="T1978" s="1"/>
      <c r="V1978" s="1"/>
      <c r="X1978" s="101">
        <v>2</v>
      </c>
    </row>
    <row r="1979" spans="1:24" hidden="1">
      <c r="A1979">
        <v>378</v>
      </c>
      <c r="B1979" s="2">
        <v>46230.490428240701</v>
      </c>
      <c r="C1979" s="2">
        <v>46230.498194444401</v>
      </c>
      <c r="D1979" s="1" t="s">
        <v>24</v>
      </c>
      <c r="E1979" s="1"/>
      <c r="F1979" s="29">
        <v>46230</v>
      </c>
      <c r="G1979" s="29">
        <v>46229</v>
      </c>
      <c r="H1979" s="1" t="s">
        <v>68</v>
      </c>
      <c r="I1979" s="1" t="s">
        <v>4644</v>
      </c>
      <c r="J1979" s="207">
        <v>43927907766</v>
      </c>
      <c r="K1979" s="171" t="s">
        <v>4645</v>
      </c>
      <c r="L1979" s="62">
        <v>23124116</v>
      </c>
      <c r="M1979" s="30">
        <v>5218124306089</v>
      </c>
      <c r="N1979" s="172" t="s">
        <v>37</v>
      </c>
      <c r="O1979" s="50">
        <v>6405.06</v>
      </c>
      <c r="P1979" s="97" t="s">
        <v>4646</v>
      </c>
      <c r="Q1979" s="42">
        <f>OfficeForms.Table[[#This Row],[ INFORMEDEPAGO ]]*0.3</f>
        <v>1921.518</v>
      </c>
      <c r="R1979" s="12">
        <f>(IF(O1979&lt;4172.98,0,MIN(O1979*0.3,O1979-4172.98)))-P1979</f>
        <v>-137.51200000000017</v>
      </c>
      <c r="S1979" s="78">
        <v>46478</v>
      </c>
      <c r="T1979" s="1" t="s">
        <v>192</v>
      </c>
      <c r="V1979" s="1"/>
      <c r="X1979" s="101">
        <v>2</v>
      </c>
    </row>
    <row r="1980" spans="1:24" hidden="1">
      <c r="A1980">
        <v>379</v>
      </c>
      <c r="B1980" s="2">
        <v>46230.496805555602</v>
      </c>
      <c r="C1980" s="2">
        <v>46230.498854166697</v>
      </c>
      <c r="D1980" s="1" t="s">
        <v>24</v>
      </c>
      <c r="E1980" s="1"/>
      <c r="F1980" s="29">
        <v>46230</v>
      </c>
      <c r="G1980" s="29">
        <v>46229</v>
      </c>
      <c r="H1980" s="1" t="s">
        <v>476</v>
      </c>
      <c r="I1980" s="1" t="s">
        <v>4647</v>
      </c>
      <c r="J1980" s="207">
        <v>28917508849</v>
      </c>
      <c r="K1980" s="171" t="s">
        <v>4648</v>
      </c>
      <c r="L1980" s="62">
        <v>23120846</v>
      </c>
      <c r="M1980" s="30">
        <v>5215640031061</v>
      </c>
      <c r="N1980" s="172" t="s">
        <v>37</v>
      </c>
      <c r="O1980" s="43">
        <v>5642.22</v>
      </c>
      <c r="P1980" s="97">
        <v>1455.2</v>
      </c>
      <c r="Q1980" s="42">
        <f>OfficeForms.Table[[#This Row],[ INFORMEDEPAGO ]]*0.3</f>
        <v>1692.6659999999999</v>
      </c>
      <c r="R1980" s="12">
        <f>(IF(O1980&lt;4172.98,0,MIN(O1980*0.3,O1980-4172.98)))-P1980</f>
        <v>14.040000000000646</v>
      </c>
      <c r="S1980" s="78">
        <v>46874</v>
      </c>
      <c r="T1980" s="1"/>
      <c r="V1980" s="1"/>
      <c r="X1980" s="101">
        <v>2</v>
      </c>
    </row>
    <row r="1981" spans="1:24" hidden="1">
      <c r="A1981">
        <v>380</v>
      </c>
      <c r="B1981" s="2">
        <v>46230.502256944397</v>
      </c>
      <c r="C1981" s="2">
        <v>46230.502662036997</v>
      </c>
      <c r="D1981" s="1" t="s">
        <v>24</v>
      </c>
      <c r="E1981" s="1"/>
      <c r="F1981" s="29">
        <v>46230</v>
      </c>
      <c r="G1981" s="29">
        <v>46230</v>
      </c>
      <c r="H1981" s="1" t="s">
        <v>269</v>
      </c>
      <c r="I1981" s="1" t="s">
        <v>4649</v>
      </c>
      <c r="J1981" s="207" t="s">
        <v>4650</v>
      </c>
      <c r="K1981" s="171" t="s">
        <v>4651</v>
      </c>
      <c r="L1981" s="62">
        <v>23126402</v>
      </c>
      <c r="M1981" s="30">
        <v>5212871279983</v>
      </c>
      <c r="N1981" s="172" t="s">
        <v>32</v>
      </c>
      <c r="O1981" s="52">
        <v>5569.67</v>
      </c>
      <c r="P1981" s="99">
        <v>2942.78</v>
      </c>
      <c r="Q1981" s="42">
        <f>OfficeForms.Table[[#This Row],[ INFORMEDEPAGO ]]*0.3</f>
        <v>1670.9010000000001</v>
      </c>
      <c r="R1981" s="12">
        <f>(IF(O1981&lt;4172.98,0,MIN(O1981*0.3,O1981-4172.98)))-P1981</f>
        <v>-1546.0899999999997</v>
      </c>
      <c r="S1981" s="78"/>
      <c r="T1981" s="1"/>
      <c r="V1981" s="1"/>
      <c r="X1981" s="101">
        <v>1</v>
      </c>
    </row>
    <row r="1982" spans="1:24" hidden="1">
      <c r="A1982">
        <v>381</v>
      </c>
      <c r="B1982" s="2">
        <v>46230.504166666702</v>
      </c>
      <c r="C1982" s="2">
        <v>46230.504699074103</v>
      </c>
      <c r="D1982" s="1" t="s">
        <v>24</v>
      </c>
      <c r="E1982" s="1"/>
      <c r="F1982" s="29">
        <v>46230</v>
      </c>
      <c r="G1982" s="29">
        <v>46230</v>
      </c>
      <c r="H1982" s="1" t="s">
        <v>269</v>
      </c>
      <c r="I1982" s="1" t="s">
        <v>4652</v>
      </c>
      <c r="J1982" s="207"/>
      <c r="K1982" s="171" t="s">
        <v>4653</v>
      </c>
      <c r="L1982" s="62">
        <v>23127760</v>
      </c>
      <c r="M1982" s="30">
        <v>5213222652047</v>
      </c>
      <c r="N1982" s="172" t="s">
        <v>106</v>
      </c>
      <c r="O1982" s="43">
        <v>7675.8</v>
      </c>
      <c r="P1982" s="97">
        <v>2035.38</v>
      </c>
      <c r="Q1982" s="42">
        <f>OfficeForms.Table[[#This Row],[ INFORMEDEPAGO ]]*0.3</f>
        <v>2302.7399999999998</v>
      </c>
      <c r="R1982" s="12">
        <f>(IF(O1982&lt;4172.98,0,MIN(O1982*0.3,O1982-4172.98)))-P1982</f>
        <v>267.35999999999967</v>
      </c>
      <c r="S1982" s="78">
        <v>45200</v>
      </c>
      <c r="T1982" s="1"/>
      <c r="V1982" s="1"/>
      <c r="X1982" s="101">
        <v>2</v>
      </c>
    </row>
    <row r="1983" spans="1:24" hidden="1">
      <c r="A1983">
        <v>382</v>
      </c>
      <c r="B1983" s="2">
        <v>46230.489259259302</v>
      </c>
      <c r="C1983" s="2">
        <v>46230.506226851903</v>
      </c>
      <c r="D1983" s="1" t="s">
        <v>24</v>
      </c>
      <c r="E1983" s="1"/>
      <c r="F1983" s="29">
        <v>46230</v>
      </c>
      <c r="G1983" s="29">
        <v>46229</v>
      </c>
      <c r="H1983" s="1" t="s">
        <v>68</v>
      </c>
      <c r="I1983" s="1" t="s">
        <v>4654</v>
      </c>
      <c r="J1983" s="207">
        <v>65735415591</v>
      </c>
      <c r="K1983" s="171" t="s">
        <v>4655</v>
      </c>
      <c r="L1983" s="62">
        <v>23124680</v>
      </c>
      <c r="M1983" s="30">
        <v>5212961029174</v>
      </c>
      <c r="N1983" s="172" t="s">
        <v>37</v>
      </c>
      <c r="O1983" s="52">
        <v>6071.75</v>
      </c>
      <c r="P1983" s="99">
        <v>1808.18</v>
      </c>
      <c r="Q1983" s="42">
        <f>OfficeForms.Table[[#This Row],[ INFORMEDEPAGO ]]*0.3</f>
        <v>1821.5249999999999</v>
      </c>
      <c r="R1983" s="12">
        <f>(IF(O1983&lt;4172.98,0,MIN(O1983*0.3,O1983-4172.98)))-P1983</f>
        <v>13.3449999999998</v>
      </c>
      <c r="S1983" s="78">
        <v>46508</v>
      </c>
      <c r="T1983" s="1"/>
      <c r="V1983" s="1"/>
      <c r="X1983" s="101">
        <v>2</v>
      </c>
    </row>
    <row r="1984" spans="1:24" hidden="1">
      <c r="A1984">
        <v>383</v>
      </c>
      <c r="B1984" s="2">
        <v>46230.500972222202</v>
      </c>
      <c r="C1984" s="2">
        <v>46230.506562499999</v>
      </c>
      <c r="D1984" s="1" t="s">
        <v>24</v>
      </c>
      <c r="E1984" s="1"/>
      <c r="F1984" s="29">
        <v>46230</v>
      </c>
      <c r="G1984" s="29">
        <v>46230</v>
      </c>
      <c r="H1984" s="1" t="s">
        <v>68</v>
      </c>
      <c r="I1984" s="1" t="s">
        <v>4656</v>
      </c>
      <c r="J1984" s="207">
        <v>71865901830</v>
      </c>
      <c r="K1984" s="171" t="s">
        <v>4657</v>
      </c>
      <c r="L1984" s="62">
        <v>23138070</v>
      </c>
      <c r="M1984" s="30">
        <v>5219621260159</v>
      </c>
      <c r="N1984" s="172" t="s">
        <v>47</v>
      </c>
      <c r="O1984" s="50">
        <v>4813.6899999999996</v>
      </c>
      <c r="P1984" s="97"/>
      <c r="Q1984" s="42">
        <f>OfficeForms.Table[[#This Row],[ INFORMEDEPAGO ]]*0.3</f>
        <v>1444.1069999999997</v>
      </c>
      <c r="R1984" s="12">
        <f>(IF(O1984&lt;4172.98,0,MIN(O1984*0.3,O1984-4172.98)))-P1984</f>
        <v>640.71</v>
      </c>
      <c r="S1984" s="78"/>
      <c r="T1984" s="1"/>
      <c r="V1984" s="1"/>
      <c r="X1984" s="101">
        <v>1</v>
      </c>
    </row>
    <row r="1985" spans="1:24" hidden="1">
      <c r="A1985">
        <v>384</v>
      </c>
      <c r="B1985" s="2">
        <v>46230.497430555602</v>
      </c>
      <c r="C1985" s="2">
        <v>46230.5074537037</v>
      </c>
      <c r="D1985" s="1" t="s">
        <v>24</v>
      </c>
      <c r="E1985" s="1"/>
      <c r="F1985" s="29">
        <v>46230</v>
      </c>
      <c r="G1985" s="29">
        <v>46229</v>
      </c>
      <c r="H1985" s="1" t="s">
        <v>81</v>
      </c>
      <c r="I1985" s="1" t="s">
        <v>4658</v>
      </c>
      <c r="J1985" s="207">
        <v>33876903759</v>
      </c>
      <c r="K1985" s="171"/>
      <c r="L1985" s="62">
        <v>23124618</v>
      </c>
      <c r="M1985" s="30">
        <v>5216562219858</v>
      </c>
      <c r="N1985" s="172" t="s">
        <v>37</v>
      </c>
      <c r="O1985" s="52">
        <v>14483.3</v>
      </c>
      <c r="P1985" s="99">
        <v>4190.3599999999997</v>
      </c>
      <c r="Q1985" s="42">
        <f>OfficeForms.Table[[#This Row],[ INFORMEDEPAGO ]]*0.3</f>
        <v>4344.99</v>
      </c>
      <c r="R1985" s="12">
        <f>(IF(O1985&lt;4172.98,0,MIN(O1985*0.3,O1985-4172.98)))-P1985</f>
        <v>154.63000000000011</v>
      </c>
      <c r="S1985" s="78">
        <v>46508</v>
      </c>
      <c r="T1985" s="1"/>
      <c r="V1985" s="1"/>
      <c r="X1985" s="101">
        <v>2</v>
      </c>
    </row>
    <row r="1986" spans="1:24" hidden="1">
      <c r="A1986">
        <v>385</v>
      </c>
      <c r="B1986" s="2">
        <v>46230.512210648099</v>
      </c>
      <c r="C1986" s="2">
        <v>46230.513993055603</v>
      </c>
      <c r="D1986" s="1" t="s">
        <v>24</v>
      </c>
      <c r="E1986" s="1"/>
      <c r="F1986" s="29">
        <v>46230</v>
      </c>
      <c r="G1986" s="29">
        <v>46229</v>
      </c>
      <c r="H1986" s="1" t="s">
        <v>71</v>
      </c>
      <c r="I1986" s="1" t="s">
        <v>4659</v>
      </c>
      <c r="J1986" s="207" t="s">
        <v>4660</v>
      </c>
      <c r="K1986" s="171"/>
      <c r="L1986" s="62">
        <v>23122722</v>
      </c>
      <c r="M1986" s="30">
        <v>5219932230399</v>
      </c>
      <c r="N1986" s="172" t="s">
        <v>130</v>
      </c>
      <c r="O1986" s="43">
        <v>21429.58</v>
      </c>
      <c r="P1986" s="97">
        <v>5949.31</v>
      </c>
      <c r="Q1986" s="42">
        <f>OfficeForms.Table[[#This Row],[ INFORMEDEPAGO ]]*0.3</f>
        <v>6428.8740000000007</v>
      </c>
      <c r="R1986" s="12">
        <f>(IF(O1986&lt;4172.98,0,MIN(O1986*0.3,O1986-4172.98)))-P1986</f>
        <v>479.56400000000031</v>
      </c>
      <c r="S1986" s="78">
        <v>46054</v>
      </c>
      <c r="T1986" s="1"/>
      <c r="V1986" s="1"/>
      <c r="X1986" s="101">
        <v>2</v>
      </c>
    </row>
    <row r="1987" spans="1:24" hidden="1">
      <c r="A1987">
        <v>386</v>
      </c>
      <c r="B1987" s="2">
        <v>46230.513391203698</v>
      </c>
      <c r="C1987" s="2">
        <v>46230.514398148203</v>
      </c>
      <c r="D1987" s="1" t="s">
        <v>24</v>
      </c>
      <c r="E1987" s="1"/>
      <c r="F1987" s="29">
        <v>46230</v>
      </c>
      <c r="G1987" s="29">
        <v>46229</v>
      </c>
      <c r="H1987" s="1" t="s">
        <v>269</v>
      </c>
      <c r="I1987" s="1" t="s">
        <v>4661</v>
      </c>
      <c r="J1987" s="207" t="s">
        <v>4662</v>
      </c>
      <c r="K1987" s="171" t="s">
        <v>4663</v>
      </c>
      <c r="L1987" s="62">
        <v>23138804</v>
      </c>
      <c r="M1987" s="30">
        <v>5213315678172</v>
      </c>
      <c r="N1987" s="172" t="s">
        <v>47</v>
      </c>
      <c r="O1987" s="52">
        <v>29318.42</v>
      </c>
      <c r="P1987" s="99">
        <v>8474.61</v>
      </c>
      <c r="Q1987" s="42">
        <f>OfficeForms.Table[[#This Row],[ INFORMEDEPAGO ]]*0.3</f>
        <v>8795.5259999999998</v>
      </c>
      <c r="R1987" s="12">
        <f>(IF(O1987&lt;4172.98,0,MIN(O1987*0.3,O1987-4172.98)))-P1987</f>
        <v>320.91599999999926</v>
      </c>
      <c r="S1987" s="78">
        <v>46508</v>
      </c>
      <c r="T1987" s="1" t="s">
        <v>84</v>
      </c>
      <c r="V1987" s="1"/>
      <c r="X1987" s="101">
        <v>2</v>
      </c>
    </row>
    <row r="1988" spans="1:24" hidden="1">
      <c r="A1988">
        <v>387</v>
      </c>
      <c r="B1988" s="2">
        <v>46230.4639930556</v>
      </c>
      <c r="C1988" s="2">
        <v>46230.518495370401</v>
      </c>
      <c r="D1988" s="1" t="s">
        <v>24</v>
      </c>
      <c r="E1988" s="1"/>
      <c r="F1988" s="29">
        <v>46230</v>
      </c>
      <c r="G1988" s="29">
        <v>46230</v>
      </c>
      <c r="H1988" s="1" t="s">
        <v>51</v>
      </c>
      <c r="I1988" s="1" t="s">
        <v>4664</v>
      </c>
      <c r="J1988" s="207">
        <v>1270531338</v>
      </c>
      <c r="K1988" s="171" t="s">
        <v>4665</v>
      </c>
      <c r="L1988" s="62">
        <v>23132602</v>
      </c>
      <c r="M1988" s="30">
        <v>5214792330949</v>
      </c>
      <c r="N1988" s="172" t="s">
        <v>32</v>
      </c>
      <c r="O1988" s="52">
        <v>3881.65</v>
      </c>
      <c r="P1988" s="99">
        <v>848</v>
      </c>
      <c r="Q1988" s="42">
        <f>OfficeForms.Table[[#This Row],[ INFORMEDEPAGO ]]*0.3</f>
        <v>1164.4949999999999</v>
      </c>
      <c r="R1988" s="12">
        <f>(IF(O1988&lt;4172.98,0,MIN(O1988*0.3,O1988-4172.98)))-P1988</f>
        <v>-848</v>
      </c>
      <c r="S1988" s="78"/>
      <c r="T1988" s="1"/>
      <c r="V1988" s="1"/>
      <c r="X1988" s="101">
        <v>1</v>
      </c>
    </row>
    <row r="1989" spans="1:24" hidden="1">
      <c r="A1989">
        <v>388</v>
      </c>
      <c r="B1989" s="2">
        <v>46230.517430555599</v>
      </c>
      <c r="C1989" s="2">
        <v>46230.518541666701</v>
      </c>
      <c r="D1989" s="1" t="s">
        <v>24</v>
      </c>
      <c r="E1989" s="1"/>
      <c r="F1989" s="29">
        <v>46230</v>
      </c>
      <c r="G1989" s="29">
        <v>46230</v>
      </c>
      <c r="H1989" s="1" t="s">
        <v>269</v>
      </c>
      <c r="I1989" s="1" t="s">
        <v>4666</v>
      </c>
      <c r="J1989" s="207" t="s">
        <v>4667</v>
      </c>
      <c r="K1989" s="171" t="s">
        <v>4668</v>
      </c>
      <c r="L1989" s="62">
        <v>23125612</v>
      </c>
      <c r="M1989" s="30">
        <v>5216145211208</v>
      </c>
      <c r="N1989" s="172" t="s">
        <v>37</v>
      </c>
      <c r="O1989" s="52">
        <v>7920.51</v>
      </c>
      <c r="P1989" s="99">
        <v>2289.0700000000002</v>
      </c>
      <c r="Q1989" s="42">
        <f>OfficeForms.Table[[#This Row],[ INFORMEDEPAGO ]]*0.3</f>
        <v>2376.1529999999998</v>
      </c>
      <c r="R1989" s="12">
        <f>(IF(O1989&lt;4172.98,0,MIN(O1989*0.3,O1989-4172.98)))-P1989</f>
        <v>87.082999999999629</v>
      </c>
      <c r="S1989" s="78">
        <v>46478</v>
      </c>
      <c r="T1989" s="1"/>
      <c r="V1989" s="1"/>
      <c r="X1989" s="101">
        <v>2</v>
      </c>
    </row>
    <row r="1990" spans="1:24" hidden="1">
      <c r="A1990">
        <v>389</v>
      </c>
      <c r="B1990" s="2">
        <v>46230.506516203699</v>
      </c>
      <c r="C1990" s="2">
        <v>46230.521238425899</v>
      </c>
      <c r="D1990" s="1" t="s">
        <v>24</v>
      </c>
      <c r="E1990" s="1"/>
      <c r="F1990" s="29">
        <v>46230</v>
      </c>
      <c r="G1990" s="29">
        <v>46230</v>
      </c>
      <c r="H1990" s="1" t="s">
        <v>160</v>
      </c>
      <c r="I1990" s="1" t="s">
        <v>4669</v>
      </c>
      <c r="J1990" s="207">
        <v>65806203223</v>
      </c>
      <c r="K1990" s="171" t="s">
        <v>4670</v>
      </c>
      <c r="L1990" s="62">
        <v>23131644</v>
      </c>
      <c r="M1990" s="30">
        <v>5212291619678</v>
      </c>
      <c r="N1990" s="172" t="s">
        <v>28</v>
      </c>
      <c r="O1990" s="50">
        <v>7116.73</v>
      </c>
      <c r="P1990" s="97"/>
      <c r="Q1990" s="42">
        <f>OfficeForms.Table[[#This Row],[ INFORMEDEPAGO ]]*0.3</f>
        <v>2135.0189999999998</v>
      </c>
      <c r="R1990" s="12">
        <f>(IF(O1990&lt;4172.98,0,MIN(O1990*0.3,O1990-4172.98)))-P1990</f>
        <v>2135.0189999999998</v>
      </c>
      <c r="S1990" s="78"/>
      <c r="T1990" s="1"/>
      <c r="V1990" s="1"/>
      <c r="X1990" s="101">
        <v>1</v>
      </c>
    </row>
    <row r="1991" spans="1:24" hidden="1">
      <c r="A1991">
        <v>390</v>
      </c>
      <c r="B1991" s="2">
        <v>46230.518506944398</v>
      </c>
      <c r="C1991" s="2">
        <v>46230.525208333303</v>
      </c>
      <c r="D1991" s="1" t="s">
        <v>24</v>
      </c>
      <c r="E1991" s="1"/>
      <c r="F1991" s="29">
        <v>46230</v>
      </c>
      <c r="G1991" s="29">
        <v>46230</v>
      </c>
      <c r="H1991" s="1" t="s">
        <v>51</v>
      </c>
      <c r="I1991" s="1" t="s">
        <v>4671</v>
      </c>
      <c r="J1991" s="207">
        <v>31836617071</v>
      </c>
      <c r="K1991" s="171" t="s">
        <v>4672</v>
      </c>
      <c r="L1991" s="62">
        <v>23142230</v>
      </c>
      <c r="M1991" s="30">
        <v>5218713845586</v>
      </c>
      <c r="N1991" s="172" t="s">
        <v>37</v>
      </c>
      <c r="O1991" s="52">
        <v>6409.47</v>
      </c>
      <c r="P1991" s="99">
        <v>1679.37</v>
      </c>
      <c r="Q1991" s="42">
        <f>OfficeForms.Table[[#This Row],[ INFORMEDEPAGO ]]*0.3</f>
        <v>1922.8409999999999</v>
      </c>
      <c r="R1991" s="12">
        <f>(IF(O1991&lt;4172.98,0,MIN(O1991*0.3,O1991-4172.98)))-P1991</f>
        <v>243.471</v>
      </c>
      <c r="S1991" s="78">
        <v>46388</v>
      </c>
      <c r="T1991" s="1"/>
      <c r="V1991" s="1"/>
      <c r="X1991" s="101">
        <v>2</v>
      </c>
    </row>
    <row r="1992" spans="1:24" hidden="1">
      <c r="A1992">
        <v>391</v>
      </c>
      <c r="B1992" s="2">
        <v>46230.525219907402</v>
      </c>
      <c r="C1992" s="2">
        <v>46230.530555555597</v>
      </c>
      <c r="D1992" s="1" t="s">
        <v>24</v>
      </c>
      <c r="E1992" s="1"/>
      <c r="F1992" s="29">
        <v>46230</v>
      </c>
      <c r="G1992" s="29">
        <v>46230</v>
      </c>
      <c r="H1992" s="1" t="s">
        <v>51</v>
      </c>
      <c r="I1992" s="1" t="s">
        <v>4673</v>
      </c>
      <c r="J1992" s="207" t="s">
        <v>4674</v>
      </c>
      <c r="K1992" s="171" t="s">
        <v>4675</v>
      </c>
      <c r="L1992" s="62">
        <v>23143802</v>
      </c>
      <c r="M1992" s="30">
        <v>5216561930163</v>
      </c>
      <c r="N1992" s="172" t="s">
        <v>37</v>
      </c>
      <c r="O1992" s="52">
        <v>16200.37</v>
      </c>
      <c r="P1992" s="99">
        <v>4858.29</v>
      </c>
      <c r="Q1992" s="42">
        <f>OfficeForms.Table[[#This Row],[ INFORMEDEPAGO ]]*0.3</f>
        <v>4860.1109999999999</v>
      </c>
      <c r="R1992" s="12">
        <f>(IF(O1992&lt;4172.98,0,MIN(O1992*0.3,O1992-4172.98)))-P1992</f>
        <v>1.8209999999999127</v>
      </c>
      <c r="S1992" s="78">
        <v>46874</v>
      </c>
      <c r="T1992" s="1"/>
      <c r="V1992" s="1"/>
      <c r="X1992" s="101">
        <v>2</v>
      </c>
    </row>
    <row r="1993" spans="1:24" hidden="1">
      <c r="A1993">
        <v>392</v>
      </c>
      <c r="B1993" s="2">
        <v>46230.5300810185</v>
      </c>
      <c r="C1993" s="2">
        <v>46230.534328703703</v>
      </c>
      <c r="D1993" s="1" t="s">
        <v>24</v>
      </c>
      <c r="E1993" s="1"/>
      <c r="F1993" s="29">
        <v>46230</v>
      </c>
      <c r="G1993" s="29">
        <v>46230</v>
      </c>
      <c r="H1993" s="1" t="s">
        <v>51</v>
      </c>
      <c r="I1993" s="1" t="s">
        <v>4676</v>
      </c>
      <c r="J1993" s="207" t="s">
        <v>4677</v>
      </c>
      <c r="K1993" s="171" t="s">
        <v>4678</v>
      </c>
      <c r="L1993" s="62">
        <v>23143630</v>
      </c>
      <c r="M1993" s="30">
        <v>5217717583100</v>
      </c>
      <c r="N1993" s="172" t="s">
        <v>74</v>
      </c>
      <c r="O1993" s="50"/>
      <c r="P1993" s="97"/>
      <c r="Q1993" s="42">
        <f>OfficeForms.Table[[#This Row],[ INFORMEDEPAGO ]]*0.3</f>
        <v>0</v>
      </c>
      <c r="R1993" s="12">
        <f>(IF(O1993&lt;4172.98,0,MIN(O1993*0.3,O1993-4172.98)))-P1993</f>
        <v>0</v>
      </c>
      <c r="S1993" s="78"/>
      <c r="T1993" s="1"/>
      <c r="V1993" s="1"/>
      <c r="X1993" s="101">
        <v>1</v>
      </c>
    </row>
    <row r="1994" spans="1:24" hidden="1">
      <c r="A1994">
        <v>393</v>
      </c>
      <c r="B1994" s="2">
        <v>46230.533784722204</v>
      </c>
      <c r="C1994" s="2">
        <v>46230.534456018497</v>
      </c>
      <c r="D1994" s="1" t="s">
        <v>24</v>
      </c>
      <c r="E1994" s="1"/>
      <c r="F1994" s="29">
        <v>46230</v>
      </c>
      <c r="G1994" s="29">
        <v>46230</v>
      </c>
      <c r="H1994" s="1" t="s">
        <v>1629</v>
      </c>
      <c r="I1994" s="1" t="s">
        <v>4679</v>
      </c>
      <c r="J1994" s="207">
        <v>43786231605</v>
      </c>
      <c r="K1994" s="171" t="s">
        <v>4680</v>
      </c>
      <c r="L1994" s="62">
        <v>2</v>
      </c>
      <c r="M1994" s="30">
        <v>8181203913</v>
      </c>
      <c r="N1994" s="172" t="s">
        <v>263</v>
      </c>
      <c r="O1994" s="52">
        <v>7116.73</v>
      </c>
      <c r="P1994" s="99">
        <v>1974.86</v>
      </c>
      <c r="Q1994" s="42">
        <f>OfficeForms.Table[[#This Row],[ INFORMEDEPAGO ]]*0.3</f>
        <v>2135.0189999999998</v>
      </c>
      <c r="R1994" s="12">
        <f>(IF(O1994&lt;4172.98,0,MIN(O1994*0.3,O1994-4172.98)))-P1994</f>
        <v>160.15899999999988</v>
      </c>
      <c r="S1994" s="78">
        <v>45658</v>
      </c>
      <c r="T1994" s="1" t="s">
        <v>178</v>
      </c>
      <c r="V1994" s="1"/>
      <c r="X1994" s="101">
        <v>2</v>
      </c>
    </row>
    <row r="1995" spans="1:24" hidden="1">
      <c r="A1995">
        <v>394</v>
      </c>
      <c r="B1995" s="2">
        <v>46230.507488425901</v>
      </c>
      <c r="C1995" s="2">
        <v>46230.540844907402</v>
      </c>
      <c r="D1995" s="1" t="s">
        <v>24</v>
      </c>
      <c r="E1995" s="1"/>
      <c r="F1995" s="29">
        <v>46230</v>
      </c>
      <c r="G1995" s="29">
        <v>46212</v>
      </c>
      <c r="H1995" s="1" t="s">
        <v>81</v>
      </c>
      <c r="I1995" s="1" t="s">
        <v>4681</v>
      </c>
      <c r="J1995" s="207">
        <v>57877104380</v>
      </c>
      <c r="K1995" s="171"/>
      <c r="L1995" s="125">
        <v>22484926</v>
      </c>
      <c r="M1995" s="30">
        <v>5216444864627</v>
      </c>
      <c r="N1995" s="172" t="s">
        <v>32</v>
      </c>
      <c r="O1995" s="50"/>
      <c r="P1995" s="97"/>
      <c r="Q1995" s="42">
        <f>OfficeForms.Table[[#This Row],[ INFORMEDEPAGO ]]*0.3</f>
        <v>0</v>
      </c>
      <c r="R1995" s="12">
        <f>(IF(O1995&lt;4172.98,0,MIN(O1995*0.3,O1995-4172.98)))-P1995</f>
        <v>0</v>
      </c>
      <c r="S1995" s="78"/>
      <c r="T1995" s="1"/>
      <c r="V1995" s="1"/>
      <c r="X1995" s="101">
        <v>1</v>
      </c>
    </row>
    <row r="1996" spans="1:24" hidden="1">
      <c r="A1996">
        <v>395</v>
      </c>
      <c r="B1996" s="2">
        <v>46230.506585648203</v>
      </c>
      <c r="C1996" s="2">
        <v>46230.541006944397</v>
      </c>
      <c r="D1996" s="1" t="s">
        <v>24</v>
      </c>
      <c r="E1996" s="1"/>
      <c r="F1996" s="29">
        <v>46230</v>
      </c>
      <c r="G1996" s="29">
        <v>46228</v>
      </c>
      <c r="H1996" s="1" t="s">
        <v>68</v>
      </c>
      <c r="I1996" s="1" t="s">
        <v>4682</v>
      </c>
      <c r="J1996" s="207">
        <v>49977838504</v>
      </c>
      <c r="K1996" s="171" t="s">
        <v>4683</v>
      </c>
      <c r="L1996" s="62">
        <v>23104000</v>
      </c>
      <c r="M1996" s="30">
        <v>5218184986151</v>
      </c>
      <c r="N1996" s="172" t="s">
        <v>28</v>
      </c>
      <c r="O1996" s="50">
        <v>6576.05</v>
      </c>
      <c r="P1996" s="97"/>
      <c r="Q1996" s="42">
        <f>OfficeForms.Table[[#This Row],[ INFORMEDEPAGO ]]*0.3</f>
        <v>1972.8150000000001</v>
      </c>
      <c r="R1996" s="12">
        <f>(IF(O1996&lt;4172.98,0,MIN(O1996*0.3,O1996-4172.98)))-P1996</f>
        <v>1972.8150000000001</v>
      </c>
      <c r="S1996" s="78"/>
      <c r="T1996" s="1"/>
      <c r="V1996" s="1"/>
      <c r="X1996" s="101">
        <v>1</v>
      </c>
    </row>
    <row r="1997" spans="1:24" hidden="1">
      <c r="A1997">
        <v>396</v>
      </c>
      <c r="B1997" s="2">
        <v>46230.5398726852</v>
      </c>
      <c r="C1997" s="2">
        <v>46230.544918981497</v>
      </c>
      <c r="D1997" s="1" t="s">
        <v>24</v>
      </c>
      <c r="E1997" s="1"/>
      <c r="F1997" s="29">
        <v>46230</v>
      </c>
      <c r="G1997" s="29">
        <v>46230</v>
      </c>
      <c r="H1997" s="1" t="s">
        <v>1519</v>
      </c>
      <c r="I1997" s="1" t="s">
        <v>4684</v>
      </c>
      <c r="J1997" s="207">
        <v>49765706954</v>
      </c>
      <c r="K1997" s="171" t="s">
        <v>4685</v>
      </c>
      <c r="L1997" s="62">
        <v>23123558</v>
      </c>
      <c r="M1997" s="30">
        <v>5218333021882</v>
      </c>
      <c r="N1997" s="172" t="s">
        <v>37</v>
      </c>
      <c r="O1997" s="52">
        <v>7920.51</v>
      </c>
      <c r="P1997" s="99">
        <v>2291</v>
      </c>
      <c r="Q1997" s="42">
        <f>OfficeForms.Table[[#This Row],[ INFORMEDEPAGO ]]*0.3</f>
        <v>2376.1529999999998</v>
      </c>
      <c r="R1997" s="12">
        <f>(IF(O1997&lt;4172.98,0,MIN(O1997*0.3,O1997-4172.98)))-P1997</f>
        <v>85.152999999999793</v>
      </c>
      <c r="S1997" s="78">
        <v>46508</v>
      </c>
      <c r="T1997" s="1"/>
      <c r="V1997" s="1"/>
      <c r="X1997" s="101">
        <v>2</v>
      </c>
    </row>
    <row r="1998" spans="1:24" hidden="1">
      <c r="A1998">
        <v>398</v>
      </c>
      <c r="B1998" s="2">
        <v>46230.551886574103</v>
      </c>
      <c r="C1998" s="2">
        <v>46230.555844907401</v>
      </c>
      <c r="D1998" s="1" t="s">
        <v>24</v>
      </c>
      <c r="E1998" s="1"/>
      <c r="F1998" s="29">
        <v>46230</v>
      </c>
      <c r="G1998" s="29">
        <v>46230</v>
      </c>
      <c r="H1998" s="1" t="s">
        <v>1625</v>
      </c>
      <c r="I1998" s="1" t="s">
        <v>4686</v>
      </c>
      <c r="J1998" s="207">
        <v>19725520415</v>
      </c>
      <c r="K1998" s="171" t="s">
        <v>4687</v>
      </c>
      <c r="L1998" s="62">
        <v>2</v>
      </c>
      <c r="M1998" s="30">
        <v>5587443010</v>
      </c>
      <c r="N1998" s="172" t="s">
        <v>37</v>
      </c>
      <c r="O1998" s="52">
        <v>9081.52</v>
      </c>
      <c r="P1998" s="99">
        <v>2573.4299999999998</v>
      </c>
      <c r="Q1998" s="42">
        <f>OfficeForms.Table[[#This Row],[ INFORMEDEPAGO ]]*0.3</f>
        <v>2724.4560000000001</v>
      </c>
      <c r="R1998" s="12">
        <f>(IF(O1998&lt;4172.98,0,MIN(O1998*0.3,O1998-4172.98)))-P1998</f>
        <v>151.02600000000029</v>
      </c>
      <c r="S1998" s="78">
        <v>46631</v>
      </c>
      <c r="T1998" s="1"/>
      <c r="V1998" s="1"/>
      <c r="X1998" s="101">
        <v>2</v>
      </c>
    </row>
    <row r="1999" spans="1:24" hidden="1">
      <c r="A1999">
        <v>399</v>
      </c>
      <c r="B1999" s="2">
        <v>46230.555254629602</v>
      </c>
      <c r="C1999" s="2">
        <v>46230.556944444397</v>
      </c>
      <c r="D1999" s="1" t="s">
        <v>24</v>
      </c>
      <c r="E1999" s="1"/>
      <c r="F1999" s="29">
        <v>46230</v>
      </c>
      <c r="G1999" s="29">
        <v>46230</v>
      </c>
      <c r="H1999" s="1" t="s">
        <v>1629</v>
      </c>
      <c r="I1999" s="1" t="s">
        <v>4688</v>
      </c>
      <c r="J1999" s="207" t="s">
        <v>4689</v>
      </c>
      <c r="K1999" s="171" t="s">
        <v>4690</v>
      </c>
      <c r="L1999" s="62">
        <v>2</v>
      </c>
      <c r="M1999" s="30">
        <v>8144010658</v>
      </c>
      <c r="N1999" s="172" t="s">
        <v>32</v>
      </c>
      <c r="O1999" s="52">
        <v>4698.95</v>
      </c>
      <c r="P1999" s="99">
        <v>848</v>
      </c>
      <c r="Q1999" s="42">
        <f>OfficeForms.Table[[#This Row],[ INFORMEDEPAGO ]]*0.3</f>
        <v>1409.6849999999999</v>
      </c>
      <c r="R1999" s="12">
        <f>(IF(O1999&lt;4172.98,0,MIN(O1999*0.3,O1999-4172.98)))-P1999</f>
        <v>-322.02999999999975</v>
      </c>
      <c r="S1999" s="78"/>
      <c r="T1999" s="1"/>
      <c r="V1999" s="1"/>
      <c r="X1999" s="101">
        <v>1</v>
      </c>
    </row>
    <row r="2000" spans="1:24" hidden="1">
      <c r="A2000">
        <v>400</v>
      </c>
      <c r="B2000" s="2">
        <v>46230.559108796297</v>
      </c>
      <c r="C2000" s="2">
        <v>46230.559791666703</v>
      </c>
      <c r="D2000" s="1" t="s">
        <v>24</v>
      </c>
      <c r="E2000" s="1"/>
      <c r="F2000" s="29">
        <v>46230</v>
      </c>
      <c r="G2000" s="29">
        <v>46229</v>
      </c>
      <c r="H2000" s="1" t="s">
        <v>3022</v>
      </c>
      <c r="I2000" s="1" t="s">
        <v>4691</v>
      </c>
      <c r="J2000" s="207"/>
      <c r="K2000" s="171" t="s">
        <v>4692</v>
      </c>
      <c r="L2000" s="62">
        <v>23120368</v>
      </c>
      <c r="M2000" s="30">
        <v>8646179575</v>
      </c>
      <c r="N2000" s="172" t="s">
        <v>37</v>
      </c>
      <c r="O2000" s="52">
        <v>9760.32</v>
      </c>
      <c r="P2000" s="99">
        <v>2913.38</v>
      </c>
      <c r="Q2000" s="42">
        <f>OfficeForms.Table[[#This Row],[ INFORMEDEPAGO ]]*0.3</f>
        <v>2928.096</v>
      </c>
      <c r="R2000" s="12">
        <f>(IF(O2000&lt;4172.98,0,MIN(O2000*0.3,O2000-4172.98)))-P2000</f>
        <v>14.715999999999894</v>
      </c>
      <c r="S2000" s="78">
        <v>46966</v>
      </c>
      <c r="T2000" s="1" t="s">
        <v>192</v>
      </c>
      <c r="V2000" s="1"/>
      <c r="X2000" s="101">
        <v>2</v>
      </c>
    </row>
    <row r="2001" spans="1:24" hidden="1">
      <c r="A2001">
        <v>401</v>
      </c>
      <c r="B2001" s="2">
        <v>46230.564965277801</v>
      </c>
      <c r="C2001" s="2">
        <v>46230.565497685202</v>
      </c>
      <c r="D2001" s="1" t="s">
        <v>24</v>
      </c>
      <c r="E2001" s="1"/>
      <c r="F2001" s="29">
        <v>46230</v>
      </c>
      <c r="G2001" s="29">
        <v>46228</v>
      </c>
      <c r="H2001" s="1" t="s">
        <v>3352</v>
      </c>
      <c r="I2001" s="1" t="s">
        <v>4693</v>
      </c>
      <c r="J2001" s="207"/>
      <c r="K2001" s="171" t="s">
        <v>4694</v>
      </c>
      <c r="L2001" s="62">
        <v>23109538</v>
      </c>
      <c r="M2001" s="30">
        <v>5533097815</v>
      </c>
      <c r="N2001" s="172" t="s">
        <v>32</v>
      </c>
      <c r="O2001" s="50">
        <v>2017.85</v>
      </c>
      <c r="P2001" s="97"/>
      <c r="Q2001" s="42">
        <f>OfficeForms.Table[[#This Row],[ INFORMEDEPAGO ]]*0.3</f>
        <v>605.3549999999999</v>
      </c>
      <c r="R2001" s="12">
        <f>(IF(O2001&lt;4172.98,0,MIN(O2001*0.3,O2001-4172.98)))-P2001</f>
        <v>0</v>
      </c>
      <c r="S2001" s="78"/>
      <c r="T2001" s="1"/>
      <c r="V2001" s="1"/>
      <c r="X2001" s="101">
        <v>1</v>
      </c>
    </row>
    <row r="2002" spans="1:24" hidden="1">
      <c r="A2002">
        <v>402</v>
      </c>
      <c r="B2002" s="2">
        <v>46230.586527777799</v>
      </c>
      <c r="C2002" s="2">
        <v>46230.5879166667</v>
      </c>
      <c r="D2002" s="1" t="s">
        <v>24</v>
      </c>
      <c r="E2002" s="1"/>
      <c r="F2002" s="29">
        <v>46230</v>
      </c>
      <c r="G2002" s="29">
        <v>46229</v>
      </c>
      <c r="H2002" s="1" t="s">
        <v>26</v>
      </c>
      <c r="I2002" s="1" t="s">
        <v>4695</v>
      </c>
      <c r="J2002" s="207">
        <v>24776203150</v>
      </c>
      <c r="K2002" s="171"/>
      <c r="L2002" s="62">
        <v>23118852</v>
      </c>
      <c r="M2002" s="30">
        <v>5216441102471</v>
      </c>
      <c r="N2002" s="172" t="s">
        <v>37</v>
      </c>
      <c r="O2002" s="52">
        <v>7561.18</v>
      </c>
      <c r="P2002" s="99">
        <v>2268.35</v>
      </c>
      <c r="Q2002" s="42">
        <f>OfficeForms.Table[[#This Row],[ INFORMEDEPAGO ]]*0.3</f>
        <v>2268.3539999999998</v>
      </c>
      <c r="R2002" s="12">
        <f>(IF(O2002&lt;4172.98,0,MIN(O2002*0.3,O2002-4172.98)))-P2002</f>
        <v>3.9999999999054126E-3</v>
      </c>
      <c r="S2002" s="78">
        <v>46235</v>
      </c>
      <c r="T2002" s="1"/>
      <c r="V2002" s="1"/>
      <c r="X2002" s="101">
        <v>2</v>
      </c>
    </row>
    <row r="2003" spans="1:24" hidden="1">
      <c r="A2003">
        <v>403</v>
      </c>
      <c r="B2003" s="2">
        <v>46230.540868055599</v>
      </c>
      <c r="C2003" s="2">
        <v>46230.603715277801</v>
      </c>
      <c r="D2003" s="1" t="s">
        <v>24</v>
      </c>
      <c r="E2003" s="1"/>
      <c r="F2003" s="29">
        <v>46230</v>
      </c>
      <c r="G2003" s="29">
        <v>46230</v>
      </c>
      <c r="H2003" s="1" t="s">
        <v>81</v>
      </c>
      <c r="I2003" s="1" t="s">
        <v>4696</v>
      </c>
      <c r="J2003" s="207"/>
      <c r="K2003" s="171" t="s">
        <v>4697</v>
      </c>
      <c r="L2003" s="62">
        <v>23140210</v>
      </c>
      <c r="M2003" s="30">
        <v>5214444328268</v>
      </c>
      <c r="N2003" s="172" t="s">
        <v>28</v>
      </c>
      <c r="O2003" s="50">
        <v>7808.26</v>
      </c>
      <c r="P2003" s="97"/>
      <c r="Q2003" s="42">
        <f>OfficeForms.Table[[#This Row],[ INFORMEDEPAGO ]]*0.3</f>
        <v>2342.4780000000001</v>
      </c>
      <c r="R2003" s="12">
        <f>(IF(O2003&lt;4172.98,0,MIN(O2003*0.3,O2003-4172.98)))-P2003</f>
        <v>2342.4780000000001</v>
      </c>
      <c r="S2003" s="78"/>
      <c r="T2003" s="1"/>
      <c r="V2003" s="1"/>
      <c r="X2003" s="101">
        <v>1</v>
      </c>
    </row>
    <row r="2004" spans="1:24" hidden="1">
      <c r="A2004">
        <v>404</v>
      </c>
      <c r="B2004" s="2">
        <v>46230.603738425903</v>
      </c>
      <c r="C2004" s="2">
        <v>46230.605960648099</v>
      </c>
      <c r="D2004" s="1" t="s">
        <v>24</v>
      </c>
      <c r="E2004" s="1"/>
      <c r="F2004" s="29">
        <v>46230</v>
      </c>
      <c r="G2004" s="29">
        <v>46230</v>
      </c>
      <c r="H2004" s="1" t="s">
        <v>81</v>
      </c>
      <c r="I2004" s="1" t="s">
        <v>4698</v>
      </c>
      <c r="J2004" s="207"/>
      <c r="K2004" s="171" t="s">
        <v>4699</v>
      </c>
      <c r="L2004" s="62">
        <v>23141418</v>
      </c>
      <c r="M2004" s="30">
        <v>5214613025022</v>
      </c>
      <c r="N2004" s="172" t="s">
        <v>263</v>
      </c>
      <c r="O2004" s="52">
        <v>8404.07</v>
      </c>
      <c r="P2004" s="99">
        <v>2247.81</v>
      </c>
      <c r="Q2004" s="42">
        <f>OfficeForms.Table[[#This Row],[ INFORMEDEPAGO ]]*0.3</f>
        <v>2521.221</v>
      </c>
      <c r="R2004" s="12">
        <f>(IF(O2004&lt;4172.98,0,MIN(O2004*0.3,O2004-4172.98)))-P2004</f>
        <v>273.41100000000006</v>
      </c>
      <c r="S2004" s="78">
        <v>46204</v>
      </c>
      <c r="T2004" s="1" t="s">
        <v>192</v>
      </c>
      <c r="V2004" s="1"/>
      <c r="X2004" s="101">
        <v>2</v>
      </c>
    </row>
    <row r="2005" spans="1:24" hidden="1">
      <c r="A2005">
        <v>405</v>
      </c>
      <c r="B2005" s="2">
        <v>46230.479560185202</v>
      </c>
      <c r="C2005" s="2">
        <v>46230.607939814799</v>
      </c>
      <c r="D2005" s="1" t="s">
        <v>24</v>
      </c>
      <c r="E2005" s="1"/>
      <c r="F2005" s="29">
        <v>46230</v>
      </c>
      <c r="G2005" s="29">
        <v>46228</v>
      </c>
      <c r="H2005" s="1" t="s">
        <v>3572</v>
      </c>
      <c r="I2005" s="1" t="s">
        <v>4700</v>
      </c>
      <c r="J2005" s="207"/>
      <c r="K2005" s="171" t="s">
        <v>4701</v>
      </c>
      <c r="L2005" s="62">
        <v>23105972</v>
      </c>
      <c r="M2005" s="30">
        <v>5214641811489</v>
      </c>
      <c r="N2005" s="172" t="s">
        <v>37</v>
      </c>
      <c r="O2005" s="52">
        <v>5414.57</v>
      </c>
      <c r="P2005" s="99">
        <v>1187.53</v>
      </c>
      <c r="Q2005" s="42">
        <f>OfficeForms.Table[[#This Row],[ INFORMEDEPAGO ]]*0.3</f>
        <v>1624.3709999999999</v>
      </c>
      <c r="R2005" s="12">
        <f>(IF(O2005&lt;4172.98,0,MIN(O2005*0.3,O2005-4172.98)))-P2005</f>
        <v>54.060000000000173</v>
      </c>
      <c r="S2005" s="78">
        <v>46478</v>
      </c>
      <c r="T2005" s="1" t="s">
        <v>84</v>
      </c>
      <c r="V2005" s="1"/>
      <c r="X2005" s="101">
        <v>2</v>
      </c>
    </row>
    <row r="2006" spans="1:24" hidden="1">
      <c r="A2006">
        <v>406</v>
      </c>
      <c r="B2006" s="2">
        <v>46230.605983796297</v>
      </c>
      <c r="C2006" s="2">
        <v>46230.612962963001</v>
      </c>
      <c r="D2006" s="1" t="s">
        <v>24</v>
      </c>
      <c r="E2006" s="1"/>
      <c r="F2006" s="29">
        <v>46230</v>
      </c>
      <c r="G2006" s="29">
        <v>46230</v>
      </c>
      <c r="H2006" s="1" t="s">
        <v>81</v>
      </c>
      <c r="I2006" s="1" t="s">
        <v>4702</v>
      </c>
      <c r="J2006" s="207">
        <v>54836677192</v>
      </c>
      <c r="K2006" s="171" t="s">
        <v>4703</v>
      </c>
      <c r="L2006" s="62">
        <v>23143162</v>
      </c>
      <c r="M2006" s="30">
        <v>5213334624503</v>
      </c>
      <c r="N2006" s="172" t="s">
        <v>263</v>
      </c>
      <c r="O2006" s="52">
        <v>5636.59</v>
      </c>
      <c r="P2006" s="99">
        <v>1519.81</v>
      </c>
      <c r="Q2006" s="42">
        <f>OfficeForms.Table[[#This Row],[ INFORMEDEPAGO ]]*0.3</f>
        <v>1690.9770000000001</v>
      </c>
      <c r="R2006" s="12">
        <f>(IF(O2006&lt;4172.98,0,MIN(O2006*0.3,O2006-4172.98)))-P2006</f>
        <v>-56.199999999999363</v>
      </c>
      <c r="S2006" s="78">
        <v>46204</v>
      </c>
      <c r="T2006" s="1" t="s">
        <v>192</v>
      </c>
      <c r="V2006" s="1"/>
      <c r="X2006" s="101">
        <v>2</v>
      </c>
    </row>
    <row r="2007" spans="1:24" hidden="1">
      <c r="A2007">
        <v>407</v>
      </c>
      <c r="B2007" s="2">
        <v>46230.610752314802</v>
      </c>
      <c r="C2007" s="2">
        <v>46230.613182870402</v>
      </c>
      <c r="D2007" s="1" t="s">
        <v>24</v>
      </c>
      <c r="E2007" s="1"/>
      <c r="F2007" s="29">
        <v>46230</v>
      </c>
      <c r="G2007" s="29">
        <v>46227</v>
      </c>
      <c r="H2007" s="1" t="s">
        <v>160</v>
      </c>
      <c r="I2007" s="1" t="s">
        <v>4704</v>
      </c>
      <c r="J2007" s="207">
        <v>49735633338</v>
      </c>
      <c r="K2007" s="171" t="s">
        <v>4705</v>
      </c>
      <c r="L2007" s="62">
        <v>23047764</v>
      </c>
      <c r="M2007" s="30">
        <v>5215656294154</v>
      </c>
      <c r="N2007" s="172" t="s">
        <v>32</v>
      </c>
      <c r="O2007" s="50">
        <v>4199.87</v>
      </c>
      <c r="P2007" s="97"/>
      <c r="Q2007" s="42">
        <f>OfficeForms.Table[[#This Row],[ INFORMEDEPAGO ]]*0.3</f>
        <v>1259.961</v>
      </c>
      <c r="R2007" s="12">
        <f>(IF(O2007&lt;4172.98,0,MIN(O2007*0.3,O2007-4172.98)))-P2007</f>
        <v>26.890000000000327</v>
      </c>
      <c r="S2007" s="78"/>
      <c r="T2007" s="1"/>
      <c r="V2007" s="1"/>
      <c r="X2007" s="101">
        <v>1</v>
      </c>
    </row>
    <row r="2008" spans="1:24" hidden="1">
      <c r="A2008">
        <v>408</v>
      </c>
      <c r="B2008" s="2">
        <v>46230.534340277802</v>
      </c>
      <c r="C2008" s="2">
        <v>46230.615648148101</v>
      </c>
      <c r="D2008" s="1" t="s">
        <v>24</v>
      </c>
      <c r="E2008" s="1"/>
      <c r="F2008" s="29">
        <v>46230</v>
      </c>
      <c r="G2008" s="29">
        <v>46230</v>
      </c>
      <c r="H2008" s="1" t="s">
        <v>51</v>
      </c>
      <c r="I2008" s="1" t="s">
        <v>4706</v>
      </c>
      <c r="J2008" s="207">
        <v>43816468490</v>
      </c>
      <c r="K2008" s="171" t="s">
        <v>4707</v>
      </c>
      <c r="L2008" s="62">
        <v>23136716</v>
      </c>
      <c r="M2008" s="30">
        <v>5218123366570</v>
      </c>
      <c r="N2008" s="172" t="s">
        <v>37</v>
      </c>
      <c r="O2008" s="52">
        <v>9081.52</v>
      </c>
      <c r="P2008" s="99">
        <v>2515.1</v>
      </c>
      <c r="Q2008" s="42">
        <f>OfficeForms.Table[[#This Row],[ INFORMEDEPAGO ]]*0.3</f>
        <v>2724.4560000000001</v>
      </c>
      <c r="R2008" s="12">
        <f>(IF(O2008&lt;4172.98,0,MIN(O2008*0.3,O2008-4172.98)))-P2008</f>
        <v>209.35600000000022</v>
      </c>
      <c r="S2008" s="78">
        <v>46266</v>
      </c>
      <c r="T2008" s="1"/>
      <c r="V2008" s="1"/>
      <c r="X2008" s="101">
        <v>2</v>
      </c>
    </row>
    <row r="2009" spans="1:24" hidden="1">
      <c r="A2009">
        <v>409</v>
      </c>
      <c r="B2009" s="2">
        <v>46230.4618402778</v>
      </c>
      <c r="C2009" s="2">
        <v>46230.617337962998</v>
      </c>
      <c r="D2009" s="1" t="s">
        <v>24</v>
      </c>
      <c r="E2009" s="1"/>
      <c r="F2009" s="29">
        <v>46230</v>
      </c>
      <c r="G2009" s="29">
        <v>46230</v>
      </c>
      <c r="H2009" s="1" t="s">
        <v>3452</v>
      </c>
      <c r="I2009" s="1" t="s">
        <v>4708</v>
      </c>
      <c r="J2009" s="207"/>
      <c r="K2009" s="171" t="s">
        <v>4709</v>
      </c>
      <c r="L2009" s="62">
        <v>23147002</v>
      </c>
      <c r="M2009" s="30">
        <v>5522027316</v>
      </c>
      <c r="N2009" s="172" t="s">
        <v>37</v>
      </c>
      <c r="O2009" s="52">
        <v>5916.87</v>
      </c>
      <c r="P2009" s="99">
        <v>1740.3</v>
      </c>
      <c r="Q2009" s="42">
        <f>OfficeForms.Table[[#This Row],[ INFORMEDEPAGO ]]*0.3</f>
        <v>1775.0609999999999</v>
      </c>
      <c r="R2009" s="12">
        <f>(IF(O2009&lt;4172.98,0,MIN(O2009*0.3,O2009-4172.98)))-P2009</f>
        <v>3.5900000000003729</v>
      </c>
      <c r="S2009" s="78">
        <v>46874</v>
      </c>
      <c r="T2009" s="1"/>
      <c r="V2009" s="1"/>
      <c r="X2009" s="101">
        <v>2</v>
      </c>
    </row>
    <row r="2010" spans="1:24" hidden="1">
      <c r="A2010">
        <v>410</v>
      </c>
      <c r="B2010" s="2">
        <v>46230.599606481497</v>
      </c>
      <c r="C2010" s="2">
        <v>46230.617488425902</v>
      </c>
      <c r="D2010" s="1" t="s">
        <v>24</v>
      </c>
      <c r="E2010" s="1"/>
      <c r="F2010" s="29">
        <v>46230</v>
      </c>
      <c r="G2010" s="29">
        <v>46230</v>
      </c>
      <c r="H2010" s="1" t="s">
        <v>78</v>
      </c>
      <c r="I2010" s="1" t="s">
        <v>4710</v>
      </c>
      <c r="J2010" s="207">
        <v>24897356242</v>
      </c>
      <c r="K2010" s="171" t="s">
        <v>4711</v>
      </c>
      <c r="L2010" s="62">
        <v>23135720</v>
      </c>
      <c r="M2010" s="30">
        <v>16204510041</v>
      </c>
      <c r="N2010" s="172" t="s">
        <v>32</v>
      </c>
      <c r="O2010" s="52">
        <v>3514.32</v>
      </c>
      <c r="P2010" s="99">
        <v>879</v>
      </c>
      <c r="Q2010" s="42">
        <f>OfficeForms.Table[[#This Row],[ INFORMEDEPAGO ]]*0.3</f>
        <v>1054.296</v>
      </c>
      <c r="R2010" s="12">
        <f>(IF(O2010&lt;4172.98,0,MIN(O2010*0.3,O2010-4172.98)))-P2010</f>
        <v>-879</v>
      </c>
      <c r="S2010" s="78"/>
      <c r="T2010" s="1"/>
      <c r="V2010" s="1"/>
      <c r="X2010" s="101">
        <v>1</v>
      </c>
    </row>
    <row r="2011" spans="1:24" hidden="1">
      <c r="A2011">
        <v>411</v>
      </c>
      <c r="B2011" s="2">
        <v>46230.599664351903</v>
      </c>
      <c r="C2011" s="2">
        <v>46230.618599537003</v>
      </c>
      <c r="D2011" s="1" t="s">
        <v>24</v>
      </c>
      <c r="E2011" s="1"/>
      <c r="F2011" s="29">
        <v>46230</v>
      </c>
      <c r="G2011" s="29">
        <v>46230</v>
      </c>
      <c r="H2011" s="1" t="s">
        <v>78</v>
      </c>
      <c r="I2011" s="1" t="s">
        <v>4712</v>
      </c>
      <c r="J2011" s="207">
        <v>78655110050</v>
      </c>
      <c r="K2011" s="171" t="s">
        <v>4713</v>
      </c>
      <c r="L2011" s="62">
        <v>23135908</v>
      </c>
      <c r="M2011" s="30">
        <v>5219512266652</v>
      </c>
      <c r="N2011" s="172" t="s">
        <v>37</v>
      </c>
      <c r="O2011" s="52">
        <v>5211.8599999999997</v>
      </c>
      <c r="P2011" s="99">
        <v>1029.77</v>
      </c>
      <c r="Q2011" s="42">
        <f>OfficeForms.Table[[#This Row],[ INFORMEDEPAGO ]]*0.3</f>
        <v>1563.5579999999998</v>
      </c>
      <c r="R2011" s="12">
        <f>(IF(O2011&lt;4172.98,0,MIN(O2011*0.3,O2011-4172.98)))-P2011</f>
        <v>9.1100000000001273</v>
      </c>
      <c r="S2011" s="78">
        <v>46935</v>
      </c>
      <c r="T2011" s="1"/>
      <c r="V2011" s="1"/>
      <c r="X2011" s="101">
        <v>2</v>
      </c>
    </row>
    <row r="2012" spans="1:24" hidden="1">
      <c r="A2012">
        <v>412</v>
      </c>
      <c r="B2012" s="2">
        <v>46230.599699074097</v>
      </c>
      <c r="C2012" s="2">
        <v>46230.618657407402</v>
      </c>
      <c r="D2012" s="1" t="s">
        <v>24</v>
      </c>
      <c r="E2012" s="1"/>
      <c r="F2012" s="29">
        <v>46230</v>
      </c>
      <c r="G2012" s="29">
        <v>46230</v>
      </c>
      <c r="H2012" s="1" t="s">
        <v>78</v>
      </c>
      <c r="I2012" s="1" t="s">
        <v>4714</v>
      </c>
      <c r="J2012" s="207">
        <v>1480610442</v>
      </c>
      <c r="K2012" s="171" t="s">
        <v>4715</v>
      </c>
      <c r="L2012" s="62">
        <v>23136736</v>
      </c>
      <c r="M2012" s="30">
        <v>5214421428110</v>
      </c>
      <c r="N2012" s="172" t="s">
        <v>98</v>
      </c>
      <c r="O2012" s="50"/>
      <c r="P2012" s="97"/>
      <c r="Q2012" s="42">
        <f>OfficeForms.Table[[#This Row],[ INFORMEDEPAGO ]]*0.3</f>
        <v>0</v>
      </c>
      <c r="R2012" s="12">
        <f>(IF(O2012&lt;4172.98,0,MIN(O2012*0.3,O2012-4172.98)))-P2012</f>
        <v>0</v>
      </c>
      <c r="S2012" s="78"/>
      <c r="T2012" s="1"/>
      <c r="V2012" s="1"/>
      <c r="X2012" s="101">
        <v>0</v>
      </c>
    </row>
    <row r="2013" spans="1:24" hidden="1">
      <c r="A2013">
        <v>413</v>
      </c>
      <c r="B2013" s="2">
        <v>46230.599803240701</v>
      </c>
      <c r="C2013" s="2">
        <v>46230.6187152778</v>
      </c>
      <c r="D2013" s="1" t="s">
        <v>24</v>
      </c>
      <c r="E2013" s="1"/>
      <c r="F2013" s="29">
        <v>46230</v>
      </c>
      <c r="G2013" s="29">
        <v>46230</v>
      </c>
      <c r="H2013" s="1" t="s">
        <v>78</v>
      </c>
      <c r="I2013" s="1" t="s">
        <v>4716</v>
      </c>
      <c r="J2013" s="207" t="s">
        <v>4717</v>
      </c>
      <c r="K2013" s="171" t="s">
        <v>4718</v>
      </c>
      <c r="L2013" s="62">
        <v>23140780</v>
      </c>
      <c r="M2013" s="30">
        <v>5216621306148</v>
      </c>
      <c r="N2013" s="172" t="s">
        <v>32</v>
      </c>
      <c r="O2013" s="50">
        <v>4287.79</v>
      </c>
      <c r="P2013" s="97"/>
      <c r="Q2013" s="42">
        <f>OfficeForms.Table[[#This Row],[ INFORMEDEPAGO ]]*0.3</f>
        <v>1286.337</v>
      </c>
      <c r="R2013" s="12">
        <f>(IF(O2013&lt;4172.98,0,MIN(O2013*0.3,O2013-4172.98)))-P2013</f>
        <v>114.8100000000004</v>
      </c>
      <c r="S2013" s="78"/>
      <c r="T2013" s="1"/>
      <c r="V2013" s="1"/>
      <c r="X2013" s="101">
        <v>1</v>
      </c>
    </row>
    <row r="2014" spans="1:24" hidden="1">
      <c r="A2014">
        <v>414</v>
      </c>
      <c r="B2014" s="2">
        <v>46230.616979166698</v>
      </c>
      <c r="C2014" s="2">
        <v>46230.619282407402</v>
      </c>
      <c r="D2014" s="1" t="s">
        <v>24</v>
      </c>
      <c r="E2014" s="1"/>
      <c r="F2014" s="29">
        <v>46230</v>
      </c>
      <c r="G2014" s="29">
        <v>46229</v>
      </c>
      <c r="H2014" s="1" t="s">
        <v>160</v>
      </c>
      <c r="I2014" s="1" t="s">
        <v>4719</v>
      </c>
      <c r="J2014" s="207">
        <v>23796016428</v>
      </c>
      <c r="K2014" s="171" t="s">
        <v>4720</v>
      </c>
      <c r="L2014" s="62">
        <v>23126686</v>
      </c>
      <c r="M2014" s="30">
        <v>5216221830844</v>
      </c>
      <c r="N2014" s="172" t="s">
        <v>37</v>
      </c>
      <c r="O2014" s="52">
        <v>5617.63</v>
      </c>
      <c r="P2014" s="99">
        <v>1361.58</v>
      </c>
      <c r="Q2014" s="42">
        <f>OfficeForms.Table[[#This Row],[ INFORMEDEPAGO ]]*0.3</f>
        <v>1685.289</v>
      </c>
      <c r="R2014" s="12">
        <f>(IF(O2014&lt;4172.98,0,MIN(O2014*0.3,O2014-4172.98)))-P2014</f>
        <v>83.070000000000618</v>
      </c>
      <c r="S2014" s="78">
        <v>46753</v>
      </c>
      <c r="T2014" s="1"/>
      <c r="V2014" s="1"/>
      <c r="X2014" s="101">
        <v>2</v>
      </c>
    </row>
    <row r="2015" spans="1:24" hidden="1">
      <c r="A2015">
        <v>415</v>
      </c>
      <c r="B2015" s="2">
        <v>46230.621134259301</v>
      </c>
      <c r="C2015" s="2">
        <v>46230.621840277803</v>
      </c>
      <c r="D2015" s="1" t="s">
        <v>24</v>
      </c>
      <c r="E2015" s="1"/>
      <c r="F2015" s="29">
        <v>46230</v>
      </c>
      <c r="G2015" s="29">
        <v>46230</v>
      </c>
      <c r="H2015" s="1" t="s">
        <v>3452</v>
      </c>
      <c r="I2015" s="1" t="s">
        <v>4721</v>
      </c>
      <c r="J2015" s="207"/>
      <c r="K2015" s="171" t="s">
        <v>4722</v>
      </c>
      <c r="L2015" s="62">
        <v>23147186</v>
      </c>
      <c r="M2015" s="30">
        <v>2272011579</v>
      </c>
      <c r="N2015" s="172" t="s">
        <v>37</v>
      </c>
      <c r="O2015" s="52">
        <v>20084.259999999998</v>
      </c>
      <c r="P2015" s="99">
        <v>5808.08</v>
      </c>
      <c r="Q2015" s="42">
        <f>OfficeForms.Table[[#This Row],[ INFORMEDEPAGO ]]*0.3</f>
        <v>6025.2779999999993</v>
      </c>
      <c r="R2015" s="12">
        <f>(IF(O2015&lt;4172.98,0,MIN(O2015*0.3,O2015-4172.98)))-P2015</f>
        <v>217.19799999999941</v>
      </c>
      <c r="S2015" s="78">
        <v>46266</v>
      </c>
      <c r="T2015" s="1"/>
      <c r="V2015" s="1"/>
      <c r="X2015" s="101">
        <v>2</v>
      </c>
    </row>
    <row r="2016" spans="1:24" hidden="1">
      <c r="A2016">
        <v>416</v>
      </c>
      <c r="B2016" s="2">
        <v>46230.621805555602</v>
      </c>
      <c r="C2016" s="2">
        <v>46230.622199074103</v>
      </c>
      <c r="D2016" s="1" t="s">
        <v>24</v>
      </c>
      <c r="E2016" s="1"/>
      <c r="F2016" s="29">
        <v>46230</v>
      </c>
      <c r="G2016" s="29">
        <v>46230</v>
      </c>
      <c r="H2016" s="1" t="s">
        <v>269</v>
      </c>
      <c r="I2016" s="1" t="s">
        <v>4723</v>
      </c>
      <c r="J2016" s="175" t="s">
        <v>4724</v>
      </c>
      <c r="K2016" s="171" t="s">
        <v>4725</v>
      </c>
      <c r="L2016" s="62">
        <v>23131868</v>
      </c>
      <c r="M2016" s="30">
        <v>5218715985145</v>
      </c>
      <c r="N2016" s="172" t="s">
        <v>32</v>
      </c>
      <c r="O2016" s="50">
        <v>4332.32</v>
      </c>
      <c r="P2016" s="97"/>
      <c r="Q2016" s="42">
        <f>OfficeForms.Table[[#This Row],[ INFORMEDEPAGO ]]*0.3</f>
        <v>1299.6959999999999</v>
      </c>
      <c r="R2016" s="12">
        <f>(IF(O2016&lt;4172.98,0,MIN(O2016*0.3,O2016-4172.98)))-P2016</f>
        <v>159.34000000000015</v>
      </c>
      <c r="S2016" s="78"/>
      <c r="T2016" s="1"/>
      <c r="V2016" s="1"/>
      <c r="X2016" s="101">
        <v>1</v>
      </c>
    </row>
    <row r="2017" spans="1:24" hidden="1">
      <c r="A2017">
        <v>417</v>
      </c>
      <c r="B2017" s="2">
        <v>46230.589861111097</v>
      </c>
      <c r="C2017" s="2">
        <v>46230.622418981497</v>
      </c>
      <c r="D2017" s="1" t="s">
        <v>24</v>
      </c>
      <c r="E2017" s="1"/>
      <c r="F2017" s="29">
        <v>46230</v>
      </c>
      <c r="G2017" s="29">
        <v>46230</v>
      </c>
      <c r="H2017" s="1" t="s">
        <v>68</v>
      </c>
      <c r="I2017" s="1" t="s">
        <v>4726</v>
      </c>
      <c r="J2017" s="207">
        <v>54846561840</v>
      </c>
      <c r="K2017" s="171" t="s">
        <v>4727</v>
      </c>
      <c r="L2017" s="62">
        <v>23130914</v>
      </c>
      <c r="M2017" s="30">
        <v>5219843203373</v>
      </c>
      <c r="N2017" s="172" t="s">
        <v>32</v>
      </c>
      <c r="O2017" s="50">
        <v>4008.23</v>
      </c>
      <c r="P2017" s="97"/>
      <c r="Q2017" s="42">
        <f>OfficeForms.Table[[#This Row],[ INFORMEDEPAGO ]]*0.3</f>
        <v>1202.4690000000001</v>
      </c>
      <c r="R2017" s="12">
        <f>(IF(O2017&lt;4172.98,0,MIN(O2017*0.3,O2017-4172.98)))-P2017</f>
        <v>0</v>
      </c>
      <c r="S2017" s="78"/>
      <c r="T2017" s="1"/>
      <c r="V2017" s="1"/>
      <c r="X2017" s="101">
        <v>1</v>
      </c>
    </row>
    <row r="2018" spans="1:24" hidden="1">
      <c r="A2018">
        <v>418</v>
      </c>
      <c r="B2018" s="2">
        <v>46230.580127314803</v>
      </c>
      <c r="C2018" s="2">
        <v>46230.622777777797</v>
      </c>
      <c r="D2018" s="1" t="s">
        <v>24</v>
      </c>
      <c r="E2018" s="1"/>
      <c r="F2018" s="29">
        <v>46230</v>
      </c>
      <c r="G2018" s="29">
        <v>46230</v>
      </c>
      <c r="H2018" s="1" t="s">
        <v>68</v>
      </c>
      <c r="I2018" s="1" t="s">
        <v>4728</v>
      </c>
      <c r="J2018" s="207">
        <v>24785925249</v>
      </c>
      <c r="K2018" s="171" t="s">
        <v>4729</v>
      </c>
      <c r="L2018" s="62">
        <v>23144142</v>
      </c>
      <c r="M2018" s="30">
        <v>5216622964952</v>
      </c>
      <c r="N2018" s="172" t="s">
        <v>263</v>
      </c>
      <c r="O2018" s="43">
        <v>5865.17</v>
      </c>
      <c r="P2018" s="97">
        <v>1432.1</v>
      </c>
      <c r="Q2018" s="42">
        <f>OfficeForms.Table[[#This Row],[ INFORMEDEPAGO ]]*0.3</f>
        <v>1759.5509999999999</v>
      </c>
      <c r="R2018" s="12">
        <f>(IF(O2018&lt;4172.98,0,MIN(O2018*0.3,O2018-4172.98)))-P2018</f>
        <v>260.0900000000006</v>
      </c>
      <c r="S2018" s="78">
        <v>45323</v>
      </c>
      <c r="T2018" s="1"/>
      <c r="V2018" s="1"/>
      <c r="X2018" s="101">
        <v>2</v>
      </c>
    </row>
    <row r="2019" spans="1:24" hidden="1">
      <c r="A2019">
        <v>419</v>
      </c>
      <c r="B2019" s="2">
        <v>46230.596550925897</v>
      </c>
      <c r="C2019" s="2">
        <v>46230.622974537</v>
      </c>
      <c r="D2019" s="1" t="s">
        <v>24</v>
      </c>
      <c r="E2019" s="1"/>
      <c r="F2019" s="29">
        <v>46230</v>
      </c>
      <c r="G2019" s="29">
        <v>46230</v>
      </c>
      <c r="H2019" s="1" t="s">
        <v>68</v>
      </c>
      <c r="I2019" s="1" t="s">
        <v>4730</v>
      </c>
      <c r="J2019" s="207">
        <v>24755914710</v>
      </c>
      <c r="K2019" s="171" t="s">
        <v>4731</v>
      </c>
      <c r="L2019" s="62">
        <v>23144142</v>
      </c>
      <c r="M2019" s="30">
        <v>5216622964952</v>
      </c>
      <c r="N2019" s="172" t="s">
        <v>47</v>
      </c>
      <c r="O2019" s="50">
        <f>4769.63+848</f>
        <v>5617.63</v>
      </c>
      <c r="P2019" s="97" t="s">
        <v>3921</v>
      </c>
      <c r="Q2019" s="42">
        <f>OfficeForms.Table[[#This Row],[ INFORMEDEPAGO ]]*0.3</f>
        <v>1685.289</v>
      </c>
      <c r="R2019" s="12">
        <f>(IF(O2019&lt;4172.98,0,MIN(O2019*0.3,O2019-4172.98)))-P2019</f>
        <v>596.65000000000055</v>
      </c>
      <c r="S2019" s="78"/>
      <c r="T2019" s="1"/>
      <c r="V2019" s="1"/>
      <c r="X2019" s="101">
        <v>1</v>
      </c>
    </row>
    <row r="2020" spans="1:24" hidden="1">
      <c r="A2020">
        <v>420</v>
      </c>
      <c r="B2020" s="2">
        <v>46230.599918981497</v>
      </c>
      <c r="C2020" s="2">
        <v>46230.623368055603</v>
      </c>
      <c r="D2020" s="1" t="s">
        <v>24</v>
      </c>
      <c r="E2020" s="1"/>
      <c r="F2020" s="29">
        <v>46230</v>
      </c>
      <c r="G2020" s="29">
        <v>46229</v>
      </c>
      <c r="H2020" s="1" t="s">
        <v>68</v>
      </c>
      <c r="I2020" s="1" t="s">
        <v>4732</v>
      </c>
      <c r="J2020" s="207"/>
      <c r="K2020" s="171" t="s">
        <v>4733</v>
      </c>
      <c r="L2020" s="62">
        <v>23125648</v>
      </c>
      <c r="M2020" s="30">
        <v>5218115283633</v>
      </c>
      <c r="N2020" s="172" t="s">
        <v>28</v>
      </c>
      <c r="O2020" s="50">
        <v>29399.15</v>
      </c>
      <c r="P2020" s="97"/>
      <c r="Q2020" s="42">
        <f>OfficeForms.Table[[#This Row],[ INFORMEDEPAGO ]]*0.3</f>
        <v>8819.7450000000008</v>
      </c>
      <c r="R2020" s="12">
        <f>(IF(O2020&lt;4172.98,0,MIN(O2020*0.3,O2020-4172.98)))-P2020</f>
        <v>8819.7450000000008</v>
      </c>
      <c r="S2020" s="78"/>
      <c r="T2020" s="1"/>
      <c r="V2020" s="1"/>
      <c r="X2020" s="101">
        <v>1</v>
      </c>
    </row>
    <row r="2021" spans="1:24" hidden="1">
      <c r="A2021">
        <v>421</v>
      </c>
      <c r="B2021" s="2">
        <v>46230.6229282407</v>
      </c>
      <c r="C2021" s="2">
        <v>46230.623981481498</v>
      </c>
      <c r="D2021" s="1" t="s">
        <v>24</v>
      </c>
      <c r="E2021" s="1"/>
      <c r="F2021" s="29">
        <v>46230</v>
      </c>
      <c r="G2021" s="29">
        <v>46229</v>
      </c>
      <c r="H2021" s="1" t="s">
        <v>110</v>
      </c>
      <c r="I2021" s="1" t="s">
        <v>4734</v>
      </c>
      <c r="J2021" s="207">
        <v>62745205880</v>
      </c>
      <c r="K2021" s="186" t="s">
        <v>4735</v>
      </c>
      <c r="L2021" s="62">
        <v>23121626</v>
      </c>
      <c r="M2021" s="30">
        <v>5212461296170</v>
      </c>
      <c r="N2021" s="172" t="s">
        <v>37</v>
      </c>
      <c r="O2021" s="50">
        <v>6405.06</v>
      </c>
      <c r="P2021" s="97" t="s">
        <v>4736</v>
      </c>
      <c r="Q2021" s="42">
        <f>OfficeForms.Table[[#This Row],[ INFORMEDEPAGO ]]*0.3</f>
        <v>1921.518</v>
      </c>
      <c r="R2021" s="12">
        <f>(IF(O2021&lt;4172.98,0,MIN(O2021*0.3,O2021-4172.98)))-P2021</f>
        <v>7.9980000000000473</v>
      </c>
      <c r="S2021" s="78">
        <v>46874</v>
      </c>
      <c r="T2021" s="1"/>
      <c r="V2021" s="1"/>
      <c r="X2021" s="101">
        <v>2</v>
      </c>
    </row>
    <row r="2022" spans="1:24" hidden="1">
      <c r="A2022">
        <v>422</v>
      </c>
      <c r="B2022" s="2">
        <v>46230.624155092599</v>
      </c>
      <c r="C2022" s="2">
        <v>46230.624803240702</v>
      </c>
      <c r="D2022" s="1" t="s">
        <v>24</v>
      </c>
      <c r="E2022" s="1"/>
      <c r="F2022" s="29">
        <v>46230</v>
      </c>
      <c r="G2022" s="29">
        <v>46230</v>
      </c>
      <c r="H2022" s="1" t="s">
        <v>110</v>
      </c>
      <c r="I2022" s="1" t="s">
        <v>4737</v>
      </c>
      <c r="J2022" s="207">
        <v>41896508577</v>
      </c>
      <c r="K2022" s="187" t="s">
        <v>4738</v>
      </c>
      <c r="L2022" s="62">
        <v>23109960</v>
      </c>
      <c r="M2022" s="30">
        <v>5214445840174</v>
      </c>
      <c r="N2022" s="172" t="s">
        <v>37</v>
      </c>
      <c r="O2022" s="52">
        <v>9760.26</v>
      </c>
      <c r="P2022" s="99">
        <v>2821.63</v>
      </c>
      <c r="Q2022" s="42">
        <f>OfficeForms.Table[[#This Row],[ INFORMEDEPAGO ]]*0.3</f>
        <v>2928.078</v>
      </c>
      <c r="R2022" s="12">
        <f>(IF(O2022&lt;4172.98,0,MIN(O2022*0.3,O2022-4172.98)))-P2022</f>
        <v>106.44799999999987</v>
      </c>
      <c r="S2022" s="78">
        <v>46661</v>
      </c>
      <c r="T2022" s="1"/>
      <c r="V2022" s="1"/>
      <c r="X2022" s="101">
        <v>2</v>
      </c>
    </row>
    <row r="2023" spans="1:24" hidden="1">
      <c r="A2023">
        <v>424</v>
      </c>
      <c r="B2023" s="2">
        <v>46230.627581018503</v>
      </c>
      <c r="C2023" s="2">
        <v>46230.628553240698</v>
      </c>
      <c r="D2023" s="1" t="s">
        <v>24</v>
      </c>
      <c r="E2023" s="1"/>
      <c r="F2023" s="29">
        <v>46230</v>
      </c>
      <c r="G2023" s="29">
        <v>46230</v>
      </c>
      <c r="H2023" s="1" t="s">
        <v>2908</v>
      </c>
      <c r="I2023" s="1" t="s">
        <v>4739</v>
      </c>
      <c r="J2023" s="207" t="s">
        <v>4740</v>
      </c>
      <c r="K2023" s="171" t="s">
        <v>4741</v>
      </c>
      <c r="L2023" s="62">
        <v>2</v>
      </c>
      <c r="M2023" s="30">
        <v>8135561096</v>
      </c>
      <c r="N2023" s="172" t="s">
        <v>37</v>
      </c>
      <c r="O2023" s="43">
        <v>9760.32</v>
      </c>
      <c r="P2023" s="97">
        <v>2822.92</v>
      </c>
      <c r="Q2023" s="42">
        <f>OfficeForms.Table[[#This Row],[ INFORMEDEPAGO ]]*0.3</f>
        <v>2928.096</v>
      </c>
      <c r="R2023" s="12">
        <f>(IF(O2023&lt;4172.98,0,MIN(O2023*0.3,O2023-4172.98)))-P2023</f>
        <v>105.17599999999993</v>
      </c>
      <c r="S2023" s="78">
        <v>46631</v>
      </c>
      <c r="T2023" s="1"/>
      <c r="V2023" s="1"/>
      <c r="X2023" s="101">
        <v>2</v>
      </c>
    </row>
    <row r="2024" spans="1:24" hidden="1">
      <c r="A2024">
        <v>425</v>
      </c>
      <c r="B2024" s="2">
        <v>46230.626238425903</v>
      </c>
      <c r="C2024" s="2">
        <v>46230.629270833299</v>
      </c>
      <c r="D2024" s="1" t="s">
        <v>24</v>
      </c>
      <c r="E2024" s="1"/>
      <c r="F2024" s="29">
        <v>46230</v>
      </c>
      <c r="G2024" s="29">
        <v>46230</v>
      </c>
      <c r="H2024" s="1" t="s">
        <v>160</v>
      </c>
      <c r="I2024" s="1" t="s">
        <v>4742</v>
      </c>
      <c r="J2024" s="207">
        <v>24875923930</v>
      </c>
      <c r="K2024" s="171" t="s">
        <v>4743</v>
      </c>
      <c r="L2024" s="62">
        <v>23144368</v>
      </c>
      <c r="M2024" s="30">
        <v>5216441428384</v>
      </c>
      <c r="N2024" s="172" t="s">
        <v>37</v>
      </c>
      <c r="O2024" s="43">
        <v>4813.6899999999996</v>
      </c>
      <c r="P2024" s="97">
        <v>622.53</v>
      </c>
      <c r="Q2024" s="42">
        <f>OfficeForms.Table[[#This Row],[ INFORMEDEPAGO ]]*0.3</f>
        <v>1444.1069999999997</v>
      </c>
      <c r="R2024" s="12">
        <f>(IF(O2024&lt;4172.98,0,MIN(O2024*0.3,O2024-4172.98)))-P2024</f>
        <v>18.180000000000064</v>
      </c>
      <c r="S2024" s="78">
        <v>46966</v>
      </c>
      <c r="T2024" s="1"/>
      <c r="V2024" s="1"/>
      <c r="X2024" s="101">
        <v>2</v>
      </c>
    </row>
    <row r="2025" spans="1:24" hidden="1">
      <c r="A2025">
        <v>426</v>
      </c>
      <c r="B2025" s="2">
        <v>46230.624826388899</v>
      </c>
      <c r="C2025" s="2">
        <v>46230.631354166697</v>
      </c>
      <c r="D2025" s="1" t="s">
        <v>24</v>
      </c>
      <c r="E2025" s="1"/>
      <c r="F2025" s="29">
        <v>46230</v>
      </c>
      <c r="G2025" s="29">
        <v>46229</v>
      </c>
      <c r="H2025" s="1" t="s">
        <v>110</v>
      </c>
      <c r="I2025" s="1" t="s">
        <v>4744</v>
      </c>
      <c r="J2025" s="207">
        <v>67765904478</v>
      </c>
      <c r="K2025" s="171"/>
      <c r="L2025" s="62">
        <v>23123030</v>
      </c>
      <c r="M2025" s="30">
        <v>5218110287202</v>
      </c>
      <c r="N2025" s="172" t="s">
        <v>28</v>
      </c>
      <c r="O2025" s="50">
        <v>7920.51</v>
      </c>
      <c r="P2025" s="97"/>
      <c r="Q2025" s="42">
        <f>OfficeForms.Table[[#This Row],[ INFORMEDEPAGO ]]*0.3</f>
        <v>2376.1529999999998</v>
      </c>
      <c r="R2025" s="12">
        <f>(IF(O2025&lt;4172.98,0,MIN(O2025*0.3,O2025-4172.98)))-P2025</f>
        <v>2376.1529999999998</v>
      </c>
      <c r="S2025" s="78"/>
      <c r="T2025" s="1"/>
      <c r="V2025" s="1"/>
      <c r="X2025" s="101">
        <v>1</v>
      </c>
    </row>
    <row r="2026" spans="1:24" hidden="1">
      <c r="A2026">
        <v>427</v>
      </c>
      <c r="B2026" s="2">
        <v>46230.6328125</v>
      </c>
      <c r="C2026" s="2">
        <v>46230.636203703703</v>
      </c>
      <c r="D2026" s="1" t="s">
        <v>24</v>
      </c>
      <c r="E2026" s="1"/>
      <c r="F2026" s="29">
        <v>46230</v>
      </c>
      <c r="G2026" s="29">
        <v>46230</v>
      </c>
      <c r="H2026" s="1" t="s">
        <v>1629</v>
      </c>
      <c r="I2026" s="1" t="s">
        <v>4745</v>
      </c>
      <c r="J2026" s="207">
        <v>1745292035</v>
      </c>
      <c r="K2026" s="171" t="s">
        <v>4746</v>
      </c>
      <c r="L2026" s="62">
        <v>2</v>
      </c>
      <c r="M2026" s="30">
        <v>5627582718</v>
      </c>
      <c r="N2026" s="172" t="s">
        <v>37</v>
      </c>
      <c r="O2026" s="43">
        <v>9673.31</v>
      </c>
      <c r="P2026" s="97">
        <v>2797.52</v>
      </c>
      <c r="Q2026" s="42">
        <f>OfficeForms.Table[[#This Row],[ INFORMEDEPAGO ]]*0.3</f>
        <v>2901.9929999999999</v>
      </c>
      <c r="R2026" s="12">
        <f>(IF(O2026&lt;4172.98,0,MIN(O2026*0.3,O2026-4172.98)))-P2026</f>
        <v>104.47299999999996</v>
      </c>
      <c r="S2026" s="78">
        <v>46447</v>
      </c>
      <c r="T2026" s="1"/>
      <c r="V2026" s="1"/>
      <c r="X2026" s="101">
        <v>2</v>
      </c>
    </row>
    <row r="2027" spans="1:24" hidden="1">
      <c r="A2027">
        <v>428</v>
      </c>
      <c r="B2027" s="2">
        <v>46230.633298611101</v>
      </c>
      <c r="C2027" s="2">
        <v>46230.638055555602</v>
      </c>
      <c r="D2027" s="1" t="s">
        <v>24</v>
      </c>
      <c r="E2027" s="1"/>
      <c r="F2027" s="29">
        <v>46230</v>
      </c>
      <c r="G2027" s="29">
        <v>46230</v>
      </c>
      <c r="H2027" s="1" t="s">
        <v>160</v>
      </c>
      <c r="I2027" s="1" t="s">
        <v>4747</v>
      </c>
      <c r="J2027" s="207"/>
      <c r="K2027" s="171" t="s">
        <v>4748</v>
      </c>
      <c r="L2027" s="62">
        <v>23146116</v>
      </c>
      <c r="M2027" s="30">
        <v>5218123977802</v>
      </c>
      <c r="N2027" s="172" t="s">
        <v>28</v>
      </c>
      <c r="O2027" s="50">
        <v>9081.52</v>
      </c>
      <c r="P2027" s="97"/>
      <c r="Q2027" s="42">
        <f>OfficeForms.Table[[#This Row],[ INFORMEDEPAGO ]]*0.3</f>
        <v>2724.4560000000001</v>
      </c>
      <c r="R2027" s="12">
        <f>(IF(O2027&lt;4172.98,0,MIN(O2027*0.3,O2027-4172.98)))-P2027</f>
        <v>2724.4560000000001</v>
      </c>
      <c r="S2027" s="78"/>
      <c r="T2027" s="1"/>
      <c r="V2027" s="1"/>
      <c r="X2027" s="101">
        <v>1</v>
      </c>
    </row>
    <row r="2028" spans="1:24" hidden="1">
      <c r="A2028">
        <v>429</v>
      </c>
      <c r="B2028" s="2">
        <v>46230.625682870399</v>
      </c>
      <c r="C2028" s="2">
        <v>46230.638321759303</v>
      </c>
      <c r="D2028" s="1" t="s">
        <v>24</v>
      </c>
      <c r="E2028" s="1"/>
      <c r="F2028" s="29">
        <v>46230</v>
      </c>
      <c r="G2028" s="29">
        <v>46230</v>
      </c>
      <c r="H2028" s="1" t="s">
        <v>1625</v>
      </c>
      <c r="I2028" s="1" t="s">
        <v>4749</v>
      </c>
      <c r="J2028" s="207">
        <v>49795505194</v>
      </c>
      <c r="K2028" s="171" t="s">
        <v>4750</v>
      </c>
      <c r="L2028" s="62">
        <v>2</v>
      </c>
      <c r="M2028" s="30">
        <v>3329547223</v>
      </c>
      <c r="N2028" s="172" t="s">
        <v>37</v>
      </c>
      <c r="O2028" s="43">
        <v>7073.84</v>
      </c>
      <c r="P2028" s="97">
        <v>2043.2</v>
      </c>
      <c r="Q2028" s="42">
        <f>OfficeForms.Table[[#This Row],[ INFORMEDEPAGO ]]*0.3</f>
        <v>2122.152</v>
      </c>
      <c r="R2028" s="12">
        <f>(IF(O2028&lt;4172.98,0,MIN(O2028*0.3,O2028-4172.98)))-P2028</f>
        <v>78.951999999999998</v>
      </c>
      <c r="S2028" s="78">
        <v>46388</v>
      </c>
      <c r="T2028" s="1"/>
      <c r="V2028" s="1"/>
      <c r="X2028" s="101">
        <v>2</v>
      </c>
    </row>
    <row r="2029" spans="1:24" hidden="1">
      <c r="A2029">
        <v>430</v>
      </c>
      <c r="B2029" s="2">
        <v>46230.6415277778</v>
      </c>
      <c r="C2029" s="2">
        <v>46230.642187500001</v>
      </c>
      <c r="D2029" s="1" t="s">
        <v>24</v>
      </c>
      <c r="E2029" s="1"/>
      <c r="F2029" s="29">
        <v>46230</v>
      </c>
      <c r="G2029" s="29">
        <v>46230</v>
      </c>
      <c r="H2029" s="1" t="s">
        <v>1629</v>
      </c>
      <c r="I2029" s="1" t="s">
        <v>4751</v>
      </c>
      <c r="J2029" s="207">
        <v>62756004313</v>
      </c>
      <c r="K2029" s="171" t="s">
        <v>4135</v>
      </c>
      <c r="L2029" s="62">
        <v>2</v>
      </c>
      <c r="M2029" s="30">
        <v>2214080406</v>
      </c>
      <c r="N2029" s="172" t="s">
        <v>37</v>
      </c>
      <c r="O2029" s="43">
        <v>9760.32</v>
      </c>
      <c r="P2029" s="97">
        <v>2927.76</v>
      </c>
      <c r="Q2029" s="42">
        <f>OfficeForms.Table[[#This Row],[ INFORMEDEPAGO ]]*0.3</f>
        <v>2928.096</v>
      </c>
      <c r="R2029" s="12">
        <f>(IF(O2029&lt;4172.98,0,MIN(O2029*0.3,O2029-4172.98)))-P2029</f>
        <v>0.33599999999978536</v>
      </c>
      <c r="S2029" s="78">
        <v>46569</v>
      </c>
      <c r="T2029" s="1"/>
      <c r="V2029" s="1"/>
      <c r="X2029" s="101">
        <v>2</v>
      </c>
    </row>
    <row r="2030" spans="1:24" hidden="1">
      <c r="A2030">
        <v>431</v>
      </c>
      <c r="B2030" s="2">
        <v>46230.643402777801</v>
      </c>
      <c r="C2030" s="2">
        <v>46230.643981481502</v>
      </c>
      <c r="D2030" s="1" t="s">
        <v>24</v>
      </c>
      <c r="E2030" s="1"/>
      <c r="F2030" s="29">
        <v>46230</v>
      </c>
      <c r="G2030" s="29">
        <v>46230</v>
      </c>
      <c r="H2030" s="1" t="s">
        <v>3575</v>
      </c>
      <c r="I2030" s="1" t="s">
        <v>4752</v>
      </c>
      <c r="J2030" s="207"/>
      <c r="K2030" s="171" t="s">
        <v>4753</v>
      </c>
      <c r="L2030" s="62">
        <v>23148324</v>
      </c>
      <c r="M2030" s="30">
        <v>5215642722798</v>
      </c>
      <c r="N2030" s="172" t="s">
        <v>37</v>
      </c>
      <c r="O2030" s="43">
        <v>9760.32</v>
      </c>
      <c r="P2030" s="97">
        <v>2823.26</v>
      </c>
      <c r="Q2030" s="42">
        <f>OfficeForms.Table[[#This Row],[ INFORMEDEPAGO ]]*0.3</f>
        <v>2928.096</v>
      </c>
      <c r="R2030" s="12">
        <f>(IF(O2030&lt;4172.98,0,MIN(O2030*0.3,O2030-4172.98)))-P2030</f>
        <v>104.83599999999979</v>
      </c>
      <c r="S2030" s="78">
        <v>46722</v>
      </c>
      <c r="T2030" s="1"/>
      <c r="V2030" s="1"/>
      <c r="X2030" s="101">
        <v>2</v>
      </c>
    </row>
    <row r="2031" spans="1:24" hidden="1">
      <c r="A2031">
        <v>432</v>
      </c>
      <c r="B2031" s="2">
        <v>46230.642523148097</v>
      </c>
      <c r="C2031" s="2">
        <v>46230.645636574103</v>
      </c>
      <c r="D2031" s="1" t="s">
        <v>24</v>
      </c>
      <c r="E2031" s="1"/>
      <c r="F2031" s="29">
        <v>46230</v>
      </c>
      <c r="G2031" s="29">
        <v>46230</v>
      </c>
      <c r="H2031" s="1" t="s">
        <v>1629</v>
      </c>
      <c r="I2031" s="1" t="s">
        <v>4754</v>
      </c>
      <c r="J2031" s="207" t="s">
        <v>4755</v>
      </c>
      <c r="K2031" s="171" t="s">
        <v>4756</v>
      </c>
      <c r="L2031" s="62">
        <v>2</v>
      </c>
      <c r="M2031" s="30">
        <v>5552989235</v>
      </c>
      <c r="N2031" s="172" t="s">
        <v>106</v>
      </c>
      <c r="O2031" s="43">
        <v>9081.52</v>
      </c>
      <c r="P2031" s="97">
        <v>2518.66</v>
      </c>
      <c r="Q2031" s="42">
        <f>OfficeForms.Table[[#This Row],[ INFORMEDEPAGO ]]*0.3</f>
        <v>2724.4560000000001</v>
      </c>
      <c r="R2031" s="12">
        <f>(IF(O2031&lt;4172.98,0,MIN(O2031*0.3,O2031-4172.98)))-P2031</f>
        <v>205.79600000000028</v>
      </c>
      <c r="S2031" s="78">
        <v>46143</v>
      </c>
      <c r="T2031" s="1"/>
      <c r="V2031" s="1"/>
      <c r="X2031" s="101">
        <v>2</v>
      </c>
    </row>
    <row r="2032" spans="1:24" hidden="1">
      <c r="A2032">
        <v>433</v>
      </c>
      <c r="B2032" s="2">
        <v>46230.638078703698</v>
      </c>
      <c r="C2032" s="2">
        <v>46230.646886574097</v>
      </c>
      <c r="D2032" s="1" t="s">
        <v>24</v>
      </c>
      <c r="E2032" s="1"/>
      <c r="F2032" s="29">
        <v>46230</v>
      </c>
      <c r="G2032" s="29">
        <v>46230</v>
      </c>
      <c r="H2032" s="1" t="s">
        <v>160</v>
      </c>
      <c r="I2032" s="1" t="s">
        <v>4757</v>
      </c>
      <c r="J2032" s="207">
        <v>31937734486</v>
      </c>
      <c r="K2032" s="171" t="s">
        <v>4758</v>
      </c>
      <c r="L2032" s="62">
        <v>23145910</v>
      </c>
      <c r="M2032" s="30">
        <v>5218722770516</v>
      </c>
      <c r="N2032" s="172" t="s">
        <v>37</v>
      </c>
      <c r="O2032" s="50">
        <v>6136.16</v>
      </c>
      <c r="P2032" s="97" t="s">
        <v>4759</v>
      </c>
      <c r="Q2032" s="42">
        <f>OfficeForms.Table[[#This Row],[ INFORMEDEPAGO ]]*0.3</f>
        <v>1840.848</v>
      </c>
      <c r="R2032" s="12">
        <f>(IF(O2032&lt;4172.98,0,MIN(O2032*0.3,O2032-4172.98)))-P2032</f>
        <v>2.4379999999998745</v>
      </c>
      <c r="S2032" s="78">
        <v>46935</v>
      </c>
      <c r="T2032" s="1"/>
      <c r="V2032" s="1"/>
      <c r="X2032" s="101">
        <v>2</v>
      </c>
    </row>
    <row r="2033" spans="1:24" hidden="1">
      <c r="A2033">
        <v>434</v>
      </c>
      <c r="B2033" s="2">
        <v>46230.638344907398</v>
      </c>
      <c r="C2033" s="2">
        <v>46230.653055555602</v>
      </c>
      <c r="D2033" s="1" t="s">
        <v>24</v>
      </c>
      <c r="E2033" s="1"/>
      <c r="F2033" s="29">
        <v>46230</v>
      </c>
      <c r="G2033" s="29">
        <v>46230</v>
      </c>
      <c r="H2033" s="1" t="s">
        <v>1625</v>
      </c>
      <c r="I2033" s="1" t="s">
        <v>4760</v>
      </c>
      <c r="J2033" s="207">
        <v>24856891007</v>
      </c>
      <c r="K2033" s="171" t="s">
        <v>4761</v>
      </c>
      <c r="L2033" s="62">
        <v>2</v>
      </c>
      <c r="M2033" s="30">
        <v>6711060845</v>
      </c>
      <c r="N2033" s="172" t="s">
        <v>37</v>
      </c>
      <c r="O2033" s="50">
        <v>4332.32</v>
      </c>
      <c r="P2033" s="97" t="s">
        <v>4762</v>
      </c>
      <c r="Q2033" s="42">
        <f>OfficeForms.Table[[#This Row],[ INFORMEDEPAGO ]]*0.3</f>
        <v>1299.6959999999999</v>
      </c>
      <c r="R2033" s="12">
        <f>(IF(O2033&lt;4172.98,0,MIN(O2033*0.3,O2033-4172.98)))-P2033</f>
        <v>-411.13999999999987</v>
      </c>
      <c r="S2033" s="78">
        <v>46844</v>
      </c>
      <c r="T2033" s="1"/>
      <c r="V2033" s="1"/>
      <c r="X2033" s="101">
        <v>2</v>
      </c>
    </row>
    <row r="2034" spans="1:24" hidden="1">
      <c r="A2034">
        <v>435</v>
      </c>
      <c r="B2034" s="2">
        <v>46230.565520833297</v>
      </c>
      <c r="C2034" s="2">
        <v>46230.653622685197</v>
      </c>
      <c r="D2034" s="1" t="s">
        <v>24</v>
      </c>
      <c r="E2034" s="1"/>
      <c r="F2034" s="29">
        <v>46230</v>
      </c>
      <c r="G2034" s="29">
        <v>46229</v>
      </c>
      <c r="H2034" s="1" t="s">
        <v>3352</v>
      </c>
      <c r="I2034" s="1" t="s">
        <v>4548</v>
      </c>
      <c r="J2034" s="207">
        <v>65684213518</v>
      </c>
      <c r="K2034" s="171" t="s">
        <v>4549</v>
      </c>
      <c r="L2034" s="62">
        <v>23122648</v>
      </c>
      <c r="M2034" s="30">
        <v>9141090525</v>
      </c>
      <c r="N2034" s="172" t="s">
        <v>106</v>
      </c>
      <c r="O2034" s="52">
        <v>10640.23</v>
      </c>
      <c r="P2034" s="99">
        <v>2540.4499999999998</v>
      </c>
      <c r="Q2034" s="42">
        <f>OfficeForms.Table[[#This Row],[ INFORMEDEPAGO ]]*0.3</f>
        <v>3192.069</v>
      </c>
      <c r="R2034" s="12">
        <f>(IF(O2034&lt;4172.98,0,MIN(O2034*0.3,O2034-4172.98)))-P2034</f>
        <v>651.61900000000014</v>
      </c>
      <c r="S2034" s="78">
        <v>44256</v>
      </c>
      <c r="T2034" s="1"/>
      <c r="V2034" s="1"/>
      <c r="X2034" s="101">
        <v>2</v>
      </c>
    </row>
    <row r="2035" spans="1:24" hidden="1">
      <c r="A2035">
        <v>436</v>
      </c>
      <c r="B2035" s="2">
        <v>46230.615671296298</v>
      </c>
      <c r="C2035" s="2">
        <v>46230.655740740702</v>
      </c>
      <c r="D2035" s="1" t="s">
        <v>24</v>
      </c>
      <c r="E2035" s="1"/>
      <c r="F2035" s="29">
        <v>46230</v>
      </c>
      <c r="G2035" s="29">
        <v>46230</v>
      </c>
      <c r="H2035" s="1" t="s">
        <v>51</v>
      </c>
      <c r="I2035" s="1" t="s">
        <v>4763</v>
      </c>
      <c r="J2035" s="207">
        <v>53755825105</v>
      </c>
      <c r="K2035" s="171" t="s">
        <v>4764</v>
      </c>
      <c r="L2035" s="62">
        <v>23146286</v>
      </c>
      <c r="M2035" s="30">
        <v>5214438430021</v>
      </c>
      <c r="N2035" s="172" t="s">
        <v>28</v>
      </c>
      <c r="O2035" s="50">
        <v>6262.86</v>
      </c>
      <c r="P2035" s="97"/>
      <c r="Q2035" s="42">
        <f>OfficeForms.Table[[#This Row],[ INFORMEDEPAGO ]]*0.3</f>
        <v>1878.8579999999997</v>
      </c>
      <c r="R2035" s="12">
        <f>(IF(O2035&lt;4172.98,0,MIN(O2035*0.3,O2035-4172.98)))-P2035</f>
        <v>1878.8579999999997</v>
      </c>
      <c r="S2035" s="78"/>
      <c r="T2035" s="1"/>
      <c r="V2035" s="1"/>
      <c r="X2035" s="101">
        <v>1</v>
      </c>
    </row>
    <row r="2036" spans="1:24" hidden="1">
      <c r="A2036">
        <v>437</v>
      </c>
      <c r="B2036" s="2">
        <v>46230.623032407399</v>
      </c>
      <c r="C2036" s="2">
        <v>46230.658472222203</v>
      </c>
      <c r="D2036" s="1" t="s">
        <v>24</v>
      </c>
      <c r="E2036" s="1"/>
      <c r="F2036" s="29">
        <v>46230</v>
      </c>
      <c r="G2036" s="29">
        <v>46230</v>
      </c>
      <c r="H2036" s="1" t="s">
        <v>68</v>
      </c>
      <c r="I2036" s="1" t="s">
        <v>4765</v>
      </c>
      <c r="J2036" s="207">
        <v>41825305992</v>
      </c>
      <c r="K2036" s="171" t="s">
        <v>4766</v>
      </c>
      <c r="L2036" s="62">
        <v>23145650</v>
      </c>
      <c r="M2036" s="30">
        <v>5214811315813</v>
      </c>
      <c r="N2036" s="172" t="s">
        <v>37</v>
      </c>
      <c r="O2036" s="52">
        <v>9895.2199999999993</v>
      </c>
      <c r="P2036" s="99">
        <v>2860.86</v>
      </c>
      <c r="Q2036" s="42">
        <f>OfficeForms.Table[[#This Row],[ INFORMEDEPAGO ]]*0.3</f>
        <v>2968.5659999999998</v>
      </c>
      <c r="R2036" s="12">
        <f>(IF(O2036&lt;4172.98,0,MIN(O2036*0.3,O2036-4172.98)))-P2036</f>
        <v>107.70599999999968</v>
      </c>
      <c r="S2036" s="78">
        <v>46692</v>
      </c>
      <c r="T2036" s="1" t="s">
        <v>84</v>
      </c>
      <c r="V2036" s="1"/>
      <c r="X2036" s="101">
        <v>2</v>
      </c>
    </row>
    <row r="2037" spans="1:24" hidden="1">
      <c r="A2037">
        <v>438</v>
      </c>
      <c r="B2037" s="2">
        <v>46230.644803240699</v>
      </c>
      <c r="C2037" s="2">
        <v>46230.658518518503</v>
      </c>
      <c r="D2037" s="1" t="s">
        <v>24</v>
      </c>
      <c r="E2037" s="1"/>
      <c r="F2037" s="29">
        <v>46230</v>
      </c>
      <c r="G2037" s="29">
        <v>46230</v>
      </c>
      <c r="H2037" s="1" t="s">
        <v>68</v>
      </c>
      <c r="I2037" s="1" t="s">
        <v>4767</v>
      </c>
      <c r="J2037" s="207">
        <v>23826401145</v>
      </c>
      <c r="K2037" s="171" t="s">
        <v>4768</v>
      </c>
      <c r="L2037" s="62">
        <v>23144232</v>
      </c>
      <c r="M2037" s="30">
        <v>5219531038207</v>
      </c>
      <c r="N2037" s="172" t="s">
        <v>37</v>
      </c>
      <c r="O2037" s="52">
        <v>5636.59</v>
      </c>
      <c r="P2037" s="99">
        <v>1684.48</v>
      </c>
      <c r="Q2037" s="42">
        <f>OfficeForms.Table[[#This Row],[ INFORMEDEPAGO ]]*0.3</f>
        <v>1690.9770000000001</v>
      </c>
      <c r="R2037" s="12">
        <f>(IF(O2037&lt;4172.98,0,MIN(O2037*0.3,O2037-4172.98)))-P2037</f>
        <v>-220.86999999999944</v>
      </c>
      <c r="S2037" s="78">
        <v>46905</v>
      </c>
      <c r="T2037" s="1" t="s">
        <v>259</v>
      </c>
      <c r="V2037" s="1"/>
      <c r="X2037" s="101">
        <v>2</v>
      </c>
    </row>
    <row r="2038" spans="1:24" hidden="1">
      <c r="A2038">
        <v>439</v>
      </c>
      <c r="B2038" s="2">
        <v>46230.613020833298</v>
      </c>
      <c r="C2038" s="2">
        <v>46230.665023148104</v>
      </c>
      <c r="D2038" s="1" t="s">
        <v>24</v>
      </c>
      <c r="E2038" s="1"/>
      <c r="F2038" s="29">
        <v>46230</v>
      </c>
      <c r="G2038" s="29">
        <v>46230</v>
      </c>
      <c r="H2038" s="1" t="s">
        <v>81</v>
      </c>
      <c r="I2038" s="1" t="s">
        <v>4769</v>
      </c>
      <c r="J2038" s="207"/>
      <c r="K2038" s="171" t="s">
        <v>4770</v>
      </c>
      <c r="L2038" s="62">
        <v>23145526</v>
      </c>
      <c r="M2038" s="30">
        <v>5216693124552</v>
      </c>
      <c r="N2038" s="172" t="s">
        <v>32</v>
      </c>
      <c r="O2038" s="52">
        <v>3473.36</v>
      </c>
      <c r="P2038" s="99">
        <v>848</v>
      </c>
      <c r="Q2038" s="42">
        <f>OfficeForms.Table[[#This Row],[ INFORMEDEPAGO ]]*0.3</f>
        <v>1042.008</v>
      </c>
      <c r="R2038" s="12">
        <f>(IF(O2038&lt;4172.98,0,MIN(O2038*0.3,O2038-4172.98)))-P2038</f>
        <v>-848</v>
      </c>
      <c r="S2038" s="78"/>
      <c r="T2038" s="1"/>
      <c r="V2038" s="1"/>
      <c r="X2038" s="101">
        <v>1</v>
      </c>
    </row>
    <row r="2039" spans="1:24" hidden="1">
      <c r="A2039">
        <v>440</v>
      </c>
      <c r="B2039" s="2">
        <v>46230.665439814802</v>
      </c>
      <c r="C2039" s="2">
        <v>46230.668310185203</v>
      </c>
      <c r="D2039" s="1" t="s">
        <v>24</v>
      </c>
      <c r="E2039" s="1"/>
      <c r="F2039" s="29">
        <v>46230</v>
      </c>
      <c r="G2039" s="29">
        <v>46230</v>
      </c>
      <c r="H2039" s="1" t="s">
        <v>81</v>
      </c>
      <c r="I2039" s="1" t="s">
        <v>4771</v>
      </c>
      <c r="J2039" s="207">
        <v>32806322841</v>
      </c>
      <c r="K2039" s="171"/>
      <c r="L2039" s="62">
        <v>23143752</v>
      </c>
      <c r="M2039" s="30">
        <v>5218662531251</v>
      </c>
      <c r="N2039" s="172" t="s">
        <v>130</v>
      </c>
      <c r="O2039" s="52">
        <v>22238.35</v>
      </c>
      <c r="P2039" s="99">
        <v>6671.01</v>
      </c>
      <c r="Q2039" s="42">
        <f>OfficeForms.Table[[#This Row],[ INFORMEDEPAGO ]]*0.3</f>
        <v>6671.5049999999992</v>
      </c>
      <c r="R2039" s="12">
        <f>(IF(O2039&lt;4172.98,0,MIN(O2039*0.3,O2039-4172.98)))-P2039</f>
        <v>0.49499999999898137</v>
      </c>
      <c r="S2039" s="78">
        <v>46204</v>
      </c>
      <c r="T2039" s="1"/>
      <c r="V2039" s="1"/>
      <c r="X2039" s="101">
        <v>2</v>
      </c>
    </row>
    <row r="2040" spans="1:24" hidden="1">
      <c r="A2040">
        <v>441</v>
      </c>
      <c r="B2040" s="2">
        <v>46230.669849537</v>
      </c>
      <c r="C2040" s="2">
        <v>46230.671030092599</v>
      </c>
      <c r="D2040" s="1" t="s">
        <v>24</v>
      </c>
      <c r="E2040" s="1"/>
      <c r="F2040" s="29">
        <v>46230</v>
      </c>
      <c r="G2040" s="29">
        <v>46230</v>
      </c>
      <c r="H2040" s="1" t="s">
        <v>3575</v>
      </c>
      <c r="I2040" s="1" t="s">
        <v>4772</v>
      </c>
      <c r="J2040" s="207"/>
      <c r="K2040" s="171" t="s">
        <v>4773</v>
      </c>
      <c r="L2040" s="62">
        <v>23147204</v>
      </c>
      <c r="M2040" s="30">
        <v>5218661559894</v>
      </c>
      <c r="N2040" s="172" t="s">
        <v>37</v>
      </c>
      <c r="O2040" s="52">
        <v>6411.47</v>
      </c>
      <c r="P2040" s="99">
        <v>1920.02</v>
      </c>
      <c r="Q2040" s="42">
        <f>OfficeForms.Table[[#This Row],[ INFORMEDEPAGO ]]*0.3</f>
        <v>1923.441</v>
      </c>
      <c r="R2040" s="12">
        <f>(IF(O2040&lt;4172.98,0,MIN(O2040*0.3,O2040-4172.98)))-P2040</f>
        <v>3.4210000000000491</v>
      </c>
      <c r="S2040" s="78">
        <v>46813</v>
      </c>
      <c r="T2040" s="1"/>
      <c r="V2040" s="1"/>
      <c r="X2040" s="101">
        <v>2</v>
      </c>
    </row>
    <row r="2041" spans="1:24" hidden="1">
      <c r="A2041">
        <v>442</v>
      </c>
      <c r="B2041" s="2">
        <v>46230.653784722199</v>
      </c>
      <c r="C2041" s="2">
        <v>46230.671342592599</v>
      </c>
      <c r="D2041" s="1" t="s">
        <v>24</v>
      </c>
      <c r="E2041" s="1"/>
      <c r="F2041" s="29">
        <v>46230</v>
      </c>
      <c r="G2041" s="29">
        <v>46230</v>
      </c>
      <c r="H2041" s="1" t="s">
        <v>51</v>
      </c>
      <c r="I2041" s="1" t="s">
        <v>4774</v>
      </c>
      <c r="J2041" s="207">
        <v>90906512018</v>
      </c>
      <c r="K2041" s="171" t="s">
        <v>4775</v>
      </c>
      <c r="L2041" s="62">
        <v>23145490</v>
      </c>
      <c r="M2041" s="30">
        <v>5215587794476</v>
      </c>
      <c r="N2041" s="172" t="s">
        <v>37</v>
      </c>
      <c r="O2041" s="52">
        <v>9760.32</v>
      </c>
      <c r="P2041" s="99">
        <v>2926.65</v>
      </c>
      <c r="Q2041" s="42">
        <f>OfficeForms.Table[[#This Row],[ INFORMEDEPAGO ]]*0.3</f>
        <v>2928.096</v>
      </c>
      <c r="R2041" s="12">
        <f>(IF(O2041&lt;4172.98,0,MIN(O2041*0.3,O2041-4172.98)))-P2041</f>
        <v>1.4459999999999127</v>
      </c>
      <c r="S2041" s="78">
        <v>46784</v>
      </c>
      <c r="T2041" s="1"/>
      <c r="V2041" s="1"/>
      <c r="X2041" s="101">
        <v>2</v>
      </c>
    </row>
    <row r="2042" spans="1:24" hidden="1">
      <c r="A2042">
        <v>443</v>
      </c>
      <c r="B2042" s="2">
        <v>46230.6710648148</v>
      </c>
      <c r="C2042" s="2">
        <v>46230.672627314802</v>
      </c>
      <c r="D2042" s="1" t="s">
        <v>24</v>
      </c>
      <c r="E2042" s="1"/>
      <c r="F2042" s="29">
        <v>46230</v>
      </c>
      <c r="G2042" s="29">
        <v>46223</v>
      </c>
      <c r="H2042" s="1" t="s">
        <v>71</v>
      </c>
      <c r="I2042" s="1" t="s">
        <v>4776</v>
      </c>
      <c r="J2042" s="207"/>
      <c r="K2042" s="171" t="s">
        <v>4777</v>
      </c>
      <c r="L2042" s="62">
        <v>22840062</v>
      </c>
      <c r="M2042" s="30">
        <v>5215574094701</v>
      </c>
      <c r="N2042" s="172" t="s">
        <v>28</v>
      </c>
      <c r="O2042" s="50">
        <v>8539.89</v>
      </c>
      <c r="P2042" s="97"/>
      <c r="Q2042" s="42">
        <f>OfficeForms.Table[[#This Row],[ INFORMEDEPAGO ]]*0.3</f>
        <v>2561.9669999999996</v>
      </c>
      <c r="R2042" s="12">
        <f>(IF(O2042&lt;4172.98,0,MIN(O2042*0.3,O2042-4172.98)))-P2042</f>
        <v>2561.9669999999996</v>
      </c>
      <c r="S2042" s="78"/>
      <c r="T2042" s="1"/>
      <c r="V2042" s="1"/>
      <c r="X2042" s="101">
        <v>1</v>
      </c>
    </row>
    <row r="2043" spans="1:24" hidden="1">
      <c r="A2043">
        <v>444</v>
      </c>
      <c r="B2043" s="2">
        <v>46230.653645833299</v>
      </c>
      <c r="C2043" s="2">
        <v>46230.673831018503</v>
      </c>
      <c r="D2043" s="1" t="s">
        <v>24</v>
      </c>
      <c r="E2043" s="1"/>
      <c r="F2043" s="29">
        <v>46230</v>
      </c>
      <c r="G2043" s="29">
        <v>46227</v>
      </c>
      <c r="H2043" s="1" t="s">
        <v>3352</v>
      </c>
      <c r="I2043" s="1" t="s">
        <v>4778</v>
      </c>
      <c r="J2043" s="207"/>
      <c r="K2043" s="171" t="s">
        <v>4779</v>
      </c>
      <c r="L2043" s="62">
        <v>23051568</v>
      </c>
      <c r="M2043" s="30">
        <v>8184583932</v>
      </c>
      <c r="N2043" s="172" t="s">
        <v>106</v>
      </c>
      <c r="O2043" s="43">
        <v>91170.94</v>
      </c>
      <c r="P2043" s="97">
        <v>14416.49</v>
      </c>
      <c r="Q2043" s="42">
        <f>OfficeForms.Table[[#This Row],[ INFORMEDEPAGO ]]*0.3</f>
        <v>27351.281999999999</v>
      </c>
      <c r="R2043" s="12">
        <f>(IF(O2043&lt;4172.98,0,MIN(O2043*0.3,O2043-4172.98)))-P2043</f>
        <v>12934.791999999999</v>
      </c>
      <c r="S2043" s="78">
        <v>45870</v>
      </c>
      <c r="T2043" s="1"/>
      <c r="V2043" s="1"/>
      <c r="X2043" s="101">
        <v>2</v>
      </c>
    </row>
    <row r="2044" spans="1:24" hidden="1">
      <c r="A2044">
        <v>445</v>
      </c>
      <c r="B2044" s="2">
        <v>46230.672986111102</v>
      </c>
      <c r="C2044" s="2">
        <v>46230.679791666698</v>
      </c>
      <c r="D2044" s="1" t="s">
        <v>24</v>
      </c>
      <c r="E2044" s="1"/>
      <c r="F2044" s="29">
        <v>46230</v>
      </c>
      <c r="G2044" s="29">
        <v>46230</v>
      </c>
      <c r="H2044" s="1" t="s">
        <v>1629</v>
      </c>
      <c r="I2044" s="1" t="s">
        <v>4780</v>
      </c>
      <c r="J2044" s="207">
        <v>14806315793</v>
      </c>
      <c r="K2044" s="171" t="s">
        <v>4781</v>
      </c>
      <c r="L2044" s="62">
        <v>2</v>
      </c>
      <c r="M2044" s="30">
        <v>4424312329</v>
      </c>
      <c r="N2044" s="172" t="s">
        <v>37</v>
      </c>
      <c r="O2044" s="52">
        <v>7920.51</v>
      </c>
      <c r="P2044" s="99">
        <v>2199.02</v>
      </c>
      <c r="Q2044" s="42">
        <f>OfficeForms.Table[[#This Row],[ INFORMEDEPAGO ]]*0.3</f>
        <v>2376.1529999999998</v>
      </c>
      <c r="R2044" s="12">
        <f>(IF(O2044&lt;4172.98,0,MIN(O2044*0.3,O2044-4172.98)))-P2044</f>
        <v>177.13299999999981</v>
      </c>
      <c r="S2044" s="78">
        <v>46388</v>
      </c>
      <c r="T2044" s="1"/>
      <c r="V2044" s="1"/>
      <c r="X2044" s="101">
        <v>2</v>
      </c>
    </row>
    <row r="2045" spans="1:24" hidden="1">
      <c r="A2045">
        <v>446</v>
      </c>
      <c r="B2045" s="2">
        <v>46230.682129629597</v>
      </c>
      <c r="C2045" s="2">
        <v>46230.682766203703</v>
      </c>
      <c r="D2045" s="1" t="s">
        <v>24</v>
      </c>
      <c r="E2045" s="1"/>
      <c r="F2045" s="29">
        <v>46230</v>
      </c>
      <c r="G2045" s="29">
        <v>46230</v>
      </c>
      <c r="H2045" s="1" t="s">
        <v>3452</v>
      </c>
      <c r="I2045" s="1" t="s">
        <v>4782</v>
      </c>
      <c r="J2045" s="207"/>
      <c r="K2045" s="171" t="s">
        <v>4783</v>
      </c>
      <c r="L2045" s="62">
        <v>23148706</v>
      </c>
      <c r="M2045" s="30">
        <v>6635130202</v>
      </c>
      <c r="N2045" s="172" t="s">
        <v>37</v>
      </c>
      <c r="O2045" s="52">
        <v>9760.32</v>
      </c>
      <c r="P2045" s="99">
        <v>2928.1</v>
      </c>
      <c r="Q2045" s="42">
        <f>OfficeForms.Table[[#This Row],[ INFORMEDEPAGO ]]*0.3</f>
        <v>2928.096</v>
      </c>
      <c r="R2045" s="12">
        <f>(IF(O2045&lt;4172.98,0,MIN(O2045*0.3,O2045-4172.98)))-P2045</f>
        <v>-3.9999999999054126E-3</v>
      </c>
      <c r="S2045" s="78">
        <v>46844</v>
      </c>
      <c r="T2045" s="1"/>
      <c r="V2045" s="1"/>
      <c r="X2045" s="101">
        <v>2</v>
      </c>
    </row>
    <row r="2046" spans="1:24" hidden="1">
      <c r="A2046">
        <v>447</v>
      </c>
      <c r="B2046" s="2">
        <v>46230.681192129603</v>
      </c>
      <c r="C2046" s="2">
        <v>46230.685312499998</v>
      </c>
      <c r="D2046" s="1" t="s">
        <v>24</v>
      </c>
      <c r="E2046" s="1"/>
      <c r="F2046" s="29">
        <v>46230</v>
      </c>
      <c r="G2046" s="29">
        <v>46229</v>
      </c>
      <c r="H2046" s="1" t="s">
        <v>78</v>
      </c>
      <c r="I2046" s="1" t="s">
        <v>4784</v>
      </c>
      <c r="J2046" s="207">
        <v>53745712025</v>
      </c>
      <c r="K2046" s="171" t="s">
        <v>4785</v>
      </c>
      <c r="L2046" s="62">
        <v>23123684</v>
      </c>
      <c r="M2046" s="30">
        <v>5214443754226</v>
      </c>
      <c r="N2046" s="172" t="s">
        <v>263</v>
      </c>
      <c r="O2046" s="43">
        <v>14634.74</v>
      </c>
      <c r="P2046" s="97">
        <v>4046.35</v>
      </c>
      <c r="Q2046" s="42">
        <f>OfficeForms.Table[[#This Row],[ INFORMEDEPAGO ]]*0.3</f>
        <v>4390.4219999999996</v>
      </c>
      <c r="R2046" s="12">
        <f>(IF(O2046&lt;4172.98,0,MIN(O2046*0.3,O2046-4172.98)))-P2046</f>
        <v>344.07199999999966</v>
      </c>
      <c r="S2046" s="78">
        <v>46143</v>
      </c>
      <c r="T2046" s="1"/>
      <c r="V2046" s="1"/>
      <c r="X2046" s="101">
        <v>2</v>
      </c>
    </row>
    <row r="2047" spans="1:24" hidden="1">
      <c r="A2047">
        <v>448</v>
      </c>
      <c r="B2047" s="2">
        <v>46230.689050925903</v>
      </c>
      <c r="C2047" s="2">
        <v>46230.689710648097</v>
      </c>
      <c r="D2047" s="1" t="s">
        <v>24</v>
      </c>
      <c r="E2047" s="1"/>
      <c r="F2047" s="29">
        <v>46230</v>
      </c>
      <c r="G2047" s="29">
        <v>46230</v>
      </c>
      <c r="H2047" s="1" t="s">
        <v>3452</v>
      </c>
      <c r="I2047" s="1" t="s">
        <v>4786</v>
      </c>
      <c r="J2047" s="207"/>
      <c r="K2047" s="171" t="s">
        <v>4787</v>
      </c>
      <c r="L2047" s="62">
        <v>23147314</v>
      </c>
      <c r="M2047" s="30">
        <v>3314337635</v>
      </c>
      <c r="N2047" s="172" t="s">
        <v>32</v>
      </c>
      <c r="O2047" s="50">
        <v>3106.01</v>
      </c>
      <c r="P2047" s="97"/>
      <c r="Q2047" s="42">
        <f>OfficeForms.Table[[#This Row],[ INFORMEDEPAGO ]]*0.3</f>
        <v>931.803</v>
      </c>
      <c r="R2047" s="12">
        <f>(IF(O2047&lt;4172.98,0,MIN(O2047*0.3,O2047-4172.98)))-P2047</f>
        <v>0</v>
      </c>
      <c r="S2047" s="78"/>
      <c r="T2047" s="1"/>
      <c r="V2047" s="1"/>
      <c r="X2047" s="101">
        <v>1</v>
      </c>
    </row>
    <row r="2048" spans="1:24" hidden="1">
      <c r="A2048">
        <v>449</v>
      </c>
      <c r="B2048" s="2">
        <v>46230.694039351903</v>
      </c>
      <c r="C2048" s="2">
        <v>46230.6949074074</v>
      </c>
      <c r="D2048" s="1" t="s">
        <v>24</v>
      </c>
      <c r="E2048" s="1"/>
      <c r="F2048" s="29">
        <v>46230</v>
      </c>
      <c r="G2048" s="29">
        <v>46230</v>
      </c>
      <c r="H2048" s="1" t="s">
        <v>107</v>
      </c>
      <c r="I2048" s="1" t="s">
        <v>4788</v>
      </c>
      <c r="J2048" s="207">
        <v>23796211722</v>
      </c>
      <c r="K2048" s="171"/>
      <c r="L2048" s="62">
        <v>23123074</v>
      </c>
      <c r="M2048" s="30">
        <v>5216691972850</v>
      </c>
      <c r="N2048" s="172" t="s">
        <v>263</v>
      </c>
      <c r="O2048" s="43">
        <v>21328.46</v>
      </c>
      <c r="P2048" s="97">
        <v>6398.05</v>
      </c>
      <c r="Q2048" s="42">
        <f>OfficeForms.Table[[#This Row],[ INFORMEDEPAGO ]]*0.3</f>
        <v>6398.5379999999996</v>
      </c>
      <c r="R2048" s="12">
        <f>(IF(O2048&lt;4172.98,0,MIN(O2048*0.3,O2048-4172.98)))-P2048</f>
        <v>0.48799999999937427</v>
      </c>
      <c r="S2048" s="78">
        <v>46023</v>
      </c>
      <c r="T2048" s="1"/>
      <c r="V2048" s="1"/>
      <c r="X2048" s="101">
        <v>2</v>
      </c>
    </row>
    <row r="2049" spans="1:24" hidden="1">
      <c r="A2049">
        <v>450</v>
      </c>
      <c r="B2049" s="2">
        <v>46230.695104166698</v>
      </c>
      <c r="C2049" s="2">
        <v>46230.695590277799</v>
      </c>
      <c r="D2049" s="1" t="s">
        <v>24</v>
      </c>
      <c r="E2049" s="1"/>
      <c r="F2049" s="29">
        <v>46230</v>
      </c>
      <c r="G2049" s="29">
        <v>46230</v>
      </c>
      <c r="H2049" s="1" t="s">
        <v>3452</v>
      </c>
      <c r="I2049" s="1" t="s">
        <v>4789</v>
      </c>
      <c r="J2049" s="207"/>
      <c r="K2049" s="171" t="s">
        <v>4790</v>
      </c>
      <c r="L2049" s="62">
        <v>23146382</v>
      </c>
      <c r="M2049" s="30">
        <v>4271238620</v>
      </c>
      <c r="N2049" s="172" t="s">
        <v>37</v>
      </c>
      <c r="O2049" s="52">
        <v>10262.11</v>
      </c>
      <c r="P2049" s="99">
        <v>2118.6799999999998</v>
      </c>
      <c r="Q2049" s="42">
        <f>OfficeForms.Table[[#This Row],[ INFORMEDEPAGO ]]*0.3</f>
        <v>3078.6330000000003</v>
      </c>
      <c r="R2049" s="12">
        <f>(IF(O2049&lt;4172.98,0,MIN(O2049*0.3,O2049-4172.98)))-P2049</f>
        <v>959.95300000000043</v>
      </c>
      <c r="S2049" s="78">
        <v>46722</v>
      </c>
      <c r="T2049" s="1"/>
      <c r="V2049" s="1"/>
      <c r="X2049" s="101">
        <v>2</v>
      </c>
    </row>
    <row r="2050" spans="1:24" hidden="1">
      <c r="A2050">
        <v>451</v>
      </c>
      <c r="B2050" s="2">
        <v>46230.698148148098</v>
      </c>
      <c r="C2050" s="2">
        <v>46230.701840277798</v>
      </c>
      <c r="D2050" s="1" t="s">
        <v>24</v>
      </c>
      <c r="E2050" s="1"/>
      <c r="F2050" s="29">
        <v>46230</v>
      </c>
      <c r="G2050" s="29">
        <v>46230</v>
      </c>
      <c r="H2050" s="1" t="s">
        <v>1519</v>
      </c>
      <c r="I2050" s="1" t="s">
        <v>4791</v>
      </c>
      <c r="J2050" s="207">
        <v>56977930165</v>
      </c>
      <c r="K2050" s="171" t="s">
        <v>4792</v>
      </c>
      <c r="L2050" s="62">
        <v>23128786</v>
      </c>
      <c r="M2050" s="30">
        <v>5213322410749</v>
      </c>
      <c r="N2050" s="172" t="s">
        <v>74</v>
      </c>
      <c r="O2050" s="50"/>
      <c r="P2050" s="97"/>
      <c r="Q2050" s="42">
        <f>OfficeForms.Table[[#This Row],[ INFORMEDEPAGO ]]*0.3</f>
        <v>0</v>
      </c>
      <c r="R2050" s="12">
        <f>(IF(O2050&lt;4172.98,0,MIN(O2050*0.3,O2050-4172.98)))-P2050</f>
        <v>0</v>
      </c>
      <c r="S2050" s="78"/>
      <c r="T2050" s="1"/>
      <c r="V2050" s="1"/>
      <c r="X2050" s="101">
        <v>1</v>
      </c>
    </row>
    <row r="2051" spans="1:24" hidden="1">
      <c r="A2051">
        <v>452</v>
      </c>
      <c r="B2051" s="2">
        <v>46230.623402777797</v>
      </c>
      <c r="C2051" s="2">
        <v>46230.7019097222</v>
      </c>
      <c r="D2051" s="1" t="s">
        <v>24</v>
      </c>
      <c r="E2051" s="1"/>
      <c r="F2051" s="29">
        <v>46230</v>
      </c>
      <c r="G2051" s="29">
        <v>46230</v>
      </c>
      <c r="H2051" s="1" t="s">
        <v>68</v>
      </c>
      <c r="I2051" s="1" t="s">
        <v>4793</v>
      </c>
      <c r="J2051" s="207"/>
      <c r="K2051" s="171" t="s">
        <v>4794</v>
      </c>
      <c r="L2051" s="62">
        <v>23132310</v>
      </c>
      <c r="M2051" s="30">
        <v>5216621936298</v>
      </c>
      <c r="N2051" s="172" t="s">
        <v>37</v>
      </c>
      <c r="O2051" s="52">
        <v>11029.02</v>
      </c>
      <c r="P2051" s="99">
        <v>3308.46</v>
      </c>
      <c r="Q2051" s="42">
        <f>OfficeForms.Table[[#This Row],[ INFORMEDEPAGO ]]*0.3</f>
        <v>3308.7060000000001</v>
      </c>
      <c r="R2051" s="12">
        <f>(IF(O2051&lt;4172.98,0,MIN(O2051*0.3,O2051-4172.98)))-P2051</f>
        <v>0.24600000000009459</v>
      </c>
      <c r="S2051" s="78">
        <v>46874</v>
      </c>
      <c r="T2051" s="1"/>
      <c r="V2051" s="1"/>
      <c r="X2051" s="101">
        <v>2</v>
      </c>
    </row>
    <row r="2052" spans="1:24" hidden="1">
      <c r="A2052">
        <v>453</v>
      </c>
      <c r="B2052" s="2">
        <v>46230.702824074098</v>
      </c>
      <c r="C2052" s="2">
        <v>46230.703402777799</v>
      </c>
      <c r="D2052" s="1" t="s">
        <v>24</v>
      </c>
      <c r="E2052" s="1"/>
      <c r="F2052" s="29">
        <v>46230</v>
      </c>
      <c r="G2052" s="29">
        <v>46230</v>
      </c>
      <c r="H2052" s="1" t="s">
        <v>3022</v>
      </c>
      <c r="I2052" s="1" t="s">
        <v>4795</v>
      </c>
      <c r="J2052" s="207"/>
      <c r="K2052" s="171" t="s">
        <v>4796</v>
      </c>
      <c r="L2052" s="62">
        <v>23151080</v>
      </c>
      <c r="M2052" s="30">
        <v>7293100398</v>
      </c>
      <c r="N2052" s="172" t="s">
        <v>37</v>
      </c>
      <c r="O2052" s="52">
        <v>62352.61</v>
      </c>
      <c r="P2052" s="99">
        <v>18702.48</v>
      </c>
      <c r="Q2052" s="42">
        <f>OfficeForms.Table[[#This Row],[ INFORMEDEPAGO ]]*0.3</f>
        <v>18705.782999999999</v>
      </c>
      <c r="R2052" s="12">
        <f>(IF(O2052&lt;4172.98,0,MIN(O2052*0.3,O2052-4172.98)))-P2052</f>
        <v>3.3029999999998836</v>
      </c>
      <c r="S2052" s="78">
        <v>46419</v>
      </c>
      <c r="T2052" s="1" t="s">
        <v>84</v>
      </c>
      <c r="V2052" s="1"/>
      <c r="X2052" s="101">
        <v>2</v>
      </c>
    </row>
    <row r="2053" spans="1:24" hidden="1">
      <c r="A2053">
        <v>455</v>
      </c>
      <c r="B2053" s="2">
        <v>46230.655763888899</v>
      </c>
      <c r="C2053" s="2">
        <v>46230.716412037</v>
      </c>
      <c r="D2053" s="1" t="s">
        <v>24</v>
      </c>
      <c r="E2053" s="1"/>
      <c r="F2053" s="29">
        <v>46230</v>
      </c>
      <c r="G2053" s="29">
        <v>46230</v>
      </c>
      <c r="H2053" s="1" t="s">
        <v>51</v>
      </c>
      <c r="I2053" s="1" t="s">
        <v>4797</v>
      </c>
      <c r="J2053" s="207">
        <v>43775949928</v>
      </c>
      <c r="K2053" s="171" t="s">
        <v>4798</v>
      </c>
      <c r="L2053" s="62">
        <v>23139420</v>
      </c>
      <c r="M2053" s="30">
        <v>5218180120560</v>
      </c>
      <c r="N2053" s="172" t="s">
        <v>28</v>
      </c>
      <c r="O2053" s="52">
        <v>13374.35</v>
      </c>
      <c r="P2053" s="99">
        <v>608.92999999999995</v>
      </c>
      <c r="Q2053" s="42">
        <f>OfficeForms.Table[[#This Row],[ INFORMEDEPAGO ]]*0.3</f>
        <v>4012.3049999999998</v>
      </c>
      <c r="R2053" s="12">
        <f>(IF(O2053&lt;4172.98,0,MIN(O2053*0.3,O2053-4172.98)))-P2053</f>
        <v>3403.375</v>
      </c>
      <c r="S2053" s="78">
        <v>46327</v>
      </c>
      <c r="T2053" s="1"/>
      <c r="V2053" s="1"/>
      <c r="X2053" s="101">
        <v>2</v>
      </c>
    </row>
    <row r="2054" spans="1:24" hidden="1">
      <c r="A2054">
        <v>456</v>
      </c>
      <c r="B2054" s="2">
        <v>46230.701967592599</v>
      </c>
      <c r="C2054" s="2">
        <v>46230.7176736111</v>
      </c>
      <c r="D2054" s="1" t="s">
        <v>24</v>
      </c>
      <c r="E2054" s="1"/>
      <c r="F2054" s="29">
        <v>46230</v>
      </c>
      <c r="G2054" s="29">
        <v>46230</v>
      </c>
      <c r="H2054" s="1" t="s">
        <v>160</v>
      </c>
      <c r="I2054" s="1" t="s">
        <v>4799</v>
      </c>
      <c r="J2054" s="207">
        <v>52978000306</v>
      </c>
      <c r="K2054" s="171" t="s">
        <v>4800</v>
      </c>
      <c r="L2054" s="62">
        <v>23136814</v>
      </c>
      <c r="M2054" s="30">
        <v>5213121170106</v>
      </c>
      <c r="N2054" s="172" t="s">
        <v>37</v>
      </c>
      <c r="O2054" s="52">
        <v>5963.65</v>
      </c>
      <c r="P2054" s="99">
        <v>1725.46</v>
      </c>
      <c r="Q2054" s="42">
        <f>OfficeForms.Table[[#This Row],[ INFORMEDEPAGO ]]*0.3</f>
        <v>1789.0949999999998</v>
      </c>
      <c r="R2054" s="12">
        <f>(IF(O2054&lt;4172.98,0,MIN(O2054*0.3,O2054-4172.98)))-P2054</f>
        <v>63.634999999999764</v>
      </c>
      <c r="S2054" s="78">
        <v>46966</v>
      </c>
      <c r="T2054" s="1"/>
      <c r="V2054" s="1"/>
      <c r="X2054" s="101">
        <v>2</v>
      </c>
    </row>
    <row r="2055" spans="1:24" hidden="1">
      <c r="A2055">
        <v>457</v>
      </c>
      <c r="B2055" s="2">
        <v>46230.717928240701</v>
      </c>
      <c r="C2055" s="2">
        <v>46230.718541666698</v>
      </c>
      <c r="D2055" s="1" t="s">
        <v>24</v>
      </c>
      <c r="E2055" s="1"/>
      <c r="F2055" s="29">
        <v>46230</v>
      </c>
      <c r="G2055" s="29">
        <v>46230</v>
      </c>
      <c r="H2055" s="1" t="s">
        <v>3575</v>
      </c>
      <c r="I2055" s="1" t="s">
        <v>4801</v>
      </c>
      <c r="J2055" s="207"/>
      <c r="K2055" s="171" t="s">
        <v>4802</v>
      </c>
      <c r="L2055" s="62">
        <v>23149528</v>
      </c>
      <c r="M2055" s="30">
        <v>5216673000878</v>
      </c>
      <c r="N2055" s="172" t="s">
        <v>47</v>
      </c>
      <c r="O2055" s="52">
        <v>9760.32</v>
      </c>
      <c r="P2055" s="99">
        <v>2475.87</v>
      </c>
      <c r="Q2055" s="42">
        <f>OfficeForms.Table[[#This Row],[ INFORMEDEPAGO ]]*0.3</f>
        <v>2928.096</v>
      </c>
      <c r="R2055" s="12">
        <f>(IF(O2055&lt;4172.98,0,MIN(O2055*0.3,O2055-4172.98)))-P2055</f>
        <v>452.22600000000011</v>
      </c>
      <c r="S2055" s="78">
        <v>46784</v>
      </c>
      <c r="T2055" s="1"/>
      <c r="V2055" s="1"/>
      <c r="X2055" s="101">
        <v>2</v>
      </c>
    </row>
    <row r="2056" spans="1:24" hidden="1">
      <c r="A2056">
        <v>458</v>
      </c>
      <c r="B2056" s="2">
        <v>46230.668333333299</v>
      </c>
      <c r="C2056" s="2">
        <v>46230.718599537002</v>
      </c>
      <c r="D2056" s="1" t="s">
        <v>24</v>
      </c>
      <c r="E2056" s="1"/>
      <c r="F2056" s="29">
        <v>46230</v>
      </c>
      <c r="G2056" s="29">
        <v>46229</v>
      </c>
      <c r="H2056" s="1" t="s">
        <v>81</v>
      </c>
      <c r="I2056" s="1" t="s">
        <v>4803</v>
      </c>
      <c r="J2056" s="207"/>
      <c r="K2056" s="171" t="s">
        <v>4804</v>
      </c>
      <c r="L2056" s="62">
        <v>23123976</v>
      </c>
      <c r="M2056" s="30">
        <v>5216141265506</v>
      </c>
      <c r="N2056" s="172" t="s">
        <v>32</v>
      </c>
      <c r="O2056" s="50">
        <v>3783.67</v>
      </c>
      <c r="P2056" s="97"/>
      <c r="Q2056" s="42">
        <f>OfficeForms.Table[[#This Row],[ INFORMEDEPAGO ]]*0.3</f>
        <v>1135.1009999999999</v>
      </c>
      <c r="R2056" s="12">
        <f>(IF(O2056&lt;4172.98,0,MIN(O2056*0.3,O2056-4172.98)))-P2056</f>
        <v>0</v>
      </c>
      <c r="S2056" s="78"/>
      <c r="T2056" s="1"/>
      <c r="V2056" s="1"/>
      <c r="X2056" s="101">
        <v>1</v>
      </c>
    </row>
    <row r="2057" spans="1:24" hidden="1">
      <c r="A2057">
        <v>459</v>
      </c>
      <c r="B2057" s="2">
        <v>46230.715983796297</v>
      </c>
      <c r="C2057" s="2">
        <v>46230.718726851803</v>
      </c>
      <c r="D2057" s="1" t="s">
        <v>24</v>
      </c>
      <c r="E2057" s="1"/>
      <c r="F2057" s="29">
        <v>46230</v>
      </c>
      <c r="G2057" s="29">
        <v>46230</v>
      </c>
      <c r="H2057" s="1" t="s">
        <v>1519</v>
      </c>
      <c r="I2057" s="1" t="s">
        <v>4805</v>
      </c>
      <c r="J2057" s="207"/>
      <c r="K2057" s="171" t="s">
        <v>4806</v>
      </c>
      <c r="L2057" s="62">
        <v>23129400</v>
      </c>
      <c r="M2057" s="30">
        <v>5213313185775</v>
      </c>
      <c r="N2057" s="172" t="s">
        <v>37</v>
      </c>
      <c r="O2057" s="52">
        <v>6411.47</v>
      </c>
      <c r="P2057" s="99">
        <v>1923.44</v>
      </c>
      <c r="Q2057" s="42">
        <f>OfficeForms.Table[[#This Row],[ INFORMEDEPAGO ]]*0.3</f>
        <v>1923.441</v>
      </c>
      <c r="R2057" s="12">
        <f>(IF(O2057&lt;4172.98,0,MIN(O2057*0.3,O2057-4172.98)))-P2057</f>
        <v>9.9999999997635314E-4</v>
      </c>
      <c r="S2057" s="78">
        <v>46692</v>
      </c>
      <c r="T2057" s="1"/>
      <c r="V2057" s="1"/>
      <c r="X2057" s="101">
        <v>2</v>
      </c>
    </row>
    <row r="2058" spans="1:24" hidden="1">
      <c r="A2058">
        <v>460</v>
      </c>
      <c r="B2058" s="2">
        <v>46230.713298611103</v>
      </c>
      <c r="C2058" s="2">
        <v>46230.7188888889</v>
      </c>
      <c r="D2058" s="1" t="s">
        <v>24</v>
      </c>
      <c r="E2058" s="1"/>
      <c r="F2058" s="29">
        <v>46230</v>
      </c>
      <c r="G2058" s="29">
        <v>46230</v>
      </c>
      <c r="H2058" s="1" t="s">
        <v>68</v>
      </c>
      <c r="I2058" s="1" t="s">
        <v>4807</v>
      </c>
      <c r="J2058" s="175" t="s">
        <v>4808</v>
      </c>
      <c r="K2058" s="171" t="s">
        <v>4809</v>
      </c>
      <c r="L2058" s="62">
        <v>23135584</v>
      </c>
      <c r="M2058" s="30">
        <v>5213333839874</v>
      </c>
      <c r="N2058" s="172" t="s">
        <v>74</v>
      </c>
      <c r="O2058" s="50"/>
      <c r="P2058" s="97"/>
      <c r="Q2058" s="42">
        <f>OfficeForms.Table[[#This Row],[ INFORMEDEPAGO ]]*0.3</f>
        <v>0</v>
      </c>
      <c r="R2058" s="12">
        <f>(IF(O2058&lt;4172.98,0,MIN(O2058*0.3,O2058-4172.98)))-P2058</f>
        <v>0</v>
      </c>
      <c r="S2058" s="78"/>
      <c r="T2058" s="1"/>
      <c r="V2058" s="1"/>
      <c r="X2058" s="101">
        <v>1</v>
      </c>
    </row>
    <row r="2059" spans="1:24" hidden="1">
      <c r="A2059">
        <v>461</v>
      </c>
      <c r="B2059" s="2">
        <v>46230.709166666697</v>
      </c>
      <c r="C2059" s="2">
        <v>46230.719305555598</v>
      </c>
      <c r="D2059" s="1" t="s">
        <v>24</v>
      </c>
      <c r="E2059" s="1"/>
      <c r="F2059" s="29">
        <v>46230</v>
      </c>
      <c r="G2059" s="29">
        <v>46230</v>
      </c>
      <c r="H2059" s="1" t="s">
        <v>68</v>
      </c>
      <c r="I2059" s="1" t="s">
        <v>4810</v>
      </c>
      <c r="J2059" s="207" t="s">
        <v>4811</v>
      </c>
      <c r="K2059" s="171" t="s">
        <v>4812</v>
      </c>
      <c r="L2059" s="62">
        <v>23144872</v>
      </c>
      <c r="M2059" s="30">
        <v>5215591890370</v>
      </c>
      <c r="N2059" s="172" t="s">
        <v>37</v>
      </c>
      <c r="O2059" s="52">
        <v>9760.32</v>
      </c>
      <c r="P2059" s="99">
        <v>2813.71</v>
      </c>
      <c r="Q2059" s="42">
        <f>OfficeForms.Table[[#This Row],[ INFORMEDEPAGO ]]*0.3</f>
        <v>2928.096</v>
      </c>
      <c r="R2059" s="12">
        <f>(IF(O2059&lt;4172.98,0,MIN(O2059*0.3,O2059-4172.98)))-P2059</f>
        <v>114.38599999999997</v>
      </c>
      <c r="S2059" s="78">
        <v>46722</v>
      </c>
      <c r="T2059" s="1"/>
      <c r="V2059" s="1"/>
      <c r="X2059" s="101">
        <v>2</v>
      </c>
    </row>
    <row r="2060" spans="1:24" hidden="1">
      <c r="A2060">
        <v>462</v>
      </c>
      <c r="B2060" s="2">
        <v>46230.717407407399</v>
      </c>
      <c r="C2060" s="2">
        <v>46230.719953703701</v>
      </c>
      <c r="D2060" s="1" t="s">
        <v>24</v>
      </c>
      <c r="E2060" s="1"/>
      <c r="F2060" s="29">
        <v>46230</v>
      </c>
      <c r="G2060" s="29">
        <v>46230</v>
      </c>
      <c r="H2060" s="1" t="s">
        <v>1519</v>
      </c>
      <c r="I2060" s="1" t="s">
        <v>4813</v>
      </c>
      <c r="J2060" s="207" t="s">
        <v>4814</v>
      </c>
      <c r="K2060" s="171" t="s">
        <v>4815</v>
      </c>
      <c r="L2060" s="62">
        <v>23144364</v>
      </c>
      <c r="M2060" s="30">
        <v>5215584223135</v>
      </c>
      <c r="N2060" s="172" t="s">
        <v>37</v>
      </c>
      <c r="O2060" s="52">
        <v>9081.52</v>
      </c>
      <c r="P2060" s="99">
        <v>2521.35</v>
      </c>
      <c r="Q2060" s="42">
        <f>OfficeForms.Table[[#This Row],[ INFORMEDEPAGO ]]*0.3</f>
        <v>2724.4560000000001</v>
      </c>
      <c r="R2060" s="12">
        <f>(IF(O2060&lt;4172.98,0,MIN(O2060*0.3,O2060-4172.98)))-P2060</f>
        <v>203.10600000000022</v>
      </c>
      <c r="S2060" s="78">
        <v>46357</v>
      </c>
      <c r="T2060" s="1"/>
      <c r="V2060" s="1"/>
      <c r="X2060" s="101">
        <v>2</v>
      </c>
    </row>
    <row r="2061" spans="1:24" hidden="1">
      <c r="A2061">
        <v>463</v>
      </c>
      <c r="B2061" s="2">
        <v>46230.719942129603</v>
      </c>
      <c r="C2061" s="2">
        <v>46230.720347222203</v>
      </c>
      <c r="D2061" s="1" t="s">
        <v>24</v>
      </c>
      <c r="E2061" s="1"/>
      <c r="F2061" s="29">
        <v>46230</v>
      </c>
      <c r="G2061" s="29">
        <v>46230</v>
      </c>
      <c r="H2061" s="1" t="s">
        <v>3007</v>
      </c>
      <c r="I2061" s="1" t="s">
        <v>4816</v>
      </c>
      <c r="J2061" s="207"/>
      <c r="K2061" s="171" t="s">
        <v>4817</v>
      </c>
      <c r="L2061" s="62">
        <v>23151394</v>
      </c>
      <c r="M2061" s="30">
        <v>3121035041</v>
      </c>
      <c r="N2061" s="172" t="s">
        <v>28</v>
      </c>
      <c r="O2061" s="50">
        <v>9683.44</v>
      </c>
      <c r="P2061" s="97"/>
      <c r="Q2061" s="42">
        <f>OfficeForms.Table[[#This Row],[ INFORMEDEPAGO ]]*0.3</f>
        <v>2905.0320000000002</v>
      </c>
      <c r="R2061" s="12">
        <f>(IF(O2061&lt;4172.98,0,MIN(O2061*0.3,O2061-4172.98)))-P2061</f>
        <v>2905.0320000000002</v>
      </c>
      <c r="S2061" s="78"/>
      <c r="T2061" s="1"/>
      <c r="V2061" s="1"/>
      <c r="X2061" s="101">
        <v>1</v>
      </c>
    </row>
    <row r="2062" spans="1:24" hidden="1">
      <c r="A2062">
        <v>464</v>
      </c>
      <c r="B2062" s="2">
        <v>46230.722268518497</v>
      </c>
      <c r="C2062" s="2">
        <v>46230.722708333298</v>
      </c>
      <c r="D2062" s="1" t="s">
        <v>24</v>
      </c>
      <c r="E2062" s="1"/>
      <c r="F2062" s="29">
        <v>46230</v>
      </c>
      <c r="G2062" s="29">
        <v>46230</v>
      </c>
      <c r="H2062" s="1" t="s">
        <v>3007</v>
      </c>
      <c r="I2062" s="1" t="s">
        <v>4818</v>
      </c>
      <c r="J2062" s="207"/>
      <c r="K2062" s="171" t="s">
        <v>4819</v>
      </c>
      <c r="L2062" s="62">
        <v>23150736</v>
      </c>
      <c r="M2062" s="30">
        <v>6688227464</v>
      </c>
      <c r="N2062" s="172" t="s">
        <v>32</v>
      </c>
      <c r="O2062" s="50">
        <v>3866.52</v>
      </c>
      <c r="P2062" s="97"/>
      <c r="Q2062" s="42">
        <f>OfficeForms.Table[[#This Row],[ INFORMEDEPAGO ]]*0.3</f>
        <v>1159.9559999999999</v>
      </c>
      <c r="R2062" s="12">
        <f>(IF(O2062&lt;4172.98,0,MIN(O2062*0.3,O2062-4172.98)))-P2062</f>
        <v>0</v>
      </c>
      <c r="S2062" s="78"/>
      <c r="T2062" s="1"/>
      <c r="V2062" s="1"/>
      <c r="X2062" s="101">
        <v>1</v>
      </c>
    </row>
    <row r="2063" spans="1:24" hidden="1">
      <c r="A2063">
        <v>465</v>
      </c>
      <c r="B2063" s="2">
        <v>46230.719004629602</v>
      </c>
      <c r="C2063" s="2">
        <v>46230.725972222201</v>
      </c>
      <c r="D2063" s="1" t="s">
        <v>24</v>
      </c>
      <c r="E2063" s="1"/>
      <c r="F2063" s="29">
        <v>46230</v>
      </c>
      <c r="G2063" s="29">
        <v>46229</v>
      </c>
      <c r="H2063" s="1" t="s">
        <v>78</v>
      </c>
      <c r="I2063" s="1" t="s">
        <v>4820</v>
      </c>
      <c r="J2063" s="207"/>
      <c r="K2063" s="171" t="s">
        <v>4821</v>
      </c>
      <c r="L2063" s="62">
        <v>23125602</v>
      </c>
      <c r="M2063" s="30">
        <v>5218716111816</v>
      </c>
      <c r="N2063" s="172" t="s">
        <v>130</v>
      </c>
      <c r="O2063" s="52">
        <v>9187.48</v>
      </c>
      <c r="P2063" s="99">
        <v>2644.78</v>
      </c>
      <c r="Q2063" s="42">
        <f>OfficeForms.Table[[#This Row],[ INFORMEDEPAGO ]]*0.3</f>
        <v>2756.2439999999997</v>
      </c>
      <c r="R2063" s="12">
        <f>(IF(O2063&lt;4172.98,0,MIN(O2063*0.3,O2063-4172.98)))-P2063</f>
        <v>111.46399999999949</v>
      </c>
      <c r="S2063" s="78">
        <v>45839</v>
      </c>
      <c r="T2063" s="1"/>
      <c r="V2063" s="1"/>
      <c r="X2063" s="101">
        <v>2</v>
      </c>
    </row>
    <row r="2064" spans="1:24" hidden="1">
      <c r="A2064">
        <v>466</v>
      </c>
      <c r="B2064" s="2">
        <v>46230.719050925902</v>
      </c>
      <c r="C2064" s="2">
        <v>46230.726006944402</v>
      </c>
      <c r="D2064" s="1" t="s">
        <v>24</v>
      </c>
      <c r="E2064" s="1"/>
      <c r="F2064" s="29">
        <v>46230</v>
      </c>
      <c r="G2064" s="29">
        <v>46230</v>
      </c>
      <c r="H2064" s="1" t="s">
        <v>78</v>
      </c>
      <c r="I2064" s="1" t="s">
        <v>4822</v>
      </c>
      <c r="J2064" s="207"/>
      <c r="K2064" s="171" t="s">
        <v>4823</v>
      </c>
      <c r="L2064" s="62">
        <v>23133454</v>
      </c>
      <c r="M2064" s="30">
        <v>5217225764887</v>
      </c>
      <c r="N2064" s="172" t="s">
        <v>37</v>
      </c>
      <c r="O2064" s="52">
        <v>7920.51</v>
      </c>
      <c r="P2064" s="99">
        <v>2376.0300000000002</v>
      </c>
      <c r="Q2064" s="42">
        <f>OfficeForms.Table[[#This Row],[ INFORMEDEPAGO ]]*0.3</f>
        <v>2376.1529999999998</v>
      </c>
      <c r="R2064" s="12">
        <f>(IF(O2064&lt;4172.98,0,MIN(O2064*0.3,O2064-4172.98)))-P2064</f>
        <v>0.12299999999959255</v>
      </c>
      <c r="S2064" s="78">
        <v>46753</v>
      </c>
      <c r="T2064" s="1"/>
      <c r="V2064" s="1"/>
      <c r="X2064" s="101">
        <v>2</v>
      </c>
    </row>
    <row r="2065" spans="1:24" hidden="1">
      <c r="A2065">
        <v>467</v>
      </c>
      <c r="B2065" s="2">
        <v>46230.714594907397</v>
      </c>
      <c r="C2065" s="2">
        <v>46230.728831018503</v>
      </c>
      <c r="D2065" s="1" t="s">
        <v>24</v>
      </c>
      <c r="E2065" s="1"/>
      <c r="F2065" s="29">
        <v>46230</v>
      </c>
      <c r="G2065" s="29">
        <v>46230</v>
      </c>
      <c r="H2065" s="1" t="s">
        <v>1625</v>
      </c>
      <c r="I2065" s="1" t="s">
        <v>4824</v>
      </c>
      <c r="J2065" s="207">
        <v>67806348966</v>
      </c>
      <c r="K2065" s="171" t="s">
        <v>4825</v>
      </c>
      <c r="L2065" s="62">
        <v>2</v>
      </c>
      <c r="M2065" s="30">
        <v>5647889487</v>
      </c>
      <c r="N2065" s="172" t="s">
        <v>37</v>
      </c>
      <c r="O2065" s="52">
        <v>9081.52</v>
      </c>
      <c r="P2065" s="99">
        <v>2624.14</v>
      </c>
      <c r="Q2065" s="42">
        <f>OfficeForms.Table[[#This Row],[ INFORMEDEPAGO ]]*0.3</f>
        <v>2724.4560000000001</v>
      </c>
      <c r="R2065" s="12">
        <f>(IF(O2065&lt;4172.98,0,MIN(O2065*0.3,O2065-4172.98)))-P2065</f>
        <v>100.31600000000026</v>
      </c>
      <c r="S2065" s="78">
        <v>46478</v>
      </c>
      <c r="T2065" s="1"/>
      <c r="V2065" s="1"/>
      <c r="X2065" s="101">
        <v>2</v>
      </c>
    </row>
    <row r="2066" spans="1:24" hidden="1">
      <c r="A2066">
        <v>468</v>
      </c>
      <c r="B2066" s="2">
        <v>46230.729641203703</v>
      </c>
      <c r="C2066" s="2">
        <v>46230.730439814797</v>
      </c>
      <c r="D2066" s="1" t="s">
        <v>24</v>
      </c>
      <c r="E2066" s="1"/>
      <c r="F2066" s="29">
        <v>46230</v>
      </c>
      <c r="G2066" s="29">
        <v>46230</v>
      </c>
      <c r="H2066" s="1" t="s">
        <v>1629</v>
      </c>
      <c r="I2066" s="1" t="s">
        <v>4826</v>
      </c>
      <c r="J2066" s="207" t="s">
        <v>4827</v>
      </c>
      <c r="K2066" s="171" t="s">
        <v>4828</v>
      </c>
      <c r="L2066" s="62">
        <v>2</v>
      </c>
      <c r="M2066" s="30">
        <v>8711641142</v>
      </c>
      <c r="N2066" s="172" t="s">
        <v>106</v>
      </c>
      <c r="O2066" s="52">
        <v>9637.44</v>
      </c>
      <c r="P2066" s="99">
        <v>2556.56</v>
      </c>
      <c r="Q2066" s="42">
        <f>OfficeForms.Table[[#This Row],[ INFORMEDEPAGO ]]*0.3</f>
        <v>2891.232</v>
      </c>
      <c r="R2066" s="12">
        <f>(IF(O2066&lt;4172.98,0,MIN(O2066*0.3,O2066-4172.98)))-P2066</f>
        <v>334.67200000000003</v>
      </c>
      <c r="S2066" s="78">
        <v>46023</v>
      </c>
      <c r="T2066" s="1"/>
      <c r="V2066" s="1"/>
      <c r="X2066" s="101">
        <v>2</v>
      </c>
    </row>
    <row r="2067" spans="1:24" hidden="1">
      <c r="A2067">
        <v>469</v>
      </c>
      <c r="B2067" s="2">
        <v>46230.622337963003</v>
      </c>
      <c r="C2067" s="2">
        <v>46230.731805555602</v>
      </c>
      <c r="D2067" s="1" t="s">
        <v>24</v>
      </c>
      <c r="E2067" s="1"/>
      <c r="F2067" s="29">
        <v>46230</v>
      </c>
      <c r="G2067" s="29">
        <v>46230</v>
      </c>
      <c r="H2067" s="1" t="s">
        <v>269</v>
      </c>
      <c r="I2067" s="1" t="s">
        <v>4829</v>
      </c>
      <c r="J2067" s="175" t="s">
        <v>4830</v>
      </c>
      <c r="K2067" s="171" t="s">
        <v>4831</v>
      </c>
      <c r="L2067" s="62">
        <v>23137284</v>
      </c>
      <c r="M2067" s="30">
        <v>5214774640269</v>
      </c>
      <c r="N2067" s="172" t="s">
        <v>37</v>
      </c>
      <c r="O2067" s="52">
        <v>20051.47</v>
      </c>
      <c r="P2067" s="99">
        <v>6015.23</v>
      </c>
      <c r="Q2067" s="42">
        <f>OfficeForms.Table[[#This Row],[ INFORMEDEPAGO ]]*0.3</f>
        <v>6015.4409999999998</v>
      </c>
      <c r="R2067" s="12">
        <f>(IF(O2067&lt;4172.98,0,MIN(O2067*0.3,O2067-4172.98)))-P2067</f>
        <v>0.21100000000024011</v>
      </c>
      <c r="S2067" s="78">
        <v>46327</v>
      </c>
      <c r="T2067" s="1"/>
      <c r="V2067" s="1"/>
      <c r="X2067" s="101">
        <v>2</v>
      </c>
    </row>
    <row r="2068" spans="1:24" hidden="1">
      <c r="A2068">
        <v>470</v>
      </c>
      <c r="B2068" s="2">
        <v>46230.734502314801</v>
      </c>
      <c r="C2068" s="2">
        <v>46230.738449074102</v>
      </c>
      <c r="D2068" s="1" t="s">
        <v>24</v>
      </c>
      <c r="E2068" s="1"/>
      <c r="F2068" s="29">
        <v>46230</v>
      </c>
      <c r="G2068" s="29">
        <v>46230</v>
      </c>
      <c r="H2068" s="1" t="s">
        <v>78</v>
      </c>
      <c r="I2068" s="1" t="s">
        <v>4832</v>
      </c>
      <c r="J2068" s="175"/>
      <c r="K2068" s="171" t="s">
        <v>4833</v>
      </c>
      <c r="L2068" s="62">
        <v>23143120</v>
      </c>
      <c r="M2068" s="30">
        <v>5215656886821</v>
      </c>
      <c r="N2068" s="172" t="s">
        <v>106</v>
      </c>
      <c r="O2068" s="52">
        <v>10201.41</v>
      </c>
      <c r="P2068" s="99">
        <v>2831.96</v>
      </c>
      <c r="Q2068" s="42">
        <f>OfficeForms.Table[[#This Row],[ INFORMEDEPAGO ]]*0.3</f>
        <v>3060.4229999999998</v>
      </c>
      <c r="R2068" s="12">
        <f>(IF(O2068&lt;4172.98,0,MIN(O2068*0.3,O2068-4172.98)))-P2068</f>
        <v>228.46299999999974</v>
      </c>
      <c r="S2068" s="78">
        <v>46174</v>
      </c>
      <c r="T2068" s="1"/>
      <c r="V2068" s="1"/>
      <c r="X2068" s="101">
        <v>2</v>
      </c>
    </row>
    <row r="2069" spans="1:24" hidden="1">
      <c r="A2069">
        <v>471</v>
      </c>
      <c r="B2069" s="2">
        <v>46230.745370370401</v>
      </c>
      <c r="C2069" s="2">
        <v>46230.745914351799</v>
      </c>
      <c r="D2069" s="1" t="s">
        <v>24</v>
      </c>
      <c r="E2069" s="1"/>
      <c r="F2069" s="29">
        <v>46230</v>
      </c>
      <c r="G2069" s="29">
        <v>46230</v>
      </c>
      <c r="H2069" s="1" t="s">
        <v>3452</v>
      </c>
      <c r="I2069" s="1" t="s">
        <v>4834</v>
      </c>
      <c r="J2069" s="175"/>
      <c r="K2069" s="171" t="s">
        <v>4835</v>
      </c>
      <c r="L2069" s="62">
        <v>23148998</v>
      </c>
      <c r="M2069" s="30">
        <v>7226971594</v>
      </c>
      <c r="N2069" s="172" t="s">
        <v>37</v>
      </c>
      <c r="O2069" s="52">
        <v>8793.09</v>
      </c>
      <c r="P2069" s="99">
        <v>2637.93</v>
      </c>
      <c r="Q2069" s="42">
        <f>OfficeForms.Table[[#This Row],[ INFORMEDEPAGO ]]*0.3</f>
        <v>2637.9270000000001</v>
      </c>
      <c r="R2069" s="12">
        <f>(IF(O2069&lt;4172.98,0,MIN(O2069*0.3,O2069-4172.98)))-P2069</f>
        <v>-2.9999999997016857E-3</v>
      </c>
      <c r="S2069" s="78">
        <v>46874</v>
      </c>
      <c r="T2069" s="1" t="s">
        <v>259</v>
      </c>
      <c r="V2069" s="1"/>
      <c r="X2069" s="101">
        <v>2</v>
      </c>
    </row>
    <row r="2070" spans="1:24" hidden="1">
      <c r="A2070">
        <v>472</v>
      </c>
      <c r="B2070" s="2">
        <v>46230.716435185197</v>
      </c>
      <c r="C2070" s="2">
        <v>46230.749201388899</v>
      </c>
      <c r="D2070" s="1" t="s">
        <v>24</v>
      </c>
      <c r="E2070" s="1"/>
      <c r="F2070" s="29">
        <v>46230</v>
      </c>
      <c r="G2070" s="29">
        <v>46230</v>
      </c>
      <c r="H2070" s="1" t="s">
        <v>51</v>
      </c>
      <c r="I2070" s="1" t="s">
        <v>4836</v>
      </c>
      <c r="J2070" s="175">
        <v>22846301756</v>
      </c>
      <c r="K2070" s="171" t="s">
        <v>4837</v>
      </c>
      <c r="L2070" s="62">
        <v>23135126</v>
      </c>
      <c r="M2070" s="30">
        <v>5216242244778</v>
      </c>
      <c r="N2070" s="172" t="s">
        <v>37</v>
      </c>
      <c r="O2070" s="52">
        <v>7964.9</v>
      </c>
      <c r="P2070" s="99">
        <v>2211.34</v>
      </c>
      <c r="Q2070" s="42">
        <f>OfficeForms.Table[[#This Row],[ INFORMEDEPAGO ]]*0.3</f>
        <v>2389.4699999999998</v>
      </c>
      <c r="R2070" s="12">
        <f>(IF(O2070&lt;4172.98,0,MIN(O2070*0.3,O2070-4172.98)))-P2070</f>
        <v>178.12999999999965</v>
      </c>
      <c r="S2070" s="78">
        <v>46266</v>
      </c>
      <c r="T2070" s="1"/>
      <c r="V2070" s="1"/>
      <c r="X2070" s="101">
        <v>2</v>
      </c>
    </row>
    <row r="2071" spans="1:24" hidden="1">
      <c r="A2071">
        <v>473</v>
      </c>
      <c r="B2071" s="2">
        <v>46230.673865740697</v>
      </c>
      <c r="C2071" s="2">
        <v>46230.752314814803</v>
      </c>
      <c r="D2071" s="1" t="s">
        <v>24</v>
      </c>
      <c r="E2071" s="1"/>
      <c r="F2071" s="29">
        <v>46230</v>
      </c>
      <c r="G2071" s="29">
        <v>46230</v>
      </c>
      <c r="H2071" s="1" t="s">
        <v>3352</v>
      </c>
      <c r="I2071" s="1" t="s">
        <v>4838</v>
      </c>
      <c r="J2071" s="175"/>
      <c r="K2071" s="171" t="s">
        <v>4839</v>
      </c>
      <c r="L2071" s="62">
        <v>23152626</v>
      </c>
      <c r="M2071" s="30">
        <v>8116815834</v>
      </c>
      <c r="N2071" s="172" t="s">
        <v>37</v>
      </c>
      <c r="O2071" s="52">
        <v>9760.32</v>
      </c>
      <c r="P2071" s="99">
        <v>2758.36</v>
      </c>
      <c r="Q2071" s="42">
        <f>OfficeForms.Table[[#This Row],[ INFORMEDEPAGO ]]*0.3</f>
        <v>2928.096</v>
      </c>
      <c r="R2071" s="12">
        <f>(IF(O2071&lt;4172.98,0,MIN(O2071*0.3,O2071-4172.98)))-P2071</f>
        <v>169.73599999999988</v>
      </c>
      <c r="S2071" s="78">
        <v>46600</v>
      </c>
      <c r="T2071" s="1"/>
      <c r="V2071" s="1"/>
      <c r="X2071" s="101">
        <v>2</v>
      </c>
    </row>
    <row r="2072" spans="1:24" hidden="1">
      <c r="A2072">
        <v>474</v>
      </c>
      <c r="B2072" s="2">
        <v>46230.752210648097</v>
      </c>
      <c r="C2072" s="2">
        <v>46230.753113425897</v>
      </c>
      <c r="D2072" s="1" t="s">
        <v>24</v>
      </c>
      <c r="E2072" s="1"/>
      <c r="F2072" s="29">
        <v>46230</v>
      </c>
      <c r="G2072" s="29">
        <v>46230</v>
      </c>
      <c r="H2072" s="1" t="s">
        <v>3575</v>
      </c>
      <c r="I2072" s="1" t="s">
        <v>4840</v>
      </c>
      <c r="J2072" s="175"/>
      <c r="K2072" s="171" t="s">
        <v>4841</v>
      </c>
      <c r="L2072" s="62">
        <v>23149080</v>
      </c>
      <c r="M2072" s="30">
        <v>5216562770478</v>
      </c>
      <c r="N2072" s="172" t="s">
        <v>32</v>
      </c>
      <c r="O2072" s="52">
        <v>4170.87</v>
      </c>
      <c r="P2072" s="99">
        <v>848</v>
      </c>
      <c r="Q2072" s="42">
        <f>OfficeForms.Table[[#This Row],[ INFORMEDEPAGO ]]*0.3</f>
        <v>1251.261</v>
      </c>
      <c r="R2072" s="12">
        <f>(IF(O2072&lt;4172.98,0,MIN(O2072*0.3,O2072-4172.98)))-P2072</f>
        <v>-848</v>
      </c>
      <c r="S2072" s="78"/>
      <c r="T2072" s="1"/>
      <c r="V2072" s="1"/>
      <c r="X2072" s="101">
        <v>1</v>
      </c>
    </row>
    <row r="2073" spans="1:24" hidden="1">
      <c r="A2073">
        <v>475</v>
      </c>
      <c r="B2073" s="2">
        <v>46230.745949074102</v>
      </c>
      <c r="C2073" s="2">
        <v>46230.756458333301</v>
      </c>
      <c r="D2073" s="1" t="s">
        <v>24</v>
      </c>
      <c r="E2073" s="1"/>
      <c r="F2073" s="29">
        <v>46230</v>
      </c>
      <c r="G2073" s="29">
        <v>46230</v>
      </c>
      <c r="H2073" s="1" t="s">
        <v>3452</v>
      </c>
      <c r="I2073" s="1" t="s">
        <v>4842</v>
      </c>
      <c r="J2073" s="175"/>
      <c r="K2073" s="171" t="s">
        <v>4843</v>
      </c>
      <c r="L2073" s="62">
        <v>23150264</v>
      </c>
      <c r="M2073" s="30">
        <v>6241758249</v>
      </c>
      <c r="N2073" s="172" t="s">
        <v>130</v>
      </c>
      <c r="O2073" s="52">
        <v>5257.5</v>
      </c>
      <c r="P2073" s="99">
        <v>1002.12</v>
      </c>
      <c r="Q2073" s="42">
        <f>OfficeForms.Table[[#This Row],[ INFORMEDEPAGO ]]*0.3</f>
        <v>1577.25</v>
      </c>
      <c r="R2073" s="12">
        <f>(IF(O2073&lt;4172.98,0,MIN(O2073*0.3,O2073-4172.98)))-P2073</f>
        <v>82.400000000000432</v>
      </c>
      <c r="S2073" s="78">
        <v>46204</v>
      </c>
      <c r="T2073" s="1"/>
      <c r="V2073" s="1"/>
      <c r="X2073" s="101">
        <v>2</v>
      </c>
    </row>
    <row r="2074" spans="1:24" hidden="1">
      <c r="A2074">
        <v>476</v>
      </c>
      <c r="B2074" s="2">
        <v>46230.757013888899</v>
      </c>
      <c r="C2074" s="2">
        <v>46230.757835648197</v>
      </c>
      <c r="D2074" s="1" t="s">
        <v>24</v>
      </c>
      <c r="E2074" s="1"/>
      <c r="F2074" s="29">
        <v>46230</v>
      </c>
      <c r="G2074" s="29">
        <v>46230</v>
      </c>
      <c r="H2074" s="1" t="s">
        <v>3022</v>
      </c>
      <c r="I2074" s="1" t="s">
        <v>4844</v>
      </c>
      <c r="J2074" s="209" t="s">
        <v>4845</v>
      </c>
      <c r="K2074" s="171" t="s">
        <v>4846</v>
      </c>
      <c r="L2074" s="62">
        <v>23152884</v>
      </c>
      <c r="M2074" s="30">
        <v>8119838109</v>
      </c>
      <c r="N2074" s="172" t="s">
        <v>74</v>
      </c>
      <c r="O2074" s="50"/>
      <c r="P2074" s="97"/>
      <c r="Q2074" s="42">
        <f>OfficeForms.Table[[#This Row],[ INFORMEDEPAGO ]]*0.3</f>
        <v>0</v>
      </c>
      <c r="R2074" s="12">
        <f>(IF(O2074&lt;4172.98,0,MIN(O2074*0.3,O2074-4172.98)))-P2074</f>
        <v>0</v>
      </c>
      <c r="S2074" s="78"/>
      <c r="T2074" s="1"/>
      <c r="V2074" s="1"/>
      <c r="X2074" s="101">
        <v>1</v>
      </c>
    </row>
    <row r="2075" spans="1:24" hidden="1">
      <c r="A2075">
        <v>477</v>
      </c>
      <c r="B2075" s="2">
        <v>46230.759236111102</v>
      </c>
      <c r="C2075" s="2">
        <v>46230.759710648097</v>
      </c>
      <c r="D2075" s="1" t="s">
        <v>24</v>
      </c>
      <c r="E2075" s="1"/>
      <c r="F2075" s="29">
        <v>46230</v>
      </c>
      <c r="G2075" s="29">
        <v>46230</v>
      </c>
      <c r="H2075" s="1" t="s">
        <v>269</v>
      </c>
      <c r="I2075" s="1" t="s">
        <v>4847</v>
      </c>
      <c r="J2075" s="175"/>
      <c r="K2075" s="171" t="s">
        <v>4848</v>
      </c>
      <c r="L2075" s="62">
        <v>23133358</v>
      </c>
      <c r="M2075" s="30">
        <v>5218616156899</v>
      </c>
      <c r="N2075" s="172" t="s">
        <v>32</v>
      </c>
      <c r="O2075" s="52">
        <v>4243.99</v>
      </c>
      <c r="P2075" s="99">
        <v>879</v>
      </c>
      <c r="Q2075" s="42">
        <f>OfficeForms.Table[[#This Row],[ INFORMEDEPAGO ]]*0.3</f>
        <v>1273.1969999999999</v>
      </c>
      <c r="R2075" s="12">
        <f>(IF(O2075&lt;4172.98,0,MIN(O2075*0.3,O2075-4172.98)))-P2075</f>
        <v>-807.98999999999978</v>
      </c>
      <c r="S2075" s="78"/>
      <c r="T2075" s="1"/>
      <c r="V2075" s="1"/>
      <c r="X2075" s="101">
        <v>1</v>
      </c>
    </row>
    <row r="2076" spans="1:24" hidden="1">
      <c r="A2076">
        <v>478</v>
      </c>
      <c r="B2076" s="2">
        <v>46230.752326388902</v>
      </c>
      <c r="C2076" s="2">
        <v>46230.763159722199</v>
      </c>
      <c r="D2076" s="1" t="s">
        <v>24</v>
      </c>
      <c r="E2076" s="1"/>
      <c r="F2076" s="29">
        <v>46230</v>
      </c>
      <c r="G2076" s="29">
        <v>46230</v>
      </c>
      <c r="H2076" s="1" t="s">
        <v>3352</v>
      </c>
      <c r="I2076" s="1" t="s">
        <v>4849</v>
      </c>
      <c r="J2076" s="175">
        <v>43816028237</v>
      </c>
      <c r="K2076" s="171"/>
      <c r="L2076" s="62">
        <v>23152874</v>
      </c>
      <c r="M2076" s="30">
        <v>8116379025</v>
      </c>
      <c r="N2076" s="172" t="s">
        <v>106</v>
      </c>
      <c r="O2076" s="52">
        <v>12062.73</v>
      </c>
      <c r="P2076" s="99">
        <v>3348.99</v>
      </c>
      <c r="Q2076" s="42">
        <f>OfficeForms.Table[[#This Row],[ INFORMEDEPAGO ]]*0.3</f>
        <v>3618.819</v>
      </c>
      <c r="R2076" s="12">
        <f>(IF(O2076&lt;4172.98,0,MIN(O2076*0.3,O2076-4172.98)))-P2076</f>
        <v>269.82900000000018</v>
      </c>
      <c r="S2076" s="78">
        <v>46054</v>
      </c>
      <c r="T2076" s="1"/>
      <c r="V2076" s="1"/>
      <c r="X2076" s="101">
        <v>2</v>
      </c>
    </row>
    <row r="2077" spans="1:24" hidden="1">
      <c r="A2077">
        <v>479</v>
      </c>
      <c r="B2077" s="2">
        <v>46230.763182870403</v>
      </c>
      <c r="C2077" s="2">
        <v>46230.766678240703</v>
      </c>
      <c r="D2077" s="1" t="s">
        <v>24</v>
      </c>
      <c r="E2077" s="1"/>
      <c r="F2077" s="29">
        <v>46230</v>
      </c>
      <c r="G2077" s="29">
        <v>46228</v>
      </c>
      <c r="H2077" s="1" t="s">
        <v>3352</v>
      </c>
      <c r="I2077" s="1" t="s">
        <v>4850</v>
      </c>
      <c r="J2077" s="175">
        <v>43926216102</v>
      </c>
      <c r="K2077" s="171"/>
      <c r="L2077" s="62">
        <v>23106788</v>
      </c>
      <c r="M2077" s="30">
        <v>8184722420</v>
      </c>
      <c r="N2077" s="172" t="s">
        <v>37</v>
      </c>
      <c r="O2077" s="52">
        <v>15546.64</v>
      </c>
      <c r="P2077" s="99">
        <v>4498.0200000000004</v>
      </c>
      <c r="Q2077" s="42">
        <f>OfficeForms.Table[[#This Row],[ INFORMEDEPAGO ]]*0.3</f>
        <v>4663.9919999999993</v>
      </c>
      <c r="R2077" s="12">
        <f>(IF(O2077&lt;4172.98,0,MIN(O2077*0.3,O2077-4172.98)))-P2077</f>
        <v>165.97199999999884</v>
      </c>
      <c r="S2077" s="78">
        <v>46661</v>
      </c>
      <c r="T2077" s="1"/>
      <c r="V2077" s="1"/>
      <c r="X2077" s="101">
        <v>2</v>
      </c>
    </row>
    <row r="2078" spans="1:24" hidden="1">
      <c r="A2078">
        <v>480</v>
      </c>
      <c r="B2078" s="2">
        <v>46230.776817129597</v>
      </c>
      <c r="C2078" s="2">
        <v>46230.777870370403</v>
      </c>
      <c r="D2078" s="1" t="s">
        <v>24</v>
      </c>
      <c r="E2078" s="1"/>
      <c r="F2078" s="29">
        <v>46230</v>
      </c>
      <c r="G2078" s="29">
        <v>46230</v>
      </c>
      <c r="H2078" s="1" t="s">
        <v>110</v>
      </c>
      <c r="I2078" s="1" t="s">
        <v>4851</v>
      </c>
      <c r="J2078" s="175"/>
      <c r="K2078" s="171" t="s">
        <v>4852</v>
      </c>
      <c r="L2078" s="62">
        <v>23123194</v>
      </c>
      <c r="M2078" s="30">
        <v>5218682015218</v>
      </c>
      <c r="N2078" s="172" t="s">
        <v>98</v>
      </c>
      <c r="O2078" s="50"/>
      <c r="P2078" s="97"/>
      <c r="Q2078" s="42">
        <f>OfficeForms.Table[[#This Row],[ INFORMEDEPAGO ]]*0.3</f>
        <v>0</v>
      </c>
      <c r="R2078" s="12">
        <f>(IF(O2078&lt;4172.98,0,MIN(O2078*0.3,O2078-4172.98)))-P2078</f>
        <v>0</v>
      </c>
      <c r="S2078" s="78"/>
      <c r="T2078" s="1"/>
      <c r="V2078" s="1"/>
      <c r="X2078" s="101">
        <v>0</v>
      </c>
    </row>
    <row r="2079" spans="1:24" hidden="1">
      <c r="A2079">
        <v>481</v>
      </c>
      <c r="B2079" s="2">
        <v>46230.776898148099</v>
      </c>
      <c r="C2079" s="2">
        <v>46230.779097222199</v>
      </c>
      <c r="D2079" s="1" t="s">
        <v>24</v>
      </c>
      <c r="E2079" s="1"/>
      <c r="F2079" s="29">
        <v>46230</v>
      </c>
      <c r="G2079" s="29">
        <v>46230</v>
      </c>
      <c r="H2079" s="1" t="s">
        <v>3575</v>
      </c>
      <c r="I2079" s="1" t="s">
        <v>4853</v>
      </c>
      <c r="J2079" s="175"/>
      <c r="K2079" s="171" t="s">
        <v>4854</v>
      </c>
      <c r="L2079" s="62">
        <v>23148520</v>
      </c>
      <c r="M2079" s="30">
        <v>5215571340844</v>
      </c>
      <c r="N2079" s="172" t="s">
        <v>37</v>
      </c>
      <c r="O2079" s="52">
        <v>7860.39</v>
      </c>
      <c r="P2079" s="99">
        <v>2273.84</v>
      </c>
      <c r="Q2079" s="42">
        <f>OfficeForms.Table[[#This Row],[ INFORMEDEPAGO ]]*0.3</f>
        <v>2358.1170000000002</v>
      </c>
      <c r="R2079" s="12">
        <f>(IF(O2079&lt;4172.98,0,MIN(O2079*0.3,O2079-4172.98)))-P2079</f>
        <v>84.277000000000044</v>
      </c>
      <c r="S2079" s="78">
        <v>46235</v>
      </c>
      <c r="T2079" s="1"/>
      <c r="V2079" s="1"/>
      <c r="X2079" s="101">
        <v>2</v>
      </c>
    </row>
    <row r="2080" spans="1:24" hidden="1">
      <c r="A2080">
        <v>482</v>
      </c>
      <c r="B2080" s="2">
        <v>46230.734606481499</v>
      </c>
      <c r="C2080" s="2">
        <v>46230.786562499998</v>
      </c>
      <c r="D2080" s="1" t="s">
        <v>24</v>
      </c>
      <c r="E2080" s="1"/>
      <c r="F2080" s="29">
        <v>46230</v>
      </c>
      <c r="G2080" s="29">
        <v>46230</v>
      </c>
      <c r="H2080" s="1" t="s">
        <v>3007</v>
      </c>
      <c r="I2080" s="1" t="s">
        <v>4855</v>
      </c>
      <c r="J2080" s="175"/>
      <c r="K2080" s="171" t="s">
        <v>4856</v>
      </c>
      <c r="L2080" s="62">
        <v>23152772</v>
      </c>
      <c r="M2080" s="30">
        <v>6141026323</v>
      </c>
      <c r="N2080" s="172" t="s">
        <v>28</v>
      </c>
      <c r="O2080" s="67">
        <v>33404.51</v>
      </c>
      <c r="P2080" s="99"/>
      <c r="Q2080" s="42">
        <f>OfficeForms.Table[[#This Row],[ INFORMEDEPAGO ]]*0.3</f>
        <v>10021.353000000001</v>
      </c>
      <c r="R2080" s="12">
        <f>(IF(O2080&lt;4172.98,0,MIN(O2080*0.3,O2080-4172.98)))-P2080</f>
        <v>10021.353000000001</v>
      </c>
      <c r="S2080" s="78"/>
      <c r="T2080" s="1"/>
      <c r="V2080" s="1"/>
      <c r="X2080" s="101">
        <v>1</v>
      </c>
    </row>
    <row r="2081" spans="1:24" hidden="1">
      <c r="A2081">
        <v>483</v>
      </c>
      <c r="B2081" s="2">
        <v>46231.329618055599</v>
      </c>
      <c r="C2081" s="2">
        <v>46231.330983796302</v>
      </c>
      <c r="D2081" s="1" t="s">
        <v>24</v>
      </c>
      <c r="E2081" s="1"/>
      <c r="F2081" s="29">
        <v>46231</v>
      </c>
      <c r="G2081" s="29">
        <v>46231</v>
      </c>
      <c r="H2081" s="1" t="s">
        <v>1629</v>
      </c>
      <c r="I2081" s="1" t="s">
        <v>4857</v>
      </c>
      <c r="J2081" s="175">
        <v>10796119666</v>
      </c>
      <c r="K2081" s="171" t="s">
        <v>4858</v>
      </c>
      <c r="L2081" s="62">
        <v>2</v>
      </c>
      <c r="M2081" s="30">
        <v>5512327380</v>
      </c>
      <c r="N2081" s="172" t="s">
        <v>130</v>
      </c>
      <c r="O2081" s="52">
        <v>7882.89</v>
      </c>
      <c r="P2081" s="99">
        <v>2353.0700000000002</v>
      </c>
      <c r="Q2081" s="42">
        <f>OfficeForms.Table[[#This Row],[ INFORMEDEPAGO ]]*0.3</f>
        <v>2364.8670000000002</v>
      </c>
      <c r="R2081" s="12">
        <f>(IF(O2081&lt;4172.98,0,MIN(O2081*0.3,O2081-4172.98)))-P2081</f>
        <v>11.797000000000025</v>
      </c>
      <c r="S2081" s="78">
        <v>46174</v>
      </c>
      <c r="T2081" s="1"/>
      <c r="V2081" s="1"/>
      <c r="X2081" s="101">
        <v>2</v>
      </c>
    </row>
    <row r="2082" spans="1:24" hidden="1">
      <c r="A2082">
        <v>484</v>
      </c>
      <c r="B2082" s="2">
        <v>46231.338541666701</v>
      </c>
      <c r="C2082" s="2">
        <v>46231.356226851902</v>
      </c>
      <c r="D2082" s="1" t="s">
        <v>24</v>
      </c>
      <c r="E2082" s="1"/>
      <c r="F2082" s="29">
        <v>46231</v>
      </c>
      <c r="G2082" s="29">
        <v>46228</v>
      </c>
      <c r="H2082" s="1" t="s">
        <v>3572</v>
      </c>
      <c r="I2082" s="1" t="s">
        <v>4859</v>
      </c>
      <c r="J2082" s="175">
        <v>83905802639</v>
      </c>
      <c r="K2082" s="171" t="s">
        <v>4860</v>
      </c>
      <c r="L2082" s="62">
        <v>23105646</v>
      </c>
      <c r="M2082" s="30">
        <v>5219371229503</v>
      </c>
      <c r="N2082" s="172" t="s">
        <v>98</v>
      </c>
      <c r="O2082" s="67"/>
      <c r="P2082" s="99"/>
      <c r="Q2082" s="42">
        <f>OfficeForms.Table[[#This Row],[ INFORMEDEPAGO ]]*0.3</f>
        <v>0</v>
      </c>
      <c r="R2082" s="12">
        <f>(IF(O2082&lt;4172.98,0,MIN(O2082*0.3,O2082-4172.98)))-P2082</f>
        <v>0</v>
      </c>
      <c r="S2082" s="78"/>
      <c r="T2082" s="1"/>
      <c r="V2082" s="1"/>
      <c r="X2082" s="101">
        <v>0</v>
      </c>
    </row>
    <row r="2083" spans="1:24" hidden="1">
      <c r="A2083">
        <v>485</v>
      </c>
      <c r="B2083" s="2">
        <v>46231.323194444398</v>
      </c>
      <c r="C2083" s="2">
        <v>46231.363032407397</v>
      </c>
      <c r="D2083" s="1" t="s">
        <v>24</v>
      </c>
      <c r="E2083" s="1"/>
      <c r="F2083" s="29">
        <v>46231</v>
      </c>
      <c r="G2083" s="29">
        <v>46231</v>
      </c>
      <c r="H2083" s="1" t="s">
        <v>1625</v>
      </c>
      <c r="I2083" s="1" t="s">
        <v>4861</v>
      </c>
      <c r="J2083" s="175">
        <v>54796366042</v>
      </c>
      <c r="K2083" s="171" t="s">
        <v>4862</v>
      </c>
      <c r="L2083" s="62">
        <v>2</v>
      </c>
      <c r="M2083" s="30">
        <v>3325768776</v>
      </c>
      <c r="N2083" s="172" t="s">
        <v>106</v>
      </c>
      <c r="O2083" s="52">
        <v>9081.52</v>
      </c>
      <c r="P2083" s="99">
        <v>2516.44</v>
      </c>
      <c r="Q2083" s="42">
        <f>OfficeForms.Table[[#This Row],[ INFORMEDEPAGO ]]*0.3</f>
        <v>2724.4560000000001</v>
      </c>
      <c r="R2083" s="12">
        <f>(IF(O2083&lt;4172.98,0,MIN(O2083*0.3,O2083-4172.98)))-P2083</f>
        <v>208.01600000000008</v>
      </c>
      <c r="S2083" s="78">
        <v>46204</v>
      </c>
      <c r="T2083" s="1"/>
      <c r="V2083" s="1"/>
      <c r="X2083" s="101">
        <v>2</v>
      </c>
    </row>
    <row r="2084" spans="1:24" hidden="1">
      <c r="A2084">
        <v>486</v>
      </c>
      <c r="B2084" s="2">
        <v>46231.364849537</v>
      </c>
      <c r="C2084" s="2">
        <v>46231.365983796299</v>
      </c>
      <c r="D2084" s="1" t="s">
        <v>24</v>
      </c>
      <c r="E2084" s="1"/>
      <c r="F2084" s="29">
        <v>46231</v>
      </c>
      <c r="G2084" s="29">
        <v>46231</v>
      </c>
      <c r="H2084" s="1" t="s">
        <v>1629</v>
      </c>
      <c r="I2084" s="1" t="s">
        <v>4863</v>
      </c>
      <c r="J2084" s="175">
        <v>43936015221</v>
      </c>
      <c r="K2084" s="171" t="s">
        <v>4864</v>
      </c>
      <c r="L2084" s="62">
        <v>2</v>
      </c>
      <c r="M2084" s="30">
        <v>8262651173</v>
      </c>
      <c r="N2084" s="172" t="s">
        <v>37</v>
      </c>
      <c r="O2084" s="52">
        <v>7920.51</v>
      </c>
      <c r="P2084" s="99">
        <v>2290</v>
      </c>
      <c r="Q2084" s="42">
        <f>OfficeForms.Table[[#This Row],[ INFORMEDEPAGO ]]*0.3</f>
        <v>2376.1529999999998</v>
      </c>
      <c r="R2084" s="12">
        <f>(IF(O2084&lt;4172.98,0,MIN(O2084*0.3,O2084-4172.98)))-P2084</f>
        <v>86.152999999999793</v>
      </c>
      <c r="S2084" s="78">
        <v>46569</v>
      </c>
      <c r="T2084" s="1"/>
      <c r="V2084" s="1"/>
      <c r="X2084" s="101">
        <v>2</v>
      </c>
    </row>
    <row r="2085" spans="1:24" hidden="1">
      <c r="A2085">
        <v>487</v>
      </c>
      <c r="B2085" s="2">
        <v>46231.363090277802</v>
      </c>
      <c r="C2085" s="2">
        <v>46231.373368055603</v>
      </c>
      <c r="D2085" s="1" t="s">
        <v>24</v>
      </c>
      <c r="E2085" s="1"/>
      <c r="F2085" s="29">
        <v>46231</v>
      </c>
      <c r="G2085" s="29">
        <v>46231</v>
      </c>
      <c r="H2085" s="1" t="s">
        <v>1625</v>
      </c>
      <c r="I2085" s="1" t="s">
        <v>4865</v>
      </c>
      <c r="J2085" s="175">
        <v>62968105361</v>
      </c>
      <c r="K2085" s="171" t="s">
        <v>4866</v>
      </c>
      <c r="L2085" s="62">
        <v>2</v>
      </c>
      <c r="M2085" s="30">
        <v>2226929743</v>
      </c>
      <c r="N2085" s="172" t="s">
        <v>37</v>
      </c>
      <c r="O2085" s="52">
        <v>5383.48</v>
      </c>
      <c r="P2085" s="99">
        <v>1164.6199999999999</v>
      </c>
      <c r="Q2085" s="42">
        <f>OfficeForms.Table[[#This Row],[ INFORMEDEPAGO ]]*0.3</f>
        <v>1615.0439999999999</v>
      </c>
      <c r="R2085" s="12">
        <f>(IF(O2085&lt;4172.98,0,MIN(O2085*0.3,O2085-4172.98)))-P2085</f>
        <v>45.880000000000109</v>
      </c>
      <c r="S2085" s="78">
        <v>46631</v>
      </c>
      <c r="T2085" s="1" t="s">
        <v>259</v>
      </c>
      <c r="V2085" s="1"/>
      <c r="X2085" s="101">
        <v>2</v>
      </c>
    </row>
    <row r="2086" spans="1:24" hidden="1">
      <c r="A2086">
        <v>488</v>
      </c>
      <c r="B2086" s="2">
        <v>46231.379155092603</v>
      </c>
      <c r="C2086" s="2">
        <v>46231.379525463002</v>
      </c>
      <c r="D2086" s="1" t="s">
        <v>24</v>
      </c>
      <c r="E2086" s="1"/>
      <c r="F2086" s="29">
        <v>46231</v>
      </c>
      <c r="G2086" s="29">
        <v>46230</v>
      </c>
      <c r="H2086" s="1" t="s">
        <v>3007</v>
      </c>
      <c r="I2086" s="1" t="s">
        <v>4867</v>
      </c>
      <c r="J2086" s="175">
        <v>24866451065</v>
      </c>
      <c r="K2086" s="171"/>
      <c r="L2086" s="62">
        <v>23154162</v>
      </c>
      <c r="M2086" s="30">
        <v>6474872964</v>
      </c>
      <c r="N2086" s="172" t="s">
        <v>37</v>
      </c>
      <c r="O2086" s="52">
        <v>9760.32</v>
      </c>
      <c r="P2086" s="99">
        <v>2823.89</v>
      </c>
      <c r="Q2086" s="42">
        <f>OfficeForms.Table[[#This Row],[ INFORMEDEPAGO ]]*0.3</f>
        <v>2928.096</v>
      </c>
      <c r="R2086" s="12">
        <f>(IF(O2086&lt;4172.98,0,MIN(O2086*0.3,O2086-4172.98)))-P2086</f>
        <v>104.20600000000013</v>
      </c>
      <c r="S2086" s="78">
        <v>46692</v>
      </c>
      <c r="T2086" s="1"/>
      <c r="V2086" s="1"/>
      <c r="X2086" s="101">
        <v>2</v>
      </c>
    </row>
    <row r="2087" spans="1:24" hidden="1">
      <c r="A2087">
        <v>489</v>
      </c>
      <c r="B2087" s="2">
        <v>46231.373414351903</v>
      </c>
      <c r="C2087" s="2">
        <v>46231.385439814803</v>
      </c>
      <c r="D2087" s="1" t="s">
        <v>24</v>
      </c>
      <c r="E2087" s="1"/>
      <c r="F2087" s="29">
        <v>46231</v>
      </c>
      <c r="G2087" s="29">
        <v>46231</v>
      </c>
      <c r="H2087" s="1" t="s">
        <v>1625</v>
      </c>
      <c r="I2087" s="1" t="s">
        <v>4868</v>
      </c>
      <c r="J2087" s="175" t="s">
        <v>4869</v>
      </c>
      <c r="K2087" s="171" t="s">
        <v>4870</v>
      </c>
      <c r="L2087" s="62">
        <v>2</v>
      </c>
      <c r="M2087" s="30">
        <v>5545435538</v>
      </c>
      <c r="N2087" s="172" t="s">
        <v>37</v>
      </c>
      <c r="O2087" s="52">
        <v>8539.89</v>
      </c>
      <c r="P2087" s="99">
        <v>2470.6999999999998</v>
      </c>
      <c r="Q2087" s="42">
        <f>OfficeForms.Table[[#This Row],[ INFORMEDEPAGO ]]*0.3</f>
        <v>2561.9669999999996</v>
      </c>
      <c r="R2087" s="12">
        <f>(IF(O2087&lt;4172.98,0,MIN(O2087*0.3,O2087-4172.98)))-P2087</f>
        <v>91.266999999999825</v>
      </c>
      <c r="S2087" s="78">
        <v>46753</v>
      </c>
      <c r="T2087" s="1"/>
      <c r="V2087" s="1"/>
      <c r="X2087" s="101">
        <v>2</v>
      </c>
    </row>
    <row r="2088" spans="1:24" hidden="1">
      <c r="A2088">
        <v>490</v>
      </c>
      <c r="B2088" s="2">
        <v>46231.3833564815</v>
      </c>
      <c r="C2088" s="2">
        <v>46231.385451388902</v>
      </c>
      <c r="D2088" s="1" t="s">
        <v>24</v>
      </c>
      <c r="E2088" s="1"/>
      <c r="F2088" s="29">
        <v>46231</v>
      </c>
      <c r="G2088" s="29">
        <v>46230</v>
      </c>
      <c r="H2088" s="1" t="s">
        <v>3036</v>
      </c>
      <c r="I2088" s="1" t="s">
        <v>4871</v>
      </c>
      <c r="J2088" s="175"/>
      <c r="K2088" s="171" t="s">
        <v>4872</v>
      </c>
      <c r="L2088" s="62">
        <v>23155636</v>
      </c>
      <c r="M2088" s="30">
        <v>5219211951030</v>
      </c>
      <c r="N2088" s="172" t="s">
        <v>130</v>
      </c>
      <c r="O2088" s="52">
        <v>5642.22</v>
      </c>
      <c r="P2088" s="99">
        <v>1176.29</v>
      </c>
      <c r="Q2088" s="42">
        <f>OfficeForms.Table[[#This Row],[ INFORMEDEPAGO ]]*0.3</f>
        <v>1692.6659999999999</v>
      </c>
      <c r="R2088" s="12">
        <f>(IF(O2088&lt;4172.98,0,MIN(O2088*0.3,O2088-4172.98)))-P2088</f>
        <v>292.95000000000073</v>
      </c>
      <c r="S2088" s="78">
        <v>45474</v>
      </c>
      <c r="T2088" s="1"/>
      <c r="V2088" s="1"/>
      <c r="X2088" s="101">
        <v>2</v>
      </c>
    </row>
    <row r="2089" spans="1:24" hidden="1">
      <c r="A2089">
        <v>491</v>
      </c>
      <c r="B2089" s="2">
        <v>46231.382708333302</v>
      </c>
      <c r="C2089" s="2">
        <v>46231.390150462998</v>
      </c>
      <c r="D2089" s="1" t="s">
        <v>24</v>
      </c>
      <c r="E2089" s="1"/>
      <c r="F2089" s="29">
        <v>46231</v>
      </c>
      <c r="G2089" s="29">
        <v>46231</v>
      </c>
      <c r="H2089" s="1" t="s">
        <v>1519</v>
      </c>
      <c r="I2089" s="1" t="s">
        <v>4873</v>
      </c>
      <c r="J2089" s="175">
        <v>2195787040</v>
      </c>
      <c r="K2089" s="171" t="s">
        <v>4874</v>
      </c>
      <c r="L2089" s="62">
        <v>23136534</v>
      </c>
      <c r="M2089" s="30">
        <v>5216861572115</v>
      </c>
      <c r="N2089" s="172" t="s">
        <v>28</v>
      </c>
      <c r="O2089" s="67">
        <v>8035.74</v>
      </c>
      <c r="P2089" s="99"/>
      <c r="Q2089" s="42">
        <f>OfficeForms.Table[[#This Row],[ INFORMEDEPAGO ]]*0.3</f>
        <v>2410.7219999999998</v>
      </c>
      <c r="R2089" s="12">
        <f>(IF(O2089&lt;4172.98,0,MIN(O2089*0.3,O2089-4172.98)))-P2089</f>
        <v>2410.7219999999998</v>
      </c>
      <c r="S2089" s="78"/>
      <c r="T2089" s="1"/>
      <c r="V2089" s="1"/>
      <c r="X2089" s="101">
        <v>1</v>
      </c>
    </row>
    <row r="2090" spans="1:24" hidden="1">
      <c r="A2090">
        <v>492</v>
      </c>
      <c r="B2090" s="2">
        <v>46231.388993055603</v>
      </c>
      <c r="C2090" s="2">
        <v>46231.3915277778</v>
      </c>
      <c r="D2090" s="1" t="s">
        <v>24</v>
      </c>
      <c r="E2090" s="1"/>
      <c r="F2090" s="29">
        <v>46231</v>
      </c>
      <c r="G2090" s="29">
        <v>46230</v>
      </c>
      <c r="H2090" s="1" t="s">
        <v>3036</v>
      </c>
      <c r="I2090" s="1" t="s">
        <v>4875</v>
      </c>
      <c r="J2090" s="175">
        <v>40927330924</v>
      </c>
      <c r="K2090" s="171"/>
      <c r="L2090" s="62">
        <v>23157096</v>
      </c>
      <c r="M2090" s="30">
        <v>5218146154936</v>
      </c>
      <c r="N2090" s="172" t="s">
        <v>28</v>
      </c>
      <c r="O2090" s="67">
        <v>9582.4699999999993</v>
      </c>
      <c r="P2090" s="99"/>
      <c r="Q2090" s="42">
        <f>OfficeForms.Table[[#This Row],[ INFORMEDEPAGO ]]*0.3</f>
        <v>2874.7409999999995</v>
      </c>
      <c r="R2090" s="12">
        <f>(IF(O2090&lt;4172.98,0,MIN(O2090*0.3,O2090-4172.98)))-P2090</f>
        <v>2874.7409999999995</v>
      </c>
      <c r="S2090" s="78"/>
      <c r="T2090" s="1"/>
      <c r="V2090" s="1"/>
      <c r="X2090" s="101">
        <v>1</v>
      </c>
    </row>
    <row r="2091" spans="1:24" hidden="1">
      <c r="A2091">
        <v>493</v>
      </c>
      <c r="B2091" s="2">
        <v>46231.390474537002</v>
      </c>
      <c r="C2091" s="2">
        <v>46231.392141203702</v>
      </c>
      <c r="D2091" s="1" t="s">
        <v>24</v>
      </c>
      <c r="E2091" s="1"/>
      <c r="F2091" s="29">
        <v>46231</v>
      </c>
      <c r="G2091" s="29">
        <v>46230</v>
      </c>
      <c r="H2091" s="1" t="s">
        <v>3007</v>
      </c>
      <c r="I2091" s="1" t="s">
        <v>4876</v>
      </c>
      <c r="J2091" s="175">
        <v>33078217321</v>
      </c>
      <c r="K2091" s="171" t="s">
        <v>4877</v>
      </c>
      <c r="L2091" s="62">
        <v>23158680</v>
      </c>
      <c r="M2091" s="30">
        <v>6141702393</v>
      </c>
      <c r="N2091" s="172" t="s">
        <v>37</v>
      </c>
      <c r="O2091" s="67">
        <v>4956.93</v>
      </c>
      <c r="P2091" s="99" t="s">
        <v>4878</v>
      </c>
      <c r="Q2091" s="42">
        <f>OfficeForms.Table[[#This Row],[ INFORMEDEPAGO ]]*0.3</f>
        <v>1487.079</v>
      </c>
      <c r="R2091" s="12">
        <f>(IF(O2091&lt;4172.98,0,MIN(O2091*0.3,O2091-4172.98)))-P2091</f>
        <v>58.4800000000007</v>
      </c>
      <c r="S2091" s="78">
        <v>46296</v>
      </c>
      <c r="T2091" s="1"/>
      <c r="V2091" s="1"/>
      <c r="X2091" s="101">
        <v>2</v>
      </c>
    </row>
    <row r="2092" spans="1:24" hidden="1">
      <c r="A2092">
        <v>494</v>
      </c>
      <c r="B2092" s="2">
        <v>46231.394027777802</v>
      </c>
      <c r="C2092" s="2">
        <v>46231.394814814797</v>
      </c>
      <c r="D2092" s="1" t="s">
        <v>24</v>
      </c>
      <c r="E2092" s="1"/>
      <c r="F2092" s="29">
        <v>46231</v>
      </c>
      <c r="G2092" s="29">
        <v>46230</v>
      </c>
      <c r="H2092" s="1" t="s">
        <v>3007</v>
      </c>
      <c r="I2092" s="1" t="s">
        <v>4879</v>
      </c>
      <c r="J2092" s="175">
        <v>72957617227</v>
      </c>
      <c r="K2092" s="171" t="s">
        <v>4880</v>
      </c>
      <c r="L2092" s="62">
        <v>23154344</v>
      </c>
      <c r="M2092" s="30">
        <v>7442419297</v>
      </c>
      <c r="N2092" s="172" t="s">
        <v>98</v>
      </c>
      <c r="O2092" s="67"/>
      <c r="P2092" s="99"/>
      <c r="Q2092" s="42">
        <f>OfficeForms.Table[[#This Row],[ INFORMEDEPAGO ]]*0.3</f>
        <v>0</v>
      </c>
      <c r="R2092" s="12">
        <f>(IF(O2092&lt;4172.98,0,MIN(O2092*0.3,O2092-4172.98)))-P2092</f>
        <v>0</v>
      </c>
      <c r="S2092" s="78"/>
      <c r="T2092" s="1"/>
      <c r="V2092" s="1"/>
      <c r="X2092" s="101">
        <v>0</v>
      </c>
    </row>
    <row r="2093" spans="1:24" hidden="1">
      <c r="A2093">
        <v>495</v>
      </c>
      <c r="B2093" s="2">
        <v>46231.400520833296</v>
      </c>
      <c r="C2093" s="2">
        <v>46231.400937500002</v>
      </c>
      <c r="D2093" s="1" t="s">
        <v>24</v>
      </c>
      <c r="E2093" s="1"/>
      <c r="F2093" s="29">
        <v>46231</v>
      </c>
      <c r="G2093" s="29">
        <v>46230</v>
      </c>
      <c r="H2093" s="1" t="s">
        <v>3007</v>
      </c>
      <c r="I2093" s="1" t="s">
        <v>4881</v>
      </c>
      <c r="J2093" s="209" t="s">
        <v>4882</v>
      </c>
      <c r="K2093" s="171"/>
      <c r="L2093" s="62">
        <v>23154780</v>
      </c>
      <c r="M2093" s="30">
        <v>9932355781</v>
      </c>
      <c r="N2093" s="172" t="s">
        <v>235</v>
      </c>
      <c r="O2093" s="67"/>
      <c r="P2093" s="99"/>
      <c r="Q2093" s="42">
        <f>OfficeForms.Table[[#This Row],[ INFORMEDEPAGO ]]*0.3</f>
        <v>0</v>
      </c>
      <c r="R2093" s="12">
        <f>(IF(O2093&lt;4172.98,0,MIN(O2093*0.3,O2093-4172.98)))-P2093</f>
        <v>0</v>
      </c>
      <c r="S2093" s="78"/>
      <c r="T2093" s="1"/>
      <c r="V2093" s="1"/>
      <c r="X2093" s="101">
        <v>1</v>
      </c>
    </row>
    <row r="2094" spans="1:24" hidden="1">
      <c r="A2094">
        <v>496</v>
      </c>
      <c r="B2094" s="2">
        <v>46231.408344907402</v>
      </c>
      <c r="C2094" s="2">
        <v>46231.4119907407</v>
      </c>
      <c r="D2094" s="1" t="s">
        <v>24</v>
      </c>
      <c r="E2094" s="1"/>
      <c r="F2094" s="29">
        <v>46231</v>
      </c>
      <c r="G2094" s="29">
        <v>46231</v>
      </c>
      <c r="H2094" s="1" t="s">
        <v>1629</v>
      </c>
      <c r="I2094" s="1" t="s">
        <v>1304</v>
      </c>
      <c r="J2094" s="175">
        <v>65825847950</v>
      </c>
      <c r="K2094" s="171" t="s">
        <v>1305</v>
      </c>
      <c r="L2094" s="62">
        <v>2</v>
      </c>
      <c r="M2094" s="30">
        <v>2283586911</v>
      </c>
      <c r="N2094" s="172" t="s">
        <v>37</v>
      </c>
      <c r="O2094" s="52">
        <v>5046.1899999999996</v>
      </c>
      <c r="P2094" s="99">
        <v>842.13</v>
      </c>
      <c r="Q2094" s="42">
        <f>OfficeForms.Table[[#This Row],[ INFORMEDEPAGO ]]*0.3</f>
        <v>1513.8569999999997</v>
      </c>
      <c r="R2094" s="12">
        <f>(IF(O2094&lt;4172.98,0,MIN(O2094*0.3,O2094-4172.98)))-P2094</f>
        <v>31.080000000000041</v>
      </c>
      <c r="S2094" s="78">
        <v>46508</v>
      </c>
      <c r="T2094" s="1"/>
      <c r="V2094" s="1"/>
      <c r="X2094" s="101">
        <v>2</v>
      </c>
    </row>
    <row r="2095" spans="1:24" hidden="1">
      <c r="A2095">
        <v>497</v>
      </c>
      <c r="B2095" s="2">
        <v>46231.415000000001</v>
      </c>
      <c r="C2095" s="2">
        <v>46231.415648148097</v>
      </c>
      <c r="D2095" s="1" t="s">
        <v>24</v>
      </c>
      <c r="E2095" s="1"/>
      <c r="F2095" s="29">
        <v>46231</v>
      </c>
      <c r="G2095" s="29">
        <v>46230</v>
      </c>
      <c r="H2095" s="1" t="s">
        <v>3352</v>
      </c>
      <c r="I2095" s="1" t="s">
        <v>4883</v>
      </c>
      <c r="J2095" s="175">
        <v>43756017679</v>
      </c>
      <c r="K2095" s="171"/>
      <c r="L2095" s="62">
        <v>23159746</v>
      </c>
      <c r="M2095" s="30">
        <v>8132323118</v>
      </c>
      <c r="N2095" s="172" t="s">
        <v>37</v>
      </c>
      <c r="O2095" s="52">
        <v>5617.63</v>
      </c>
      <c r="P2095" s="99">
        <v>1336</v>
      </c>
      <c r="Q2095" s="42">
        <f>OfficeForms.Table[[#This Row],[ INFORMEDEPAGO ]]*0.3</f>
        <v>1685.289</v>
      </c>
      <c r="R2095" s="12">
        <f>(IF(O2095&lt;4172.98,0,MIN(O2095*0.3,O2095-4172.98)))-P2095</f>
        <v>108.65000000000055</v>
      </c>
      <c r="S2095" s="78">
        <v>46388</v>
      </c>
      <c r="T2095" s="1"/>
      <c r="V2095" s="1"/>
      <c r="X2095" s="101">
        <v>2</v>
      </c>
    </row>
    <row r="2096" spans="1:24" hidden="1">
      <c r="A2096">
        <v>498</v>
      </c>
      <c r="B2096" s="2">
        <v>46231.417233796303</v>
      </c>
      <c r="C2096" s="2">
        <v>46231.417916666702</v>
      </c>
      <c r="D2096" s="1" t="s">
        <v>24</v>
      </c>
      <c r="E2096" s="1"/>
      <c r="F2096" s="29">
        <v>46231</v>
      </c>
      <c r="G2096" s="29">
        <v>46231</v>
      </c>
      <c r="H2096" s="1" t="s">
        <v>3022</v>
      </c>
      <c r="I2096" s="1" t="s">
        <v>4884</v>
      </c>
      <c r="J2096" s="175">
        <v>12876983797</v>
      </c>
      <c r="K2096" s="171"/>
      <c r="L2096" s="62">
        <v>23158722</v>
      </c>
      <c r="M2096" s="30">
        <v>4491476126</v>
      </c>
      <c r="N2096" s="172" t="s">
        <v>32</v>
      </c>
      <c r="O2096" s="67">
        <v>3873.29</v>
      </c>
      <c r="P2096" s="99"/>
      <c r="Q2096" s="42">
        <f>OfficeForms.Table[[#This Row],[ INFORMEDEPAGO ]]*0.3</f>
        <v>1161.9869999999999</v>
      </c>
      <c r="R2096" s="12">
        <f>(IF(O2096&lt;4172.98,0,MIN(O2096*0.3,O2096-4172.98)))-P2096</f>
        <v>0</v>
      </c>
      <c r="S2096" s="78"/>
      <c r="T2096" s="1"/>
      <c r="V2096" s="1"/>
      <c r="X2096" s="101">
        <v>1</v>
      </c>
    </row>
    <row r="2097" spans="1:24" hidden="1">
      <c r="A2097">
        <v>499</v>
      </c>
      <c r="B2097" s="2">
        <v>46231.418460648099</v>
      </c>
      <c r="C2097" s="2">
        <v>46231.419282407398</v>
      </c>
      <c r="D2097" s="1" t="s">
        <v>24</v>
      </c>
      <c r="E2097" s="1"/>
      <c r="F2097" s="29">
        <v>46231</v>
      </c>
      <c r="G2097" s="29">
        <v>46230</v>
      </c>
      <c r="H2097" s="1" t="s">
        <v>3022</v>
      </c>
      <c r="I2097" s="1" t="s">
        <v>4885</v>
      </c>
      <c r="J2097" s="175">
        <v>55886906779</v>
      </c>
      <c r="K2097" s="171" t="s">
        <v>4886</v>
      </c>
      <c r="L2097" s="62">
        <v>23156584</v>
      </c>
      <c r="M2097" s="30">
        <v>3113974431</v>
      </c>
      <c r="N2097" s="172" t="s">
        <v>32</v>
      </c>
      <c r="O2097" s="67">
        <v>1138.83</v>
      </c>
      <c r="P2097" s="99"/>
      <c r="Q2097" s="42">
        <f>OfficeForms.Table[[#This Row],[ INFORMEDEPAGO ]]*0.3</f>
        <v>341.64899999999994</v>
      </c>
      <c r="R2097" s="12">
        <f>(IF(O2097&lt;4172.98,0,MIN(O2097*0.3,O2097-4172.98)))-P2097</f>
        <v>0</v>
      </c>
      <c r="S2097" s="78"/>
      <c r="T2097" s="1"/>
      <c r="V2097" s="1"/>
      <c r="X2097" s="101">
        <v>1</v>
      </c>
    </row>
    <row r="2098" spans="1:24" hidden="1">
      <c r="A2098">
        <v>500</v>
      </c>
      <c r="B2098" s="2">
        <v>46231.409120370401</v>
      </c>
      <c r="C2098" s="2">
        <v>46231.424004629604</v>
      </c>
      <c r="D2098" s="1" t="s">
        <v>24</v>
      </c>
      <c r="E2098" s="1"/>
      <c r="F2098" s="29">
        <v>46231</v>
      </c>
      <c r="G2098" s="29">
        <v>46231</v>
      </c>
      <c r="H2098" s="1" t="s">
        <v>1519</v>
      </c>
      <c r="I2098" s="1" t="s">
        <v>4887</v>
      </c>
      <c r="J2098" s="175"/>
      <c r="K2098" s="171" t="s">
        <v>4888</v>
      </c>
      <c r="L2098" s="62">
        <v>23170874</v>
      </c>
      <c r="M2098" s="30">
        <v>5213322452608</v>
      </c>
      <c r="N2098" s="172" t="s">
        <v>37</v>
      </c>
      <c r="O2098" s="52">
        <v>6411.47</v>
      </c>
      <c r="P2098" s="99">
        <v>1854.99</v>
      </c>
      <c r="Q2098" s="42">
        <f>OfficeForms.Table[[#This Row],[ INFORMEDEPAGO ]]*0.3</f>
        <v>1923.441</v>
      </c>
      <c r="R2098" s="12">
        <f>(IF(O2098&lt;4172.98,0,MIN(O2098*0.3,O2098-4172.98)))-P2098</f>
        <v>68.451000000000022</v>
      </c>
      <c r="S2098" s="78">
        <v>46569</v>
      </c>
      <c r="T2098" s="1"/>
      <c r="V2098" s="1"/>
      <c r="X2098" s="101">
        <v>2</v>
      </c>
    </row>
    <row r="2099" spans="1:24" hidden="1">
      <c r="A2099">
        <v>501</v>
      </c>
      <c r="B2099" s="2">
        <v>46231.396331018499</v>
      </c>
      <c r="C2099" s="2">
        <v>46231.424641203703</v>
      </c>
      <c r="D2099" s="1" t="s">
        <v>24</v>
      </c>
      <c r="E2099" s="1"/>
      <c r="F2099" s="29">
        <v>46231</v>
      </c>
      <c r="G2099" s="29">
        <v>46230</v>
      </c>
      <c r="H2099" s="1" t="s">
        <v>51</v>
      </c>
      <c r="I2099" s="1" t="s">
        <v>4889</v>
      </c>
      <c r="J2099" s="207" t="s">
        <v>4890</v>
      </c>
      <c r="K2099" s="171" t="s">
        <v>4891</v>
      </c>
      <c r="L2099" s="62">
        <v>23144168</v>
      </c>
      <c r="M2099" s="30">
        <v>5218129447675</v>
      </c>
      <c r="N2099" s="172" t="s">
        <v>37</v>
      </c>
      <c r="O2099" s="52">
        <v>23167.9</v>
      </c>
      <c r="P2099" s="99">
        <v>6702.92</v>
      </c>
      <c r="Q2099" s="42">
        <f>OfficeForms.Table[[#This Row],[ INFORMEDEPAGO ]]*0.3</f>
        <v>6950.37</v>
      </c>
      <c r="R2099" s="12">
        <f>(IF(O2099&lt;4172.98,0,MIN(O2099*0.3,O2099-4172.98)))-P2099</f>
        <v>247.44999999999982</v>
      </c>
      <c r="S2099" s="78">
        <v>46419</v>
      </c>
      <c r="T2099" s="1"/>
      <c r="V2099" s="1"/>
      <c r="X2099" s="101">
        <v>2</v>
      </c>
    </row>
    <row r="2100" spans="1:24" hidden="1">
      <c r="A2100">
        <v>502</v>
      </c>
      <c r="B2100" s="2">
        <v>46231.412523148101</v>
      </c>
      <c r="C2100" s="2">
        <v>46231.425162036998</v>
      </c>
      <c r="D2100" s="1" t="s">
        <v>24</v>
      </c>
      <c r="E2100" s="1"/>
      <c r="F2100" s="29">
        <v>46231</v>
      </c>
      <c r="G2100" s="29">
        <v>46231</v>
      </c>
      <c r="H2100" s="1" t="s">
        <v>51</v>
      </c>
      <c r="I2100" s="1" t="s">
        <v>4892</v>
      </c>
      <c r="J2100" s="207" t="s">
        <v>4893</v>
      </c>
      <c r="K2100" s="171" t="s">
        <v>4894</v>
      </c>
      <c r="L2100" s="62">
        <v>23167364</v>
      </c>
      <c r="M2100" s="30">
        <v>5215530087571</v>
      </c>
      <c r="N2100" s="172" t="s">
        <v>37</v>
      </c>
      <c r="O2100" s="52">
        <v>9081.52</v>
      </c>
      <c r="P2100" s="99">
        <v>2598.5700000000002</v>
      </c>
      <c r="Q2100" s="42">
        <f>OfficeForms.Table[[#This Row],[ INFORMEDEPAGO ]]*0.3</f>
        <v>2724.4560000000001</v>
      </c>
      <c r="R2100" s="12">
        <f>(IF(O2100&lt;4172.98,0,MIN(O2100*0.3,O2100-4172.98)))-P2100</f>
        <v>125.88599999999997</v>
      </c>
      <c r="S2100" s="78">
        <v>46478</v>
      </c>
      <c r="T2100" s="1"/>
      <c r="V2100" s="1"/>
      <c r="X2100" s="101">
        <v>2</v>
      </c>
    </row>
    <row r="2101" spans="1:24" hidden="1">
      <c r="A2101">
        <v>503</v>
      </c>
      <c r="B2101" s="2">
        <v>46231.412118055603</v>
      </c>
      <c r="C2101" s="2">
        <v>46231.425578703696</v>
      </c>
      <c r="D2101" s="1" t="s">
        <v>24</v>
      </c>
      <c r="E2101" s="1"/>
      <c r="F2101" s="29">
        <v>46231</v>
      </c>
      <c r="G2101" s="29">
        <v>46231</v>
      </c>
      <c r="H2101" s="1" t="s">
        <v>160</v>
      </c>
      <c r="I2101" s="1" t="s">
        <v>4895</v>
      </c>
      <c r="J2101" s="207">
        <v>24927543892</v>
      </c>
      <c r="K2101" s="171" t="s">
        <v>4896</v>
      </c>
      <c r="L2101" s="62">
        <v>23169892</v>
      </c>
      <c r="M2101" s="30">
        <v>5216677375250</v>
      </c>
      <c r="N2101" s="172" t="s">
        <v>32</v>
      </c>
      <c r="O2101" s="67">
        <v>1999.67</v>
      </c>
      <c r="P2101" s="99" t="s">
        <v>4897</v>
      </c>
      <c r="Q2101" s="42">
        <f>OfficeForms.Table[[#This Row],[ INFORMEDEPAGO ]]*0.3</f>
        <v>599.90099999999995</v>
      </c>
      <c r="R2101" s="12">
        <f>(IF(O2101&lt;4172.98,0,MIN(O2101*0.3,O2101-4172.98)))-P2101</f>
        <v>-499</v>
      </c>
      <c r="S2101" s="78"/>
      <c r="T2101" s="1"/>
      <c r="V2101" s="1"/>
      <c r="X2101" s="101">
        <v>1</v>
      </c>
    </row>
    <row r="2102" spans="1:24" hidden="1">
      <c r="A2102">
        <v>504</v>
      </c>
      <c r="B2102" s="2">
        <v>46231.424861111103</v>
      </c>
      <c r="C2102" s="2">
        <v>46231.425960648201</v>
      </c>
      <c r="D2102" s="1" t="s">
        <v>24</v>
      </c>
      <c r="E2102" s="1"/>
      <c r="F2102" s="29">
        <v>46231</v>
      </c>
      <c r="G2102" s="29">
        <v>46231</v>
      </c>
      <c r="H2102" s="1" t="s">
        <v>1519</v>
      </c>
      <c r="I2102" s="1" t="s">
        <v>4898</v>
      </c>
      <c r="J2102" s="207">
        <v>2376480150</v>
      </c>
      <c r="K2102" s="171" t="s">
        <v>4899</v>
      </c>
      <c r="L2102" s="62">
        <v>23171264</v>
      </c>
      <c r="M2102" s="30">
        <v>13233348850</v>
      </c>
      <c r="N2102" s="172" t="s">
        <v>32</v>
      </c>
      <c r="O2102" s="67">
        <f>3965.69+848</f>
        <v>4813.6900000000005</v>
      </c>
      <c r="P2102" s="99" t="s">
        <v>3921</v>
      </c>
      <c r="Q2102" s="42">
        <f>OfficeForms.Table[[#This Row],[ INFORMEDEPAGO ]]*0.3</f>
        <v>1444.1070000000002</v>
      </c>
      <c r="R2102" s="12">
        <f>(IF(O2102&lt;4172.98,0,MIN(O2102*0.3,O2102-4172.98)))-P2102</f>
        <v>-207.28999999999905</v>
      </c>
      <c r="S2102" s="78"/>
      <c r="T2102" s="1"/>
      <c r="V2102" s="1"/>
      <c r="X2102" s="101">
        <v>1</v>
      </c>
    </row>
    <row r="2103" spans="1:24" hidden="1">
      <c r="A2103">
        <v>505</v>
      </c>
      <c r="B2103" s="2">
        <v>46231.433553240699</v>
      </c>
      <c r="C2103" s="2">
        <v>46231.434097222198</v>
      </c>
      <c r="D2103" s="1" t="s">
        <v>24</v>
      </c>
      <c r="E2103" s="1"/>
      <c r="F2103" s="29">
        <v>46231</v>
      </c>
      <c r="G2103" s="29">
        <v>46230</v>
      </c>
      <c r="H2103" s="1" t="s">
        <v>3575</v>
      </c>
      <c r="I2103" s="1" t="s">
        <v>4900</v>
      </c>
      <c r="J2103" s="207"/>
      <c r="K2103" s="171" t="s">
        <v>4901</v>
      </c>
      <c r="L2103" s="62">
        <v>23147744</v>
      </c>
      <c r="M2103" s="30">
        <v>5214445435324</v>
      </c>
      <c r="N2103" s="172" t="s">
        <v>32</v>
      </c>
      <c r="O2103" s="67">
        <v>2004.46</v>
      </c>
      <c r="P2103" s="99" t="s">
        <v>4902</v>
      </c>
      <c r="Q2103" s="42">
        <f>OfficeForms.Table[[#This Row],[ INFORMEDEPAGO ]]*0.3</f>
        <v>601.33799999999997</v>
      </c>
      <c r="R2103" s="12">
        <f>(IF(O2103&lt;4172.98,0,MIN(O2103*0.3,O2103-4172.98)))-P2103</f>
        <v>-501.46</v>
      </c>
      <c r="S2103" s="78"/>
      <c r="T2103" s="1"/>
      <c r="V2103" s="1"/>
      <c r="X2103" s="101">
        <v>1</v>
      </c>
    </row>
    <row r="2104" spans="1:24" hidden="1">
      <c r="A2104">
        <v>506</v>
      </c>
      <c r="B2104" s="2">
        <v>46231.4246643519</v>
      </c>
      <c r="C2104" s="2">
        <v>46231.436921296299</v>
      </c>
      <c r="D2104" s="1" t="s">
        <v>24</v>
      </c>
      <c r="E2104" s="1"/>
      <c r="F2104" s="29">
        <v>46231</v>
      </c>
      <c r="G2104" s="29">
        <v>46231</v>
      </c>
      <c r="H2104" s="1" t="s">
        <v>51</v>
      </c>
      <c r="I2104" s="1" t="s">
        <v>4903</v>
      </c>
      <c r="J2104" s="207" t="s">
        <v>4904</v>
      </c>
      <c r="K2104" s="171" t="s">
        <v>4905</v>
      </c>
      <c r="L2104" s="62">
        <v>23169420</v>
      </c>
      <c r="M2104" s="30">
        <v>5215626768752</v>
      </c>
      <c r="N2104" s="172" t="s">
        <v>32</v>
      </c>
      <c r="O2104" s="67">
        <v>4342.43</v>
      </c>
      <c r="P2104" s="99"/>
      <c r="Q2104" s="42">
        <f>OfficeForms.Table[[#This Row],[ INFORMEDEPAGO ]]*0.3</f>
        <v>1302.729</v>
      </c>
      <c r="R2104" s="12">
        <f>(IF(O2104&lt;4172.98,0,MIN(O2104*0.3,O2104-4172.98)))-P2104</f>
        <v>169.45000000000073</v>
      </c>
      <c r="S2104" s="78"/>
      <c r="T2104" s="1"/>
      <c r="V2104" s="1"/>
      <c r="X2104" s="101">
        <v>1</v>
      </c>
    </row>
    <row r="2105" spans="1:24" hidden="1">
      <c r="A2105">
        <v>507</v>
      </c>
      <c r="B2105" s="2">
        <v>46231.438912037003</v>
      </c>
      <c r="C2105" s="2">
        <v>46231.439513888901</v>
      </c>
      <c r="D2105" s="1" t="s">
        <v>24</v>
      </c>
      <c r="E2105" s="1"/>
      <c r="F2105" s="29">
        <v>46231</v>
      </c>
      <c r="G2105" s="29">
        <v>46230</v>
      </c>
      <c r="H2105" s="1" t="s">
        <v>3575</v>
      </c>
      <c r="I2105" s="1" t="s">
        <v>4906</v>
      </c>
      <c r="J2105" s="207"/>
      <c r="K2105" s="171" t="s">
        <v>4907</v>
      </c>
      <c r="L2105" s="62">
        <v>23146958</v>
      </c>
      <c r="M2105" s="30">
        <v>5219995823404</v>
      </c>
      <c r="N2105" s="172" t="s">
        <v>32</v>
      </c>
      <c r="O2105" s="67">
        <f>3034.85+848</f>
        <v>3882.85</v>
      </c>
      <c r="P2105" s="99" t="s">
        <v>3921</v>
      </c>
      <c r="Q2105" s="42">
        <f>OfficeForms.Table[[#This Row],[ INFORMEDEPAGO ]]*0.3</f>
        <v>1164.855</v>
      </c>
      <c r="R2105" s="12">
        <f>(IF(O2105&lt;4172.98,0,MIN(O2105*0.3,O2105-4172.98)))-P2105</f>
        <v>-848</v>
      </c>
      <c r="S2105" s="78"/>
      <c r="T2105" s="1"/>
      <c r="V2105" s="1"/>
      <c r="X2105" s="101">
        <v>1</v>
      </c>
    </row>
    <row r="2106" spans="1:24" hidden="1">
      <c r="A2106">
        <v>508</v>
      </c>
      <c r="B2106" s="2">
        <v>46231.440636574102</v>
      </c>
      <c r="C2106" s="2">
        <v>46231.447870370401</v>
      </c>
      <c r="D2106" s="1" t="s">
        <v>24</v>
      </c>
      <c r="E2106" s="1"/>
      <c r="F2106" s="29">
        <v>46231</v>
      </c>
      <c r="G2106" s="29">
        <v>46231</v>
      </c>
      <c r="H2106" s="1" t="s">
        <v>51</v>
      </c>
      <c r="I2106" s="1" t="s">
        <v>4908</v>
      </c>
      <c r="J2106" s="207">
        <v>32816418027</v>
      </c>
      <c r="K2106" s="171" t="s">
        <v>4909</v>
      </c>
      <c r="L2106" s="62">
        <v>23172480</v>
      </c>
      <c r="M2106" s="30">
        <v>5218661418945</v>
      </c>
      <c r="N2106" s="173" t="s">
        <v>37</v>
      </c>
      <c r="O2106" s="52">
        <v>9081.52</v>
      </c>
      <c r="P2106" s="99">
        <v>2723.46</v>
      </c>
      <c r="Q2106" s="42">
        <f>OfficeForms.Table[[#This Row],[ INFORMEDEPAGO ]]*0.3</f>
        <v>2724.4560000000001</v>
      </c>
      <c r="R2106" s="12">
        <f>(IF(O2106&lt;4172.98,0,MIN(O2106*0.3,O2106-4172.98)))-P2106</f>
        <v>0.99600000000009459</v>
      </c>
      <c r="S2106" s="78">
        <v>46844</v>
      </c>
      <c r="T2106" s="1"/>
      <c r="V2106" s="1"/>
      <c r="X2106" s="101">
        <v>2</v>
      </c>
    </row>
    <row r="2107" spans="1:24" hidden="1">
      <c r="A2107">
        <v>509</v>
      </c>
      <c r="B2107" s="2">
        <v>46231.442870370403</v>
      </c>
      <c r="C2107" s="2">
        <v>46231.453900462999</v>
      </c>
      <c r="D2107" s="1" t="s">
        <v>24</v>
      </c>
      <c r="E2107" s="1"/>
      <c r="F2107" s="29">
        <v>46231</v>
      </c>
      <c r="G2107" s="29">
        <v>46231</v>
      </c>
      <c r="H2107" s="1" t="s">
        <v>81</v>
      </c>
      <c r="I2107" s="1" t="s">
        <v>4910</v>
      </c>
      <c r="J2107" s="207"/>
      <c r="K2107" s="171" t="s">
        <v>4911</v>
      </c>
      <c r="L2107" s="62">
        <v>23169826</v>
      </c>
      <c r="M2107" s="30">
        <v>5213322212354</v>
      </c>
      <c r="N2107" s="171" t="s">
        <v>32</v>
      </c>
      <c r="O2107" s="67">
        <v>3635.76</v>
      </c>
      <c r="P2107" s="99"/>
      <c r="Q2107" s="42">
        <f>OfficeForms.Table[[#This Row],[ INFORMEDEPAGO ]]*0.3</f>
        <v>1090.7280000000001</v>
      </c>
      <c r="R2107" s="12">
        <f>(IF(O2107&lt;4172.98,0,MIN(O2107*0.3,O2107-4172.98)))-P2107</f>
        <v>0</v>
      </c>
      <c r="S2107" s="78"/>
      <c r="T2107" s="1"/>
      <c r="V2107" s="1"/>
      <c r="X2107" s="101">
        <v>1</v>
      </c>
    </row>
    <row r="2108" spans="1:24" hidden="1">
      <c r="A2108">
        <v>510</v>
      </c>
      <c r="B2108" s="2">
        <v>46231.455717592602</v>
      </c>
      <c r="C2108" s="2">
        <v>46231.456620370402</v>
      </c>
      <c r="D2108" s="1" t="s">
        <v>24</v>
      </c>
      <c r="E2108" s="1"/>
      <c r="F2108" s="29">
        <v>46231</v>
      </c>
      <c r="G2108" s="29">
        <v>46230</v>
      </c>
      <c r="H2108" s="1" t="s">
        <v>3036</v>
      </c>
      <c r="I2108" s="1" t="s">
        <v>4912</v>
      </c>
      <c r="J2108" s="207">
        <v>20916204561</v>
      </c>
      <c r="K2108" s="171"/>
      <c r="L2108" s="62">
        <v>23159870</v>
      </c>
      <c r="M2108" s="30">
        <v>5217221091523</v>
      </c>
      <c r="N2108" s="171" t="s">
        <v>28</v>
      </c>
      <c r="O2108" s="67">
        <v>9760.32</v>
      </c>
      <c r="P2108" s="99"/>
      <c r="Q2108" s="42">
        <f>OfficeForms.Table[[#This Row],[ INFORMEDEPAGO ]]*0.3</f>
        <v>2928.096</v>
      </c>
      <c r="R2108" s="12">
        <f>(IF(O2108&lt;4172.98,0,MIN(O2108*0.3,O2108-4172.98)))-P2108</f>
        <v>2928.096</v>
      </c>
      <c r="S2108" s="78"/>
      <c r="T2108" s="1"/>
      <c r="V2108" s="1"/>
      <c r="X2108" s="101">
        <v>1</v>
      </c>
    </row>
    <row r="2109" spans="1:24" hidden="1">
      <c r="A2109">
        <v>511</v>
      </c>
      <c r="B2109" s="2">
        <v>46231.455856481502</v>
      </c>
      <c r="C2109" s="2">
        <v>46231.459108796298</v>
      </c>
      <c r="D2109" s="1" t="s">
        <v>24</v>
      </c>
      <c r="E2109" s="1"/>
      <c r="F2109" s="29">
        <v>46231</v>
      </c>
      <c r="G2109" s="29">
        <v>46231</v>
      </c>
      <c r="H2109" s="1" t="s">
        <v>1629</v>
      </c>
      <c r="I2109" s="1" t="s">
        <v>4913</v>
      </c>
      <c r="J2109" s="207">
        <v>49796215405</v>
      </c>
      <c r="K2109" s="171" t="s">
        <v>4914</v>
      </c>
      <c r="L2109" s="62">
        <v>2</v>
      </c>
      <c r="M2109" s="30">
        <v>8999677048</v>
      </c>
      <c r="N2109" s="171" t="s">
        <v>37</v>
      </c>
      <c r="O2109" s="52">
        <v>9504.7000000000007</v>
      </c>
      <c r="P2109" s="99">
        <v>2638.84</v>
      </c>
      <c r="Q2109" s="42">
        <f>OfficeForms.Table[[#This Row],[ INFORMEDEPAGO ]]*0.3</f>
        <v>2851.4100000000003</v>
      </c>
      <c r="R2109" s="12">
        <f>(IF(O2109&lt;4172.98,0,MIN(O2109*0.3,O2109-4172.98)))-P2109</f>
        <v>212.57000000000016</v>
      </c>
      <c r="S2109" s="78">
        <v>46327</v>
      </c>
      <c r="T2109" s="1"/>
      <c r="V2109" s="1"/>
      <c r="X2109" s="101">
        <v>2</v>
      </c>
    </row>
    <row r="2110" spans="1:24" hidden="1">
      <c r="A2110">
        <v>512</v>
      </c>
      <c r="B2110" s="2">
        <v>46231.457557870403</v>
      </c>
      <c r="C2110" s="2">
        <v>46231.4609837963</v>
      </c>
      <c r="D2110" s="1" t="s">
        <v>24</v>
      </c>
      <c r="E2110" s="1"/>
      <c r="F2110" s="29">
        <v>46231</v>
      </c>
      <c r="G2110" s="29">
        <v>46229</v>
      </c>
      <c r="H2110" s="1" t="s">
        <v>39</v>
      </c>
      <c r="I2110" s="1" t="s">
        <v>4915</v>
      </c>
      <c r="J2110" s="207">
        <v>41845100589</v>
      </c>
      <c r="K2110" s="171" t="s">
        <v>4916</v>
      </c>
      <c r="L2110" s="62">
        <v>23123912</v>
      </c>
      <c r="M2110" s="30">
        <v>5214444339686</v>
      </c>
      <c r="N2110" s="171" t="s">
        <v>28</v>
      </c>
      <c r="O2110" s="67">
        <v>6104.8</v>
      </c>
      <c r="P2110" s="99"/>
      <c r="Q2110" s="42">
        <f>OfficeForms.Table[[#This Row],[ INFORMEDEPAGO ]]*0.3</f>
        <v>1831.44</v>
      </c>
      <c r="R2110" s="12">
        <f>(IF(O2110&lt;4172.98,0,MIN(O2110*0.3,O2110-4172.98)))-P2110</f>
        <v>1831.44</v>
      </c>
      <c r="S2110" s="78"/>
      <c r="T2110" s="1"/>
      <c r="V2110" s="1"/>
      <c r="X2110" s="101">
        <v>1</v>
      </c>
    </row>
    <row r="2111" spans="1:24" hidden="1">
      <c r="A2111">
        <v>513</v>
      </c>
      <c r="B2111" s="2">
        <v>46231.386446759301</v>
      </c>
      <c r="C2111" s="2">
        <v>46231.462314814802</v>
      </c>
      <c r="D2111" s="1" t="s">
        <v>24</v>
      </c>
      <c r="E2111" s="1"/>
      <c r="F2111" s="29">
        <v>46231</v>
      </c>
      <c r="G2111" s="29">
        <v>46231</v>
      </c>
      <c r="H2111" s="1" t="s">
        <v>1625</v>
      </c>
      <c r="I2111" s="1" t="s">
        <v>4917</v>
      </c>
      <c r="J2111" s="207" t="s">
        <v>4918</v>
      </c>
      <c r="K2111" s="171" t="s">
        <v>4919</v>
      </c>
      <c r="L2111" s="62">
        <v>2</v>
      </c>
      <c r="M2111" s="30">
        <v>8714672828</v>
      </c>
      <c r="N2111" s="171" t="s">
        <v>28</v>
      </c>
      <c r="O2111" s="67">
        <f>8202.52+879</f>
        <v>9081.52</v>
      </c>
      <c r="P2111" s="99" t="s">
        <v>3934</v>
      </c>
      <c r="Q2111" s="42">
        <f>OfficeForms.Table[[#This Row],[ INFORMEDEPAGO ]]*0.3</f>
        <v>2724.4560000000001</v>
      </c>
      <c r="R2111" s="12">
        <f>(IF(O2111&lt;4172.98,0,MIN(O2111*0.3,O2111-4172.98)))-P2111</f>
        <v>1845.4560000000001</v>
      </c>
      <c r="S2111" s="78"/>
      <c r="T2111" s="1"/>
      <c r="V2111" s="1"/>
      <c r="X2111" s="101">
        <v>1</v>
      </c>
    </row>
    <row r="2112" spans="1:24" hidden="1">
      <c r="A2112">
        <v>514</v>
      </c>
      <c r="B2112" s="2">
        <v>46231.460763888899</v>
      </c>
      <c r="C2112" s="2">
        <v>46231.467314814799</v>
      </c>
      <c r="D2112" s="1" t="s">
        <v>24</v>
      </c>
      <c r="E2112" s="1"/>
      <c r="F2112" s="29">
        <v>46231</v>
      </c>
      <c r="G2112" s="29">
        <v>46231</v>
      </c>
      <c r="H2112" s="1" t="s">
        <v>160</v>
      </c>
      <c r="I2112" s="1" t="s">
        <v>4920</v>
      </c>
      <c r="J2112" s="207">
        <v>49795826111</v>
      </c>
      <c r="K2112" s="171" t="s">
        <v>4921</v>
      </c>
      <c r="L2112" s="62">
        <v>23173862</v>
      </c>
      <c r="M2112" s="30">
        <v>5218671457769</v>
      </c>
      <c r="N2112" s="171" t="s">
        <v>37</v>
      </c>
      <c r="O2112" s="52">
        <v>11515.32</v>
      </c>
      <c r="P2112" s="99">
        <v>3450.08</v>
      </c>
      <c r="Q2112" s="42">
        <f>OfficeForms.Table[[#This Row],[ INFORMEDEPAGO ]]*0.3</f>
        <v>3454.596</v>
      </c>
      <c r="R2112" s="12">
        <f>(IF(O2112&lt;4172.98,0,MIN(O2112*0.3,O2112-4172.98)))-P2112</f>
        <v>4.5160000000000764</v>
      </c>
      <c r="S2112" s="78">
        <v>46357</v>
      </c>
      <c r="T2112" s="1"/>
      <c r="V2112" s="1"/>
      <c r="X2112" s="101">
        <v>2</v>
      </c>
    </row>
    <row r="2113" spans="1:24" hidden="1">
      <c r="A2113">
        <v>515</v>
      </c>
      <c r="B2113" s="2">
        <v>46231.459687499999</v>
      </c>
      <c r="C2113" s="2">
        <v>46231.468935185199</v>
      </c>
      <c r="D2113" s="1" t="s">
        <v>24</v>
      </c>
      <c r="E2113" s="1"/>
      <c r="F2113" s="29">
        <v>46231</v>
      </c>
      <c r="G2113" s="29">
        <v>46231</v>
      </c>
      <c r="H2113" s="1" t="s">
        <v>1519</v>
      </c>
      <c r="I2113" s="1" t="s">
        <v>4922</v>
      </c>
      <c r="J2113" s="207"/>
      <c r="K2113" s="171" t="s">
        <v>4923</v>
      </c>
      <c r="L2113" s="62">
        <v>23172938</v>
      </c>
      <c r="M2113" s="30">
        <v>5218332650307</v>
      </c>
      <c r="N2113" s="171" t="s">
        <v>47</v>
      </c>
      <c r="O2113" s="67">
        <v>4519.22</v>
      </c>
      <c r="P2113" s="99"/>
      <c r="Q2113" s="42">
        <f>OfficeForms.Table[[#This Row],[ INFORMEDEPAGO ]]*0.3</f>
        <v>1355.7660000000001</v>
      </c>
      <c r="R2113" s="12">
        <f>(IF(O2113&lt;4172.98,0,MIN(O2113*0.3,O2113-4172.98)))-P2113</f>
        <v>346.24000000000069</v>
      </c>
      <c r="S2113" s="78"/>
      <c r="T2113" s="1"/>
      <c r="V2113" s="1"/>
      <c r="X2113" s="101">
        <v>1</v>
      </c>
    </row>
    <row r="2114" spans="1:24" hidden="1">
      <c r="A2114">
        <v>516</v>
      </c>
      <c r="B2114" s="2">
        <v>46231.462280092601</v>
      </c>
      <c r="C2114" s="2">
        <v>46231.469398148103</v>
      </c>
      <c r="D2114" s="1" t="s">
        <v>24</v>
      </c>
      <c r="E2114" s="1"/>
      <c r="F2114" s="29">
        <v>46231</v>
      </c>
      <c r="G2114" s="29">
        <v>46231</v>
      </c>
      <c r="H2114" s="1" t="s">
        <v>51</v>
      </c>
      <c r="I2114" s="1" t="s">
        <v>4924</v>
      </c>
      <c r="J2114" s="207">
        <v>72806224894</v>
      </c>
      <c r="K2114" s="171" t="s">
        <v>4925</v>
      </c>
      <c r="L2114" s="62">
        <v>23170974</v>
      </c>
      <c r="M2114" s="30">
        <v>5219981076071</v>
      </c>
      <c r="N2114" s="171" t="s">
        <v>106</v>
      </c>
      <c r="O2114" s="52">
        <v>7116.73</v>
      </c>
      <c r="P2114" s="99">
        <v>1887.88</v>
      </c>
      <c r="Q2114" s="42">
        <f>OfficeForms.Table[[#This Row],[ INFORMEDEPAGO ]]*0.3</f>
        <v>2135.0189999999998</v>
      </c>
      <c r="R2114" s="12">
        <f>(IF(O2114&lt;4172.98,0,MIN(O2114*0.3,O2114-4172.98)))-P2114</f>
        <v>247.13899999999967</v>
      </c>
      <c r="S2114" s="78">
        <v>45962</v>
      </c>
      <c r="T2114" s="1"/>
      <c r="V2114" s="1"/>
      <c r="X2114" s="101">
        <v>2</v>
      </c>
    </row>
    <row r="2115" spans="1:24" hidden="1">
      <c r="A2115">
        <v>517</v>
      </c>
      <c r="B2115" s="2">
        <v>46231.447881944398</v>
      </c>
      <c r="C2115" s="2">
        <v>46231.472488425898</v>
      </c>
      <c r="D2115" s="1" t="s">
        <v>24</v>
      </c>
      <c r="E2115" s="1"/>
      <c r="F2115" s="29">
        <v>46231</v>
      </c>
      <c r="G2115" s="29">
        <v>46231</v>
      </c>
      <c r="H2115" s="1" t="s">
        <v>51</v>
      </c>
      <c r="I2115" s="1" t="s">
        <v>4926</v>
      </c>
      <c r="J2115" s="207">
        <v>3294466003</v>
      </c>
      <c r="K2115" s="171" t="s">
        <v>4927</v>
      </c>
      <c r="L2115" s="62">
        <v>23102450</v>
      </c>
      <c r="M2115" s="30">
        <v>5218641007439</v>
      </c>
      <c r="N2115" s="171" t="s">
        <v>47</v>
      </c>
      <c r="O2115" s="67">
        <v>5055.88</v>
      </c>
      <c r="P2115" s="99"/>
      <c r="Q2115" s="42">
        <f>OfficeForms.Table[[#This Row],[ INFORMEDEPAGO ]]*0.3</f>
        <v>1516.7639999999999</v>
      </c>
      <c r="R2115" s="12">
        <f>(IF(O2115&lt;4172.98,0,MIN(O2115*0.3,O2115-4172.98)))-P2115</f>
        <v>882.90000000000055</v>
      </c>
      <c r="S2115" s="78"/>
      <c r="T2115" s="1"/>
      <c r="V2115" s="1"/>
      <c r="X2115" s="101">
        <v>1</v>
      </c>
    </row>
    <row r="2116" spans="1:24" hidden="1">
      <c r="A2116">
        <v>518</v>
      </c>
      <c r="B2116" s="2">
        <v>46231.472071759301</v>
      </c>
      <c r="C2116" s="2">
        <v>46231.472488425898</v>
      </c>
      <c r="D2116" s="1" t="s">
        <v>24</v>
      </c>
      <c r="E2116" s="1"/>
      <c r="F2116" s="29">
        <v>46231</v>
      </c>
      <c r="G2116" s="29">
        <v>46230</v>
      </c>
      <c r="H2116" s="1" t="s">
        <v>3007</v>
      </c>
      <c r="I2116" s="1" t="s">
        <v>4928</v>
      </c>
      <c r="J2116" s="207"/>
      <c r="K2116" s="171" t="s">
        <v>4929</v>
      </c>
      <c r="L2116" s="62">
        <v>23151996</v>
      </c>
      <c r="M2116" s="30">
        <v>5532839376</v>
      </c>
      <c r="N2116" s="171" t="s">
        <v>28</v>
      </c>
      <c r="O2116" s="52">
        <v>22845.68</v>
      </c>
      <c r="P2116" s="99">
        <v>3231.68</v>
      </c>
      <c r="Q2116" s="42">
        <f>OfficeForms.Table[[#This Row],[ INFORMEDEPAGO ]]*0.3</f>
        <v>6853.7039999999997</v>
      </c>
      <c r="R2116" s="12">
        <f>(IF(O2116&lt;4172.98,0,MIN(O2116*0.3,O2116-4172.98)))-P2116</f>
        <v>3622.0239999999999</v>
      </c>
      <c r="S2116" s="78">
        <v>46784</v>
      </c>
      <c r="T2116" s="1"/>
      <c r="V2116" s="1"/>
      <c r="X2116" s="101">
        <v>2</v>
      </c>
    </row>
    <row r="2117" spans="1:24" hidden="1">
      <c r="A2117">
        <v>519</v>
      </c>
      <c r="B2117" s="2">
        <v>46231.4694212963</v>
      </c>
      <c r="C2117" s="2">
        <v>46231.474664351903</v>
      </c>
      <c r="D2117" s="1" t="s">
        <v>24</v>
      </c>
      <c r="E2117" s="1"/>
      <c r="F2117" s="29">
        <v>46231</v>
      </c>
      <c r="G2117" s="29">
        <v>46231</v>
      </c>
      <c r="H2117" s="1" t="s">
        <v>51</v>
      </c>
      <c r="I2117" s="1" t="s">
        <v>4930</v>
      </c>
      <c r="J2117" s="207">
        <v>41725605293</v>
      </c>
      <c r="K2117" s="171" t="s">
        <v>4931</v>
      </c>
      <c r="L2117" s="62">
        <v>23160156</v>
      </c>
      <c r="M2117" s="30">
        <v>5214811402473</v>
      </c>
      <c r="N2117" s="171" t="s">
        <v>37</v>
      </c>
      <c r="O2117" s="52">
        <v>8214.15</v>
      </c>
      <c r="P2117" s="99">
        <v>2373.23</v>
      </c>
      <c r="Q2117" s="42">
        <f>OfficeForms.Table[[#This Row],[ INFORMEDEPAGO ]]*0.3</f>
        <v>2464.2449999999999</v>
      </c>
      <c r="R2117" s="12">
        <f>(IF(O2117&lt;4172.98,0,MIN(O2117*0.3,O2117-4172.98)))-P2117</f>
        <v>91.014999999999873</v>
      </c>
      <c r="S2117" s="78">
        <v>46388</v>
      </c>
      <c r="T2117" s="1"/>
      <c r="V2117" s="1"/>
      <c r="X2117" s="101">
        <v>2</v>
      </c>
    </row>
    <row r="2118" spans="1:24" hidden="1">
      <c r="A2118">
        <v>520</v>
      </c>
      <c r="B2118" s="2">
        <v>46231.4604398148</v>
      </c>
      <c r="C2118" s="2">
        <v>46231.4760648148</v>
      </c>
      <c r="D2118" s="1" t="s">
        <v>24</v>
      </c>
      <c r="E2118" s="1"/>
      <c r="F2118" s="29">
        <v>46231</v>
      </c>
      <c r="G2118" s="29">
        <v>46230</v>
      </c>
      <c r="H2118" s="1" t="s">
        <v>78</v>
      </c>
      <c r="I2118" s="1" t="s">
        <v>4932</v>
      </c>
      <c r="J2118" s="207" t="s">
        <v>4933</v>
      </c>
      <c r="K2118" s="171" t="s">
        <v>4934</v>
      </c>
      <c r="L2118" s="62">
        <v>23138930</v>
      </c>
      <c r="M2118" s="30">
        <v>5215581785536</v>
      </c>
      <c r="N2118" s="171" t="s">
        <v>32</v>
      </c>
      <c r="O2118" s="67">
        <f>3283.83+879</f>
        <v>4162.83</v>
      </c>
      <c r="P2118" s="99" t="s">
        <v>3934</v>
      </c>
      <c r="Q2118" s="42">
        <f>OfficeForms.Table[[#This Row],[ INFORMEDEPAGO ]]*0.3</f>
        <v>1248.8489999999999</v>
      </c>
      <c r="R2118" s="12">
        <f>(IF(O2118&lt;4172.98,0,MIN(O2118*0.3,O2118-4172.98)))-P2118</f>
        <v>-879</v>
      </c>
      <c r="S2118" s="78"/>
      <c r="T2118" s="1"/>
      <c r="V2118" s="1"/>
      <c r="X2118" s="101">
        <v>1</v>
      </c>
    </row>
    <row r="2119" spans="1:24" hidden="1">
      <c r="A2119">
        <v>521</v>
      </c>
      <c r="B2119" s="2">
        <v>46231.476412037002</v>
      </c>
      <c r="C2119" s="2">
        <v>46231.477175925902</v>
      </c>
      <c r="D2119" s="1" t="s">
        <v>24</v>
      </c>
      <c r="E2119" s="1"/>
      <c r="F2119" s="29">
        <v>46231</v>
      </c>
      <c r="G2119" s="29">
        <v>46228</v>
      </c>
      <c r="H2119" s="1" t="s">
        <v>3575</v>
      </c>
      <c r="I2119" s="1" t="s">
        <v>4935</v>
      </c>
      <c r="J2119" s="207">
        <v>62816210959</v>
      </c>
      <c r="K2119" s="171" t="s">
        <v>4936</v>
      </c>
      <c r="L2119" s="62">
        <v>23108314</v>
      </c>
      <c r="M2119" s="30">
        <v>5216181683447</v>
      </c>
      <c r="N2119" s="171" t="s">
        <v>37</v>
      </c>
      <c r="O2119" s="52">
        <v>37040.089999999997</v>
      </c>
      <c r="P2119" s="99">
        <v>11109.14</v>
      </c>
      <c r="Q2119" s="42">
        <f>OfficeForms.Table[[#This Row],[ INFORMEDEPAGO ]]*0.3</f>
        <v>11112.026999999998</v>
      </c>
      <c r="R2119" s="12">
        <f>(IF(O2119&lt;4172.98,0,MIN(O2119*0.3,O2119-4172.98)))-P2119</f>
        <v>2.8869999999988067</v>
      </c>
      <c r="S2119" s="78">
        <v>46753</v>
      </c>
      <c r="T2119" s="1"/>
      <c r="V2119" s="1"/>
      <c r="X2119" s="101">
        <v>2</v>
      </c>
    </row>
    <row r="2120" spans="1:24" hidden="1">
      <c r="A2120">
        <v>522</v>
      </c>
      <c r="B2120" s="2">
        <v>46231.476076388899</v>
      </c>
      <c r="C2120" s="2">
        <v>46231.481087963002</v>
      </c>
      <c r="D2120" s="1" t="s">
        <v>24</v>
      </c>
      <c r="E2120" s="1"/>
      <c r="F2120" s="29">
        <v>46231</v>
      </c>
      <c r="G2120" s="29">
        <v>46231</v>
      </c>
      <c r="H2120" s="1" t="s">
        <v>160</v>
      </c>
      <c r="I2120" s="1" t="s">
        <v>4937</v>
      </c>
      <c r="J2120" s="207">
        <v>62806106308</v>
      </c>
      <c r="K2120" s="171" t="s">
        <v>4938</v>
      </c>
      <c r="L2120" s="62">
        <v>23173190</v>
      </c>
      <c r="M2120" s="30">
        <v>5212227122973</v>
      </c>
      <c r="N2120" s="171" t="s">
        <v>28</v>
      </c>
      <c r="O2120" s="67">
        <v>12956.25</v>
      </c>
      <c r="P2120" s="99"/>
      <c r="Q2120" s="42">
        <f>OfficeForms.Table[[#This Row],[ INFORMEDEPAGO ]]*0.3</f>
        <v>3886.875</v>
      </c>
      <c r="R2120" s="12">
        <f>(IF(O2120&lt;4172.98,0,MIN(O2120*0.3,O2120-4172.98)))-P2120</f>
        <v>3886.875</v>
      </c>
      <c r="S2120" s="78"/>
      <c r="T2120" s="1"/>
      <c r="V2120" s="1"/>
      <c r="X2120" s="101">
        <v>1</v>
      </c>
    </row>
    <row r="2121" spans="1:24" hidden="1">
      <c r="A2121">
        <v>523</v>
      </c>
      <c r="B2121" s="2">
        <v>46231.453923611101</v>
      </c>
      <c r="C2121" s="2">
        <v>46231.481284722198</v>
      </c>
      <c r="D2121" s="1" t="s">
        <v>24</v>
      </c>
      <c r="E2121" s="1"/>
      <c r="F2121" s="29">
        <v>46231</v>
      </c>
      <c r="G2121" s="29">
        <v>46231</v>
      </c>
      <c r="H2121" s="1" t="s">
        <v>81</v>
      </c>
      <c r="I2121" s="1" t="s">
        <v>4939</v>
      </c>
      <c r="J2121" s="207"/>
      <c r="K2121" s="171" t="s">
        <v>4940</v>
      </c>
      <c r="L2121" s="62">
        <v>23173430</v>
      </c>
      <c r="M2121" s="30">
        <v>5216651463816</v>
      </c>
      <c r="N2121" s="171" t="s">
        <v>37</v>
      </c>
      <c r="O2121" s="52">
        <v>8181.55</v>
      </c>
      <c r="P2121" s="99">
        <v>2271.4899999999998</v>
      </c>
      <c r="Q2121" s="42">
        <f>OfficeForms.Table[[#This Row],[ INFORMEDEPAGO ]]*0.3</f>
        <v>2454.4650000000001</v>
      </c>
      <c r="R2121" s="12">
        <f>(IF(O2121&lt;4172.98,0,MIN(O2121*0.3,O2121-4172.98)))-P2121</f>
        <v>182.97500000000036</v>
      </c>
      <c r="S2121" s="78">
        <v>46357</v>
      </c>
      <c r="T2121" s="1"/>
      <c r="V2121" s="1"/>
      <c r="X2121" s="101">
        <v>2</v>
      </c>
    </row>
    <row r="2122" spans="1:24" hidden="1">
      <c r="A2122">
        <v>524</v>
      </c>
      <c r="B2122" s="2">
        <v>46231.474699074097</v>
      </c>
      <c r="C2122" s="2">
        <v>46231.481342592597</v>
      </c>
      <c r="D2122" s="1" t="s">
        <v>24</v>
      </c>
      <c r="E2122" s="1"/>
      <c r="F2122" s="29">
        <v>46231</v>
      </c>
      <c r="G2122" s="29">
        <v>46231</v>
      </c>
      <c r="H2122" s="1" t="s">
        <v>1519</v>
      </c>
      <c r="I2122" s="1" t="s">
        <v>4941</v>
      </c>
      <c r="J2122" s="207">
        <v>62866704364</v>
      </c>
      <c r="K2122" s="171" t="s">
        <v>4942</v>
      </c>
      <c r="L2122" s="62">
        <v>23172006</v>
      </c>
      <c r="M2122" s="30">
        <v>5212311517908</v>
      </c>
      <c r="N2122" s="171" t="s">
        <v>37</v>
      </c>
      <c r="O2122" s="52">
        <v>7920.51</v>
      </c>
      <c r="P2122" s="99">
        <v>2372.15</v>
      </c>
      <c r="Q2122" s="42">
        <f>OfficeForms.Table[[#This Row],[ INFORMEDEPAGO ]]*0.3</f>
        <v>2376.1529999999998</v>
      </c>
      <c r="R2122" s="12">
        <f>(IF(O2122&lt;4172.98,0,MIN(O2122*0.3,O2122-4172.98)))-P2122</f>
        <v>4.0029999999997017</v>
      </c>
      <c r="S2122" s="78">
        <v>46905</v>
      </c>
      <c r="T2122" s="1"/>
      <c r="V2122" s="1"/>
      <c r="X2122" s="101">
        <v>2</v>
      </c>
    </row>
    <row r="2123" spans="1:24" hidden="1">
      <c r="A2123">
        <v>525</v>
      </c>
      <c r="B2123" s="2">
        <v>46231.480763888903</v>
      </c>
      <c r="C2123" s="2">
        <v>46231.482743055603</v>
      </c>
      <c r="D2123" s="1" t="s">
        <v>24</v>
      </c>
      <c r="E2123" s="1"/>
      <c r="F2123" s="29">
        <v>46231</v>
      </c>
      <c r="G2123" s="29">
        <v>46227</v>
      </c>
      <c r="H2123" s="1" t="s">
        <v>39</v>
      </c>
      <c r="I2123" s="1" t="s">
        <v>4943</v>
      </c>
      <c r="J2123" s="207" t="s">
        <v>4944</v>
      </c>
      <c r="K2123" s="171" t="s">
        <v>4945</v>
      </c>
      <c r="L2123" s="62">
        <v>23092052</v>
      </c>
      <c r="M2123" s="30">
        <v>5212224584129</v>
      </c>
      <c r="N2123" s="171" t="s">
        <v>37</v>
      </c>
      <c r="O2123" s="52">
        <v>9081.52</v>
      </c>
      <c r="P2123" s="99">
        <v>2557.62</v>
      </c>
      <c r="Q2123" s="42">
        <f>OfficeForms.Table[[#This Row],[ INFORMEDEPAGO ]]*0.3</f>
        <v>2724.4560000000001</v>
      </c>
      <c r="R2123" s="12">
        <f>(IF(O2123&lt;4172.98,0,MIN(O2123*0.3,O2123-4172.98)))-P2123</f>
        <v>166.83600000000024</v>
      </c>
      <c r="S2123" s="78">
        <v>46296</v>
      </c>
      <c r="T2123" s="1"/>
      <c r="V2123" s="1"/>
      <c r="X2123" s="101">
        <v>2</v>
      </c>
    </row>
    <row r="2124" spans="1:24" hidden="1">
      <c r="A2124">
        <v>526</v>
      </c>
      <c r="B2124" s="2">
        <v>46231.483402777798</v>
      </c>
      <c r="C2124" s="2">
        <v>46231.4842824074</v>
      </c>
      <c r="D2124" s="1" t="s">
        <v>24</v>
      </c>
      <c r="E2124" s="1"/>
      <c r="F2124" s="29">
        <v>46231</v>
      </c>
      <c r="G2124" s="29">
        <v>46230</v>
      </c>
      <c r="H2124" s="1" t="s">
        <v>3036</v>
      </c>
      <c r="I2124" s="1" t="s">
        <v>4946</v>
      </c>
      <c r="J2124" s="207"/>
      <c r="K2124" s="171" t="s">
        <v>4947</v>
      </c>
      <c r="L2124" s="62">
        <v>23156450</v>
      </c>
      <c r="M2124" s="30">
        <v>5218114833869</v>
      </c>
      <c r="N2124" s="171" t="s">
        <v>37</v>
      </c>
      <c r="O2124" s="52">
        <v>7920.51</v>
      </c>
      <c r="P2124" s="99">
        <v>2291</v>
      </c>
      <c r="Q2124" s="42">
        <f>OfficeForms.Table[[#This Row],[ INFORMEDEPAGO ]]*0.3</f>
        <v>2376.1529999999998</v>
      </c>
      <c r="R2124" s="12">
        <f>(IF(O2124&lt;4172.98,0,MIN(O2124*0.3,O2124-4172.98)))-P2124</f>
        <v>85.152999999999793</v>
      </c>
      <c r="S2124" s="78">
        <v>46753</v>
      </c>
      <c r="T2124" s="1"/>
      <c r="V2124" s="1"/>
      <c r="X2124" s="101">
        <v>2</v>
      </c>
    </row>
    <row r="2125" spans="1:24" hidden="1">
      <c r="A2125">
        <v>527</v>
      </c>
      <c r="B2125" s="2">
        <v>46231.481296296297</v>
      </c>
      <c r="C2125" s="2">
        <v>46231.485659722202</v>
      </c>
      <c r="D2125" s="1" t="s">
        <v>24</v>
      </c>
      <c r="E2125" s="1"/>
      <c r="F2125" s="29">
        <v>46231</v>
      </c>
      <c r="G2125" s="29">
        <v>46231</v>
      </c>
      <c r="H2125" s="1" t="s">
        <v>81</v>
      </c>
      <c r="I2125" s="1" t="s">
        <v>4948</v>
      </c>
      <c r="J2125" s="207">
        <v>24947636924</v>
      </c>
      <c r="K2125" s="171" t="s">
        <v>4949</v>
      </c>
      <c r="L2125" s="62">
        <v>23162690</v>
      </c>
      <c r="M2125" s="30">
        <v>5216421577912</v>
      </c>
      <c r="N2125" s="171" t="s">
        <v>28</v>
      </c>
      <c r="O2125" s="67">
        <f>15331.96-5749.49</f>
        <v>9582.4699999999993</v>
      </c>
      <c r="P2125" s="99"/>
      <c r="Q2125" s="42">
        <f>OfficeForms.Table[[#This Row],[ INFORMEDEPAGO ]]*0.3</f>
        <v>2874.7409999999995</v>
      </c>
      <c r="R2125" s="12">
        <f>(IF(O2125&lt;4172.98,0,MIN(O2125*0.3,O2125-4172.98)))-P2125</f>
        <v>2874.7409999999995</v>
      </c>
      <c r="S2125" s="78"/>
      <c r="T2125" s="1"/>
      <c r="V2125" s="1"/>
      <c r="X2125" s="101">
        <v>1</v>
      </c>
    </row>
    <row r="2126" spans="1:24" hidden="1">
      <c r="A2126">
        <v>528</v>
      </c>
      <c r="B2126" s="2">
        <v>46231.485833333303</v>
      </c>
      <c r="C2126" s="2">
        <v>46231.486724536997</v>
      </c>
      <c r="D2126" s="1" t="s">
        <v>24</v>
      </c>
      <c r="E2126" s="1"/>
      <c r="F2126" s="29">
        <v>46231</v>
      </c>
      <c r="G2126" s="29">
        <v>46229</v>
      </c>
      <c r="H2126" s="1" t="s">
        <v>26</v>
      </c>
      <c r="I2126" s="1" t="s">
        <v>4950</v>
      </c>
      <c r="J2126" s="207">
        <v>96906914328</v>
      </c>
      <c r="K2126" s="171" t="s">
        <v>4951</v>
      </c>
      <c r="L2126" s="62">
        <v>23123188</v>
      </c>
      <c r="M2126" s="30">
        <v>5215581468250</v>
      </c>
      <c r="N2126" s="171" t="s">
        <v>28</v>
      </c>
      <c r="O2126" s="67">
        <v>8782.6</v>
      </c>
      <c r="P2126" s="99"/>
      <c r="Q2126" s="42">
        <f>OfficeForms.Table[[#This Row],[ INFORMEDEPAGO ]]*0.3</f>
        <v>2634.78</v>
      </c>
      <c r="R2126" s="12">
        <f>(IF(O2126&lt;4172.98,0,MIN(O2126*0.3,O2126-4172.98)))-P2126</f>
        <v>2634.78</v>
      </c>
      <c r="S2126" s="78"/>
      <c r="T2126" s="1"/>
      <c r="V2126" s="1"/>
      <c r="X2126" s="101">
        <v>1</v>
      </c>
    </row>
    <row r="2127" spans="1:24" hidden="1">
      <c r="A2127">
        <v>529</v>
      </c>
      <c r="B2127" s="2">
        <v>46231.4832523148</v>
      </c>
      <c r="C2127" s="2">
        <v>46231.4906134259</v>
      </c>
      <c r="D2127" s="1" t="s">
        <v>24</v>
      </c>
      <c r="E2127" s="1"/>
      <c r="F2127" s="29">
        <v>46231</v>
      </c>
      <c r="G2127" s="29">
        <v>46230</v>
      </c>
      <c r="H2127" s="1" t="s">
        <v>68</v>
      </c>
      <c r="I2127" s="1" t="s">
        <v>4952</v>
      </c>
      <c r="J2127" s="207">
        <v>83876904455</v>
      </c>
      <c r="K2127" s="171" t="s">
        <v>4953</v>
      </c>
      <c r="L2127" s="62">
        <v>23144980</v>
      </c>
      <c r="M2127" s="30">
        <v>5219932272695</v>
      </c>
      <c r="N2127" s="171" t="s">
        <v>74</v>
      </c>
      <c r="O2127" s="67"/>
      <c r="P2127" s="99"/>
      <c r="Q2127" s="42">
        <f>OfficeForms.Table[[#This Row],[ INFORMEDEPAGO ]]*0.3</f>
        <v>0</v>
      </c>
      <c r="R2127" s="12">
        <f>(IF(O2127&lt;4172.98,0,MIN(O2127*0.3,O2127-4172.98)))-P2127</f>
        <v>0</v>
      </c>
      <c r="S2127" s="78"/>
      <c r="T2127" s="1"/>
      <c r="V2127" s="1"/>
      <c r="X2127" s="101">
        <v>1</v>
      </c>
    </row>
    <row r="2128" spans="1:24" hidden="1">
      <c r="A2128">
        <v>530</v>
      </c>
      <c r="B2128" s="2">
        <v>46231.489155092597</v>
      </c>
      <c r="C2128" s="2">
        <v>46231.4911111111</v>
      </c>
      <c r="D2128" s="1" t="s">
        <v>24</v>
      </c>
      <c r="E2128" s="1"/>
      <c r="F2128" s="29">
        <v>46231</v>
      </c>
      <c r="G2128" s="29">
        <v>46231</v>
      </c>
      <c r="H2128" s="1" t="s">
        <v>160</v>
      </c>
      <c r="I2128" s="1" t="s">
        <v>4954</v>
      </c>
      <c r="J2128" s="207">
        <v>24816300024</v>
      </c>
      <c r="K2128" s="171" t="s">
        <v>4955</v>
      </c>
      <c r="L2128" s="62">
        <v>23160388</v>
      </c>
      <c r="M2128" s="30">
        <v>5216311295876</v>
      </c>
      <c r="N2128" s="171" t="s">
        <v>37</v>
      </c>
      <c r="O2128" s="43">
        <v>11355.12</v>
      </c>
      <c r="P2128" s="97">
        <v>3406.54</v>
      </c>
      <c r="Q2128" s="42">
        <f>OfficeForms.Table[[#This Row],[ INFORMEDEPAGO ]]*0.3</f>
        <v>3406.5360000000001</v>
      </c>
      <c r="R2128" s="12">
        <f>(IF(O2128&lt;4172.98,0,MIN(O2128*0.3,O2128-4172.98)))-P2128</f>
        <v>-3.9999999999054126E-3</v>
      </c>
      <c r="S2128" s="78">
        <v>46600</v>
      </c>
      <c r="T2128" s="1"/>
      <c r="V2128" s="1"/>
      <c r="X2128" s="101">
        <v>2</v>
      </c>
    </row>
    <row r="2129" spans="1:24" hidden="1">
      <c r="A2129">
        <v>531</v>
      </c>
      <c r="B2129" s="2">
        <v>46231.474687499998</v>
      </c>
      <c r="C2129" s="2">
        <v>46231.492210648197</v>
      </c>
      <c r="D2129" s="1" t="s">
        <v>24</v>
      </c>
      <c r="E2129" s="1"/>
      <c r="F2129" s="29">
        <v>46231</v>
      </c>
      <c r="G2129" s="29">
        <v>46226</v>
      </c>
      <c r="H2129" s="1" t="s">
        <v>51</v>
      </c>
      <c r="I2129" s="1" t="s">
        <v>4956</v>
      </c>
      <c r="J2129" s="207">
        <v>35957965912</v>
      </c>
      <c r="K2129" s="171" t="s">
        <v>4957</v>
      </c>
      <c r="L2129" s="62">
        <v>23024810</v>
      </c>
      <c r="M2129" s="30">
        <v>5216568629540</v>
      </c>
      <c r="N2129" s="171" t="s">
        <v>106</v>
      </c>
      <c r="O2129" s="43">
        <v>5970.22</v>
      </c>
      <c r="P2129" s="97">
        <v>1640.62</v>
      </c>
      <c r="Q2129" s="42">
        <f>OfficeForms.Table[[#This Row],[ INFORMEDEPAGO ]]*0.3</f>
        <v>1791.066</v>
      </c>
      <c r="R2129" s="12">
        <f>(IF(O2129&lt;4172.98,0,MIN(O2129*0.3,O2129-4172.98)))-P2129</f>
        <v>150.44600000000014</v>
      </c>
      <c r="S2129" s="78">
        <v>46113</v>
      </c>
      <c r="T2129" s="1"/>
      <c r="V2129" s="1"/>
      <c r="X2129" s="101">
        <v>2</v>
      </c>
    </row>
    <row r="2130" spans="1:24" hidden="1">
      <c r="A2130">
        <v>532</v>
      </c>
      <c r="B2130" s="2">
        <v>46231.490289351903</v>
      </c>
      <c r="C2130" s="2">
        <v>46231.492604166699</v>
      </c>
      <c r="D2130" s="1" t="s">
        <v>24</v>
      </c>
      <c r="E2130" s="1"/>
      <c r="F2130" s="29">
        <v>46231</v>
      </c>
      <c r="G2130" s="29">
        <v>46223</v>
      </c>
      <c r="H2130" s="1" t="s">
        <v>110</v>
      </c>
      <c r="I2130" s="1" t="s">
        <v>4958</v>
      </c>
      <c r="J2130" s="207" t="s">
        <v>4959</v>
      </c>
      <c r="K2130" s="171"/>
      <c r="L2130" s="62">
        <v>22848066</v>
      </c>
      <c r="M2130" s="30">
        <v>5217121307603</v>
      </c>
      <c r="N2130" s="171" t="s">
        <v>37</v>
      </c>
      <c r="O2130" s="52">
        <v>9760.32</v>
      </c>
      <c r="P2130" s="99">
        <v>2927</v>
      </c>
      <c r="Q2130" s="42">
        <f>OfficeForms.Table[[#This Row],[ INFORMEDEPAGO ]]*0.3</f>
        <v>2928.096</v>
      </c>
      <c r="R2130" s="12">
        <f>(IF(O2130&lt;4172.98,0,MIN(O2130*0.3,O2130-4172.98)))-P2130</f>
        <v>1.0960000000000036</v>
      </c>
      <c r="S2130" s="78">
        <v>46813</v>
      </c>
      <c r="T2130" s="1"/>
      <c r="V2130" s="1"/>
      <c r="X2130" s="101">
        <v>2</v>
      </c>
    </row>
    <row r="2131" spans="1:24" hidden="1">
      <c r="A2131">
        <v>533</v>
      </c>
      <c r="B2131" s="2">
        <v>46231.492939814802</v>
      </c>
      <c r="C2131" s="2">
        <v>46231.493912037004</v>
      </c>
      <c r="D2131" s="1" t="s">
        <v>24</v>
      </c>
      <c r="E2131" s="1"/>
      <c r="F2131" s="29">
        <v>46231</v>
      </c>
      <c r="G2131" s="29">
        <v>46223</v>
      </c>
      <c r="H2131" s="1" t="s">
        <v>110</v>
      </c>
      <c r="I2131" s="1" t="s">
        <v>4960</v>
      </c>
      <c r="J2131" s="207"/>
      <c r="K2131" s="171" t="s">
        <v>4961</v>
      </c>
      <c r="L2131" s="62">
        <v>22845702</v>
      </c>
      <c r="M2131" s="30">
        <v>5219171135098</v>
      </c>
      <c r="N2131" s="171" t="s">
        <v>37</v>
      </c>
      <c r="O2131" s="52">
        <v>6262.86</v>
      </c>
      <c r="P2131" s="99">
        <v>1811.95</v>
      </c>
      <c r="Q2131" s="42">
        <f>OfficeForms.Table[[#This Row],[ INFORMEDEPAGO ]]*0.3</f>
        <v>1878.8579999999997</v>
      </c>
      <c r="R2131" s="12">
        <f>(IF(O2131&lt;4172.98,0,MIN(O2131*0.3,O2131-4172.98)))-P2131</f>
        <v>66.907999999999674</v>
      </c>
      <c r="S2131" s="78">
        <v>46631</v>
      </c>
      <c r="T2131" s="1"/>
      <c r="V2131" s="1"/>
      <c r="X2131" s="101">
        <v>2</v>
      </c>
    </row>
    <row r="2132" spans="1:24" hidden="1">
      <c r="A2132">
        <v>534</v>
      </c>
      <c r="B2132" s="2">
        <v>46231.494224536997</v>
      </c>
      <c r="C2132" s="2">
        <v>46231.500115740702</v>
      </c>
      <c r="D2132" s="1" t="s">
        <v>24</v>
      </c>
      <c r="E2132" s="1"/>
      <c r="F2132" s="29">
        <v>46231</v>
      </c>
      <c r="G2132" s="29">
        <v>46231</v>
      </c>
      <c r="H2132" s="1" t="s">
        <v>1519</v>
      </c>
      <c r="I2132" s="1" t="s">
        <v>4962</v>
      </c>
      <c r="J2132" s="207"/>
      <c r="K2132" s="171" t="s">
        <v>4963</v>
      </c>
      <c r="L2132" s="62">
        <v>23136050</v>
      </c>
      <c r="M2132" s="30">
        <v>5212294058665</v>
      </c>
      <c r="N2132" s="171" t="s">
        <v>37</v>
      </c>
      <c r="O2132" s="43">
        <v>5617.63</v>
      </c>
      <c r="P2132" s="97">
        <v>1332.18</v>
      </c>
      <c r="Q2132" s="42">
        <f>OfficeForms.Table[[#This Row],[ INFORMEDEPAGO ]]*0.3</f>
        <v>1685.289</v>
      </c>
      <c r="R2132" s="12">
        <f>(IF(O2132&lt;4172.98,0,MIN(O2132*0.3,O2132-4172.98)))-P2132</f>
        <v>112.47000000000048</v>
      </c>
      <c r="S2132" s="78">
        <v>46388</v>
      </c>
      <c r="T2132" s="1"/>
      <c r="V2132" s="1"/>
      <c r="X2132" s="101">
        <v>2</v>
      </c>
    </row>
    <row r="2133" spans="1:24" hidden="1">
      <c r="A2133">
        <v>535</v>
      </c>
      <c r="B2133" s="2">
        <v>46231.504317129598</v>
      </c>
      <c r="C2133" s="2">
        <v>46231.505046296297</v>
      </c>
      <c r="D2133" s="1" t="s">
        <v>24</v>
      </c>
      <c r="E2133" s="1"/>
      <c r="F2133" s="29">
        <v>46231</v>
      </c>
      <c r="G2133" s="29">
        <v>46231</v>
      </c>
      <c r="H2133" s="1" t="s">
        <v>3007</v>
      </c>
      <c r="I2133" s="1" t="s">
        <v>4964</v>
      </c>
      <c r="J2133" s="208" t="s">
        <v>4965</v>
      </c>
      <c r="K2133" s="171"/>
      <c r="L2133" s="62">
        <v>23176088</v>
      </c>
      <c r="M2133" s="30">
        <v>8132638387</v>
      </c>
      <c r="N2133" s="171" t="s">
        <v>37</v>
      </c>
      <c r="O2133" s="52">
        <v>9760.32</v>
      </c>
      <c r="P2133" s="99">
        <v>2821.76</v>
      </c>
      <c r="Q2133" s="42">
        <f>OfficeForms.Table[[#This Row],[ INFORMEDEPAGO ]]*0.3</f>
        <v>2928.096</v>
      </c>
      <c r="R2133" s="12">
        <f>(IF(O2133&lt;4172.98,0,MIN(O2133*0.3,O2133-4172.98)))-P2133</f>
        <v>106.33599999999979</v>
      </c>
      <c r="S2133" s="78">
        <v>46478</v>
      </c>
      <c r="T2133" s="1"/>
      <c r="V2133" s="1"/>
      <c r="X2133" s="101">
        <v>2</v>
      </c>
    </row>
    <row r="2134" spans="1:24" hidden="1">
      <c r="A2134">
        <v>536</v>
      </c>
      <c r="B2134" s="2">
        <v>46231.4856828704</v>
      </c>
      <c r="C2134" s="2">
        <v>46231.505243055602</v>
      </c>
      <c r="D2134" s="1" t="s">
        <v>24</v>
      </c>
      <c r="E2134" s="1"/>
      <c r="F2134" s="29">
        <v>46231</v>
      </c>
      <c r="G2134" s="29">
        <v>46231</v>
      </c>
      <c r="H2134" s="1" t="s">
        <v>81</v>
      </c>
      <c r="I2134" s="1" t="s">
        <v>4966</v>
      </c>
      <c r="J2134" s="207"/>
      <c r="K2134" s="171" t="s">
        <v>4967</v>
      </c>
      <c r="L2134" s="62">
        <v>23172936</v>
      </c>
      <c r="M2134" s="30">
        <v>5213338506917</v>
      </c>
      <c r="N2134" s="171" t="s">
        <v>28</v>
      </c>
      <c r="O2134" s="50">
        <v>9760.32</v>
      </c>
      <c r="P2134" s="97"/>
      <c r="Q2134" s="42">
        <f>OfficeForms.Table[[#This Row],[ INFORMEDEPAGO ]]*0.3</f>
        <v>2928.096</v>
      </c>
      <c r="R2134" s="12">
        <f>(IF(O2134&lt;4172.98,0,MIN(O2134*0.3,O2134-4172.98)))-P2134</f>
        <v>2928.096</v>
      </c>
      <c r="S2134" s="78"/>
      <c r="T2134" s="1"/>
      <c r="V2134" s="1"/>
      <c r="X2134" s="101">
        <v>1</v>
      </c>
    </row>
    <row r="2135" spans="1:24" hidden="1">
      <c r="A2135">
        <v>537</v>
      </c>
      <c r="B2135" s="2">
        <v>46231.493067129602</v>
      </c>
      <c r="C2135" s="2">
        <v>46231.5057407407</v>
      </c>
      <c r="D2135" s="1" t="s">
        <v>24</v>
      </c>
      <c r="E2135" s="1"/>
      <c r="F2135" s="29">
        <v>46231</v>
      </c>
      <c r="G2135" s="29">
        <v>46231</v>
      </c>
      <c r="H2135" s="1" t="s">
        <v>68</v>
      </c>
      <c r="I2135" s="1" t="s">
        <v>4968</v>
      </c>
      <c r="J2135" s="175" t="s">
        <v>4969</v>
      </c>
      <c r="K2135" s="171"/>
      <c r="L2135" s="62">
        <v>23162852</v>
      </c>
      <c r="M2135" s="30">
        <v>5218991655883</v>
      </c>
      <c r="N2135" s="171" t="s">
        <v>37</v>
      </c>
      <c r="O2135" s="52">
        <v>8181.55</v>
      </c>
      <c r="P2135" s="99">
        <v>2367.09</v>
      </c>
      <c r="Q2135" s="42">
        <f>OfficeForms.Table[[#This Row],[ INFORMEDEPAGO ]]*0.3</f>
        <v>2454.4650000000001</v>
      </c>
      <c r="R2135" s="12">
        <f>(IF(O2135&lt;4172.98,0,MIN(O2135*0.3,O2135-4172.98)))-P2135</f>
        <v>87.375</v>
      </c>
      <c r="S2135" s="78">
        <v>46631</v>
      </c>
      <c r="T2135" s="1"/>
      <c r="V2135" s="1"/>
      <c r="X2135" s="101">
        <v>2</v>
      </c>
    </row>
    <row r="2136" spans="1:24" hidden="1">
      <c r="A2136">
        <v>538</v>
      </c>
      <c r="B2136" s="2">
        <v>46231.509016203701</v>
      </c>
      <c r="C2136" s="2">
        <v>46231.5106018519</v>
      </c>
      <c r="D2136" s="1" t="s">
        <v>24</v>
      </c>
      <c r="E2136" s="1"/>
      <c r="F2136" s="29">
        <v>46231</v>
      </c>
      <c r="G2136" s="29">
        <v>46231</v>
      </c>
      <c r="H2136" s="1" t="s">
        <v>78</v>
      </c>
      <c r="I2136" s="1" t="s">
        <v>4970</v>
      </c>
      <c r="J2136" s="175">
        <v>45896203911</v>
      </c>
      <c r="K2136" s="171" t="s">
        <v>4971</v>
      </c>
      <c r="L2136" s="62">
        <v>23170800</v>
      </c>
      <c r="M2136" s="30">
        <v>5215538652227</v>
      </c>
      <c r="N2136" s="171" t="s">
        <v>28</v>
      </c>
      <c r="O2136" s="50">
        <v>9081.52</v>
      </c>
      <c r="P2136" s="97"/>
      <c r="Q2136" s="42">
        <f>OfficeForms.Table[[#This Row],[ INFORMEDEPAGO ]]*0.3</f>
        <v>2724.4560000000001</v>
      </c>
      <c r="R2136" s="12">
        <f>(IF(O2136&lt;4172.98,0,MIN(O2136*0.3,O2136-4172.98)))-P2136</f>
        <v>2724.4560000000001</v>
      </c>
      <c r="S2136" s="78"/>
      <c r="T2136" s="1"/>
      <c r="V2136" s="1"/>
      <c r="X2136" s="101">
        <v>1</v>
      </c>
    </row>
    <row r="2137" spans="1:24" hidden="1">
      <c r="A2137">
        <v>539</v>
      </c>
      <c r="B2137" s="2">
        <v>46231.511585648099</v>
      </c>
      <c r="C2137" s="2">
        <v>46231.512141203697</v>
      </c>
      <c r="D2137" s="1" t="s">
        <v>24</v>
      </c>
      <c r="E2137" s="1"/>
      <c r="F2137" s="29">
        <v>46231</v>
      </c>
      <c r="G2137" s="29">
        <v>46231</v>
      </c>
      <c r="H2137" s="1" t="s">
        <v>3575</v>
      </c>
      <c r="I2137" s="1" t="s">
        <v>4972</v>
      </c>
      <c r="J2137" s="175"/>
      <c r="K2137" s="171" t="s">
        <v>4973</v>
      </c>
      <c r="L2137" s="62">
        <v>23176210</v>
      </c>
      <c r="M2137" s="30">
        <v>5215548591152</v>
      </c>
      <c r="N2137" s="171" t="s">
        <v>37</v>
      </c>
      <c r="O2137" s="52">
        <v>9081.52</v>
      </c>
      <c r="P2137" s="99">
        <v>2521.35</v>
      </c>
      <c r="Q2137" s="42">
        <f>OfficeForms.Table[[#This Row],[ INFORMEDEPAGO ]]*0.3</f>
        <v>2724.4560000000001</v>
      </c>
      <c r="R2137" s="12">
        <f>(IF(O2137&lt;4172.98,0,MIN(O2137*0.3,O2137-4172.98)))-P2137</f>
        <v>203.10600000000022</v>
      </c>
      <c r="S2137" s="78">
        <v>46419</v>
      </c>
      <c r="T2137" s="1"/>
      <c r="V2137" s="1"/>
      <c r="X2137" s="101">
        <v>2</v>
      </c>
    </row>
    <row r="2138" spans="1:24" hidden="1">
      <c r="A2138">
        <v>540</v>
      </c>
      <c r="B2138" s="2">
        <v>46231.514745370398</v>
      </c>
      <c r="C2138" s="2">
        <v>46231.515960648103</v>
      </c>
      <c r="D2138" s="1" t="s">
        <v>24</v>
      </c>
      <c r="E2138" s="1"/>
      <c r="F2138" s="29">
        <v>46231</v>
      </c>
      <c r="G2138" s="29">
        <v>46231</v>
      </c>
      <c r="H2138" s="1" t="s">
        <v>3575</v>
      </c>
      <c r="I2138" s="1" t="s">
        <v>4974</v>
      </c>
      <c r="J2138" s="175"/>
      <c r="K2138" s="171" t="s">
        <v>4975</v>
      </c>
      <c r="L2138" s="62">
        <v>23176704</v>
      </c>
      <c r="M2138" s="30">
        <v>5218333389325</v>
      </c>
      <c r="N2138" s="171" t="s">
        <v>47</v>
      </c>
      <c r="O2138" s="43">
        <v>8556.52</v>
      </c>
      <c r="P2138" s="97">
        <v>2030.32</v>
      </c>
      <c r="Q2138" s="42">
        <f>OfficeForms.Table[[#This Row],[ INFORMEDEPAGO ]]*0.3</f>
        <v>2566.9560000000001</v>
      </c>
      <c r="R2138" s="12">
        <f>(IF(O2138&lt;4172.98,0,MIN(O2138*0.3,O2138-4172.98)))-P2138</f>
        <v>536.63600000000019</v>
      </c>
      <c r="S2138" s="78">
        <v>46508</v>
      </c>
      <c r="T2138" s="1"/>
      <c r="V2138" s="1"/>
      <c r="X2138" s="101">
        <v>2</v>
      </c>
    </row>
    <row r="2139" spans="1:24" hidden="1">
      <c r="A2139">
        <v>541</v>
      </c>
      <c r="B2139" s="2">
        <v>46231.509363425903</v>
      </c>
      <c r="C2139" s="2">
        <v>46231.518993055601</v>
      </c>
      <c r="D2139" s="1" t="s">
        <v>24</v>
      </c>
      <c r="E2139" s="1"/>
      <c r="F2139" s="29">
        <v>46231</v>
      </c>
      <c r="G2139" s="29">
        <v>46231</v>
      </c>
      <c r="H2139" s="1" t="s">
        <v>160</v>
      </c>
      <c r="I2139" s="1" t="s">
        <v>4976</v>
      </c>
      <c r="J2139" s="175">
        <v>12664816365</v>
      </c>
      <c r="K2139" s="171" t="s">
        <v>4977</v>
      </c>
      <c r="L2139" s="62">
        <v>23174196</v>
      </c>
      <c r="M2139" s="30">
        <v>5214641105676</v>
      </c>
      <c r="N2139" s="171" t="s">
        <v>74</v>
      </c>
      <c r="O2139" s="50"/>
      <c r="P2139" s="97"/>
      <c r="Q2139" s="42">
        <f>OfficeForms.Table[[#This Row],[ INFORMEDEPAGO ]]*0.3</f>
        <v>0</v>
      </c>
      <c r="R2139" s="12">
        <f>(IF(O2139&lt;4172.98,0,MIN(O2139*0.3,O2139-4172.98)))-P2139</f>
        <v>0</v>
      </c>
      <c r="S2139" s="78"/>
      <c r="T2139" s="1"/>
      <c r="V2139" s="1"/>
      <c r="X2139" s="101">
        <v>1</v>
      </c>
    </row>
    <row r="2140" spans="1:24" hidden="1">
      <c r="A2140">
        <v>542</v>
      </c>
      <c r="B2140" s="2">
        <v>46231.501064814802</v>
      </c>
      <c r="C2140" s="2">
        <v>46231.519039351901</v>
      </c>
      <c r="D2140" s="1" t="s">
        <v>24</v>
      </c>
      <c r="E2140" s="1"/>
      <c r="F2140" s="29">
        <v>46231</v>
      </c>
      <c r="G2140" s="29">
        <v>46231</v>
      </c>
      <c r="H2140" s="1" t="s">
        <v>160</v>
      </c>
      <c r="I2140" s="1" t="s">
        <v>4978</v>
      </c>
      <c r="J2140" s="175">
        <v>23866804927</v>
      </c>
      <c r="K2140" s="171" t="s">
        <v>4979</v>
      </c>
      <c r="L2140" s="62">
        <v>23175076</v>
      </c>
      <c r="M2140" s="30">
        <v>5218711281261</v>
      </c>
      <c r="N2140" s="171" t="s">
        <v>37</v>
      </c>
      <c r="O2140" s="43">
        <v>5642.22</v>
      </c>
      <c r="P2140" s="97">
        <v>1359.7</v>
      </c>
      <c r="Q2140" s="42">
        <f>OfficeForms.Table[[#This Row],[ INFORMEDEPAGO ]]*0.3</f>
        <v>1692.6659999999999</v>
      </c>
      <c r="R2140" s="12">
        <f>(IF(O2140&lt;4172.98,0,MIN(O2140*0.3,O2140-4172.98)))-P2140</f>
        <v>109.54000000000065</v>
      </c>
      <c r="S2140" s="78">
        <v>46419</v>
      </c>
      <c r="T2140" s="1"/>
      <c r="V2140" s="1"/>
      <c r="X2140" s="101">
        <v>2</v>
      </c>
    </row>
    <row r="2141" spans="1:24" hidden="1">
      <c r="A2141">
        <v>543</v>
      </c>
      <c r="B2141" s="2">
        <v>46231.518958333298</v>
      </c>
      <c r="C2141" s="2">
        <v>46231.519722222198</v>
      </c>
      <c r="D2141" s="1" t="s">
        <v>24</v>
      </c>
      <c r="E2141" s="1"/>
      <c r="F2141" s="29">
        <v>46231</v>
      </c>
      <c r="G2141" s="29">
        <v>46231</v>
      </c>
      <c r="H2141" s="1" t="s">
        <v>3452</v>
      </c>
      <c r="I2141" s="1" t="s">
        <v>4980</v>
      </c>
      <c r="J2141" s="175"/>
      <c r="K2141" s="171" t="s">
        <v>4981</v>
      </c>
      <c r="L2141" s="62">
        <v>23176760</v>
      </c>
      <c r="M2141" s="30">
        <v>5611507783</v>
      </c>
      <c r="N2141" s="171" t="s">
        <v>263</v>
      </c>
      <c r="O2141" s="52">
        <v>9081.52</v>
      </c>
      <c r="P2141" s="99">
        <v>2514.25</v>
      </c>
      <c r="Q2141" s="42">
        <f>OfficeForms.Table[[#This Row],[ INFORMEDEPAGO ]]*0.3</f>
        <v>2724.4560000000001</v>
      </c>
      <c r="R2141" s="12">
        <f>(IF(O2141&lt;4172.98,0,MIN(O2141*0.3,O2141-4172.98)))-P2141</f>
        <v>210.20600000000013</v>
      </c>
      <c r="S2141" s="78">
        <v>46174</v>
      </c>
      <c r="T2141" s="1" t="s">
        <v>192</v>
      </c>
      <c r="V2141" s="1"/>
      <c r="X2141" s="101">
        <v>2</v>
      </c>
    </row>
    <row r="2142" spans="1:24" hidden="1">
      <c r="A2142">
        <v>544</v>
      </c>
      <c r="B2142" s="2">
        <v>46231.530543981498</v>
      </c>
      <c r="C2142" s="2">
        <v>46231.5311574074</v>
      </c>
      <c r="D2142" s="1" t="s">
        <v>24</v>
      </c>
      <c r="E2142" s="1"/>
      <c r="F2142" s="29">
        <v>46231</v>
      </c>
      <c r="G2142" s="29">
        <v>46231</v>
      </c>
      <c r="H2142" s="1" t="s">
        <v>1629</v>
      </c>
      <c r="I2142" s="1" t="s">
        <v>4982</v>
      </c>
      <c r="J2142" s="175" t="s">
        <v>4983</v>
      </c>
      <c r="K2142" s="171" t="s">
        <v>4984</v>
      </c>
      <c r="L2142" s="62">
        <v>2</v>
      </c>
      <c r="M2142" s="30">
        <v>5588131200</v>
      </c>
      <c r="N2142" s="171" t="s">
        <v>37</v>
      </c>
      <c r="O2142" s="43">
        <v>14294.42</v>
      </c>
      <c r="P2142" s="97">
        <v>4286.8500000000004</v>
      </c>
      <c r="Q2142" s="42">
        <f>OfficeForms.Table[[#This Row],[ INFORMEDEPAGO ]]*0.3</f>
        <v>4288.326</v>
      </c>
      <c r="R2142" s="12">
        <f>(IF(O2142&lt;4172.98,0,MIN(O2142*0.3,O2142-4172.98)))-P2142</f>
        <v>1.475999999999658</v>
      </c>
      <c r="S2142" s="78">
        <v>46905</v>
      </c>
      <c r="T2142" s="1"/>
      <c r="V2142" s="1"/>
      <c r="X2142" s="101">
        <v>2</v>
      </c>
    </row>
    <row r="2143" spans="1:24" hidden="1">
      <c r="A2143">
        <v>545</v>
      </c>
      <c r="B2143" s="2">
        <v>46231.531087962998</v>
      </c>
      <c r="C2143" s="2">
        <v>46231.537476851903</v>
      </c>
      <c r="D2143" s="1" t="s">
        <v>24</v>
      </c>
      <c r="E2143" s="1"/>
      <c r="F2143" s="29">
        <v>46231</v>
      </c>
      <c r="G2143" s="29">
        <v>46231</v>
      </c>
      <c r="H2143" s="1" t="s">
        <v>78</v>
      </c>
      <c r="I2143" s="1" t="s">
        <v>4985</v>
      </c>
      <c r="J2143" s="175" t="s">
        <v>4986</v>
      </c>
      <c r="K2143" s="171" t="s">
        <v>4987</v>
      </c>
      <c r="L2143" s="62">
        <v>23165646</v>
      </c>
      <c r="M2143" s="30">
        <v>5219211744311</v>
      </c>
      <c r="N2143" s="171" t="s">
        <v>37</v>
      </c>
      <c r="O2143" s="52">
        <v>7353.71</v>
      </c>
      <c r="P2143" s="99">
        <v>2115.5500000000002</v>
      </c>
      <c r="Q2143" s="42">
        <f>OfficeForms.Table[[#This Row],[ INFORMEDEPAGO ]]*0.3</f>
        <v>2206.1129999999998</v>
      </c>
      <c r="R2143" s="12">
        <f>(IF(O2143&lt;4172.98,0,MIN(O2143*0.3,O2143-4172.98)))-P2143</f>
        <v>90.562999999999647</v>
      </c>
      <c r="S2143" s="78">
        <v>46447</v>
      </c>
      <c r="T2143" s="1"/>
      <c r="V2143" s="1"/>
      <c r="X2143" s="101">
        <v>2</v>
      </c>
    </row>
    <row r="2144" spans="1:24" hidden="1">
      <c r="A2144">
        <v>546</v>
      </c>
      <c r="B2144" s="2">
        <v>46231.462534722203</v>
      </c>
      <c r="C2144" s="2">
        <v>46231.544699074097</v>
      </c>
      <c r="D2144" s="1" t="s">
        <v>24</v>
      </c>
      <c r="E2144" s="1"/>
      <c r="F2144" s="29">
        <v>46231</v>
      </c>
      <c r="G2144" s="29">
        <v>46231</v>
      </c>
      <c r="H2144" s="1" t="s">
        <v>1625</v>
      </c>
      <c r="I2144" s="1" t="s">
        <v>4988</v>
      </c>
      <c r="J2144" s="175">
        <v>75815919842</v>
      </c>
      <c r="K2144" s="171" t="s">
        <v>4989</v>
      </c>
      <c r="L2144" s="62">
        <v>2</v>
      </c>
      <c r="M2144" s="30">
        <v>5523334839</v>
      </c>
      <c r="N2144" s="171" t="s">
        <v>37</v>
      </c>
      <c r="O2144" s="52">
        <v>5617.63</v>
      </c>
      <c r="P2144" s="99">
        <v>1438.7</v>
      </c>
      <c r="Q2144" s="42">
        <f>OfficeForms.Table[[#This Row],[ INFORMEDEPAGO ]]*0.3</f>
        <v>1685.289</v>
      </c>
      <c r="R2144" s="12">
        <f>(IF(O2144&lt;4172.98,0,MIN(O2144*0.3,O2144-4172.98)))-P2144</f>
        <v>5.9500000000005002</v>
      </c>
      <c r="S2144" s="78">
        <v>46844</v>
      </c>
      <c r="T2144" s="1"/>
      <c r="V2144" s="1"/>
      <c r="X2144" s="101">
        <v>2</v>
      </c>
    </row>
    <row r="2145" spans="1:24" hidden="1">
      <c r="A2145">
        <v>547</v>
      </c>
      <c r="B2145" s="2">
        <v>46231.564560185201</v>
      </c>
      <c r="C2145" s="2">
        <v>46231.565451388902</v>
      </c>
      <c r="D2145" s="1" t="s">
        <v>24</v>
      </c>
      <c r="E2145" s="1"/>
      <c r="F2145" s="29">
        <v>46231</v>
      </c>
      <c r="G2145" s="29">
        <v>46230</v>
      </c>
      <c r="H2145" s="1" t="s">
        <v>3022</v>
      </c>
      <c r="I2145" s="1" t="s">
        <v>4990</v>
      </c>
      <c r="J2145" s="175"/>
      <c r="K2145" s="171" t="s">
        <v>4991</v>
      </c>
      <c r="L2145" s="62">
        <v>23158668</v>
      </c>
      <c r="M2145" s="30">
        <v>6642051137</v>
      </c>
      <c r="N2145" s="171" t="s">
        <v>28</v>
      </c>
      <c r="O2145" s="67">
        <v>7135.6</v>
      </c>
      <c r="P2145" s="99"/>
      <c r="Q2145" s="42">
        <f>OfficeForms.Table[[#This Row],[ INFORMEDEPAGO ]]*0.3</f>
        <v>2140.6799999999998</v>
      </c>
      <c r="R2145" s="12">
        <f>(IF(O2145&lt;4172.98,0,MIN(O2145*0.3,O2145-4172.98)))-P2145</f>
        <v>2140.6799999999998</v>
      </c>
      <c r="S2145" s="78"/>
      <c r="T2145" s="1"/>
      <c r="V2145" s="1"/>
      <c r="X2145" s="101">
        <v>1</v>
      </c>
    </row>
    <row r="2146" spans="1:24" hidden="1">
      <c r="A2146">
        <v>548</v>
      </c>
      <c r="B2146" s="2">
        <v>46231.569178240701</v>
      </c>
      <c r="C2146" s="2">
        <v>46231.5704513889</v>
      </c>
      <c r="D2146" s="1" t="s">
        <v>24</v>
      </c>
      <c r="E2146" s="1"/>
      <c r="F2146" s="29">
        <v>46231</v>
      </c>
      <c r="G2146" s="29">
        <v>46231</v>
      </c>
      <c r="H2146" s="1" t="s">
        <v>3022</v>
      </c>
      <c r="I2146" s="1" t="s">
        <v>4992</v>
      </c>
      <c r="J2146" s="175"/>
      <c r="K2146" s="171" t="s">
        <v>4993</v>
      </c>
      <c r="L2146" s="62">
        <v>23177562</v>
      </c>
      <c r="M2146" s="30">
        <v>6561641910</v>
      </c>
      <c r="N2146" s="171" t="s">
        <v>263</v>
      </c>
      <c r="O2146" s="52">
        <v>7998.53</v>
      </c>
      <c r="P2146" s="99">
        <v>2220.12</v>
      </c>
      <c r="Q2146" s="42">
        <f>OfficeForms.Table[[#This Row],[ INFORMEDEPAGO ]]*0.3</f>
        <v>2399.5589999999997</v>
      </c>
      <c r="R2146" s="12">
        <f>(IF(O2146&lt;4172.98,0,MIN(O2146*0.3,O2146-4172.98)))-P2146</f>
        <v>179.43899999999985</v>
      </c>
      <c r="S2146" s="74">
        <v>46174</v>
      </c>
      <c r="T2146" s="1" t="s">
        <v>84</v>
      </c>
      <c r="V2146" s="1"/>
      <c r="X2146" s="101">
        <v>2</v>
      </c>
    </row>
    <row r="2147" spans="1:24" hidden="1">
      <c r="A2147">
        <v>549</v>
      </c>
      <c r="B2147" s="2">
        <v>46231.570787037002</v>
      </c>
      <c r="C2147" s="2">
        <v>46231.572650463</v>
      </c>
      <c r="D2147" s="1" t="s">
        <v>24</v>
      </c>
      <c r="E2147" s="1"/>
      <c r="F2147" s="29">
        <v>46231</v>
      </c>
      <c r="G2147" s="29">
        <v>46231</v>
      </c>
      <c r="H2147" s="1" t="s">
        <v>71</v>
      </c>
      <c r="I2147" s="1" t="s">
        <v>4994</v>
      </c>
      <c r="J2147" s="175"/>
      <c r="K2147" s="171" t="s">
        <v>4995</v>
      </c>
      <c r="L2147" s="62">
        <v>23177932</v>
      </c>
      <c r="M2147" s="30">
        <v>5214443267328</v>
      </c>
      <c r="N2147" s="171" t="s">
        <v>37</v>
      </c>
      <c r="O2147" s="52">
        <v>7571.7</v>
      </c>
      <c r="P2147" s="99">
        <v>2256.94</v>
      </c>
      <c r="Q2147" s="42">
        <f>OfficeForms.Table[[#This Row],[ INFORMEDEPAGO ]]*0.3</f>
        <v>2271.5099999999998</v>
      </c>
      <c r="R2147" s="12">
        <f>(IF(O2147&lt;4172.98,0,MIN(O2147*0.3,O2147-4172.98)))-P2147</f>
        <v>14.569999999999709</v>
      </c>
      <c r="S2147" s="78">
        <v>46508</v>
      </c>
      <c r="T2147" s="1"/>
      <c r="V2147" s="1"/>
      <c r="X2147" s="101">
        <v>2</v>
      </c>
    </row>
    <row r="2148" spans="1:24" hidden="1">
      <c r="A2148">
        <v>550</v>
      </c>
      <c r="B2148" s="2">
        <v>46231.564143518503</v>
      </c>
      <c r="C2148" s="2">
        <v>46231.574525463002</v>
      </c>
      <c r="D2148" s="1" t="s">
        <v>24</v>
      </c>
      <c r="E2148" s="1"/>
      <c r="F2148" s="29">
        <v>46231</v>
      </c>
      <c r="G2148" s="29">
        <v>46231</v>
      </c>
      <c r="H2148" s="1" t="s">
        <v>1629</v>
      </c>
      <c r="I2148" s="1" t="s">
        <v>4996</v>
      </c>
      <c r="J2148" s="175" t="s">
        <v>4997</v>
      </c>
      <c r="K2148" s="171" t="s">
        <v>4998</v>
      </c>
      <c r="L2148" s="62">
        <v>2</v>
      </c>
      <c r="M2148" s="30">
        <v>3121091427</v>
      </c>
      <c r="N2148" s="171" t="s">
        <v>32</v>
      </c>
      <c r="O2148" s="52">
        <v>4342.43</v>
      </c>
      <c r="P2148" s="99">
        <v>848</v>
      </c>
      <c r="Q2148" s="42">
        <f>OfficeForms.Table[[#This Row],[ INFORMEDEPAGO ]]*0.3</f>
        <v>1302.729</v>
      </c>
      <c r="R2148" s="12">
        <f>(IF(O2148&lt;4172.98,0,MIN(O2148*0.3,O2148-4172.98)))-P2148</f>
        <v>-678.54999999999927</v>
      </c>
      <c r="S2148" s="78"/>
      <c r="T2148" s="1"/>
      <c r="V2148" s="1"/>
      <c r="X2148" s="101">
        <v>1</v>
      </c>
    </row>
    <row r="2149" spans="1:24" hidden="1">
      <c r="A2149">
        <v>551</v>
      </c>
      <c r="B2149" s="2">
        <v>46231.415671296301</v>
      </c>
      <c r="C2149" s="2">
        <v>46231.574537036999</v>
      </c>
      <c r="D2149" s="1" t="s">
        <v>24</v>
      </c>
      <c r="E2149" s="1"/>
      <c r="F2149" s="29">
        <v>46231</v>
      </c>
      <c r="G2149" s="29">
        <v>46228</v>
      </c>
      <c r="H2149" s="1" t="s">
        <v>3352</v>
      </c>
      <c r="I2149" s="1" t="s">
        <v>4999</v>
      </c>
      <c r="J2149" s="175">
        <v>32816518974</v>
      </c>
      <c r="K2149" s="171"/>
      <c r="L2149" s="62">
        <v>23107926</v>
      </c>
      <c r="M2149" s="30">
        <v>8448582923</v>
      </c>
      <c r="N2149" s="171" t="s">
        <v>235</v>
      </c>
      <c r="O2149" s="67"/>
      <c r="P2149" s="99"/>
      <c r="Q2149" s="42">
        <f>OfficeForms.Table[[#This Row],[ INFORMEDEPAGO ]]*0.3</f>
        <v>0</v>
      </c>
      <c r="R2149" s="12">
        <f>(IF(O2149&lt;4172.98,0,MIN(O2149*0.3,O2149-4172.98)))-P2149</f>
        <v>0</v>
      </c>
      <c r="S2149" s="78"/>
      <c r="T2149" s="1"/>
      <c r="V2149" s="1"/>
      <c r="X2149" s="101">
        <v>1</v>
      </c>
    </row>
    <row r="2150" spans="1:24" hidden="1">
      <c r="A2150">
        <v>552</v>
      </c>
      <c r="B2150" s="2">
        <v>46231.575868055603</v>
      </c>
      <c r="C2150" s="2">
        <v>46231.577638888899</v>
      </c>
      <c r="D2150" s="1" t="s">
        <v>24</v>
      </c>
      <c r="E2150" s="1"/>
      <c r="F2150" s="29">
        <v>46231</v>
      </c>
      <c r="G2150" s="29">
        <v>46231</v>
      </c>
      <c r="H2150" s="1" t="s">
        <v>110</v>
      </c>
      <c r="I2150" s="1" t="s">
        <v>5000</v>
      </c>
      <c r="J2150" s="175">
        <v>23806230183</v>
      </c>
      <c r="K2150" s="171"/>
      <c r="L2150" s="62">
        <v>23178392</v>
      </c>
      <c r="M2150" s="30">
        <v>5216682276642</v>
      </c>
      <c r="N2150" s="171" t="s">
        <v>37</v>
      </c>
      <c r="O2150" s="52">
        <v>7920.51</v>
      </c>
      <c r="P2150" s="99">
        <v>2375.2199999999998</v>
      </c>
      <c r="Q2150" s="42">
        <f>OfficeForms.Table[[#This Row],[ INFORMEDEPAGO ]]*0.3</f>
        <v>2376.1529999999998</v>
      </c>
      <c r="R2150" s="12">
        <f>(IF(O2150&lt;4172.98,0,MIN(O2150*0.3,O2150-4172.98)))-P2150</f>
        <v>0.93299999999999272</v>
      </c>
      <c r="S2150" s="78">
        <v>46966</v>
      </c>
      <c r="T2150" s="1"/>
      <c r="V2150" s="1"/>
      <c r="X2150" s="101">
        <v>2</v>
      </c>
    </row>
    <row r="2151" spans="1:24" hidden="1">
      <c r="A2151">
        <v>553</v>
      </c>
      <c r="B2151" s="2">
        <v>46231.577303240701</v>
      </c>
      <c r="C2151" s="2">
        <v>46231.578009259298</v>
      </c>
      <c r="D2151" s="1" t="s">
        <v>24</v>
      </c>
      <c r="E2151" s="1"/>
      <c r="F2151" s="29">
        <v>46231</v>
      </c>
      <c r="G2151" s="29">
        <v>46230</v>
      </c>
      <c r="H2151" s="1" t="s">
        <v>3007</v>
      </c>
      <c r="I2151" s="1" t="s">
        <v>5001</v>
      </c>
      <c r="J2151" s="175">
        <v>4386631718</v>
      </c>
      <c r="K2151" s="171"/>
      <c r="L2151" s="62">
        <v>23157082</v>
      </c>
      <c r="M2151" s="30">
        <v>8112450740</v>
      </c>
      <c r="N2151" s="171" t="s">
        <v>28</v>
      </c>
      <c r="O2151" s="67">
        <v>19740.849999999999</v>
      </c>
      <c r="P2151" s="99"/>
      <c r="Q2151" s="42">
        <f>OfficeForms.Table[[#This Row],[ INFORMEDEPAGO ]]*0.3</f>
        <v>5922.2549999999992</v>
      </c>
      <c r="R2151" s="12">
        <f>(IF(O2151&lt;4172.98,0,MIN(O2151*0.3,O2151-4172.98)))-P2151</f>
        <v>5922.2549999999992</v>
      </c>
      <c r="S2151" s="78"/>
      <c r="T2151" s="1"/>
      <c r="V2151" s="1"/>
      <c r="X2151" s="101">
        <v>1</v>
      </c>
    </row>
    <row r="2152" spans="1:24" hidden="1">
      <c r="A2152">
        <v>554</v>
      </c>
      <c r="B2152" s="2">
        <v>46231.541574074101</v>
      </c>
      <c r="C2152" s="2">
        <v>46231.580532407403</v>
      </c>
      <c r="D2152" s="1" t="s">
        <v>24</v>
      </c>
      <c r="E2152" s="1"/>
      <c r="F2152" s="29">
        <v>46231</v>
      </c>
      <c r="G2152" s="29">
        <v>46231</v>
      </c>
      <c r="H2152" s="1" t="s">
        <v>78</v>
      </c>
      <c r="I2152" s="1" t="s">
        <v>5002</v>
      </c>
      <c r="J2152" s="175">
        <v>33897256583</v>
      </c>
      <c r="K2152" s="171" t="s">
        <v>5003</v>
      </c>
      <c r="L2152" s="62">
        <v>23175140</v>
      </c>
      <c r="M2152" s="30">
        <v>5216563132775</v>
      </c>
      <c r="N2152" s="171" t="s">
        <v>32</v>
      </c>
      <c r="O2152" s="52">
        <v>3783.67</v>
      </c>
      <c r="P2152" s="99">
        <v>848</v>
      </c>
      <c r="Q2152" s="42">
        <f>OfficeForms.Table[[#This Row],[ INFORMEDEPAGO ]]*0.3</f>
        <v>1135.1009999999999</v>
      </c>
      <c r="R2152" s="12">
        <f>(IF(O2152&lt;4172.98,0,MIN(O2152*0.3,O2152-4172.98)))-P2152</f>
        <v>-848</v>
      </c>
      <c r="S2152" s="78"/>
      <c r="T2152" s="1"/>
      <c r="V2152" s="1"/>
      <c r="X2152" s="101">
        <v>1</v>
      </c>
    </row>
    <row r="2153" spans="1:24" hidden="1">
      <c r="A2153">
        <v>555</v>
      </c>
      <c r="B2153" s="2">
        <v>46231.587071759299</v>
      </c>
      <c r="C2153" s="2">
        <v>46231.588020833296</v>
      </c>
      <c r="D2153" s="1" t="s">
        <v>24</v>
      </c>
      <c r="E2153" s="1"/>
      <c r="F2153" s="29">
        <v>46231</v>
      </c>
      <c r="G2153" s="29">
        <v>46231</v>
      </c>
      <c r="H2153" s="1" t="s">
        <v>3575</v>
      </c>
      <c r="I2153" s="1" t="s">
        <v>5004</v>
      </c>
      <c r="J2153" s="175"/>
      <c r="K2153" s="171" t="s">
        <v>5005</v>
      </c>
      <c r="L2153" s="62">
        <v>23177204</v>
      </c>
      <c r="M2153" s="30">
        <v>5219993645427</v>
      </c>
      <c r="N2153" s="171" t="s">
        <v>37</v>
      </c>
      <c r="O2153" s="52">
        <v>13874.52</v>
      </c>
      <c r="P2153" s="99">
        <v>4011.7</v>
      </c>
      <c r="Q2153" s="42">
        <f>OfficeForms.Table[[#This Row],[ INFORMEDEPAGO ]]*0.3</f>
        <v>4162.3559999999998</v>
      </c>
      <c r="R2153" s="12">
        <f>(IF(O2153&lt;4172.98,0,MIN(O2153*0.3,O2153-4172.98)))-P2153</f>
        <v>150.65599999999995</v>
      </c>
      <c r="S2153" s="78">
        <v>46357</v>
      </c>
      <c r="T2153" s="1"/>
      <c r="V2153" s="1"/>
      <c r="X2153" s="101">
        <v>2</v>
      </c>
    </row>
    <row r="2154" spans="1:24" hidden="1">
      <c r="A2154">
        <v>556</v>
      </c>
      <c r="B2154" s="2">
        <v>46231.587488425903</v>
      </c>
      <c r="C2154" s="2">
        <v>46231.588263888902</v>
      </c>
      <c r="D2154" s="1" t="s">
        <v>24</v>
      </c>
      <c r="E2154" s="1"/>
      <c r="F2154" s="29">
        <v>46231</v>
      </c>
      <c r="G2154" s="29">
        <v>46231</v>
      </c>
      <c r="H2154" s="1" t="s">
        <v>26</v>
      </c>
      <c r="I2154" s="1" t="s">
        <v>5006</v>
      </c>
      <c r="J2154" s="175" t="s">
        <v>5007</v>
      </c>
      <c r="K2154" s="171"/>
      <c r="L2154" s="62">
        <v>23179440</v>
      </c>
      <c r="M2154" s="30">
        <v>5217821149578</v>
      </c>
      <c r="N2154" s="171" t="s">
        <v>32</v>
      </c>
      <c r="O2154" s="67">
        <v>3984.96</v>
      </c>
      <c r="P2154" s="99"/>
      <c r="Q2154" s="42">
        <f>OfficeForms.Table[[#This Row],[ INFORMEDEPAGO ]]*0.3</f>
        <v>1195.4880000000001</v>
      </c>
      <c r="R2154" s="12">
        <f>(IF(O2154&lt;4172.98,0,MIN(O2154*0.3,O2154-4172.98)))-P2154</f>
        <v>0</v>
      </c>
      <c r="S2154" s="78"/>
      <c r="T2154" s="1"/>
      <c r="V2154" s="1"/>
      <c r="X2154" s="101">
        <v>1</v>
      </c>
    </row>
    <row r="2155" spans="1:24" hidden="1">
      <c r="A2155">
        <v>557</v>
      </c>
      <c r="B2155" s="2">
        <v>46231.591840277797</v>
      </c>
      <c r="C2155" s="2">
        <v>46231.593831018501</v>
      </c>
      <c r="D2155" s="1" t="s">
        <v>24</v>
      </c>
      <c r="E2155" s="1"/>
      <c r="F2155" s="29">
        <v>46231</v>
      </c>
      <c r="G2155" s="29">
        <v>46231</v>
      </c>
      <c r="H2155" s="1" t="s">
        <v>476</v>
      </c>
      <c r="I2155" s="1" t="s">
        <v>5008</v>
      </c>
      <c r="J2155" s="175">
        <v>41866308707</v>
      </c>
      <c r="K2155" s="171" t="s">
        <v>5009</v>
      </c>
      <c r="L2155" s="62">
        <v>23178452</v>
      </c>
      <c r="M2155" s="30">
        <v>5214445828162</v>
      </c>
      <c r="N2155" s="171" t="s">
        <v>37</v>
      </c>
      <c r="O2155" s="52">
        <v>7920.51</v>
      </c>
      <c r="P2155" s="99">
        <v>2373.66</v>
      </c>
      <c r="Q2155" s="42">
        <f>OfficeForms.Table[[#This Row],[ INFORMEDEPAGO ]]*0.3</f>
        <v>2376.1529999999998</v>
      </c>
      <c r="R2155" s="12">
        <f>(IF(O2155&lt;4172.98,0,MIN(O2155*0.3,O2155-4172.98)))-P2155</f>
        <v>2.4929999999999382</v>
      </c>
      <c r="S2155" s="78">
        <v>46419</v>
      </c>
      <c r="T2155" s="1"/>
      <c r="V2155" s="1"/>
      <c r="X2155" s="101">
        <v>2</v>
      </c>
    </row>
    <row r="2156" spans="1:24" hidden="1">
      <c r="A2156">
        <v>558</v>
      </c>
      <c r="B2156" s="2">
        <v>46231.594884259299</v>
      </c>
      <c r="C2156" s="2">
        <v>46231.601388888899</v>
      </c>
      <c r="D2156" s="1" t="s">
        <v>24</v>
      </c>
      <c r="E2156" s="1"/>
      <c r="F2156" s="29">
        <v>46231</v>
      </c>
      <c r="G2156" s="29">
        <v>46231</v>
      </c>
      <c r="H2156" s="1" t="s">
        <v>3452</v>
      </c>
      <c r="I2156" s="1" t="s">
        <v>5010</v>
      </c>
      <c r="J2156" s="175"/>
      <c r="K2156" s="171" t="s">
        <v>5011</v>
      </c>
      <c r="L2156" s="62">
        <v>23177282</v>
      </c>
      <c r="M2156" s="30">
        <v>9995717213</v>
      </c>
      <c r="N2156" s="171" t="s">
        <v>28</v>
      </c>
      <c r="O2156" s="50">
        <v>10636.54</v>
      </c>
      <c r="P2156" s="97"/>
      <c r="Q2156" s="42">
        <f>OfficeForms.Table[[#This Row],[ INFORMEDEPAGO ]]*0.3</f>
        <v>3190.962</v>
      </c>
      <c r="R2156" s="12">
        <f>(IF(O2156&lt;4172.98,0,MIN(O2156*0.3,O2156-4172.98)))-P2156</f>
        <v>3190.962</v>
      </c>
      <c r="S2156" s="78"/>
      <c r="T2156" s="1"/>
      <c r="V2156" s="1"/>
      <c r="X2156" s="101">
        <v>1</v>
      </c>
    </row>
    <row r="2157" spans="1:24" hidden="1">
      <c r="A2157">
        <v>559</v>
      </c>
      <c r="B2157" s="2">
        <v>46231.595520833303</v>
      </c>
      <c r="C2157" s="2">
        <v>46231.602800925903</v>
      </c>
      <c r="D2157" s="1" t="s">
        <v>24</v>
      </c>
      <c r="E2157" s="1"/>
      <c r="F2157" s="29">
        <v>46231</v>
      </c>
      <c r="G2157" s="29">
        <v>46231</v>
      </c>
      <c r="H2157" s="1" t="s">
        <v>1519</v>
      </c>
      <c r="I2157" s="1" t="s">
        <v>5012</v>
      </c>
      <c r="J2157" s="175">
        <v>24825411929</v>
      </c>
      <c r="K2157" s="171" t="s">
        <v>5013</v>
      </c>
      <c r="L2157" s="62">
        <v>23142888</v>
      </c>
      <c r="M2157" s="30">
        <v>5216221230700</v>
      </c>
      <c r="N2157" s="171" t="s">
        <v>98</v>
      </c>
      <c r="O2157" s="50"/>
      <c r="P2157" s="97"/>
      <c r="Q2157" s="42">
        <f>OfficeForms.Table[[#This Row],[ INFORMEDEPAGO ]]*0.3</f>
        <v>0</v>
      </c>
      <c r="R2157" s="12">
        <f>(IF(O2157&lt;4172.98,0,MIN(O2157*0.3,O2157-4172.98)))-P2157</f>
        <v>0</v>
      </c>
      <c r="S2157" s="78"/>
      <c r="T2157" s="1"/>
      <c r="V2157" s="1"/>
      <c r="X2157" s="101">
        <v>0</v>
      </c>
    </row>
    <row r="2158" spans="1:24" hidden="1">
      <c r="A2158">
        <v>560</v>
      </c>
      <c r="B2158" s="2">
        <v>46231.595486111102</v>
      </c>
      <c r="C2158" s="2">
        <v>46231.604594907403</v>
      </c>
      <c r="D2158" s="1" t="s">
        <v>24</v>
      </c>
      <c r="E2158" s="1"/>
      <c r="F2158" s="29">
        <v>46231</v>
      </c>
      <c r="G2158" s="29">
        <v>46231</v>
      </c>
      <c r="H2158" s="1" t="s">
        <v>1519</v>
      </c>
      <c r="I2158" s="1" t="s">
        <v>5014</v>
      </c>
      <c r="J2158" s="175"/>
      <c r="K2158" s="171" t="s">
        <v>5015</v>
      </c>
      <c r="L2158" s="62">
        <v>23171802</v>
      </c>
      <c r="M2158" s="30">
        <v>5218116655552</v>
      </c>
      <c r="N2158" s="171" t="s">
        <v>28</v>
      </c>
      <c r="O2158" s="50">
        <v>32725.46</v>
      </c>
      <c r="P2158" s="97"/>
      <c r="Q2158" s="42">
        <f>OfficeForms.Table[[#This Row],[ INFORMEDEPAGO ]]*0.3</f>
        <v>9817.637999999999</v>
      </c>
      <c r="R2158" s="12">
        <f>(IF(O2158&lt;4172.98,0,MIN(O2158*0.3,O2158-4172.98)))-P2158</f>
        <v>9817.637999999999</v>
      </c>
      <c r="S2158" s="78"/>
      <c r="T2158" s="1"/>
      <c r="V2158" s="1"/>
      <c r="X2158" s="101">
        <v>1</v>
      </c>
    </row>
    <row r="2159" spans="1:24" hidden="1">
      <c r="A2159">
        <v>561</v>
      </c>
      <c r="B2159" s="2">
        <v>46231.492430555598</v>
      </c>
      <c r="C2159" s="2">
        <v>46231.610694444404</v>
      </c>
      <c r="D2159" s="1" t="s">
        <v>24</v>
      </c>
      <c r="E2159" s="1"/>
      <c r="F2159" s="29">
        <v>46231</v>
      </c>
      <c r="G2159" s="29">
        <v>46228</v>
      </c>
      <c r="H2159" s="1" t="s">
        <v>51</v>
      </c>
      <c r="I2159" s="1" t="s">
        <v>5016</v>
      </c>
      <c r="J2159" s="175">
        <v>65755705392</v>
      </c>
      <c r="K2159" s="171" t="s">
        <v>5017</v>
      </c>
      <c r="L2159" s="62">
        <v>23104052</v>
      </c>
      <c r="M2159" s="30">
        <v>5212741211105</v>
      </c>
      <c r="N2159" s="171" t="s">
        <v>37</v>
      </c>
      <c r="O2159" s="52">
        <v>13190.79</v>
      </c>
      <c r="P2159" s="99">
        <v>3956.82</v>
      </c>
      <c r="Q2159" s="42">
        <f>OfficeForms.Table[[#This Row],[ INFORMEDEPAGO ]]*0.3</f>
        <v>3957.2370000000001</v>
      </c>
      <c r="R2159" s="12">
        <f>(IF(O2159&lt;4172.98,0,MIN(O2159*0.3,O2159-4172.98)))-P2159</f>
        <v>0.41699999999991633</v>
      </c>
      <c r="S2159" s="78">
        <v>46631</v>
      </c>
      <c r="T2159" s="1"/>
      <c r="V2159" s="1"/>
      <c r="X2159" s="101">
        <v>2</v>
      </c>
    </row>
    <row r="2160" spans="1:24" hidden="1">
      <c r="A2160">
        <v>562</v>
      </c>
      <c r="B2160" s="2">
        <v>46231.606932870403</v>
      </c>
      <c r="C2160" s="2">
        <v>46231.613113425898</v>
      </c>
      <c r="D2160" s="1" t="s">
        <v>24</v>
      </c>
      <c r="E2160" s="1"/>
      <c r="F2160" s="29">
        <v>46231</v>
      </c>
      <c r="G2160" s="29">
        <v>46231</v>
      </c>
      <c r="H2160" s="1" t="s">
        <v>160</v>
      </c>
      <c r="I2160" s="1" t="s">
        <v>5018</v>
      </c>
      <c r="J2160" s="175">
        <v>33735638836</v>
      </c>
      <c r="K2160" s="171" t="s">
        <v>5019</v>
      </c>
      <c r="L2160" s="62">
        <v>23174420</v>
      </c>
      <c r="M2160" s="30">
        <v>5216561084727</v>
      </c>
      <c r="N2160" s="171" t="s">
        <v>32</v>
      </c>
      <c r="O2160" s="67">
        <v>4082.04</v>
      </c>
      <c r="P2160" s="99"/>
      <c r="Q2160" s="42">
        <f>OfficeForms.Table[[#This Row],[ INFORMEDEPAGO ]]*0.3</f>
        <v>1224.6119999999999</v>
      </c>
      <c r="R2160" s="12">
        <f>(IF(O2160&lt;4172.98,0,MIN(O2160*0.3,O2160-4172.98)))-P2160</f>
        <v>0</v>
      </c>
      <c r="S2160" s="78"/>
      <c r="T2160" s="1"/>
      <c r="V2160" s="1"/>
      <c r="X2160" s="101">
        <v>1</v>
      </c>
    </row>
    <row r="2161" spans="1:24" hidden="1">
      <c r="A2161">
        <v>564</v>
      </c>
      <c r="B2161" s="2">
        <v>46231.505775463003</v>
      </c>
      <c r="C2161" s="2">
        <v>46231.615590277797</v>
      </c>
      <c r="D2161" s="1" t="s">
        <v>24</v>
      </c>
      <c r="E2161" s="1"/>
      <c r="F2161" s="29">
        <v>46231</v>
      </c>
      <c r="G2161" s="29">
        <v>46231</v>
      </c>
      <c r="H2161" s="1" t="s">
        <v>68</v>
      </c>
      <c r="I2161" s="1" t="s">
        <v>5020</v>
      </c>
      <c r="J2161" s="175">
        <v>49836732450</v>
      </c>
      <c r="K2161" s="171" t="s">
        <v>5021</v>
      </c>
      <c r="L2161" s="62">
        <v>23172946</v>
      </c>
      <c r="M2161" s="30">
        <v>5218338508968</v>
      </c>
      <c r="N2161" s="171" t="s">
        <v>32</v>
      </c>
      <c r="O2161" s="67">
        <v>3908.19</v>
      </c>
      <c r="P2161" s="99" t="s">
        <v>3934</v>
      </c>
      <c r="Q2161" s="42">
        <f>OfficeForms.Table[[#This Row],[ INFORMEDEPAGO ]]*0.3</f>
        <v>1172.4569999999999</v>
      </c>
      <c r="R2161" s="12">
        <f>(IF(O2161&lt;4172.98,0,MIN(O2161*0.3,O2161-4172.98)))-P2161</f>
        <v>-879</v>
      </c>
      <c r="S2161" s="78"/>
      <c r="T2161" s="1"/>
      <c r="V2161" s="1"/>
      <c r="X2161" s="101">
        <v>1</v>
      </c>
    </row>
    <row r="2162" spans="1:24" hidden="1">
      <c r="A2162">
        <v>565</v>
      </c>
      <c r="B2162" s="2">
        <v>46231.623275462996</v>
      </c>
      <c r="C2162" s="2">
        <v>46231.6241435185</v>
      </c>
      <c r="D2162" s="1" t="s">
        <v>24</v>
      </c>
      <c r="E2162" s="1"/>
      <c r="F2162" s="29">
        <v>46231</v>
      </c>
      <c r="G2162" s="29">
        <v>46230</v>
      </c>
      <c r="H2162" s="1" t="s">
        <v>160</v>
      </c>
      <c r="I2162" s="1" t="s">
        <v>5022</v>
      </c>
      <c r="J2162" s="175" t="s">
        <v>5023</v>
      </c>
      <c r="K2162" s="171" t="s">
        <v>5024</v>
      </c>
      <c r="L2162" s="62">
        <v>23135788</v>
      </c>
      <c r="M2162" s="30">
        <v>5215647525504</v>
      </c>
      <c r="N2162" s="171" t="s">
        <v>32</v>
      </c>
      <c r="O2162" s="67">
        <f>2744.38+879</f>
        <v>3623.38</v>
      </c>
      <c r="P2162" s="99" t="s">
        <v>3934</v>
      </c>
      <c r="Q2162" s="42">
        <f>OfficeForms.Table[[#This Row],[ INFORMEDEPAGO ]]*0.3</f>
        <v>1087.0139999999999</v>
      </c>
      <c r="R2162" s="12">
        <f>(IF(O2162&lt;4172.98,0,MIN(O2162*0.3,O2162-4172.98)))-P2162</f>
        <v>-879</v>
      </c>
      <c r="S2162" s="78"/>
      <c r="T2162" s="1"/>
      <c r="V2162" s="1"/>
      <c r="X2162" s="101">
        <v>1</v>
      </c>
    </row>
    <row r="2163" spans="1:24" hidden="1">
      <c r="A2163">
        <v>566</v>
      </c>
      <c r="B2163" s="2">
        <v>46231.6319097222</v>
      </c>
      <c r="C2163" s="2">
        <v>46231.633900462999</v>
      </c>
      <c r="D2163" s="1" t="s">
        <v>24</v>
      </c>
      <c r="E2163" s="1"/>
      <c r="F2163" s="29">
        <v>46231</v>
      </c>
      <c r="G2163" s="29">
        <v>46227</v>
      </c>
      <c r="H2163" s="1" t="s">
        <v>3572</v>
      </c>
      <c r="I2163" s="1" t="s">
        <v>5025</v>
      </c>
      <c r="J2163" s="175">
        <v>62937400737</v>
      </c>
      <c r="K2163" s="171" t="s">
        <v>5026</v>
      </c>
      <c r="L2163" s="62">
        <v>23065814</v>
      </c>
      <c r="M2163" s="30">
        <v>5212224484573</v>
      </c>
      <c r="N2163" s="171" t="s">
        <v>98</v>
      </c>
      <c r="O2163" s="67"/>
      <c r="P2163" s="99"/>
      <c r="Q2163" s="42">
        <f>OfficeForms.Table[[#This Row],[ INFORMEDEPAGO ]]*0.3</f>
        <v>0</v>
      </c>
      <c r="R2163" s="12">
        <f>(IF(O2163&lt;4172.98,0,MIN(O2163*0.3,O2163-4172.98)))-P2163</f>
        <v>0</v>
      </c>
      <c r="S2163" s="78"/>
      <c r="T2163" s="1"/>
      <c r="V2163" s="1"/>
      <c r="X2163" s="101">
        <v>0</v>
      </c>
    </row>
    <row r="2164" spans="1:24" hidden="1">
      <c r="A2164">
        <v>567</v>
      </c>
      <c r="B2164" s="2">
        <v>46231.634444444397</v>
      </c>
      <c r="C2164" s="2">
        <v>46231.638055555602</v>
      </c>
      <c r="D2164" s="1" t="s">
        <v>24</v>
      </c>
      <c r="E2164" s="1"/>
      <c r="F2164" s="29">
        <v>46231</v>
      </c>
      <c r="G2164" s="29">
        <v>46231</v>
      </c>
      <c r="H2164" s="1" t="s">
        <v>1519</v>
      </c>
      <c r="I2164" s="1" t="s">
        <v>5027</v>
      </c>
      <c r="J2164" s="175"/>
      <c r="K2164" s="171" t="s">
        <v>5028</v>
      </c>
      <c r="L2164" s="62">
        <v>23160358</v>
      </c>
      <c r="M2164" s="30">
        <v>5215564513129</v>
      </c>
      <c r="N2164" s="171" t="s">
        <v>28</v>
      </c>
      <c r="O2164" s="67">
        <f>10122.9+848</f>
        <v>10970.9</v>
      </c>
      <c r="P2164" s="99" t="s">
        <v>3921</v>
      </c>
      <c r="Q2164" s="42">
        <f>OfficeForms.Table[[#This Row],[ INFORMEDEPAGO ]]*0.3</f>
        <v>3291.27</v>
      </c>
      <c r="R2164" s="12">
        <f>(IF(O2164&lt;4172.98,0,MIN(O2164*0.3,O2164-4172.98)))-P2164</f>
        <v>2443.27</v>
      </c>
      <c r="S2164" s="78"/>
      <c r="T2164" s="1"/>
      <c r="V2164" s="1"/>
      <c r="X2164" s="101">
        <v>1</v>
      </c>
    </row>
    <row r="2165" spans="1:24" hidden="1">
      <c r="A2165">
        <v>568</v>
      </c>
      <c r="B2165" s="2">
        <v>46231.636886574102</v>
      </c>
      <c r="C2165" s="2">
        <v>46231.638611111099</v>
      </c>
      <c r="D2165" s="1" t="s">
        <v>24</v>
      </c>
      <c r="E2165" s="1"/>
      <c r="F2165" s="29">
        <v>46231</v>
      </c>
      <c r="G2165" s="29">
        <v>46231</v>
      </c>
      <c r="H2165" s="1" t="s">
        <v>1519</v>
      </c>
      <c r="I2165" s="1" t="s">
        <v>5029</v>
      </c>
      <c r="J2165" s="175">
        <v>23876525314</v>
      </c>
      <c r="K2165" s="171" t="s">
        <v>5030</v>
      </c>
      <c r="L2165" s="62">
        <v>23169270</v>
      </c>
      <c r="M2165" s="30">
        <v>5216681909002</v>
      </c>
      <c r="N2165" s="171" t="s">
        <v>37</v>
      </c>
      <c r="O2165" s="43">
        <v>20028.8</v>
      </c>
      <c r="P2165" s="97">
        <v>6006.01</v>
      </c>
      <c r="Q2165" s="42">
        <f>OfficeForms.Table[[#This Row],[ INFORMEDEPAGO ]]*0.3</f>
        <v>6008.6399999999994</v>
      </c>
      <c r="R2165" s="12">
        <f>(IF(O2165&lt;4172.98,0,MIN(O2165*0.3,O2165-4172.98)))-P2165</f>
        <v>2.6299999999991996</v>
      </c>
      <c r="S2165" s="78">
        <v>46600</v>
      </c>
      <c r="T2165" s="1"/>
      <c r="V2165" s="1"/>
      <c r="X2165" s="101">
        <v>2</v>
      </c>
    </row>
    <row r="2166" spans="1:24" hidden="1">
      <c r="A2166">
        <v>569</v>
      </c>
      <c r="B2166" s="2">
        <v>46231.505277777796</v>
      </c>
      <c r="C2166" s="2">
        <v>46231.645185185203</v>
      </c>
      <c r="D2166" s="1" t="s">
        <v>24</v>
      </c>
      <c r="E2166" s="1"/>
      <c r="F2166" s="29">
        <v>46231</v>
      </c>
      <c r="G2166" s="29">
        <v>46220</v>
      </c>
      <c r="H2166" s="1" t="s">
        <v>81</v>
      </c>
      <c r="I2166" s="1" t="s">
        <v>5031</v>
      </c>
      <c r="J2166" s="175"/>
      <c r="K2166" s="171" t="s">
        <v>5032</v>
      </c>
      <c r="L2166" s="62">
        <v>22802356</v>
      </c>
      <c r="M2166" s="30">
        <v>5216641991697</v>
      </c>
      <c r="N2166" s="171" t="s">
        <v>106</v>
      </c>
      <c r="O2166" s="52">
        <v>6623.3</v>
      </c>
      <c r="P2166" s="99">
        <v>1558.02</v>
      </c>
      <c r="Q2166" s="42">
        <f>OfficeForms.Table[[#This Row],[ INFORMEDEPAGO ]]*0.3</f>
        <v>1986.99</v>
      </c>
      <c r="R2166" s="12">
        <f>(IF(O2166&lt;4172.98,0,MIN(O2166*0.3,O2166-4172.98)))-P2166</f>
        <v>428.97</v>
      </c>
      <c r="S2166" s="78">
        <v>45474</v>
      </c>
      <c r="T2166" s="1"/>
      <c r="V2166" s="1"/>
      <c r="X2166" s="101">
        <v>2</v>
      </c>
    </row>
    <row r="2167" spans="1:24" hidden="1">
      <c r="A2167">
        <v>570</v>
      </c>
      <c r="B2167" s="2">
        <v>46231.646712962996</v>
      </c>
      <c r="C2167" s="2">
        <v>46231.647060185198</v>
      </c>
      <c r="D2167" s="1" t="s">
        <v>24</v>
      </c>
      <c r="E2167" s="1"/>
      <c r="F2167" s="29">
        <v>46231</v>
      </c>
      <c r="G2167" s="29">
        <v>46231</v>
      </c>
      <c r="H2167" s="1" t="s">
        <v>5033</v>
      </c>
      <c r="I2167" s="1" t="s">
        <v>5034</v>
      </c>
      <c r="J2167" s="175">
        <v>23765816154</v>
      </c>
      <c r="K2167" s="171" t="s">
        <v>5035</v>
      </c>
      <c r="L2167" s="62">
        <v>2317913</v>
      </c>
      <c r="M2167" s="30">
        <v>6691614590</v>
      </c>
      <c r="N2167" s="171" t="s">
        <v>37</v>
      </c>
      <c r="O2167" s="43">
        <v>9760.32</v>
      </c>
      <c r="P2167" s="97">
        <v>2809.95</v>
      </c>
      <c r="Q2167" s="42">
        <f>OfficeForms.Table[[#This Row],[ INFORMEDEPAGO ]]*0.3</f>
        <v>2928.096</v>
      </c>
      <c r="R2167" s="12">
        <f>(IF(O2167&lt;4172.98,0,MIN(O2167*0.3,O2167-4172.98)))-P2167</f>
        <v>118.14600000000019</v>
      </c>
      <c r="S2167" s="78">
        <v>46539</v>
      </c>
      <c r="T2167" s="1" t="s">
        <v>192</v>
      </c>
      <c r="V2167" s="1"/>
      <c r="X2167" s="101">
        <v>2</v>
      </c>
    </row>
    <row r="2168" spans="1:24" hidden="1">
      <c r="A2168">
        <v>571</v>
      </c>
      <c r="B2168" s="2">
        <v>46231.649826388901</v>
      </c>
      <c r="C2168" s="2">
        <v>46231.650208333303</v>
      </c>
      <c r="D2168" s="1" t="s">
        <v>24</v>
      </c>
      <c r="E2168" s="1"/>
      <c r="F2168" s="29">
        <v>46231</v>
      </c>
      <c r="G2168" s="29">
        <v>46231</v>
      </c>
      <c r="H2168" s="1" t="s">
        <v>3007</v>
      </c>
      <c r="I2168" s="1" t="s">
        <v>5036</v>
      </c>
      <c r="J2168" s="175"/>
      <c r="K2168" s="171" t="s">
        <v>5037</v>
      </c>
      <c r="L2168" s="62">
        <v>23181808</v>
      </c>
      <c r="M2168" s="30">
        <v>8182601006</v>
      </c>
      <c r="N2168" s="171" t="s">
        <v>37</v>
      </c>
      <c r="O2168" s="52">
        <v>7116.73</v>
      </c>
      <c r="P2168" s="99">
        <v>2135.02</v>
      </c>
      <c r="Q2168" s="42">
        <f>OfficeForms.Table[[#This Row],[ INFORMEDEPAGO ]]*0.3</f>
        <v>2135.0189999999998</v>
      </c>
      <c r="R2168" s="12">
        <f>(IF(O2168&lt;4172.98,0,MIN(O2168*0.3,O2168-4172.98)))-P2168</f>
        <v>-1.0000000002037268E-3</v>
      </c>
      <c r="S2168" s="78">
        <v>46631</v>
      </c>
      <c r="T2168" s="1"/>
      <c r="V2168" s="1"/>
      <c r="X2168" s="101">
        <v>2</v>
      </c>
    </row>
    <row r="2169" spans="1:24" hidden="1">
      <c r="A2169">
        <v>572</v>
      </c>
      <c r="B2169" s="2">
        <v>46231.652604166702</v>
      </c>
      <c r="C2169" s="2">
        <v>46231.653761574104</v>
      </c>
      <c r="D2169" s="1" t="s">
        <v>24</v>
      </c>
      <c r="E2169" s="1"/>
      <c r="F2169" s="29">
        <v>46231</v>
      </c>
      <c r="G2169" s="29">
        <v>46231</v>
      </c>
      <c r="H2169" s="1" t="s">
        <v>110</v>
      </c>
      <c r="I2169" s="1"/>
      <c r="J2169" s="175"/>
      <c r="K2169" s="187" t="s">
        <v>5038</v>
      </c>
      <c r="L2169" s="62">
        <v>23105834</v>
      </c>
      <c r="M2169" s="30">
        <v>5212878894173</v>
      </c>
      <c r="N2169" s="171" t="s">
        <v>98</v>
      </c>
      <c r="O2169" s="50"/>
      <c r="P2169" s="97"/>
      <c r="Q2169" s="42">
        <f>OfficeForms.Table[[#This Row],[ INFORMEDEPAGO ]]*0.3</f>
        <v>0</v>
      </c>
      <c r="R2169" s="12">
        <f>(IF(O2169&lt;4172.98,0,MIN(O2169*0.3,O2169-4172.98)))-P2169</f>
        <v>0</v>
      </c>
      <c r="S2169" s="78"/>
      <c r="T2169" s="1"/>
      <c r="V2169" s="1"/>
      <c r="X2169" s="101">
        <v>0</v>
      </c>
    </row>
    <row r="2170" spans="1:24" hidden="1">
      <c r="A2170">
        <v>573</v>
      </c>
      <c r="B2170" s="2">
        <v>46231.654710648101</v>
      </c>
      <c r="C2170" s="2">
        <v>46231.656006944402</v>
      </c>
      <c r="D2170" s="1" t="s">
        <v>24</v>
      </c>
      <c r="E2170" s="1"/>
      <c r="F2170" s="29">
        <v>46231</v>
      </c>
      <c r="G2170" s="29">
        <v>46230</v>
      </c>
      <c r="H2170" s="1" t="s">
        <v>3022</v>
      </c>
      <c r="I2170" s="1" t="s">
        <v>5039</v>
      </c>
      <c r="J2170" s="175"/>
      <c r="K2170" s="171" t="s">
        <v>5040</v>
      </c>
      <c r="L2170" s="62">
        <v>23152752</v>
      </c>
      <c r="M2170" s="30">
        <v>6642050437</v>
      </c>
      <c r="N2170" s="171" t="s">
        <v>98</v>
      </c>
      <c r="O2170" s="50"/>
      <c r="P2170" s="97"/>
      <c r="Q2170" s="42">
        <f>OfficeForms.Table[[#This Row],[ INFORMEDEPAGO ]]*0.3</f>
        <v>0</v>
      </c>
      <c r="R2170" s="12">
        <f>(IF(O2170&lt;4172.98,0,MIN(O2170*0.3,O2170-4172.98)))-P2170</f>
        <v>0</v>
      </c>
      <c r="S2170" s="78"/>
      <c r="T2170" s="1"/>
      <c r="V2170" s="1"/>
      <c r="X2170" s="101">
        <v>0</v>
      </c>
    </row>
    <row r="2171" spans="1:24" hidden="1">
      <c r="A2171">
        <v>574</v>
      </c>
      <c r="B2171" s="2">
        <v>46231.653067129599</v>
      </c>
      <c r="C2171" s="2">
        <v>46231.657430555599</v>
      </c>
      <c r="D2171" s="1" t="s">
        <v>24</v>
      </c>
      <c r="E2171" s="1"/>
      <c r="F2171" s="29">
        <v>46231</v>
      </c>
      <c r="G2171" s="29">
        <v>46231</v>
      </c>
      <c r="H2171" s="1" t="s">
        <v>160</v>
      </c>
      <c r="I2171" s="1" t="s">
        <v>5041</v>
      </c>
      <c r="J2171" s="175"/>
      <c r="K2171" s="171" t="s">
        <v>5042</v>
      </c>
      <c r="L2171" s="62">
        <v>23165370</v>
      </c>
      <c r="M2171" s="30">
        <v>5219811374125</v>
      </c>
      <c r="N2171" s="171" t="s">
        <v>37</v>
      </c>
      <c r="O2171" s="52">
        <v>9760.32</v>
      </c>
      <c r="P2171" s="99">
        <v>2925.99</v>
      </c>
      <c r="Q2171" s="42">
        <f>OfficeForms.Table[[#This Row],[ INFORMEDEPAGO ]]*0.3</f>
        <v>2928.096</v>
      </c>
      <c r="R2171" s="12">
        <f>(IF(O2171&lt;4172.98,0,MIN(O2171*0.3,O2171-4172.98)))-P2171</f>
        <v>2.1060000000002219</v>
      </c>
      <c r="S2171" s="78">
        <v>46692</v>
      </c>
      <c r="T2171" s="1" t="s">
        <v>178</v>
      </c>
      <c r="V2171" s="1"/>
      <c r="X2171" s="101">
        <v>2</v>
      </c>
    </row>
    <row r="2172" spans="1:24" hidden="1">
      <c r="A2172">
        <v>575</v>
      </c>
      <c r="B2172" s="2">
        <v>46231.657673611102</v>
      </c>
      <c r="C2172" s="2">
        <v>46231.658263888901</v>
      </c>
      <c r="D2172" s="1" t="s">
        <v>24</v>
      </c>
      <c r="E2172" s="1"/>
      <c r="F2172" s="29">
        <v>46231</v>
      </c>
      <c r="G2172" s="29">
        <v>46230</v>
      </c>
      <c r="H2172" s="1" t="s">
        <v>3036</v>
      </c>
      <c r="I2172" s="1" t="s">
        <v>5043</v>
      </c>
      <c r="J2172" s="175">
        <v>90896200355</v>
      </c>
      <c r="K2172" s="171"/>
      <c r="L2172" s="62">
        <v>23151560</v>
      </c>
      <c r="M2172" s="30">
        <v>5215579251357</v>
      </c>
      <c r="N2172" s="171" t="s">
        <v>98</v>
      </c>
      <c r="O2172" s="50"/>
      <c r="P2172" s="97"/>
      <c r="Q2172" s="42">
        <f>OfficeForms.Table[[#This Row],[ INFORMEDEPAGO ]]*0.3</f>
        <v>0</v>
      </c>
      <c r="R2172" s="12">
        <f>(IF(O2172&lt;4172.98,0,MIN(O2172*0.3,O2172-4172.98)))-P2172</f>
        <v>0</v>
      </c>
      <c r="S2172" s="78"/>
      <c r="T2172" s="1"/>
      <c r="V2172" s="1"/>
      <c r="X2172" s="101">
        <v>0</v>
      </c>
    </row>
    <row r="2173" spans="1:24" hidden="1">
      <c r="A2173">
        <v>576</v>
      </c>
      <c r="B2173" s="2">
        <v>46231.668587963002</v>
      </c>
      <c r="C2173" s="2">
        <v>46231.6698958333</v>
      </c>
      <c r="D2173" s="1" t="s">
        <v>24</v>
      </c>
      <c r="E2173" s="1"/>
      <c r="F2173" s="29">
        <v>46231</v>
      </c>
      <c r="G2173" s="29">
        <v>46231</v>
      </c>
      <c r="H2173" s="1" t="s">
        <v>3022</v>
      </c>
      <c r="I2173" s="1" t="s">
        <v>5044</v>
      </c>
      <c r="J2173" s="175"/>
      <c r="K2173" s="171" t="s">
        <v>5045</v>
      </c>
      <c r="L2173" s="62">
        <v>23179146</v>
      </c>
      <c r="M2173" s="30">
        <v>6699186165</v>
      </c>
      <c r="N2173" s="171" t="s">
        <v>106</v>
      </c>
      <c r="O2173" s="43">
        <v>7116.73</v>
      </c>
      <c r="P2173" s="97">
        <v>1747.63</v>
      </c>
      <c r="Q2173" s="42">
        <f>OfficeForms.Table[[#This Row],[ INFORMEDEPAGO ]]*0.3</f>
        <v>2135.0189999999998</v>
      </c>
      <c r="R2173" s="12">
        <f>(IF(O2173&lt;4172.98,0,MIN(O2173*0.3,O2173-4172.98)))-P2173</f>
        <v>387.38899999999967</v>
      </c>
      <c r="S2173" s="78">
        <v>45413</v>
      </c>
      <c r="T2173" s="1"/>
      <c r="V2173" s="1"/>
      <c r="X2173" s="101">
        <v>2</v>
      </c>
    </row>
    <row r="2174" spans="1:24" hidden="1">
      <c r="A2174">
        <v>577</v>
      </c>
      <c r="B2174" s="2">
        <v>46231.668969907398</v>
      </c>
      <c r="C2174" s="2">
        <v>46231.6703472222</v>
      </c>
      <c r="D2174" s="1" t="s">
        <v>24</v>
      </c>
      <c r="E2174" s="1"/>
      <c r="F2174" s="29">
        <v>46231</v>
      </c>
      <c r="G2174" s="29">
        <v>46229</v>
      </c>
      <c r="H2174" s="1" t="s">
        <v>110</v>
      </c>
      <c r="I2174" s="1" t="s">
        <v>5046</v>
      </c>
      <c r="J2174" s="175">
        <v>33745700683</v>
      </c>
      <c r="K2174" s="171"/>
      <c r="L2174" s="62">
        <v>23120844</v>
      </c>
      <c r="M2174" s="30">
        <v>5216393989352</v>
      </c>
      <c r="N2174" s="171" t="s">
        <v>28</v>
      </c>
      <c r="O2174" s="50">
        <v>7363.38</v>
      </c>
      <c r="P2174" s="97"/>
      <c r="Q2174" s="42">
        <f>OfficeForms.Table[[#This Row],[ INFORMEDEPAGO ]]*0.3</f>
        <v>2209.0140000000001</v>
      </c>
      <c r="R2174" s="12">
        <f>(IF(O2174&lt;4172.98,0,MIN(O2174*0.3,O2174-4172.98)))-P2174</f>
        <v>2209.0140000000001</v>
      </c>
      <c r="S2174" s="78"/>
      <c r="T2174" s="1"/>
      <c r="V2174" s="1"/>
      <c r="X2174" s="101">
        <v>1</v>
      </c>
    </row>
    <row r="2175" spans="1:24" hidden="1">
      <c r="A2175">
        <v>578</v>
      </c>
      <c r="B2175" s="2">
        <v>46231.642488425903</v>
      </c>
      <c r="C2175" s="2">
        <v>46231.670370370397</v>
      </c>
      <c r="D2175" s="1" t="s">
        <v>24</v>
      </c>
      <c r="E2175" s="1"/>
      <c r="F2175" s="29">
        <v>46231</v>
      </c>
      <c r="G2175" s="29">
        <v>46231</v>
      </c>
      <c r="H2175" s="1" t="s">
        <v>3352</v>
      </c>
      <c r="I2175" s="1" t="s">
        <v>5047</v>
      </c>
      <c r="J2175" s="175">
        <v>61946602416</v>
      </c>
      <c r="K2175" s="171"/>
      <c r="L2175" s="62">
        <v>23182960</v>
      </c>
      <c r="M2175" s="30">
        <v>2225806996</v>
      </c>
      <c r="N2175" s="171" t="s">
        <v>37</v>
      </c>
      <c r="O2175" s="50">
        <v>8173.37</v>
      </c>
      <c r="P2175" s="97" t="s">
        <v>5048</v>
      </c>
      <c r="Q2175" s="42">
        <f>OfficeForms.Table[[#This Row],[ INFORMEDEPAGO ]]*0.3</f>
        <v>2452.011</v>
      </c>
      <c r="R2175" s="12">
        <f>(IF(O2175&lt;4172.98,0,MIN(O2175*0.3,O2175-4172.98)))-P2175</f>
        <v>87.280999999999949</v>
      </c>
      <c r="S2175" s="78">
        <v>46631</v>
      </c>
      <c r="T2175" s="1"/>
      <c r="V2175" s="1"/>
      <c r="X2175" s="101">
        <v>2</v>
      </c>
    </row>
    <row r="2176" spans="1:24" hidden="1">
      <c r="A2176">
        <v>579</v>
      </c>
      <c r="B2176" s="2">
        <v>46231.667268518497</v>
      </c>
      <c r="C2176" s="2">
        <v>46231.6719675926</v>
      </c>
      <c r="D2176" s="1" t="s">
        <v>24</v>
      </c>
      <c r="E2176" s="1"/>
      <c r="F2176" s="29">
        <v>46231</v>
      </c>
      <c r="G2176" s="29">
        <v>46231</v>
      </c>
      <c r="H2176" s="1" t="s">
        <v>78</v>
      </c>
      <c r="I2176" s="1" t="s">
        <v>5049</v>
      </c>
      <c r="J2176" s="175">
        <v>41846304891</v>
      </c>
      <c r="K2176" s="171" t="s">
        <v>5050</v>
      </c>
      <c r="L2176" s="62">
        <v>23172874</v>
      </c>
      <c r="M2176" s="30">
        <v>5214446421962</v>
      </c>
      <c r="N2176" s="171" t="s">
        <v>263</v>
      </c>
      <c r="O2176" s="52">
        <v>7920.51</v>
      </c>
      <c r="P2176" s="99">
        <v>2289.19</v>
      </c>
      <c r="Q2176" s="42">
        <f>OfficeForms.Table[[#This Row],[ INFORMEDEPAGO ]]*0.3</f>
        <v>2376.1529999999998</v>
      </c>
      <c r="R2176" s="12">
        <f>(IF(O2176&lt;4172.98,0,MIN(O2176*0.3,O2176-4172.98)))-P2176</f>
        <v>86.962999999999738</v>
      </c>
      <c r="S2176" s="78">
        <v>46113</v>
      </c>
      <c r="T2176" s="1" t="s">
        <v>178</v>
      </c>
      <c r="V2176" s="1"/>
      <c r="X2176" s="101">
        <v>2</v>
      </c>
    </row>
    <row r="2177" spans="1:24" hidden="1">
      <c r="A2177">
        <v>580</v>
      </c>
      <c r="B2177" s="2">
        <v>46231.674594907403</v>
      </c>
      <c r="C2177" s="2">
        <v>46231.676527777803</v>
      </c>
      <c r="D2177" s="1" t="s">
        <v>24</v>
      </c>
      <c r="E2177" s="1"/>
      <c r="F2177" s="29">
        <v>46231</v>
      </c>
      <c r="G2177" s="29">
        <v>46194</v>
      </c>
      <c r="H2177" s="1" t="s">
        <v>71</v>
      </c>
      <c r="I2177" s="1" t="s">
        <v>5051</v>
      </c>
      <c r="J2177" s="175">
        <v>32783800686</v>
      </c>
      <c r="K2177" s="171" t="s">
        <v>5052</v>
      </c>
      <c r="L2177" s="62">
        <v>21881424</v>
      </c>
      <c r="M2177" s="30">
        <v>5218443274846</v>
      </c>
      <c r="N2177" s="171" t="s">
        <v>130</v>
      </c>
      <c r="O2177" s="52">
        <v>4554.84</v>
      </c>
      <c r="P2177" s="99">
        <v>654.4</v>
      </c>
      <c r="Q2177" s="42">
        <f>OfficeForms.Table[[#This Row],[ INFORMEDEPAGO ]]*0.3</f>
        <v>1366.452</v>
      </c>
      <c r="R2177" s="12">
        <f>(IF(O2177&lt;4172.98,0,MIN(O2177*0.3,O2177-4172.98)))-P2177</f>
        <v>-272.5399999999994</v>
      </c>
      <c r="S2177" s="78">
        <v>45658</v>
      </c>
      <c r="T2177" s="1"/>
      <c r="V2177" s="1"/>
      <c r="X2177" s="101">
        <v>2</v>
      </c>
    </row>
    <row r="2178" spans="1:24" hidden="1">
      <c r="A2178">
        <v>581</v>
      </c>
      <c r="B2178" s="2">
        <v>46231.676377314798</v>
      </c>
      <c r="C2178" s="2">
        <v>46231.677083333299</v>
      </c>
      <c r="D2178" s="1" t="s">
        <v>24</v>
      </c>
      <c r="E2178" s="1"/>
      <c r="F2178" s="29">
        <v>46231</v>
      </c>
      <c r="G2178" s="29">
        <v>46231</v>
      </c>
      <c r="H2178" s="1" t="s">
        <v>5033</v>
      </c>
      <c r="I2178" s="1" t="s">
        <v>5053</v>
      </c>
      <c r="J2178" s="175">
        <v>34814900485</v>
      </c>
      <c r="K2178" s="171" t="s">
        <v>5054</v>
      </c>
      <c r="L2178" s="62">
        <v>23179628</v>
      </c>
      <c r="M2178" s="30">
        <v>8126393531</v>
      </c>
      <c r="N2178" s="171" t="s">
        <v>235</v>
      </c>
      <c r="O2178" s="50"/>
      <c r="P2178" s="97"/>
      <c r="Q2178" s="42">
        <f>OfficeForms.Table[[#This Row],[ INFORMEDEPAGO ]]*0.3</f>
        <v>0</v>
      </c>
      <c r="R2178" s="12">
        <f>(IF(O2178&lt;4172.98,0,MIN(O2178*0.3,O2178-4172.98)))-P2178</f>
        <v>0</v>
      </c>
      <c r="S2178" s="78"/>
      <c r="T2178" s="1"/>
      <c r="V2178" s="1"/>
      <c r="X2178" s="101">
        <v>1</v>
      </c>
    </row>
    <row r="2179" spans="1:24" hidden="1">
      <c r="A2179">
        <v>582</v>
      </c>
      <c r="B2179" s="2">
        <v>46231.681446759299</v>
      </c>
      <c r="C2179" s="2">
        <v>46231.683553240699</v>
      </c>
      <c r="D2179" s="1" t="s">
        <v>24</v>
      </c>
      <c r="E2179" s="1"/>
      <c r="F2179" s="29">
        <v>46231</v>
      </c>
      <c r="G2179" s="29">
        <v>46231</v>
      </c>
      <c r="H2179" s="1" t="s">
        <v>3572</v>
      </c>
      <c r="I2179" s="1" t="s">
        <v>5055</v>
      </c>
      <c r="J2179" s="175"/>
      <c r="K2179" s="171" t="s">
        <v>5056</v>
      </c>
      <c r="L2179" s="62">
        <v>23178208</v>
      </c>
      <c r="M2179" s="30">
        <v>5214881194910</v>
      </c>
      <c r="N2179" s="171" t="s">
        <v>37</v>
      </c>
      <c r="O2179" s="52">
        <v>15273.74</v>
      </c>
      <c r="P2179" s="99">
        <v>4409.95</v>
      </c>
      <c r="Q2179" s="42">
        <f>OfficeForms.Table[[#This Row],[ INFORMEDEPAGO ]]*0.3</f>
        <v>4582.1219999999994</v>
      </c>
      <c r="R2179" s="12">
        <f>(IF(O2179&lt;4172.98,0,MIN(O2179*0.3,O2179-4172.98)))-P2179</f>
        <v>172.17199999999957</v>
      </c>
      <c r="S2179" s="78">
        <v>46722</v>
      </c>
      <c r="T2179" s="1"/>
      <c r="V2179" s="1"/>
      <c r="X2179" s="101">
        <v>2</v>
      </c>
    </row>
    <row r="2180" spans="1:24" hidden="1">
      <c r="A2180">
        <v>583</v>
      </c>
      <c r="B2180" s="2">
        <v>46231.670509259297</v>
      </c>
      <c r="C2180" s="2">
        <v>46231.683564814797</v>
      </c>
      <c r="D2180" s="1" t="s">
        <v>24</v>
      </c>
      <c r="E2180" s="1"/>
      <c r="F2180" s="29">
        <v>46231</v>
      </c>
      <c r="G2180" s="29">
        <v>46231</v>
      </c>
      <c r="H2180" s="1" t="s">
        <v>51</v>
      </c>
      <c r="I2180" s="1" t="s">
        <v>5057</v>
      </c>
      <c r="J2180" s="175" t="s">
        <v>5058</v>
      </c>
      <c r="K2180" s="171" t="s">
        <v>5059</v>
      </c>
      <c r="L2180" s="62">
        <v>23142436</v>
      </c>
      <c r="M2180" s="30">
        <v>5219991605267</v>
      </c>
      <c r="N2180" s="171" t="s">
        <v>28</v>
      </c>
      <c r="O2180" s="50">
        <v>7920.51</v>
      </c>
      <c r="P2180" s="97"/>
      <c r="Q2180" s="42">
        <f>OfficeForms.Table[[#This Row],[ INFORMEDEPAGO ]]*0.3</f>
        <v>2376.1529999999998</v>
      </c>
      <c r="R2180" s="12">
        <f>(IF(O2180&lt;4172.98,0,MIN(O2180*0.3,O2180-4172.98)))-P2180</f>
        <v>2376.1529999999998</v>
      </c>
      <c r="S2180" s="78"/>
      <c r="T2180" s="1"/>
      <c r="V2180" s="1"/>
      <c r="X2180" s="101">
        <v>1</v>
      </c>
    </row>
    <row r="2181" spans="1:24" hidden="1">
      <c r="A2181">
        <v>584</v>
      </c>
      <c r="B2181" s="2">
        <v>46231.544780092598</v>
      </c>
      <c r="C2181" s="2">
        <v>46231.683622685203</v>
      </c>
      <c r="D2181" s="1" t="s">
        <v>24</v>
      </c>
      <c r="E2181" s="1"/>
      <c r="F2181" s="29">
        <v>46231</v>
      </c>
      <c r="G2181" s="29">
        <v>46231</v>
      </c>
      <c r="H2181" s="1" t="s">
        <v>1625</v>
      </c>
      <c r="I2181" s="1" t="s">
        <v>5060</v>
      </c>
      <c r="J2181" s="175">
        <v>16937125082</v>
      </c>
      <c r="K2181" s="171" t="s">
        <v>5061</v>
      </c>
      <c r="L2181" s="62">
        <v>2</v>
      </c>
      <c r="M2181" s="30">
        <v>7223015113</v>
      </c>
      <c r="N2181" s="171" t="s">
        <v>37</v>
      </c>
      <c r="O2181" s="43">
        <v>7224.19</v>
      </c>
      <c r="P2181" s="97">
        <v>2089.56</v>
      </c>
      <c r="Q2181" s="42">
        <f>OfficeForms.Table[[#This Row],[ INFORMEDEPAGO ]]*0.3</f>
        <v>2167.2569999999996</v>
      </c>
      <c r="R2181" s="12">
        <f>(IF(O2181&lt;4172.98,0,MIN(O2181*0.3,O2181-4172.98)))-P2181</f>
        <v>77.696999999999662</v>
      </c>
      <c r="S2181" s="78">
        <v>46235</v>
      </c>
      <c r="T2181" s="1"/>
      <c r="V2181" s="1"/>
      <c r="X2181" s="101">
        <v>2</v>
      </c>
    </row>
    <row r="2182" spans="1:24" hidden="1">
      <c r="A2182">
        <v>585</v>
      </c>
      <c r="B2182" s="2">
        <v>46231.682129629597</v>
      </c>
      <c r="C2182" s="2">
        <v>46231.683807870402</v>
      </c>
      <c r="D2182" s="1" t="s">
        <v>24</v>
      </c>
      <c r="E2182" s="1"/>
      <c r="F2182" s="29">
        <v>46231</v>
      </c>
      <c r="G2182" s="29">
        <v>46231</v>
      </c>
      <c r="H2182" s="1" t="s">
        <v>1629</v>
      </c>
      <c r="I2182" s="1" t="s">
        <v>5062</v>
      </c>
      <c r="J2182" s="175">
        <v>41816330249</v>
      </c>
      <c r="K2182" s="171" t="s">
        <v>5063</v>
      </c>
      <c r="L2182" s="62">
        <v>2</v>
      </c>
      <c r="M2182" s="30">
        <v>4443913745</v>
      </c>
      <c r="N2182" s="171" t="s">
        <v>37</v>
      </c>
      <c r="O2182" s="43">
        <v>7920.51</v>
      </c>
      <c r="P2182" s="97">
        <v>2371.7399999999998</v>
      </c>
      <c r="Q2182" s="42">
        <f>OfficeForms.Table[[#This Row],[ INFORMEDEPAGO ]]*0.3</f>
        <v>2376.1529999999998</v>
      </c>
      <c r="R2182" s="12">
        <f>(IF(O2182&lt;4172.98,0,MIN(O2182*0.3,O2182-4172.98)))-P2182</f>
        <v>4.4130000000000109</v>
      </c>
      <c r="S2182" s="78">
        <v>46235</v>
      </c>
      <c r="T2182" s="1" t="s">
        <v>178</v>
      </c>
      <c r="V2182" s="1"/>
      <c r="X2182" s="101">
        <v>2</v>
      </c>
    </row>
    <row r="2183" spans="1:24" hidden="1">
      <c r="A2183">
        <v>586</v>
      </c>
      <c r="B2183" s="2">
        <v>46231.679270833301</v>
      </c>
      <c r="C2183" s="2">
        <v>46231.684166666702</v>
      </c>
      <c r="D2183" s="1" t="s">
        <v>24</v>
      </c>
      <c r="E2183" s="1"/>
      <c r="F2183" s="29">
        <v>46231</v>
      </c>
      <c r="G2183" s="29">
        <v>46231</v>
      </c>
      <c r="H2183" s="1" t="s">
        <v>51</v>
      </c>
      <c r="I2183" s="1" t="s">
        <v>5064</v>
      </c>
      <c r="J2183" s="175" t="s">
        <v>5065</v>
      </c>
      <c r="K2183" s="171" t="s">
        <v>5066</v>
      </c>
      <c r="L2183" s="62">
        <v>23140162</v>
      </c>
      <c r="M2183" s="30">
        <v>5217773362122</v>
      </c>
      <c r="N2183" s="171" t="s">
        <v>37</v>
      </c>
      <c r="O2183" s="52">
        <v>23663.39</v>
      </c>
      <c r="P2183" s="99">
        <v>6845.38</v>
      </c>
      <c r="Q2183" s="42">
        <f>OfficeForms.Table[[#This Row],[ INFORMEDEPAGO ]]*0.3</f>
        <v>7099.0169999999998</v>
      </c>
      <c r="R2183" s="12">
        <f>(IF(O2183&lt;4172.98,0,MIN(O2183*0.3,O2183-4172.98)))-P2183</f>
        <v>253.63699999999972</v>
      </c>
      <c r="S2183" s="78">
        <v>46327</v>
      </c>
      <c r="T2183" s="1" t="s">
        <v>259</v>
      </c>
      <c r="V2183" s="1"/>
      <c r="X2183" s="101">
        <v>2</v>
      </c>
    </row>
    <row r="2184" spans="1:24" hidden="1">
      <c r="A2184">
        <v>587</v>
      </c>
      <c r="B2184" s="2">
        <v>46231.686215277798</v>
      </c>
      <c r="C2184" s="2">
        <v>46231.686712962997</v>
      </c>
      <c r="D2184" s="1" t="s">
        <v>24</v>
      </c>
      <c r="E2184" s="1"/>
      <c r="F2184" s="29">
        <v>46231</v>
      </c>
      <c r="G2184" s="29">
        <v>46231</v>
      </c>
      <c r="H2184" s="1" t="s">
        <v>1625</v>
      </c>
      <c r="I2184" s="1" t="s">
        <v>5067</v>
      </c>
      <c r="J2184" s="175">
        <v>54836607017</v>
      </c>
      <c r="K2184" s="171" t="s">
        <v>5068</v>
      </c>
      <c r="L2184" s="62">
        <v>2</v>
      </c>
      <c r="M2184" s="30">
        <v>3731042664</v>
      </c>
      <c r="N2184" s="171" t="s">
        <v>37</v>
      </c>
      <c r="O2184" s="52">
        <v>8173.37</v>
      </c>
      <c r="P2184" s="99">
        <v>2364.75</v>
      </c>
      <c r="Q2184" s="42">
        <f>OfficeForms.Table[[#This Row],[ INFORMEDEPAGO ]]*0.3</f>
        <v>2452.011</v>
      </c>
      <c r="R2184" s="12">
        <f>(IF(O2184&lt;4172.98,0,MIN(O2184*0.3,O2184-4172.98)))-P2184</f>
        <v>87.260999999999967</v>
      </c>
      <c r="S2184" s="78">
        <v>46539</v>
      </c>
      <c r="T2184" s="1"/>
      <c r="V2184" s="1"/>
      <c r="X2184" s="101">
        <v>2</v>
      </c>
    </row>
    <row r="2185" spans="1:24" hidden="1">
      <c r="A2185">
        <v>588</v>
      </c>
      <c r="B2185" s="2">
        <v>46231.688032407401</v>
      </c>
      <c r="C2185" s="2">
        <v>46231.6888078704</v>
      </c>
      <c r="D2185" s="1" t="s">
        <v>24</v>
      </c>
      <c r="E2185" s="1"/>
      <c r="F2185" s="29">
        <v>46231</v>
      </c>
      <c r="G2185" s="29">
        <v>46230</v>
      </c>
      <c r="H2185" s="1" t="s">
        <v>3036</v>
      </c>
      <c r="I2185" s="1" t="s">
        <v>5069</v>
      </c>
      <c r="J2185" s="175"/>
      <c r="K2185" s="171" t="s">
        <v>5070</v>
      </c>
      <c r="L2185" s="62">
        <v>23151282</v>
      </c>
      <c r="M2185" s="30">
        <v>5214442848007</v>
      </c>
      <c r="N2185" s="171" t="s">
        <v>37</v>
      </c>
      <c r="O2185" s="52">
        <v>15349.19</v>
      </c>
      <c r="P2185" s="99">
        <v>4604.55</v>
      </c>
      <c r="Q2185" s="42">
        <f>OfficeForms.Table[[#This Row],[ INFORMEDEPAGO ]]*0.3</f>
        <v>4604.7569999999996</v>
      </c>
      <c r="R2185" s="12">
        <f>(IF(O2185&lt;4172.98,0,MIN(O2185*0.3,O2185-4172.98)))-P2185</f>
        <v>0.2069999999994252</v>
      </c>
      <c r="S2185" s="78">
        <v>46661</v>
      </c>
      <c r="T2185" s="1" t="s">
        <v>192</v>
      </c>
      <c r="V2185" s="1"/>
      <c r="X2185" s="101">
        <v>2</v>
      </c>
    </row>
    <row r="2186" spans="1:24" hidden="1">
      <c r="A2186">
        <v>589</v>
      </c>
      <c r="B2186" s="2">
        <v>46231.688854166699</v>
      </c>
      <c r="C2186" s="2">
        <v>46231.689247685201</v>
      </c>
      <c r="D2186" s="1" t="s">
        <v>24</v>
      </c>
      <c r="E2186" s="1"/>
      <c r="F2186" s="29">
        <v>46231</v>
      </c>
      <c r="G2186" s="29">
        <v>46231</v>
      </c>
      <c r="H2186" s="1" t="s">
        <v>107</v>
      </c>
      <c r="I2186" s="1"/>
      <c r="J2186" s="175"/>
      <c r="K2186" s="171" t="s">
        <v>5071</v>
      </c>
      <c r="L2186" s="62">
        <v>23180318</v>
      </c>
      <c r="M2186" s="30">
        <v>5218118998082</v>
      </c>
      <c r="N2186" s="171" t="s">
        <v>37</v>
      </c>
      <c r="O2186" s="52">
        <v>7920.51</v>
      </c>
      <c r="P2186" s="99">
        <v>2275.54</v>
      </c>
      <c r="Q2186" s="42">
        <f>OfficeForms.Table[[#This Row],[ INFORMEDEPAGO ]]*0.3</f>
        <v>2376.1529999999998</v>
      </c>
      <c r="R2186" s="12">
        <f>(IF(O2186&lt;4172.98,0,MIN(O2186*0.3,O2186-4172.98)))-P2186</f>
        <v>100.61299999999983</v>
      </c>
      <c r="S2186" s="78">
        <v>46569</v>
      </c>
      <c r="T2186" s="1" t="s">
        <v>192</v>
      </c>
      <c r="V2186" s="1"/>
      <c r="X2186" s="101">
        <v>2</v>
      </c>
    </row>
    <row r="2187" spans="1:24" hidden="1">
      <c r="A2187">
        <v>590</v>
      </c>
      <c r="B2187" s="2">
        <v>46231.694305555597</v>
      </c>
      <c r="C2187" s="2">
        <v>46231.695</v>
      </c>
      <c r="D2187" s="1" t="s">
        <v>24</v>
      </c>
      <c r="E2187" s="1"/>
      <c r="F2187" s="29">
        <v>46231</v>
      </c>
      <c r="G2187" s="29">
        <v>46231</v>
      </c>
      <c r="H2187" s="1" t="s">
        <v>3575</v>
      </c>
      <c r="I2187" s="1" t="s">
        <v>5072</v>
      </c>
      <c r="J2187" s="175">
        <v>37876606213</v>
      </c>
      <c r="K2187" s="171"/>
      <c r="L2187" s="62">
        <v>23183016</v>
      </c>
      <c r="M2187" s="30">
        <v>5215551679462</v>
      </c>
      <c r="N2187" s="171" t="s">
        <v>32</v>
      </c>
      <c r="O2187" s="50">
        <v>1271.24</v>
      </c>
      <c r="P2187" s="97"/>
      <c r="Q2187" s="42">
        <f>OfficeForms.Table[[#This Row],[ INFORMEDEPAGO ]]*0.3</f>
        <v>381.37200000000001</v>
      </c>
      <c r="R2187" s="12">
        <f>(IF(O2187&lt;4172.98,0,MIN(O2187*0.3,O2187-4172.98)))-P2187</f>
        <v>0</v>
      </c>
      <c r="S2187" s="78"/>
      <c r="T2187" s="1"/>
      <c r="V2187" s="1"/>
      <c r="X2187" s="101">
        <v>1</v>
      </c>
    </row>
    <row r="2188" spans="1:24" hidden="1">
      <c r="A2188">
        <v>591</v>
      </c>
      <c r="B2188" s="2">
        <v>46231.692812499998</v>
      </c>
      <c r="C2188" s="2">
        <v>46231.695486111101</v>
      </c>
      <c r="D2188" s="1" t="s">
        <v>24</v>
      </c>
      <c r="E2188" s="1"/>
      <c r="F2188" s="29">
        <v>46231</v>
      </c>
      <c r="G2188" s="29">
        <v>46229</v>
      </c>
      <c r="H2188" s="1" t="s">
        <v>68</v>
      </c>
      <c r="I2188" s="1" t="s">
        <v>5073</v>
      </c>
      <c r="J2188" s="175"/>
      <c r="K2188" s="171" t="s">
        <v>5074</v>
      </c>
      <c r="L2188" s="62">
        <v>23126884</v>
      </c>
      <c r="M2188" s="30">
        <v>5213541018184</v>
      </c>
      <c r="N2188" s="171" t="s">
        <v>28</v>
      </c>
      <c r="O2188" s="50">
        <v>10636.54</v>
      </c>
      <c r="P2188" s="97"/>
      <c r="Q2188" s="42">
        <f>OfficeForms.Table[[#This Row],[ INFORMEDEPAGO ]]*0.3</f>
        <v>3190.962</v>
      </c>
      <c r="R2188" s="12">
        <f>(IF(O2188&lt;4172.98,0,MIN(O2188*0.3,O2188-4172.98)))-P2188</f>
        <v>3190.962</v>
      </c>
      <c r="S2188" s="78"/>
      <c r="T2188" s="1"/>
      <c r="V2188" s="1"/>
      <c r="X2188" s="101">
        <v>1</v>
      </c>
    </row>
    <row r="2189" spans="1:24" hidden="1">
      <c r="A2189">
        <v>592</v>
      </c>
      <c r="B2189" s="2">
        <v>46231.701562499999</v>
      </c>
      <c r="C2189" s="2">
        <v>46231.7024074074</v>
      </c>
      <c r="D2189" s="1" t="s">
        <v>24</v>
      </c>
      <c r="E2189" s="1"/>
      <c r="F2189" s="29">
        <v>46231</v>
      </c>
      <c r="G2189" s="29">
        <v>46224</v>
      </c>
      <c r="H2189" s="1" t="s">
        <v>3575</v>
      </c>
      <c r="I2189" s="1" t="s">
        <v>5075</v>
      </c>
      <c r="J2189" s="175"/>
      <c r="K2189" s="171" t="s">
        <v>5076</v>
      </c>
      <c r="L2189" s="62">
        <v>23178830</v>
      </c>
      <c r="M2189" s="30">
        <v>5215514357856</v>
      </c>
      <c r="N2189" s="171" t="s">
        <v>28</v>
      </c>
      <c r="O2189" s="50">
        <v>10636.54</v>
      </c>
      <c r="P2189" s="97"/>
      <c r="Q2189" s="42">
        <f>OfficeForms.Table[[#This Row],[ INFORMEDEPAGO ]]*0.3</f>
        <v>3190.962</v>
      </c>
      <c r="R2189" s="12">
        <f>(IF(O2189&lt;4172.98,0,MIN(O2189*0.3,O2189-4172.98)))-P2189</f>
        <v>3190.962</v>
      </c>
      <c r="S2189" s="78"/>
      <c r="T2189" s="1"/>
      <c r="V2189" s="1"/>
      <c r="X2189" s="101">
        <v>1</v>
      </c>
    </row>
    <row r="2190" spans="1:24" hidden="1">
      <c r="A2190">
        <v>593</v>
      </c>
      <c r="B2190" s="2">
        <v>46231.645208333299</v>
      </c>
      <c r="C2190" s="2">
        <v>46231.708495370403</v>
      </c>
      <c r="D2190" s="1" t="s">
        <v>24</v>
      </c>
      <c r="E2190" s="1"/>
      <c r="F2190" s="29">
        <v>46231</v>
      </c>
      <c r="G2190" s="29">
        <v>46231</v>
      </c>
      <c r="H2190" s="1" t="s">
        <v>81</v>
      </c>
      <c r="I2190" s="1" t="s">
        <v>5077</v>
      </c>
      <c r="J2190" s="175"/>
      <c r="K2190" s="171" t="s">
        <v>5078</v>
      </c>
      <c r="L2190" s="62">
        <v>23175202</v>
      </c>
      <c r="M2190" s="30">
        <v>5216675046509</v>
      </c>
      <c r="N2190" s="171" t="s">
        <v>32</v>
      </c>
      <c r="O2190" s="50">
        <v>3205.73</v>
      </c>
      <c r="P2190" s="97"/>
      <c r="Q2190" s="42">
        <f>OfficeForms.Table[[#This Row],[ INFORMEDEPAGO ]]*0.3</f>
        <v>961.71899999999994</v>
      </c>
      <c r="R2190" s="12">
        <f>(IF(O2190&lt;4172.98,0,MIN(O2190*0.3,O2190-4172.98)))-P2190</f>
        <v>0</v>
      </c>
      <c r="S2190" s="78"/>
      <c r="T2190" s="1"/>
      <c r="V2190" s="1"/>
      <c r="X2190" s="101">
        <v>1</v>
      </c>
    </row>
    <row r="2191" spans="1:24" hidden="1">
      <c r="A2191">
        <v>594</v>
      </c>
      <c r="B2191" s="2">
        <v>46231.670405092598</v>
      </c>
      <c r="C2191" s="2">
        <v>46231.709444444401</v>
      </c>
      <c r="D2191" s="1" t="s">
        <v>24</v>
      </c>
      <c r="E2191" s="1"/>
      <c r="F2191" s="29">
        <v>46231</v>
      </c>
      <c r="G2191" s="29">
        <v>46230</v>
      </c>
      <c r="H2191" s="1" t="s">
        <v>3352</v>
      </c>
      <c r="I2191" s="1" t="s">
        <v>5079</v>
      </c>
      <c r="J2191" s="175"/>
      <c r="K2191" s="171" t="s">
        <v>5080</v>
      </c>
      <c r="L2191" s="62">
        <v>23154770</v>
      </c>
      <c r="M2191" s="30">
        <v>8120014390</v>
      </c>
      <c r="N2191" s="171" t="s">
        <v>47</v>
      </c>
      <c r="O2191" s="52">
        <v>30268.36</v>
      </c>
      <c r="P2191" s="99">
        <v>8757</v>
      </c>
      <c r="Q2191" s="42">
        <f>OfficeForms.Table[[#This Row],[ INFORMEDEPAGO ]]*0.3</f>
        <v>9080.5079999999998</v>
      </c>
      <c r="R2191" s="12">
        <f>(IF(O2191&lt;4172.98,0,MIN(O2191*0.3,O2191-4172.98)))-P2191</f>
        <v>323.50799999999981</v>
      </c>
      <c r="S2191" s="78">
        <v>46569</v>
      </c>
      <c r="T2191" s="1"/>
      <c r="V2191" s="1"/>
      <c r="X2191" s="101">
        <v>2</v>
      </c>
    </row>
    <row r="2192" spans="1:24" hidden="1">
      <c r="A2192">
        <v>595</v>
      </c>
      <c r="B2192" s="2">
        <v>46231.686747685198</v>
      </c>
      <c r="C2192" s="2">
        <v>46231.722928240699</v>
      </c>
      <c r="D2192" s="1" t="s">
        <v>24</v>
      </c>
      <c r="E2192" s="1"/>
      <c r="F2192" s="29">
        <v>46231</v>
      </c>
      <c r="G2192" s="29">
        <v>46231</v>
      </c>
      <c r="H2192" s="1" t="s">
        <v>1625</v>
      </c>
      <c r="I2192" s="1" t="s">
        <v>5081</v>
      </c>
      <c r="J2192" s="175">
        <v>43796274058</v>
      </c>
      <c r="K2192" s="171" t="s">
        <v>5082</v>
      </c>
      <c r="L2192" s="62">
        <v>2</v>
      </c>
      <c r="M2192" s="30">
        <v>8180945095</v>
      </c>
      <c r="N2192" s="171" t="s">
        <v>37</v>
      </c>
      <c r="O2192" s="52">
        <v>7116.73</v>
      </c>
      <c r="P2192" s="99">
        <v>2135.02</v>
      </c>
      <c r="Q2192" s="42">
        <f>OfficeForms.Table[[#This Row],[ INFORMEDEPAGO ]]*0.3</f>
        <v>2135.0189999999998</v>
      </c>
      <c r="R2192" s="12">
        <f>(IF(O2192&lt;4172.98,0,MIN(O2192*0.3,O2192-4172.98)))-P2192</f>
        <v>-1.0000000002037268E-3</v>
      </c>
      <c r="S2192" s="78">
        <v>46874</v>
      </c>
      <c r="T2192" s="1" t="s">
        <v>178</v>
      </c>
      <c r="V2192" s="1"/>
      <c r="X2192" s="101">
        <v>2</v>
      </c>
    </row>
    <row r="2193" spans="1:24" hidden="1">
      <c r="A2193">
        <v>596</v>
      </c>
      <c r="B2193" s="2">
        <v>46231.709479166697</v>
      </c>
      <c r="C2193" s="2">
        <v>46231.724606481497</v>
      </c>
      <c r="D2193" s="1" t="s">
        <v>24</v>
      </c>
      <c r="E2193" s="1"/>
      <c r="F2193" s="29">
        <v>46231</v>
      </c>
      <c r="G2193" s="29">
        <v>46231</v>
      </c>
      <c r="H2193" s="1" t="s">
        <v>3352</v>
      </c>
      <c r="I2193" s="1" t="s">
        <v>5083</v>
      </c>
      <c r="J2193" s="175">
        <v>54816574906</v>
      </c>
      <c r="K2193" s="171"/>
      <c r="L2193" s="62">
        <v>23184498</v>
      </c>
      <c r="M2193" s="30">
        <v>3330735537</v>
      </c>
      <c r="N2193" s="171" t="s">
        <v>37</v>
      </c>
      <c r="O2193" s="52">
        <v>7913.78</v>
      </c>
      <c r="P2193" s="99">
        <v>2289.64</v>
      </c>
      <c r="Q2193" s="42">
        <f>OfficeForms.Table[[#This Row],[ INFORMEDEPAGO ]]*0.3</f>
        <v>2374.134</v>
      </c>
      <c r="R2193" s="12">
        <f>(IF(O2193&lt;4172.98,0,MIN(O2193*0.3,O2193-4172.98)))-P2193</f>
        <v>84.494000000000142</v>
      </c>
      <c r="S2193" s="78">
        <v>46753</v>
      </c>
      <c r="T2193" s="1" t="s">
        <v>178</v>
      </c>
      <c r="V2193" s="1"/>
      <c r="X2193" s="101">
        <v>2</v>
      </c>
    </row>
    <row r="2194" spans="1:24" hidden="1">
      <c r="A2194">
        <v>597</v>
      </c>
      <c r="B2194" s="2">
        <v>46231.732662037</v>
      </c>
      <c r="C2194" s="2">
        <v>46231.733379629601</v>
      </c>
      <c r="D2194" s="1" t="s">
        <v>24</v>
      </c>
      <c r="E2194" s="1"/>
      <c r="F2194" s="29">
        <v>46231</v>
      </c>
      <c r="G2194" s="29">
        <v>46231</v>
      </c>
      <c r="H2194" s="1" t="s">
        <v>5033</v>
      </c>
      <c r="I2194" s="1" t="s">
        <v>5084</v>
      </c>
      <c r="J2194" s="175"/>
      <c r="K2194" s="171" t="s">
        <v>5085</v>
      </c>
      <c r="L2194" s="62">
        <v>23184344</v>
      </c>
      <c r="M2194" s="30">
        <v>5572860649</v>
      </c>
      <c r="N2194" s="171" t="s">
        <v>37</v>
      </c>
      <c r="O2194" s="52">
        <v>9760.32</v>
      </c>
      <c r="P2194" s="99">
        <v>2926.03</v>
      </c>
      <c r="Q2194" s="42">
        <f>OfficeForms.Table[[#This Row],[ INFORMEDEPAGO ]]*0.3</f>
        <v>2928.096</v>
      </c>
      <c r="R2194" s="12">
        <f>(IF(O2194&lt;4172.98,0,MIN(O2194*0.3,O2194-4172.98)))-P2194</f>
        <v>2.0659999999998035</v>
      </c>
      <c r="S2194" s="78">
        <v>46844</v>
      </c>
      <c r="T2194" s="1" t="s">
        <v>178</v>
      </c>
      <c r="V2194" s="1"/>
      <c r="X2194" s="101">
        <v>2</v>
      </c>
    </row>
    <row r="2195" spans="1:24" hidden="1">
      <c r="A2195">
        <v>598</v>
      </c>
      <c r="B2195" s="2">
        <v>46231.708518518499</v>
      </c>
      <c r="C2195" s="2">
        <v>46231.733483796299</v>
      </c>
      <c r="D2195" s="1" t="s">
        <v>24</v>
      </c>
      <c r="E2195" s="1"/>
      <c r="F2195" s="29">
        <v>46231</v>
      </c>
      <c r="G2195" s="29">
        <v>46231</v>
      </c>
      <c r="H2195" s="1" t="s">
        <v>81</v>
      </c>
      <c r="I2195" s="1" t="s">
        <v>5086</v>
      </c>
      <c r="J2195" s="175"/>
      <c r="K2195" s="171" t="s">
        <v>5087</v>
      </c>
      <c r="L2195" s="62">
        <v>23171768</v>
      </c>
      <c r="M2195" s="30">
        <v>5216591059307</v>
      </c>
      <c r="N2195" s="171" t="s">
        <v>37</v>
      </c>
      <c r="O2195" s="52">
        <v>7116.73</v>
      </c>
      <c r="P2195" s="99">
        <v>1975.23</v>
      </c>
      <c r="Q2195" s="42">
        <f>OfficeForms.Table[[#This Row],[ INFORMEDEPAGO ]]*0.3</f>
        <v>2135.0189999999998</v>
      </c>
      <c r="R2195" s="12">
        <f>(IF(O2195&lt;4172.98,0,MIN(O2195*0.3,O2195-4172.98)))-P2195</f>
        <v>159.78899999999976</v>
      </c>
      <c r="S2195" s="78">
        <v>46266</v>
      </c>
      <c r="T2195" s="1"/>
      <c r="V2195" s="1"/>
      <c r="X2195" s="101">
        <v>2</v>
      </c>
    </row>
    <row r="2196" spans="1:24" hidden="1">
      <c r="A2196">
        <v>599</v>
      </c>
      <c r="B2196" s="2">
        <v>46231.722974536999</v>
      </c>
      <c r="C2196" s="2">
        <v>46231.735532407401</v>
      </c>
      <c r="D2196" s="1" t="s">
        <v>24</v>
      </c>
      <c r="E2196" s="1"/>
      <c r="F2196" s="29">
        <v>46231</v>
      </c>
      <c r="G2196" s="29">
        <v>46231</v>
      </c>
      <c r="H2196" s="1" t="s">
        <v>1625</v>
      </c>
      <c r="I2196" s="1" t="s">
        <v>5088</v>
      </c>
      <c r="J2196" s="175">
        <v>43796278307</v>
      </c>
      <c r="K2196" s="171" t="s">
        <v>5089</v>
      </c>
      <c r="L2196" s="62">
        <v>2</v>
      </c>
      <c r="M2196" s="30">
        <v>8114682911</v>
      </c>
      <c r="N2196" s="171" t="s">
        <v>37</v>
      </c>
      <c r="O2196" s="43">
        <v>7116.73</v>
      </c>
      <c r="P2196" s="97">
        <v>2017</v>
      </c>
      <c r="Q2196" s="42">
        <f>OfficeForms.Table[[#This Row],[ INFORMEDEPAGO ]]*0.3</f>
        <v>2135.0189999999998</v>
      </c>
      <c r="R2196" s="12">
        <f>(IF(O2196&lt;4172.98,0,MIN(O2196*0.3,O2196-4172.98)))-P2196</f>
        <v>118.01899999999978</v>
      </c>
      <c r="S2196" s="78">
        <v>46419</v>
      </c>
      <c r="T2196" s="1"/>
      <c r="V2196" s="1"/>
      <c r="X2196" s="101">
        <v>2</v>
      </c>
    </row>
    <row r="2197" spans="1:24" hidden="1">
      <c r="A2197">
        <v>600</v>
      </c>
      <c r="B2197" s="2">
        <v>46231.733275462997</v>
      </c>
      <c r="C2197" s="2">
        <v>46231.736296296302</v>
      </c>
      <c r="D2197" s="1" t="s">
        <v>24</v>
      </c>
      <c r="E2197" s="1"/>
      <c r="F2197" s="29">
        <v>46231</v>
      </c>
      <c r="G2197" s="29">
        <v>46226</v>
      </c>
      <c r="H2197" s="1" t="s">
        <v>78</v>
      </c>
      <c r="I2197" s="1" t="s">
        <v>5090</v>
      </c>
      <c r="J2197" s="175">
        <v>53927136597</v>
      </c>
      <c r="K2197" s="171" t="s">
        <v>5091</v>
      </c>
      <c r="L2197" s="62">
        <v>23025746</v>
      </c>
      <c r="M2197" s="30">
        <v>5216621429639</v>
      </c>
      <c r="N2197" s="171" t="s">
        <v>28</v>
      </c>
      <c r="O2197" s="67">
        <f>28089.99-19908.44</f>
        <v>8181.5500000000029</v>
      </c>
      <c r="P2197" s="99"/>
      <c r="Q2197" s="42">
        <f>OfficeForms.Table[[#This Row],[ INFORMEDEPAGO ]]*0.3</f>
        <v>2454.4650000000006</v>
      </c>
      <c r="R2197" s="12">
        <f>(IF(O2197&lt;4172.98,0,MIN(O2197*0.3,O2197-4172.98)))-P2197</f>
        <v>2454.4650000000006</v>
      </c>
      <c r="S2197" s="78"/>
      <c r="T2197" s="1"/>
      <c r="V2197" s="1"/>
      <c r="X2197" s="101">
        <v>1</v>
      </c>
    </row>
    <row r="2198" spans="1:24" hidden="1">
      <c r="A2198">
        <v>601</v>
      </c>
      <c r="B2198" s="2">
        <v>46231.735879629603</v>
      </c>
      <c r="C2198" s="2">
        <v>46231.737835648099</v>
      </c>
      <c r="D2198" s="1" t="s">
        <v>24</v>
      </c>
      <c r="E2198" s="1"/>
      <c r="F2198" s="29">
        <v>46231</v>
      </c>
      <c r="G2198" s="29">
        <v>46224</v>
      </c>
      <c r="H2198" s="1" t="s">
        <v>39</v>
      </c>
      <c r="I2198" s="1" t="s">
        <v>5092</v>
      </c>
      <c r="J2198" s="175">
        <v>41825802543</v>
      </c>
      <c r="K2198" s="171" t="s">
        <v>5093</v>
      </c>
      <c r="L2198" s="62">
        <v>22898870</v>
      </c>
      <c r="M2198" s="30">
        <v>5214444154466</v>
      </c>
      <c r="N2198" s="171" t="s">
        <v>37</v>
      </c>
      <c r="O2198" s="43">
        <v>4506.33</v>
      </c>
      <c r="P2198" s="97">
        <v>321.49</v>
      </c>
      <c r="Q2198" s="42">
        <f>OfficeForms.Table[[#This Row],[ INFORMEDEPAGO ]]*0.3</f>
        <v>1351.8989999999999</v>
      </c>
      <c r="R2198" s="12">
        <f>(IF(O2198&lt;4172.98,0,MIN(O2198*0.3,O2198-4172.98)))-P2198</f>
        <v>11.860000000000355</v>
      </c>
      <c r="S2198" s="78">
        <v>46600</v>
      </c>
      <c r="T2198" s="1"/>
      <c r="V2198" s="1"/>
      <c r="X2198" s="101">
        <v>2</v>
      </c>
    </row>
    <row r="2199" spans="1:24" hidden="1">
      <c r="A2199">
        <v>602</v>
      </c>
      <c r="B2199" s="2">
        <v>46231.733506944402</v>
      </c>
      <c r="C2199" s="2">
        <v>46231.739629629599</v>
      </c>
      <c r="D2199" s="1" t="s">
        <v>24</v>
      </c>
      <c r="E2199" s="1"/>
      <c r="F2199" s="29">
        <v>46231</v>
      </c>
      <c r="G2199" s="29">
        <v>46231</v>
      </c>
      <c r="H2199" s="1" t="s">
        <v>81</v>
      </c>
      <c r="I2199" s="1" t="s">
        <v>5094</v>
      </c>
      <c r="J2199" s="175">
        <v>65866209631</v>
      </c>
      <c r="K2199" s="171"/>
      <c r="L2199" s="62">
        <v>23168356</v>
      </c>
      <c r="M2199" s="30">
        <v>5212292337227</v>
      </c>
      <c r="N2199" s="171" t="s">
        <v>37</v>
      </c>
      <c r="O2199" s="43">
        <v>7920.51</v>
      </c>
      <c r="P2199" s="97">
        <v>2165.7199999999998</v>
      </c>
      <c r="Q2199" s="42">
        <f>OfficeForms.Table[[#This Row],[ INFORMEDEPAGO ]]*0.3</f>
        <v>2376.1529999999998</v>
      </c>
      <c r="R2199" s="12">
        <f>(IF(O2199&lt;4172.98,0,MIN(O2199*0.3,O2199-4172.98)))-P2199</f>
        <v>210.43299999999999</v>
      </c>
      <c r="S2199" s="78">
        <v>46357</v>
      </c>
      <c r="T2199" s="1"/>
      <c r="V2199" s="1"/>
      <c r="X2199" s="101">
        <v>2</v>
      </c>
    </row>
    <row r="2200" spans="1:24" hidden="1">
      <c r="A2200">
        <v>603</v>
      </c>
      <c r="B2200" s="2">
        <v>46231.740277777797</v>
      </c>
      <c r="C2200" s="2">
        <v>46231.7413310185</v>
      </c>
      <c r="D2200" s="1" t="s">
        <v>24</v>
      </c>
      <c r="E2200" s="1"/>
      <c r="F2200" s="29">
        <v>46231</v>
      </c>
      <c r="G2200" s="29">
        <v>46231</v>
      </c>
      <c r="H2200" s="1" t="s">
        <v>1629</v>
      </c>
      <c r="I2200" s="1" t="s">
        <v>4805</v>
      </c>
      <c r="J2200" s="175">
        <v>75937565176</v>
      </c>
      <c r="K2200" s="171" t="s">
        <v>4806</v>
      </c>
      <c r="L2200" s="62">
        <v>2</v>
      </c>
      <c r="M2200" s="30">
        <v>3313185775</v>
      </c>
      <c r="N2200" s="172" t="s">
        <v>37</v>
      </c>
      <c r="O2200" s="43">
        <v>6411.47</v>
      </c>
      <c r="P2200" s="97">
        <v>1923.44</v>
      </c>
      <c r="Q2200" s="42">
        <f>OfficeForms.Table[[#This Row],[ INFORMEDEPAGO ]]*0.3</f>
        <v>1923.441</v>
      </c>
      <c r="R2200" s="12">
        <f>(IF(O2200&lt;4172.98,0,MIN(O2200*0.3,O2200-4172.98)))-P2200</f>
        <v>9.9999999997635314E-4</v>
      </c>
      <c r="S2200" s="78">
        <v>46692</v>
      </c>
      <c r="T2200" s="1"/>
      <c r="V2200" s="1"/>
      <c r="X2200" s="101">
        <v>2</v>
      </c>
    </row>
    <row r="2201" spans="1:24" hidden="1">
      <c r="A2201">
        <v>604</v>
      </c>
      <c r="B2201" s="2">
        <v>46231.7246296296</v>
      </c>
      <c r="C2201" s="2">
        <v>46231.742557870399</v>
      </c>
      <c r="D2201" s="1" t="s">
        <v>24</v>
      </c>
      <c r="E2201" s="1"/>
      <c r="F2201" s="29">
        <v>46231</v>
      </c>
      <c r="G2201" s="29">
        <v>46231</v>
      </c>
      <c r="H2201" s="1" t="s">
        <v>3352</v>
      </c>
      <c r="I2201" s="1" t="s">
        <v>5095</v>
      </c>
      <c r="J2201" s="175"/>
      <c r="K2201" s="171" t="s">
        <v>5096</v>
      </c>
      <c r="L2201" s="62">
        <v>23185134</v>
      </c>
      <c r="M2201" s="30">
        <v>6141910790</v>
      </c>
      <c r="N2201" s="172" t="s">
        <v>28</v>
      </c>
      <c r="O2201" s="50">
        <v>11029.03</v>
      </c>
      <c r="P2201" s="97"/>
      <c r="Q2201" s="42">
        <f>OfficeForms.Table[[#This Row],[ INFORMEDEPAGO ]]*0.3</f>
        <v>3308.7090000000003</v>
      </c>
      <c r="R2201" s="12">
        <f>(IF(O2201&lt;4172.98,0,MIN(O2201*0.3,O2201-4172.98)))-P2201</f>
        <v>3308.7090000000003</v>
      </c>
      <c r="S2201" s="78"/>
      <c r="T2201" s="1"/>
      <c r="V2201" s="1"/>
      <c r="X2201" s="101">
        <v>1</v>
      </c>
    </row>
    <row r="2202" spans="1:24" hidden="1">
      <c r="A2202">
        <v>605</v>
      </c>
      <c r="B2202" s="2">
        <v>46231.7430439815</v>
      </c>
      <c r="C2202" s="2">
        <v>46231.743935185201</v>
      </c>
      <c r="D2202" s="1" t="s">
        <v>24</v>
      </c>
      <c r="E2202" s="1"/>
      <c r="F2202" s="29">
        <v>46231</v>
      </c>
      <c r="G2202" s="29">
        <v>46231</v>
      </c>
      <c r="H2202" s="1" t="s">
        <v>71</v>
      </c>
      <c r="I2202" s="1" t="s">
        <v>5097</v>
      </c>
      <c r="J2202" s="175" t="s">
        <v>5098</v>
      </c>
      <c r="K2202" s="171"/>
      <c r="L2202" s="62">
        <v>23184340</v>
      </c>
      <c r="M2202" s="30">
        <v>5216146076236</v>
      </c>
      <c r="N2202" s="172" t="s">
        <v>37</v>
      </c>
      <c r="O2202" s="43">
        <v>6331.86</v>
      </c>
      <c r="P2202" s="97">
        <v>1826.18</v>
      </c>
      <c r="Q2202" s="42">
        <f>OfficeForms.Table[[#This Row],[ INFORMEDEPAGO ]]*0.3</f>
        <v>1899.5579999999998</v>
      </c>
      <c r="R2202" s="12">
        <f>(IF(O2202&lt;4172.98,0,MIN(O2202*0.3,O2202-4172.98)))-P2202</f>
        <v>73.377999999999702</v>
      </c>
      <c r="S2202" s="78">
        <v>46327</v>
      </c>
      <c r="T2202" s="1"/>
      <c r="V2202" s="1"/>
      <c r="X2202" s="101">
        <v>2</v>
      </c>
    </row>
    <row r="2203" spans="1:24" hidden="1">
      <c r="A2203">
        <v>606</v>
      </c>
      <c r="B2203" s="2">
        <v>46231.749085648102</v>
      </c>
      <c r="C2203" s="2">
        <v>46231.751226851797</v>
      </c>
      <c r="D2203" s="1" t="s">
        <v>24</v>
      </c>
      <c r="E2203" s="1"/>
      <c r="F2203" s="29">
        <v>46231</v>
      </c>
      <c r="G2203" s="29">
        <v>46231</v>
      </c>
      <c r="H2203" s="1" t="s">
        <v>476</v>
      </c>
      <c r="I2203" s="1" t="s">
        <v>5099</v>
      </c>
      <c r="J2203" s="175" t="s">
        <v>5100</v>
      </c>
      <c r="K2203" s="171"/>
      <c r="L2203" s="62">
        <v>23184696</v>
      </c>
      <c r="M2203" s="30">
        <v>5216634409552</v>
      </c>
      <c r="N2203" s="172" t="s">
        <v>37</v>
      </c>
      <c r="O2203" s="43">
        <v>8181.55</v>
      </c>
      <c r="P2203" s="97">
        <v>2347.11</v>
      </c>
      <c r="Q2203" s="42">
        <f>OfficeForms.Table[[#This Row],[ INFORMEDEPAGO ]]*0.3</f>
        <v>2454.4650000000001</v>
      </c>
      <c r="R2203" s="12">
        <f>(IF(O2203&lt;4172.98,0,MIN(O2203*0.3,O2203-4172.98)))-P2203</f>
        <v>107.35500000000002</v>
      </c>
      <c r="S2203" s="78">
        <v>46419</v>
      </c>
      <c r="T2203" s="1"/>
      <c r="V2203" s="1"/>
      <c r="X2203" s="101">
        <v>2</v>
      </c>
    </row>
    <row r="2204" spans="1:24" hidden="1">
      <c r="A2204">
        <v>607</v>
      </c>
      <c r="B2204" s="2">
        <v>46231.7506712963</v>
      </c>
      <c r="C2204" s="2">
        <v>46231.751342592601</v>
      </c>
      <c r="D2204" s="1" t="s">
        <v>24</v>
      </c>
      <c r="E2204" s="1"/>
      <c r="F2204" s="29">
        <v>46231</v>
      </c>
      <c r="G2204" s="29">
        <v>46223</v>
      </c>
      <c r="H2204" s="1" t="s">
        <v>71</v>
      </c>
      <c r="I2204" s="1" t="s">
        <v>5101</v>
      </c>
      <c r="J2204" s="175"/>
      <c r="K2204" s="171" t="s">
        <v>5102</v>
      </c>
      <c r="L2204" s="62">
        <v>22850180</v>
      </c>
      <c r="M2204" s="30">
        <v>5218442060804</v>
      </c>
      <c r="N2204" s="172" t="s">
        <v>32</v>
      </c>
      <c r="O2204" s="43">
        <v>4742.99</v>
      </c>
      <c r="P2204" s="97">
        <v>879</v>
      </c>
      <c r="Q2204" s="42">
        <f>OfficeForms.Table[[#This Row],[ INFORMEDEPAGO ]]*0.3</f>
        <v>1422.8969999999999</v>
      </c>
      <c r="R2204" s="12">
        <f>(IF(O2204&lt;4172.98,0,MIN(O2204*0.3,O2204-4172.98)))-P2204</f>
        <v>-308.98999999999978</v>
      </c>
      <c r="S2204" s="78"/>
      <c r="T2204" s="1"/>
      <c r="V2204" s="1"/>
      <c r="X2204" s="101">
        <v>1</v>
      </c>
    </row>
    <row r="2205" spans="1:24" hidden="1">
      <c r="A2205">
        <v>608</v>
      </c>
      <c r="B2205" s="2">
        <v>46231.757928240702</v>
      </c>
      <c r="C2205" s="2">
        <v>46231.758645833303</v>
      </c>
      <c r="D2205" s="1" t="s">
        <v>24</v>
      </c>
      <c r="E2205" s="1"/>
      <c r="F2205" s="29">
        <v>46231</v>
      </c>
      <c r="G2205" s="29">
        <v>46231</v>
      </c>
      <c r="H2205" s="1" t="s">
        <v>3452</v>
      </c>
      <c r="I2205" s="1" t="s">
        <v>5103</v>
      </c>
      <c r="J2205" s="175"/>
      <c r="K2205" s="171" t="s">
        <v>5104</v>
      </c>
      <c r="L2205" s="62">
        <v>23178062</v>
      </c>
      <c r="M2205" s="30">
        <v>7761470722</v>
      </c>
      <c r="N2205" s="172" t="s">
        <v>106</v>
      </c>
      <c r="O2205" s="43">
        <v>9081.52</v>
      </c>
      <c r="P2205" s="97">
        <v>2515.2199999999998</v>
      </c>
      <c r="Q2205" s="42">
        <f>OfficeForms.Table[[#This Row],[ INFORMEDEPAGO ]]*0.3</f>
        <v>2724.4560000000001</v>
      </c>
      <c r="R2205" s="12">
        <f>(IF(O2205&lt;4172.98,0,MIN(O2205*0.3,O2205-4172.98)))-P2205</f>
        <v>209.23600000000033</v>
      </c>
      <c r="S2205" s="78">
        <v>46174</v>
      </c>
      <c r="T2205" s="1"/>
      <c r="V2205" s="1"/>
      <c r="X2205" s="101">
        <v>2</v>
      </c>
    </row>
    <row r="2206" spans="1:24" hidden="1">
      <c r="A2206">
        <v>609</v>
      </c>
      <c r="B2206" s="2">
        <v>46231.769525463002</v>
      </c>
      <c r="C2206" s="2">
        <v>46231.770162036999</v>
      </c>
      <c r="D2206" s="1" t="s">
        <v>24</v>
      </c>
      <c r="E2206" s="1"/>
      <c r="F2206" s="29">
        <v>46231</v>
      </c>
      <c r="G2206" s="29">
        <v>46231</v>
      </c>
      <c r="H2206" s="1" t="s">
        <v>3452</v>
      </c>
      <c r="I2206" s="1" t="s">
        <v>5105</v>
      </c>
      <c r="J2206" s="175"/>
      <c r="K2206" s="171" t="s">
        <v>5106</v>
      </c>
      <c r="L2206" s="62">
        <v>23177626</v>
      </c>
      <c r="M2206" s="30">
        <v>3221111124</v>
      </c>
      <c r="N2206" s="172" t="s">
        <v>37</v>
      </c>
      <c r="O2206" s="43">
        <v>9081.52</v>
      </c>
      <c r="P2206" s="97">
        <v>2626.95</v>
      </c>
      <c r="Q2206" s="42">
        <f>OfficeForms.Table[[#This Row],[ INFORMEDEPAGO ]]*0.3</f>
        <v>2724.4560000000001</v>
      </c>
      <c r="R2206" s="12">
        <f>(IF(O2206&lt;4172.98,0,MIN(O2206*0.3,O2206-4172.98)))-P2206</f>
        <v>97.506000000000313</v>
      </c>
      <c r="S2206" s="78">
        <v>46722</v>
      </c>
      <c r="T2206" s="1" t="s">
        <v>84</v>
      </c>
      <c r="V2206" s="1"/>
      <c r="X2206" s="101">
        <v>2</v>
      </c>
    </row>
    <row r="2207" spans="1:24" hidden="1">
      <c r="A2207">
        <v>610</v>
      </c>
      <c r="B2207" s="2">
        <v>46231.742581018501</v>
      </c>
      <c r="C2207" s="2">
        <v>46231.780162037001</v>
      </c>
      <c r="D2207" s="1" t="s">
        <v>24</v>
      </c>
      <c r="E2207" s="1"/>
      <c r="F2207" s="29">
        <v>46231</v>
      </c>
      <c r="G2207" s="29">
        <v>46230</v>
      </c>
      <c r="H2207" s="1" t="s">
        <v>3352</v>
      </c>
      <c r="I2207" s="1" t="s">
        <v>5107</v>
      </c>
      <c r="J2207" s="175">
        <v>65856828226</v>
      </c>
      <c r="K2207" s="171" t="s">
        <v>5108</v>
      </c>
      <c r="L2207" s="62">
        <v>23156216</v>
      </c>
      <c r="M2207" s="30">
        <v>3334648517</v>
      </c>
      <c r="N2207" s="172" t="s">
        <v>47</v>
      </c>
      <c r="O2207" s="43">
        <v>6213.17</v>
      </c>
      <c r="P2207" s="97">
        <v>744.61</v>
      </c>
      <c r="Q2207" s="42">
        <f>OfficeForms.Table[[#This Row],[ INFORMEDEPAGO ]]*0.3</f>
        <v>1863.951</v>
      </c>
      <c r="R2207" s="12">
        <f>(IF(O2207&lt;4172.98,0,MIN(O2207*0.3,O2207-4172.98)))-P2207</f>
        <v>1119.3409999999999</v>
      </c>
      <c r="S2207" s="78">
        <v>45748</v>
      </c>
      <c r="T2207" s="1"/>
      <c r="V2207" s="1"/>
      <c r="X2207" s="101">
        <v>2</v>
      </c>
    </row>
    <row r="2208" spans="1:24" hidden="1">
      <c r="A2208">
        <v>611</v>
      </c>
      <c r="B2208" s="2">
        <v>46231.784085648098</v>
      </c>
      <c r="C2208" s="2">
        <v>46231.784675925897</v>
      </c>
      <c r="D2208" s="1" t="s">
        <v>24</v>
      </c>
      <c r="E2208" s="1"/>
      <c r="F2208" s="29">
        <v>46231</v>
      </c>
      <c r="G2208" s="29">
        <v>46231</v>
      </c>
      <c r="H2208" s="1" t="s">
        <v>71</v>
      </c>
      <c r="I2208" s="1" t="s">
        <v>5109</v>
      </c>
      <c r="J2208" s="175" t="s">
        <v>5110</v>
      </c>
      <c r="K2208" s="171"/>
      <c r="L2208" s="62">
        <v>23186398</v>
      </c>
      <c r="M2208" s="30">
        <v>5216562991940</v>
      </c>
      <c r="N2208" s="172" t="s">
        <v>32</v>
      </c>
      <c r="O2208" s="52">
        <v>4199.87</v>
      </c>
      <c r="P2208" s="99">
        <v>848</v>
      </c>
      <c r="Q2208" s="42">
        <f>OfficeForms.Table[[#This Row],[ INFORMEDEPAGO ]]*0.3</f>
        <v>1259.961</v>
      </c>
      <c r="R2208" s="12">
        <f>(IF(O2208&lt;4172.98,0,MIN(O2208*0.3,O2208-4172.98)))-P2208</f>
        <v>-821.10999999999967</v>
      </c>
      <c r="S2208" s="78"/>
      <c r="T2208" s="1"/>
      <c r="V2208" s="1"/>
      <c r="X2208" s="101">
        <v>1</v>
      </c>
    </row>
    <row r="2209" spans="1:24" hidden="1">
      <c r="A2209">
        <v>612</v>
      </c>
      <c r="B2209" s="2">
        <v>46231.789942129602</v>
      </c>
      <c r="C2209" s="2">
        <v>46231.790821759299</v>
      </c>
      <c r="D2209" s="1" t="s">
        <v>24</v>
      </c>
      <c r="E2209" s="1"/>
      <c r="F2209" s="29">
        <v>46231</v>
      </c>
      <c r="G2209" s="29">
        <v>46231</v>
      </c>
      <c r="H2209" s="1" t="s">
        <v>3575</v>
      </c>
      <c r="I2209" s="1" t="s">
        <v>5111</v>
      </c>
      <c r="J2209" s="175">
        <v>31897029760</v>
      </c>
      <c r="K2209" s="171" t="s">
        <v>5112</v>
      </c>
      <c r="L2209" s="62">
        <v>23179354</v>
      </c>
      <c r="M2209" s="30">
        <v>5216568070400</v>
      </c>
      <c r="N2209" s="172" t="s">
        <v>74</v>
      </c>
      <c r="O2209" s="67"/>
      <c r="P2209" s="99"/>
      <c r="Q2209" s="42">
        <f>OfficeForms.Table[[#This Row],[ INFORMEDEPAGO ]]*0.3</f>
        <v>0</v>
      </c>
      <c r="R2209" s="12">
        <f>(IF(O2209&lt;4172.98,0,MIN(O2209*0.3,O2209-4172.98)))-P2209</f>
        <v>0</v>
      </c>
      <c r="S2209" s="78"/>
      <c r="T2209" s="1"/>
      <c r="V2209" s="1"/>
      <c r="X2209" s="101">
        <v>1</v>
      </c>
    </row>
    <row r="2210" spans="1:24" hidden="1">
      <c r="A2210">
        <v>613</v>
      </c>
      <c r="B2210" s="2">
        <v>46231.789143518501</v>
      </c>
      <c r="C2210" s="2">
        <v>46231.790879629603</v>
      </c>
      <c r="D2210" s="1" t="s">
        <v>24</v>
      </c>
      <c r="E2210" s="1"/>
      <c r="F2210" s="29">
        <v>46231</v>
      </c>
      <c r="G2210" s="29">
        <v>46231</v>
      </c>
      <c r="H2210" s="1" t="s">
        <v>476</v>
      </c>
      <c r="I2210" s="1" t="s">
        <v>5113</v>
      </c>
      <c r="J2210" s="209" t="s">
        <v>5114</v>
      </c>
      <c r="K2210" s="171" t="s">
        <v>5115</v>
      </c>
      <c r="L2210" s="62">
        <v>23186372</v>
      </c>
      <c r="M2210" s="30">
        <v>5212223495483</v>
      </c>
      <c r="N2210" s="172" t="s">
        <v>263</v>
      </c>
      <c r="O2210" s="67">
        <v>15044.79</v>
      </c>
      <c r="P2210" s="99">
        <v>3939.54</v>
      </c>
      <c r="Q2210" s="42">
        <f>OfficeForms.Table[[#This Row],[ INFORMEDEPAGO ]]*0.3</f>
        <v>4513.4369999999999</v>
      </c>
      <c r="R2210" s="12">
        <f>(IF(O2210&lt;4172.98,0,MIN(O2210*0.3,O2210-4172.98)))-P2210</f>
        <v>573.89699999999993</v>
      </c>
      <c r="S2210" s="78">
        <v>46143</v>
      </c>
      <c r="T2210" s="1" t="s">
        <v>192</v>
      </c>
      <c r="V2210" s="1"/>
      <c r="X2210" s="101">
        <v>1</v>
      </c>
    </row>
    <row r="2211" spans="1:24" hidden="1">
      <c r="A2211">
        <v>614</v>
      </c>
      <c r="B2211" s="2">
        <v>46231.789074074099</v>
      </c>
      <c r="C2211" s="2">
        <v>46231.791770833297</v>
      </c>
      <c r="D2211" s="1" t="s">
        <v>24</v>
      </c>
      <c r="E2211" s="1"/>
      <c r="F2211" s="29">
        <v>46231</v>
      </c>
      <c r="G2211" s="29">
        <v>46231</v>
      </c>
      <c r="H2211" s="1" t="s">
        <v>110</v>
      </c>
      <c r="I2211" s="1" t="s">
        <v>5116</v>
      </c>
      <c r="J2211" s="175">
        <v>43796064111</v>
      </c>
      <c r="K2211" s="171" t="s">
        <v>5117</v>
      </c>
      <c r="L2211" s="62">
        <v>23186308</v>
      </c>
      <c r="M2211" s="30">
        <v>5218113201485</v>
      </c>
      <c r="N2211" s="172" t="s">
        <v>47</v>
      </c>
      <c r="O2211" s="52">
        <v>7920.51</v>
      </c>
      <c r="P2211" s="99">
        <v>1351.32</v>
      </c>
      <c r="Q2211" s="42">
        <f>OfficeForms.Table[[#This Row],[ INFORMEDEPAGO ]]*0.3</f>
        <v>2376.1529999999998</v>
      </c>
      <c r="R2211" s="12">
        <f>(IF(O2211&lt;4172.98,0,MIN(O2211*0.3,O2211-4172.98)))-P2211</f>
        <v>1024.8329999999999</v>
      </c>
      <c r="S2211" s="78">
        <v>46327</v>
      </c>
      <c r="T2211" s="1"/>
      <c r="V2211" s="1"/>
      <c r="X2211" s="101">
        <v>2</v>
      </c>
    </row>
    <row r="2212" spans="1:24" hidden="1">
      <c r="A2212">
        <v>615</v>
      </c>
      <c r="B2212" s="2">
        <v>46231.791319444397</v>
      </c>
      <c r="C2212" s="2">
        <v>46231.793067129598</v>
      </c>
      <c r="D2212" s="1" t="s">
        <v>24</v>
      </c>
      <c r="E2212" s="1"/>
      <c r="F2212" s="29">
        <v>46231</v>
      </c>
      <c r="G2212" s="29">
        <v>46231</v>
      </c>
      <c r="H2212" s="1" t="s">
        <v>3022</v>
      </c>
      <c r="I2212" s="1" t="s">
        <v>5118</v>
      </c>
      <c r="J2212" s="175"/>
      <c r="K2212" s="171" t="s">
        <v>5119</v>
      </c>
      <c r="L2212" s="62">
        <v>23184346</v>
      </c>
      <c r="M2212" s="30">
        <v>4531204258</v>
      </c>
      <c r="N2212" s="172" t="s">
        <v>28</v>
      </c>
      <c r="O2212" s="67">
        <v>8539.89</v>
      </c>
      <c r="P2212" s="99"/>
      <c r="Q2212" s="42">
        <f>OfficeForms.Table[[#This Row],[ INFORMEDEPAGO ]]*0.3</f>
        <v>2561.9669999999996</v>
      </c>
      <c r="R2212" s="12">
        <f>(IF(O2212&lt;4172.98,0,MIN(O2212*0.3,O2212-4172.98)))-P2212</f>
        <v>2561.9669999999996</v>
      </c>
      <c r="S2212" s="78"/>
      <c r="T2212" s="1"/>
      <c r="V2212" s="1"/>
      <c r="X2212" s="101">
        <v>1</v>
      </c>
    </row>
    <row r="2213" spans="1:24" hidden="1">
      <c r="A2213">
        <v>616</v>
      </c>
      <c r="B2213" s="2">
        <v>46231.780196759297</v>
      </c>
      <c r="C2213" s="2">
        <v>46232.343530092599</v>
      </c>
      <c r="D2213" s="1" t="s">
        <v>24</v>
      </c>
      <c r="E2213" s="1"/>
      <c r="F2213" s="29">
        <v>46232</v>
      </c>
      <c r="G2213" s="29">
        <v>46228</v>
      </c>
      <c r="H2213" s="1" t="s">
        <v>3352</v>
      </c>
      <c r="I2213" s="1" t="s">
        <v>5120</v>
      </c>
      <c r="J2213" s="175">
        <v>11715506322</v>
      </c>
      <c r="K2213" s="171"/>
      <c r="L2213" s="62">
        <v>23108666</v>
      </c>
      <c r="M2213" s="30">
        <v>5568578660</v>
      </c>
      <c r="N2213" s="172" t="s">
        <v>98</v>
      </c>
      <c r="O2213" s="67"/>
      <c r="P2213" s="99"/>
      <c r="Q2213" s="42">
        <f>OfficeForms.Table[[#This Row],[ INFORMEDEPAGO ]]*0.3</f>
        <v>0</v>
      </c>
      <c r="R2213" s="12">
        <f>(IF(O2213&lt;4172.98,0,MIN(O2213*0.3,O2213-4172.98)))-P2213</f>
        <v>0</v>
      </c>
      <c r="S2213" s="78"/>
      <c r="T2213" s="1"/>
      <c r="V2213" s="1"/>
      <c r="X2213" s="101">
        <v>0</v>
      </c>
    </row>
    <row r="2214" spans="1:24" hidden="1">
      <c r="A2214">
        <v>617</v>
      </c>
      <c r="B2214" s="2">
        <v>46232.352071759298</v>
      </c>
      <c r="C2214" s="2">
        <v>46232.352523148104</v>
      </c>
      <c r="D2214" s="1" t="s">
        <v>24</v>
      </c>
      <c r="E2214" s="1"/>
      <c r="F2214" s="29">
        <v>46232</v>
      </c>
      <c r="G2214" s="29">
        <v>46232</v>
      </c>
      <c r="H2214" s="1" t="s">
        <v>1625</v>
      </c>
      <c r="I2214" s="1" t="s">
        <v>5121</v>
      </c>
      <c r="J2214" s="175">
        <v>43725431209</v>
      </c>
      <c r="K2214" s="171" t="s">
        <v>5122</v>
      </c>
      <c r="L2214" s="62">
        <v>2</v>
      </c>
      <c r="M2214" s="30">
        <v>8123313441</v>
      </c>
      <c r="N2214" s="172" t="s">
        <v>37</v>
      </c>
      <c r="O2214" s="90">
        <v>14752.62</v>
      </c>
      <c r="P2214" s="90">
        <v>4423.8999999999996</v>
      </c>
      <c r="Q2214" s="42">
        <f>OfficeForms.Table[[#This Row],[ INFORMEDEPAGO ]]*0.3</f>
        <v>4425.7860000000001</v>
      </c>
      <c r="R2214" s="12">
        <f>(IF(O2214&lt;4172.98,0,MIN(O2214*0.3,O2214-4172.98)))-P2214</f>
        <v>1.886000000000422</v>
      </c>
      <c r="S2214" s="78">
        <v>46478</v>
      </c>
      <c r="T2214" s="1"/>
      <c r="V2214" s="1"/>
      <c r="X2214" s="101">
        <v>2</v>
      </c>
    </row>
    <row r="2215" spans="1:24" hidden="1">
      <c r="A2215">
        <v>618</v>
      </c>
      <c r="B2215" s="2">
        <v>46232.350138888898</v>
      </c>
      <c r="C2215" s="2">
        <v>46232.352916666699</v>
      </c>
      <c r="D2215" s="1" t="s">
        <v>24</v>
      </c>
      <c r="E2215" s="1"/>
      <c r="F2215" s="29">
        <v>46232</v>
      </c>
      <c r="G2215" s="29">
        <v>46232</v>
      </c>
      <c r="H2215" s="1" t="s">
        <v>1629</v>
      </c>
      <c r="I2215" s="1" t="s">
        <v>5123</v>
      </c>
      <c r="J2215" s="175" t="s">
        <v>5124</v>
      </c>
      <c r="K2215" s="171" t="s">
        <v>5125</v>
      </c>
      <c r="L2215" s="62">
        <v>2</v>
      </c>
      <c r="M2215" s="30">
        <v>5534982312</v>
      </c>
      <c r="N2215" s="172" t="s">
        <v>37</v>
      </c>
      <c r="O2215" s="90">
        <v>9081.52</v>
      </c>
      <c r="P2215" s="90">
        <v>2518.66</v>
      </c>
      <c r="Q2215" s="42">
        <f>OfficeForms.Table[[#This Row],[ INFORMEDEPAGO ]]*0.3</f>
        <v>2724.4560000000001</v>
      </c>
      <c r="R2215" s="12">
        <f>(IF(O2215&lt;4172.98,0,MIN(O2215*0.3,O2215-4172.98)))-P2215</f>
        <v>205.79600000000028</v>
      </c>
      <c r="S2215" s="78">
        <v>46357</v>
      </c>
      <c r="T2215" s="1"/>
      <c r="V2215" s="1"/>
      <c r="X2215" s="101">
        <v>2</v>
      </c>
    </row>
    <row r="2216" spans="1:24" hidden="1">
      <c r="A2216">
        <v>619</v>
      </c>
      <c r="B2216" s="2">
        <v>46232.352766203701</v>
      </c>
      <c r="C2216" s="2">
        <v>46232.354097222204</v>
      </c>
      <c r="D2216" s="1" t="s">
        <v>24</v>
      </c>
      <c r="E2216" s="1"/>
      <c r="F2216" s="29">
        <v>46232</v>
      </c>
      <c r="G2216" s="29">
        <v>46232</v>
      </c>
      <c r="H2216" s="1" t="s">
        <v>1625</v>
      </c>
      <c r="I2216" s="1" t="s">
        <v>5126</v>
      </c>
      <c r="J2216" s="175">
        <v>31816438167</v>
      </c>
      <c r="K2216" s="171" t="s">
        <v>5127</v>
      </c>
      <c r="L2216" s="62">
        <v>2</v>
      </c>
      <c r="M2216" s="30">
        <v>8719671616</v>
      </c>
      <c r="N2216" s="172" t="s">
        <v>37</v>
      </c>
      <c r="O2216" s="90">
        <v>9081.52</v>
      </c>
      <c r="P2216" s="90">
        <v>2719.41</v>
      </c>
      <c r="Q2216" s="42">
        <f>OfficeForms.Table[[#This Row],[ INFORMEDEPAGO ]]*0.3</f>
        <v>2724.4560000000001</v>
      </c>
      <c r="R2216" s="12">
        <f>(IF(O2216&lt;4172.98,0,MIN(O2216*0.3,O2216-4172.98)))-P2216</f>
        <v>5.0460000000002765</v>
      </c>
      <c r="S2216" s="78">
        <v>46327</v>
      </c>
      <c r="T2216" s="1"/>
      <c r="V2216" s="1"/>
      <c r="X2216" s="101">
        <v>2</v>
      </c>
    </row>
    <row r="2217" spans="1:24" hidden="1">
      <c r="A2217">
        <v>620</v>
      </c>
      <c r="B2217" s="2">
        <v>46232.363356481503</v>
      </c>
      <c r="C2217" s="2">
        <v>46232.364050925898</v>
      </c>
      <c r="D2217" s="1" t="s">
        <v>24</v>
      </c>
      <c r="E2217" s="1"/>
      <c r="F2217" s="29">
        <v>46232</v>
      </c>
      <c r="G2217" s="29">
        <v>46232</v>
      </c>
      <c r="H2217" s="1" t="s">
        <v>1629</v>
      </c>
      <c r="I2217" s="1" t="s">
        <v>5128</v>
      </c>
      <c r="J2217" s="175">
        <v>32836477433</v>
      </c>
      <c r="K2217" s="171" t="s">
        <v>5129</v>
      </c>
      <c r="L2217" s="62">
        <v>2</v>
      </c>
      <c r="M2217" s="30">
        <v>8127572680</v>
      </c>
      <c r="N2217" s="172" t="s">
        <v>37</v>
      </c>
      <c r="O2217" s="91">
        <v>9081.52</v>
      </c>
      <c r="P2217" s="91">
        <v>2511.2399999999998</v>
      </c>
      <c r="Q2217" s="42">
        <f>OfficeForms.Table[[#This Row],[ INFORMEDEPAGO ]]*0.3</f>
        <v>2724.4560000000001</v>
      </c>
      <c r="R2217" s="12">
        <f>(IF(O2217&lt;4172.98,0,MIN(O2217*0.3,O2217-4172.98)))-P2217</f>
        <v>213.21600000000035</v>
      </c>
      <c r="S2217" s="78">
        <v>46327</v>
      </c>
      <c r="T2217" s="1"/>
      <c r="V2217" s="1"/>
      <c r="X2217" s="101">
        <v>2</v>
      </c>
    </row>
    <row r="2218" spans="1:24" hidden="1">
      <c r="A2218">
        <v>621</v>
      </c>
      <c r="B2218" s="2">
        <v>46232.364097222198</v>
      </c>
      <c r="C2218" s="2">
        <v>46232.3667824074</v>
      </c>
      <c r="D2218" s="1" t="s">
        <v>24</v>
      </c>
      <c r="E2218" s="1"/>
      <c r="F2218" s="29">
        <v>46232</v>
      </c>
      <c r="G2218" s="29">
        <v>46232</v>
      </c>
      <c r="H2218" s="1" t="s">
        <v>1629</v>
      </c>
      <c r="I2218" s="1" t="s">
        <v>5130</v>
      </c>
      <c r="J2218" s="175" t="s">
        <v>5131</v>
      </c>
      <c r="K2218" s="171" t="s">
        <v>5132</v>
      </c>
      <c r="L2218" s="62">
        <v>2</v>
      </c>
      <c r="M2218" s="30">
        <v>3841182707</v>
      </c>
      <c r="N2218" s="172" t="s">
        <v>37</v>
      </c>
      <c r="O2218" s="91">
        <v>11364.96</v>
      </c>
      <c r="P2218" s="91">
        <v>3408.61</v>
      </c>
      <c r="Q2218" s="42">
        <f>OfficeForms.Table[[#This Row],[ INFORMEDEPAGO ]]*0.3</f>
        <v>3409.4879999999998</v>
      </c>
      <c r="R2218" s="12">
        <f>(IF(O2218&lt;4172.98,0,MIN(O2218*0.3,O2218-4172.98)))-P2218</f>
        <v>0.87799999999970169</v>
      </c>
      <c r="S2218" s="78">
        <v>46722</v>
      </c>
      <c r="T2218" s="1"/>
      <c r="V2218" s="1"/>
      <c r="X2218" s="101">
        <v>2</v>
      </c>
    </row>
    <row r="2219" spans="1:24" hidden="1">
      <c r="A2219">
        <v>622</v>
      </c>
      <c r="B2219" s="2">
        <v>46232.401898148099</v>
      </c>
      <c r="C2219" s="2">
        <v>46232.403229166703</v>
      </c>
      <c r="D2219" s="1" t="s">
        <v>24</v>
      </c>
      <c r="E2219" s="1"/>
      <c r="F2219" s="29">
        <v>46232</v>
      </c>
      <c r="G2219" s="29">
        <v>46232</v>
      </c>
      <c r="H2219" s="1" t="s">
        <v>1629</v>
      </c>
      <c r="I2219" s="1" t="s">
        <v>5133</v>
      </c>
      <c r="J2219" s="175">
        <v>42816521134</v>
      </c>
      <c r="K2219" s="171" t="s">
        <v>5134</v>
      </c>
      <c r="L2219" s="62">
        <v>2</v>
      </c>
      <c r="M2219" s="30">
        <v>5568050541</v>
      </c>
      <c r="N2219" s="172" t="s">
        <v>37</v>
      </c>
      <c r="O2219" s="91">
        <v>9760.32</v>
      </c>
      <c r="P2219" s="91">
        <v>2927.66</v>
      </c>
      <c r="Q2219" s="42">
        <f>OfficeForms.Table[[#This Row],[ INFORMEDEPAGO ]]*0.3</f>
        <v>2928.096</v>
      </c>
      <c r="R2219" s="12">
        <f>(IF(O2219&lt;4172.98,0,MIN(O2219*0.3,O2219-4172.98)))-P2219</f>
        <v>0.43600000000014916</v>
      </c>
      <c r="S2219" s="78">
        <v>46844</v>
      </c>
      <c r="T2219" s="1"/>
      <c r="V2219" s="1"/>
      <c r="X2219" s="101">
        <v>2</v>
      </c>
    </row>
    <row r="2220" spans="1:24" hidden="1">
      <c r="A2220">
        <v>623</v>
      </c>
      <c r="B2220" s="2">
        <v>46232.380092592597</v>
      </c>
      <c r="C2220" s="2">
        <v>46232.408078703702</v>
      </c>
      <c r="D2220" s="1" t="s">
        <v>24</v>
      </c>
      <c r="E2220" s="1"/>
      <c r="F2220" s="29">
        <v>46232</v>
      </c>
      <c r="G2220" s="29">
        <v>46232</v>
      </c>
      <c r="H2220" s="1" t="s">
        <v>5135</v>
      </c>
      <c r="I2220" s="1" t="s">
        <v>5136</v>
      </c>
      <c r="J2220" s="175" t="s">
        <v>5137</v>
      </c>
      <c r="K2220" s="171" t="s">
        <v>5138</v>
      </c>
      <c r="L2220" s="62">
        <v>23188946</v>
      </c>
      <c r="M2220" s="30">
        <v>5216295210101</v>
      </c>
      <c r="N2220" s="172" t="s">
        <v>37</v>
      </c>
      <c r="O2220" s="91">
        <v>9081.52</v>
      </c>
      <c r="P2220" s="91">
        <v>2720.81</v>
      </c>
      <c r="Q2220" s="42">
        <f>OfficeForms.Table[[#This Row],[ INFORMEDEPAGO ]]*0.3</f>
        <v>2724.4560000000001</v>
      </c>
      <c r="R2220" s="12">
        <f>(IF(O2220&lt;4172.98,0,MIN(O2220*0.3,O2220-4172.98)))-P2220</f>
        <v>3.6460000000001855</v>
      </c>
      <c r="S2220" s="78">
        <v>46905</v>
      </c>
      <c r="T2220" s="1"/>
      <c r="V2220" s="1"/>
      <c r="X2220" s="101">
        <v>2</v>
      </c>
    </row>
    <row r="2221" spans="1:24" hidden="1">
      <c r="A2221">
        <v>624</v>
      </c>
      <c r="B2221" s="2">
        <v>46232.4084953704</v>
      </c>
      <c r="C2221" s="2">
        <v>46232.409085648098</v>
      </c>
      <c r="D2221" s="1" t="s">
        <v>24</v>
      </c>
      <c r="E2221" s="1"/>
      <c r="F2221" s="29">
        <v>46232</v>
      </c>
      <c r="G2221" s="29">
        <v>46231</v>
      </c>
      <c r="H2221" s="1" t="s">
        <v>107</v>
      </c>
      <c r="I2221" s="1"/>
      <c r="J2221" s="175">
        <v>41816206431</v>
      </c>
      <c r="K2221" s="171"/>
      <c r="L2221" s="62">
        <v>23185280</v>
      </c>
      <c r="M2221" s="30">
        <v>5214441654008</v>
      </c>
      <c r="N2221" s="172" t="s">
        <v>37</v>
      </c>
      <c r="O2221" s="91">
        <v>11930.61</v>
      </c>
      <c r="P2221" s="91">
        <v>3579.18</v>
      </c>
      <c r="Q2221" s="42">
        <f>OfficeForms.Table[[#This Row],[ INFORMEDEPAGO ]]*0.3</f>
        <v>3579.183</v>
      </c>
      <c r="R2221" s="12">
        <f>(IF(O2221&lt;4172.98,0,MIN(O2221*0.3,O2221-4172.98)))-P2221</f>
        <v>3.0000000001564331E-3</v>
      </c>
      <c r="S2221" s="78">
        <v>46508</v>
      </c>
      <c r="T2221" s="1"/>
      <c r="V2221" s="1"/>
      <c r="X2221" s="101">
        <v>2</v>
      </c>
    </row>
    <row r="2222" spans="1:24" hidden="1">
      <c r="A2222">
        <v>625</v>
      </c>
      <c r="B2222" s="2">
        <v>46232.411400463003</v>
      </c>
      <c r="C2222" s="2">
        <v>46232.412951388898</v>
      </c>
      <c r="D2222" s="1" t="s">
        <v>24</v>
      </c>
      <c r="E2222" s="1"/>
      <c r="F2222" s="29">
        <v>46232</v>
      </c>
      <c r="G2222" s="29">
        <v>46232</v>
      </c>
      <c r="H2222" s="1" t="s">
        <v>5135</v>
      </c>
      <c r="I2222" s="1"/>
      <c r="J2222" s="207" t="s">
        <v>5139</v>
      </c>
      <c r="K2222" s="171"/>
      <c r="L2222" s="62">
        <v>23188834</v>
      </c>
      <c r="M2222" s="30">
        <v>5216622915154</v>
      </c>
      <c r="N2222" s="172" t="s">
        <v>47</v>
      </c>
      <c r="O2222" s="91">
        <f>5414.86+848</f>
        <v>6262.86</v>
      </c>
      <c r="P2222" s="91" t="s">
        <v>3921</v>
      </c>
      <c r="Q2222" s="42">
        <f>OfficeForms.Table[[#This Row],[ INFORMEDEPAGO ]]*0.3</f>
        <v>1878.8579999999997</v>
      </c>
      <c r="R2222" s="12">
        <f>(IF(O2222&lt;4172.98,0,MIN(O2222*0.3,O2222-4172.98)))-P2222</f>
        <v>1030.8579999999997</v>
      </c>
      <c r="S2222" s="78"/>
      <c r="T2222" s="1"/>
      <c r="V2222" s="1"/>
      <c r="X2222" s="101">
        <v>1</v>
      </c>
    </row>
    <row r="2223" spans="1:24" hidden="1">
      <c r="A2223">
        <v>626</v>
      </c>
      <c r="B2223" s="2">
        <v>46232.390856481499</v>
      </c>
      <c r="C2223" s="2">
        <v>46232.421689814801</v>
      </c>
      <c r="D2223" s="1" t="s">
        <v>24</v>
      </c>
      <c r="E2223" s="1"/>
      <c r="F2223" s="29">
        <v>46232</v>
      </c>
      <c r="G2223" s="29">
        <v>46231</v>
      </c>
      <c r="H2223" s="1" t="s">
        <v>3007</v>
      </c>
      <c r="I2223" s="1" t="s">
        <v>5140</v>
      </c>
      <c r="J2223" s="207"/>
      <c r="K2223" s="171" t="s">
        <v>5141</v>
      </c>
      <c r="L2223" s="62">
        <v>23185400</v>
      </c>
      <c r="M2223" s="30">
        <v>6861226787</v>
      </c>
      <c r="N2223" s="172" t="s">
        <v>28</v>
      </c>
      <c r="O2223" s="91">
        <v>9760.32</v>
      </c>
      <c r="P2223" s="91"/>
      <c r="Q2223" s="42">
        <f>OfficeForms.Table[[#This Row],[ INFORMEDEPAGO ]]*0.3</f>
        <v>2928.096</v>
      </c>
      <c r="R2223" s="12">
        <f>(IF(O2223&lt;4172.98,0,MIN(O2223*0.3,O2223-4172.98)))-P2223</f>
        <v>2928.096</v>
      </c>
      <c r="S2223" s="78"/>
      <c r="T2223" s="1"/>
      <c r="V2223" s="1"/>
      <c r="X2223" s="101">
        <v>1</v>
      </c>
    </row>
    <row r="2224" spans="1:24" hidden="1">
      <c r="A2224">
        <v>627</v>
      </c>
      <c r="B2224" s="2">
        <v>46232.420636574097</v>
      </c>
      <c r="C2224" s="2">
        <v>46232.422569444403</v>
      </c>
      <c r="D2224" s="1" t="s">
        <v>24</v>
      </c>
      <c r="E2224" s="1"/>
      <c r="F2224" s="29">
        <v>46232</v>
      </c>
      <c r="G2224" s="29">
        <v>46232</v>
      </c>
      <c r="H2224" s="1" t="s">
        <v>5135</v>
      </c>
      <c r="I2224" s="1" t="s">
        <v>5142</v>
      </c>
      <c r="J2224" s="207"/>
      <c r="K2224" s="171" t="s">
        <v>5143</v>
      </c>
      <c r="L2224" s="62">
        <v>23188368</v>
      </c>
      <c r="M2224" s="30">
        <v>5218332598734</v>
      </c>
      <c r="N2224" s="172" t="s">
        <v>32</v>
      </c>
      <c r="O2224" s="91">
        <f>3433.16+848</f>
        <v>4281.16</v>
      </c>
      <c r="P2224" s="91" t="s">
        <v>3921</v>
      </c>
      <c r="Q2224" s="42">
        <f>OfficeForms.Table[[#This Row],[ INFORMEDEPAGO ]]*0.3</f>
        <v>1284.348</v>
      </c>
      <c r="R2224" s="12">
        <f>(IF(O2224&lt;4172.98,0,MIN(O2224*0.3,O2224-4172.98)))-P2224</f>
        <v>-739.81999999999971</v>
      </c>
      <c r="S2224" s="78"/>
      <c r="T2224" s="1"/>
      <c r="V2224" s="1"/>
      <c r="X2224" s="101">
        <v>1</v>
      </c>
    </row>
    <row r="2225" spans="1:24" hidden="1">
      <c r="A2225">
        <v>628</v>
      </c>
      <c r="B2225" s="2">
        <v>46232.424745370401</v>
      </c>
      <c r="C2225" s="2">
        <v>46232.426284722198</v>
      </c>
      <c r="D2225" s="1" t="s">
        <v>24</v>
      </c>
      <c r="E2225" s="1"/>
      <c r="F2225" s="29">
        <v>46232</v>
      </c>
      <c r="G2225" s="29">
        <v>46232</v>
      </c>
      <c r="H2225" s="1" t="s">
        <v>5135</v>
      </c>
      <c r="I2225" s="1" t="s">
        <v>5144</v>
      </c>
      <c r="J2225" s="207" t="s">
        <v>5145</v>
      </c>
      <c r="K2225" s="171" t="s">
        <v>5146</v>
      </c>
      <c r="L2225" s="62">
        <v>23187502</v>
      </c>
      <c r="M2225" s="30">
        <v>5213314405547</v>
      </c>
      <c r="N2225" s="172" t="s">
        <v>28</v>
      </c>
      <c r="O2225" s="91">
        <v>39034.29</v>
      </c>
      <c r="P2225" s="91" t="s">
        <v>5147</v>
      </c>
      <c r="Q2225" s="42">
        <f>OfficeForms.Table[[#This Row],[ INFORMEDEPAGO ]]*0.3</f>
        <v>11710.287</v>
      </c>
      <c r="R2225" s="12">
        <f>(IF(O2225&lt;4172.98,0,MIN(O2225*0.3,O2225-4172.98)))-P2225</f>
        <v>1418.2870000000003</v>
      </c>
      <c r="S2225" s="78"/>
      <c r="T2225" s="1"/>
      <c r="V2225" s="1"/>
      <c r="X2225" s="101">
        <v>1</v>
      </c>
    </row>
    <row r="2226" spans="1:24" hidden="1">
      <c r="A2226">
        <v>629</v>
      </c>
      <c r="B2226" s="2">
        <v>46232.426736111098</v>
      </c>
      <c r="C2226" s="2">
        <v>46232.427662037</v>
      </c>
      <c r="D2226" s="1" t="s">
        <v>24</v>
      </c>
      <c r="E2226" s="1"/>
      <c r="F2226" s="29">
        <v>46232</v>
      </c>
      <c r="G2226" s="29">
        <v>46231</v>
      </c>
      <c r="H2226" s="1" t="s">
        <v>3575</v>
      </c>
      <c r="I2226" s="1" t="s">
        <v>5148</v>
      </c>
      <c r="J2226" s="207"/>
      <c r="K2226" s="171" t="s">
        <v>5149</v>
      </c>
      <c r="L2226" s="62">
        <v>23186614</v>
      </c>
      <c r="M2226" s="30">
        <v>5216646419229</v>
      </c>
      <c r="N2226" s="172" t="s">
        <v>37</v>
      </c>
      <c r="O2226" s="91">
        <v>7116.73</v>
      </c>
      <c r="P2226" s="91" t="s">
        <v>5150</v>
      </c>
      <c r="Q2226" s="42">
        <f>OfficeForms.Table[[#This Row],[ INFORMEDEPAGO ]]*0.3</f>
        <v>2135.0189999999998</v>
      </c>
      <c r="R2226" s="12">
        <f>(IF(O2226&lt;4172.98,0,MIN(O2226*0.3,O2226-4172.98)))-P2226</f>
        <v>83.588999999999942</v>
      </c>
      <c r="S2226" s="78">
        <v>46722</v>
      </c>
      <c r="T2226" s="1"/>
      <c r="V2226" s="1"/>
      <c r="X2226" s="101">
        <v>2</v>
      </c>
    </row>
    <row r="2227" spans="1:24" hidden="1">
      <c r="A2227">
        <v>630</v>
      </c>
      <c r="B2227" s="2">
        <v>46232.427129629599</v>
      </c>
      <c r="C2227" s="2">
        <v>46232.428634259297</v>
      </c>
      <c r="D2227" s="1" t="s">
        <v>24</v>
      </c>
      <c r="E2227" s="1"/>
      <c r="F2227" s="29">
        <v>46232</v>
      </c>
      <c r="G2227" s="29">
        <v>46232</v>
      </c>
      <c r="H2227" s="1" t="s">
        <v>5135</v>
      </c>
      <c r="I2227" s="1" t="s">
        <v>5151</v>
      </c>
      <c r="J2227" s="207"/>
      <c r="K2227" s="171" t="s">
        <v>5152</v>
      </c>
      <c r="L2227" s="62">
        <v>23186960</v>
      </c>
      <c r="M2227" s="30">
        <v>5214431284127</v>
      </c>
      <c r="N2227" s="172" t="s">
        <v>263</v>
      </c>
      <c r="O2227" s="91">
        <v>7920.51</v>
      </c>
      <c r="P2227" s="91">
        <v>2195.2800000000002</v>
      </c>
      <c r="Q2227" s="42">
        <f>OfficeForms.Table[[#This Row],[ INFORMEDEPAGO ]]*0.3</f>
        <v>2376.1529999999998</v>
      </c>
      <c r="R2227" s="12">
        <f>(IF(O2227&lt;4172.98,0,MIN(O2227*0.3,O2227-4172.98)))-P2227</f>
        <v>180.87299999999959</v>
      </c>
      <c r="S2227" s="78">
        <v>46174</v>
      </c>
      <c r="T2227" s="1"/>
      <c r="V2227" s="1"/>
      <c r="X2227" s="101">
        <v>2</v>
      </c>
    </row>
    <row r="2228" spans="1:24" hidden="1">
      <c r="A2228">
        <v>631</v>
      </c>
      <c r="B2228" s="2">
        <v>46232.416655092602</v>
      </c>
      <c r="C2228" s="2">
        <v>46232.435451388897</v>
      </c>
      <c r="D2228" s="1" t="s">
        <v>24</v>
      </c>
      <c r="E2228" s="1"/>
      <c r="F2228" s="29">
        <v>46232</v>
      </c>
      <c r="G2228" s="29">
        <v>46231</v>
      </c>
      <c r="H2228" s="1" t="s">
        <v>51</v>
      </c>
      <c r="I2228" s="1" t="s">
        <v>5153</v>
      </c>
      <c r="J2228" s="207">
        <v>16826000487</v>
      </c>
      <c r="K2228" s="171" t="s">
        <v>5154</v>
      </c>
      <c r="L2228" s="62">
        <v>23172176</v>
      </c>
      <c r="M2228" s="30">
        <v>5219993966225</v>
      </c>
      <c r="N2228" s="172" t="s">
        <v>37</v>
      </c>
      <c r="O2228" s="91">
        <v>7920.51</v>
      </c>
      <c r="P2228" s="91">
        <v>2195.27</v>
      </c>
      <c r="Q2228" s="42">
        <f>OfficeForms.Table[[#This Row],[ INFORMEDEPAGO ]]*0.3</f>
        <v>2376.1529999999998</v>
      </c>
      <c r="R2228" s="12">
        <f>(IF(O2228&lt;4172.98,0,MIN(O2228*0.3,O2228-4172.98)))-P2228</f>
        <v>180.88299999999981</v>
      </c>
      <c r="S2228" s="78">
        <v>46296</v>
      </c>
      <c r="T2228" s="1"/>
      <c r="V2228" s="1"/>
      <c r="X2228" s="101">
        <v>2</v>
      </c>
    </row>
    <row r="2229" spans="1:24" hidden="1">
      <c r="A2229">
        <v>632</v>
      </c>
      <c r="B2229" s="2">
        <v>46232.421724537002</v>
      </c>
      <c r="C2229" s="2">
        <v>46232.4434259259</v>
      </c>
      <c r="D2229" s="1" t="s">
        <v>24</v>
      </c>
      <c r="E2229" s="1"/>
      <c r="F2229" s="29">
        <v>46232</v>
      </c>
      <c r="G2229" s="29">
        <v>46231</v>
      </c>
      <c r="H2229" s="1" t="s">
        <v>3007</v>
      </c>
      <c r="I2229" s="1" t="s">
        <v>5155</v>
      </c>
      <c r="J2229" s="207">
        <v>54796351655</v>
      </c>
      <c r="K2229" s="171"/>
      <c r="L2229" s="62">
        <v>23185938</v>
      </c>
      <c r="M2229" s="30">
        <v>3221678946</v>
      </c>
      <c r="N2229" s="172" t="s">
        <v>37</v>
      </c>
      <c r="O2229" s="91">
        <v>7920.51</v>
      </c>
      <c r="P2229" s="91" t="s">
        <v>5156</v>
      </c>
      <c r="Q2229" s="42">
        <f>OfficeForms.Table[[#This Row],[ INFORMEDEPAGO ]]*0.3</f>
        <v>2376.1529999999998</v>
      </c>
      <c r="R2229" s="12">
        <f>(IF(O2229&lt;4172.98,0,MIN(O2229*0.3,O2229-4172.98)))-P2229</f>
        <v>2.3829999999998108</v>
      </c>
      <c r="S2229" s="78">
        <v>46874</v>
      </c>
      <c r="T2229" s="1"/>
      <c r="V2229" s="1"/>
      <c r="X2229" s="101">
        <v>2</v>
      </c>
    </row>
    <row r="2230" spans="1:24" hidden="1">
      <c r="A2230">
        <v>633</v>
      </c>
      <c r="B2230" s="2">
        <v>46232.4437384259</v>
      </c>
      <c r="C2230" s="2">
        <v>46232.445011574098</v>
      </c>
      <c r="D2230" s="1" t="s">
        <v>24</v>
      </c>
      <c r="E2230" s="1"/>
      <c r="F2230" s="29">
        <v>46232</v>
      </c>
      <c r="G2230" s="29">
        <v>46231</v>
      </c>
      <c r="H2230" s="1" t="s">
        <v>5135</v>
      </c>
      <c r="I2230" s="1" t="s">
        <v>5157</v>
      </c>
      <c r="J2230" s="207"/>
      <c r="K2230" s="171" t="s">
        <v>5158</v>
      </c>
      <c r="L2230" s="62">
        <v>23188762</v>
      </c>
      <c r="M2230" s="30">
        <v>5217757073011</v>
      </c>
      <c r="N2230" s="172" t="s">
        <v>37</v>
      </c>
      <c r="O2230" s="91">
        <v>20259.849999999999</v>
      </c>
      <c r="P2230" s="91" t="s">
        <v>5159</v>
      </c>
      <c r="Q2230" s="42">
        <f>OfficeForms.Table[[#This Row],[ INFORMEDEPAGO ]]*0.3</f>
        <v>6077.954999999999</v>
      </c>
      <c r="R2230" s="12">
        <f>(IF(O2230&lt;4172.98,0,MIN(O2230*0.3,O2230-4172.98)))-P2230</f>
        <v>1.4049999999988358</v>
      </c>
      <c r="S2230" s="78">
        <v>46357</v>
      </c>
      <c r="T2230" s="1"/>
      <c r="V2230" s="1"/>
      <c r="X2230" s="101">
        <v>2</v>
      </c>
    </row>
    <row r="2231" spans="1:24" hidden="1">
      <c r="A2231">
        <v>634</v>
      </c>
      <c r="B2231" s="2">
        <v>46232.433391203696</v>
      </c>
      <c r="C2231" s="2">
        <v>46232.449212963002</v>
      </c>
      <c r="D2231" s="1" t="s">
        <v>24</v>
      </c>
      <c r="E2231" s="1"/>
      <c r="F2231" s="29">
        <v>46232</v>
      </c>
      <c r="G2231" s="29">
        <v>46225</v>
      </c>
      <c r="H2231" s="1" t="s">
        <v>81</v>
      </c>
      <c r="I2231" s="1" t="s">
        <v>5160</v>
      </c>
      <c r="J2231" s="207"/>
      <c r="K2231" s="171" t="s">
        <v>5161</v>
      </c>
      <c r="L2231" s="62">
        <v>23006970</v>
      </c>
      <c r="M2231" s="30">
        <v>5213123002291</v>
      </c>
      <c r="N2231" s="172" t="s">
        <v>263</v>
      </c>
      <c r="O2231" s="91">
        <v>6578.4</v>
      </c>
      <c r="P2231" s="91" t="s">
        <v>5162</v>
      </c>
      <c r="Q2231" s="42">
        <f>OfficeForms.Table[[#This Row],[ INFORMEDEPAGO ]]*0.3</f>
        <v>1973.5199999999998</v>
      </c>
      <c r="R2231" s="12">
        <f>(IF(O2231&lt;4172.98,0,MIN(O2231*0.3,O2231-4172.98)))-P2231</f>
        <v>148.43999999999983</v>
      </c>
      <c r="S2231" s="78">
        <v>46113</v>
      </c>
      <c r="T2231" s="1"/>
      <c r="V2231" s="1"/>
      <c r="X2231" s="101">
        <v>2</v>
      </c>
    </row>
    <row r="2232" spans="1:24" hidden="1">
      <c r="A2232">
        <v>635</v>
      </c>
      <c r="B2232" s="2">
        <v>46232.449537036999</v>
      </c>
      <c r="C2232" s="2">
        <v>46232.451585648101</v>
      </c>
      <c r="D2232" s="1" t="s">
        <v>24</v>
      </c>
      <c r="E2232" s="1"/>
      <c r="F2232" s="29">
        <v>46232</v>
      </c>
      <c r="G2232" s="29">
        <v>46232</v>
      </c>
      <c r="H2232" s="1" t="s">
        <v>1519</v>
      </c>
      <c r="I2232" s="1" t="s">
        <v>5163</v>
      </c>
      <c r="J2232" s="207"/>
      <c r="K2232" s="171" t="s">
        <v>5164</v>
      </c>
      <c r="L2232" s="62">
        <v>23192800</v>
      </c>
      <c r="M2232" s="30">
        <v>5216144967378</v>
      </c>
      <c r="N2232" s="172" t="s">
        <v>32</v>
      </c>
      <c r="O2232" s="91">
        <f>3351.87+848</f>
        <v>4199.87</v>
      </c>
      <c r="P2232" s="91" t="s">
        <v>3921</v>
      </c>
      <c r="Q2232" s="42">
        <f>OfficeForms.Table[[#This Row],[ INFORMEDEPAGO ]]*0.3</f>
        <v>1259.961</v>
      </c>
      <c r="R2232" s="12">
        <f>(IF(O2232&lt;4172.98,0,MIN(O2232*0.3,O2232-4172.98)))-P2232</f>
        <v>-821.10999999999967</v>
      </c>
      <c r="S2232" s="78"/>
      <c r="T2232" s="1"/>
      <c r="V2232" s="1"/>
      <c r="X2232" s="101">
        <v>1</v>
      </c>
    </row>
    <row r="2233" spans="1:24" hidden="1">
      <c r="A2233">
        <v>636</v>
      </c>
      <c r="B2233" s="2">
        <v>46232.437685185199</v>
      </c>
      <c r="C2233" s="2">
        <v>46232.452337962997</v>
      </c>
      <c r="D2233" s="1" t="s">
        <v>24</v>
      </c>
      <c r="E2233" s="1"/>
      <c r="F2233" s="29">
        <v>46232</v>
      </c>
      <c r="G2233" s="29">
        <v>46229</v>
      </c>
      <c r="H2233" s="1" t="s">
        <v>68</v>
      </c>
      <c r="I2233" s="1" t="s">
        <v>5165</v>
      </c>
      <c r="J2233" s="207" t="s">
        <v>5166</v>
      </c>
      <c r="K2233" s="171" t="s">
        <v>5167</v>
      </c>
      <c r="L2233" s="62">
        <v>23123768</v>
      </c>
      <c r="M2233" s="30">
        <v>5214432586289</v>
      </c>
      <c r="N2233" s="172" t="s">
        <v>28</v>
      </c>
      <c r="O2233" s="91">
        <f>21876.37-10548</f>
        <v>11328.369999999999</v>
      </c>
      <c r="P2233" s="91" t="s">
        <v>3921</v>
      </c>
      <c r="Q2233" s="42">
        <f>OfficeForms.Table[[#This Row],[ INFORMEDEPAGO ]]*0.3</f>
        <v>3398.5109999999995</v>
      </c>
      <c r="R2233" s="12">
        <f>(IF(O2233&lt;4172.98,0,MIN(O2233*0.3,O2233-4172.98)))-P2233</f>
        <v>2550.5109999999995</v>
      </c>
      <c r="S2233" s="78"/>
      <c r="T2233" s="1"/>
      <c r="V2233" s="1"/>
      <c r="X2233" s="101">
        <v>1</v>
      </c>
    </row>
    <row r="2234" spans="1:24" hidden="1">
      <c r="A2234">
        <v>637</v>
      </c>
      <c r="B2234" s="2">
        <v>46232.443263888897</v>
      </c>
      <c r="C2234" s="2">
        <v>46232.452523148197</v>
      </c>
      <c r="D2234" s="1" t="s">
        <v>24</v>
      </c>
      <c r="E2234" s="1"/>
      <c r="F2234" s="29">
        <v>46232</v>
      </c>
      <c r="G2234" s="29">
        <v>46231</v>
      </c>
      <c r="H2234" s="1" t="s">
        <v>68</v>
      </c>
      <c r="I2234" s="1" t="s">
        <v>5168</v>
      </c>
      <c r="J2234" s="208" t="s">
        <v>5169</v>
      </c>
      <c r="K2234" s="171" t="s">
        <v>5170</v>
      </c>
      <c r="L2234" s="62">
        <v>23171834</v>
      </c>
      <c r="M2234" s="30">
        <v>5219995798298</v>
      </c>
      <c r="N2234" s="172" t="s">
        <v>37</v>
      </c>
      <c r="O2234" s="52">
        <v>13498.32</v>
      </c>
      <c r="P2234" s="52">
        <v>4048.66</v>
      </c>
      <c r="Q2234" s="42">
        <f>OfficeForms.Table[[#This Row],[ INFORMEDEPAGO ]]*0.3</f>
        <v>4049.4959999999996</v>
      </c>
      <c r="R2234" s="12">
        <f>(IF(O2234&lt;4172.98,0,MIN(O2234*0.3,O2234-4172.98)))-P2234</f>
        <v>0.83599999999978536</v>
      </c>
      <c r="S2234" s="78">
        <v>46327</v>
      </c>
      <c r="T2234" s="1"/>
      <c r="V2234" s="1"/>
      <c r="X2234" s="101">
        <v>1</v>
      </c>
    </row>
    <row r="2235" spans="1:24" hidden="1">
      <c r="A2235">
        <v>638</v>
      </c>
      <c r="B2235" s="2">
        <v>46232.4353819444</v>
      </c>
      <c r="C2235" s="2">
        <v>46232.4550115741</v>
      </c>
      <c r="D2235" s="1" t="s">
        <v>24</v>
      </c>
      <c r="E2235" s="1"/>
      <c r="F2235" s="29">
        <v>46232</v>
      </c>
      <c r="G2235" s="29">
        <v>46232</v>
      </c>
      <c r="H2235" s="1" t="s">
        <v>160</v>
      </c>
      <c r="I2235" s="1" t="s">
        <v>5171</v>
      </c>
      <c r="J2235" s="207">
        <v>14745800038</v>
      </c>
      <c r="K2235" s="171" t="s">
        <v>5172</v>
      </c>
      <c r="L2235" s="62">
        <v>23199950</v>
      </c>
      <c r="M2235" s="30">
        <v>5214425251152</v>
      </c>
      <c r="N2235" s="172" t="s">
        <v>32</v>
      </c>
      <c r="O2235" s="91">
        <v>4342.43</v>
      </c>
      <c r="P2235" s="91"/>
      <c r="Q2235" s="42">
        <f>OfficeForms.Table[[#This Row],[ INFORMEDEPAGO ]]*0.3</f>
        <v>1302.729</v>
      </c>
      <c r="R2235" s="12">
        <f>(IF(O2235&lt;4172.98,0,MIN(O2235*0.3,O2235-4172.98)))-P2235</f>
        <v>169.45000000000073</v>
      </c>
      <c r="S2235" s="78"/>
      <c r="T2235" s="1"/>
      <c r="V2235" s="1"/>
      <c r="X2235" s="101">
        <v>1</v>
      </c>
    </row>
    <row r="2236" spans="1:24" hidden="1">
      <c r="A2236">
        <v>639</v>
      </c>
      <c r="B2236" s="2">
        <v>46232.457106481503</v>
      </c>
      <c r="C2236" s="2">
        <v>46232.457685185203</v>
      </c>
      <c r="D2236" s="1" t="s">
        <v>24</v>
      </c>
      <c r="E2236" s="1"/>
      <c r="F2236" s="29">
        <v>46232</v>
      </c>
      <c r="G2236" s="29">
        <v>46231</v>
      </c>
      <c r="H2236" s="1" t="s">
        <v>3352</v>
      </c>
      <c r="I2236" s="1" t="s">
        <v>5173</v>
      </c>
      <c r="J2236" s="207"/>
      <c r="K2236" s="171" t="s">
        <v>5174</v>
      </c>
      <c r="L2236" s="62">
        <v>23185526</v>
      </c>
      <c r="M2236" s="30">
        <v>6531468204</v>
      </c>
      <c r="N2236" s="172" t="s">
        <v>37</v>
      </c>
      <c r="O2236" s="91">
        <v>16560.12</v>
      </c>
      <c r="P2236" s="91">
        <v>4787.9799999999996</v>
      </c>
      <c r="Q2236" s="42">
        <f>OfficeForms.Table[[#This Row],[ INFORMEDEPAGO ]]*0.3</f>
        <v>4968.0359999999991</v>
      </c>
      <c r="R2236" s="12">
        <f>(IF(O2236&lt;4172.98,0,MIN(O2236*0.3,O2236-4172.98)))-P2236</f>
        <v>180.05599999999959</v>
      </c>
      <c r="S2236" s="78">
        <v>46784</v>
      </c>
      <c r="T2236" s="1"/>
      <c r="V2236" s="1"/>
      <c r="X2236" s="101">
        <v>2</v>
      </c>
    </row>
    <row r="2237" spans="1:24" hidden="1">
      <c r="A2237">
        <v>640</v>
      </c>
      <c r="B2237" s="2">
        <v>46232.455706018503</v>
      </c>
      <c r="C2237" s="2">
        <v>46232.458009259302</v>
      </c>
      <c r="D2237" s="1" t="s">
        <v>24</v>
      </c>
      <c r="E2237" s="1"/>
      <c r="F2237" s="29">
        <v>46232</v>
      </c>
      <c r="G2237" s="29">
        <v>46224</v>
      </c>
      <c r="H2237" s="1" t="s">
        <v>110</v>
      </c>
      <c r="I2237" s="1" t="s">
        <v>5175</v>
      </c>
      <c r="J2237" s="207"/>
      <c r="K2237" s="171" t="s">
        <v>5176</v>
      </c>
      <c r="L2237" s="62">
        <v>22908876</v>
      </c>
      <c r="M2237" s="30">
        <v>5213311834200</v>
      </c>
      <c r="N2237" s="172" t="s">
        <v>263</v>
      </c>
      <c r="O2237" s="91">
        <v>11693.55</v>
      </c>
      <c r="P2237" s="91" t="s">
        <v>5177</v>
      </c>
      <c r="Q2237" s="42">
        <f>OfficeForms.Table[[#This Row],[ INFORMEDEPAGO ]]*0.3</f>
        <v>3508.0649999999996</v>
      </c>
      <c r="R2237" s="12">
        <f>(IF(O2237&lt;4172.98,0,MIN(O2237*0.3,O2237-4172.98)))-P2237</f>
        <v>1039.5249999999996</v>
      </c>
      <c r="S2237" s="78">
        <v>46174</v>
      </c>
      <c r="T2237" s="1"/>
      <c r="V2237" s="1"/>
      <c r="X2237" s="101">
        <v>2</v>
      </c>
    </row>
    <row r="2238" spans="1:24" hidden="1">
      <c r="A2238">
        <v>641</v>
      </c>
      <c r="B2238" s="2">
        <v>46232.4612962963</v>
      </c>
      <c r="C2238" s="2">
        <v>46232.4620138889</v>
      </c>
      <c r="D2238" s="1" t="s">
        <v>24</v>
      </c>
      <c r="E2238" s="1"/>
      <c r="F2238" s="29">
        <v>46232</v>
      </c>
      <c r="G2238" s="29">
        <v>46232</v>
      </c>
      <c r="H2238" s="1" t="s">
        <v>107</v>
      </c>
      <c r="I2238" s="1" t="s">
        <v>5178</v>
      </c>
      <c r="J2238" s="207"/>
      <c r="K2238" s="171" t="s">
        <v>5179</v>
      </c>
      <c r="L2238" s="62">
        <v>23117706</v>
      </c>
      <c r="M2238" s="30">
        <v>5215561642836</v>
      </c>
      <c r="N2238" s="172" t="s">
        <v>28</v>
      </c>
      <c r="O2238" s="91">
        <v>9760.32</v>
      </c>
      <c r="P2238" s="91"/>
      <c r="Q2238" s="42">
        <f>OfficeForms.Table[[#This Row],[ INFORMEDEPAGO ]]*0.3</f>
        <v>2928.096</v>
      </c>
      <c r="R2238" s="12">
        <f>(IF(O2238&lt;4172.98,0,MIN(O2238*0.3,O2238-4172.98)))-P2238</f>
        <v>2928.096</v>
      </c>
      <c r="S2238" s="78"/>
      <c r="T2238" s="1"/>
      <c r="V2238" s="1"/>
      <c r="X2238" s="101">
        <v>1</v>
      </c>
    </row>
    <row r="2239" spans="1:24" hidden="1">
      <c r="A2239">
        <v>642</v>
      </c>
      <c r="B2239" s="2">
        <v>46232.371747685203</v>
      </c>
      <c r="C2239" s="2">
        <v>46232.464062500003</v>
      </c>
      <c r="D2239" s="1" t="s">
        <v>24</v>
      </c>
      <c r="E2239" s="1"/>
      <c r="F2239" s="29">
        <v>46232</v>
      </c>
      <c r="G2239" s="29">
        <v>46231</v>
      </c>
      <c r="H2239" s="1" t="s">
        <v>3572</v>
      </c>
      <c r="I2239" s="1" t="s">
        <v>5180</v>
      </c>
      <c r="J2239" s="207"/>
      <c r="K2239" s="171" t="s">
        <v>5181</v>
      </c>
      <c r="L2239" s="62">
        <v>23186164</v>
      </c>
      <c r="M2239" s="30">
        <v>5218132569492</v>
      </c>
      <c r="N2239" s="172" t="s">
        <v>37</v>
      </c>
      <c r="O2239" s="91">
        <v>9081.52</v>
      </c>
      <c r="P2239" s="91">
        <v>2514.86</v>
      </c>
      <c r="Q2239" s="42">
        <f>OfficeForms.Table[[#This Row],[ INFORMEDEPAGO ]]*0.3</f>
        <v>2724.4560000000001</v>
      </c>
      <c r="R2239" s="12">
        <f>(IF(O2239&lt;4172.98,0,MIN(O2239*0.3,O2239-4172.98)))-P2239</f>
        <v>209.596</v>
      </c>
      <c r="S2239" s="78">
        <v>46296</v>
      </c>
      <c r="T2239" s="1"/>
      <c r="V2239" s="1"/>
      <c r="X2239" s="101">
        <v>2</v>
      </c>
    </row>
    <row r="2240" spans="1:24" hidden="1">
      <c r="A2240">
        <v>643</v>
      </c>
      <c r="B2240" s="2">
        <v>46232.4552430556</v>
      </c>
      <c r="C2240" s="2">
        <v>46232.467060185198</v>
      </c>
      <c r="D2240" s="1" t="s">
        <v>24</v>
      </c>
      <c r="E2240" s="1"/>
      <c r="F2240" s="29">
        <v>46232</v>
      </c>
      <c r="G2240" s="29">
        <v>46231</v>
      </c>
      <c r="H2240" s="1" t="s">
        <v>160</v>
      </c>
      <c r="I2240" s="1" t="s">
        <v>5182</v>
      </c>
      <c r="J2240" s="207">
        <v>72735308743</v>
      </c>
      <c r="K2240" s="171" t="s">
        <v>5183</v>
      </c>
      <c r="L2240" s="62">
        <v>23169312</v>
      </c>
      <c r="M2240" s="30">
        <v>5217443094889</v>
      </c>
      <c r="N2240" s="172" t="s">
        <v>37</v>
      </c>
      <c r="O2240" s="91">
        <v>6675.38</v>
      </c>
      <c r="P2240" s="91">
        <v>1914.69</v>
      </c>
      <c r="Q2240" s="42">
        <f>OfficeForms.Table[[#This Row],[ INFORMEDEPAGO ]]*0.3</f>
        <v>2002.614</v>
      </c>
      <c r="R2240" s="12">
        <f>(IF(O2240&lt;4172.98,0,MIN(O2240*0.3,O2240-4172.98)))-P2240</f>
        <v>87.923999999999978</v>
      </c>
      <c r="S2240" s="78">
        <v>46722</v>
      </c>
      <c r="T2240" s="1"/>
      <c r="V2240" s="1"/>
      <c r="X2240" s="101">
        <v>2</v>
      </c>
    </row>
    <row r="2241" spans="1:24" hidden="1">
      <c r="A2241">
        <v>644</v>
      </c>
      <c r="B2241" s="2">
        <v>46232.449236111097</v>
      </c>
      <c r="C2241" s="2">
        <v>46232.469687500001</v>
      </c>
      <c r="D2241" s="1" t="s">
        <v>24</v>
      </c>
      <c r="E2241" s="1"/>
      <c r="F2241" s="29">
        <v>46232</v>
      </c>
      <c r="G2241" s="29">
        <v>46232</v>
      </c>
      <c r="H2241" s="1" t="s">
        <v>81</v>
      </c>
      <c r="I2241" s="1" t="s">
        <v>5184</v>
      </c>
      <c r="J2241" s="207"/>
      <c r="K2241" s="171" t="s">
        <v>5185</v>
      </c>
      <c r="L2241" s="62">
        <v>23195502</v>
      </c>
      <c r="M2241" s="30">
        <v>5213330040803</v>
      </c>
      <c r="N2241" s="172" t="s">
        <v>37</v>
      </c>
      <c r="O2241" s="91">
        <v>9081.52</v>
      </c>
      <c r="P2241" s="91">
        <v>2627.5</v>
      </c>
      <c r="Q2241" s="42">
        <f>OfficeForms.Table[[#This Row],[ INFORMEDEPAGO ]]*0.3</f>
        <v>2724.4560000000001</v>
      </c>
      <c r="R2241" s="12">
        <f>(IF(O2241&lt;4172.98,0,MIN(O2241*0.3,O2241-4172.98)))-P2241</f>
        <v>96.956000000000131</v>
      </c>
      <c r="S2241" s="78">
        <v>46508</v>
      </c>
      <c r="T2241" s="1"/>
      <c r="V2241" s="1"/>
      <c r="X2241" s="101">
        <v>2</v>
      </c>
    </row>
    <row r="2242" spans="1:24" hidden="1">
      <c r="A2242">
        <v>645</v>
      </c>
      <c r="B2242" s="2">
        <v>46232.354155092602</v>
      </c>
      <c r="C2242" s="2">
        <v>46232.474502314799</v>
      </c>
      <c r="D2242" s="1" t="s">
        <v>24</v>
      </c>
      <c r="E2242" s="1"/>
      <c r="F2242" s="29">
        <v>46232</v>
      </c>
      <c r="G2242" s="29">
        <v>46232</v>
      </c>
      <c r="H2242" s="1" t="s">
        <v>1625</v>
      </c>
      <c r="I2242" s="1" t="s">
        <v>5186</v>
      </c>
      <c r="J2242" s="207">
        <v>10866933848</v>
      </c>
      <c r="K2242" s="171" t="s">
        <v>5187</v>
      </c>
      <c r="L2242" s="62">
        <v>2</v>
      </c>
      <c r="M2242" s="30">
        <v>5534260921</v>
      </c>
      <c r="N2242" s="172" t="s">
        <v>235</v>
      </c>
      <c r="O2242" s="91"/>
      <c r="P2242" s="91"/>
      <c r="Q2242" s="42">
        <f>OfficeForms.Table[[#This Row],[ INFORMEDEPAGO ]]*0.3</f>
        <v>0</v>
      </c>
      <c r="R2242" s="12">
        <f>(IF(O2242&lt;4172.98,0,MIN(O2242*0.3,O2242-4172.98)))-P2242</f>
        <v>0</v>
      </c>
      <c r="S2242" s="78"/>
      <c r="T2242" s="1"/>
      <c r="V2242" s="1"/>
      <c r="X2242" s="101">
        <v>1</v>
      </c>
    </row>
    <row r="2243" spans="1:24" hidden="1">
      <c r="A2243">
        <v>646</v>
      </c>
      <c r="B2243" s="2">
        <v>46232.435474537</v>
      </c>
      <c r="C2243" s="2">
        <v>46232.476365740702</v>
      </c>
      <c r="D2243" s="1" t="s">
        <v>24</v>
      </c>
      <c r="E2243" s="1"/>
      <c r="F2243" s="29">
        <v>46232</v>
      </c>
      <c r="G2243" s="29">
        <v>46232</v>
      </c>
      <c r="H2243" s="1" t="s">
        <v>51</v>
      </c>
      <c r="I2243" s="1" t="s">
        <v>5188</v>
      </c>
      <c r="J2243" s="207">
        <v>14886500892</v>
      </c>
      <c r="K2243" s="171" t="s">
        <v>5189</v>
      </c>
      <c r="L2243" s="62">
        <v>23197646</v>
      </c>
      <c r="M2243" s="30">
        <v>5214271177304</v>
      </c>
      <c r="N2243" s="172" t="s">
        <v>98</v>
      </c>
      <c r="O2243" s="91"/>
      <c r="P2243" s="91"/>
      <c r="Q2243" s="42">
        <f>OfficeForms.Table[[#This Row],[ INFORMEDEPAGO ]]*0.3</f>
        <v>0</v>
      </c>
      <c r="R2243" s="12">
        <f>(IF(O2243&lt;4172.98,0,MIN(O2243*0.3,O2243-4172.98)))-P2243</f>
        <v>0</v>
      </c>
      <c r="S2243" s="78"/>
      <c r="T2243" s="1"/>
      <c r="V2243" s="1"/>
      <c r="X2243" s="101">
        <v>0</v>
      </c>
    </row>
    <row r="2244" spans="1:24" hidden="1">
      <c r="A2244">
        <v>647</v>
      </c>
      <c r="B2244" s="2">
        <v>46232.479895833298</v>
      </c>
      <c r="C2244" s="2">
        <v>46232.481979166703</v>
      </c>
      <c r="D2244" s="1" t="s">
        <v>24</v>
      </c>
      <c r="E2244" s="1"/>
      <c r="F2244" s="29">
        <v>46232</v>
      </c>
      <c r="G2244" s="29">
        <v>46144</v>
      </c>
      <c r="H2244" s="1" t="s">
        <v>269</v>
      </c>
      <c r="I2244" s="1" t="s">
        <v>5190</v>
      </c>
      <c r="J2244" s="207" t="s">
        <v>5191</v>
      </c>
      <c r="K2244" s="171" t="s">
        <v>5192</v>
      </c>
      <c r="L2244" s="62">
        <v>20239406</v>
      </c>
      <c r="M2244" s="30">
        <v>5215528925392</v>
      </c>
      <c r="N2244" s="172" t="s">
        <v>37</v>
      </c>
      <c r="O2244" s="91">
        <v>22710.16</v>
      </c>
      <c r="P2244" s="91">
        <v>6569.9</v>
      </c>
      <c r="Q2244" s="42">
        <f>OfficeForms.Table[[#This Row],[ INFORMEDEPAGO ]]*0.3</f>
        <v>6813.0479999999998</v>
      </c>
      <c r="R2244" s="12">
        <f>(IF(O2244&lt;4172.98,0,MIN(O2244*0.3,O2244-4172.98)))-P2244</f>
        <v>243.14800000000014</v>
      </c>
      <c r="S2244" s="78">
        <v>46600</v>
      </c>
      <c r="T2244" s="1"/>
      <c r="V2244" s="1"/>
      <c r="X2244" s="101">
        <v>2</v>
      </c>
    </row>
    <row r="2245" spans="1:24" hidden="1">
      <c r="A2245">
        <v>648</v>
      </c>
      <c r="B2245" s="2">
        <v>46232.4523611111</v>
      </c>
      <c r="C2245" s="2">
        <v>46232.483541666697</v>
      </c>
      <c r="D2245" s="1" t="s">
        <v>24</v>
      </c>
      <c r="E2245" s="1"/>
      <c r="F2245" s="29">
        <v>46232</v>
      </c>
      <c r="G2245" s="29">
        <v>46232</v>
      </c>
      <c r="H2245" s="1" t="s">
        <v>68</v>
      </c>
      <c r="I2245" s="1" t="s">
        <v>5193</v>
      </c>
      <c r="J2245" s="207"/>
      <c r="K2245" s="171" t="s">
        <v>5194</v>
      </c>
      <c r="L2245" s="62">
        <v>23195180</v>
      </c>
      <c r="M2245" s="30">
        <v>5219992444960</v>
      </c>
      <c r="N2245" s="172" t="s">
        <v>28</v>
      </c>
      <c r="O2245" s="91">
        <v>9760.32</v>
      </c>
      <c r="P2245" s="91"/>
      <c r="Q2245" s="42">
        <f>OfficeForms.Table[[#This Row],[ INFORMEDEPAGO ]]*0.3</f>
        <v>2928.096</v>
      </c>
      <c r="R2245" s="12">
        <f>(IF(O2245&lt;4172.98,0,MIN(O2245*0.3,O2245-4172.98)))-P2245</f>
        <v>2928.096</v>
      </c>
      <c r="S2245" s="78"/>
      <c r="T2245" s="1"/>
      <c r="V2245" s="1"/>
      <c r="X2245" s="101">
        <v>1</v>
      </c>
    </row>
    <row r="2246" spans="1:24" hidden="1">
      <c r="A2246">
        <v>649</v>
      </c>
      <c r="B2246" s="2">
        <v>46232.480254629598</v>
      </c>
      <c r="C2246" s="2">
        <v>46232.484386574099</v>
      </c>
      <c r="D2246" s="1" t="s">
        <v>24</v>
      </c>
      <c r="E2246" s="1"/>
      <c r="F2246" s="29">
        <v>46232</v>
      </c>
      <c r="G2246" s="29">
        <v>46232</v>
      </c>
      <c r="H2246" s="1" t="s">
        <v>160</v>
      </c>
      <c r="I2246" s="1" t="s">
        <v>5195</v>
      </c>
      <c r="J2246" s="207" t="s">
        <v>5196</v>
      </c>
      <c r="K2246" s="171" t="s">
        <v>5197</v>
      </c>
      <c r="L2246" s="62">
        <v>23201298</v>
      </c>
      <c r="M2246" s="30">
        <v>5214581176524</v>
      </c>
      <c r="N2246" s="172" t="s">
        <v>37</v>
      </c>
      <c r="O2246" s="52">
        <v>9504.7000000000007</v>
      </c>
      <c r="P2246" s="52">
        <v>2850.5</v>
      </c>
      <c r="Q2246" s="42">
        <f>OfficeForms.Table[[#This Row],[ INFORMEDEPAGO ]]*0.3</f>
        <v>2851.4100000000003</v>
      </c>
      <c r="R2246" s="12">
        <f>(IF(O2246&lt;4172.98,0,MIN(O2246*0.3,O2246-4172.98)))-P2246</f>
        <v>0.91000000000030923</v>
      </c>
      <c r="S2246" s="78">
        <v>46600</v>
      </c>
      <c r="T2246" s="1" t="s">
        <v>178</v>
      </c>
      <c r="V2246" s="1"/>
      <c r="X2246" s="101">
        <v>2</v>
      </c>
    </row>
    <row r="2247" spans="1:24" hidden="1">
      <c r="A2247">
        <v>650</v>
      </c>
      <c r="B2247" s="2">
        <v>46232.476388888899</v>
      </c>
      <c r="C2247" s="2">
        <v>46232.485347222202</v>
      </c>
      <c r="D2247" s="1" t="s">
        <v>24</v>
      </c>
      <c r="E2247" s="1"/>
      <c r="F2247" s="29">
        <v>46232</v>
      </c>
      <c r="G2247" s="29">
        <v>46232</v>
      </c>
      <c r="H2247" s="1" t="s">
        <v>51</v>
      </c>
      <c r="I2247" s="1" t="s">
        <v>5198</v>
      </c>
      <c r="J2247" s="207">
        <v>41896200510</v>
      </c>
      <c r="K2247" s="171" t="s">
        <v>5199</v>
      </c>
      <c r="L2247" s="62">
        <v>23197102</v>
      </c>
      <c r="M2247" s="30">
        <v>5214448492558</v>
      </c>
      <c r="N2247" s="172" t="s">
        <v>28</v>
      </c>
      <c r="O2247" s="91">
        <v>26353.22</v>
      </c>
      <c r="P2247" s="91"/>
      <c r="Q2247" s="42">
        <f>OfficeForms.Table[[#This Row],[ INFORMEDEPAGO ]]*0.3</f>
        <v>7905.9660000000003</v>
      </c>
      <c r="R2247" s="12">
        <f>(IF(O2247&lt;4172.98,0,MIN(O2247*0.3,O2247-4172.98)))-P2247</f>
        <v>7905.9660000000003</v>
      </c>
      <c r="S2247" s="78"/>
      <c r="T2247" s="1"/>
      <c r="V2247" s="1"/>
      <c r="X2247" s="101">
        <v>1</v>
      </c>
    </row>
    <row r="2248" spans="1:24" hidden="1">
      <c r="A2248">
        <v>651</v>
      </c>
      <c r="B2248" s="2">
        <v>46232.489363425899</v>
      </c>
      <c r="C2248" s="2">
        <v>46232.490729166697</v>
      </c>
      <c r="D2248" s="1" t="s">
        <v>24</v>
      </c>
      <c r="E2248" s="1"/>
      <c r="F2248" s="29">
        <v>46232</v>
      </c>
      <c r="G2248" s="29">
        <v>46232</v>
      </c>
      <c r="H2248" s="1" t="s">
        <v>1629</v>
      </c>
      <c r="I2248" s="1" t="s">
        <v>5200</v>
      </c>
      <c r="J2248" s="207" t="s">
        <v>5201</v>
      </c>
      <c r="K2248" s="171" t="s">
        <v>5202</v>
      </c>
      <c r="L2248" s="62">
        <v>2</v>
      </c>
      <c r="M2248" s="30">
        <v>3414208637</v>
      </c>
      <c r="N2248" s="172" t="s">
        <v>37</v>
      </c>
      <c r="O2248" s="52">
        <v>9760.32</v>
      </c>
      <c r="P2248" s="52">
        <v>2926.71</v>
      </c>
      <c r="Q2248" s="42">
        <f>OfficeForms.Table[[#This Row],[ INFORMEDEPAGO ]]*0.3</f>
        <v>2928.096</v>
      </c>
      <c r="R2248" s="12">
        <f>(IF(O2248&lt;4172.98,0,MIN(O2248*0.3,O2248-4172.98)))-P2248</f>
        <v>1.3859999999999673</v>
      </c>
      <c r="S2248" s="78">
        <v>46753</v>
      </c>
      <c r="T2248" s="1"/>
      <c r="V2248" s="1"/>
      <c r="X2248" s="101">
        <v>2</v>
      </c>
    </row>
    <row r="2249" spans="1:24" hidden="1">
      <c r="A2249">
        <v>652</v>
      </c>
      <c r="B2249" s="2">
        <v>46232.487268518496</v>
      </c>
      <c r="C2249" s="2">
        <v>46232.492939814802</v>
      </c>
      <c r="D2249" s="1" t="s">
        <v>24</v>
      </c>
      <c r="E2249" s="1"/>
      <c r="F2249" s="29">
        <v>46232</v>
      </c>
      <c r="G2249" s="29">
        <v>46232</v>
      </c>
      <c r="H2249" s="1" t="s">
        <v>160</v>
      </c>
      <c r="I2249" s="1" t="s">
        <v>5203</v>
      </c>
      <c r="J2249" s="207" t="s">
        <v>5204</v>
      </c>
      <c r="K2249" s="171" t="s">
        <v>5205</v>
      </c>
      <c r="L2249" s="62">
        <v>23197854</v>
      </c>
      <c r="M2249" s="30">
        <v>23197854</v>
      </c>
      <c r="N2249" s="172" t="s">
        <v>37</v>
      </c>
      <c r="O2249" s="52">
        <v>7628.27</v>
      </c>
      <c r="P2249" s="52">
        <v>2115</v>
      </c>
      <c r="Q2249" s="42">
        <f>OfficeForms.Table[[#This Row],[ INFORMEDEPAGO ]]*0.3</f>
        <v>2288.4810000000002</v>
      </c>
      <c r="R2249" s="12">
        <f>(IF(O2249&lt;4172.98,0,MIN(O2249*0.3,O2249-4172.98)))-P2249</f>
        <v>173.48100000000022</v>
      </c>
      <c r="S2249" s="78">
        <v>46357</v>
      </c>
      <c r="T2249" s="1"/>
      <c r="V2249" s="1"/>
      <c r="X2249" s="101">
        <v>2</v>
      </c>
    </row>
    <row r="2250" spans="1:24" hidden="1">
      <c r="A2250">
        <v>653</v>
      </c>
      <c r="B2250" s="2">
        <v>46232.493912037004</v>
      </c>
      <c r="C2250" s="2">
        <v>46232.494386574101</v>
      </c>
      <c r="D2250" s="1" t="s">
        <v>24</v>
      </c>
      <c r="E2250" s="1"/>
      <c r="F2250" s="29">
        <v>46232</v>
      </c>
      <c r="G2250" s="29">
        <v>46229</v>
      </c>
      <c r="H2250" s="1" t="s">
        <v>26</v>
      </c>
      <c r="I2250" s="1" t="s">
        <v>5206</v>
      </c>
      <c r="J2250" s="207">
        <v>83816209452</v>
      </c>
      <c r="K2250" s="171"/>
      <c r="L2250" s="62">
        <v>23119094</v>
      </c>
      <c r="M2250" s="30">
        <v>5219932227357</v>
      </c>
      <c r="N2250" s="172" t="s">
        <v>47</v>
      </c>
      <c r="O2250" s="52">
        <v>24760.05</v>
      </c>
      <c r="P2250" s="52">
        <v>6750.93</v>
      </c>
      <c r="Q2250" s="42">
        <f>OfficeForms.Table[[#This Row],[ INFORMEDEPAGO ]]*0.3</f>
        <v>7428.0149999999994</v>
      </c>
      <c r="R2250" s="12">
        <f>(IF(O2250&lt;4172.98,0,MIN(O2250*0.3,O2250-4172.98)))-P2250</f>
        <v>677.08499999999913</v>
      </c>
      <c r="S2250" s="78">
        <v>46266</v>
      </c>
      <c r="T2250" s="1"/>
      <c r="V2250" s="1"/>
      <c r="X2250" s="101">
        <v>2</v>
      </c>
    </row>
    <row r="2251" spans="1:24" hidden="1">
      <c r="A2251">
        <v>654</v>
      </c>
      <c r="B2251" s="2">
        <v>46232.498935185198</v>
      </c>
      <c r="C2251" s="2">
        <v>46232.505960648203</v>
      </c>
      <c r="D2251" s="1" t="s">
        <v>24</v>
      </c>
      <c r="E2251" s="1"/>
      <c r="F2251" s="29">
        <v>46232</v>
      </c>
      <c r="G2251" s="29">
        <v>46232</v>
      </c>
      <c r="H2251" s="1" t="s">
        <v>1519</v>
      </c>
      <c r="I2251" s="1" t="s">
        <v>5207</v>
      </c>
      <c r="J2251" s="207">
        <v>43796270957</v>
      </c>
      <c r="K2251" s="171" t="s">
        <v>5208</v>
      </c>
      <c r="L2251" s="62">
        <v>23204120</v>
      </c>
      <c r="M2251" s="30">
        <v>5218119800050</v>
      </c>
      <c r="N2251" s="172" t="s">
        <v>37</v>
      </c>
      <c r="O2251" s="52">
        <v>23664.79</v>
      </c>
      <c r="P2251" s="52">
        <v>7099.08</v>
      </c>
      <c r="Q2251" s="42">
        <f>OfficeForms.Table[[#This Row],[ INFORMEDEPAGO ]]*0.3</f>
        <v>7099.4369999999999</v>
      </c>
      <c r="R2251" s="12">
        <f>(IF(O2251&lt;4172.98,0,MIN(O2251*0.3,O2251-4172.98)))-P2251</f>
        <v>0.3569999999999709</v>
      </c>
      <c r="S2251" s="78">
        <v>46692</v>
      </c>
      <c r="T2251" s="1" t="s">
        <v>192</v>
      </c>
      <c r="V2251" s="1"/>
      <c r="X2251" s="101">
        <v>2</v>
      </c>
    </row>
    <row r="2252" spans="1:24" hidden="1">
      <c r="A2252">
        <v>655</v>
      </c>
      <c r="B2252" s="2">
        <v>46232.500462962998</v>
      </c>
      <c r="C2252" s="2">
        <v>46232.506018518499</v>
      </c>
      <c r="D2252" s="1" t="s">
        <v>24</v>
      </c>
      <c r="E2252" s="1"/>
      <c r="F2252" s="29">
        <v>46232</v>
      </c>
      <c r="G2252" s="29">
        <v>46232</v>
      </c>
      <c r="H2252" s="1" t="s">
        <v>1519</v>
      </c>
      <c r="I2252" s="1" t="s">
        <v>5209</v>
      </c>
      <c r="J2252" s="207">
        <v>13786400187</v>
      </c>
      <c r="K2252" s="171" t="s">
        <v>5210</v>
      </c>
      <c r="L2252" s="62">
        <v>23203462</v>
      </c>
      <c r="M2252" s="30">
        <v>5216863957803</v>
      </c>
      <c r="N2252" s="172" t="s">
        <v>28</v>
      </c>
      <c r="O2252" s="91">
        <v>7363.38</v>
      </c>
      <c r="P2252" s="91"/>
      <c r="Q2252" s="42">
        <f>OfficeForms.Table[[#This Row],[ INFORMEDEPAGO ]]*0.3</f>
        <v>2209.0140000000001</v>
      </c>
      <c r="R2252" s="12">
        <f>(IF(O2252&lt;4172.98,0,MIN(O2252*0.3,O2252-4172.98)))-P2252</f>
        <v>2209.0140000000001</v>
      </c>
      <c r="S2252" s="78"/>
      <c r="T2252" s="1"/>
      <c r="V2252" s="1"/>
      <c r="X2252" s="101">
        <v>1</v>
      </c>
    </row>
    <row r="2253" spans="1:24" hidden="1">
      <c r="A2253">
        <v>656</v>
      </c>
      <c r="B2253" s="2">
        <v>46232.4938541667</v>
      </c>
      <c r="C2253" s="2">
        <v>46232.506365740701</v>
      </c>
      <c r="D2253" s="1" t="s">
        <v>24</v>
      </c>
      <c r="E2253" s="1"/>
      <c r="F2253" s="29">
        <v>46232</v>
      </c>
      <c r="G2253" s="29">
        <v>46232</v>
      </c>
      <c r="H2253" s="1" t="s">
        <v>160</v>
      </c>
      <c r="I2253" s="1" t="s">
        <v>5211</v>
      </c>
      <c r="J2253" s="207" t="s">
        <v>5212</v>
      </c>
      <c r="K2253" s="171" t="s">
        <v>5213</v>
      </c>
      <c r="L2253" s="62">
        <v>23202954</v>
      </c>
      <c r="M2253" s="30">
        <v>5216421301379</v>
      </c>
      <c r="N2253" s="172" t="s">
        <v>28</v>
      </c>
      <c r="O2253" s="91">
        <v>9760.32</v>
      </c>
      <c r="P2253" s="91"/>
      <c r="Q2253" s="42">
        <f>OfficeForms.Table[[#This Row],[ INFORMEDEPAGO ]]*0.3</f>
        <v>2928.096</v>
      </c>
      <c r="R2253" s="12">
        <f>(IF(O2253&lt;4172.98,0,MIN(O2253*0.3,O2253-4172.98)))-P2253</f>
        <v>2928.096</v>
      </c>
      <c r="S2253" s="78"/>
      <c r="T2253" s="1"/>
      <c r="V2253" s="1"/>
      <c r="X2253" s="101">
        <v>1</v>
      </c>
    </row>
    <row r="2254" spans="1:24" hidden="1">
      <c r="A2254">
        <v>657</v>
      </c>
      <c r="B2254" s="2">
        <v>46232.485358796301</v>
      </c>
      <c r="C2254" s="2">
        <v>46232.512893518498</v>
      </c>
      <c r="D2254" s="1" t="s">
        <v>24</v>
      </c>
      <c r="E2254" s="1"/>
      <c r="F2254" s="29">
        <v>46232</v>
      </c>
      <c r="G2254" s="29">
        <v>46232</v>
      </c>
      <c r="H2254" s="1" t="s">
        <v>51</v>
      </c>
      <c r="I2254" s="1" t="s">
        <v>5214</v>
      </c>
      <c r="J2254" s="207"/>
      <c r="K2254" s="171" t="s">
        <v>5215</v>
      </c>
      <c r="L2254" s="62">
        <v>23199646</v>
      </c>
      <c r="M2254" s="30">
        <v>5218125044688</v>
      </c>
      <c r="N2254" s="172" t="s">
        <v>32</v>
      </c>
      <c r="O2254" s="91">
        <v>2771</v>
      </c>
      <c r="P2254" s="91"/>
      <c r="Q2254" s="42">
        <f>OfficeForms.Table[[#This Row],[ INFORMEDEPAGO ]]*0.3</f>
        <v>831.3</v>
      </c>
      <c r="R2254" s="12">
        <f>(IF(O2254&lt;4172.98,0,MIN(O2254*0.3,O2254-4172.98)))-P2254</f>
        <v>0</v>
      </c>
      <c r="S2254" s="78"/>
      <c r="T2254" s="1"/>
      <c r="V2254" s="1"/>
      <c r="X2254" s="101">
        <v>1</v>
      </c>
    </row>
    <row r="2255" spans="1:24" hidden="1">
      <c r="A2255">
        <v>658</v>
      </c>
      <c r="B2255" s="2">
        <v>46232.510092592602</v>
      </c>
      <c r="C2255" s="2">
        <v>46232.515810185199</v>
      </c>
      <c r="D2255" s="1" t="s">
        <v>24</v>
      </c>
      <c r="E2255" s="1"/>
      <c r="F2255" s="29">
        <v>46232</v>
      </c>
      <c r="G2255" s="29">
        <v>46231</v>
      </c>
      <c r="H2255" s="1" t="s">
        <v>5135</v>
      </c>
      <c r="I2255" s="1" t="s">
        <v>5216</v>
      </c>
      <c r="J2255" s="207" t="s">
        <v>5217</v>
      </c>
      <c r="K2255" s="171"/>
      <c r="L2255" s="62">
        <v>23187034</v>
      </c>
      <c r="M2255" s="30">
        <v>5216621404327</v>
      </c>
      <c r="N2255" s="172" t="s">
        <v>28</v>
      </c>
      <c r="O2255" s="91">
        <v>21760.99</v>
      </c>
      <c r="P2255" s="91"/>
      <c r="Q2255" s="42">
        <f>OfficeForms.Table[[#This Row],[ INFORMEDEPAGO ]]*0.3</f>
        <v>6528.2970000000005</v>
      </c>
      <c r="R2255" s="12">
        <f>(IF(O2255&lt;4172.98,0,MIN(O2255*0.3,O2255-4172.98)))-P2255</f>
        <v>6528.2970000000005</v>
      </c>
      <c r="S2255" s="78"/>
      <c r="T2255" s="1"/>
      <c r="V2255" s="1"/>
      <c r="X2255" s="101">
        <v>1</v>
      </c>
    </row>
    <row r="2256" spans="1:24" hidden="1">
      <c r="A2256">
        <v>659</v>
      </c>
      <c r="B2256" s="2">
        <v>46232.5088888889</v>
      </c>
      <c r="C2256" s="2">
        <v>46232.518668981502</v>
      </c>
      <c r="D2256" s="1" t="s">
        <v>24</v>
      </c>
      <c r="E2256" s="1"/>
      <c r="F2256" s="29">
        <v>46232</v>
      </c>
      <c r="G2256" s="29">
        <v>46232</v>
      </c>
      <c r="H2256" s="1" t="s">
        <v>78</v>
      </c>
      <c r="I2256" s="1" t="s">
        <v>5218</v>
      </c>
      <c r="J2256" s="207">
        <v>92926612547</v>
      </c>
      <c r="K2256" s="171" t="s">
        <v>5219</v>
      </c>
      <c r="L2256" s="62">
        <v>23195434</v>
      </c>
      <c r="M2256" s="30">
        <v>5218444680847</v>
      </c>
      <c r="N2256" s="172" t="s">
        <v>28</v>
      </c>
      <c r="O2256" s="91">
        <v>10636.54</v>
      </c>
      <c r="P2256" s="91"/>
      <c r="Q2256" s="42">
        <f>OfficeForms.Table[[#This Row],[ INFORMEDEPAGO ]]*0.3</f>
        <v>3190.962</v>
      </c>
      <c r="R2256" s="12">
        <f>(IF(O2256&lt;4172.98,0,MIN(O2256*0.3,O2256-4172.98)))-P2256</f>
        <v>3190.962</v>
      </c>
      <c r="S2256" s="78"/>
      <c r="T2256" s="1"/>
      <c r="V2256" s="1"/>
      <c r="X2256" s="101">
        <v>1</v>
      </c>
    </row>
    <row r="2257" spans="1:24" hidden="1">
      <c r="A2257">
        <v>660</v>
      </c>
      <c r="B2257" s="2">
        <v>46232.520428240699</v>
      </c>
      <c r="C2257" s="2">
        <v>46232.5231712963</v>
      </c>
      <c r="D2257" s="1" t="s">
        <v>24</v>
      </c>
      <c r="E2257" s="1"/>
      <c r="F2257" s="29">
        <v>46232</v>
      </c>
      <c r="G2257" s="29">
        <v>46228</v>
      </c>
      <c r="H2257" s="1" t="s">
        <v>26</v>
      </c>
      <c r="I2257" s="1" t="s">
        <v>5220</v>
      </c>
      <c r="J2257" s="207">
        <v>23826238216</v>
      </c>
      <c r="K2257" s="171" t="s">
        <v>5221</v>
      </c>
      <c r="L2257" s="62">
        <v>23109672</v>
      </c>
      <c r="M2257" s="30">
        <v>5216674326886</v>
      </c>
      <c r="N2257" s="172" t="s">
        <v>37</v>
      </c>
      <c r="O2257" s="52">
        <v>7685.91</v>
      </c>
      <c r="P2257" s="52">
        <v>2222.02</v>
      </c>
      <c r="Q2257" s="42">
        <f>OfficeForms.Table[[#This Row],[ INFORMEDEPAGO ]]*0.3</f>
        <v>2305.7729999999997</v>
      </c>
      <c r="R2257" s="12">
        <f>(IF(O2257&lt;4172.98,0,MIN(O2257*0.3,O2257-4172.98)))-P2257</f>
        <v>83.752999999999702</v>
      </c>
      <c r="S2257" s="78">
        <v>46569</v>
      </c>
      <c r="T2257" s="1" t="s">
        <v>259</v>
      </c>
      <c r="V2257" s="1"/>
      <c r="X2257" s="101">
        <v>2</v>
      </c>
    </row>
    <row r="2258" spans="1:24" hidden="1">
      <c r="A2258">
        <v>661</v>
      </c>
      <c r="B2258" s="2">
        <v>46232.512905092597</v>
      </c>
      <c r="C2258" s="2">
        <v>46232.525763888902</v>
      </c>
      <c r="D2258" s="1" t="s">
        <v>24</v>
      </c>
      <c r="E2258" s="1"/>
      <c r="F2258" s="29">
        <v>46232</v>
      </c>
      <c r="G2258" s="29">
        <v>46232</v>
      </c>
      <c r="H2258" s="1" t="s">
        <v>51</v>
      </c>
      <c r="I2258" s="1" t="s">
        <v>5222</v>
      </c>
      <c r="J2258" s="207">
        <v>11755622567</v>
      </c>
      <c r="K2258" s="171" t="s">
        <v>5223</v>
      </c>
      <c r="L2258" s="62">
        <v>23202700</v>
      </c>
      <c r="M2258" s="30">
        <v>5215655425173</v>
      </c>
      <c r="N2258" s="172" t="s">
        <v>28</v>
      </c>
      <c r="O2258" s="91">
        <v>6262.86</v>
      </c>
      <c r="P2258" s="91"/>
      <c r="Q2258" s="42">
        <f>OfficeForms.Table[[#This Row],[ INFORMEDEPAGO ]]*0.3</f>
        <v>1878.8579999999997</v>
      </c>
      <c r="R2258" s="12">
        <f>(IF(O2258&lt;4172.98,0,MIN(O2258*0.3,O2258-4172.98)))-P2258</f>
        <v>1878.8579999999997</v>
      </c>
      <c r="S2258" s="78"/>
      <c r="T2258" s="1"/>
      <c r="V2258" s="1"/>
      <c r="X2258" s="101">
        <v>1</v>
      </c>
    </row>
    <row r="2259" spans="1:24" hidden="1">
      <c r="A2259">
        <v>662</v>
      </c>
      <c r="B2259" s="2">
        <v>46232.530821759297</v>
      </c>
      <c r="C2259" s="2">
        <v>46232.531481481499</v>
      </c>
      <c r="D2259" s="1" t="s">
        <v>24</v>
      </c>
      <c r="E2259" s="1"/>
      <c r="F2259" s="29">
        <v>46232</v>
      </c>
      <c r="G2259" s="29">
        <v>46229</v>
      </c>
      <c r="H2259" s="1" t="s">
        <v>269</v>
      </c>
      <c r="I2259" s="1" t="s">
        <v>5224</v>
      </c>
      <c r="J2259" s="207"/>
      <c r="K2259" s="171" t="s">
        <v>5225</v>
      </c>
      <c r="L2259" s="62">
        <v>23125348</v>
      </c>
      <c r="M2259" s="30">
        <v>5218119996833</v>
      </c>
      <c r="N2259" s="172" t="s">
        <v>37</v>
      </c>
      <c r="O2259" s="52">
        <v>5617.63</v>
      </c>
      <c r="P2259" s="52">
        <v>1390</v>
      </c>
      <c r="Q2259" s="42">
        <f>OfficeForms.Table[[#This Row],[ INFORMEDEPAGO ]]*0.3</f>
        <v>1685.289</v>
      </c>
      <c r="R2259" s="12">
        <f>(IF(O2259&lt;4172.98,0,MIN(O2259*0.3,O2259-4172.98)))-P2259</f>
        <v>54.650000000000546</v>
      </c>
      <c r="S2259" s="78">
        <v>46508</v>
      </c>
      <c r="T2259" s="1"/>
      <c r="V2259" s="1"/>
      <c r="X2259" s="101">
        <v>2</v>
      </c>
    </row>
    <row r="2260" spans="1:24" hidden="1">
      <c r="A2260">
        <v>663</v>
      </c>
      <c r="B2260" s="2">
        <v>46232.533622685201</v>
      </c>
      <c r="C2260" s="2">
        <v>46232.535983796297</v>
      </c>
      <c r="D2260" s="1" t="s">
        <v>24</v>
      </c>
      <c r="E2260" s="1"/>
      <c r="F2260" s="29">
        <v>46232</v>
      </c>
      <c r="G2260" s="29">
        <v>46232</v>
      </c>
      <c r="H2260" s="1" t="s">
        <v>1519</v>
      </c>
      <c r="I2260" s="1" t="s">
        <v>5226</v>
      </c>
      <c r="J2260" s="207">
        <v>21845500939</v>
      </c>
      <c r="K2260" s="171" t="s">
        <v>5227</v>
      </c>
      <c r="L2260" s="62">
        <v>23205306</v>
      </c>
      <c r="M2260" s="30">
        <v>5216645820577</v>
      </c>
      <c r="N2260" s="172" t="s">
        <v>32</v>
      </c>
      <c r="O2260" s="52">
        <v>3505.89</v>
      </c>
      <c r="P2260" s="52">
        <v>848</v>
      </c>
      <c r="Q2260" s="42">
        <f>OfficeForms.Table[[#This Row],[ INFORMEDEPAGO ]]*0.3</f>
        <v>1051.7669999999998</v>
      </c>
      <c r="R2260" s="12">
        <f>(IF(O2260&lt;4172.98,0,MIN(O2260*0.3,O2260-4172.98)))-P2260</f>
        <v>-848</v>
      </c>
      <c r="S2260" s="78"/>
      <c r="T2260" s="1"/>
      <c r="V2260" s="1"/>
      <c r="X2260" s="101">
        <v>1</v>
      </c>
    </row>
    <row r="2261" spans="1:24" hidden="1">
      <c r="A2261">
        <v>664</v>
      </c>
      <c r="B2261" s="2">
        <v>46232.533750000002</v>
      </c>
      <c r="C2261" s="2">
        <v>46232.536643518499</v>
      </c>
      <c r="D2261" s="1" t="s">
        <v>24</v>
      </c>
      <c r="E2261" s="1"/>
      <c r="F2261" s="29">
        <v>46232</v>
      </c>
      <c r="G2261" s="29">
        <v>46232</v>
      </c>
      <c r="H2261" s="1" t="s">
        <v>1519</v>
      </c>
      <c r="I2261" s="1" t="s">
        <v>5228</v>
      </c>
      <c r="J2261" s="207"/>
      <c r="K2261" s="171" t="s">
        <v>5229</v>
      </c>
      <c r="L2261" s="62">
        <v>23190830</v>
      </c>
      <c r="M2261" s="30">
        <v>5215578814809</v>
      </c>
      <c r="N2261" s="172" t="s">
        <v>37</v>
      </c>
      <c r="O2261" s="52">
        <v>5617.63</v>
      </c>
      <c r="P2261" s="52">
        <v>1400</v>
      </c>
      <c r="Q2261" s="42">
        <f>OfficeForms.Table[[#This Row],[ INFORMEDEPAGO ]]*0.3</f>
        <v>1685.289</v>
      </c>
      <c r="R2261" s="12">
        <f>(IF(O2261&lt;4172.98,0,MIN(O2261*0.3,O2261-4172.98)))-P2261</f>
        <v>44.650000000000546</v>
      </c>
      <c r="S2261" s="78">
        <v>46935</v>
      </c>
      <c r="T2261" s="1"/>
      <c r="V2261" s="1"/>
      <c r="X2261" s="101">
        <v>2</v>
      </c>
    </row>
    <row r="2262" spans="1:24" hidden="1">
      <c r="A2262">
        <v>665</v>
      </c>
      <c r="B2262" s="2">
        <v>46232.536863425899</v>
      </c>
      <c r="C2262" s="2">
        <v>46232.537685185198</v>
      </c>
      <c r="D2262" s="1" t="s">
        <v>24</v>
      </c>
      <c r="E2262" s="1"/>
      <c r="F2262" s="29">
        <v>46232</v>
      </c>
      <c r="G2262" s="29">
        <v>46232</v>
      </c>
      <c r="H2262" s="1" t="s">
        <v>1629</v>
      </c>
      <c r="I2262" s="1" t="s">
        <v>5230</v>
      </c>
      <c r="J2262" s="207" t="s">
        <v>5231</v>
      </c>
      <c r="K2262" s="171" t="s">
        <v>5232</v>
      </c>
      <c r="L2262" s="62">
        <v>2</v>
      </c>
      <c r="M2262" s="30">
        <v>5587997358</v>
      </c>
      <c r="N2262" s="172" t="s">
        <v>37</v>
      </c>
      <c r="O2262" s="52">
        <v>8784.27</v>
      </c>
      <c r="P2262" s="52">
        <v>2633.39</v>
      </c>
      <c r="Q2262" s="42">
        <f>OfficeForms.Table[[#This Row],[ INFORMEDEPAGO ]]*0.3</f>
        <v>2635.2809999999999</v>
      </c>
      <c r="R2262" s="12">
        <f>(IF(O2262&lt;4172.98,0,MIN(O2262*0.3,O2262-4172.98)))-P2262</f>
        <v>1.8910000000000764</v>
      </c>
      <c r="S2262" s="78">
        <v>46874</v>
      </c>
      <c r="T2262" s="1"/>
      <c r="V2262" s="1"/>
      <c r="X2262" s="101">
        <v>2</v>
      </c>
    </row>
    <row r="2263" spans="1:24" hidden="1">
      <c r="A2263">
        <v>666</v>
      </c>
      <c r="B2263" s="2">
        <v>46232.534016203703</v>
      </c>
      <c r="C2263" s="2">
        <v>46232.537905092599</v>
      </c>
      <c r="D2263" s="1" t="s">
        <v>24</v>
      </c>
      <c r="E2263" s="1"/>
      <c r="F2263" s="29">
        <v>46232</v>
      </c>
      <c r="G2263" s="29">
        <v>46232</v>
      </c>
      <c r="H2263" s="1" t="s">
        <v>160</v>
      </c>
      <c r="I2263" s="1" t="s">
        <v>5233</v>
      </c>
      <c r="J2263" s="207">
        <v>32745828239</v>
      </c>
      <c r="K2263" s="171" t="s">
        <v>5234</v>
      </c>
      <c r="L2263" s="62">
        <v>23203044</v>
      </c>
      <c r="M2263" s="30">
        <v>5218442357220</v>
      </c>
      <c r="N2263" s="172" t="s">
        <v>32</v>
      </c>
      <c r="O2263" s="91">
        <v>4342.43</v>
      </c>
      <c r="P2263" s="91"/>
      <c r="Q2263" s="42">
        <f>OfficeForms.Table[[#This Row],[ INFORMEDEPAGO ]]*0.3</f>
        <v>1302.729</v>
      </c>
      <c r="R2263" s="12">
        <f>(IF(O2263&lt;4172.98,0,MIN(O2263*0.3,O2263-4172.98)))-P2263</f>
        <v>169.45000000000073</v>
      </c>
      <c r="S2263" s="78"/>
      <c r="T2263" s="1"/>
      <c r="V2263" s="1"/>
      <c r="X2263" s="101">
        <v>1</v>
      </c>
    </row>
    <row r="2264" spans="1:24" hidden="1">
      <c r="A2264">
        <v>667</v>
      </c>
      <c r="B2264" s="2">
        <v>46232.469710648104</v>
      </c>
      <c r="C2264" s="2">
        <v>46232.539791666699</v>
      </c>
      <c r="D2264" s="1" t="s">
        <v>24</v>
      </c>
      <c r="E2264" s="1"/>
      <c r="F2264" s="29">
        <v>46232</v>
      </c>
      <c r="G2264" s="29">
        <v>46232</v>
      </c>
      <c r="H2264" s="1" t="s">
        <v>81</v>
      </c>
      <c r="I2264" s="1" t="s">
        <v>5235</v>
      </c>
      <c r="J2264" s="207"/>
      <c r="K2264" s="171" t="s">
        <v>5236</v>
      </c>
      <c r="L2264" s="62">
        <v>23203444</v>
      </c>
      <c r="M2264" s="30">
        <v>5218135729576</v>
      </c>
      <c r="N2264" s="172" t="s">
        <v>37</v>
      </c>
      <c r="O2264" s="52">
        <v>59253.33</v>
      </c>
      <c r="P2264" s="52">
        <v>17776</v>
      </c>
      <c r="Q2264" s="42">
        <f>OfficeForms.Table[[#This Row],[ INFORMEDEPAGO ]]*0.3</f>
        <v>17775.999</v>
      </c>
      <c r="R2264" s="12">
        <f>(IF(O2264&lt;4172.98,0,MIN(O2264*0.3,O2264-4172.98)))-P2264</f>
        <v>-1.0000000002037268E-3</v>
      </c>
      <c r="S2264" s="78">
        <v>46447</v>
      </c>
      <c r="T2264" s="1"/>
      <c r="V2264" s="1"/>
      <c r="X2264" s="101">
        <v>2</v>
      </c>
    </row>
    <row r="2265" spans="1:24" hidden="1">
      <c r="A2265">
        <v>668</v>
      </c>
      <c r="B2265" s="2">
        <v>46232.538171296299</v>
      </c>
      <c r="C2265" s="2">
        <v>46232.542002314804</v>
      </c>
      <c r="D2265" s="1" t="s">
        <v>24</v>
      </c>
      <c r="E2265" s="1"/>
      <c r="F2265" s="29">
        <v>46232</v>
      </c>
      <c r="G2265" s="29">
        <v>46232</v>
      </c>
      <c r="H2265" s="1" t="s">
        <v>1519</v>
      </c>
      <c r="I2265" s="1" t="s">
        <v>5237</v>
      </c>
      <c r="J2265" s="207" t="s">
        <v>5238</v>
      </c>
      <c r="K2265" s="171" t="s">
        <v>5239</v>
      </c>
      <c r="L2265" s="62">
        <v>23197850</v>
      </c>
      <c r="M2265" s="30">
        <v>5218445360250</v>
      </c>
      <c r="N2265" s="172" t="s">
        <v>37</v>
      </c>
      <c r="O2265" s="52">
        <v>11029.03</v>
      </c>
      <c r="P2265" s="52">
        <v>3294.08</v>
      </c>
      <c r="Q2265" s="42">
        <f>OfficeForms.Table[[#This Row],[ INFORMEDEPAGO ]]*0.3</f>
        <v>3308.7090000000003</v>
      </c>
      <c r="R2265" s="12">
        <f>(IF(O2265&lt;4172.98,0,MIN(O2265*0.3,O2265-4172.98)))-P2265</f>
        <v>14.62900000000036</v>
      </c>
      <c r="S2265" s="78">
        <v>46874</v>
      </c>
      <c r="T2265" s="1" t="s">
        <v>259</v>
      </c>
      <c r="V2265" s="1"/>
      <c r="X2265" s="101">
        <v>2</v>
      </c>
    </row>
    <row r="2266" spans="1:24" hidden="1">
      <c r="A2266">
        <v>669</v>
      </c>
      <c r="B2266" s="2">
        <v>46232.539814814802</v>
      </c>
      <c r="C2266" s="2">
        <v>46232.542326388902</v>
      </c>
      <c r="D2266" s="1" t="s">
        <v>24</v>
      </c>
      <c r="E2266" s="1"/>
      <c r="F2266" s="29">
        <v>46232</v>
      </c>
      <c r="G2266" s="29">
        <v>46232</v>
      </c>
      <c r="H2266" s="1" t="s">
        <v>81</v>
      </c>
      <c r="I2266" s="1" t="s">
        <v>5240</v>
      </c>
      <c r="J2266" s="207">
        <v>49815507485</v>
      </c>
      <c r="K2266" s="171" t="s">
        <v>5241</v>
      </c>
      <c r="L2266" s="62">
        <v>23205416</v>
      </c>
      <c r="M2266" s="30">
        <v>5219932180560</v>
      </c>
      <c r="N2266" s="172" t="s">
        <v>263</v>
      </c>
      <c r="O2266" s="52">
        <v>24419.33</v>
      </c>
      <c r="P2266" s="52">
        <v>7323.1</v>
      </c>
      <c r="Q2266" s="42">
        <f>OfficeForms.Table[[#This Row],[ INFORMEDEPAGO ]]*0.3</f>
        <v>7325.799</v>
      </c>
      <c r="R2266" s="12">
        <f>(IF(O2266&lt;4172.98,0,MIN(O2266*0.3,O2266-4172.98)))-P2266</f>
        <v>2.6989999999996144</v>
      </c>
      <c r="S2266" s="78">
        <v>46874</v>
      </c>
      <c r="T2266" s="1" t="s">
        <v>192</v>
      </c>
      <c r="V2266" s="1"/>
      <c r="X2266" s="101">
        <v>2</v>
      </c>
    </row>
    <row r="2267" spans="1:24" hidden="1">
      <c r="A2267">
        <v>670</v>
      </c>
      <c r="B2267" s="2">
        <v>46232.544016203698</v>
      </c>
      <c r="C2267" s="2">
        <v>46232.544664351903</v>
      </c>
      <c r="D2267" s="1" t="s">
        <v>24</v>
      </c>
      <c r="E2267" s="1"/>
      <c r="F2267" s="29">
        <v>46232</v>
      </c>
      <c r="G2267" s="29">
        <v>46231</v>
      </c>
      <c r="H2267" s="1" t="s">
        <v>3452</v>
      </c>
      <c r="I2267" s="1" t="s">
        <v>5242</v>
      </c>
      <c r="J2267" s="207"/>
      <c r="K2267" s="171" t="s">
        <v>5243</v>
      </c>
      <c r="L2267" s="62">
        <v>23184518</v>
      </c>
      <c r="M2267" s="30">
        <v>6181641189</v>
      </c>
      <c r="N2267" s="172" t="s">
        <v>263</v>
      </c>
      <c r="O2267" s="52">
        <v>7132.13</v>
      </c>
      <c r="P2267" s="52">
        <v>1977.9</v>
      </c>
      <c r="Q2267" s="42">
        <f>OfficeForms.Table[[#This Row],[ INFORMEDEPAGO ]]*0.3</f>
        <v>2139.6390000000001</v>
      </c>
      <c r="R2267" s="12">
        <f>(IF(O2267&lt;4172.98,0,MIN(O2267*0.3,O2267-4172.98)))-P2267</f>
        <v>161.73900000000003</v>
      </c>
      <c r="S2267" s="78">
        <v>45200</v>
      </c>
      <c r="T2267" s="1" t="s">
        <v>178</v>
      </c>
      <c r="V2267" s="1"/>
      <c r="X2267" s="101">
        <v>2</v>
      </c>
    </row>
    <row r="2268" spans="1:24" hidden="1">
      <c r="A2268">
        <v>671</v>
      </c>
      <c r="B2268" s="2">
        <v>46232.483587962997</v>
      </c>
      <c r="C2268" s="2">
        <v>46232.545358796298</v>
      </c>
      <c r="D2268" s="1" t="s">
        <v>24</v>
      </c>
      <c r="E2268" s="1"/>
      <c r="F2268" s="29">
        <v>46232</v>
      </c>
      <c r="G2268" s="29">
        <v>46232</v>
      </c>
      <c r="H2268" s="1" t="s">
        <v>68</v>
      </c>
      <c r="I2268" s="1" t="s">
        <v>5244</v>
      </c>
      <c r="J2268" s="207">
        <v>53806016936</v>
      </c>
      <c r="K2268" s="171" t="s">
        <v>5245</v>
      </c>
      <c r="L2268" s="62">
        <v>23205328</v>
      </c>
      <c r="M2268" s="30">
        <v>5214431011747</v>
      </c>
      <c r="N2268" s="172" t="s">
        <v>130</v>
      </c>
      <c r="O2268" s="52">
        <v>4954.7299999999996</v>
      </c>
      <c r="P2268" s="52">
        <v>589.27</v>
      </c>
      <c r="Q2268" s="42">
        <f>OfficeForms.Table[[#This Row],[ INFORMEDEPAGO ]]*0.3</f>
        <v>1486.4189999999999</v>
      </c>
      <c r="R2268" s="12">
        <f>(IF(O2268&lt;4172.98,0,MIN(O2268*0.3,O2268-4172.98)))-P2268</f>
        <v>192.48000000000002</v>
      </c>
      <c r="S2268" s="78">
        <v>45809</v>
      </c>
      <c r="T2268" s="1"/>
      <c r="V2268" s="1"/>
      <c r="X2268" s="101">
        <v>2</v>
      </c>
    </row>
    <row r="2269" spans="1:24" hidden="1">
      <c r="A2269">
        <v>672</v>
      </c>
      <c r="B2269" s="2">
        <v>46232.561527777798</v>
      </c>
      <c r="C2269" s="2">
        <v>46232.562442129602</v>
      </c>
      <c r="D2269" s="1" t="s">
        <v>24</v>
      </c>
      <c r="E2269" s="1"/>
      <c r="F2269" s="29">
        <v>46232</v>
      </c>
      <c r="G2269" s="29">
        <v>46231</v>
      </c>
      <c r="H2269" s="1" t="s">
        <v>3452</v>
      </c>
      <c r="I2269" s="1" t="s">
        <v>5246</v>
      </c>
      <c r="J2269" s="207"/>
      <c r="K2269" s="171" t="s">
        <v>5247</v>
      </c>
      <c r="L2269" s="62">
        <v>23179920</v>
      </c>
      <c r="M2269" s="30">
        <v>6121312297</v>
      </c>
      <c r="N2269" s="172" t="s">
        <v>130</v>
      </c>
      <c r="O2269" s="52">
        <v>5617.63</v>
      </c>
      <c r="P2269" s="52">
        <v>1376.55</v>
      </c>
      <c r="Q2269" s="42">
        <f>OfficeForms.Table[[#This Row],[ INFORMEDEPAGO ]]*0.3</f>
        <v>1685.289</v>
      </c>
      <c r="R2269" s="12">
        <f>(IF(O2269&lt;4172.98,0,MIN(O2269*0.3,O2269-4172.98)))-P2269</f>
        <v>68.100000000000591</v>
      </c>
      <c r="S2269" s="78">
        <v>45413</v>
      </c>
      <c r="T2269" s="1"/>
      <c r="V2269" s="1"/>
      <c r="X2269" s="101">
        <v>2</v>
      </c>
    </row>
    <row r="2270" spans="1:24" hidden="1">
      <c r="A2270">
        <v>673</v>
      </c>
      <c r="B2270" s="2">
        <v>46232.567337963003</v>
      </c>
      <c r="C2270" s="2">
        <v>46232.567731481497</v>
      </c>
      <c r="D2270" s="1" t="s">
        <v>24</v>
      </c>
      <c r="E2270" s="1"/>
      <c r="F2270" s="29">
        <v>46232</v>
      </c>
      <c r="G2270" s="29">
        <v>46232</v>
      </c>
      <c r="H2270" s="1" t="s">
        <v>3007</v>
      </c>
      <c r="I2270" s="1" t="s">
        <v>5248</v>
      </c>
      <c r="J2270" s="208" t="s">
        <v>5249</v>
      </c>
      <c r="K2270" s="171" t="s">
        <v>5250</v>
      </c>
      <c r="L2270" s="62">
        <v>23206810</v>
      </c>
      <c r="M2270" s="30">
        <v>6862395452</v>
      </c>
      <c r="N2270" s="172" t="s">
        <v>28</v>
      </c>
      <c r="O2270" s="91">
        <v>8173.37</v>
      </c>
      <c r="P2270" s="91">
        <v>879</v>
      </c>
      <c r="Q2270" s="42">
        <f>OfficeForms.Table[[#This Row],[ INFORMEDEPAGO ]]*0.3</f>
        <v>2452.011</v>
      </c>
      <c r="R2270" s="12">
        <f>(IF(O2270&lt;4172.98,0,MIN(O2270*0.3,O2270-4172.98)))-P2270</f>
        <v>1573.011</v>
      </c>
      <c r="S2270" s="78"/>
      <c r="T2270" s="1"/>
      <c r="V2270" s="1"/>
      <c r="X2270" s="101">
        <v>1</v>
      </c>
    </row>
    <row r="2271" spans="1:24" hidden="1">
      <c r="A2271">
        <v>674</v>
      </c>
      <c r="B2271" s="2">
        <v>46232.576724537001</v>
      </c>
      <c r="C2271" s="2">
        <v>46232.577465277798</v>
      </c>
      <c r="D2271" s="1" t="s">
        <v>24</v>
      </c>
      <c r="E2271" s="1"/>
      <c r="F2271" s="29">
        <v>46232</v>
      </c>
      <c r="G2271" s="29">
        <v>46232</v>
      </c>
      <c r="H2271" s="1" t="s">
        <v>3452</v>
      </c>
      <c r="I2271" s="1" t="s">
        <v>5251</v>
      </c>
      <c r="J2271" s="208"/>
      <c r="K2271" s="171" t="s">
        <v>5252</v>
      </c>
      <c r="L2271" s="62">
        <v>23207050</v>
      </c>
      <c r="M2271" s="30">
        <v>8711164435</v>
      </c>
      <c r="N2271" s="172" t="s">
        <v>32</v>
      </c>
      <c r="O2271" s="52">
        <v>3881.65</v>
      </c>
      <c r="P2271" s="52">
        <v>848</v>
      </c>
      <c r="Q2271" s="42">
        <f>OfficeForms.Table[[#This Row],[ INFORMEDEPAGO ]]*0.3</f>
        <v>1164.4949999999999</v>
      </c>
      <c r="R2271" s="12">
        <f>(IF(O2271&lt;4172.98,0,MIN(O2271*0.3,O2271-4172.98)))-P2271</f>
        <v>-848</v>
      </c>
      <c r="S2271" s="78"/>
      <c r="T2271" s="1"/>
      <c r="V2271" s="1"/>
      <c r="X2271" s="101">
        <v>1</v>
      </c>
    </row>
    <row r="2272" spans="1:24" hidden="1">
      <c r="A2272">
        <v>675</v>
      </c>
      <c r="B2272" s="2">
        <v>46232.525775463</v>
      </c>
      <c r="C2272" s="2">
        <v>46232.590300925898</v>
      </c>
      <c r="D2272" s="1" t="s">
        <v>24</v>
      </c>
      <c r="E2272" s="1"/>
      <c r="F2272" s="29">
        <v>46232</v>
      </c>
      <c r="G2272" s="29">
        <v>46232</v>
      </c>
      <c r="H2272" s="1" t="s">
        <v>51</v>
      </c>
      <c r="I2272" s="1" t="s">
        <v>5253</v>
      </c>
      <c r="J2272" s="207">
        <v>23695013096</v>
      </c>
      <c r="K2272" s="171" t="s">
        <v>5254</v>
      </c>
      <c r="L2272" s="62">
        <v>23205100</v>
      </c>
      <c r="M2272" s="30">
        <v>5216871390401</v>
      </c>
      <c r="N2272" s="172" t="s">
        <v>28</v>
      </c>
      <c r="O2272" s="91">
        <v>23748.62</v>
      </c>
      <c r="P2272" s="91"/>
      <c r="Q2272" s="42">
        <f>OfficeForms.Table[[#This Row],[ INFORMEDEPAGO ]]*0.3</f>
        <v>7124.5859999999993</v>
      </c>
      <c r="R2272" s="12">
        <f>(IF(O2272&lt;4172.98,0,MIN(O2272*0.3,O2272-4172.98)))-P2272</f>
        <v>7124.5859999999993</v>
      </c>
      <c r="S2272" s="78"/>
      <c r="T2272" s="1"/>
      <c r="V2272" s="1"/>
      <c r="X2272" s="101">
        <v>1</v>
      </c>
    </row>
    <row r="2273" spans="1:24" hidden="1">
      <c r="A2273">
        <v>676</v>
      </c>
      <c r="B2273" s="2">
        <v>46232.474525463003</v>
      </c>
      <c r="C2273" s="2">
        <v>46232.599363425899</v>
      </c>
      <c r="D2273" s="1" t="s">
        <v>24</v>
      </c>
      <c r="E2273" s="1"/>
      <c r="F2273" s="29">
        <v>46232</v>
      </c>
      <c r="G2273" s="29">
        <v>46232</v>
      </c>
      <c r="H2273" s="1" t="s">
        <v>1625</v>
      </c>
      <c r="I2273" s="1" t="s">
        <v>5255</v>
      </c>
      <c r="J2273" s="207">
        <v>32846478876</v>
      </c>
      <c r="K2273" s="171" t="s">
        <v>5256</v>
      </c>
      <c r="L2273" s="62">
        <v>2</v>
      </c>
      <c r="M2273" s="30">
        <v>8445354017</v>
      </c>
      <c r="N2273" s="172" t="s">
        <v>37</v>
      </c>
      <c r="O2273" s="52">
        <v>9493.07</v>
      </c>
      <c r="P2273" s="52">
        <v>2745</v>
      </c>
      <c r="Q2273" s="42">
        <f>OfficeForms.Table[[#This Row],[ INFORMEDEPAGO ]]*0.3</f>
        <v>2847.9209999999998</v>
      </c>
      <c r="R2273" s="12">
        <f>(IF(O2273&lt;4172.98,0,MIN(O2273*0.3,O2273-4172.98)))-P2273</f>
        <v>102.92099999999982</v>
      </c>
      <c r="S2273" s="78">
        <v>46419</v>
      </c>
      <c r="T2273" s="1"/>
      <c r="V2273" s="1"/>
      <c r="X2273" s="101">
        <v>2</v>
      </c>
    </row>
    <row r="2274" spans="1:24" hidden="1">
      <c r="A2274">
        <v>677</v>
      </c>
      <c r="B2274" s="2">
        <v>46232.601712962998</v>
      </c>
      <c r="C2274" s="2">
        <v>46232.605416666702</v>
      </c>
      <c r="D2274" s="1" t="s">
        <v>24</v>
      </c>
      <c r="E2274" s="1"/>
      <c r="F2274" s="29">
        <v>46232</v>
      </c>
      <c r="G2274" s="29">
        <v>46229</v>
      </c>
      <c r="H2274" s="1" t="s">
        <v>68</v>
      </c>
      <c r="I2274" s="1" t="s">
        <v>5257</v>
      </c>
      <c r="J2274" s="175" t="s">
        <v>5258</v>
      </c>
      <c r="K2274" s="171" t="s">
        <v>5259</v>
      </c>
      <c r="L2274" s="62">
        <v>23125778</v>
      </c>
      <c r="M2274" s="30">
        <v>5215616042499</v>
      </c>
      <c r="N2274" s="172" t="s">
        <v>37</v>
      </c>
      <c r="O2274" s="52">
        <v>8005.9</v>
      </c>
      <c r="P2274" s="52">
        <v>2401.0100000000002</v>
      </c>
      <c r="Q2274" s="42">
        <f>OfficeForms.Table[[#This Row],[ INFORMEDEPAGO ]]*0.3</f>
        <v>2401.77</v>
      </c>
      <c r="R2274" s="12">
        <f>(IF(O2274&lt;4172.98,0,MIN(O2274*0.3,O2274-4172.98)))-P2274</f>
        <v>0.75999999999976353</v>
      </c>
      <c r="S2274" s="78">
        <v>46784</v>
      </c>
      <c r="T2274" s="1"/>
      <c r="V2274" s="1"/>
      <c r="X2274" s="101">
        <v>2</v>
      </c>
    </row>
    <row r="2275" spans="1:24" hidden="1">
      <c r="A2275">
        <v>678</v>
      </c>
      <c r="B2275" s="2">
        <v>46232.605833333299</v>
      </c>
      <c r="C2275" s="2">
        <v>46232.606979166703</v>
      </c>
      <c r="D2275" s="1" t="s">
        <v>24</v>
      </c>
      <c r="E2275" s="1"/>
      <c r="F2275" s="29">
        <v>46232</v>
      </c>
      <c r="G2275" s="29">
        <v>46233</v>
      </c>
      <c r="H2275" s="1" t="s">
        <v>3007</v>
      </c>
      <c r="I2275" s="1" t="s">
        <v>5260</v>
      </c>
      <c r="J2275" s="209" t="s">
        <v>5261</v>
      </c>
      <c r="K2275" s="171" t="s">
        <v>5262</v>
      </c>
      <c r="L2275" s="62">
        <v>23208636</v>
      </c>
      <c r="M2275" s="30">
        <v>8714278625</v>
      </c>
      <c r="N2275" s="172" t="s">
        <v>37</v>
      </c>
      <c r="O2275" s="52">
        <v>5448.87</v>
      </c>
      <c r="P2275" s="52">
        <v>1511.22</v>
      </c>
      <c r="Q2275" s="42">
        <f>OfficeForms.Table[[#This Row],[ INFORMEDEPAGO ]]*0.3</f>
        <v>1634.6609999999998</v>
      </c>
      <c r="R2275" s="12">
        <f>(IF(O2275&lt;4172.98,0,MIN(O2275*0.3,O2275-4172.98)))-P2275</f>
        <v>-235.3299999999997</v>
      </c>
      <c r="S2275" s="78">
        <v>46327</v>
      </c>
      <c r="T2275" s="1"/>
      <c r="V2275" s="1"/>
      <c r="X2275" s="101">
        <v>2</v>
      </c>
    </row>
    <row r="2276" spans="1:24" hidden="1">
      <c r="A2276">
        <v>679</v>
      </c>
      <c r="B2276" s="2">
        <v>46232.605624999997</v>
      </c>
      <c r="C2276" s="2">
        <v>46232.6078472222</v>
      </c>
      <c r="D2276" s="1" t="s">
        <v>24</v>
      </c>
      <c r="E2276" s="1"/>
      <c r="F2276" s="29">
        <v>46232</v>
      </c>
      <c r="G2276" s="29">
        <v>46232</v>
      </c>
      <c r="H2276" s="1" t="s">
        <v>160</v>
      </c>
      <c r="I2276" s="1" t="s">
        <v>5263</v>
      </c>
      <c r="J2276" s="175">
        <v>23856464344</v>
      </c>
      <c r="K2276" s="171" t="s">
        <v>5264</v>
      </c>
      <c r="L2276" s="62">
        <v>23205318</v>
      </c>
      <c r="M2276" s="30">
        <v>5216693195012</v>
      </c>
      <c r="N2276" s="172" t="s">
        <v>47</v>
      </c>
      <c r="O2276" s="91">
        <v>33401</v>
      </c>
      <c r="P2276" s="91">
        <v>9270.65</v>
      </c>
      <c r="Q2276" s="42">
        <f>OfficeForms.Table[[#This Row],[ INFORMEDEPAGO ]]*0.3</f>
        <v>10020.299999999999</v>
      </c>
      <c r="R2276" s="12">
        <f>(IF(O2276&lt;4172.98,0,MIN(O2276*0.3,O2276-4172.98)))-P2276</f>
        <v>749.64999999999964</v>
      </c>
      <c r="S2276" s="78">
        <v>46388</v>
      </c>
      <c r="T2276" s="1"/>
      <c r="V2276" s="1"/>
      <c r="X2276" s="101">
        <v>2</v>
      </c>
    </row>
    <row r="2277" spans="1:24" hidden="1">
      <c r="A2277">
        <v>680</v>
      </c>
      <c r="B2277" s="2">
        <v>46232.611678240697</v>
      </c>
      <c r="C2277" s="2">
        <v>46232.613298611097</v>
      </c>
      <c r="D2277" s="1" t="s">
        <v>24</v>
      </c>
      <c r="E2277" s="1"/>
      <c r="F2277" s="29">
        <v>46232</v>
      </c>
      <c r="G2277" s="29">
        <v>46232</v>
      </c>
      <c r="H2277" s="1" t="s">
        <v>68</v>
      </c>
      <c r="I2277" s="1" t="s">
        <v>5265</v>
      </c>
      <c r="J2277" s="175"/>
      <c r="K2277" s="171" t="s">
        <v>5266</v>
      </c>
      <c r="L2277" s="62">
        <v>23203084</v>
      </c>
      <c r="M2277" s="30">
        <v>5212214260095</v>
      </c>
      <c r="N2277" s="171" t="s">
        <v>28</v>
      </c>
      <c r="O2277" s="91">
        <v>7159.39</v>
      </c>
      <c r="P2277" s="91"/>
      <c r="Q2277" s="42">
        <f>OfficeForms.Table[[#This Row],[ INFORMEDEPAGO ]]*0.3</f>
        <v>2147.817</v>
      </c>
      <c r="R2277" s="12">
        <f>(IF(O2277&lt;4172.98,0,MIN(O2277*0.3,O2277-4172.98)))-P2277</f>
        <v>2147.817</v>
      </c>
      <c r="S2277" s="78"/>
      <c r="T2277" s="1"/>
      <c r="V2277" s="1"/>
      <c r="X2277" s="101">
        <v>2</v>
      </c>
    </row>
    <row r="2278" spans="1:24" hidden="1">
      <c r="A2278">
        <v>681</v>
      </c>
      <c r="B2278" s="2">
        <v>46232.622638888897</v>
      </c>
      <c r="C2278" s="2">
        <v>46232.623506944401</v>
      </c>
      <c r="D2278" s="1" t="s">
        <v>24</v>
      </c>
      <c r="E2278" s="1"/>
      <c r="F2278" s="29">
        <v>46232</v>
      </c>
      <c r="G2278" s="29">
        <v>46232</v>
      </c>
      <c r="H2278" s="1" t="s">
        <v>110</v>
      </c>
      <c r="I2278" s="1" t="s">
        <v>5267</v>
      </c>
      <c r="J2278" s="175"/>
      <c r="K2278" s="171" t="s">
        <v>5268</v>
      </c>
      <c r="L2278" s="62">
        <v>23206496</v>
      </c>
      <c r="M2278" s="30">
        <v>5218211462876</v>
      </c>
      <c r="N2278" s="172" t="s">
        <v>37</v>
      </c>
      <c r="O2278" s="52">
        <v>29610</v>
      </c>
      <c r="P2278" s="52">
        <v>8883</v>
      </c>
      <c r="Q2278" s="42">
        <f>OfficeForms.Table[[#This Row],[ INFORMEDEPAGO ]]*0.3</f>
        <v>8883</v>
      </c>
      <c r="R2278" s="12">
        <f>(IF(O2278&lt;4172.98,0,MIN(O2278*0.3,O2278-4172.98)))-P2278</f>
        <v>0</v>
      </c>
      <c r="S2278" s="78">
        <v>46388</v>
      </c>
      <c r="T2278" s="1"/>
      <c r="V2278" s="1"/>
      <c r="X2278" s="101">
        <v>2</v>
      </c>
    </row>
    <row r="2279" spans="1:24" hidden="1">
      <c r="A2279">
        <v>682</v>
      </c>
      <c r="B2279" s="2">
        <v>46232.624849537002</v>
      </c>
      <c r="C2279" s="2">
        <v>46232.6258564815</v>
      </c>
      <c r="D2279" s="1" t="s">
        <v>24</v>
      </c>
      <c r="E2279" s="1"/>
      <c r="F2279" s="29">
        <v>46232</v>
      </c>
      <c r="G2279" s="29">
        <v>46231</v>
      </c>
      <c r="H2279" s="1" t="s">
        <v>5135</v>
      </c>
      <c r="I2279" s="1" t="s">
        <v>5269</v>
      </c>
      <c r="J2279" s="207" t="s">
        <v>5270</v>
      </c>
      <c r="K2279" s="171"/>
      <c r="L2279" s="62">
        <v>23189168</v>
      </c>
      <c r="M2279" s="30">
        <v>5213921294826</v>
      </c>
      <c r="N2279" s="172" t="s">
        <v>28</v>
      </c>
      <c r="O2279" s="91">
        <v>9760.32</v>
      </c>
      <c r="P2279" s="91"/>
      <c r="Q2279" s="42">
        <f>OfficeForms.Table[[#This Row],[ INFORMEDEPAGO ]]*0.3</f>
        <v>2928.096</v>
      </c>
      <c r="R2279" s="12">
        <f>(IF(O2279&lt;4172.98,0,MIN(O2279*0.3,O2279-4172.98)))-P2279</f>
        <v>2928.096</v>
      </c>
      <c r="S2279" s="78"/>
      <c r="T2279" s="1"/>
      <c r="V2279" s="1"/>
      <c r="X2279" s="101">
        <v>1</v>
      </c>
    </row>
    <row r="2280" spans="1:24" hidden="1">
      <c r="A2280">
        <v>683</v>
      </c>
      <c r="B2280" s="2">
        <v>46232.626273148097</v>
      </c>
      <c r="C2280" s="2">
        <v>46232.628333333298</v>
      </c>
      <c r="D2280" s="1" t="s">
        <v>24</v>
      </c>
      <c r="E2280" s="1"/>
      <c r="F2280" s="29">
        <v>46232</v>
      </c>
      <c r="G2280" s="29">
        <v>46232</v>
      </c>
      <c r="H2280" s="1" t="s">
        <v>3572</v>
      </c>
      <c r="I2280" s="1" t="s">
        <v>5271</v>
      </c>
      <c r="J2280" s="207">
        <v>32856727501</v>
      </c>
      <c r="K2280" s="171" t="s">
        <v>5272</v>
      </c>
      <c r="L2280" s="62">
        <v>23208616</v>
      </c>
      <c r="M2280" s="30">
        <v>5218771409848</v>
      </c>
      <c r="N2280" s="172" t="s">
        <v>37</v>
      </c>
      <c r="O2280" s="52">
        <v>8181.55</v>
      </c>
      <c r="P2280" s="52">
        <v>2271.4899999999998</v>
      </c>
      <c r="Q2280" s="42">
        <f>OfficeForms.Table[[#This Row],[ INFORMEDEPAGO ]]*0.3</f>
        <v>2454.4650000000001</v>
      </c>
      <c r="R2280" s="12">
        <f>(IF(O2280&lt;4172.98,0,MIN(O2280*0.3,O2280-4172.98)))-P2280</f>
        <v>182.97500000000036</v>
      </c>
      <c r="S2280" s="78">
        <v>46357</v>
      </c>
      <c r="T2280" s="1"/>
      <c r="V2280" s="1"/>
      <c r="X2280" s="101">
        <v>2</v>
      </c>
    </row>
    <row r="2281" spans="1:24" hidden="1">
      <c r="A2281">
        <v>684</v>
      </c>
      <c r="B2281" s="2">
        <v>46232.599409722199</v>
      </c>
      <c r="C2281" s="2">
        <v>46232.628819444399</v>
      </c>
      <c r="D2281" s="1" t="s">
        <v>24</v>
      </c>
      <c r="E2281" s="1"/>
      <c r="F2281" s="29">
        <v>46232</v>
      </c>
      <c r="G2281" s="29">
        <v>46232</v>
      </c>
      <c r="H2281" s="1" t="s">
        <v>1625</v>
      </c>
      <c r="I2281" s="1" t="s">
        <v>5273</v>
      </c>
      <c r="J2281" s="207">
        <v>43806307161</v>
      </c>
      <c r="K2281" s="171" t="s">
        <v>5274</v>
      </c>
      <c r="L2281" s="62">
        <v>2</v>
      </c>
      <c r="M2281" s="30">
        <v>8129102968</v>
      </c>
      <c r="N2281" s="172" t="s">
        <v>37</v>
      </c>
      <c r="O2281" s="52">
        <v>9760.32</v>
      </c>
      <c r="P2281" s="52">
        <v>2823.57</v>
      </c>
      <c r="Q2281" s="42">
        <f>OfficeForms.Table[[#This Row],[ INFORMEDEPAGO ]]*0.3</f>
        <v>2928.096</v>
      </c>
      <c r="R2281" s="12">
        <f>(IF(O2281&lt;4172.98,0,MIN(O2281*0.3,O2281-4172.98)))-P2281</f>
        <v>104.52599999999984</v>
      </c>
      <c r="S2281" s="78">
        <v>46508</v>
      </c>
      <c r="T2281" s="1"/>
      <c r="V2281" s="1"/>
      <c r="X2281" s="101">
        <v>2</v>
      </c>
    </row>
    <row r="2282" spans="1:24" hidden="1">
      <c r="A2282">
        <v>685</v>
      </c>
      <c r="B2282" s="2">
        <v>46232.6309259259</v>
      </c>
      <c r="C2282" s="2">
        <v>46232.632175925901</v>
      </c>
      <c r="D2282" s="1" t="s">
        <v>24</v>
      </c>
      <c r="E2282" s="1"/>
      <c r="F2282" s="29">
        <v>46232</v>
      </c>
      <c r="G2282" s="29">
        <v>46232</v>
      </c>
      <c r="H2282" s="1" t="s">
        <v>110</v>
      </c>
      <c r="I2282" s="1" t="s">
        <v>5275</v>
      </c>
      <c r="J2282" s="207"/>
      <c r="K2282" s="171" t="s">
        <v>5276</v>
      </c>
      <c r="L2282" s="62">
        <v>23209522</v>
      </c>
      <c r="M2282" s="30">
        <v>5215578765762</v>
      </c>
      <c r="N2282" s="172" t="s">
        <v>37</v>
      </c>
      <c r="O2282" s="52">
        <v>10171.24</v>
      </c>
      <c r="P2282" s="52">
        <v>2930.62</v>
      </c>
      <c r="Q2282" s="42">
        <f>OfficeForms.Table[[#This Row],[ INFORMEDEPAGO ]]*0.3</f>
        <v>3051.3719999999998</v>
      </c>
      <c r="R2282" s="12">
        <f>(IF(O2282&lt;4172.98,0,MIN(O2282*0.3,O2282-4172.98)))-P2282</f>
        <v>120.75199999999995</v>
      </c>
      <c r="S2282" s="78">
        <v>46631</v>
      </c>
      <c r="T2282" s="1" t="s">
        <v>192</v>
      </c>
      <c r="V2282" s="1"/>
      <c r="X2282" s="101">
        <v>2</v>
      </c>
    </row>
    <row r="2283" spans="1:24" hidden="1">
      <c r="A2283">
        <v>686</v>
      </c>
      <c r="B2283" s="2">
        <v>46232.6316435185</v>
      </c>
      <c r="C2283" s="2">
        <v>46232.635173611103</v>
      </c>
      <c r="D2283" s="1" t="s">
        <v>24</v>
      </c>
      <c r="E2283" s="1"/>
      <c r="F2283" s="29">
        <v>46232</v>
      </c>
      <c r="G2283" s="29">
        <v>46232</v>
      </c>
      <c r="H2283" s="1" t="s">
        <v>78</v>
      </c>
      <c r="I2283" s="1" t="s">
        <v>5277</v>
      </c>
      <c r="J2283" s="207"/>
      <c r="K2283" s="171" t="s">
        <v>5278</v>
      </c>
      <c r="L2283" s="62">
        <v>23203426</v>
      </c>
      <c r="M2283" s="30">
        <v>5215510059254</v>
      </c>
      <c r="N2283" s="172" t="s">
        <v>47</v>
      </c>
      <c r="O2283" s="91">
        <v>26857.08</v>
      </c>
      <c r="P2283" s="91">
        <v>7455.07</v>
      </c>
      <c r="Q2283" s="42">
        <f>OfficeForms.Table[[#This Row],[ INFORMEDEPAGO ]]*0.3</f>
        <v>8057.1239999999998</v>
      </c>
      <c r="R2283" s="12">
        <f>(IF(O2283&lt;4172.98,0,MIN(O2283*0.3,O2283-4172.98)))-P2283</f>
        <v>602.05400000000009</v>
      </c>
      <c r="S2283" s="78">
        <v>46235</v>
      </c>
      <c r="T2283" s="1"/>
      <c r="V2283" s="1"/>
      <c r="X2283" s="101">
        <v>2</v>
      </c>
    </row>
    <row r="2284" spans="1:24" hidden="1">
      <c r="A2284">
        <v>687</v>
      </c>
      <c r="B2284" s="2">
        <v>46232.6333101852</v>
      </c>
      <c r="C2284" s="2">
        <v>46232.6378819444</v>
      </c>
      <c r="D2284" s="1" t="s">
        <v>24</v>
      </c>
      <c r="E2284" s="1"/>
      <c r="F2284" s="29">
        <v>46232</v>
      </c>
      <c r="G2284" s="29">
        <v>46232</v>
      </c>
      <c r="H2284" s="1" t="s">
        <v>1519</v>
      </c>
      <c r="I2284" s="1" t="s">
        <v>5279</v>
      </c>
      <c r="J2284" s="207"/>
      <c r="K2284" s="171" t="s">
        <v>5280</v>
      </c>
      <c r="L2284" s="62">
        <v>23195684</v>
      </c>
      <c r="M2284" s="30">
        <v>5216143732825</v>
      </c>
      <c r="N2284" s="172" t="s">
        <v>37</v>
      </c>
      <c r="O2284" s="91">
        <v>5819.98</v>
      </c>
      <c r="P2284" s="91">
        <v>1588</v>
      </c>
      <c r="Q2284" s="42">
        <f>OfficeForms.Table[[#This Row],[ INFORMEDEPAGO ]]*0.3</f>
        <v>1745.9939999999999</v>
      </c>
      <c r="R2284" s="12">
        <f>(IF(O2284&lt;4172.98,0,MIN(O2284*0.3,O2284-4172.98)))-P2284</f>
        <v>59</v>
      </c>
      <c r="S2284" s="78">
        <v>46569</v>
      </c>
      <c r="T2284" s="1"/>
      <c r="V2284" s="1"/>
      <c r="X2284" s="101">
        <v>2</v>
      </c>
    </row>
    <row r="2285" spans="1:24" hidden="1">
      <c r="A2285">
        <v>688</v>
      </c>
      <c r="B2285" s="2">
        <v>46232.633680555598</v>
      </c>
      <c r="C2285" s="2">
        <v>46232.641724537003</v>
      </c>
      <c r="D2285" s="1" t="s">
        <v>24</v>
      </c>
      <c r="E2285" s="1"/>
      <c r="F2285" s="29">
        <v>46232</v>
      </c>
      <c r="G2285" s="29">
        <v>46232</v>
      </c>
      <c r="H2285" s="1" t="s">
        <v>78</v>
      </c>
      <c r="I2285" s="1" t="s">
        <v>5281</v>
      </c>
      <c r="J2285" s="207">
        <v>11795726345</v>
      </c>
      <c r="K2285" s="171" t="s">
        <v>1180</v>
      </c>
      <c r="L2285" s="62">
        <v>23197256</v>
      </c>
      <c r="M2285" s="30">
        <v>5215657477902</v>
      </c>
      <c r="N2285" s="172" t="s">
        <v>37</v>
      </c>
      <c r="O2285" s="91">
        <v>5077.9799999999996</v>
      </c>
      <c r="P2285" s="91">
        <v>1222.46</v>
      </c>
      <c r="Q2285" s="42">
        <f>OfficeForms.Table[[#This Row],[ INFORMEDEPAGO ]]*0.3</f>
        <v>1523.3939999999998</v>
      </c>
      <c r="R2285" s="12">
        <f>(IF(O2285&lt;4172.98,0,MIN(O2285*0.3,O2285-4172.98)))-P2285</f>
        <v>-317.46000000000004</v>
      </c>
      <c r="S2285" s="78">
        <v>46296</v>
      </c>
      <c r="T2285" s="1"/>
      <c r="V2285" s="1"/>
      <c r="X2285" s="101">
        <v>2</v>
      </c>
    </row>
    <row r="2286" spans="1:24" hidden="1">
      <c r="A2286">
        <v>689</v>
      </c>
      <c r="B2286" s="2">
        <v>46232.6410763889</v>
      </c>
      <c r="C2286" s="2">
        <v>46232.642129629603</v>
      </c>
      <c r="D2286" s="1" t="s">
        <v>24</v>
      </c>
      <c r="E2286" s="1"/>
      <c r="F2286" s="29">
        <v>46232</v>
      </c>
      <c r="G2286" s="29">
        <v>46232</v>
      </c>
      <c r="H2286" s="1" t="s">
        <v>3022</v>
      </c>
      <c r="I2286" s="1" t="s">
        <v>5282</v>
      </c>
      <c r="J2286" s="207"/>
      <c r="K2286" s="171" t="s">
        <v>5283</v>
      </c>
      <c r="L2286" s="62">
        <v>23209156</v>
      </c>
      <c r="M2286" s="30">
        <v>3326462223</v>
      </c>
      <c r="N2286" s="172" t="s">
        <v>37</v>
      </c>
      <c r="O2286" s="52">
        <v>4813.6899999999996</v>
      </c>
      <c r="P2286" s="52">
        <v>617</v>
      </c>
      <c r="Q2286" s="42">
        <f>OfficeForms.Table[[#This Row],[ INFORMEDEPAGO ]]*0.3</f>
        <v>1444.1069999999997</v>
      </c>
      <c r="R2286" s="12">
        <f>(IF(O2286&lt;4172.98,0,MIN(O2286*0.3,O2286-4172.98)))-P2286</f>
        <v>23.710000000000036</v>
      </c>
      <c r="S2286" s="78">
        <v>46631</v>
      </c>
      <c r="T2286" s="1"/>
      <c r="V2286" s="1"/>
      <c r="X2286" s="101">
        <v>2</v>
      </c>
    </row>
    <row r="2287" spans="1:24" hidden="1">
      <c r="A2287">
        <v>690</v>
      </c>
      <c r="B2287" s="2">
        <v>46232.642905092602</v>
      </c>
      <c r="C2287" s="2">
        <v>46232.643483796302</v>
      </c>
      <c r="D2287" s="1" t="s">
        <v>24</v>
      </c>
      <c r="E2287" s="1"/>
      <c r="F2287" s="29">
        <v>46232</v>
      </c>
      <c r="G2287" s="29">
        <v>46226</v>
      </c>
      <c r="H2287" s="1" t="s">
        <v>71</v>
      </c>
      <c r="I2287" s="1" t="s">
        <v>5284</v>
      </c>
      <c r="J2287" s="207"/>
      <c r="K2287" s="171" t="s">
        <v>5285</v>
      </c>
      <c r="L2287" s="62">
        <v>23035142</v>
      </c>
      <c r="M2287" s="30">
        <v>5215523512030</v>
      </c>
      <c r="N2287" s="172" t="s">
        <v>28</v>
      </c>
      <c r="O2287" s="91">
        <v>10171.24</v>
      </c>
      <c r="P2287" s="91"/>
      <c r="Q2287" s="42">
        <f>OfficeForms.Table[[#This Row],[ INFORMEDEPAGO ]]*0.3</f>
        <v>3051.3719999999998</v>
      </c>
      <c r="R2287" s="12">
        <f>(IF(O2287&lt;4172.98,0,MIN(O2287*0.3,O2287-4172.98)))-P2287</f>
        <v>3051.3719999999998</v>
      </c>
      <c r="S2287" s="78"/>
      <c r="T2287" s="1"/>
      <c r="V2287" s="1"/>
      <c r="X2287" s="101">
        <v>1</v>
      </c>
    </row>
    <row r="2288" spans="1:24" hidden="1">
      <c r="A2288">
        <v>692</v>
      </c>
      <c r="B2288" s="2">
        <v>46232.628877314797</v>
      </c>
      <c r="C2288" s="2">
        <v>46232.646261574097</v>
      </c>
      <c r="D2288" s="1" t="s">
        <v>24</v>
      </c>
      <c r="E2288" s="1"/>
      <c r="F2288" s="29">
        <v>46232</v>
      </c>
      <c r="G2288" s="29">
        <v>46232</v>
      </c>
      <c r="H2288" s="1" t="s">
        <v>1625</v>
      </c>
      <c r="I2288" s="1" t="s">
        <v>5286</v>
      </c>
      <c r="J2288" s="207">
        <v>1916500174</v>
      </c>
      <c r="K2288" s="171" t="s">
        <v>5287</v>
      </c>
      <c r="L2288" s="62">
        <v>2</v>
      </c>
      <c r="M2288" s="30">
        <v>5647197906</v>
      </c>
      <c r="N2288" s="172" t="s">
        <v>37</v>
      </c>
      <c r="O2288" s="52">
        <v>9760.32</v>
      </c>
      <c r="P2288" s="52">
        <v>2926.65</v>
      </c>
      <c r="Q2288" s="42">
        <f>OfficeForms.Table[[#This Row],[ INFORMEDEPAGO ]]*0.3</f>
        <v>2928.096</v>
      </c>
      <c r="R2288" s="12">
        <f>(IF(O2288&lt;4172.98,0,MIN(O2288*0.3,O2288-4172.98)))-P2288</f>
        <v>1.4459999999999127</v>
      </c>
      <c r="S2288" s="78">
        <v>46844</v>
      </c>
      <c r="T2288" s="1"/>
      <c r="V2288" s="1"/>
      <c r="X2288" s="101">
        <v>2</v>
      </c>
    </row>
    <row r="2289" spans="1:24" hidden="1">
      <c r="A2289">
        <v>693</v>
      </c>
      <c r="B2289" s="2">
        <v>46232.652488425898</v>
      </c>
      <c r="C2289" s="2">
        <v>46232.653888888897</v>
      </c>
      <c r="D2289" s="1" t="s">
        <v>24</v>
      </c>
      <c r="E2289" s="1"/>
      <c r="F2289" s="29">
        <v>46232</v>
      </c>
      <c r="G2289" s="29">
        <v>46232</v>
      </c>
      <c r="H2289" s="1" t="s">
        <v>3575</v>
      </c>
      <c r="I2289" s="1" t="s">
        <v>5288</v>
      </c>
      <c r="J2289" s="207"/>
      <c r="K2289" s="171" t="s">
        <v>5289</v>
      </c>
      <c r="L2289" s="62">
        <v>23209990</v>
      </c>
      <c r="M2289" s="30">
        <v>5216632031321</v>
      </c>
      <c r="N2289" s="172" t="s">
        <v>263</v>
      </c>
      <c r="O2289" s="52">
        <v>6262.86</v>
      </c>
      <c r="P2289" s="52">
        <v>1736.71</v>
      </c>
      <c r="Q2289" s="42">
        <f>OfficeForms.Table[[#This Row],[ INFORMEDEPAGO ]]*0.3</f>
        <v>1878.8579999999997</v>
      </c>
      <c r="R2289" s="12">
        <f>(IF(O2289&lt;4172.98,0,MIN(O2289*0.3,O2289-4172.98)))-P2289</f>
        <v>142.14799999999968</v>
      </c>
      <c r="S2289" s="78">
        <v>46204</v>
      </c>
      <c r="T2289" s="1" t="s">
        <v>84</v>
      </c>
      <c r="V2289" s="1"/>
      <c r="X2289" s="101">
        <v>2</v>
      </c>
    </row>
    <row r="2290" spans="1:24" hidden="1">
      <c r="A2290">
        <v>694</v>
      </c>
      <c r="B2290" s="2">
        <v>46232.653923611098</v>
      </c>
      <c r="C2290" s="2">
        <v>46232.654780092598</v>
      </c>
      <c r="D2290" s="1" t="s">
        <v>24</v>
      </c>
      <c r="E2290" s="1"/>
      <c r="F2290" s="29">
        <v>46232</v>
      </c>
      <c r="G2290" s="29">
        <v>46231</v>
      </c>
      <c r="H2290" s="1" t="s">
        <v>3452</v>
      </c>
      <c r="I2290" s="1" t="s">
        <v>5290</v>
      </c>
      <c r="J2290" s="207">
        <v>54977410098</v>
      </c>
      <c r="K2290" s="171"/>
      <c r="L2290" s="62">
        <v>23186054</v>
      </c>
      <c r="M2290" s="30">
        <v>3411506300</v>
      </c>
      <c r="N2290" s="172" t="s">
        <v>74</v>
      </c>
      <c r="O2290" s="91"/>
      <c r="P2290" s="91"/>
      <c r="Q2290" s="42">
        <f>OfficeForms.Table[[#This Row],[ INFORMEDEPAGO ]]*0.3</f>
        <v>0</v>
      </c>
      <c r="R2290" s="12">
        <f>(IF(O2290&lt;4172.98,0,MIN(O2290*0.3,O2290-4172.98)))-P2290</f>
        <v>0</v>
      </c>
      <c r="S2290" s="78"/>
      <c r="T2290" s="1"/>
      <c r="V2290" s="1"/>
      <c r="X2290" s="101">
        <v>1</v>
      </c>
    </row>
    <row r="2291" spans="1:24" hidden="1">
      <c r="A2291">
        <v>695</v>
      </c>
      <c r="B2291" s="2">
        <v>46232.615601851903</v>
      </c>
      <c r="C2291" s="2">
        <v>46232.664687500001</v>
      </c>
      <c r="D2291" s="1" t="s">
        <v>24</v>
      </c>
      <c r="E2291" s="1"/>
      <c r="F2291" s="29">
        <v>46232</v>
      </c>
      <c r="G2291" s="29">
        <v>46232</v>
      </c>
      <c r="H2291" s="1" t="s">
        <v>476</v>
      </c>
      <c r="I2291" s="1" t="s">
        <v>5291</v>
      </c>
      <c r="J2291" s="207" t="s">
        <v>5292</v>
      </c>
      <c r="K2291" s="171"/>
      <c r="L2291" s="62">
        <v>23210224</v>
      </c>
      <c r="M2291" s="30">
        <v>5218147063220</v>
      </c>
      <c r="N2291" s="172" t="s">
        <v>106</v>
      </c>
      <c r="O2291" s="52">
        <v>9081.52</v>
      </c>
      <c r="P2291" s="52">
        <v>2520.12</v>
      </c>
      <c r="Q2291" s="42">
        <f>OfficeForms.Table[[#This Row],[ INFORMEDEPAGO ]]*0.3</f>
        <v>2724.4560000000001</v>
      </c>
      <c r="R2291" s="12">
        <f>(IF(O2291&lt;4172.98,0,MIN(O2291*0.3,O2291-4172.98)))-P2291</f>
        <v>204.33600000000024</v>
      </c>
      <c r="S2291" s="78">
        <v>46204</v>
      </c>
      <c r="T2291" s="1"/>
      <c r="V2291" s="1"/>
      <c r="X2291" s="101">
        <v>2</v>
      </c>
    </row>
    <row r="2292" spans="1:24" hidden="1">
      <c r="A2292">
        <v>696</v>
      </c>
      <c r="B2292" s="2">
        <v>46232.660208333298</v>
      </c>
      <c r="C2292" s="2">
        <v>46232.665601851899</v>
      </c>
      <c r="D2292" s="1" t="s">
        <v>24</v>
      </c>
      <c r="E2292" s="1"/>
      <c r="F2292" s="29">
        <v>46232</v>
      </c>
      <c r="G2292" s="29">
        <v>46232</v>
      </c>
      <c r="H2292" s="1" t="s">
        <v>78</v>
      </c>
      <c r="I2292" s="1" t="s">
        <v>5293</v>
      </c>
      <c r="J2292" s="207">
        <v>49846016027</v>
      </c>
      <c r="K2292" s="171" t="s">
        <v>5294</v>
      </c>
      <c r="L2292" s="62">
        <v>23193178</v>
      </c>
      <c r="M2292" s="30">
        <v>5219631456686</v>
      </c>
      <c r="N2292" s="172" t="s">
        <v>28</v>
      </c>
      <c r="O2292" s="91">
        <v>32675.89</v>
      </c>
      <c r="P2292" s="91"/>
      <c r="Q2292" s="42">
        <f>OfficeForms.Table[[#This Row],[ INFORMEDEPAGO ]]*0.3</f>
        <v>9802.7669999999998</v>
      </c>
      <c r="R2292" s="12">
        <f>(IF(O2292&lt;4172.98,0,MIN(O2292*0.3,O2292-4172.98)))-P2292</f>
        <v>9802.7669999999998</v>
      </c>
      <c r="S2292" s="78"/>
      <c r="T2292" s="1"/>
      <c r="V2292" s="1"/>
      <c r="X2292" s="101">
        <v>1</v>
      </c>
    </row>
    <row r="2293" spans="1:24" hidden="1">
      <c r="A2293">
        <v>697</v>
      </c>
      <c r="B2293" s="2">
        <v>46232.662349537</v>
      </c>
      <c r="C2293" s="2">
        <v>46232.6688194444</v>
      </c>
      <c r="D2293" s="1" t="s">
        <v>24</v>
      </c>
      <c r="E2293" s="1"/>
      <c r="F2293" s="29">
        <v>46232</v>
      </c>
      <c r="G2293" s="29">
        <v>46232</v>
      </c>
      <c r="H2293" s="1" t="s">
        <v>160</v>
      </c>
      <c r="I2293" s="1" t="s">
        <v>5295</v>
      </c>
      <c r="J2293" s="207" t="s">
        <v>5296</v>
      </c>
      <c r="K2293" s="171" t="s">
        <v>5297</v>
      </c>
      <c r="L2293" s="62">
        <v>23203814</v>
      </c>
      <c r="M2293" s="30">
        <v>5216562155906</v>
      </c>
      <c r="N2293" s="172" t="s">
        <v>106</v>
      </c>
      <c r="O2293" s="52">
        <v>6262.94</v>
      </c>
      <c r="P2293" s="52">
        <v>1726.76</v>
      </c>
      <c r="Q2293" s="42">
        <f>OfficeForms.Table[[#This Row],[ INFORMEDEPAGO ]]*0.3</f>
        <v>1878.8819999999998</v>
      </c>
      <c r="R2293" s="12">
        <f>(IF(O2293&lt;4172.98,0,MIN(O2293*0.3,O2293-4172.98)))-P2293</f>
        <v>152.12199999999984</v>
      </c>
      <c r="S2293" s="78">
        <v>46143</v>
      </c>
      <c r="T2293" s="1"/>
      <c r="V2293" s="1"/>
      <c r="X2293" s="101">
        <v>2</v>
      </c>
    </row>
    <row r="2294" spans="1:24" hidden="1">
      <c r="A2294">
        <v>698</v>
      </c>
      <c r="B2294" s="2">
        <v>46232.665798611102</v>
      </c>
      <c r="C2294" s="2">
        <v>46232.670173611099</v>
      </c>
      <c r="D2294" s="1" t="s">
        <v>24</v>
      </c>
      <c r="E2294" s="1"/>
      <c r="F2294" s="29">
        <v>46232</v>
      </c>
      <c r="G2294" s="29">
        <v>46232</v>
      </c>
      <c r="H2294" s="1" t="s">
        <v>110</v>
      </c>
      <c r="I2294" s="1" t="s">
        <v>5298</v>
      </c>
      <c r="J2294" s="207"/>
      <c r="K2294" s="171" t="s">
        <v>5299</v>
      </c>
      <c r="L2294" s="62">
        <v>23210566</v>
      </c>
      <c r="M2294" s="30">
        <v>5218991331331</v>
      </c>
      <c r="N2294" s="172" t="s">
        <v>37</v>
      </c>
      <c r="O2294" s="52">
        <v>6262.86</v>
      </c>
      <c r="P2294" s="52">
        <v>1878.8</v>
      </c>
      <c r="Q2294" s="42">
        <f>OfficeForms.Table[[#This Row],[ INFORMEDEPAGO ]]*0.3</f>
        <v>1878.8579999999997</v>
      </c>
      <c r="R2294" s="12">
        <f>(IF(O2294&lt;4172.98,0,MIN(O2294*0.3,O2294-4172.98)))-P2294</f>
        <v>5.799999999976535E-2</v>
      </c>
      <c r="S2294" s="78">
        <v>46266</v>
      </c>
      <c r="T2294" s="1"/>
      <c r="V2294" s="1"/>
      <c r="X2294" s="101">
        <v>2</v>
      </c>
    </row>
    <row r="2295" spans="1:24" hidden="1">
      <c r="A2295">
        <v>699</v>
      </c>
      <c r="B2295" s="2">
        <v>46232.672615740703</v>
      </c>
      <c r="C2295" s="2">
        <v>46232.673287037003</v>
      </c>
      <c r="D2295" s="1" t="s">
        <v>24</v>
      </c>
      <c r="E2295" s="1"/>
      <c r="F2295" s="29">
        <v>46232</v>
      </c>
      <c r="G2295" s="29">
        <v>46232</v>
      </c>
      <c r="H2295" s="1" t="s">
        <v>3022</v>
      </c>
      <c r="I2295" s="1" t="s">
        <v>5300</v>
      </c>
      <c r="J2295" s="207"/>
      <c r="K2295" s="171" t="s">
        <v>5301</v>
      </c>
      <c r="L2295" s="62">
        <v>23209936</v>
      </c>
      <c r="M2295" s="30">
        <v>9612712540</v>
      </c>
      <c r="N2295" s="172" t="s">
        <v>37</v>
      </c>
      <c r="O2295" s="52">
        <v>7116.73</v>
      </c>
      <c r="P2295" s="52">
        <v>2040.83</v>
      </c>
      <c r="Q2295" s="42">
        <f>OfficeForms.Table[[#This Row],[ INFORMEDEPAGO ]]*0.3</f>
        <v>2135.0189999999998</v>
      </c>
      <c r="R2295" s="12">
        <f>(IF(O2295&lt;4172.98,0,MIN(O2295*0.3,O2295-4172.98)))-P2295</f>
        <v>94.188999999999851</v>
      </c>
      <c r="S2295" s="78">
        <v>46327</v>
      </c>
      <c r="T2295" s="1" t="s">
        <v>192</v>
      </c>
      <c r="V2295" s="1"/>
      <c r="X2295" s="101">
        <v>2</v>
      </c>
    </row>
    <row r="2296" spans="1:24" hidden="1">
      <c r="A2296">
        <v>700</v>
      </c>
      <c r="B2296" s="2">
        <v>46232.681539351797</v>
      </c>
      <c r="C2296" s="2">
        <v>46232.682175925896</v>
      </c>
      <c r="D2296" s="1" t="s">
        <v>24</v>
      </c>
      <c r="E2296" s="1"/>
      <c r="F2296" s="29">
        <v>46232</v>
      </c>
      <c r="G2296" s="29">
        <v>46232</v>
      </c>
      <c r="H2296" s="1" t="s">
        <v>3575</v>
      </c>
      <c r="I2296" s="1" t="s">
        <v>5302</v>
      </c>
      <c r="J2296" s="207"/>
      <c r="K2296" s="171" t="s">
        <v>5303</v>
      </c>
      <c r="L2296" s="62">
        <v>23210996</v>
      </c>
      <c r="M2296" s="30">
        <v>5216695458633</v>
      </c>
      <c r="N2296" s="172" t="s">
        <v>32</v>
      </c>
      <c r="O2296" s="91">
        <v>4342.43</v>
      </c>
      <c r="P2296" s="91"/>
      <c r="Q2296" s="42">
        <f>OfficeForms.Table[[#This Row],[ INFORMEDEPAGO ]]*0.3</f>
        <v>1302.729</v>
      </c>
      <c r="R2296" s="12">
        <f>(IF(O2296&lt;4172.98,0,MIN(O2296*0.3,O2296-4172.98)))-P2296</f>
        <v>169.45000000000073</v>
      </c>
      <c r="S2296" s="78"/>
      <c r="T2296" s="1"/>
      <c r="V2296" s="1"/>
      <c r="X2296" s="101">
        <v>1</v>
      </c>
    </row>
    <row r="2297" spans="1:24" hidden="1">
      <c r="A2297">
        <v>701</v>
      </c>
      <c r="B2297" s="2">
        <v>46232.452546296299</v>
      </c>
      <c r="C2297" s="2">
        <v>46232.688842592601</v>
      </c>
      <c r="D2297" s="1" t="s">
        <v>24</v>
      </c>
      <c r="E2297" s="1"/>
      <c r="F2297" s="29">
        <v>46232</v>
      </c>
      <c r="G2297" s="29">
        <v>46229</v>
      </c>
      <c r="H2297" s="1" t="s">
        <v>68</v>
      </c>
      <c r="I2297" s="1" t="s">
        <v>5257</v>
      </c>
      <c r="J2297" s="175" t="s">
        <v>5304</v>
      </c>
      <c r="K2297" s="171" t="s">
        <v>5259</v>
      </c>
      <c r="L2297" s="62">
        <v>23125778</v>
      </c>
      <c r="M2297" s="30">
        <v>5215616042499</v>
      </c>
      <c r="N2297" s="172" t="s">
        <v>74</v>
      </c>
      <c r="O2297" s="91"/>
      <c r="P2297" s="91"/>
      <c r="Q2297" s="42">
        <f>OfficeForms.Table[[#This Row],[ INFORMEDEPAGO ]]*0.3</f>
        <v>0</v>
      </c>
      <c r="R2297" s="12">
        <f>(IF(O2297&lt;4172.98,0,MIN(O2297*0.3,O2297-4172.98)))-P2297</f>
        <v>0</v>
      </c>
      <c r="S2297" s="78"/>
      <c r="T2297" s="1"/>
      <c r="V2297" s="1"/>
      <c r="X2297" s="101">
        <v>1</v>
      </c>
    </row>
    <row r="2298" spans="1:24" hidden="1">
      <c r="A2298">
        <v>702</v>
      </c>
      <c r="B2298" s="2">
        <v>46232.6855208333</v>
      </c>
      <c r="C2298" s="2">
        <v>46232.689560185201</v>
      </c>
      <c r="D2298" s="1" t="s">
        <v>24</v>
      </c>
      <c r="E2298" s="1"/>
      <c r="F2298" s="29">
        <v>46232</v>
      </c>
      <c r="G2298" s="29">
        <v>46232</v>
      </c>
      <c r="H2298" s="1" t="s">
        <v>160</v>
      </c>
      <c r="I2298" s="1" t="s">
        <v>5305</v>
      </c>
      <c r="J2298" s="207">
        <v>65826200407</v>
      </c>
      <c r="K2298" s="171" t="s">
        <v>5306</v>
      </c>
      <c r="L2298" s="62">
        <v>23193878</v>
      </c>
      <c r="M2298" s="30">
        <v>5212294636276</v>
      </c>
      <c r="N2298" s="172" t="s">
        <v>28</v>
      </c>
      <c r="O2298" s="43">
        <v>7116.73</v>
      </c>
      <c r="P2298" s="43">
        <v>848</v>
      </c>
      <c r="Q2298" s="42">
        <f>OfficeForms.Table[[#This Row],[ INFORMEDEPAGO ]]*0.3</f>
        <v>2135.0189999999998</v>
      </c>
      <c r="R2298" s="12">
        <f>(IF(O2298&lt;4172.98,0,MIN(O2298*0.3,O2298-4172.98)))-P2298</f>
        <v>1287.0189999999998</v>
      </c>
      <c r="S2298" s="78"/>
      <c r="T2298" s="1"/>
      <c r="V2298" s="1"/>
      <c r="X2298" s="101">
        <v>1</v>
      </c>
    </row>
    <row r="2299" spans="1:24" hidden="1">
      <c r="A2299">
        <v>703</v>
      </c>
      <c r="B2299" s="2">
        <v>46232.6961689815</v>
      </c>
      <c r="C2299" s="2">
        <v>46232.697650463</v>
      </c>
      <c r="D2299" s="1" t="s">
        <v>24</v>
      </c>
      <c r="E2299" s="1"/>
      <c r="F2299" s="29">
        <v>46232</v>
      </c>
      <c r="G2299" s="29">
        <v>46232</v>
      </c>
      <c r="H2299" s="1" t="s">
        <v>3572</v>
      </c>
      <c r="I2299" s="1" t="s">
        <v>5307</v>
      </c>
      <c r="J2299" s="207">
        <v>10856223135</v>
      </c>
      <c r="K2299" s="171"/>
      <c r="L2299" s="62">
        <v>23210724</v>
      </c>
      <c r="M2299" s="30">
        <v>5215633900996</v>
      </c>
      <c r="N2299" s="172" t="s">
        <v>37</v>
      </c>
      <c r="O2299" s="52">
        <v>7116.73</v>
      </c>
      <c r="P2299" s="52">
        <v>2135.02</v>
      </c>
      <c r="Q2299" s="42">
        <f>OfficeForms.Table[[#This Row],[ INFORMEDEPAGO ]]*0.3</f>
        <v>2135.0189999999998</v>
      </c>
      <c r="R2299" s="12">
        <f>(IF(O2299&lt;4172.98,0,MIN(O2299*0.3,O2299-4172.98)))-P2299</f>
        <v>-1.0000000002037268E-3</v>
      </c>
      <c r="S2299" s="78">
        <v>46784</v>
      </c>
      <c r="T2299" s="1"/>
      <c r="V2299" s="1"/>
      <c r="X2299" s="101">
        <v>2</v>
      </c>
    </row>
    <row r="2300" spans="1:24" hidden="1">
      <c r="A2300">
        <v>704</v>
      </c>
      <c r="B2300" s="2">
        <v>46232.702071759297</v>
      </c>
      <c r="C2300" s="2">
        <v>46232.7027662037</v>
      </c>
      <c r="D2300" s="1" t="s">
        <v>24</v>
      </c>
      <c r="E2300" s="1"/>
      <c r="F2300" s="29">
        <v>46232</v>
      </c>
      <c r="G2300" s="29">
        <v>46232</v>
      </c>
      <c r="H2300" s="1" t="s">
        <v>71</v>
      </c>
      <c r="I2300" s="1" t="s">
        <v>5308</v>
      </c>
      <c r="J2300" s="207"/>
      <c r="K2300" s="171" t="s">
        <v>5309</v>
      </c>
      <c r="L2300" s="62">
        <v>23211750</v>
      </c>
      <c r="M2300" s="30">
        <v>5214494155019</v>
      </c>
      <c r="N2300" s="172" t="s">
        <v>37</v>
      </c>
      <c r="O2300" s="52">
        <v>7116.73</v>
      </c>
      <c r="P2300" s="52">
        <v>2056.9899999999998</v>
      </c>
      <c r="Q2300" s="42">
        <f>OfficeForms.Table[[#This Row],[ INFORMEDEPAGO ]]*0.3</f>
        <v>2135.0189999999998</v>
      </c>
      <c r="R2300" s="12">
        <f>(IF(O2300&lt;4172.98,0,MIN(O2300*0.3,O2300-4172.98)))-P2300</f>
        <v>78.028999999999996</v>
      </c>
      <c r="S2300" s="78">
        <v>46569</v>
      </c>
      <c r="T2300" s="1" t="s">
        <v>178</v>
      </c>
      <c r="V2300" s="1"/>
      <c r="X2300" s="101">
        <v>2</v>
      </c>
    </row>
    <row r="2301" spans="1:24" hidden="1">
      <c r="A2301">
        <v>705</v>
      </c>
      <c r="B2301" s="2">
        <v>46232.702557870398</v>
      </c>
      <c r="C2301" s="2">
        <v>46232.703275462998</v>
      </c>
      <c r="D2301" s="1" t="s">
        <v>24</v>
      </c>
      <c r="E2301" s="1"/>
      <c r="F2301" s="29">
        <v>46232</v>
      </c>
      <c r="G2301" s="29">
        <v>46232</v>
      </c>
      <c r="H2301" s="1" t="s">
        <v>3575</v>
      </c>
      <c r="I2301" s="1" t="s">
        <v>5310</v>
      </c>
      <c r="J2301" s="207"/>
      <c r="K2301" s="171" t="s">
        <v>5311</v>
      </c>
      <c r="L2301" s="62">
        <v>23207902</v>
      </c>
      <c r="M2301" s="30">
        <v>5215530669261</v>
      </c>
      <c r="N2301" s="172" t="s">
        <v>74</v>
      </c>
      <c r="O2301" s="50"/>
      <c r="P2301" s="97"/>
      <c r="Q2301" s="42">
        <f>OfficeForms.Table[[#This Row],[ INFORMEDEPAGO ]]*0.3</f>
        <v>0</v>
      </c>
      <c r="R2301" s="12">
        <f>(IF(O2301&lt;4172.98,0,MIN(O2301*0.3,O2301-4172.98)))-P2301</f>
        <v>0</v>
      </c>
      <c r="S2301" s="78"/>
      <c r="T2301" s="1"/>
      <c r="V2301" s="1"/>
      <c r="X2301" s="101">
        <v>1</v>
      </c>
    </row>
    <row r="2302" spans="1:24" hidden="1">
      <c r="A2302">
        <v>706</v>
      </c>
      <c r="B2302" s="2">
        <v>46232.646284722199</v>
      </c>
      <c r="C2302" s="2">
        <v>46232.7040277778</v>
      </c>
      <c r="D2302" s="1" t="s">
        <v>24</v>
      </c>
      <c r="E2302" s="1"/>
      <c r="F2302" s="29">
        <v>46232</v>
      </c>
      <c r="G2302" s="29">
        <v>46232</v>
      </c>
      <c r="H2302" s="1" t="s">
        <v>1625</v>
      </c>
      <c r="I2302" s="1" t="s">
        <v>5312</v>
      </c>
      <c r="J2302" s="207">
        <v>89826421474</v>
      </c>
      <c r="K2302" s="171" t="s">
        <v>3817</v>
      </c>
      <c r="L2302" s="62">
        <v>2</v>
      </c>
      <c r="M2302" s="30">
        <v>5654417393</v>
      </c>
      <c r="N2302" s="170" t="s">
        <v>37</v>
      </c>
      <c r="O2302" s="52">
        <v>52854.52</v>
      </c>
      <c r="P2302" s="52">
        <f>15124.36+732</f>
        <v>15856.36</v>
      </c>
      <c r="Q2302" s="42">
        <f>OfficeForms.Table[[#This Row],[ INFORMEDEPAGO ]]*0.3</f>
        <v>15856.355999999998</v>
      </c>
      <c r="R2302" s="12">
        <f>(IF(O2302&lt;4172.98,0,MIN(O2302*0.3,O2302-4172.98)))-P2302</f>
        <v>-4.0000000026338967E-3</v>
      </c>
      <c r="S2302" s="71">
        <v>46447</v>
      </c>
      <c r="T2302" s="10"/>
      <c r="U2302" s="97"/>
      <c r="V2302" s="1"/>
      <c r="X2302" s="101">
        <v>2</v>
      </c>
    </row>
    <row r="2303" spans="1:24" hidden="1">
      <c r="A2303">
        <v>707</v>
      </c>
      <c r="B2303" s="2">
        <v>46232.696666666699</v>
      </c>
      <c r="C2303" s="2">
        <v>46232.705763888902</v>
      </c>
      <c r="D2303" s="1" t="s">
        <v>24</v>
      </c>
      <c r="E2303" s="1"/>
      <c r="F2303" s="29">
        <v>46232</v>
      </c>
      <c r="G2303" s="29">
        <v>46232</v>
      </c>
      <c r="H2303" s="1" t="s">
        <v>68</v>
      </c>
      <c r="I2303" s="1" t="s">
        <v>5313</v>
      </c>
      <c r="J2303" s="207"/>
      <c r="K2303" s="171" t="s">
        <v>5314</v>
      </c>
      <c r="L2303" s="62">
        <v>23205722</v>
      </c>
      <c r="M2303" s="30">
        <v>5214423709637</v>
      </c>
      <c r="N2303" s="172" t="s">
        <v>37</v>
      </c>
      <c r="O2303" s="52">
        <v>39045.629999999997</v>
      </c>
      <c r="P2303" s="52">
        <v>11711.49</v>
      </c>
      <c r="Q2303" s="42">
        <f>OfficeForms.Table[[#This Row],[ INFORMEDEPAGO ]]*0.3</f>
        <v>11713.688999999998</v>
      </c>
      <c r="R2303" s="12">
        <f>(IF(O2303&lt;4172.98,0,MIN(O2303*0.3,O2303-4172.98)))-P2303</f>
        <v>2.1989999999987049</v>
      </c>
      <c r="S2303" s="78">
        <v>46753</v>
      </c>
      <c r="T2303" s="1" t="s">
        <v>259</v>
      </c>
      <c r="V2303" s="1"/>
      <c r="X2303" s="101">
        <v>2</v>
      </c>
    </row>
    <row r="2304" spans="1:24" hidden="1">
      <c r="A2304">
        <v>708</v>
      </c>
      <c r="B2304" s="2">
        <v>46232.7081481481</v>
      </c>
      <c r="C2304" s="2">
        <v>46232.708923611099</v>
      </c>
      <c r="D2304" s="1" t="s">
        <v>24</v>
      </c>
      <c r="E2304" s="1"/>
      <c r="F2304" s="29">
        <v>46232</v>
      </c>
      <c r="G2304" s="29">
        <v>46229</v>
      </c>
      <c r="H2304" s="1" t="s">
        <v>71</v>
      </c>
      <c r="I2304" s="1" t="s">
        <v>5315</v>
      </c>
      <c r="J2304" s="175" t="s">
        <v>5316</v>
      </c>
      <c r="K2304" s="171" t="s">
        <v>5317</v>
      </c>
      <c r="L2304" s="62">
        <v>23116504</v>
      </c>
      <c r="M2304" s="30">
        <v>5218123291324</v>
      </c>
      <c r="N2304" s="172" t="s">
        <v>32</v>
      </c>
      <c r="O2304" s="52">
        <v>3558.59</v>
      </c>
      <c r="P2304" s="52">
        <v>879</v>
      </c>
      <c r="Q2304" s="42">
        <f>OfficeForms.Table[[#This Row],[ INFORMEDEPAGO ]]*0.3</f>
        <v>1067.577</v>
      </c>
      <c r="R2304" s="12">
        <f>(IF(O2304&lt;4172.98,0,MIN(O2304*0.3,O2304-4172.98)))-P2304</f>
        <v>-879</v>
      </c>
      <c r="S2304" s="78"/>
      <c r="T2304" s="1"/>
      <c r="V2304" s="1"/>
      <c r="X2304" s="101">
        <v>1</v>
      </c>
    </row>
    <row r="2305" spans="1:24" hidden="1">
      <c r="A2305">
        <v>709</v>
      </c>
      <c r="B2305" s="2">
        <v>46232.710740740702</v>
      </c>
      <c r="C2305" s="2">
        <v>46232.711631944403</v>
      </c>
      <c r="D2305" s="1" t="s">
        <v>24</v>
      </c>
      <c r="E2305" s="1"/>
      <c r="F2305" s="29">
        <v>46232</v>
      </c>
      <c r="G2305" s="29">
        <v>46232</v>
      </c>
      <c r="H2305" s="1" t="s">
        <v>3575</v>
      </c>
      <c r="I2305" s="1" t="s">
        <v>5318</v>
      </c>
      <c r="J2305" s="207"/>
      <c r="K2305" s="171" t="s">
        <v>5319</v>
      </c>
      <c r="L2305" s="62">
        <v>23211302</v>
      </c>
      <c r="M2305" s="30">
        <v>5217223567575</v>
      </c>
      <c r="N2305" s="172" t="s">
        <v>47</v>
      </c>
      <c r="O2305" s="52">
        <v>9990.66</v>
      </c>
      <c r="P2305" s="52">
        <v>2653.8</v>
      </c>
      <c r="Q2305" s="42">
        <f>OfficeForms.Table[[#This Row],[ INFORMEDEPAGO ]]*0.3</f>
        <v>2997.1979999999999</v>
      </c>
      <c r="R2305" s="12">
        <f>(IF(O2305&lt;4172.98,0,MIN(O2305*0.3,O2305-4172.98)))-P2305</f>
        <v>343.39799999999968</v>
      </c>
      <c r="S2305" s="78">
        <v>46539</v>
      </c>
      <c r="T2305" s="1"/>
      <c r="V2305" s="1"/>
      <c r="X2305" s="101">
        <v>2</v>
      </c>
    </row>
    <row r="2306" spans="1:24" hidden="1">
      <c r="A2306">
        <v>710</v>
      </c>
      <c r="B2306" s="2">
        <v>46232.457708333299</v>
      </c>
      <c r="C2306" s="2">
        <v>46232.711689814802</v>
      </c>
      <c r="D2306" s="1" t="s">
        <v>24</v>
      </c>
      <c r="E2306" s="1"/>
      <c r="F2306" s="29">
        <v>46232</v>
      </c>
      <c r="G2306" s="29">
        <v>46232</v>
      </c>
      <c r="H2306" s="1" t="s">
        <v>3352</v>
      </c>
      <c r="I2306" s="1" t="s">
        <v>5320</v>
      </c>
      <c r="J2306" s="207">
        <v>19805805694</v>
      </c>
      <c r="K2306" s="171"/>
      <c r="L2306" s="62">
        <v>23211628</v>
      </c>
      <c r="M2306" s="62">
        <v>23211628</v>
      </c>
      <c r="N2306" s="172" t="s">
        <v>37</v>
      </c>
      <c r="O2306" s="52">
        <v>7859.97</v>
      </c>
      <c r="P2306" s="52">
        <v>2272.83</v>
      </c>
      <c r="Q2306" s="42">
        <f>OfficeForms.Table[[#This Row],[ INFORMEDEPAGO ]]*0.3</f>
        <v>2357.991</v>
      </c>
      <c r="R2306" s="12">
        <f>(IF(O2306&lt;4172.98,0,MIN(O2306*0.3,O2306-4172.98)))-P2306</f>
        <v>85.161000000000058</v>
      </c>
      <c r="S2306" s="78">
        <v>46447</v>
      </c>
      <c r="T2306" s="1"/>
      <c r="V2306" s="1"/>
      <c r="X2306" s="101">
        <v>2</v>
      </c>
    </row>
    <row r="2307" spans="1:24" hidden="1">
      <c r="A2307">
        <v>711</v>
      </c>
      <c r="B2307" s="2">
        <v>46232.711354166699</v>
      </c>
      <c r="C2307" s="2">
        <v>46232.712372685201</v>
      </c>
      <c r="D2307" s="1" t="s">
        <v>24</v>
      </c>
      <c r="E2307" s="1"/>
      <c r="F2307" s="29">
        <v>46232</v>
      </c>
      <c r="G2307" s="29">
        <v>46232</v>
      </c>
      <c r="H2307" s="1" t="s">
        <v>1629</v>
      </c>
      <c r="I2307" s="1" t="s">
        <v>5321</v>
      </c>
      <c r="J2307" s="207">
        <v>12886302764</v>
      </c>
      <c r="K2307" s="171" t="s">
        <v>4436</v>
      </c>
      <c r="L2307" s="62">
        <v>2</v>
      </c>
      <c r="M2307" s="102">
        <v>4774809296</v>
      </c>
      <c r="N2307" s="171" t="s">
        <v>37</v>
      </c>
      <c r="O2307" s="52">
        <v>13792.94</v>
      </c>
      <c r="P2307" s="99">
        <v>3990.63</v>
      </c>
      <c r="Q2307" s="42">
        <f>OfficeForms.Table[[#This Row],[ INFORMEDEPAGO ]]*0.3</f>
        <v>4137.8819999999996</v>
      </c>
      <c r="R2307" s="12">
        <f>(IF(O2307&lt;4172.98,0,MIN(O2307*0.3,O2307-4172.98)))-P2307</f>
        <v>147.2519999999995</v>
      </c>
      <c r="S2307" s="74">
        <v>46539</v>
      </c>
      <c r="T2307" s="1"/>
      <c r="V2307" s="1"/>
      <c r="X2307" s="101">
        <v>0</v>
      </c>
    </row>
    <row r="2308" spans="1:24" hidden="1">
      <c r="A2308">
        <v>712</v>
      </c>
      <c r="B2308" s="2">
        <v>46232.712314814802</v>
      </c>
      <c r="C2308" s="2">
        <v>46232.715046296304</v>
      </c>
      <c r="D2308" s="1" t="s">
        <v>24</v>
      </c>
      <c r="E2308" s="1"/>
      <c r="F2308" s="29">
        <v>46232</v>
      </c>
      <c r="G2308" s="29">
        <v>46232</v>
      </c>
      <c r="H2308" s="1" t="s">
        <v>3007</v>
      </c>
      <c r="I2308" s="1" t="s">
        <v>5322</v>
      </c>
      <c r="J2308" s="207">
        <v>88805300253</v>
      </c>
      <c r="K2308" s="171" t="s">
        <v>5323</v>
      </c>
      <c r="L2308" s="62">
        <v>23211548</v>
      </c>
      <c r="M2308" s="102">
        <v>5563028771</v>
      </c>
      <c r="N2308" s="171" t="s">
        <v>47</v>
      </c>
      <c r="O2308" s="52">
        <v>7997.11</v>
      </c>
      <c r="P2308" s="52">
        <v>1797.68</v>
      </c>
      <c r="Q2308" s="42">
        <f>OfficeForms.Table[[#This Row],[ INFORMEDEPAGO ]]*0.3</f>
        <v>2399.1329999999998</v>
      </c>
      <c r="R2308" s="12">
        <f>(IF(O2308&lt;4172.98,0,MIN(O2308*0.3,O2308-4172.98)))-P2308</f>
        <v>601.45299999999975</v>
      </c>
      <c r="S2308" s="74">
        <v>46753</v>
      </c>
      <c r="T2308" s="1" t="s">
        <v>178</v>
      </c>
      <c r="V2308" s="1"/>
      <c r="X2308" s="101">
        <v>2</v>
      </c>
    </row>
    <row r="2309" spans="1:24" hidden="1">
      <c r="A2309">
        <v>713</v>
      </c>
      <c r="B2309" s="2">
        <v>46232.715636574103</v>
      </c>
      <c r="C2309" s="2">
        <v>46232.716516203698</v>
      </c>
      <c r="D2309" s="1" t="s">
        <v>24</v>
      </c>
      <c r="E2309" s="1"/>
      <c r="F2309" s="29">
        <v>46232</v>
      </c>
      <c r="G2309" s="29">
        <v>46227</v>
      </c>
      <c r="H2309" s="1" t="s">
        <v>26</v>
      </c>
      <c r="I2309" s="1" t="s">
        <v>5324</v>
      </c>
      <c r="J2309" s="208" t="s">
        <v>5325</v>
      </c>
      <c r="K2309" s="171"/>
      <c r="L2309" s="62">
        <v>23061766</v>
      </c>
      <c r="M2309" s="102">
        <v>5217774112991</v>
      </c>
      <c r="N2309" s="171" t="s">
        <v>32</v>
      </c>
      <c r="O2309" s="52">
        <v>4317</v>
      </c>
      <c r="P2309" s="52">
        <v>848</v>
      </c>
      <c r="Q2309" s="42">
        <f>OfficeForms.Table[[#This Row],[ INFORMEDEPAGO ]]*0.3</f>
        <v>1295.0999999999999</v>
      </c>
      <c r="R2309" s="12">
        <f>(IF(O2309&lt;4172.98,0,MIN(O2309*0.3,O2309-4172.98)))-P2309</f>
        <v>-703.97999999999956</v>
      </c>
      <c r="T2309" s="1"/>
      <c r="V2309" s="1"/>
      <c r="X2309" s="101">
        <v>1</v>
      </c>
    </row>
    <row r="2310" spans="1:24" hidden="1">
      <c r="A2310">
        <v>714</v>
      </c>
      <c r="B2310" s="2">
        <v>46232.714780092603</v>
      </c>
      <c r="C2310" s="2">
        <v>46232.721689814804</v>
      </c>
      <c r="D2310" s="1" t="s">
        <v>24</v>
      </c>
      <c r="E2310" s="1"/>
      <c r="F2310" s="29">
        <v>46232</v>
      </c>
      <c r="G2310" s="29">
        <v>46230</v>
      </c>
      <c r="H2310" s="1" t="s">
        <v>39</v>
      </c>
      <c r="I2310" s="1" t="s">
        <v>5326</v>
      </c>
      <c r="J2310" s="207" t="s">
        <v>5327</v>
      </c>
      <c r="K2310" s="171" t="s">
        <v>5328</v>
      </c>
      <c r="L2310" s="62">
        <v>23128662</v>
      </c>
      <c r="M2310" s="102">
        <v>5216624137177</v>
      </c>
      <c r="N2310" s="171" t="s">
        <v>37</v>
      </c>
      <c r="O2310" s="52">
        <v>5636.59</v>
      </c>
      <c r="P2310" s="52">
        <v>1690.98</v>
      </c>
      <c r="Q2310" s="42">
        <f>OfficeForms.Table[[#This Row],[ INFORMEDEPAGO ]]*0.3</f>
        <v>1690.9770000000001</v>
      </c>
      <c r="R2310" s="12">
        <f>(IF(O2310&lt;4172.98,0,MIN(O2310*0.3,O2310-4172.98)))-P2310</f>
        <v>-227.36999999999944</v>
      </c>
      <c r="S2310" s="74">
        <v>46844</v>
      </c>
      <c r="T2310" s="1"/>
      <c r="V2310" s="1"/>
      <c r="X2310" s="101">
        <v>2</v>
      </c>
    </row>
    <row r="2311" spans="1:24" hidden="1">
      <c r="A2311">
        <v>715</v>
      </c>
      <c r="B2311" s="2">
        <v>46232.723136574103</v>
      </c>
      <c r="C2311" s="2">
        <v>46232.7241319444</v>
      </c>
      <c r="D2311" s="1" t="s">
        <v>24</v>
      </c>
      <c r="E2311" s="1"/>
      <c r="F2311" s="29">
        <v>46232</v>
      </c>
      <c r="G2311" s="29">
        <v>46232</v>
      </c>
      <c r="H2311" s="1" t="s">
        <v>3352</v>
      </c>
      <c r="I2311" s="1" t="s">
        <v>5329</v>
      </c>
      <c r="J2311" s="207">
        <v>43887223881</v>
      </c>
      <c r="K2311" s="171"/>
      <c r="L2311" s="62">
        <v>23212260</v>
      </c>
      <c r="M2311" s="102">
        <v>8117383073</v>
      </c>
      <c r="N2311" s="171" t="s">
        <v>32</v>
      </c>
      <c r="O2311" s="52">
        <v>4462.99</v>
      </c>
      <c r="P2311" s="52">
        <v>279.69</v>
      </c>
      <c r="Q2311" s="42">
        <f>OfficeForms.Table[[#This Row],[ INFORMEDEPAGO ]]*0.3</f>
        <v>1338.8969999999999</v>
      </c>
      <c r="R2311" s="12">
        <f>(IF(O2311&lt;4172.98,0,MIN(O2311*0.3,O2311-4172.98)))-P2311</f>
        <v>10.320000000000221</v>
      </c>
      <c r="T2311" s="1"/>
      <c r="V2311" s="1"/>
      <c r="X2311" s="101">
        <v>1</v>
      </c>
    </row>
    <row r="2312" spans="1:24" hidden="1">
      <c r="A2312">
        <v>716</v>
      </c>
      <c r="B2312" s="2">
        <v>46232.723645833299</v>
      </c>
      <c r="C2312" s="2">
        <v>46232.725381944401</v>
      </c>
      <c r="D2312" s="1" t="s">
        <v>24</v>
      </c>
      <c r="E2312" s="1"/>
      <c r="F2312" s="29">
        <v>46232</v>
      </c>
      <c r="G2312" s="29">
        <v>46232</v>
      </c>
      <c r="H2312" s="1" t="s">
        <v>1629</v>
      </c>
      <c r="I2312" s="1" t="s">
        <v>3596</v>
      </c>
      <c r="J2312" s="207" t="s">
        <v>5330</v>
      </c>
      <c r="K2312" s="171" t="s">
        <v>3597</v>
      </c>
      <c r="L2312" s="62">
        <v>2</v>
      </c>
      <c r="M2312" s="102">
        <v>4773004742</v>
      </c>
      <c r="N2312" s="170" t="s">
        <v>37</v>
      </c>
      <c r="O2312" s="49">
        <v>9081.52</v>
      </c>
      <c r="P2312" s="96">
        <v>2627.5</v>
      </c>
      <c r="Q2312" s="42">
        <f>OfficeForms.Table[[#This Row],[ INFORMEDEPAGO ]]*0.3</f>
        <v>2724.4560000000001</v>
      </c>
      <c r="R2312" s="12">
        <f>(IF(O2312&lt;4172.98,0,MIN(O2312*0.3,O2312-4172.98)))-P2312</f>
        <v>96.956000000000131</v>
      </c>
      <c r="S2312" s="71">
        <v>46508</v>
      </c>
      <c r="T2312" s="1"/>
      <c r="V2312" s="1"/>
      <c r="X2312" s="101">
        <v>2</v>
      </c>
    </row>
    <row r="2313" spans="1:24" hidden="1">
      <c r="A2313">
        <v>717</v>
      </c>
      <c r="B2313" s="2">
        <v>46232.704062500001</v>
      </c>
      <c r="C2313" s="2">
        <v>46232.727094907401</v>
      </c>
      <c r="D2313" s="1" t="s">
        <v>24</v>
      </c>
      <c r="E2313" s="1"/>
      <c r="F2313" s="29">
        <v>46232</v>
      </c>
      <c r="G2313" s="29">
        <v>46232</v>
      </c>
      <c r="H2313" s="1" t="s">
        <v>1625</v>
      </c>
      <c r="I2313" s="1" t="s">
        <v>5331</v>
      </c>
      <c r="J2313" s="207">
        <v>43806432829</v>
      </c>
      <c r="K2313" s="171" t="s">
        <v>5332</v>
      </c>
      <c r="L2313" s="62">
        <v>2</v>
      </c>
      <c r="M2313" s="102">
        <v>8135938378</v>
      </c>
      <c r="N2313" s="171" t="s">
        <v>37</v>
      </c>
      <c r="O2313" s="52">
        <v>7116.73</v>
      </c>
      <c r="P2313" s="52">
        <v>2057.06</v>
      </c>
      <c r="Q2313" s="42">
        <f>OfficeForms.Table[[#This Row],[ INFORMEDEPAGO ]]*0.3</f>
        <v>2135.0189999999998</v>
      </c>
      <c r="R2313" s="12">
        <f>(IF(O2313&lt;4172.98,0,MIN(O2313*0.3,O2313-4172.98)))-P2313</f>
        <v>77.958999999999833</v>
      </c>
      <c r="S2313" s="74">
        <v>46447</v>
      </c>
      <c r="T2313" s="1"/>
      <c r="V2313" s="1"/>
      <c r="X2313" s="101">
        <v>2</v>
      </c>
    </row>
    <row r="2314" spans="1:24" hidden="1">
      <c r="A2314">
        <v>718</v>
      </c>
      <c r="B2314" s="2">
        <v>46232.727129629602</v>
      </c>
      <c r="C2314" s="2">
        <v>46232.730208333298</v>
      </c>
      <c r="D2314" s="1" t="s">
        <v>24</v>
      </c>
      <c r="E2314" s="1"/>
      <c r="F2314" s="29">
        <v>46232</v>
      </c>
      <c r="G2314" s="29">
        <v>46232</v>
      </c>
      <c r="H2314" s="1" t="s">
        <v>1625</v>
      </c>
      <c r="I2314" s="1" t="s">
        <v>5333</v>
      </c>
      <c r="J2314" s="207">
        <v>1785729862</v>
      </c>
      <c r="K2314" s="171" t="s">
        <v>5334</v>
      </c>
      <c r="L2314" s="62">
        <v>2</v>
      </c>
      <c r="M2314" s="102">
        <v>8116343577</v>
      </c>
      <c r="N2314" s="171" t="s">
        <v>37</v>
      </c>
      <c r="O2314" s="52">
        <v>7371.68</v>
      </c>
      <c r="P2314" s="52">
        <v>2130</v>
      </c>
      <c r="Q2314" s="42">
        <f>OfficeForms.Table[[#This Row],[ INFORMEDEPAGO ]]*0.3</f>
        <v>2211.5039999999999</v>
      </c>
      <c r="R2314" s="12">
        <f>(IF(O2314&lt;4172.98,0,MIN(O2314*0.3,O2314-4172.98)))-P2314</f>
        <v>81.503999999999905</v>
      </c>
      <c r="S2314" s="74">
        <v>46661</v>
      </c>
      <c r="T2314" s="1"/>
      <c r="V2314" s="1"/>
      <c r="X2314" s="101">
        <v>2</v>
      </c>
    </row>
    <row r="2315" spans="1:24" hidden="1">
      <c r="A2315">
        <v>719</v>
      </c>
      <c r="B2315" s="2">
        <v>46232.730578703697</v>
      </c>
      <c r="C2315" s="2">
        <v>46232.733900462998</v>
      </c>
      <c r="D2315" s="1" t="s">
        <v>24</v>
      </c>
      <c r="E2315" s="1"/>
      <c r="F2315" s="29">
        <v>46232</v>
      </c>
      <c r="G2315" s="29">
        <v>46232</v>
      </c>
      <c r="H2315" s="1" t="s">
        <v>160</v>
      </c>
      <c r="I2315" s="1" t="s">
        <v>5335</v>
      </c>
      <c r="J2315" s="207">
        <v>6785617086</v>
      </c>
      <c r="K2315" s="171" t="s">
        <v>5336</v>
      </c>
      <c r="L2315" s="62">
        <v>23201540</v>
      </c>
      <c r="M2315" s="102">
        <v>5216565735997</v>
      </c>
      <c r="N2315" s="171" t="s">
        <v>98</v>
      </c>
      <c r="O2315" s="67"/>
      <c r="P2315" s="99"/>
      <c r="Q2315" s="42">
        <f>OfficeForms.Table[[#This Row],[ INFORMEDEPAGO ]]*0.3</f>
        <v>0</v>
      </c>
      <c r="R2315" s="12">
        <f>(IF(O2315&lt;4172.98,0,MIN(O2315*0.3,O2315-4172.98)))-P2315</f>
        <v>0</v>
      </c>
      <c r="T2315" s="1"/>
      <c r="V2315" s="1"/>
      <c r="X2315" s="101">
        <v>0</v>
      </c>
    </row>
    <row r="2316" spans="1:24" hidden="1">
      <c r="A2316">
        <v>720</v>
      </c>
      <c r="B2316" s="2">
        <v>46232.724155092597</v>
      </c>
      <c r="C2316" s="2">
        <v>46232.734340277799</v>
      </c>
      <c r="D2316" s="1" t="s">
        <v>24</v>
      </c>
      <c r="E2316" s="1"/>
      <c r="F2316" s="29">
        <v>46232</v>
      </c>
      <c r="G2316" s="29">
        <v>46232</v>
      </c>
      <c r="H2316" s="1" t="s">
        <v>3352</v>
      </c>
      <c r="I2316" s="1" t="s">
        <v>5337</v>
      </c>
      <c r="J2316" s="207">
        <v>24816452296</v>
      </c>
      <c r="K2316" s="171"/>
      <c r="L2316" s="62">
        <v>23211938</v>
      </c>
      <c r="M2316" s="102">
        <v>6441192487</v>
      </c>
      <c r="N2316" s="171" t="s">
        <v>37</v>
      </c>
      <c r="O2316" s="52">
        <v>9081.51</v>
      </c>
      <c r="P2316" s="52">
        <v>2723.75</v>
      </c>
      <c r="Q2316" s="42">
        <f>OfficeForms.Table[[#This Row],[ INFORMEDEPAGO ]]*0.3</f>
        <v>2724.453</v>
      </c>
      <c r="R2316" s="12">
        <f>(IF(O2316&lt;4172.98,0,MIN(O2316*0.3,O2316-4172.98)))-P2316</f>
        <v>0.70299999999997453</v>
      </c>
      <c r="S2316" s="74">
        <v>46905</v>
      </c>
      <c r="T2316" s="1" t="s">
        <v>192</v>
      </c>
      <c r="V2316" s="1"/>
      <c r="X2316" s="101">
        <v>2</v>
      </c>
    </row>
    <row r="2317" spans="1:24" hidden="1">
      <c r="A2317">
        <v>721</v>
      </c>
      <c r="B2317" s="2">
        <v>46232.734363425901</v>
      </c>
      <c r="C2317" s="2">
        <v>46232.737696759301</v>
      </c>
      <c r="D2317" s="1" t="s">
        <v>24</v>
      </c>
      <c r="E2317" s="1"/>
      <c r="F2317" s="29">
        <v>46232</v>
      </c>
      <c r="G2317" s="29">
        <v>46232</v>
      </c>
      <c r="H2317" s="1" t="s">
        <v>3352</v>
      </c>
      <c r="I2317" s="1" t="s">
        <v>5338</v>
      </c>
      <c r="J2317" s="207"/>
      <c r="K2317" s="171" t="s">
        <v>5339</v>
      </c>
      <c r="L2317" s="62">
        <v>23211258</v>
      </c>
      <c r="M2317" s="102">
        <v>5637824107</v>
      </c>
      <c r="N2317" s="171" t="s">
        <v>28</v>
      </c>
      <c r="O2317" s="52">
        <v>31053.08</v>
      </c>
      <c r="P2317" s="99"/>
      <c r="Q2317" s="42">
        <f>OfficeForms.Table[[#This Row],[ INFORMEDEPAGO ]]*0.3</f>
        <v>9315.9240000000009</v>
      </c>
      <c r="R2317" s="12">
        <f>(IF(O2317&lt;4172.98,0,MIN(O2317*0.3,O2317-4172.98)))-P2317</f>
        <v>9315.9240000000009</v>
      </c>
      <c r="T2317" s="1"/>
      <c r="V2317" s="1"/>
      <c r="X2317" s="101">
        <v>1</v>
      </c>
    </row>
    <row r="2318" spans="1:24" hidden="1">
      <c r="A2318">
        <v>722</v>
      </c>
      <c r="B2318" s="2">
        <v>46232.739780092597</v>
      </c>
      <c r="C2318" s="2">
        <v>46232.740624999999</v>
      </c>
      <c r="D2318" s="1" t="s">
        <v>24</v>
      </c>
      <c r="E2318" s="1"/>
      <c r="F2318" s="29">
        <v>46232</v>
      </c>
      <c r="G2318" s="29">
        <v>46232</v>
      </c>
      <c r="H2318" s="1" t="s">
        <v>26</v>
      </c>
      <c r="I2318" s="1" t="s">
        <v>5340</v>
      </c>
      <c r="J2318" s="207"/>
      <c r="K2318" s="171" t="s">
        <v>5341</v>
      </c>
      <c r="L2318" s="62">
        <v>23212000</v>
      </c>
      <c r="M2318" s="102">
        <v>5218110796649</v>
      </c>
      <c r="N2318" s="171" t="s">
        <v>37</v>
      </c>
      <c r="O2318" s="52">
        <v>9504.7000000000007</v>
      </c>
      <c r="P2318" s="52">
        <v>2746.53</v>
      </c>
      <c r="Q2318" s="42">
        <f>OfficeForms.Table[[#This Row],[ INFORMEDEPAGO ]]*0.3</f>
        <v>2851.4100000000003</v>
      </c>
      <c r="R2318" s="12">
        <f>(IF(O2318&lt;4172.98,0,MIN(O2318*0.3,O2318-4172.98)))-P2318</f>
        <v>104.88000000000011</v>
      </c>
      <c r="S2318" s="74">
        <v>46600</v>
      </c>
      <c r="T2318" s="1" t="s">
        <v>178</v>
      </c>
      <c r="V2318" s="1"/>
      <c r="X2318" s="101">
        <v>2</v>
      </c>
    </row>
    <row r="2319" spans="1:24" hidden="1">
      <c r="A2319">
        <v>723</v>
      </c>
      <c r="B2319" s="2">
        <v>46232.738171296303</v>
      </c>
      <c r="C2319" s="2">
        <v>46232.7425925926</v>
      </c>
      <c r="D2319" s="1" t="s">
        <v>24</v>
      </c>
      <c r="E2319" s="1"/>
      <c r="F2319" s="29">
        <v>46232</v>
      </c>
      <c r="G2319" s="29">
        <v>46232</v>
      </c>
      <c r="H2319" s="1" t="s">
        <v>107</v>
      </c>
      <c r="I2319" s="1" t="s">
        <v>236</v>
      </c>
      <c r="J2319" s="207"/>
      <c r="K2319" s="171" t="s">
        <v>5342</v>
      </c>
      <c r="L2319" s="62">
        <v>23211468</v>
      </c>
      <c r="M2319" s="102">
        <v>9995666686</v>
      </c>
      <c r="N2319" s="171" t="s">
        <v>32</v>
      </c>
      <c r="O2319" s="52">
        <v>3568.75</v>
      </c>
      <c r="P2319" s="52">
        <v>879</v>
      </c>
      <c r="Q2319" s="42">
        <f>OfficeForms.Table[[#This Row],[ INFORMEDEPAGO ]]*0.3</f>
        <v>1070.625</v>
      </c>
      <c r="R2319" s="12">
        <f>(IF(O2319&lt;4172.98,0,MIN(O2319*0.3,O2319-4172.98)))-P2319</f>
        <v>-879</v>
      </c>
      <c r="T2319" s="1"/>
      <c r="V2319" s="1"/>
      <c r="X2319" s="101">
        <v>1</v>
      </c>
    </row>
    <row r="2320" spans="1:24" hidden="1">
      <c r="A2320">
        <v>724</v>
      </c>
      <c r="B2320" s="2">
        <v>46232.742719907401</v>
      </c>
      <c r="C2320" s="2">
        <v>46232.743831018503</v>
      </c>
      <c r="D2320" s="1" t="s">
        <v>24</v>
      </c>
      <c r="E2320" s="1"/>
      <c r="F2320" s="29">
        <v>46232</v>
      </c>
      <c r="G2320" s="29">
        <v>46231</v>
      </c>
      <c r="H2320" s="1" t="s">
        <v>3022</v>
      </c>
      <c r="I2320" s="1" t="s">
        <v>5343</v>
      </c>
      <c r="J2320" s="207" t="s">
        <v>5344</v>
      </c>
      <c r="K2320" s="171" t="s">
        <v>5345</v>
      </c>
      <c r="L2320" s="62">
        <v>23185394</v>
      </c>
      <c r="M2320" s="102">
        <v>8113931505</v>
      </c>
      <c r="N2320" s="171" t="s">
        <v>130</v>
      </c>
      <c r="O2320" s="52">
        <v>4459.79</v>
      </c>
      <c r="P2320" s="52">
        <v>467.43</v>
      </c>
      <c r="Q2320" s="42">
        <f>OfficeForms.Table[[#This Row],[ INFORMEDEPAGO ]]*0.3</f>
        <v>1337.9369999999999</v>
      </c>
      <c r="R2320" s="12">
        <f>(IF(O2320&lt;4172.98,0,MIN(O2320*0.3,O2320-4172.98)))-P2320</f>
        <v>-180.61999999999961</v>
      </c>
      <c r="S2320" s="74">
        <v>45323</v>
      </c>
      <c r="T2320" s="1"/>
      <c r="V2320" s="1"/>
      <c r="X2320" s="101">
        <v>2</v>
      </c>
    </row>
    <row r="2321" spans="1:24" hidden="1">
      <c r="A2321">
        <v>725</v>
      </c>
      <c r="B2321" s="2">
        <v>46232.746180555601</v>
      </c>
      <c r="C2321" s="2">
        <v>46232.746597222198</v>
      </c>
      <c r="D2321" s="1" t="s">
        <v>24</v>
      </c>
      <c r="E2321" s="1"/>
      <c r="F2321" s="29">
        <v>46232</v>
      </c>
      <c r="G2321" s="29">
        <v>46232</v>
      </c>
      <c r="H2321" s="1" t="s">
        <v>3007</v>
      </c>
      <c r="I2321" s="1" t="s">
        <v>5346</v>
      </c>
      <c r="J2321" s="208" t="s">
        <v>5347</v>
      </c>
      <c r="K2321" s="171" t="s">
        <v>5348</v>
      </c>
      <c r="L2321" s="62">
        <v>23213034</v>
      </c>
      <c r="M2321" s="102">
        <v>4622616471</v>
      </c>
      <c r="N2321" s="171" t="s">
        <v>98</v>
      </c>
      <c r="O2321" s="67"/>
      <c r="P2321" s="99"/>
      <c r="Q2321" s="42">
        <f>OfficeForms.Table[[#This Row],[ INFORMEDEPAGO ]]*0.3</f>
        <v>0</v>
      </c>
      <c r="R2321" s="12">
        <f>(IF(O2321&lt;4172.98,0,MIN(O2321*0.3,O2321-4172.98)))-P2321</f>
        <v>0</v>
      </c>
      <c r="T2321" s="1"/>
      <c r="V2321" s="1"/>
      <c r="X2321" s="101">
        <v>0</v>
      </c>
    </row>
    <row r="2322" spans="1:24" hidden="1">
      <c r="A2322">
        <v>726</v>
      </c>
      <c r="B2322" s="2">
        <v>46232.753425925897</v>
      </c>
      <c r="C2322" s="2">
        <v>46232.754016203697</v>
      </c>
      <c r="D2322" s="1" t="s">
        <v>24</v>
      </c>
      <c r="E2322" s="1"/>
      <c r="F2322" s="29">
        <v>46232</v>
      </c>
      <c r="G2322" s="29">
        <v>46232</v>
      </c>
      <c r="H2322" s="1" t="s">
        <v>26</v>
      </c>
      <c r="I2322" s="1" t="s">
        <v>5349</v>
      </c>
      <c r="J2322" s="207">
        <v>49806504681</v>
      </c>
      <c r="K2322" s="171"/>
      <c r="L2322" s="62">
        <v>23213268</v>
      </c>
      <c r="M2322" s="102">
        <v>5218332396530</v>
      </c>
      <c r="N2322" s="171" t="s">
        <v>47</v>
      </c>
      <c r="O2322" s="43">
        <v>9760.32</v>
      </c>
      <c r="P2322" s="43">
        <v>2563.67</v>
      </c>
      <c r="Q2322" s="42">
        <f>OfficeForms.Table[[#This Row],[ INFORMEDEPAGO ]]*0.3</f>
        <v>2928.096</v>
      </c>
      <c r="R2322" s="12">
        <f>(IF(O2322&lt;4172.98,0,MIN(O2322*0.3,O2322-4172.98)))-P2322</f>
        <v>364.42599999999993</v>
      </c>
      <c r="S2322" s="74">
        <v>46661</v>
      </c>
      <c r="T2322" s="1"/>
      <c r="V2322" s="1"/>
      <c r="X2322" s="101">
        <v>2</v>
      </c>
    </row>
    <row r="2323" spans="1:24" hidden="1">
      <c r="A2323">
        <v>727</v>
      </c>
      <c r="B2323" s="2">
        <v>46232.758958333303</v>
      </c>
      <c r="C2323" s="2">
        <v>46232.760844907403</v>
      </c>
      <c r="D2323" s="1" t="s">
        <v>24</v>
      </c>
      <c r="E2323" s="1"/>
      <c r="F2323" s="29">
        <v>46232</v>
      </c>
      <c r="G2323" s="29">
        <v>46232</v>
      </c>
      <c r="H2323" s="1" t="s">
        <v>3452</v>
      </c>
      <c r="I2323" s="1" t="s">
        <v>5350</v>
      </c>
      <c r="J2323" s="207"/>
      <c r="K2323" s="171" t="s">
        <v>5351</v>
      </c>
      <c r="L2323" s="62">
        <v>23209444</v>
      </c>
      <c r="M2323" s="102">
        <v>8241770239</v>
      </c>
      <c r="N2323" s="171" t="s">
        <v>106</v>
      </c>
      <c r="O2323" s="52">
        <v>12068.65</v>
      </c>
      <c r="P2323" s="52">
        <v>3201.46</v>
      </c>
      <c r="Q2323" s="42">
        <f>OfficeForms.Table[[#This Row],[ INFORMEDEPAGO ]]*0.3</f>
        <v>3620.5949999999998</v>
      </c>
      <c r="R2323" s="12">
        <f>(IF(O2323&lt;4172.98,0,MIN(O2323*0.3,O2323-4172.98)))-P2323</f>
        <v>419.13499999999976</v>
      </c>
      <c r="S2323" s="74">
        <v>45778</v>
      </c>
      <c r="T2323" s="1"/>
      <c r="V2323" s="1"/>
      <c r="X2323" s="101">
        <v>2</v>
      </c>
    </row>
    <row r="2324" spans="1:24" hidden="1">
      <c r="A2324">
        <v>728</v>
      </c>
      <c r="B2324" s="2">
        <v>46232.761122685202</v>
      </c>
      <c r="C2324" s="2">
        <v>46232.762025463002</v>
      </c>
      <c r="D2324" s="1" t="s">
        <v>24</v>
      </c>
      <c r="E2324" s="1"/>
      <c r="F2324" s="29">
        <v>46232</v>
      </c>
      <c r="G2324" s="29">
        <v>46232</v>
      </c>
      <c r="H2324" s="1" t="s">
        <v>110</v>
      </c>
      <c r="I2324" s="1" t="s">
        <v>5352</v>
      </c>
      <c r="J2324" s="208" t="s">
        <v>5353</v>
      </c>
      <c r="K2324" s="186" t="s">
        <v>5354</v>
      </c>
      <c r="L2324" s="62">
        <v>23211118</v>
      </c>
      <c r="M2324" s="102">
        <v>5218119817368</v>
      </c>
      <c r="N2324" s="171" t="s">
        <v>47</v>
      </c>
      <c r="O2324" s="43">
        <v>6188.26</v>
      </c>
      <c r="P2324" s="43">
        <v>1115.55</v>
      </c>
      <c r="Q2324" s="42">
        <f>OfficeForms.Table[[#This Row],[ INFORMEDEPAGO ]]*0.3</f>
        <v>1856.4780000000001</v>
      </c>
      <c r="R2324" s="12">
        <f>(IF(O2324&lt;4172.98,0,MIN(O2324*0.3,O2324-4172.98)))-P2324</f>
        <v>740.92800000000011</v>
      </c>
      <c r="S2324" s="74">
        <v>46539</v>
      </c>
      <c r="T2324" s="1"/>
      <c r="V2324" s="1"/>
      <c r="X2324" s="101">
        <v>2</v>
      </c>
    </row>
    <row r="2325" spans="1:24" hidden="1">
      <c r="A2325">
        <v>729</v>
      </c>
      <c r="B2325" s="2">
        <v>46232.777523148201</v>
      </c>
      <c r="C2325" s="2">
        <v>46232.778657407398</v>
      </c>
      <c r="D2325" s="1" t="s">
        <v>24</v>
      </c>
      <c r="E2325" s="1"/>
      <c r="F2325" s="29">
        <v>46232</v>
      </c>
      <c r="G2325" s="29">
        <v>46227</v>
      </c>
      <c r="H2325" s="1" t="s">
        <v>3452</v>
      </c>
      <c r="I2325" s="1" t="s">
        <v>5355</v>
      </c>
      <c r="J2325" s="207"/>
      <c r="K2325" s="188" t="s">
        <v>5356</v>
      </c>
      <c r="L2325" s="62">
        <v>23066214</v>
      </c>
      <c r="M2325" s="102">
        <v>2227573093</v>
      </c>
      <c r="N2325" s="171" t="s">
        <v>263</v>
      </c>
      <c r="O2325" s="43">
        <v>26869.34</v>
      </c>
      <c r="P2325" s="43">
        <v>8051.65</v>
      </c>
      <c r="Q2325" s="42">
        <f>OfficeForms.Table[[#This Row],[ INFORMEDEPAGO ]]*0.3</f>
        <v>8060.8019999999997</v>
      </c>
      <c r="R2325" s="12">
        <f>(IF(O2325&lt;4172.98,0,MIN(O2325*0.3,O2325-4172.98)))-P2325</f>
        <v>9.1520000000000437</v>
      </c>
      <c r="S2325" s="74">
        <v>46054</v>
      </c>
      <c r="T2325" s="1"/>
      <c r="V2325" s="1"/>
      <c r="X2325" s="101">
        <v>2</v>
      </c>
    </row>
    <row r="2326" spans="1:24" hidden="1">
      <c r="A2326">
        <v>730</v>
      </c>
      <c r="B2326" s="2">
        <v>46232.782303240703</v>
      </c>
      <c r="C2326" s="2">
        <v>46232.782928240696</v>
      </c>
      <c r="D2326" s="1" t="s">
        <v>24</v>
      </c>
      <c r="E2326" s="1"/>
      <c r="F2326" s="29">
        <v>46232</v>
      </c>
      <c r="G2326" s="29">
        <v>46230</v>
      </c>
      <c r="H2326" s="1" t="s">
        <v>3352</v>
      </c>
      <c r="I2326" s="1" t="s">
        <v>5357</v>
      </c>
      <c r="J2326" s="207">
        <v>53816119837</v>
      </c>
      <c r="K2326" s="188" t="s">
        <v>5358</v>
      </c>
      <c r="L2326" s="62">
        <v>23152004</v>
      </c>
      <c r="M2326" s="102">
        <v>3222294798</v>
      </c>
      <c r="N2326" s="171" t="s">
        <v>28</v>
      </c>
      <c r="O2326" s="50">
        <v>7688.7</v>
      </c>
      <c r="P2326" s="97"/>
      <c r="Q2326" s="42">
        <f>OfficeForms.Table[[#This Row],[ INFORMEDEPAGO ]]*0.3</f>
        <v>2306.6099999999997</v>
      </c>
      <c r="R2326" s="12">
        <f>(IF(O2326&lt;4172.98,0,MIN(O2326*0.3,O2326-4172.98)))-P2326</f>
        <v>2306.6099999999997</v>
      </c>
      <c r="T2326" s="1"/>
      <c r="V2326" s="1"/>
      <c r="X2326" s="101">
        <v>1</v>
      </c>
    </row>
    <row r="2327" spans="1:24" hidden="1">
      <c r="A2327">
        <v>731</v>
      </c>
      <c r="B2327" s="2">
        <v>46232.790196759299</v>
      </c>
      <c r="C2327" s="2">
        <v>46232.791469907403</v>
      </c>
      <c r="D2327" s="1" t="s">
        <v>24</v>
      </c>
      <c r="E2327" s="1"/>
      <c r="F2327" s="29">
        <v>46232</v>
      </c>
      <c r="G2327" s="29">
        <v>46228</v>
      </c>
      <c r="H2327" s="1" t="s">
        <v>110</v>
      </c>
      <c r="I2327" s="1" t="s">
        <v>5359</v>
      </c>
      <c r="J2327" s="207"/>
      <c r="K2327" s="188" t="s">
        <v>5360</v>
      </c>
      <c r="L2327" s="62">
        <v>23106460</v>
      </c>
      <c r="M2327" s="102">
        <v>5213329557010</v>
      </c>
      <c r="N2327" s="171" t="s">
        <v>98</v>
      </c>
      <c r="O2327" s="50"/>
      <c r="P2327" s="97"/>
      <c r="Q2327" s="42">
        <f>OfficeForms.Table[[#This Row],[ INFORMEDEPAGO ]]*0.3</f>
        <v>0</v>
      </c>
      <c r="R2327" s="12">
        <f>(IF(O2327&lt;4172.98,0,MIN(O2327*0.3,O2327-4172.98)))-P2327</f>
        <v>0</v>
      </c>
      <c r="T2327" s="1"/>
      <c r="V2327" s="1"/>
      <c r="X2327" s="101">
        <v>0</v>
      </c>
    </row>
    <row r="2328" spans="1:24" hidden="1">
      <c r="A2328">
        <v>732</v>
      </c>
      <c r="B2328" s="2">
        <v>46233.318310185197</v>
      </c>
      <c r="C2328" s="2">
        <v>46233.339212963001</v>
      </c>
      <c r="D2328" s="1" t="s">
        <v>24</v>
      </c>
      <c r="E2328" s="1"/>
      <c r="F2328" s="29">
        <v>46233</v>
      </c>
      <c r="G2328" s="29">
        <v>46233</v>
      </c>
      <c r="H2328" s="1" t="s">
        <v>1625</v>
      </c>
      <c r="I2328" s="1" t="s">
        <v>5228</v>
      </c>
      <c r="J2328" s="207">
        <v>11786028610</v>
      </c>
      <c r="K2328" s="188" t="s">
        <v>5229</v>
      </c>
      <c r="L2328" s="62">
        <v>2</v>
      </c>
      <c r="M2328" s="102">
        <v>5578814809</v>
      </c>
      <c r="N2328" s="171" t="s">
        <v>37</v>
      </c>
      <c r="O2328" s="90">
        <v>5617.63</v>
      </c>
      <c r="P2328" s="90">
        <v>1400</v>
      </c>
      <c r="Q2328" s="42">
        <f>OfficeForms.Table[[#This Row],[ INFORMEDEPAGO ]]*0.3</f>
        <v>1685.289</v>
      </c>
      <c r="R2328" s="12">
        <f>(IF(O2328&lt;4172.98,0,MIN(O2328*0.3,O2328-4172.98)))-P2328</f>
        <v>44.650000000000546</v>
      </c>
      <c r="S2328" s="74">
        <v>46935</v>
      </c>
      <c r="T2328" s="1"/>
      <c r="V2328" s="1"/>
      <c r="X2328" s="101">
        <v>2</v>
      </c>
    </row>
    <row r="2329" spans="1:24" hidden="1">
      <c r="A2329">
        <v>733</v>
      </c>
      <c r="B2329" s="2">
        <v>46233.340405092596</v>
      </c>
      <c r="C2329" s="2">
        <v>46233.341331018499</v>
      </c>
      <c r="D2329" s="1" t="s">
        <v>24</v>
      </c>
      <c r="E2329" s="1"/>
      <c r="F2329" s="29">
        <v>46233</v>
      </c>
      <c r="G2329" s="29">
        <v>46232</v>
      </c>
      <c r="H2329" s="1" t="s">
        <v>3036</v>
      </c>
      <c r="I2329" s="1" t="s">
        <v>5361</v>
      </c>
      <c r="J2329" s="207" t="s">
        <v>5362</v>
      </c>
      <c r="K2329" s="188" t="s">
        <v>5363</v>
      </c>
      <c r="L2329" s="62">
        <v>23211220</v>
      </c>
      <c r="M2329" s="102">
        <v>5216567782777</v>
      </c>
      <c r="N2329" s="171" t="s">
        <v>37</v>
      </c>
      <c r="O2329" s="50">
        <v>8173.37</v>
      </c>
      <c r="P2329" s="97">
        <v>2447.02</v>
      </c>
      <c r="Q2329" s="42">
        <f>OfficeForms.Table[[#This Row],[ INFORMEDEPAGO ]]*0.3</f>
        <v>2452.011</v>
      </c>
      <c r="R2329" s="12">
        <f>(IF(O2329&lt;4172.98,0,MIN(O2329*0.3,O2329-4172.98)))-P2329</f>
        <v>4.9909999999999854</v>
      </c>
      <c r="S2329" s="74">
        <v>46844</v>
      </c>
      <c r="T2329" s="1" t="s">
        <v>84</v>
      </c>
      <c r="V2329" s="1"/>
      <c r="X2329" s="101">
        <v>2</v>
      </c>
    </row>
    <row r="2330" spans="1:24" hidden="1">
      <c r="A2330">
        <v>734</v>
      </c>
      <c r="B2330" s="2">
        <v>46233.339236111096</v>
      </c>
      <c r="C2330" s="2">
        <v>46233.345127314802</v>
      </c>
      <c r="D2330" s="1" t="s">
        <v>24</v>
      </c>
      <c r="E2330" s="1"/>
      <c r="F2330" s="29">
        <v>46233</v>
      </c>
      <c r="G2330" s="29">
        <v>46233</v>
      </c>
      <c r="H2330" s="1" t="s">
        <v>1625</v>
      </c>
      <c r="I2330" s="1" t="s">
        <v>5364</v>
      </c>
      <c r="J2330" s="207">
        <v>49856217408</v>
      </c>
      <c r="K2330" s="188" t="s">
        <v>5365</v>
      </c>
      <c r="L2330" s="62">
        <v>2</v>
      </c>
      <c r="M2330" s="102">
        <v>8115195190</v>
      </c>
      <c r="N2330" s="171" t="s">
        <v>37</v>
      </c>
      <c r="O2330" s="50">
        <v>9081.52</v>
      </c>
      <c r="P2330" s="97">
        <v>2721.65</v>
      </c>
      <c r="Q2330" s="42">
        <f>OfficeForms.Table[[#This Row],[ INFORMEDEPAGO ]]*0.3</f>
        <v>2724.4560000000001</v>
      </c>
      <c r="R2330" s="12">
        <f>(IF(O2330&lt;4172.98,0,MIN(O2330*0.3,O2330-4172.98)))-P2330</f>
        <v>2.80600000000004</v>
      </c>
      <c r="S2330" s="74">
        <v>46692</v>
      </c>
      <c r="T2330" s="1"/>
      <c r="V2330" s="1"/>
      <c r="X2330" s="101">
        <v>2</v>
      </c>
    </row>
    <row r="2331" spans="1:24" hidden="1">
      <c r="A2331">
        <v>735</v>
      </c>
      <c r="B2331" s="2">
        <v>46233.3446064815</v>
      </c>
      <c r="C2331" s="2">
        <v>46233.382557870398</v>
      </c>
      <c r="D2331" s="1" t="s">
        <v>24</v>
      </c>
      <c r="E2331" s="1"/>
      <c r="F2331" s="29">
        <v>46233</v>
      </c>
      <c r="G2331" s="29">
        <v>46232</v>
      </c>
      <c r="H2331" s="1" t="s">
        <v>3572</v>
      </c>
      <c r="I2331" s="1" t="s">
        <v>5366</v>
      </c>
      <c r="J2331" s="207">
        <v>11654603395</v>
      </c>
      <c r="K2331" s="188" t="s">
        <v>5367</v>
      </c>
      <c r="L2331" s="62">
        <v>23212142</v>
      </c>
      <c r="M2331" s="102">
        <v>5215530856253</v>
      </c>
      <c r="N2331" s="171" t="s">
        <v>37</v>
      </c>
      <c r="O2331" s="50">
        <v>5776.61</v>
      </c>
      <c r="P2331" s="97">
        <v>1484.07</v>
      </c>
      <c r="Q2331" s="42">
        <f>OfficeForms.Table[[#This Row],[ INFORMEDEPAGO ]]*0.3</f>
        <v>1732.9829999999999</v>
      </c>
      <c r="R2331" s="12">
        <f>(IF(O2331&lt;4172.98,0,MIN(O2331*0.3,O2331-4172.98)))-P2331</f>
        <v>119.56000000000017</v>
      </c>
      <c r="S2331" s="74">
        <v>46266</v>
      </c>
      <c r="T2331" s="1" t="s">
        <v>5368</v>
      </c>
      <c r="V2331" s="1"/>
      <c r="X2331" s="101">
        <v>2</v>
      </c>
    </row>
    <row r="2332" spans="1:24" hidden="1">
      <c r="A2332">
        <v>736</v>
      </c>
      <c r="B2332" s="2">
        <v>46233.345185185201</v>
      </c>
      <c r="C2332" s="2">
        <v>46233.385312500002</v>
      </c>
      <c r="D2332" s="1" t="s">
        <v>24</v>
      </c>
      <c r="E2332" s="1"/>
      <c r="F2332" s="29">
        <v>46233</v>
      </c>
      <c r="G2332" s="29">
        <v>46233</v>
      </c>
      <c r="H2332" s="1" t="s">
        <v>1625</v>
      </c>
      <c r="I2332" s="1" t="s">
        <v>5369</v>
      </c>
      <c r="J2332" s="207">
        <v>43745912410</v>
      </c>
      <c r="K2332" s="188" t="s">
        <v>5370</v>
      </c>
      <c r="L2332" s="62">
        <v>2</v>
      </c>
      <c r="M2332" s="102" t="s">
        <v>5371</v>
      </c>
      <c r="N2332" s="171" t="s">
        <v>28</v>
      </c>
      <c r="O2332" s="50">
        <v>28637.15</v>
      </c>
      <c r="P2332" s="97"/>
      <c r="Q2332" s="42">
        <f>OfficeForms.Table[[#This Row],[ INFORMEDEPAGO ]]*0.3</f>
        <v>8591.1450000000004</v>
      </c>
      <c r="R2332" s="12">
        <f>(IF(O2332&lt;4172.98,0,MIN(O2332*0.3,O2332-4172.98)))-P2332</f>
        <v>8591.1450000000004</v>
      </c>
      <c r="T2332" s="1"/>
      <c r="V2332" s="1"/>
      <c r="X2332" s="101">
        <v>1</v>
      </c>
    </row>
    <row r="2333" spans="1:24" hidden="1">
      <c r="A2333">
        <v>737</v>
      </c>
      <c r="B2333" s="2">
        <v>46233.393854166701</v>
      </c>
      <c r="C2333" s="2">
        <v>46233.394351851799</v>
      </c>
      <c r="D2333" s="1" t="s">
        <v>24</v>
      </c>
      <c r="E2333" s="1"/>
      <c r="F2333" s="29">
        <v>46233</v>
      </c>
      <c r="G2333" s="29">
        <v>46233</v>
      </c>
      <c r="H2333" s="1" t="s">
        <v>269</v>
      </c>
      <c r="I2333" s="1" t="s">
        <v>5372</v>
      </c>
      <c r="J2333" s="207" t="s">
        <v>5373</v>
      </c>
      <c r="K2333" s="188" t="s">
        <v>5374</v>
      </c>
      <c r="L2333" s="62">
        <v>23226348</v>
      </c>
      <c r="M2333" s="102">
        <v>23226348</v>
      </c>
      <c r="N2333" s="171" t="s">
        <v>37</v>
      </c>
      <c r="O2333" s="50">
        <v>7135.6</v>
      </c>
      <c r="P2333" s="97">
        <v>2140.6799999999998</v>
      </c>
      <c r="Q2333" s="42">
        <f>OfficeForms.Table[[#This Row],[ INFORMEDEPAGO ]]*0.3</f>
        <v>2140.6799999999998</v>
      </c>
      <c r="R2333" s="12">
        <f>(IF(O2333&lt;4172.98,0,MIN(O2333*0.3,O2333-4172.98)))-P2333</f>
        <v>0</v>
      </c>
      <c r="S2333" s="74">
        <v>46784</v>
      </c>
      <c r="T2333" s="1"/>
      <c r="V2333" s="1"/>
      <c r="X2333" s="101">
        <v>2</v>
      </c>
    </row>
    <row r="2334" spans="1:24" hidden="1">
      <c r="A2334">
        <v>738</v>
      </c>
      <c r="B2334" s="2">
        <v>46233.396689814799</v>
      </c>
      <c r="C2334" s="2">
        <v>46233.398645833302</v>
      </c>
      <c r="D2334" s="1" t="s">
        <v>24</v>
      </c>
      <c r="E2334" s="1"/>
      <c r="F2334" s="29">
        <v>46233</v>
      </c>
      <c r="G2334" s="29">
        <v>46233</v>
      </c>
      <c r="H2334" s="1" t="s">
        <v>26</v>
      </c>
      <c r="I2334" s="1" t="s">
        <v>5375</v>
      </c>
      <c r="J2334" s="207" t="s">
        <v>5376</v>
      </c>
      <c r="K2334" s="188" t="s">
        <v>5377</v>
      </c>
      <c r="L2334" s="62">
        <v>23207070</v>
      </c>
      <c r="M2334" s="102">
        <v>5218445050158</v>
      </c>
      <c r="N2334" s="171" t="s">
        <v>37</v>
      </c>
      <c r="O2334" s="50">
        <v>13505.16</v>
      </c>
      <c r="P2334" s="97">
        <v>3907.37</v>
      </c>
      <c r="Q2334" s="42">
        <f>OfficeForms.Table[[#This Row],[ INFORMEDEPAGO ]]*0.3</f>
        <v>4051.5479999999998</v>
      </c>
      <c r="R2334" s="12">
        <f>(IF(O2334&lt;4172.98,0,MIN(O2334*0.3,O2334-4172.98)))-P2334</f>
        <v>144.17799999999988</v>
      </c>
      <c r="S2334" s="74">
        <v>46692</v>
      </c>
      <c r="T2334" s="1"/>
      <c r="V2334" s="1"/>
      <c r="X2334" s="101">
        <v>2</v>
      </c>
    </row>
    <row r="2335" spans="1:24" hidden="1">
      <c r="A2335">
        <v>739</v>
      </c>
      <c r="B2335" s="2">
        <v>46233.422500000001</v>
      </c>
      <c r="C2335" s="2">
        <v>46233.426053240699</v>
      </c>
      <c r="D2335" s="1" t="s">
        <v>24</v>
      </c>
      <c r="E2335" s="1"/>
      <c r="F2335" s="29">
        <v>46233</v>
      </c>
      <c r="G2335" s="29">
        <v>46233</v>
      </c>
      <c r="H2335" s="1" t="s">
        <v>160</v>
      </c>
      <c r="I2335" s="1" t="s">
        <v>5378</v>
      </c>
      <c r="J2335" s="207">
        <v>81786100347</v>
      </c>
      <c r="K2335" s="188" t="s">
        <v>5379</v>
      </c>
      <c r="L2335" s="62">
        <v>23227706</v>
      </c>
      <c r="M2335" s="102">
        <v>5219381586697</v>
      </c>
      <c r="N2335" s="171" t="s">
        <v>37</v>
      </c>
      <c r="O2335" s="50">
        <v>5429.93</v>
      </c>
      <c r="P2335" s="97">
        <v>2210.59</v>
      </c>
      <c r="Q2335" s="42">
        <f>OfficeForms.Table[[#This Row],[ INFORMEDEPAGO ]]*0.3</f>
        <v>1628.979</v>
      </c>
      <c r="R2335" s="12">
        <f>(IF(O2335&lt;4172.98,0,MIN(O2335*0.3,O2335-4172.98)))-P2335</f>
        <v>-953.63999999999942</v>
      </c>
      <c r="S2335" s="74">
        <v>46722</v>
      </c>
      <c r="T2335" s="1"/>
      <c r="V2335" s="1"/>
      <c r="X2335" s="101">
        <v>2</v>
      </c>
    </row>
    <row r="2336" spans="1:24" hidden="1">
      <c r="A2336">
        <v>740</v>
      </c>
      <c r="B2336" s="2">
        <v>46233.413437499999</v>
      </c>
      <c r="C2336" s="2">
        <v>46233.4277083333</v>
      </c>
      <c r="D2336" s="1" t="s">
        <v>24</v>
      </c>
      <c r="E2336" s="1"/>
      <c r="F2336" s="29">
        <v>46233</v>
      </c>
      <c r="G2336" s="29">
        <v>46232</v>
      </c>
      <c r="H2336" s="1" t="s">
        <v>51</v>
      </c>
      <c r="I2336" s="1" t="s">
        <v>5380</v>
      </c>
      <c r="J2336" s="207" t="s">
        <v>5381</v>
      </c>
      <c r="K2336" s="188" t="s">
        <v>5382</v>
      </c>
      <c r="L2336" s="62">
        <v>23214658</v>
      </c>
      <c r="M2336" s="102">
        <v>5213318848989</v>
      </c>
      <c r="N2336" s="171" t="s">
        <v>98</v>
      </c>
      <c r="O2336" s="50"/>
      <c r="P2336" s="97"/>
      <c r="Q2336" s="42">
        <f>OfficeForms.Table[[#This Row],[ INFORMEDEPAGO ]]*0.3</f>
        <v>0</v>
      </c>
      <c r="R2336" s="12">
        <f>(IF(O2336&lt;4172.98,0,MIN(O2336*0.3,O2336-4172.98)))-P2336</f>
        <v>0</v>
      </c>
      <c r="T2336" s="1"/>
      <c r="V2336" s="1"/>
      <c r="X2336" s="101">
        <v>0</v>
      </c>
    </row>
    <row r="2337" spans="1:24" hidden="1">
      <c r="A2337">
        <v>741</v>
      </c>
      <c r="B2337" s="2">
        <v>46233.432685185202</v>
      </c>
      <c r="C2337" s="2">
        <v>46233.433414351799</v>
      </c>
      <c r="D2337" s="1" t="s">
        <v>24</v>
      </c>
      <c r="E2337" s="1"/>
      <c r="F2337" s="29">
        <v>46233</v>
      </c>
      <c r="G2337" s="29">
        <v>46233</v>
      </c>
      <c r="H2337" s="1" t="s">
        <v>5033</v>
      </c>
      <c r="I2337" s="1" t="s">
        <v>5383</v>
      </c>
      <c r="J2337" s="207" t="s">
        <v>5384</v>
      </c>
      <c r="K2337" s="188" t="s">
        <v>5385</v>
      </c>
      <c r="L2337" s="62">
        <v>22575612</v>
      </c>
      <c r="M2337" s="102">
        <v>5573383942</v>
      </c>
      <c r="N2337" s="171" t="s">
        <v>37</v>
      </c>
      <c r="O2337" s="50">
        <v>27731.54</v>
      </c>
      <c r="P2337" s="97">
        <v>8310.2900000000009</v>
      </c>
      <c r="Q2337" s="42">
        <f>OfficeForms.Table[[#This Row],[ INFORMEDEPAGO ]]*0.3</f>
        <v>8319.4619999999995</v>
      </c>
      <c r="R2337" s="12">
        <f>(IF(O2337&lt;4172.98,0,MIN(O2337*0.3,O2337-4172.98)))-P2337</f>
        <v>9.1719999999986612</v>
      </c>
      <c r="S2337" s="74">
        <v>46266</v>
      </c>
      <c r="T2337" s="1"/>
      <c r="V2337" s="1"/>
      <c r="X2337" s="101">
        <v>2</v>
      </c>
    </row>
    <row r="2338" spans="1:24" hidden="1">
      <c r="A2338">
        <v>742</v>
      </c>
      <c r="B2338" s="2">
        <v>46233.428807870398</v>
      </c>
      <c r="C2338" s="2">
        <v>46233.4358796296</v>
      </c>
      <c r="D2338" s="1" t="s">
        <v>24</v>
      </c>
      <c r="E2338" s="1"/>
      <c r="F2338" s="29">
        <v>46233</v>
      </c>
      <c r="G2338" s="29">
        <v>46233</v>
      </c>
      <c r="H2338" s="1" t="s">
        <v>1625</v>
      </c>
      <c r="I2338" s="1" t="s">
        <v>5386</v>
      </c>
      <c r="J2338" s="207">
        <v>42826441016</v>
      </c>
      <c r="K2338" s="188" t="s">
        <v>5387</v>
      </c>
      <c r="L2338" s="62">
        <v>2</v>
      </c>
      <c r="M2338" s="102">
        <v>5510766575</v>
      </c>
      <c r="N2338" s="171" t="s">
        <v>37</v>
      </c>
      <c r="O2338" s="50">
        <v>10635.54</v>
      </c>
      <c r="P2338" s="97">
        <v>3189.99</v>
      </c>
      <c r="Q2338" s="42">
        <f>OfficeForms.Table[[#This Row],[ INFORMEDEPAGO ]]*0.3</f>
        <v>3190.6620000000003</v>
      </c>
      <c r="R2338" s="12">
        <f>(IF(O2338&lt;4172.98,0,MIN(O2338*0.3,O2338-4172.98)))-P2338</f>
        <v>0.67200000000048021</v>
      </c>
      <c r="S2338" s="74">
        <v>46966</v>
      </c>
      <c r="T2338" s="1"/>
      <c r="V2338" s="1"/>
      <c r="X2338" s="101">
        <v>2</v>
      </c>
    </row>
    <row r="2339" spans="1:24" hidden="1">
      <c r="A2339">
        <v>743</v>
      </c>
      <c r="B2339" s="2">
        <v>46233.439722222203</v>
      </c>
      <c r="C2339" s="2">
        <v>46233.440451388902</v>
      </c>
      <c r="D2339" s="1" t="s">
        <v>24</v>
      </c>
      <c r="E2339" s="1"/>
      <c r="F2339" s="29">
        <v>46233</v>
      </c>
      <c r="G2339" s="29">
        <v>46233</v>
      </c>
      <c r="H2339" s="1" t="s">
        <v>269</v>
      </c>
      <c r="I2339" s="1" t="s">
        <v>5388</v>
      </c>
      <c r="J2339" s="207" t="s">
        <v>5389</v>
      </c>
      <c r="K2339" s="188" t="s">
        <v>5390</v>
      </c>
      <c r="L2339" s="62">
        <v>23228088</v>
      </c>
      <c r="M2339" s="102">
        <v>5214272455698</v>
      </c>
      <c r="N2339" s="171" t="s">
        <v>47</v>
      </c>
      <c r="O2339" s="50">
        <v>30697.26</v>
      </c>
      <c r="P2339" s="97">
        <v>8881.4500000000007</v>
      </c>
      <c r="Q2339" s="42">
        <f>OfficeForms.Table[[#This Row],[ INFORMEDEPAGO ]]*0.3</f>
        <v>9209.1779999999999</v>
      </c>
      <c r="R2339" s="12">
        <f>(IF(O2339&lt;4172.98,0,MIN(O2339*0.3,O2339-4172.98)))-P2339</f>
        <v>327.72799999999916</v>
      </c>
      <c r="S2339" s="74">
        <v>46600</v>
      </c>
      <c r="T2339" s="1"/>
      <c r="V2339" s="1"/>
      <c r="X2339" s="101">
        <v>2</v>
      </c>
    </row>
    <row r="2340" spans="1:24" hidden="1">
      <c r="A2340">
        <v>744</v>
      </c>
      <c r="B2340" s="2">
        <v>46233.419398148202</v>
      </c>
      <c r="C2340" s="2">
        <v>46233.447094907402</v>
      </c>
      <c r="D2340" s="1" t="s">
        <v>24</v>
      </c>
      <c r="E2340" s="1"/>
      <c r="F2340" s="29">
        <v>46233</v>
      </c>
      <c r="G2340" s="29">
        <v>46233</v>
      </c>
      <c r="H2340" s="1" t="s">
        <v>51</v>
      </c>
      <c r="I2340" s="1" t="s">
        <v>5391</v>
      </c>
      <c r="J2340" s="207">
        <v>35907457259</v>
      </c>
      <c r="K2340" s="188" t="s">
        <v>5374</v>
      </c>
      <c r="L2340" s="62">
        <v>23225784</v>
      </c>
      <c r="M2340" s="102">
        <v>5216391238979</v>
      </c>
      <c r="N2340" s="171" t="s">
        <v>37</v>
      </c>
      <c r="O2340" s="50">
        <v>7135.6</v>
      </c>
      <c r="P2340" s="97">
        <v>2140.6799999999998</v>
      </c>
      <c r="Q2340" s="42">
        <f>OfficeForms.Table[[#This Row],[ INFORMEDEPAGO ]]*0.3</f>
        <v>2140.6799999999998</v>
      </c>
      <c r="R2340" s="12">
        <f>(IF(O2340&lt;4172.98,0,MIN(O2340*0.3,O2340-4172.98)))-P2340</f>
        <v>0</v>
      </c>
      <c r="S2340" s="74">
        <v>46784</v>
      </c>
      <c r="T2340" s="1"/>
      <c r="V2340" s="1"/>
      <c r="X2340" s="101">
        <v>0</v>
      </c>
    </row>
    <row r="2341" spans="1:24" hidden="1">
      <c r="A2341">
        <v>745</v>
      </c>
      <c r="B2341" s="2">
        <v>46233.427719907399</v>
      </c>
      <c r="C2341" s="2">
        <v>46233.447870370401</v>
      </c>
      <c r="D2341" s="1" t="s">
        <v>24</v>
      </c>
      <c r="E2341" s="1"/>
      <c r="F2341" s="29">
        <v>46233</v>
      </c>
      <c r="G2341" s="29">
        <v>46229</v>
      </c>
      <c r="H2341" s="1" t="s">
        <v>51</v>
      </c>
      <c r="I2341" s="1" t="s">
        <v>5392</v>
      </c>
      <c r="J2341" s="207">
        <v>33755602720</v>
      </c>
      <c r="K2341" s="188" t="s">
        <v>5393</v>
      </c>
      <c r="L2341" s="62">
        <v>23127188</v>
      </c>
      <c r="M2341" s="102">
        <v>5216141065055</v>
      </c>
      <c r="N2341" s="171" t="s">
        <v>32</v>
      </c>
      <c r="O2341" s="50">
        <v>3961.31</v>
      </c>
      <c r="P2341" s="97"/>
      <c r="Q2341" s="42">
        <f>OfficeForms.Table[[#This Row],[ INFORMEDEPAGO ]]*0.3</f>
        <v>1188.393</v>
      </c>
      <c r="R2341" s="12">
        <f>(IF(O2341&lt;4172.98,0,MIN(O2341*0.3,O2341-4172.98)))-P2341</f>
        <v>0</v>
      </c>
      <c r="T2341" s="1"/>
      <c r="V2341" s="1"/>
      <c r="X2341" s="101">
        <v>1</v>
      </c>
    </row>
    <row r="2342" spans="1:24" hidden="1">
      <c r="A2342">
        <v>746</v>
      </c>
      <c r="B2342" s="2">
        <v>46233.4359259259</v>
      </c>
      <c r="C2342" s="2">
        <v>46233.450810185197</v>
      </c>
      <c r="D2342" s="1" t="s">
        <v>24</v>
      </c>
      <c r="E2342" s="1"/>
      <c r="F2342" s="29">
        <v>46233</v>
      </c>
      <c r="G2342" s="29">
        <v>46233</v>
      </c>
      <c r="H2342" s="1" t="s">
        <v>1625</v>
      </c>
      <c r="I2342" s="1" t="s">
        <v>5394</v>
      </c>
      <c r="J2342" s="207">
        <v>41816206431</v>
      </c>
      <c r="K2342" s="188" t="s">
        <v>5395</v>
      </c>
      <c r="L2342" s="62">
        <v>2</v>
      </c>
      <c r="M2342" s="102">
        <v>4441654008</v>
      </c>
      <c r="N2342" s="172" t="s">
        <v>37</v>
      </c>
      <c r="O2342" s="91">
        <v>11930.61</v>
      </c>
      <c r="P2342" s="91">
        <v>3579.18</v>
      </c>
      <c r="Q2342" s="42">
        <f>OfficeForms.Table[[#This Row],[ INFORMEDEPAGO ]]*0.3</f>
        <v>3579.183</v>
      </c>
      <c r="R2342" s="12">
        <f>(IF(O2342&lt;4172.98,0,MIN(O2342*0.3,O2342-4172.98)))-P2342</f>
        <v>3.0000000001564331E-3</v>
      </c>
      <c r="S2342" s="78">
        <v>46508</v>
      </c>
      <c r="T2342" s="1"/>
      <c r="V2342" s="1"/>
      <c r="X2342" s="101">
        <v>0</v>
      </c>
    </row>
    <row r="2343" spans="1:24" hidden="1">
      <c r="A2343">
        <v>747</v>
      </c>
      <c r="B2343" s="2">
        <v>46233.426238425898</v>
      </c>
      <c r="C2343" s="2">
        <v>46233.451666666697</v>
      </c>
      <c r="D2343" s="1" t="s">
        <v>24</v>
      </c>
      <c r="E2343" s="1"/>
      <c r="F2343" s="29">
        <v>46233</v>
      </c>
      <c r="G2343" s="29">
        <v>46231</v>
      </c>
      <c r="H2343" s="1" t="s">
        <v>68</v>
      </c>
      <c r="I2343" s="1" t="s">
        <v>5396</v>
      </c>
      <c r="J2343" s="207" t="s">
        <v>5397</v>
      </c>
      <c r="K2343" s="188" t="s">
        <v>5398</v>
      </c>
      <c r="L2343" s="62">
        <v>23160148</v>
      </c>
      <c r="M2343" s="102">
        <v>5215541276811</v>
      </c>
      <c r="N2343" s="171" t="s">
        <v>47</v>
      </c>
      <c r="O2343" s="50">
        <v>4813.6899999999996</v>
      </c>
      <c r="P2343" s="97"/>
      <c r="Q2343" s="42">
        <f>OfficeForms.Table[[#This Row],[ INFORMEDEPAGO ]]*0.3</f>
        <v>1444.1069999999997</v>
      </c>
      <c r="R2343" s="12">
        <f>(IF(O2343&lt;4172.98,0,MIN(O2343*0.3,O2343-4172.98)))-P2343</f>
        <v>640.71</v>
      </c>
      <c r="T2343" s="1"/>
      <c r="V2343" s="1"/>
      <c r="X2343" s="101">
        <v>1</v>
      </c>
    </row>
    <row r="2344" spans="1:24" hidden="1">
      <c r="A2344">
        <v>748</v>
      </c>
      <c r="B2344" s="2">
        <v>46233.4476041667</v>
      </c>
      <c r="C2344" s="2">
        <v>46233.464722222197</v>
      </c>
      <c r="D2344" s="1" t="s">
        <v>24</v>
      </c>
      <c r="E2344" s="1"/>
      <c r="F2344" s="29">
        <v>46233</v>
      </c>
      <c r="G2344" s="29">
        <v>46233</v>
      </c>
      <c r="H2344" s="1" t="s">
        <v>160</v>
      </c>
      <c r="I2344" s="1" t="s">
        <v>5399</v>
      </c>
      <c r="J2344" s="207">
        <v>23785915895</v>
      </c>
      <c r="K2344" s="188" t="s">
        <v>5400</v>
      </c>
      <c r="L2344" s="62">
        <v>23228382</v>
      </c>
      <c r="M2344" s="102">
        <v>5216682507308</v>
      </c>
      <c r="N2344" s="171" t="s">
        <v>37</v>
      </c>
      <c r="O2344" s="50">
        <v>7116.73</v>
      </c>
      <c r="P2344" s="97">
        <v>2058.67</v>
      </c>
      <c r="Q2344" s="42">
        <f>OfficeForms.Table[[#This Row],[ INFORMEDEPAGO ]]*0.3</f>
        <v>2135.0189999999998</v>
      </c>
      <c r="R2344" s="12">
        <f>(IF(O2344&lt;4172.98,0,MIN(O2344*0.3,O2344-4172.98)))-P2344</f>
        <v>76.348999999999705</v>
      </c>
      <c r="S2344" s="74">
        <v>46631</v>
      </c>
      <c r="T2344" s="1"/>
      <c r="V2344" s="1"/>
      <c r="X2344" s="101">
        <v>2</v>
      </c>
    </row>
    <row r="2345" spans="1:24" hidden="1">
      <c r="A2345">
        <v>749</v>
      </c>
      <c r="B2345" s="2">
        <v>46233.445995370399</v>
      </c>
      <c r="C2345" s="2">
        <v>46233.465347222198</v>
      </c>
      <c r="D2345" s="1" t="s">
        <v>24</v>
      </c>
      <c r="E2345" s="1"/>
      <c r="F2345" s="29">
        <v>46233</v>
      </c>
      <c r="G2345" s="29">
        <v>46233</v>
      </c>
      <c r="H2345" s="1" t="s">
        <v>51</v>
      </c>
      <c r="I2345" s="1" t="s">
        <v>5401</v>
      </c>
      <c r="J2345" s="207">
        <v>24806404653</v>
      </c>
      <c r="K2345" s="188" t="s">
        <v>5402</v>
      </c>
      <c r="L2345" s="62">
        <v>23228006</v>
      </c>
      <c r="M2345" s="102">
        <v>5213132625645</v>
      </c>
      <c r="N2345" s="171" t="s">
        <v>47</v>
      </c>
      <c r="O2345" s="50">
        <v>14100.71</v>
      </c>
      <c r="P2345" s="97">
        <v>3889.08</v>
      </c>
      <c r="Q2345" s="42">
        <f>OfficeForms.Table[[#This Row],[ INFORMEDEPAGO ]]*0.3</f>
        <v>4230.2129999999997</v>
      </c>
      <c r="R2345" s="12">
        <f>(IF(O2345&lt;4172.98,0,MIN(O2345*0.3,O2345-4172.98)))-P2345</f>
        <v>341.13299999999981</v>
      </c>
      <c r="S2345" s="74">
        <v>46661</v>
      </c>
      <c r="T2345" s="1" t="s">
        <v>192</v>
      </c>
      <c r="V2345" s="1"/>
      <c r="X2345" s="101">
        <v>2</v>
      </c>
    </row>
    <row r="2346" spans="1:24" hidden="1">
      <c r="A2346">
        <v>750</v>
      </c>
      <c r="B2346" s="2">
        <v>46233.46875</v>
      </c>
      <c r="C2346" s="2">
        <v>46233.472152777802</v>
      </c>
      <c r="D2346" s="1" t="s">
        <v>24</v>
      </c>
      <c r="E2346" s="1"/>
      <c r="F2346" s="29">
        <v>46233</v>
      </c>
      <c r="G2346" s="29">
        <v>46233</v>
      </c>
      <c r="H2346" s="1" t="s">
        <v>51</v>
      </c>
      <c r="I2346" s="1" t="s">
        <v>5403</v>
      </c>
      <c r="J2346" s="207" t="s">
        <v>5404</v>
      </c>
      <c r="K2346" s="188" t="s">
        <v>5405</v>
      </c>
      <c r="L2346" s="62">
        <v>23198064</v>
      </c>
      <c r="M2346" s="102">
        <v>5216441026482</v>
      </c>
      <c r="N2346" s="171" t="s">
        <v>130</v>
      </c>
      <c r="O2346" s="50">
        <v>4905.43</v>
      </c>
      <c r="P2346" s="97">
        <v>642.64</v>
      </c>
      <c r="Q2346" s="42">
        <f>OfficeForms.Table[[#This Row],[ INFORMEDEPAGO ]]*0.3</f>
        <v>1471.6290000000001</v>
      </c>
      <c r="R2346" s="12">
        <f>(IF(O2346&lt;4172.98,0,MIN(O2346*0.3,O2346-4172.98)))-P2346</f>
        <v>89.810000000000741</v>
      </c>
      <c r="S2346" s="74">
        <v>45474</v>
      </c>
      <c r="T2346" s="1"/>
      <c r="V2346" s="1"/>
      <c r="X2346" s="101">
        <v>2</v>
      </c>
    </row>
    <row r="2347" spans="1:24" hidden="1">
      <c r="A2347">
        <v>751</v>
      </c>
      <c r="B2347" s="2">
        <v>46233.4687037037</v>
      </c>
      <c r="C2347" s="2">
        <v>46233.472233796303</v>
      </c>
      <c r="D2347" s="1" t="s">
        <v>24</v>
      </c>
      <c r="E2347" s="1"/>
      <c r="F2347" s="29">
        <v>46233</v>
      </c>
      <c r="G2347" s="29">
        <v>46233</v>
      </c>
      <c r="H2347" s="1" t="s">
        <v>51</v>
      </c>
      <c r="I2347" s="1" t="s">
        <v>5406</v>
      </c>
      <c r="J2347" s="207">
        <v>72937253150</v>
      </c>
      <c r="K2347" s="188" t="s">
        <v>5407</v>
      </c>
      <c r="L2347" s="62">
        <v>23228280</v>
      </c>
      <c r="M2347" s="102">
        <v>5217411048718</v>
      </c>
      <c r="N2347" s="171" t="s">
        <v>130</v>
      </c>
      <c r="O2347" s="50">
        <v>5480.3</v>
      </c>
      <c r="P2347" s="97">
        <v>1574.92</v>
      </c>
      <c r="Q2347" s="42">
        <f>OfficeForms.Table[[#This Row],[ INFORMEDEPAGO ]]*0.3</f>
        <v>1644.09</v>
      </c>
      <c r="R2347" s="12">
        <f>(IF(O2347&lt;4172.98,0,MIN(O2347*0.3,O2347-4172.98)))-P2347</f>
        <v>-267.59999999999945</v>
      </c>
      <c r="S2347" s="74">
        <v>45839</v>
      </c>
      <c r="T2347" s="1"/>
      <c r="V2347" s="1"/>
      <c r="X2347" s="101">
        <v>2</v>
      </c>
    </row>
    <row r="2348" spans="1:24" hidden="1">
      <c r="A2348">
        <v>752</v>
      </c>
      <c r="B2348" s="2">
        <v>46233.468356481499</v>
      </c>
      <c r="C2348" s="2">
        <v>46233.4760648148</v>
      </c>
      <c r="D2348" s="1" t="s">
        <v>24</v>
      </c>
      <c r="E2348" s="1"/>
      <c r="F2348" s="29">
        <v>46233</v>
      </c>
      <c r="G2348" s="29">
        <v>46233</v>
      </c>
      <c r="H2348" s="1" t="s">
        <v>160</v>
      </c>
      <c r="I2348" s="1" t="s">
        <v>5386</v>
      </c>
      <c r="J2348" s="207">
        <v>42826441026</v>
      </c>
      <c r="K2348" s="188" t="s">
        <v>5387</v>
      </c>
      <c r="L2348" s="62">
        <v>23223704</v>
      </c>
      <c r="M2348" s="102">
        <v>5215510766575</v>
      </c>
      <c r="N2348" s="171" t="s">
        <v>37</v>
      </c>
      <c r="O2348" s="50">
        <v>10635.54</v>
      </c>
      <c r="P2348" s="97">
        <v>3189.99</v>
      </c>
      <c r="Q2348" s="42">
        <f>OfficeForms.Table[[#This Row],[ INFORMEDEPAGO ]]*0.3</f>
        <v>3190.6620000000003</v>
      </c>
      <c r="R2348" s="12">
        <f>(IF(O2348&lt;4172.98,0,MIN(O2348*0.3,O2348-4172.98)))-P2348</f>
        <v>0.67200000000048021</v>
      </c>
      <c r="S2348" s="74">
        <v>46966</v>
      </c>
      <c r="T2348" s="1"/>
      <c r="V2348" s="1"/>
      <c r="X2348" s="101">
        <v>0</v>
      </c>
    </row>
    <row r="2349" spans="1:24" hidden="1">
      <c r="A2349">
        <v>753</v>
      </c>
      <c r="B2349" s="2">
        <v>46233.476504629602</v>
      </c>
      <c r="C2349" s="2">
        <v>46233.4832523148</v>
      </c>
      <c r="D2349" s="1" t="s">
        <v>24</v>
      </c>
      <c r="E2349" s="1"/>
      <c r="F2349" s="29">
        <v>46233</v>
      </c>
      <c r="G2349" s="29">
        <v>46233</v>
      </c>
      <c r="H2349" s="1" t="s">
        <v>1519</v>
      </c>
      <c r="I2349" s="1" t="s">
        <v>5408</v>
      </c>
      <c r="J2349" s="207">
        <v>12816004340</v>
      </c>
      <c r="K2349" s="188" t="s">
        <v>5409</v>
      </c>
      <c r="L2349" s="62">
        <v>22856344</v>
      </c>
      <c r="M2349" s="102">
        <v>5214774637248</v>
      </c>
      <c r="N2349" s="171" t="s">
        <v>37</v>
      </c>
      <c r="O2349" s="50">
        <v>8173.37</v>
      </c>
      <c r="P2349" s="97">
        <v>2353.39</v>
      </c>
      <c r="Q2349" s="42">
        <f>OfficeForms.Table[[#This Row],[ INFORMEDEPAGO ]]*0.3</f>
        <v>2452.011</v>
      </c>
      <c r="R2349" s="12">
        <f>(IF(O2349&lt;4172.98,0,MIN(O2349*0.3,O2349-4172.98)))-P2349</f>
        <v>98.621000000000095</v>
      </c>
      <c r="S2349" s="74">
        <v>46753</v>
      </c>
      <c r="T2349" s="1"/>
      <c r="V2349" s="1"/>
      <c r="X2349" s="101">
        <v>2</v>
      </c>
    </row>
    <row r="2350" spans="1:24" hidden="1">
      <c r="A2350">
        <v>754</v>
      </c>
      <c r="B2350" s="2">
        <v>46233.425254629597</v>
      </c>
      <c r="C2350" s="2">
        <v>46233.485011574099</v>
      </c>
      <c r="D2350" s="1" t="s">
        <v>24</v>
      </c>
      <c r="E2350" s="1"/>
      <c r="F2350" s="29">
        <v>46233</v>
      </c>
      <c r="G2350" s="29">
        <v>46233</v>
      </c>
      <c r="H2350" s="1" t="s">
        <v>81</v>
      </c>
      <c r="I2350" s="1" t="s">
        <v>5410</v>
      </c>
      <c r="J2350" s="207"/>
      <c r="K2350" s="188" t="s">
        <v>5411</v>
      </c>
      <c r="L2350" s="62">
        <v>23218376</v>
      </c>
      <c r="M2350" s="102">
        <v>5216691516807</v>
      </c>
      <c r="N2350" s="171" t="s">
        <v>106</v>
      </c>
      <c r="O2350" s="50">
        <v>26685.14</v>
      </c>
      <c r="P2350" s="97">
        <v>7406.25</v>
      </c>
      <c r="Q2350" s="42">
        <f>OfficeForms.Table[[#This Row],[ INFORMEDEPAGO ]]*0.3</f>
        <v>8005.5419999999995</v>
      </c>
      <c r="R2350" s="12">
        <f>(IF(O2350&lt;4172.98,0,MIN(O2350*0.3,O2350-4172.98)))-P2350</f>
        <v>599.29199999999946</v>
      </c>
      <c r="S2350" s="74">
        <v>46174</v>
      </c>
      <c r="T2350" s="1"/>
      <c r="V2350" s="1"/>
      <c r="X2350" s="101">
        <v>2</v>
      </c>
    </row>
    <row r="2351" spans="1:24" hidden="1">
      <c r="A2351">
        <v>755</v>
      </c>
      <c r="B2351" s="2">
        <v>46233.472245370402</v>
      </c>
      <c r="C2351" s="2">
        <v>46233.489502314798</v>
      </c>
      <c r="D2351" s="1" t="s">
        <v>24</v>
      </c>
      <c r="E2351" s="1"/>
      <c r="F2351" s="29">
        <v>46233</v>
      </c>
      <c r="G2351" s="29">
        <v>46233</v>
      </c>
      <c r="H2351" s="1" t="s">
        <v>51</v>
      </c>
      <c r="I2351" s="1" t="s">
        <v>5412</v>
      </c>
      <c r="J2351" s="207">
        <v>13846400870</v>
      </c>
      <c r="K2351" s="188" t="s">
        <v>5413</v>
      </c>
      <c r="L2351" s="62">
        <v>23217304</v>
      </c>
      <c r="M2351" s="102">
        <v>5217711635804</v>
      </c>
      <c r="N2351" s="171" t="s">
        <v>37</v>
      </c>
      <c r="O2351" s="52">
        <v>11029.03</v>
      </c>
      <c r="P2351" s="52">
        <v>3291.73</v>
      </c>
      <c r="Q2351" s="42">
        <f>OfficeForms.Table[[#This Row],[ INFORMEDEPAGO ]]*0.3</f>
        <v>3308.7090000000003</v>
      </c>
      <c r="R2351" s="12">
        <f>(IF(O2351&lt;4172.98,0,MIN(O2351*0.3,O2351-4172.98)))-P2351</f>
        <v>16.979000000000269</v>
      </c>
      <c r="S2351" s="74">
        <v>46935</v>
      </c>
      <c r="T2351" s="1"/>
      <c r="V2351" s="1"/>
      <c r="X2351" s="101">
        <v>2</v>
      </c>
    </row>
    <row r="2352" spans="1:24" hidden="1">
      <c r="A2352">
        <v>756</v>
      </c>
      <c r="B2352" s="2">
        <v>46233.490856481498</v>
      </c>
      <c r="C2352" s="2">
        <v>46233.492673611101</v>
      </c>
      <c r="D2352" s="1" t="s">
        <v>24</v>
      </c>
      <c r="E2352" s="1"/>
      <c r="F2352" s="29">
        <v>46233</v>
      </c>
      <c r="G2352" s="29">
        <v>46232</v>
      </c>
      <c r="H2352" s="1" t="s">
        <v>68</v>
      </c>
      <c r="I2352" s="1" t="s">
        <v>5414</v>
      </c>
      <c r="J2352" s="207"/>
      <c r="K2352" s="188" t="s">
        <v>5415</v>
      </c>
      <c r="L2352" s="62">
        <v>23205050</v>
      </c>
      <c r="M2352" s="102">
        <v>5218140065740</v>
      </c>
      <c r="N2352" s="171" t="s">
        <v>32</v>
      </c>
      <c r="O2352" s="52">
        <v>3789.49</v>
      </c>
      <c r="P2352" s="52">
        <v>848</v>
      </c>
      <c r="Q2352" s="42">
        <f>OfficeForms.Table[[#This Row],[ INFORMEDEPAGO ]]*0.3</f>
        <v>1136.847</v>
      </c>
      <c r="R2352" s="12">
        <f>(IF(O2352&lt;4172.98,0,MIN(O2352*0.3,O2352-4172.98)))-P2352</f>
        <v>-848</v>
      </c>
      <c r="T2352" s="1"/>
      <c r="V2352" s="1"/>
      <c r="X2352" s="101">
        <v>1</v>
      </c>
    </row>
    <row r="2353" spans="1:24" hidden="1">
      <c r="A2353">
        <v>757</v>
      </c>
      <c r="B2353" s="2">
        <v>46233.490983796299</v>
      </c>
      <c r="C2353" s="2">
        <v>46233.492766203701</v>
      </c>
      <c r="D2353" s="1" t="s">
        <v>24</v>
      </c>
      <c r="E2353" s="1"/>
      <c r="F2353" s="29">
        <v>46233</v>
      </c>
      <c r="G2353" s="29">
        <v>46233</v>
      </c>
      <c r="H2353" s="1" t="s">
        <v>160</v>
      </c>
      <c r="I2353" s="1" t="s">
        <v>5416</v>
      </c>
      <c r="J2353" s="207">
        <v>10796021524</v>
      </c>
      <c r="K2353" s="188" t="s">
        <v>5417</v>
      </c>
      <c r="L2353" s="62">
        <v>23222142</v>
      </c>
      <c r="M2353" s="102">
        <v>5215512003222</v>
      </c>
      <c r="N2353" s="171" t="s">
        <v>37</v>
      </c>
      <c r="O2353" s="91">
        <v>7116.73</v>
      </c>
      <c r="P2353" s="97">
        <v>2123.15</v>
      </c>
      <c r="Q2353" s="42">
        <f>OfficeForms.Table[[#This Row],[ INFORMEDEPAGO ]]*0.3</f>
        <v>2135.0189999999998</v>
      </c>
      <c r="R2353" s="12">
        <f>(IF(O2353&lt;4172.98,0,MIN(O2353*0.3,O2353-4172.98)))-P2353</f>
        <v>11.868999999999687</v>
      </c>
      <c r="S2353" s="74">
        <v>46905</v>
      </c>
      <c r="T2353" s="1" t="s">
        <v>84</v>
      </c>
      <c r="V2353" s="1"/>
      <c r="X2353" s="101">
        <v>2</v>
      </c>
    </row>
    <row r="2354" spans="1:24" hidden="1">
      <c r="A2354">
        <v>758</v>
      </c>
      <c r="B2354" s="2">
        <v>46233.489525463003</v>
      </c>
      <c r="C2354" s="2">
        <v>46233.493564814802</v>
      </c>
      <c r="D2354" s="1" t="s">
        <v>24</v>
      </c>
      <c r="E2354" s="1"/>
      <c r="F2354" s="29">
        <v>46233</v>
      </c>
      <c r="G2354" s="29">
        <v>46233</v>
      </c>
      <c r="H2354" s="1" t="s">
        <v>51</v>
      </c>
      <c r="I2354" s="1" t="s">
        <v>5418</v>
      </c>
      <c r="J2354" s="207">
        <v>24674924725</v>
      </c>
      <c r="K2354" s="188" t="s">
        <v>5419</v>
      </c>
      <c r="L2354" s="62">
        <v>23226430</v>
      </c>
      <c r="M2354" s="102">
        <v>5216623487017</v>
      </c>
      <c r="N2354" s="171" t="s">
        <v>37</v>
      </c>
      <c r="O2354" s="52">
        <v>5385.91</v>
      </c>
      <c r="P2354" s="52">
        <v>944.1</v>
      </c>
      <c r="Q2354" s="42">
        <f>OfficeForms.Table[[#This Row],[ INFORMEDEPAGO ]]*0.3</f>
        <v>1615.7729999999999</v>
      </c>
      <c r="R2354" s="12">
        <f>(IF(O2354&lt;4172.98,0,MIN(O2354*0.3,O2354-4172.98)))-P2354</f>
        <v>268.83000000000027</v>
      </c>
      <c r="S2354" s="74">
        <v>46327</v>
      </c>
      <c r="T2354" s="1" t="s">
        <v>259</v>
      </c>
      <c r="V2354" s="1"/>
      <c r="X2354" s="101">
        <v>2</v>
      </c>
    </row>
    <row r="2355" spans="1:24" hidden="1">
      <c r="A2355">
        <v>759</v>
      </c>
      <c r="B2355" s="2">
        <v>46233.495405092603</v>
      </c>
      <c r="C2355" s="2">
        <v>46233.496041666702</v>
      </c>
      <c r="D2355" s="1" t="s">
        <v>24</v>
      </c>
      <c r="E2355" s="1"/>
      <c r="F2355" s="29">
        <v>46233</v>
      </c>
      <c r="G2355" s="29">
        <v>46232</v>
      </c>
      <c r="H2355" s="1" t="s">
        <v>3575</v>
      </c>
      <c r="I2355" s="1" t="s">
        <v>5420</v>
      </c>
      <c r="J2355" s="207"/>
      <c r="K2355" s="188" t="s">
        <v>5421</v>
      </c>
      <c r="L2355" s="62">
        <v>23213822</v>
      </c>
      <c r="M2355" s="102">
        <v>5216141762152</v>
      </c>
      <c r="N2355" s="171" t="s">
        <v>28</v>
      </c>
      <c r="O2355" s="52">
        <v>25523.54</v>
      </c>
      <c r="P2355" s="97"/>
      <c r="Q2355" s="42">
        <f>OfficeForms.Table[[#This Row],[ INFORMEDEPAGO ]]*0.3</f>
        <v>7657.0619999999999</v>
      </c>
      <c r="R2355" s="12">
        <f>(IF(O2355&lt;4172.98,0,MIN(O2355*0.3,O2355-4172.98)))-P2355</f>
        <v>7657.0619999999999</v>
      </c>
      <c r="T2355" s="1"/>
      <c r="V2355" s="1"/>
      <c r="X2355" s="101">
        <v>1</v>
      </c>
    </row>
    <row r="2356" spans="1:24" hidden="1">
      <c r="A2356">
        <v>760</v>
      </c>
      <c r="B2356" s="2">
        <v>46233.495729166701</v>
      </c>
      <c r="C2356" s="2">
        <v>46233.496296296304</v>
      </c>
      <c r="D2356" s="1" t="s">
        <v>24</v>
      </c>
      <c r="E2356" s="1"/>
      <c r="F2356" s="29">
        <v>46233</v>
      </c>
      <c r="G2356" s="29">
        <v>46233</v>
      </c>
      <c r="H2356" s="1" t="s">
        <v>269</v>
      </c>
      <c r="I2356" s="1" t="s">
        <v>5422</v>
      </c>
      <c r="J2356" s="208" t="s">
        <v>5423</v>
      </c>
      <c r="K2356" s="188" t="s">
        <v>5424</v>
      </c>
      <c r="L2356" s="62">
        <v>23226670</v>
      </c>
      <c r="M2356" s="102">
        <v>5212219940932</v>
      </c>
      <c r="N2356" s="171" t="s">
        <v>32</v>
      </c>
      <c r="O2356" s="50">
        <v>4342.43</v>
      </c>
      <c r="P2356" s="97"/>
      <c r="Q2356" s="42">
        <f>OfficeForms.Table[[#This Row],[ INFORMEDEPAGO ]]*0.3</f>
        <v>1302.729</v>
      </c>
      <c r="R2356" s="12">
        <f>(IF(O2356&lt;4172.98,0,MIN(O2356*0.3,O2356-4172.98)))-P2356</f>
        <v>169.45000000000073</v>
      </c>
      <c r="T2356" s="1"/>
      <c r="V2356" s="1"/>
      <c r="X2356" s="101">
        <v>1</v>
      </c>
    </row>
    <row r="2357" spans="1:24" hidden="1">
      <c r="A2357">
        <v>761</v>
      </c>
      <c r="B2357" s="2">
        <v>46233.4850462963</v>
      </c>
      <c r="C2357" s="2">
        <v>46233.506435185198</v>
      </c>
      <c r="D2357" s="1" t="s">
        <v>24</v>
      </c>
      <c r="E2357" s="1"/>
      <c r="F2357" s="29">
        <v>46233</v>
      </c>
      <c r="G2357" s="29">
        <v>46233</v>
      </c>
      <c r="H2357" s="1" t="s">
        <v>81</v>
      </c>
      <c r="I2357" s="1" t="s">
        <v>5425</v>
      </c>
      <c r="J2357" s="207"/>
      <c r="K2357" s="188" t="s">
        <v>5426</v>
      </c>
      <c r="L2357" s="62">
        <v>23221284</v>
      </c>
      <c r="M2357" s="102">
        <v>5214427224006</v>
      </c>
      <c r="N2357" s="171" t="s">
        <v>37</v>
      </c>
      <c r="O2357" s="52">
        <v>6595.37</v>
      </c>
      <c r="P2357" s="52">
        <v>1907.11</v>
      </c>
      <c r="Q2357" s="42">
        <f>OfficeForms.Table[[#This Row],[ INFORMEDEPAGO ]]*0.3</f>
        <v>1978.6109999999999</v>
      </c>
      <c r="R2357" s="12">
        <f>(IF(O2357&lt;4172.98,0,MIN(O2357*0.3,O2357-4172.98)))-P2357</f>
        <v>71.500999999999976</v>
      </c>
      <c r="S2357" s="74">
        <v>46600</v>
      </c>
      <c r="T2357" s="1"/>
      <c r="V2357" s="1"/>
      <c r="X2357" s="101">
        <v>2</v>
      </c>
    </row>
    <row r="2358" spans="1:24" hidden="1">
      <c r="A2358">
        <v>762</v>
      </c>
      <c r="B2358" s="2">
        <v>46233.506793981498</v>
      </c>
      <c r="C2358" s="2">
        <v>46233.507581018501</v>
      </c>
      <c r="D2358" s="1" t="s">
        <v>24</v>
      </c>
      <c r="E2358" s="1"/>
      <c r="F2358" s="29">
        <v>46233</v>
      </c>
      <c r="G2358" s="29">
        <v>46233</v>
      </c>
      <c r="H2358" s="1" t="s">
        <v>269</v>
      </c>
      <c r="I2358" s="1" t="s">
        <v>5427</v>
      </c>
      <c r="J2358" s="175" t="s">
        <v>5428</v>
      </c>
      <c r="K2358" s="188" t="s">
        <v>5429</v>
      </c>
      <c r="L2358" s="62">
        <v>23215190</v>
      </c>
      <c r="M2358" s="102">
        <v>5216142298357</v>
      </c>
      <c r="N2358" s="171" t="s">
        <v>37</v>
      </c>
      <c r="O2358" s="52">
        <v>7826.61</v>
      </c>
      <c r="P2358" s="52">
        <f>198.59+2428.9</f>
        <v>2627.4900000000002</v>
      </c>
      <c r="Q2358" s="42">
        <f>OfficeForms.Table[[#This Row],[ INFORMEDEPAGO ]]*0.3</f>
        <v>2347.9829999999997</v>
      </c>
      <c r="R2358" s="12">
        <f>(IF(O2358&lt;4172.98,0,MIN(O2358*0.3,O2358-4172.98)))-P2358</f>
        <v>-279.50700000000052</v>
      </c>
      <c r="S2358" s="74">
        <v>46388</v>
      </c>
      <c r="T2358" s="1" t="s">
        <v>5368</v>
      </c>
      <c r="V2358" s="1"/>
      <c r="X2358" s="101">
        <v>2</v>
      </c>
    </row>
    <row r="2359" spans="1:24" hidden="1">
      <c r="A2359">
        <v>763</v>
      </c>
      <c r="B2359" s="2">
        <v>46233.506458333301</v>
      </c>
      <c r="C2359" s="2">
        <v>46233.5085763889</v>
      </c>
      <c r="D2359" s="1" t="s">
        <v>24</v>
      </c>
      <c r="E2359" s="1"/>
      <c r="F2359" s="29">
        <v>46233</v>
      </c>
      <c r="G2359" s="29">
        <v>46233</v>
      </c>
      <c r="H2359" s="1" t="s">
        <v>81</v>
      </c>
      <c r="I2359" s="1" t="s">
        <v>5430</v>
      </c>
      <c r="J2359" s="175"/>
      <c r="K2359" s="188" t="s">
        <v>5431</v>
      </c>
      <c r="L2359" s="62">
        <v>23223160</v>
      </c>
      <c r="M2359" s="102">
        <v>5218116611771</v>
      </c>
      <c r="N2359" s="171" t="s">
        <v>32</v>
      </c>
      <c r="O2359" s="50">
        <v>3914.2</v>
      </c>
      <c r="P2359" s="97"/>
      <c r="Q2359" s="42">
        <f>OfficeForms.Table[[#This Row],[ INFORMEDEPAGO ]]*0.3</f>
        <v>1174.26</v>
      </c>
      <c r="R2359" s="12">
        <f>(IF(O2359&lt;4172.98,0,MIN(O2359*0.3,O2359-4172.98)))-P2359</f>
        <v>0</v>
      </c>
      <c r="T2359" s="1"/>
      <c r="V2359" s="1"/>
      <c r="X2359" s="101">
        <v>1</v>
      </c>
    </row>
    <row r="2360" spans="1:24" hidden="1">
      <c r="A2360">
        <v>764</v>
      </c>
      <c r="B2360" s="2">
        <v>46233.508831018502</v>
      </c>
      <c r="C2360" s="2">
        <v>46233.5092939815</v>
      </c>
      <c r="D2360" s="1" t="s">
        <v>24</v>
      </c>
      <c r="E2360" s="1"/>
      <c r="F2360" s="29">
        <v>46233</v>
      </c>
      <c r="G2360" s="29">
        <v>46233</v>
      </c>
      <c r="H2360" s="1" t="s">
        <v>269</v>
      </c>
      <c r="I2360" s="1" t="s">
        <v>5432</v>
      </c>
      <c r="J2360" s="207" t="s">
        <v>5433</v>
      </c>
      <c r="K2360" s="188" t="s">
        <v>5434</v>
      </c>
      <c r="L2360" s="62">
        <v>23214928</v>
      </c>
      <c r="M2360" s="102">
        <v>5216181511319</v>
      </c>
      <c r="N2360" s="171" t="s">
        <v>98</v>
      </c>
      <c r="O2360" s="50"/>
      <c r="P2360" s="97"/>
      <c r="Q2360" s="42">
        <f>OfficeForms.Table[[#This Row],[ INFORMEDEPAGO ]]*0.3</f>
        <v>0</v>
      </c>
      <c r="R2360" s="12">
        <f>(IF(O2360&lt;4172.98,0,MIN(O2360*0.3,O2360-4172.98)))-P2360</f>
        <v>0</v>
      </c>
      <c r="T2360" s="1"/>
      <c r="V2360" s="1"/>
      <c r="X2360" s="101">
        <v>0</v>
      </c>
    </row>
    <row r="2361" spans="1:24" hidden="1">
      <c r="A2361">
        <v>765</v>
      </c>
      <c r="B2361" s="2">
        <v>46233.508587962999</v>
      </c>
      <c r="C2361" s="2">
        <v>46233.509942129604</v>
      </c>
      <c r="D2361" s="1" t="s">
        <v>24</v>
      </c>
      <c r="E2361" s="1"/>
      <c r="F2361" s="29">
        <v>46233</v>
      </c>
      <c r="G2361" s="29">
        <v>46233</v>
      </c>
      <c r="H2361" s="1" t="s">
        <v>81</v>
      </c>
      <c r="I2361" s="1" t="s">
        <v>5435</v>
      </c>
      <c r="J2361" s="207"/>
      <c r="K2361" s="188" t="s">
        <v>5436</v>
      </c>
      <c r="L2361" s="62">
        <v>23225756</v>
      </c>
      <c r="M2361" s="102">
        <v>5218281018214</v>
      </c>
      <c r="N2361" s="171" t="s">
        <v>106</v>
      </c>
      <c r="O2361" s="50">
        <v>9432.9500000000007</v>
      </c>
      <c r="P2361" s="97">
        <v>2610</v>
      </c>
      <c r="Q2361" s="42">
        <f>OfficeForms.Table[[#This Row],[ INFORMEDEPAGO ]]*0.3</f>
        <v>2829.8850000000002</v>
      </c>
      <c r="R2361" s="12">
        <f>(IF(O2361&lt;4172.98,0,MIN(O2361*0.3,O2361-4172.98)))-P2361</f>
        <v>219.88500000000022</v>
      </c>
      <c r="S2361" s="74">
        <v>46204</v>
      </c>
      <c r="T2361" s="1"/>
      <c r="V2361" s="1"/>
      <c r="X2361" s="101">
        <v>2</v>
      </c>
    </row>
    <row r="2362" spans="1:24" hidden="1">
      <c r="A2362">
        <v>766</v>
      </c>
      <c r="B2362" s="2">
        <v>46233.511469907397</v>
      </c>
      <c r="C2362" s="2">
        <v>46233.512627314798</v>
      </c>
      <c r="D2362" s="1" t="s">
        <v>24</v>
      </c>
      <c r="E2362" s="1"/>
      <c r="F2362" s="29">
        <v>46233</v>
      </c>
      <c r="G2362" s="29">
        <v>46233</v>
      </c>
      <c r="H2362" s="1" t="s">
        <v>81</v>
      </c>
      <c r="I2362" s="1" t="s">
        <v>5437</v>
      </c>
      <c r="J2362" s="207"/>
      <c r="K2362" s="188" t="s">
        <v>5438</v>
      </c>
      <c r="L2362" s="62">
        <v>23229476</v>
      </c>
      <c r="M2362" s="102">
        <v>5216413265447</v>
      </c>
      <c r="N2362" s="171" t="s">
        <v>37</v>
      </c>
      <c r="O2362" s="52">
        <v>10474.27</v>
      </c>
      <c r="P2362" s="52">
        <v>3135.35</v>
      </c>
      <c r="Q2362" s="42">
        <f>OfficeForms.Table[[#This Row],[ INFORMEDEPAGO ]]*0.3</f>
        <v>3142.2809999999999</v>
      </c>
      <c r="R2362" s="12">
        <f>(IF(O2362&lt;4172.98,0,MIN(O2362*0.3,O2362-4172.98)))-P2362</f>
        <v>6.93100000000004</v>
      </c>
      <c r="S2362" s="74">
        <v>46844</v>
      </c>
      <c r="T2362" s="1" t="s">
        <v>259</v>
      </c>
      <c r="V2362" s="1"/>
      <c r="X2362" s="101">
        <v>2</v>
      </c>
    </row>
    <row r="2363" spans="1:24" hidden="1">
      <c r="A2363">
        <v>767</v>
      </c>
      <c r="B2363" s="2">
        <v>46233.511087963001</v>
      </c>
      <c r="C2363" s="2">
        <v>46233.513368055603</v>
      </c>
      <c r="D2363" s="1" t="s">
        <v>24</v>
      </c>
      <c r="E2363" s="1"/>
      <c r="F2363" s="29">
        <v>46233</v>
      </c>
      <c r="G2363" s="29">
        <v>46228</v>
      </c>
      <c r="H2363" s="1" t="s">
        <v>3452</v>
      </c>
      <c r="I2363" s="1" t="s">
        <v>5439</v>
      </c>
      <c r="J2363" s="207"/>
      <c r="K2363" s="188" t="s">
        <v>5440</v>
      </c>
      <c r="L2363" s="62">
        <v>23109110</v>
      </c>
      <c r="M2363" s="102">
        <v>3326000555</v>
      </c>
      <c r="N2363" s="171" t="s">
        <v>37</v>
      </c>
      <c r="O2363" s="52">
        <v>7116.73</v>
      </c>
      <c r="P2363" s="52">
        <v>2056.8000000000002</v>
      </c>
      <c r="Q2363" s="42">
        <f>OfficeForms.Table[[#This Row],[ INFORMEDEPAGO ]]*0.3</f>
        <v>2135.0189999999998</v>
      </c>
      <c r="R2363" s="12">
        <f>(IF(O2363&lt;4172.98,0,MIN(O2363*0.3,O2363-4172.98)))-P2363</f>
        <v>78.218999999999596</v>
      </c>
      <c r="S2363" s="74">
        <v>46784</v>
      </c>
      <c r="T2363" s="1"/>
      <c r="V2363" s="1"/>
      <c r="X2363" s="101">
        <v>2</v>
      </c>
    </row>
    <row r="2364" spans="1:24" hidden="1">
      <c r="A2364">
        <v>768</v>
      </c>
      <c r="B2364" s="2">
        <v>46233.511458333298</v>
      </c>
      <c r="C2364" s="2">
        <v>46233.514178240701</v>
      </c>
      <c r="D2364" s="1" t="s">
        <v>24</v>
      </c>
      <c r="E2364" s="1"/>
      <c r="F2364" s="29">
        <v>46233</v>
      </c>
      <c r="G2364" s="29">
        <v>46233</v>
      </c>
      <c r="H2364" s="1" t="s">
        <v>1519</v>
      </c>
      <c r="I2364" s="1" t="s">
        <v>5441</v>
      </c>
      <c r="J2364" s="207">
        <v>24816418164</v>
      </c>
      <c r="K2364" s="188" t="s">
        <v>5442</v>
      </c>
      <c r="L2364" s="62">
        <v>22916794</v>
      </c>
      <c r="M2364" s="102">
        <v>5216622211042</v>
      </c>
      <c r="N2364" s="171" t="s">
        <v>28</v>
      </c>
      <c r="O2364" s="50">
        <v>37742.629999999997</v>
      </c>
      <c r="P2364" s="97"/>
      <c r="Q2364" s="42">
        <f>OfficeForms.Table[[#This Row],[ INFORMEDEPAGO ]]*0.3</f>
        <v>11322.788999999999</v>
      </c>
      <c r="R2364" s="12">
        <f>(IF(O2364&lt;4172.98,0,MIN(O2364*0.3,O2364-4172.98)))-P2364</f>
        <v>11322.788999999999</v>
      </c>
      <c r="T2364" s="1"/>
      <c r="V2364" s="1"/>
      <c r="X2364" s="101">
        <v>1</v>
      </c>
    </row>
    <row r="2365" spans="1:24" hidden="1">
      <c r="A2365">
        <v>769</v>
      </c>
      <c r="B2365" s="2">
        <v>46233.493587962999</v>
      </c>
      <c r="C2365" s="2">
        <v>46233.516562500001</v>
      </c>
      <c r="D2365" s="1" t="s">
        <v>24</v>
      </c>
      <c r="E2365" s="1"/>
      <c r="F2365" s="29">
        <v>46233</v>
      </c>
      <c r="G2365" s="29">
        <v>46232</v>
      </c>
      <c r="H2365" s="1" t="s">
        <v>51</v>
      </c>
      <c r="I2365" s="1" t="s">
        <v>5443</v>
      </c>
      <c r="J2365" s="207">
        <v>49865001520</v>
      </c>
      <c r="K2365" s="188" t="s">
        <v>5444</v>
      </c>
      <c r="L2365" s="62">
        <v>23214702</v>
      </c>
      <c r="M2365" s="102">
        <v>5218341142670</v>
      </c>
      <c r="N2365" s="171" t="s">
        <v>32</v>
      </c>
      <c r="O2365" s="50">
        <v>3879.67</v>
      </c>
      <c r="P2365" s="97"/>
      <c r="Q2365" s="42">
        <f>OfficeForms.Table[[#This Row],[ INFORMEDEPAGO ]]*0.3</f>
        <v>1163.9010000000001</v>
      </c>
      <c r="R2365" s="12">
        <f>(IF(O2365&lt;4172.98,0,MIN(O2365*0.3,O2365-4172.98)))-P2365</f>
        <v>0</v>
      </c>
      <c r="T2365" s="1"/>
      <c r="V2365" s="1"/>
      <c r="X2365" s="101">
        <v>1</v>
      </c>
    </row>
    <row r="2366" spans="1:24" hidden="1">
      <c r="A2366">
        <v>770</v>
      </c>
      <c r="B2366" s="2">
        <v>46233.516585648104</v>
      </c>
      <c r="C2366" s="2">
        <v>46233.523900462998</v>
      </c>
      <c r="D2366" s="1" t="s">
        <v>24</v>
      </c>
      <c r="E2366" s="1"/>
      <c r="F2366" s="29">
        <v>46233</v>
      </c>
      <c r="G2366" s="29">
        <v>46233</v>
      </c>
      <c r="H2366" s="1" t="s">
        <v>51</v>
      </c>
      <c r="I2366" s="1" t="s">
        <v>5445</v>
      </c>
      <c r="J2366" s="207">
        <v>71966600513</v>
      </c>
      <c r="K2366" s="188" t="s">
        <v>5446</v>
      </c>
      <c r="L2366" s="62">
        <v>23232244</v>
      </c>
      <c r="M2366" s="102">
        <v>5219642053281</v>
      </c>
      <c r="N2366" s="171" t="s">
        <v>28</v>
      </c>
      <c r="O2366" s="50">
        <v>10636.53</v>
      </c>
      <c r="P2366" s="97"/>
      <c r="Q2366" s="42">
        <f>OfficeForms.Table[[#This Row],[ INFORMEDEPAGO ]]*0.3</f>
        <v>3190.9590000000003</v>
      </c>
      <c r="R2366" s="12">
        <f>(IF(O2366&lt;4172.98,0,MIN(O2366*0.3,O2366-4172.98)))-P2366</f>
        <v>3190.9590000000003</v>
      </c>
      <c r="T2366" s="1"/>
      <c r="V2366" s="1"/>
      <c r="X2366" s="101">
        <v>1</v>
      </c>
    </row>
    <row r="2367" spans="1:24" hidden="1">
      <c r="A2367">
        <v>771</v>
      </c>
      <c r="B2367" s="2">
        <v>46233.500706018502</v>
      </c>
      <c r="C2367" s="2">
        <v>46233.524131944403</v>
      </c>
      <c r="D2367" s="1" t="s">
        <v>24</v>
      </c>
      <c r="E2367" s="1"/>
      <c r="F2367" s="29">
        <v>46233</v>
      </c>
      <c r="G2367" s="29">
        <v>46233</v>
      </c>
      <c r="H2367" s="1" t="s">
        <v>160</v>
      </c>
      <c r="I2367" s="1" t="s">
        <v>5447</v>
      </c>
      <c r="J2367" s="207">
        <v>12766300409</v>
      </c>
      <c r="K2367" s="188" t="s">
        <v>5448</v>
      </c>
      <c r="L2367" s="62">
        <v>23228472</v>
      </c>
      <c r="M2367" s="102">
        <v>5214775620436</v>
      </c>
      <c r="N2367" s="171" t="s">
        <v>37</v>
      </c>
      <c r="O2367" s="50">
        <v>9504.7000000000007</v>
      </c>
      <c r="P2367" s="97">
        <v>2748.95</v>
      </c>
      <c r="Q2367" s="42">
        <f>OfficeForms.Table[[#This Row],[ INFORMEDEPAGO ]]*0.3</f>
        <v>2851.4100000000003</v>
      </c>
      <c r="R2367" s="12">
        <f>(IF(O2367&lt;4172.98,0,MIN(O2367*0.3,O2367-4172.98)))-P2367</f>
        <v>102.46000000000049</v>
      </c>
      <c r="S2367" s="74">
        <v>46447</v>
      </c>
      <c r="T2367" s="1"/>
      <c r="V2367" s="1"/>
      <c r="X2367" s="101">
        <v>2</v>
      </c>
    </row>
    <row r="2368" spans="1:24" hidden="1">
      <c r="A2368">
        <v>772</v>
      </c>
      <c r="B2368" s="2">
        <v>46233.512638888897</v>
      </c>
      <c r="C2368" s="2">
        <v>46233.525625000002</v>
      </c>
      <c r="D2368" s="1" t="s">
        <v>24</v>
      </c>
      <c r="E2368" s="1"/>
      <c r="F2368" s="29">
        <v>46233</v>
      </c>
      <c r="G2368" s="29">
        <v>46232</v>
      </c>
      <c r="H2368" s="1" t="s">
        <v>81</v>
      </c>
      <c r="I2368" s="1" t="s">
        <v>5449</v>
      </c>
      <c r="J2368" s="207">
        <v>10806170055</v>
      </c>
      <c r="K2368" s="188" t="s">
        <v>5450</v>
      </c>
      <c r="L2368" s="62">
        <v>23216322</v>
      </c>
      <c r="M2368" s="102">
        <v>5212431140510</v>
      </c>
      <c r="N2368" s="171" t="s">
        <v>37</v>
      </c>
      <c r="O2368" s="52">
        <v>13693.59</v>
      </c>
      <c r="P2368" s="52">
        <v>3961.88</v>
      </c>
      <c r="Q2368" s="42">
        <f>OfficeForms.Table[[#This Row],[ INFORMEDEPAGO ]]*0.3</f>
        <v>4108.0770000000002</v>
      </c>
      <c r="R2368" s="12">
        <f>(IF(O2368&lt;4172.98,0,MIN(O2368*0.3,O2368-4172.98)))-P2368</f>
        <v>146.19700000000012</v>
      </c>
      <c r="S2368" s="74">
        <v>46722</v>
      </c>
      <c r="T2368" s="1" t="s">
        <v>5368</v>
      </c>
      <c r="V2368" s="1"/>
      <c r="X2368" s="101">
        <v>2</v>
      </c>
    </row>
    <row r="2369" spans="1:24" hidden="1">
      <c r="A2369">
        <v>773</v>
      </c>
      <c r="B2369" s="2">
        <v>46233.522245370397</v>
      </c>
      <c r="C2369" s="2">
        <v>46233.525671296302</v>
      </c>
      <c r="D2369" s="1" t="s">
        <v>24</v>
      </c>
      <c r="E2369" s="1"/>
      <c r="F2369" s="29">
        <v>46233</v>
      </c>
      <c r="G2369" s="29">
        <v>46232</v>
      </c>
      <c r="H2369" s="1" t="s">
        <v>81</v>
      </c>
      <c r="I2369" s="1" t="s">
        <v>5451</v>
      </c>
      <c r="J2369" s="207"/>
      <c r="K2369" s="188" t="s">
        <v>5452</v>
      </c>
      <c r="L2369" s="62">
        <v>23217966</v>
      </c>
      <c r="M2369" s="102">
        <v>5214444574585</v>
      </c>
      <c r="N2369" s="171" t="s">
        <v>32</v>
      </c>
      <c r="O2369" s="52">
        <v>4199.87</v>
      </c>
      <c r="P2369" s="52">
        <v>848</v>
      </c>
      <c r="Q2369" s="42">
        <f>OfficeForms.Table[[#This Row],[ INFORMEDEPAGO ]]*0.3</f>
        <v>1259.961</v>
      </c>
      <c r="R2369" s="12">
        <f>(IF(O2369&lt;4172.98,0,MIN(O2369*0.3,O2369-4172.98)))-P2369</f>
        <v>-821.10999999999967</v>
      </c>
      <c r="T2369" s="1"/>
      <c r="V2369" s="1"/>
      <c r="X2369" s="101">
        <v>1</v>
      </c>
    </row>
    <row r="2370" spans="1:24" hidden="1">
      <c r="A2370">
        <v>774</v>
      </c>
      <c r="B2370" s="2">
        <v>46233.524282407401</v>
      </c>
      <c r="C2370" s="2">
        <v>46233.528657407398</v>
      </c>
      <c r="D2370" s="1" t="s">
        <v>24</v>
      </c>
      <c r="E2370" s="1"/>
      <c r="F2370" s="29">
        <v>46233</v>
      </c>
      <c r="G2370" s="29">
        <v>46233</v>
      </c>
      <c r="H2370" s="1" t="s">
        <v>160</v>
      </c>
      <c r="I2370" s="1" t="s">
        <v>5453</v>
      </c>
      <c r="J2370" s="207">
        <v>31937215346</v>
      </c>
      <c r="K2370" s="188" t="s">
        <v>5454</v>
      </c>
      <c r="L2370" s="62">
        <v>23231928</v>
      </c>
      <c r="M2370" s="102">
        <v>5216181545548</v>
      </c>
      <c r="N2370" s="171" t="s">
        <v>32</v>
      </c>
      <c r="O2370" s="67">
        <v>2790.78</v>
      </c>
      <c r="P2370" s="99">
        <v>672</v>
      </c>
      <c r="Q2370" s="42">
        <f>OfficeForms.Table[[#This Row],[ INFORMEDEPAGO ]]*0.3</f>
        <v>837.23400000000004</v>
      </c>
      <c r="R2370" s="12">
        <f>(IF(O2370&lt;4172.98,0,MIN(O2370*0.3,O2370-4172.98)))-P2370</f>
        <v>-672</v>
      </c>
      <c r="T2370" s="1"/>
      <c r="V2370" s="1"/>
      <c r="X2370" s="101">
        <v>1</v>
      </c>
    </row>
    <row r="2371" spans="1:24" hidden="1">
      <c r="A2371">
        <v>775</v>
      </c>
      <c r="B2371" s="2">
        <v>46233.527557870402</v>
      </c>
      <c r="C2371" s="2">
        <v>46233.528923611098</v>
      </c>
      <c r="D2371" s="1" t="s">
        <v>24</v>
      </c>
      <c r="E2371" s="1"/>
      <c r="F2371" s="29">
        <v>46233</v>
      </c>
      <c r="G2371" s="29">
        <v>46231</v>
      </c>
      <c r="H2371" s="1" t="s">
        <v>5135</v>
      </c>
      <c r="I2371" s="1" t="s">
        <v>5455</v>
      </c>
      <c r="J2371" s="207"/>
      <c r="K2371" s="188" t="s">
        <v>5456</v>
      </c>
      <c r="L2371" s="62">
        <v>23186944</v>
      </c>
      <c r="M2371" s="102">
        <v>5215652001299</v>
      </c>
      <c r="N2371" s="171" t="s">
        <v>37</v>
      </c>
      <c r="O2371" s="52">
        <v>7640.52</v>
      </c>
      <c r="P2371" s="52">
        <v>2197.5700000000002</v>
      </c>
      <c r="Q2371" s="42">
        <f>OfficeForms.Table[[#This Row],[ INFORMEDEPAGO ]]*0.3</f>
        <v>2292.1559999999999</v>
      </c>
      <c r="R2371" s="12">
        <f>(IF(O2371&lt;4172.98,0,MIN(O2371*0.3,O2371-4172.98)))-P2371</f>
        <v>94.585999999999785</v>
      </c>
      <c r="S2371" s="74">
        <v>46388</v>
      </c>
      <c r="T2371" s="1" t="s">
        <v>259</v>
      </c>
      <c r="V2371" s="1"/>
      <c r="X2371" s="101">
        <v>2</v>
      </c>
    </row>
    <row r="2372" spans="1:24" hidden="1">
      <c r="A2372">
        <v>776</v>
      </c>
      <c r="B2372" s="2">
        <v>46233.530775462998</v>
      </c>
      <c r="C2372" s="2">
        <v>46233.5334953704</v>
      </c>
      <c r="D2372" s="1" t="s">
        <v>24</v>
      </c>
      <c r="E2372" s="1"/>
      <c r="F2372" s="29">
        <v>46233</v>
      </c>
      <c r="G2372" s="29">
        <v>46233</v>
      </c>
      <c r="H2372" s="1" t="s">
        <v>160</v>
      </c>
      <c r="I2372" s="1" t="s">
        <v>5457</v>
      </c>
      <c r="J2372" s="207">
        <v>75936201468</v>
      </c>
      <c r="K2372" s="188" t="s">
        <v>5458</v>
      </c>
      <c r="L2372" s="62">
        <v>23224972</v>
      </c>
      <c r="M2372" s="102">
        <v>5215540130398</v>
      </c>
      <c r="N2372" s="171" t="s">
        <v>37</v>
      </c>
      <c r="O2372" s="67">
        <v>9081.52</v>
      </c>
      <c r="P2372" s="99">
        <v>2521.35</v>
      </c>
      <c r="Q2372" s="42">
        <f>OfficeForms.Table[[#This Row],[ INFORMEDEPAGO ]]*0.3</f>
        <v>2724.4560000000001</v>
      </c>
      <c r="R2372" s="12">
        <f>(IF(O2372&lt;4172.98,0,MIN(O2372*0.3,O2372-4172.98)))-P2372</f>
        <v>203.10600000000022</v>
      </c>
      <c r="S2372" s="74">
        <v>46388</v>
      </c>
      <c r="T2372" s="1"/>
      <c r="V2372" s="1"/>
      <c r="X2372" s="101">
        <v>2</v>
      </c>
    </row>
    <row r="2373" spans="1:24" hidden="1">
      <c r="A2373">
        <v>777</v>
      </c>
      <c r="B2373" s="2">
        <v>46233.538425925901</v>
      </c>
      <c r="C2373" s="2">
        <v>46233.539097222201</v>
      </c>
      <c r="D2373" s="1" t="s">
        <v>24</v>
      </c>
      <c r="E2373" s="1"/>
      <c r="F2373" s="29">
        <v>46233</v>
      </c>
      <c r="G2373" s="29">
        <v>46232</v>
      </c>
      <c r="H2373" s="1" t="s">
        <v>3036</v>
      </c>
      <c r="I2373" s="1" t="s">
        <v>5459</v>
      </c>
      <c r="J2373" s="207" t="s">
        <v>5460</v>
      </c>
      <c r="K2373" s="188"/>
      <c r="L2373" s="62">
        <v>23232876</v>
      </c>
      <c r="M2373" s="102">
        <v>5214776718047</v>
      </c>
      <c r="N2373" s="171" t="s">
        <v>263</v>
      </c>
      <c r="O2373" s="52">
        <v>8078.05</v>
      </c>
      <c r="P2373" s="52">
        <v>2208.21</v>
      </c>
      <c r="Q2373" s="42">
        <f>OfficeForms.Table[[#This Row],[ INFORMEDEPAGO ]]*0.3</f>
        <v>2423.415</v>
      </c>
      <c r="R2373" s="12">
        <f>(IF(O2373&lt;4172.98,0,MIN(O2373*0.3,O2373-4172.98)))-P2373</f>
        <v>215.20499999999993</v>
      </c>
      <c r="S2373" s="74">
        <v>43221</v>
      </c>
      <c r="T2373" s="1" t="s">
        <v>192</v>
      </c>
      <c r="V2373" s="1"/>
      <c r="X2373" s="101">
        <v>2</v>
      </c>
    </row>
    <row r="2374" spans="1:24" hidden="1">
      <c r="A2374">
        <v>778</v>
      </c>
      <c r="B2374" s="2">
        <v>46233.539340277799</v>
      </c>
      <c r="C2374" s="2">
        <v>46233.539976851898</v>
      </c>
      <c r="D2374" s="1" t="s">
        <v>24</v>
      </c>
      <c r="E2374" s="1"/>
      <c r="F2374" s="29">
        <v>46233</v>
      </c>
      <c r="G2374" s="29">
        <v>46233</v>
      </c>
      <c r="H2374" s="1" t="s">
        <v>3022</v>
      </c>
      <c r="I2374" s="1" t="s">
        <v>5461</v>
      </c>
      <c r="J2374" s="208" t="s">
        <v>5462</v>
      </c>
      <c r="K2374" s="188" t="s">
        <v>5463</v>
      </c>
      <c r="L2374" s="62">
        <v>23232832</v>
      </c>
      <c r="M2374" s="102">
        <v>9994946826</v>
      </c>
      <c r="N2374" s="171" t="s">
        <v>37</v>
      </c>
      <c r="O2374" s="67">
        <v>7913.78</v>
      </c>
      <c r="P2374" s="99">
        <v>2373.9</v>
      </c>
      <c r="Q2374" s="42">
        <f>OfficeForms.Table[[#This Row],[ INFORMEDEPAGO ]]*0.3</f>
        <v>2374.134</v>
      </c>
      <c r="R2374" s="12">
        <f>(IF(O2374&lt;4172.98,0,MIN(O2374*0.3,O2374-4172.98)))-P2374</f>
        <v>0.2339999999999236</v>
      </c>
      <c r="S2374" s="74">
        <v>46447</v>
      </c>
      <c r="T2374" s="1"/>
      <c r="V2374" s="1"/>
      <c r="X2374" s="101">
        <v>2</v>
      </c>
    </row>
    <row r="2375" spans="1:24" hidden="1">
      <c r="A2375">
        <v>779</v>
      </c>
      <c r="B2375" s="2">
        <v>46233.554409722201</v>
      </c>
      <c r="C2375" s="2">
        <v>46233.554918981499</v>
      </c>
      <c r="D2375" s="1" t="s">
        <v>24</v>
      </c>
      <c r="E2375" s="1"/>
      <c r="F2375" s="29">
        <v>46233</v>
      </c>
      <c r="G2375" s="29">
        <v>46230</v>
      </c>
      <c r="H2375" s="1" t="s">
        <v>269</v>
      </c>
      <c r="I2375" s="1" t="s">
        <v>5464</v>
      </c>
      <c r="J2375" s="207"/>
      <c r="K2375" s="188" t="s">
        <v>5465</v>
      </c>
      <c r="L2375" s="62">
        <v>23129174</v>
      </c>
      <c r="M2375" s="102">
        <v>5213112350669</v>
      </c>
      <c r="N2375" s="171" t="s">
        <v>37</v>
      </c>
      <c r="O2375" s="67">
        <v>9081.52</v>
      </c>
      <c r="P2375" s="99">
        <v>2617.9299999999998</v>
      </c>
      <c r="Q2375" s="42">
        <f>OfficeForms.Table[[#This Row],[ INFORMEDEPAGO ]]*0.3</f>
        <v>2724.4560000000001</v>
      </c>
      <c r="R2375" s="12">
        <f>(IF(O2375&lt;4172.98,0,MIN(O2375*0.3,O2375-4172.98)))-P2375</f>
        <v>106.52600000000029</v>
      </c>
      <c r="S2375" s="74">
        <v>46508</v>
      </c>
      <c r="T2375" s="1"/>
      <c r="V2375" s="1"/>
      <c r="X2375" s="101">
        <v>2</v>
      </c>
    </row>
    <row r="2376" spans="1:24" hidden="1">
      <c r="A2376">
        <v>780</v>
      </c>
      <c r="B2376" s="2">
        <v>46233.523912037002</v>
      </c>
      <c r="C2376" s="2">
        <v>46233.5850810185</v>
      </c>
      <c r="D2376" s="1" t="s">
        <v>24</v>
      </c>
      <c r="E2376" s="1"/>
      <c r="F2376" s="29">
        <v>46233</v>
      </c>
      <c r="G2376" s="29">
        <v>46233</v>
      </c>
      <c r="H2376" s="1" t="s">
        <v>51</v>
      </c>
      <c r="I2376" s="1" t="s">
        <v>5466</v>
      </c>
      <c r="J2376" s="207">
        <v>54806187511</v>
      </c>
      <c r="K2376" s="188" t="s">
        <v>5467</v>
      </c>
      <c r="L2376" s="62">
        <v>23231480</v>
      </c>
      <c r="M2376" s="102">
        <v>5213321698264</v>
      </c>
      <c r="N2376" s="171" t="s">
        <v>28</v>
      </c>
      <c r="O2376" s="52">
        <v>10636.54</v>
      </c>
      <c r="P2376" s="99"/>
      <c r="Q2376" s="42">
        <f>OfficeForms.Table[[#This Row],[ INFORMEDEPAGO ]]*0.3</f>
        <v>3190.962</v>
      </c>
      <c r="R2376" s="12">
        <f>(IF(O2376&lt;4172.98,0,MIN(O2376*0.3,O2376-4172.98)))-P2376</f>
        <v>3190.962</v>
      </c>
      <c r="T2376" s="1"/>
      <c r="V2376" s="1"/>
      <c r="X2376" s="101">
        <v>1</v>
      </c>
    </row>
    <row r="2377" spans="1:24" hidden="1">
      <c r="A2377">
        <v>781</v>
      </c>
      <c r="B2377" s="2">
        <v>46233.584837962997</v>
      </c>
      <c r="C2377" s="2">
        <v>46233.585833333302</v>
      </c>
      <c r="D2377" s="1" t="s">
        <v>24</v>
      </c>
      <c r="E2377" s="1"/>
      <c r="F2377" s="29">
        <v>46233</v>
      </c>
      <c r="G2377" s="29">
        <v>46233</v>
      </c>
      <c r="H2377" s="1" t="s">
        <v>3036</v>
      </c>
      <c r="I2377" s="1" t="s">
        <v>5468</v>
      </c>
      <c r="J2377" s="207" t="s">
        <v>5469</v>
      </c>
      <c r="K2377" s="188" t="s">
        <v>5470</v>
      </c>
      <c r="L2377" s="62">
        <v>23234676</v>
      </c>
      <c r="M2377" s="102">
        <v>5215551872942</v>
      </c>
      <c r="N2377" s="171" t="s">
        <v>37</v>
      </c>
      <c r="O2377" s="52">
        <v>6460.14</v>
      </c>
      <c r="P2377" s="52">
        <v>1869</v>
      </c>
      <c r="Q2377" s="42">
        <f>OfficeForms.Table[[#This Row],[ INFORMEDEPAGO ]]*0.3</f>
        <v>1938.0419999999999</v>
      </c>
      <c r="R2377" s="12">
        <f>(IF(O2377&lt;4172.98,0,MIN(O2377*0.3,O2377-4172.98)))-P2377</f>
        <v>69.041999999999916</v>
      </c>
      <c r="S2377" s="74">
        <v>46478</v>
      </c>
      <c r="T2377" s="1"/>
      <c r="V2377" s="1"/>
      <c r="X2377" s="101">
        <v>2</v>
      </c>
    </row>
    <row r="2378" spans="1:24" hidden="1">
      <c r="A2378">
        <v>782</v>
      </c>
      <c r="B2378" s="2">
        <v>46233.587094907401</v>
      </c>
      <c r="C2378" s="2">
        <v>46233.587638888901</v>
      </c>
      <c r="D2378" s="1" t="s">
        <v>24</v>
      </c>
      <c r="E2378" s="1"/>
      <c r="F2378" s="29">
        <v>46233</v>
      </c>
      <c r="G2378" s="29">
        <v>46233</v>
      </c>
      <c r="H2378" s="1" t="s">
        <v>160</v>
      </c>
      <c r="I2378" s="1" t="s">
        <v>5471</v>
      </c>
      <c r="J2378" s="207">
        <v>43887146751</v>
      </c>
      <c r="K2378" s="188" t="s">
        <v>5472</v>
      </c>
      <c r="L2378" s="62">
        <v>23225216</v>
      </c>
      <c r="M2378" s="102">
        <v>5218148821454</v>
      </c>
      <c r="N2378" s="171" t="s">
        <v>37</v>
      </c>
      <c r="O2378" s="52">
        <v>8793.09</v>
      </c>
      <c r="P2378" s="52">
        <v>2634.68</v>
      </c>
      <c r="Q2378" s="42">
        <f>OfficeForms.Table[[#This Row],[ INFORMEDEPAGO ]]*0.3</f>
        <v>2637.9270000000001</v>
      </c>
      <c r="R2378" s="12">
        <f>(IF(O2378&lt;4172.98,0,MIN(O2378*0.3,O2378-4172.98)))-P2378</f>
        <v>3.2470000000002983</v>
      </c>
      <c r="S2378" s="74">
        <v>46813</v>
      </c>
      <c r="T2378" s="1"/>
      <c r="V2378" s="1"/>
      <c r="X2378" s="101">
        <v>2</v>
      </c>
    </row>
    <row r="2379" spans="1:24" hidden="1">
      <c r="A2379">
        <v>783</v>
      </c>
      <c r="B2379" s="2">
        <v>46233.587800925903</v>
      </c>
      <c r="C2379" s="2">
        <v>46233.5886342593</v>
      </c>
      <c r="D2379" s="1" t="s">
        <v>24</v>
      </c>
      <c r="E2379" s="1"/>
      <c r="F2379" s="29">
        <v>46233</v>
      </c>
      <c r="G2379" s="29">
        <v>46233</v>
      </c>
      <c r="H2379" s="1" t="s">
        <v>3352</v>
      </c>
      <c r="I2379" s="1" t="s">
        <v>5473</v>
      </c>
      <c r="J2379" s="207"/>
      <c r="K2379" s="189" t="s">
        <v>5474</v>
      </c>
      <c r="L2379" s="62">
        <v>23234718</v>
      </c>
      <c r="M2379" s="102">
        <v>6531050227</v>
      </c>
      <c r="N2379" s="171" t="s">
        <v>32</v>
      </c>
      <c r="O2379" s="52">
        <v>3469.89</v>
      </c>
      <c r="P2379" s="52">
        <v>848</v>
      </c>
      <c r="Q2379" s="42">
        <f>OfficeForms.Table[[#This Row],[ INFORMEDEPAGO ]]*0.3</f>
        <v>1040.9669999999999</v>
      </c>
      <c r="R2379" s="12">
        <f>(IF(O2379&lt;4172.98,0,MIN(O2379*0.3,O2379-4172.98)))-P2379</f>
        <v>-848</v>
      </c>
      <c r="T2379" s="1"/>
      <c r="V2379" s="1"/>
      <c r="X2379" s="101">
        <v>1</v>
      </c>
    </row>
    <row r="2380" spans="1:24" hidden="1">
      <c r="A2380">
        <v>784</v>
      </c>
      <c r="B2380" s="2">
        <v>46233.585104166697</v>
      </c>
      <c r="C2380" s="2">
        <v>46233.593680555598</v>
      </c>
      <c r="D2380" s="1" t="s">
        <v>24</v>
      </c>
      <c r="E2380" s="1"/>
      <c r="F2380" s="29">
        <v>46233</v>
      </c>
      <c r="G2380" s="29">
        <v>46233</v>
      </c>
      <c r="H2380" s="1" t="s">
        <v>51</v>
      </c>
      <c r="I2380" s="1" t="s">
        <v>5475</v>
      </c>
      <c r="J2380" s="175" t="s">
        <v>5476</v>
      </c>
      <c r="K2380" s="188" t="s">
        <v>5477</v>
      </c>
      <c r="L2380" s="62">
        <v>23229522</v>
      </c>
      <c r="M2380" s="102">
        <v>5216623412420</v>
      </c>
      <c r="N2380" s="171" t="s">
        <v>32</v>
      </c>
      <c r="O2380" s="52">
        <v>4035.69</v>
      </c>
      <c r="P2380" s="52">
        <v>879</v>
      </c>
      <c r="Q2380" s="42">
        <f>OfficeForms.Table[[#This Row],[ INFORMEDEPAGO ]]*0.3</f>
        <v>1210.7069999999999</v>
      </c>
      <c r="R2380" s="12">
        <f>(IF(O2380&lt;4172.98,0,MIN(O2380*0.3,O2380-4172.98)))-P2380</f>
        <v>-879</v>
      </c>
      <c r="T2380" s="1"/>
      <c r="V2380" s="1"/>
      <c r="X2380" s="101">
        <v>1</v>
      </c>
    </row>
    <row r="2381" spans="1:24" hidden="1">
      <c r="A2381">
        <v>785</v>
      </c>
      <c r="B2381" s="2">
        <v>46233.595625000002</v>
      </c>
      <c r="C2381" s="2">
        <v>46233.596226851798</v>
      </c>
      <c r="D2381" s="1" t="s">
        <v>24</v>
      </c>
      <c r="E2381" s="1"/>
      <c r="F2381" s="29">
        <v>46233</v>
      </c>
      <c r="G2381" s="29">
        <v>46233</v>
      </c>
      <c r="H2381" s="1" t="s">
        <v>3022</v>
      </c>
      <c r="I2381" s="1" t="s">
        <v>5478</v>
      </c>
      <c r="J2381" s="175"/>
      <c r="K2381" s="188" t="s">
        <v>5479</v>
      </c>
      <c r="L2381" s="62">
        <v>23234674</v>
      </c>
      <c r="M2381" s="102">
        <v>5564989791</v>
      </c>
      <c r="N2381" s="171" t="s">
        <v>32</v>
      </c>
      <c r="O2381" s="52">
        <v>4013.59</v>
      </c>
      <c r="P2381" s="52">
        <v>848</v>
      </c>
      <c r="Q2381" s="42">
        <f>OfficeForms.Table[[#This Row],[ INFORMEDEPAGO ]]*0.3</f>
        <v>1204.077</v>
      </c>
      <c r="R2381" s="12">
        <f>(IF(O2381&lt;4172.98,0,MIN(O2381*0.3,O2381-4172.98)))-P2381</f>
        <v>-848</v>
      </c>
      <c r="T2381" s="1"/>
      <c r="V2381" s="1"/>
      <c r="X2381" s="101">
        <v>1</v>
      </c>
    </row>
    <row r="2382" spans="1:24" hidden="1">
      <c r="A2382">
        <v>786</v>
      </c>
      <c r="B2382" s="2">
        <v>46233.598240740699</v>
      </c>
      <c r="C2382" s="2">
        <v>46233.598692129599</v>
      </c>
      <c r="D2382" s="1" t="s">
        <v>24</v>
      </c>
      <c r="E2382" s="1"/>
      <c r="F2382" s="29">
        <v>46233</v>
      </c>
      <c r="G2382" s="29">
        <v>46233</v>
      </c>
      <c r="H2382" s="1" t="s">
        <v>110</v>
      </c>
      <c r="I2382" s="1" t="s">
        <v>5480</v>
      </c>
      <c r="J2382" s="175"/>
      <c r="K2382" s="188" t="s">
        <v>5481</v>
      </c>
      <c r="L2382" s="62">
        <v>23235078</v>
      </c>
      <c r="M2382" s="102">
        <v>52215521723330</v>
      </c>
      <c r="N2382" s="171" t="s">
        <v>263</v>
      </c>
      <c r="O2382" s="52">
        <v>6702.98</v>
      </c>
      <c r="P2382" s="52">
        <v>1766.16</v>
      </c>
      <c r="Q2382" s="42">
        <f>OfficeForms.Table[[#This Row],[ INFORMEDEPAGO ]]*0.3</f>
        <v>2010.8939999999998</v>
      </c>
      <c r="R2382" s="12">
        <f>(IF(O2382&lt;4172.98,0,MIN(O2382*0.3,O2382-4172.98)))-P2382</f>
        <v>244.7339999999997</v>
      </c>
      <c r="S2382" s="74">
        <v>45689</v>
      </c>
      <c r="T2382" s="1" t="s">
        <v>5368</v>
      </c>
      <c r="V2382" s="1"/>
      <c r="X2382" s="101">
        <v>2</v>
      </c>
    </row>
    <row r="2383" spans="1:24" hidden="1">
      <c r="A2383">
        <v>787</v>
      </c>
      <c r="B2383" s="2">
        <v>46233.598321759302</v>
      </c>
      <c r="C2383" s="2">
        <v>46233.598946759303</v>
      </c>
      <c r="D2383" s="1" t="s">
        <v>24</v>
      </c>
      <c r="E2383" s="1"/>
      <c r="F2383" s="29">
        <v>46233</v>
      </c>
      <c r="G2383" s="29">
        <v>46233</v>
      </c>
      <c r="H2383" s="1" t="s">
        <v>3575</v>
      </c>
      <c r="I2383" s="1" t="s">
        <v>5482</v>
      </c>
      <c r="J2383" s="175"/>
      <c r="K2383" s="188" t="s">
        <v>5483</v>
      </c>
      <c r="L2383" s="62">
        <v>23235344</v>
      </c>
      <c r="M2383" s="102">
        <v>5216691545078</v>
      </c>
      <c r="N2383" s="171" t="s">
        <v>28</v>
      </c>
      <c r="O2383" s="67">
        <v>13317.03</v>
      </c>
      <c r="P2383" s="99"/>
      <c r="Q2383" s="42">
        <f>OfficeForms.Table[[#This Row],[ INFORMEDEPAGO ]]*0.3</f>
        <v>3995.1089999999999</v>
      </c>
      <c r="R2383" s="12">
        <f>(IF(O2383&lt;4172.98,0,MIN(O2383*0.3,O2383-4172.98)))-P2383</f>
        <v>3995.1089999999999</v>
      </c>
      <c r="T2383" s="1"/>
      <c r="V2383" s="1"/>
      <c r="X2383" s="101">
        <v>1</v>
      </c>
    </row>
    <row r="2384" spans="1:24" hidden="1">
      <c r="A2384">
        <v>788</v>
      </c>
      <c r="B2384" s="2">
        <v>46233.599004629599</v>
      </c>
      <c r="C2384" s="2">
        <v>46233.599606481497</v>
      </c>
      <c r="D2384" s="1" t="s">
        <v>24</v>
      </c>
      <c r="E2384" s="1"/>
      <c r="F2384" s="29">
        <v>46233</v>
      </c>
      <c r="G2384" s="29">
        <v>46233</v>
      </c>
      <c r="H2384" s="1" t="s">
        <v>26</v>
      </c>
      <c r="I2384" s="1" t="s">
        <v>5484</v>
      </c>
      <c r="J2384" s="175">
        <v>62674710942</v>
      </c>
      <c r="K2384" s="188" t="s">
        <v>5485</v>
      </c>
      <c r="L2384" s="62">
        <v>23235392</v>
      </c>
      <c r="M2384" s="102">
        <v>5212441054556</v>
      </c>
      <c r="N2384" s="171" t="s">
        <v>32</v>
      </c>
      <c r="O2384" s="67">
        <v>4332.32</v>
      </c>
      <c r="P2384" s="99"/>
      <c r="Q2384" s="42">
        <f>OfficeForms.Table[[#This Row],[ INFORMEDEPAGO ]]*0.3</f>
        <v>1299.6959999999999</v>
      </c>
      <c r="R2384" s="12">
        <f>(IF(O2384&lt;4172.98,0,MIN(O2384*0.3,O2384-4172.98)))-P2384</f>
        <v>159.34000000000015</v>
      </c>
      <c r="T2384" s="1"/>
      <c r="V2384" s="1"/>
      <c r="X2384" s="101">
        <v>1</v>
      </c>
    </row>
    <row r="2385" spans="1:24" hidden="1">
      <c r="A2385">
        <v>789</v>
      </c>
      <c r="B2385" s="2">
        <v>46233.4609375</v>
      </c>
      <c r="C2385" s="2">
        <v>46233.604606481502</v>
      </c>
      <c r="D2385" s="1" t="s">
        <v>24</v>
      </c>
      <c r="E2385" s="1"/>
      <c r="F2385" s="29">
        <v>46233</v>
      </c>
      <c r="G2385" s="29">
        <v>46233</v>
      </c>
      <c r="H2385" s="1" t="s">
        <v>1629</v>
      </c>
      <c r="I2385" s="1" t="s">
        <v>5486</v>
      </c>
      <c r="J2385" s="175">
        <v>49967946739</v>
      </c>
      <c r="K2385" s="188" t="s">
        <v>5487</v>
      </c>
      <c r="L2385" s="62">
        <v>2</v>
      </c>
      <c r="M2385" s="102">
        <v>8127634784</v>
      </c>
      <c r="N2385" s="171" t="s">
        <v>32</v>
      </c>
      <c r="O2385" s="52">
        <v>3153.27</v>
      </c>
      <c r="P2385" s="52">
        <v>788</v>
      </c>
      <c r="Q2385" s="42">
        <f>OfficeForms.Table[[#This Row],[ INFORMEDEPAGO ]]*0.3</f>
        <v>945.98099999999999</v>
      </c>
      <c r="R2385" s="12">
        <f>(IF(O2385&lt;4172.98,0,MIN(O2385*0.3,O2385-4172.98)))-P2385</f>
        <v>-788</v>
      </c>
      <c r="T2385" s="1"/>
      <c r="V2385" s="1"/>
      <c r="X2385" s="101">
        <v>1</v>
      </c>
    </row>
    <row r="2386" spans="1:24" hidden="1">
      <c r="A2386">
        <v>790</v>
      </c>
      <c r="B2386" s="2">
        <v>46233.607719907399</v>
      </c>
      <c r="C2386" s="2">
        <v>46233.610069444403</v>
      </c>
      <c r="D2386" s="1" t="s">
        <v>24</v>
      </c>
      <c r="E2386" s="1"/>
      <c r="F2386" s="29">
        <v>46233</v>
      </c>
      <c r="G2386" s="29">
        <v>46226</v>
      </c>
      <c r="H2386" s="1" t="s">
        <v>68</v>
      </c>
      <c r="I2386" s="1" t="s">
        <v>5488</v>
      </c>
      <c r="J2386" s="175">
        <v>43956535256</v>
      </c>
      <c r="K2386" s="188" t="s">
        <v>5489</v>
      </c>
      <c r="L2386" s="62">
        <v>23007674</v>
      </c>
      <c r="M2386" s="102">
        <v>5218131313024</v>
      </c>
      <c r="N2386" s="171" t="s">
        <v>28</v>
      </c>
      <c r="O2386" s="67">
        <v>10636.54</v>
      </c>
      <c r="P2386" s="99"/>
      <c r="Q2386" s="42">
        <f>OfficeForms.Table[[#This Row],[ INFORMEDEPAGO ]]*0.3</f>
        <v>3190.962</v>
      </c>
      <c r="R2386" s="12">
        <f>(IF(O2386&lt;4172.98,0,MIN(O2386*0.3,O2386-4172.98)))-P2386</f>
        <v>3190.962</v>
      </c>
      <c r="T2386" s="1"/>
      <c r="V2386" s="1"/>
      <c r="X2386" s="101">
        <v>1</v>
      </c>
    </row>
    <row r="2387" spans="1:24" hidden="1">
      <c r="A2387">
        <v>791</v>
      </c>
      <c r="B2387" s="2">
        <v>46233.608749999999</v>
      </c>
      <c r="C2387" s="2">
        <v>46233.613703703697</v>
      </c>
      <c r="D2387" s="1" t="s">
        <v>24</v>
      </c>
      <c r="E2387" s="1"/>
      <c r="F2387" s="29">
        <v>46233</v>
      </c>
      <c r="G2387" s="29">
        <v>46231</v>
      </c>
      <c r="H2387" s="1" t="s">
        <v>5135</v>
      </c>
      <c r="I2387" s="1" t="s">
        <v>5490</v>
      </c>
      <c r="J2387" s="175"/>
      <c r="K2387" s="188" t="s">
        <v>5491</v>
      </c>
      <c r="L2387" s="62">
        <v>23188394</v>
      </c>
      <c r="M2387" s="102">
        <v>5212711530004</v>
      </c>
      <c r="N2387" s="171" t="s">
        <v>47</v>
      </c>
      <c r="O2387" s="52">
        <v>9956.7900000000009</v>
      </c>
      <c r="P2387" s="52">
        <v>2669.6</v>
      </c>
      <c r="Q2387" s="42">
        <f>OfficeForms.Table[[#This Row],[ INFORMEDEPAGO ]]*0.3</f>
        <v>2987.0370000000003</v>
      </c>
      <c r="R2387" s="12">
        <f>(IF(O2387&lt;4172.98,0,MIN(O2387*0.3,O2387-4172.98)))-P2387</f>
        <v>317.43700000000035</v>
      </c>
      <c r="S2387" s="74">
        <v>46844</v>
      </c>
      <c r="T2387" s="1"/>
      <c r="V2387" s="1"/>
      <c r="X2387" s="101">
        <v>2</v>
      </c>
    </row>
    <row r="2388" spans="1:24" hidden="1">
      <c r="A2388">
        <v>792</v>
      </c>
      <c r="B2388" s="2">
        <v>46233.621134259301</v>
      </c>
      <c r="C2388" s="2">
        <v>46233.621527777803</v>
      </c>
      <c r="D2388" s="1" t="s">
        <v>24</v>
      </c>
      <c r="E2388" s="1"/>
      <c r="F2388" s="29">
        <v>46233</v>
      </c>
      <c r="G2388" s="29">
        <v>46233</v>
      </c>
      <c r="H2388" s="1" t="s">
        <v>26</v>
      </c>
      <c r="I2388" s="1" t="s">
        <v>5492</v>
      </c>
      <c r="J2388" s="175" t="s">
        <v>5493</v>
      </c>
      <c r="K2388" s="188"/>
      <c r="L2388" s="62">
        <v>23234404</v>
      </c>
      <c r="M2388" s="102">
        <v>5214921304111</v>
      </c>
      <c r="N2388" s="171" t="s">
        <v>28</v>
      </c>
      <c r="O2388" s="67">
        <f>42900.71-32264.17</f>
        <v>10636.54</v>
      </c>
      <c r="P2388" s="99"/>
      <c r="Q2388" s="42">
        <f>OfficeForms.Table[[#This Row],[ INFORMEDEPAGO ]]*0.3</f>
        <v>3190.962</v>
      </c>
      <c r="R2388" s="12">
        <f>(IF(O2388&lt;4172.98,0,MIN(O2388*0.3,O2388-4172.98)))-P2388</f>
        <v>3190.962</v>
      </c>
      <c r="T2388" s="1"/>
      <c r="V2388" s="1"/>
      <c r="X2388" s="101">
        <v>1</v>
      </c>
    </row>
    <row r="2389" spans="1:24" hidden="1">
      <c r="A2389">
        <v>793</v>
      </c>
      <c r="B2389" s="2">
        <v>46233.610219907401</v>
      </c>
      <c r="C2389" s="2">
        <v>46233.625347222202</v>
      </c>
      <c r="D2389" s="1" t="s">
        <v>24</v>
      </c>
      <c r="E2389" s="1"/>
      <c r="F2389" s="29">
        <v>46233</v>
      </c>
      <c r="G2389" s="29">
        <v>46232</v>
      </c>
      <c r="H2389" s="1" t="s">
        <v>269</v>
      </c>
      <c r="I2389" s="1" t="s">
        <v>5494</v>
      </c>
      <c r="J2389" s="175"/>
      <c r="K2389" s="188" t="s">
        <v>5495</v>
      </c>
      <c r="L2389" s="62">
        <v>23200798</v>
      </c>
      <c r="M2389" s="102">
        <v>5218713847590</v>
      </c>
      <c r="N2389" s="171" t="s">
        <v>37</v>
      </c>
      <c r="O2389" s="52">
        <v>5617.63</v>
      </c>
      <c r="P2389" s="52">
        <v>1390</v>
      </c>
      <c r="Q2389" s="42">
        <f>OfficeForms.Table[[#This Row],[ INFORMEDEPAGO ]]*0.3</f>
        <v>1685.289</v>
      </c>
      <c r="R2389" s="12">
        <f>(IF(O2389&lt;4172.98,0,MIN(O2389*0.3,O2389-4172.98)))-P2389</f>
        <v>54.650000000000546</v>
      </c>
      <c r="S2389" s="74">
        <v>46600</v>
      </c>
      <c r="T2389" s="1"/>
      <c r="V2389" s="1"/>
      <c r="X2389" s="101">
        <v>2</v>
      </c>
    </row>
    <row r="2390" spans="1:24" hidden="1">
      <c r="A2390">
        <v>794</v>
      </c>
      <c r="B2390" s="2">
        <v>46233.623460648101</v>
      </c>
      <c r="C2390" s="2">
        <v>46233.626655092601</v>
      </c>
      <c r="D2390" s="1" t="s">
        <v>24</v>
      </c>
      <c r="E2390" s="1"/>
      <c r="F2390" s="29">
        <v>46233</v>
      </c>
      <c r="G2390" s="29">
        <v>46232</v>
      </c>
      <c r="H2390" s="1" t="s">
        <v>160</v>
      </c>
      <c r="I2390" s="1" t="s">
        <v>5496</v>
      </c>
      <c r="J2390" s="175">
        <v>31906840264</v>
      </c>
      <c r="K2390" s="188" t="s">
        <v>5497</v>
      </c>
      <c r="L2390" s="62">
        <v>23215604</v>
      </c>
      <c r="M2390" s="102">
        <v>5216644433638</v>
      </c>
      <c r="N2390" s="171" t="s">
        <v>263</v>
      </c>
      <c r="O2390" s="52">
        <v>6405.06</v>
      </c>
      <c r="P2390" s="52">
        <v>1169.8900000000001</v>
      </c>
      <c r="Q2390" s="42">
        <f>OfficeForms.Table[[#This Row],[ INFORMEDEPAGO ]]*0.3</f>
        <v>1921.518</v>
      </c>
      <c r="R2390" s="12">
        <f>(IF(O2390&lt;4172.98,0,MIN(O2390*0.3,O2390-4172.98)))-P2390</f>
        <v>751.62799999999993</v>
      </c>
      <c r="S2390" s="74">
        <v>45839</v>
      </c>
      <c r="T2390" s="1" t="s">
        <v>5368</v>
      </c>
      <c r="V2390" s="1"/>
      <c r="X2390" s="101">
        <v>2</v>
      </c>
    </row>
    <row r="2391" spans="1:24" hidden="1">
      <c r="A2391">
        <v>795</v>
      </c>
      <c r="B2391" s="2">
        <v>46233.625335648103</v>
      </c>
      <c r="C2391" s="2">
        <v>46233.627175925903</v>
      </c>
      <c r="D2391" s="1" t="s">
        <v>24</v>
      </c>
      <c r="E2391" s="1"/>
      <c r="F2391" s="29">
        <v>46233</v>
      </c>
      <c r="G2391" s="29">
        <v>46231</v>
      </c>
      <c r="H2391" s="1" t="s">
        <v>5135</v>
      </c>
      <c r="I2391" s="1" t="s">
        <v>5498</v>
      </c>
      <c r="J2391" s="175"/>
      <c r="K2391" s="188" t="s">
        <v>5499</v>
      </c>
      <c r="L2391" s="62">
        <v>23188848</v>
      </c>
      <c r="M2391" s="102">
        <v>5219192045777</v>
      </c>
      <c r="N2391" s="171" t="s">
        <v>98</v>
      </c>
      <c r="O2391" s="67"/>
      <c r="P2391" s="99"/>
      <c r="Q2391" s="42">
        <f>OfficeForms.Table[[#This Row],[ INFORMEDEPAGO ]]*0.3</f>
        <v>0</v>
      </c>
      <c r="R2391" s="12">
        <f>(IF(O2391&lt;4172.98,0,MIN(O2391*0.3,O2391-4172.98)))-P2391</f>
        <v>0</v>
      </c>
      <c r="T2391" s="1"/>
      <c r="V2391" s="1"/>
      <c r="X2391" s="101">
        <v>0</v>
      </c>
    </row>
    <row r="2392" spans="1:24" hidden="1">
      <c r="A2392">
        <v>796</v>
      </c>
      <c r="B2392" s="2">
        <v>46233.628333333298</v>
      </c>
      <c r="C2392" s="2">
        <v>46233.629317129598</v>
      </c>
      <c r="D2392" s="1" t="s">
        <v>24</v>
      </c>
      <c r="E2392" s="1"/>
      <c r="F2392" s="29">
        <v>46233</v>
      </c>
      <c r="G2392" s="29">
        <v>46233</v>
      </c>
      <c r="H2392" s="1" t="s">
        <v>3575</v>
      </c>
      <c r="I2392" s="1" t="s">
        <v>5500</v>
      </c>
      <c r="J2392" s="175">
        <v>62795206333</v>
      </c>
      <c r="K2392" s="188" t="s">
        <v>5501</v>
      </c>
      <c r="L2392" s="62">
        <v>23236184</v>
      </c>
      <c r="M2392" s="102">
        <v>5212381782701</v>
      </c>
      <c r="N2392" s="171" t="s">
        <v>37</v>
      </c>
      <c r="O2392" s="52">
        <v>6710.84</v>
      </c>
      <c r="P2392" s="52">
        <v>1941.1</v>
      </c>
      <c r="Q2392" s="42">
        <f>OfficeForms.Table[[#This Row],[ INFORMEDEPAGO ]]*0.3</f>
        <v>2013.252</v>
      </c>
      <c r="R2392" s="12">
        <f>(IF(O2392&lt;4172.98,0,MIN(O2392*0.3,O2392-4172.98)))-P2392</f>
        <v>72.152000000000044</v>
      </c>
      <c r="S2392" s="74">
        <v>46419</v>
      </c>
      <c r="T2392" s="1"/>
      <c r="V2392" s="1"/>
      <c r="X2392" s="101">
        <v>2</v>
      </c>
    </row>
    <row r="2393" spans="1:24" hidden="1">
      <c r="A2393">
        <v>797</v>
      </c>
      <c r="B2393" s="2">
        <v>46233.625590277799</v>
      </c>
      <c r="C2393" s="2">
        <v>46233.632083333301</v>
      </c>
      <c r="D2393" s="1" t="s">
        <v>24</v>
      </c>
      <c r="E2393" s="1"/>
      <c r="F2393" s="29">
        <v>46233</v>
      </c>
      <c r="G2393" s="29">
        <v>46233</v>
      </c>
      <c r="H2393" s="1" t="s">
        <v>269</v>
      </c>
      <c r="I2393" s="1" t="s">
        <v>5502</v>
      </c>
      <c r="J2393" s="207" t="s">
        <v>5503</v>
      </c>
      <c r="K2393" s="188" t="s">
        <v>5504</v>
      </c>
      <c r="L2393" s="62">
        <v>23217292</v>
      </c>
      <c r="M2393" s="102">
        <v>5215576647073</v>
      </c>
      <c r="N2393" s="171" t="s">
        <v>98</v>
      </c>
      <c r="O2393" s="67"/>
      <c r="P2393" s="99"/>
      <c r="Q2393" s="42">
        <f>OfficeForms.Table[[#This Row],[ INFORMEDEPAGO ]]*0.3</f>
        <v>0</v>
      </c>
      <c r="R2393" s="12">
        <f>(IF(O2393&lt;4172.98,0,MIN(O2393*0.3,O2393-4172.98)))-P2393</f>
        <v>0</v>
      </c>
      <c r="T2393" s="1"/>
      <c r="V2393" s="1"/>
      <c r="X2393" s="101">
        <v>0</v>
      </c>
    </row>
    <row r="2394" spans="1:24" hidden="1">
      <c r="A2394">
        <v>798</v>
      </c>
      <c r="B2394" s="2">
        <v>46233.5937037037</v>
      </c>
      <c r="C2394" s="2">
        <v>46233.633414351803</v>
      </c>
      <c r="D2394" s="1" t="s">
        <v>24</v>
      </c>
      <c r="E2394" s="1"/>
      <c r="F2394" s="29">
        <v>46233</v>
      </c>
      <c r="G2394" s="29">
        <v>46233</v>
      </c>
      <c r="H2394" s="1" t="s">
        <v>51</v>
      </c>
      <c r="I2394" s="1" t="s">
        <v>5505</v>
      </c>
      <c r="J2394" s="207">
        <v>67896922597</v>
      </c>
      <c r="K2394" s="188" t="s">
        <v>5506</v>
      </c>
      <c r="L2394" s="62">
        <v>23226948</v>
      </c>
      <c r="M2394" s="102">
        <v>5212741101360</v>
      </c>
      <c r="N2394" s="171" t="s">
        <v>37</v>
      </c>
      <c r="O2394" s="67">
        <v>49783.8</v>
      </c>
      <c r="P2394" s="99">
        <v>14933.22</v>
      </c>
      <c r="Q2394" s="42">
        <f>OfficeForms.Table[[#This Row],[ INFORMEDEPAGO ]]*0.3</f>
        <v>14935.14</v>
      </c>
      <c r="R2394" s="12">
        <f>(IF(O2394&lt;4172.98,0,MIN(O2394*0.3,O2394-4172.98)))-P2394</f>
        <v>1.9200000000000728</v>
      </c>
      <c r="S2394" s="74">
        <v>46266</v>
      </c>
      <c r="T2394" s="1"/>
      <c r="V2394" s="1"/>
      <c r="X2394" s="101">
        <v>2</v>
      </c>
    </row>
    <row r="2395" spans="1:24" hidden="1">
      <c r="A2395">
        <v>799</v>
      </c>
      <c r="B2395" s="2">
        <v>46233.619444444397</v>
      </c>
      <c r="C2395" s="2">
        <v>46233.635810185202</v>
      </c>
      <c r="D2395" s="1" t="s">
        <v>24</v>
      </c>
      <c r="E2395" s="1"/>
      <c r="F2395" s="29">
        <v>46233</v>
      </c>
      <c r="G2395" s="29">
        <v>46233</v>
      </c>
      <c r="H2395" s="1" t="s">
        <v>476</v>
      </c>
      <c r="I2395" s="1" t="s">
        <v>5507</v>
      </c>
      <c r="J2395" s="207">
        <v>32786121362</v>
      </c>
      <c r="K2395" s="188"/>
      <c r="L2395" s="62">
        <v>23234104</v>
      </c>
      <c r="M2395" s="102">
        <v>5218787889191</v>
      </c>
      <c r="N2395" s="171" t="s">
        <v>28</v>
      </c>
      <c r="O2395" s="67">
        <v>59177.45</v>
      </c>
      <c r="P2395" s="99">
        <v>3896</v>
      </c>
      <c r="Q2395" s="42">
        <f>OfficeForms.Table[[#This Row],[ INFORMEDEPAGO ]]*0.3</f>
        <v>17753.234999999997</v>
      </c>
      <c r="R2395" s="12">
        <f>(IF(O2395&lt;4172.98,0,MIN(O2395*0.3,O2395-4172.98)))-P2395</f>
        <v>13857.234999999997</v>
      </c>
      <c r="T2395" s="1"/>
      <c r="V2395" s="1"/>
      <c r="X2395" s="101">
        <v>1</v>
      </c>
    </row>
    <row r="2396" spans="1:24" hidden="1">
      <c r="A2396">
        <v>800</v>
      </c>
      <c r="B2396" s="2">
        <v>46233.534178240698</v>
      </c>
      <c r="C2396" s="2">
        <v>46233.641736111102</v>
      </c>
      <c r="D2396" s="1" t="s">
        <v>24</v>
      </c>
      <c r="E2396" s="1"/>
      <c r="F2396" s="29">
        <v>46233</v>
      </c>
      <c r="G2396" s="29">
        <v>46233</v>
      </c>
      <c r="H2396" s="1" t="s">
        <v>71</v>
      </c>
      <c r="I2396" s="1" t="s">
        <v>5508</v>
      </c>
      <c r="J2396" s="207" t="s">
        <v>5509</v>
      </c>
      <c r="K2396" s="188"/>
      <c r="L2396" s="62">
        <v>23236760</v>
      </c>
      <c r="M2396" s="102">
        <v>5218117563069</v>
      </c>
      <c r="N2396" s="171" t="s">
        <v>37</v>
      </c>
      <c r="O2396" s="50">
        <v>9760.32</v>
      </c>
      <c r="P2396" s="97">
        <v>2823.01</v>
      </c>
      <c r="Q2396" s="42">
        <f>OfficeForms.Table[[#This Row],[ INFORMEDEPAGO ]]*0.3</f>
        <v>2928.096</v>
      </c>
      <c r="R2396" s="12">
        <f>(IF(O2396&lt;4172.98,0,MIN(O2396*0.3,O2396-4172.98)))-P2396</f>
        <v>105.08599999999979</v>
      </c>
      <c r="S2396" s="74">
        <v>46539</v>
      </c>
      <c r="T2396" s="1"/>
      <c r="V2396" s="1"/>
      <c r="X2396" s="101">
        <v>2</v>
      </c>
    </row>
    <row r="2397" spans="1:24" hidden="1">
      <c r="A2397">
        <v>801</v>
      </c>
      <c r="B2397" s="2">
        <v>46233.642754629604</v>
      </c>
      <c r="C2397" s="2">
        <v>46233.643645833297</v>
      </c>
      <c r="D2397" s="1" t="s">
        <v>24</v>
      </c>
      <c r="E2397" s="1"/>
      <c r="F2397" s="29">
        <v>46233</v>
      </c>
      <c r="G2397" s="29">
        <v>46230</v>
      </c>
      <c r="H2397" s="1" t="s">
        <v>3022</v>
      </c>
      <c r="I2397" s="1" t="s">
        <v>5510</v>
      </c>
      <c r="J2397" s="207"/>
      <c r="K2397" s="188" t="s">
        <v>5511</v>
      </c>
      <c r="L2397" s="62">
        <v>23159768</v>
      </c>
      <c r="M2397" s="102">
        <v>6222276223</v>
      </c>
      <c r="N2397" s="171" t="s">
        <v>37</v>
      </c>
      <c r="O2397" s="50">
        <v>9760.32</v>
      </c>
      <c r="P2397" s="97">
        <v>2806.88</v>
      </c>
      <c r="Q2397" s="42">
        <f>OfficeForms.Table[[#This Row],[ INFORMEDEPAGO ]]*0.3</f>
        <v>2928.096</v>
      </c>
      <c r="R2397" s="12">
        <f>(IF(O2397&lt;4172.98,0,MIN(O2397*0.3,O2397-4172.98)))-P2397</f>
        <v>121.21599999999989</v>
      </c>
      <c r="S2397" s="74">
        <v>46600</v>
      </c>
      <c r="T2397" s="1" t="s">
        <v>84</v>
      </c>
      <c r="V2397" s="1"/>
      <c r="X2397" s="101">
        <v>2</v>
      </c>
    </row>
    <row r="2398" spans="1:24" hidden="1">
      <c r="A2398">
        <v>802</v>
      </c>
      <c r="B2398" s="2">
        <v>46233.633425925902</v>
      </c>
      <c r="C2398" s="2">
        <v>46233.654108796298</v>
      </c>
      <c r="D2398" s="1" t="s">
        <v>24</v>
      </c>
      <c r="E2398" s="1"/>
      <c r="F2398" s="29">
        <v>46233</v>
      </c>
      <c r="G2398" s="29">
        <v>46233</v>
      </c>
      <c r="H2398" s="1" t="s">
        <v>51</v>
      </c>
      <c r="I2398" s="1" t="s">
        <v>5512</v>
      </c>
      <c r="J2398" s="207">
        <v>62735623555</v>
      </c>
      <c r="K2398" s="188" t="s">
        <v>5513</v>
      </c>
      <c r="L2398" s="62">
        <v>23228556</v>
      </c>
      <c r="M2398" s="102">
        <v>5212213754516</v>
      </c>
      <c r="N2398" s="171" t="s">
        <v>37</v>
      </c>
      <c r="O2398" s="50">
        <v>9760.32</v>
      </c>
      <c r="P2398" s="97">
        <v>2823.01</v>
      </c>
      <c r="Q2398" s="42">
        <f>OfficeForms.Table[[#This Row],[ INFORMEDEPAGO ]]*0.3</f>
        <v>2928.096</v>
      </c>
      <c r="R2398" s="12">
        <f>(IF(O2398&lt;4172.98,0,MIN(O2398*0.3,O2398-4172.98)))-P2398</f>
        <v>105.08599999999979</v>
      </c>
      <c r="S2398" s="74">
        <v>46539</v>
      </c>
      <c r="T2398" s="1"/>
      <c r="V2398" s="1"/>
      <c r="X2398" s="101">
        <v>2</v>
      </c>
    </row>
    <row r="2399" spans="1:24" hidden="1">
      <c r="A2399">
        <v>803</v>
      </c>
      <c r="B2399" s="2">
        <v>46233.6538657407</v>
      </c>
      <c r="C2399" s="2">
        <v>46233.654444444401</v>
      </c>
      <c r="D2399" s="1" t="s">
        <v>24</v>
      </c>
      <c r="E2399" s="1"/>
      <c r="F2399" s="29">
        <v>46233</v>
      </c>
      <c r="G2399" s="29">
        <v>46233</v>
      </c>
      <c r="H2399" s="1" t="s">
        <v>3352</v>
      </c>
      <c r="I2399" s="1" t="s">
        <v>5514</v>
      </c>
      <c r="J2399" s="207" t="s">
        <v>5515</v>
      </c>
      <c r="K2399" s="188"/>
      <c r="L2399" s="62">
        <v>23236842</v>
      </c>
      <c r="M2399" s="102">
        <v>7223731378</v>
      </c>
      <c r="N2399" s="171" t="s">
        <v>32</v>
      </c>
      <c r="O2399" s="52">
        <v>4035.69</v>
      </c>
      <c r="P2399" s="52">
        <v>848</v>
      </c>
      <c r="Q2399" s="42">
        <f>OfficeForms.Table[[#This Row],[ INFORMEDEPAGO ]]*0.3</f>
        <v>1210.7069999999999</v>
      </c>
      <c r="R2399" s="12">
        <f>(IF(O2399&lt;4172.98,0,MIN(O2399*0.3,O2399-4172.98)))-P2399</f>
        <v>-848</v>
      </c>
      <c r="T2399" s="1"/>
      <c r="V2399" s="1"/>
      <c r="X2399" s="101">
        <v>1</v>
      </c>
    </row>
    <row r="2400" spans="1:24" hidden="1">
      <c r="A2400">
        <v>804</v>
      </c>
      <c r="B2400" s="2">
        <v>46233.654282407399</v>
      </c>
      <c r="C2400" s="2">
        <v>46233.655057870397</v>
      </c>
      <c r="D2400" s="1" t="s">
        <v>24</v>
      </c>
      <c r="E2400" s="1"/>
      <c r="F2400" s="29">
        <v>46233</v>
      </c>
      <c r="G2400" s="29">
        <v>46233</v>
      </c>
      <c r="H2400" s="1" t="s">
        <v>3575</v>
      </c>
      <c r="I2400" s="1" t="s">
        <v>5516</v>
      </c>
      <c r="J2400" s="207" t="s">
        <v>5517</v>
      </c>
      <c r="K2400" s="188" t="s">
        <v>5518</v>
      </c>
      <c r="L2400" s="62">
        <v>23236708</v>
      </c>
      <c r="M2400" s="102">
        <v>5216636579990</v>
      </c>
      <c r="N2400" s="171" t="s">
        <v>37</v>
      </c>
      <c r="O2400" s="50">
        <v>7706.52</v>
      </c>
      <c r="P2400" s="97">
        <v>2514.4699999999998</v>
      </c>
      <c r="Q2400" s="42">
        <f>OfficeForms.Table[[#This Row],[ INFORMEDEPAGO ]]*0.3</f>
        <v>2311.9560000000001</v>
      </c>
      <c r="R2400" s="12">
        <f>(IF(O2400&lt;4172.98,0,MIN(O2400*0.3,O2400-4172.98)))-P2400</f>
        <v>-202.51399999999967</v>
      </c>
      <c r="S2400" s="74">
        <v>46722</v>
      </c>
      <c r="T2400" s="1" t="s">
        <v>259</v>
      </c>
      <c r="V2400" s="1"/>
      <c r="X2400" s="101">
        <v>2</v>
      </c>
    </row>
    <row r="2401" spans="1:24" hidden="1">
      <c r="A2401">
        <v>805</v>
      </c>
      <c r="B2401" s="2">
        <v>46233.621759259302</v>
      </c>
      <c r="C2401" s="2">
        <v>46233.659120370401</v>
      </c>
      <c r="D2401" s="1" t="s">
        <v>24</v>
      </c>
      <c r="E2401" s="1"/>
      <c r="F2401" s="29">
        <v>46233</v>
      </c>
      <c r="G2401" s="29">
        <v>46233</v>
      </c>
      <c r="H2401" s="1" t="s">
        <v>1625</v>
      </c>
      <c r="I2401" s="1" t="s">
        <v>5519</v>
      </c>
      <c r="J2401" s="207">
        <v>32745733850</v>
      </c>
      <c r="K2401" s="188" t="s">
        <v>5520</v>
      </c>
      <c r="L2401" s="62">
        <v>2</v>
      </c>
      <c r="M2401" s="102">
        <v>8781430425</v>
      </c>
      <c r="N2401" s="171" t="s">
        <v>32</v>
      </c>
      <c r="O2401" s="52">
        <v>4199.87</v>
      </c>
      <c r="P2401" s="52">
        <v>221.25</v>
      </c>
      <c r="Q2401" s="42">
        <f>OfficeForms.Table[[#This Row],[ INFORMEDEPAGO ]]*0.3</f>
        <v>1259.961</v>
      </c>
      <c r="R2401" s="12">
        <f>(IF(O2401&lt;4172.98,0,MIN(O2401*0.3,O2401-4172.98)))-P2401</f>
        <v>-194.35999999999967</v>
      </c>
      <c r="T2401" s="1"/>
      <c r="V2401" s="1"/>
      <c r="X2401" s="101">
        <v>1</v>
      </c>
    </row>
    <row r="2402" spans="1:24" hidden="1">
      <c r="A2402">
        <v>806</v>
      </c>
      <c r="B2402" s="2">
        <v>46233.656504629602</v>
      </c>
      <c r="C2402" s="2">
        <v>46233.660428240699</v>
      </c>
      <c r="D2402" s="1" t="s">
        <v>24</v>
      </c>
      <c r="E2402" s="1"/>
      <c r="F2402" s="29">
        <v>46233</v>
      </c>
      <c r="G2402" s="29">
        <v>46232</v>
      </c>
      <c r="H2402" s="1" t="s">
        <v>68</v>
      </c>
      <c r="I2402" s="1" t="s">
        <v>5521</v>
      </c>
      <c r="J2402" s="207"/>
      <c r="K2402" s="188" t="s">
        <v>5522</v>
      </c>
      <c r="L2402" s="62">
        <v>23205976</v>
      </c>
      <c r="M2402" s="102">
        <v>5216453408990</v>
      </c>
      <c r="N2402" s="171" t="s">
        <v>28</v>
      </c>
      <c r="O2402" s="50">
        <v>9081.52</v>
      </c>
      <c r="P2402" s="97"/>
      <c r="Q2402" s="42">
        <f>OfficeForms.Table[[#This Row],[ INFORMEDEPAGO ]]*0.3</f>
        <v>2724.4560000000001</v>
      </c>
      <c r="R2402" s="12">
        <f>(IF(O2402&lt;4172.98,0,MIN(O2402*0.3,O2402-4172.98)))-P2402</f>
        <v>2724.4560000000001</v>
      </c>
      <c r="T2402" s="1"/>
      <c r="V2402" s="1"/>
      <c r="X2402" s="101">
        <v>1</v>
      </c>
    </row>
    <row r="2403" spans="1:24" hidden="1">
      <c r="A2403">
        <v>807</v>
      </c>
      <c r="B2403" s="2">
        <v>46233.659652777802</v>
      </c>
      <c r="C2403" s="2">
        <v>46233.661192129599</v>
      </c>
      <c r="D2403" s="1" t="s">
        <v>24</v>
      </c>
      <c r="E2403" s="1"/>
      <c r="F2403" s="29">
        <v>46233</v>
      </c>
      <c r="G2403" s="29">
        <v>46233</v>
      </c>
      <c r="H2403" s="1" t="s">
        <v>26</v>
      </c>
      <c r="I2403" s="1" t="s">
        <v>5523</v>
      </c>
      <c r="J2403" s="207">
        <v>20917340570</v>
      </c>
      <c r="K2403" s="188" t="s">
        <v>5524</v>
      </c>
      <c r="L2403" s="62">
        <v>23237290</v>
      </c>
      <c r="M2403" s="102">
        <v>5215551762174</v>
      </c>
      <c r="N2403" s="171" t="s">
        <v>37</v>
      </c>
      <c r="O2403" s="52">
        <v>5814.14</v>
      </c>
      <c r="P2403" s="52">
        <v>1674.14</v>
      </c>
      <c r="Q2403" s="42">
        <f>OfficeForms.Table[[#This Row],[ INFORMEDEPAGO ]]*0.3</f>
        <v>1744.242</v>
      </c>
      <c r="R2403" s="12">
        <f>(IF(O2403&lt;4172.98,0,MIN(O2403*0.3,O2403-4172.98)))-P2403</f>
        <v>-32.979999999999336</v>
      </c>
      <c r="S2403" s="74">
        <v>46447</v>
      </c>
      <c r="T2403" s="1"/>
      <c r="V2403" s="1"/>
      <c r="X2403" s="101">
        <v>2</v>
      </c>
    </row>
    <row r="2404" spans="1:24" hidden="1">
      <c r="A2404">
        <v>808</v>
      </c>
      <c r="B2404" s="2">
        <v>46233.661203703698</v>
      </c>
      <c r="C2404" s="2">
        <v>46233.662094907399</v>
      </c>
      <c r="D2404" s="1" t="s">
        <v>24</v>
      </c>
      <c r="E2404" s="1"/>
      <c r="F2404" s="29">
        <v>46233</v>
      </c>
      <c r="G2404" s="29">
        <v>46233</v>
      </c>
      <c r="H2404" s="1" t="s">
        <v>71</v>
      </c>
      <c r="I2404" s="1" t="s">
        <v>5525</v>
      </c>
      <c r="J2404" s="207"/>
      <c r="K2404" s="188" t="s">
        <v>5526</v>
      </c>
      <c r="L2404" s="62">
        <v>23237308</v>
      </c>
      <c r="M2404" s="102">
        <v>5215534932343</v>
      </c>
      <c r="N2404" s="171" t="s">
        <v>263</v>
      </c>
      <c r="O2404" s="50">
        <v>14165.37</v>
      </c>
      <c r="P2404" s="97">
        <v>4080.13</v>
      </c>
      <c r="Q2404" s="42">
        <f>OfficeForms.Table[[#This Row],[ INFORMEDEPAGO ]]*0.3</f>
        <v>4249.6109999999999</v>
      </c>
      <c r="R2404" s="12">
        <f>(IF(O2404&lt;4172.98,0,MIN(O2404*0.3,O2404-4172.98)))-P2404</f>
        <v>169.48099999999977</v>
      </c>
      <c r="S2404" s="74">
        <v>46082</v>
      </c>
      <c r="T2404" s="1" t="s">
        <v>5368</v>
      </c>
      <c r="V2404" s="1"/>
      <c r="X2404" s="101">
        <v>2</v>
      </c>
    </row>
    <row r="2405" spans="1:24" hidden="1">
      <c r="A2405">
        <v>809</v>
      </c>
      <c r="B2405" s="2">
        <v>46233.661423611098</v>
      </c>
      <c r="C2405" s="2">
        <v>46233.666585648098</v>
      </c>
      <c r="D2405" s="1" t="s">
        <v>24</v>
      </c>
      <c r="E2405" s="1"/>
      <c r="F2405" s="29">
        <v>46233</v>
      </c>
      <c r="G2405" s="29">
        <v>46233</v>
      </c>
      <c r="H2405" s="1" t="s">
        <v>1629</v>
      </c>
      <c r="I2405" s="1" t="s">
        <v>5527</v>
      </c>
      <c r="J2405" s="207" t="s">
        <v>5528</v>
      </c>
      <c r="K2405" s="188" t="s">
        <v>5529</v>
      </c>
      <c r="L2405" s="62">
        <v>2</v>
      </c>
      <c r="M2405" s="102">
        <v>4928696916</v>
      </c>
      <c r="N2405" s="171" t="s">
        <v>32</v>
      </c>
      <c r="O2405" s="50">
        <f>3965.69+848</f>
        <v>4813.6900000000005</v>
      </c>
      <c r="P2405" s="97">
        <v>848</v>
      </c>
      <c r="Q2405" s="42">
        <f>OfficeForms.Table[[#This Row],[ INFORMEDEPAGO ]]*0.3</f>
        <v>1444.1070000000002</v>
      </c>
      <c r="R2405" s="12">
        <f>(IF(O2405&lt;4172.98,0,MIN(O2405*0.3,O2405-4172.98)))-P2405</f>
        <v>-207.28999999999905</v>
      </c>
      <c r="T2405" s="1"/>
      <c r="V2405" s="1"/>
      <c r="X2405" s="101">
        <v>1</v>
      </c>
    </row>
    <row r="2406" spans="1:24" hidden="1">
      <c r="A2406">
        <v>810</v>
      </c>
      <c r="B2406" s="2">
        <v>46233.666064814803</v>
      </c>
      <c r="C2406" s="2">
        <v>46233.666886574101</v>
      </c>
      <c r="D2406" s="1" t="s">
        <v>24</v>
      </c>
      <c r="E2406" s="1"/>
      <c r="F2406" s="29">
        <v>46233</v>
      </c>
      <c r="G2406" s="29">
        <v>46233</v>
      </c>
      <c r="H2406" s="1" t="s">
        <v>269</v>
      </c>
      <c r="I2406" s="1" t="s">
        <v>5530</v>
      </c>
      <c r="J2406" s="207"/>
      <c r="K2406" s="188" t="s">
        <v>5531</v>
      </c>
      <c r="L2406" s="62">
        <v>23228904</v>
      </c>
      <c r="M2406" s="102">
        <v>5215537198440</v>
      </c>
      <c r="N2406" s="171" t="s">
        <v>37</v>
      </c>
      <c r="O2406" s="52">
        <v>5188.4399999999996</v>
      </c>
      <c r="P2406" s="52">
        <v>935</v>
      </c>
      <c r="Q2406" s="42">
        <f>OfficeForms.Table[[#This Row],[ INFORMEDEPAGO ]]*0.3</f>
        <v>1556.5319999999999</v>
      </c>
      <c r="R2406" s="12">
        <f>(IF(O2406&lt;4172.98,0,MIN(O2406*0.3,O2406-4172.98)))-P2406</f>
        <v>80.460000000000036</v>
      </c>
      <c r="S2406" s="74">
        <v>46388</v>
      </c>
      <c r="T2406" s="1"/>
      <c r="V2406" s="1"/>
      <c r="X2406" s="101">
        <v>2</v>
      </c>
    </row>
    <row r="2407" spans="1:24" hidden="1">
      <c r="A2407">
        <v>811</v>
      </c>
      <c r="B2407" s="2">
        <v>46233.669652777797</v>
      </c>
      <c r="C2407" s="2">
        <v>46233.671956018501</v>
      </c>
      <c r="D2407" s="1" t="s">
        <v>24</v>
      </c>
      <c r="E2407" s="1"/>
      <c r="F2407" s="29">
        <v>46233</v>
      </c>
      <c r="G2407" s="29">
        <v>46231</v>
      </c>
      <c r="H2407" s="1" t="s">
        <v>68</v>
      </c>
      <c r="I2407" s="1" t="s">
        <v>5532</v>
      </c>
      <c r="J2407" s="207">
        <v>49887221478</v>
      </c>
      <c r="K2407" s="188" t="s">
        <v>5533</v>
      </c>
      <c r="L2407" s="62">
        <v>23168950</v>
      </c>
      <c r="M2407" s="102">
        <v>5218994677223</v>
      </c>
      <c r="N2407" s="171" t="s">
        <v>37</v>
      </c>
      <c r="O2407" s="52">
        <v>8180.85</v>
      </c>
      <c r="P2407" s="52">
        <v>2356</v>
      </c>
      <c r="Q2407" s="42">
        <f>OfficeForms.Table[[#This Row],[ INFORMEDEPAGO ]]*0.3</f>
        <v>2454.2550000000001</v>
      </c>
      <c r="R2407" s="12">
        <f>(IF(O2407&lt;4172.98,0,MIN(O2407*0.3,O2407-4172.98)))-P2407</f>
        <v>98.255000000000109</v>
      </c>
      <c r="S2407" s="74">
        <v>46478</v>
      </c>
      <c r="T2407" s="1" t="s">
        <v>259</v>
      </c>
      <c r="V2407" s="1"/>
      <c r="X2407" s="101">
        <v>2</v>
      </c>
    </row>
    <row r="2408" spans="1:24" hidden="1">
      <c r="A2408">
        <v>812</v>
      </c>
      <c r="B2408" s="2">
        <v>46233.672314814801</v>
      </c>
      <c r="C2408" s="2">
        <v>46233.672662037003</v>
      </c>
      <c r="D2408" s="1" t="s">
        <v>24</v>
      </c>
      <c r="E2408" s="1"/>
      <c r="F2408" s="29">
        <v>46233</v>
      </c>
      <c r="G2408" s="29">
        <v>46233</v>
      </c>
      <c r="H2408" s="1" t="s">
        <v>3007</v>
      </c>
      <c r="I2408" s="1" t="s">
        <v>5534</v>
      </c>
      <c r="J2408" s="207"/>
      <c r="K2408" s="188" t="s">
        <v>5535</v>
      </c>
      <c r="L2408" s="62">
        <v>23238214</v>
      </c>
      <c r="M2408" s="102">
        <v>5648875388</v>
      </c>
      <c r="N2408" s="171" t="s">
        <v>47</v>
      </c>
      <c r="O2408" s="50">
        <v>4959.26</v>
      </c>
      <c r="P2408" s="97"/>
      <c r="Q2408" s="42">
        <f>OfficeForms.Table[[#This Row],[ INFORMEDEPAGO ]]*0.3</f>
        <v>1487.778</v>
      </c>
      <c r="R2408" s="12">
        <f>(IF(O2408&lt;4172.98,0,MIN(O2408*0.3,O2408-4172.98)))-P2408</f>
        <v>786.28000000000065</v>
      </c>
      <c r="T2408" s="1"/>
      <c r="V2408" s="1"/>
      <c r="X2408" s="101">
        <v>1</v>
      </c>
    </row>
    <row r="2409" spans="1:24" hidden="1">
      <c r="A2409">
        <v>813</v>
      </c>
      <c r="B2409" s="2">
        <v>46233.672060185199</v>
      </c>
      <c r="C2409" s="2">
        <v>46233.673425925903</v>
      </c>
      <c r="D2409" s="1" t="s">
        <v>24</v>
      </c>
      <c r="E2409" s="1"/>
      <c r="F2409" s="29">
        <v>46233</v>
      </c>
      <c r="G2409" s="29">
        <v>46233</v>
      </c>
      <c r="H2409" s="1" t="s">
        <v>476</v>
      </c>
      <c r="I2409" s="1" t="s">
        <v>5536</v>
      </c>
      <c r="J2409" s="207">
        <v>24846534139</v>
      </c>
      <c r="K2409" s="188"/>
      <c r="L2409" s="62">
        <v>23235902</v>
      </c>
      <c r="M2409" s="102">
        <v>5216642637255</v>
      </c>
      <c r="N2409" s="171" t="s">
        <v>37</v>
      </c>
      <c r="O2409" s="50">
        <v>12575.09</v>
      </c>
      <c r="P2409" s="97">
        <v>3638.24</v>
      </c>
      <c r="Q2409" s="42">
        <f>OfficeForms.Table[[#This Row],[ INFORMEDEPAGO ]]*0.3</f>
        <v>3772.527</v>
      </c>
      <c r="R2409" s="12">
        <f>(IF(O2409&lt;4172.98,0,MIN(O2409*0.3,O2409-4172.98)))-P2409</f>
        <v>134.28700000000026</v>
      </c>
      <c r="S2409" s="74">
        <v>46753</v>
      </c>
      <c r="T2409" s="1" t="s">
        <v>5368</v>
      </c>
      <c r="V2409" s="1"/>
      <c r="X2409" s="101">
        <v>2</v>
      </c>
    </row>
    <row r="2410" spans="1:24" hidden="1">
      <c r="A2410">
        <v>814</v>
      </c>
      <c r="B2410" s="2">
        <v>46233.680428240703</v>
      </c>
      <c r="C2410" s="2">
        <v>46233.681122685201</v>
      </c>
      <c r="D2410" s="1" t="s">
        <v>24</v>
      </c>
      <c r="E2410" s="1"/>
      <c r="F2410" s="29">
        <v>46233</v>
      </c>
      <c r="G2410" s="29">
        <v>46233</v>
      </c>
      <c r="H2410" s="1" t="s">
        <v>1629</v>
      </c>
      <c r="I2410" s="1" t="s">
        <v>5537</v>
      </c>
      <c r="J2410" s="207">
        <v>88816007087</v>
      </c>
      <c r="K2410" s="188" t="s">
        <v>5538</v>
      </c>
      <c r="L2410" s="62">
        <v>2</v>
      </c>
      <c r="M2410" s="102">
        <v>5540417388</v>
      </c>
      <c r="N2410" s="171" t="s">
        <v>37</v>
      </c>
      <c r="O2410" s="52">
        <v>10150.33</v>
      </c>
      <c r="P2410" s="52">
        <v>2936.73</v>
      </c>
      <c r="Q2410" s="42">
        <f>OfficeForms.Table[[#This Row],[ INFORMEDEPAGO ]]*0.3</f>
        <v>3045.0989999999997</v>
      </c>
      <c r="R2410" s="12">
        <f>(IF(O2410&lt;4172.98,0,MIN(O2410*0.3,O2410-4172.98)))-P2410</f>
        <v>108.36899999999969</v>
      </c>
      <c r="S2410" s="74">
        <v>46235</v>
      </c>
      <c r="T2410" s="1" t="s">
        <v>192</v>
      </c>
      <c r="V2410" s="1"/>
      <c r="X2410" s="101">
        <v>2</v>
      </c>
    </row>
    <row r="2411" spans="1:24" hidden="1">
      <c r="A2411">
        <v>815</v>
      </c>
      <c r="B2411" s="2">
        <v>46233.6645138889</v>
      </c>
      <c r="C2411" s="2">
        <v>46233.690127314803</v>
      </c>
      <c r="D2411" s="1" t="s">
        <v>24</v>
      </c>
      <c r="E2411" s="1"/>
      <c r="F2411" s="29">
        <v>46233</v>
      </c>
      <c r="G2411" s="29">
        <v>46233</v>
      </c>
      <c r="H2411" s="1" t="s">
        <v>110</v>
      </c>
      <c r="I2411" s="1" t="s">
        <v>5539</v>
      </c>
      <c r="J2411" s="210">
        <v>31796220692</v>
      </c>
      <c r="K2411" s="171"/>
      <c r="L2411" s="62">
        <v>23234480</v>
      </c>
      <c r="M2411" s="102">
        <v>5218714032294</v>
      </c>
      <c r="N2411" s="171" t="s">
        <v>37</v>
      </c>
      <c r="O2411" s="52">
        <v>9068.26</v>
      </c>
      <c r="P2411" s="52">
        <v>2717.86</v>
      </c>
      <c r="Q2411" s="42">
        <f>OfficeForms.Table[[#This Row],[ INFORMEDEPAGO ]]*0.3</f>
        <v>2720.4780000000001</v>
      </c>
      <c r="R2411" s="12">
        <f>(IF(O2411&lt;4172.98,0,MIN(O2411*0.3,O2411-4172.98)))-P2411</f>
        <v>2.6179999999999382</v>
      </c>
      <c r="S2411" s="74">
        <v>46874</v>
      </c>
      <c r="T2411" s="1" t="s">
        <v>5368</v>
      </c>
      <c r="V2411" s="1"/>
      <c r="X2411" s="101">
        <v>2</v>
      </c>
    </row>
    <row r="2412" spans="1:24" hidden="1">
      <c r="A2412">
        <v>816</v>
      </c>
      <c r="B2412" s="2">
        <v>46233.692152777803</v>
      </c>
      <c r="C2412" s="2">
        <v>46233.692789351902</v>
      </c>
      <c r="D2412" s="1" t="s">
        <v>24</v>
      </c>
      <c r="E2412" s="1"/>
      <c r="F2412" s="29">
        <v>46233</v>
      </c>
      <c r="G2412" s="29">
        <v>46233</v>
      </c>
      <c r="H2412" s="1" t="s">
        <v>3036</v>
      </c>
      <c r="I2412" s="1" t="s">
        <v>5540</v>
      </c>
      <c r="J2412" s="207">
        <v>65937051988</v>
      </c>
      <c r="K2412" s="188" t="s">
        <v>5541</v>
      </c>
      <c r="L2412" s="62">
        <v>23235582</v>
      </c>
      <c r="M2412" s="102">
        <v>5217641139500</v>
      </c>
      <c r="N2412" s="171" t="s">
        <v>106</v>
      </c>
      <c r="O2412" s="52">
        <v>6714.95</v>
      </c>
      <c r="P2412" s="52">
        <v>1650.35</v>
      </c>
      <c r="Q2412" s="42">
        <f>OfficeForms.Table[[#This Row],[ INFORMEDEPAGO ]]*0.3</f>
        <v>2014.4849999999999</v>
      </c>
      <c r="R2412" s="12">
        <f>(IF(O2412&lt;4172.98,0,MIN(O2412*0.3,O2412-4172.98)))-P2412</f>
        <v>364.13499999999999</v>
      </c>
      <c r="S2412" s="74">
        <v>45444</v>
      </c>
      <c r="T2412" s="1"/>
      <c r="V2412" s="1"/>
      <c r="X2412" s="101">
        <v>2</v>
      </c>
    </row>
    <row r="2413" spans="1:24" hidden="1">
      <c r="A2413">
        <v>817</v>
      </c>
      <c r="B2413" s="2">
        <v>46233.6930208333</v>
      </c>
      <c r="C2413" s="2">
        <v>46233.694386574098</v>
      </c>
      <c r="D2413" s="1" t="s">
        <v>24</v>
      </c>
      <c r="E2413" s="1"/>
      <c r="F2413" s="29">
        <v>46233</v>
      </c>
      <c r="G2413" s="29">
        <v>46233</v>
      </c>
      <c r="H2413" s="1" t="s">
        <v>5033</v>
      </c>
      <c r="I2413" s="1" t="s">
        <v>5542</v>
      </c>
      <c r="J2413" s="207"/>
      <c r="K2413" s="188" t="s">
        <v>5543</v>
      </c>
      <c r="L2413" s="62">
        <v>23237462</v>
      </c>
      <c r="M2413" s="102">
        <v>5532298728</v>
      </c>
      <c r="N2413" s="171" t="s">
        <v>28</v>
      </c>
      <c r="O2413" s="50">
        <v>9760.32</v>
      </c>
      <c r="P2413" s="97"/>
      <c r="Q2413" s="42">
        <f>OfficeForms.Table[[#This Row],[ INFORMEDEPAGO ]]*0.3</f>
        <v>2928.096</v>
      </c>
      <c r="R2413" s="12">
        <f>(IF(O2413&lt;4172.98,0,MIN(O2413*0.3,O2413-4172.98)))-P2413</f>
        <v>2928.096</v>
      </c>
      <c r="T2413" s="1"/>
      <c r="V2413" s="1"/>
      <c r="X2413" s="101">
        <v>1</v>
      </c>
    </row>
    <row r="2414" spans="1:24" hidden="1">
      <c r="A2414">
        <v>818</v>
      </c>
      <c r="B2414" s="2">
        <v>46233.697129629603</v>
      </c>
      <c r="C2414" s="2">
        <v>46233.697407407402</v>
      </c>
      <c r="D2414" s="1" t="s">
        <v>24</v>
      </c>
      <c r="E2414" s="1"/>
      <c r="F2414" s="29">
        <v>46233</v>
      </c>
      <c r="G2414" s="29">
        <v>46233</v>
      </c>
      <c r="H2414" s="1" t="s">
        <v>26</v>
      </c>
      <c r="I2414" s="1" t="s">
        <v>3527</v>
      </c>
      <c r="J2414" s="207">
        <v>32856305399</v>
      </c>
      <c r="K2414" s="188"/>
      <c r="L2414" s="62">
        <v>23239230</v>
      </c>
      <c r="M2414" s="102">
        <v>5218712319455</v>
      </c>
      <c r="N2414" s="171" t="s">
        <v>28</v>
      </c>
      <c r="O2414" s="50">
        <v>40497.39</v>
      </c>
      <c r="P2414" s="97"/>
      <c r="Q2414" s="42">
        <f>OfficeForms.Table[[#This Row],[ INFORMEDEPAGO ]]*0.3</f>
        <v>12149.216999999999</v>
      </c>
      <c r="R2414" s="12">
        <f>(IF(O2414&lt;4172.98,0,MIN(O2414*0.3,O2414-4172.98)))-P2414</f>
        <v>12149.216999999999</v>
      </c>
      <c r="T2414" s="1"/>
      <c r="V2414" s="1"/>
      <c r="X2414" s="101">
        <v>1</v>
      </c>
    </row>
    <row r="2415" spans="1:24" hidden="1">
      <c r="A2415">
        <v>819</v>
      </c>
      <c r="B2415" s="2">
        <v>46233.692951388897</v>
      </c>
      <c r="C2415" s="2">
        <v>46233.698194444398</v>
      </c>
      <c r="D2415" s="1" t="s">
        <v>24</v>
      </c>
      <c r="E2415" s="1"/>
      <c r="F2415" s="29">
        <v>46233</v>
      </c>
      <c r="G2415" s="29">
        <v>46233</v>
      </c>
      <c r="H2415" s="1" t="s">
        <v>476</v>
      </c>
      <c r="I2415" s="1" t="s">
        <v>5544</v>
      </c>
      <c r="J2415" s="207"/>
      <c r="K2415" s="188" t="s">
        <v>5545</v>
      </c>
      <c r="L2415" s="62">
        <v>23237138</v>
      </c>
      <c r="M2415" s="102">
        <v>5214731626176</v>
      </c>
      <c r="N2415" s="171" t="s">
        <v>47</v>
      </c>
      <c r="O2415" s="50">
        <v>5260.8</v>
      </c>
      <c r="P2415" s="97"/>
      <c r="Q2415" s="42">
        <f>OfficeForms.Table[[#This Row],[ INFORMEDEPAGO ]]*0.3</f>
        <v>1578.24</v>
      </c>
      <c r="R2415" s="12">
        <f>(IF(O2415&lt;4172.98,0,MIN(O2415*0.3,O2415-4172.98)))-P2415</f>
        <v>1087.8200000000006</v>
      </c>
      <c r="T2415" s="1"/>
      <c r="V2415" s="1"/>
      <c r="X2415" s="101">
        <v>1</v>
      </c>
    </row>
    <row r="2416" spans="1:24" hidden="1">
      <c r="A2416">
        <v>820</v>
      </c>
      <c r="B2416" s="2">
        <v>46233.703090277799</v>
      </c>
      <c r="C2416" s="2">
        <v>46233.703912037003</v>
      </c>
      <c r="D2416" s="1" t="s">
        <v>24</v>
      </c>
      <c r="E2416" s="1"/>
      <c r="F2416" s="29">
        <v>46233</v>
      </c>
      <c r="G2416" s="29">
        <v>46233</v>
      </c>
      <c r="H2416" s="1" t="s">
        <v>3452</v>
      </c>
      <c r="I2416" s="1" t="s">
        <v>5546</v>
      </c>
      <c r="J2416" s="207"/>
      <c r="K2416" s="188" t="s">
        <v>5547</v>
      </c>
      <c r="L2416" s="62">
        <v>23238558</v>
      </c>
      <c r="M2416" s="102">
        <v>2871218138</v>
      </c>
      <c r="N2416" s="171" t="s">
        <v>32</v>
      </c>
      <c r="O2416" s="52">
        <v>4813.6899999999996</v>
      </c>
      <c r="P2416" s="52">
        <v>848</v>
      </c>
      <c r="Q2416" s="42">
        <f>OfficeForms.Table[[#This Row],[ INFORMEDEPAGO ]]*0.3</f>
        <v>1444.1069999999997</v>
      </c>
      <c r="R2416" s="12">
        <f>(IF(O2416&lt;4172.98,0,MIN(O2416*0.3,O2416-4172.98)))-P2416</f>
        <v>-207.28999999999996</v>
      </c>
      <c r="T2416" s="1"/>
      <c r="V2416" s="1"/>
      <c r="X2416" s="101">
        <v>1</v>
      </c>
    </row>
    <row r="2417" spans="1:24" hidden="1">
      <c r="A2417">
        <v>821</v>
      </c>
      <c r="B2417" s="2">
        <v>46233.703553240703</v>
      </c>
      <c r="C2417" s="2">
        <v>46233.705613425896</v>
      </c>
      <c r="D2417" s="1" t="s">
        <v>24</v>
      </c>
      <c r="E2417" s="1"/>
      <c r="F2417" s="29">
        <v>46233</v>
      </c>
      <c r="G2417" s="29">
        <v>46233</v>
      </c>
      <c r="H2417" s="1" t="s">
        <v>476</v>
      </c>
      <c r="I2417" s="1" t="s">
        <v>5548</v>
      </c>
      <c r="J2417" s="207"/>
      <c r="K2417" s="188" t="s">
        <v>5549</v>
      </c>
      <c r="L2417" s="62">
        <v>23233530</v>
      </c>
      <c r="M2417" s="102">
        <v>5214931553029</v>
      </c>
      <c r="N2417" s="171" t="s">
        <v>28</v>
      </c>
      <c r="O2417" s="50">
        <v>32941.550000000003</v>
      </c>
      <c r="P2417" s="97"/>
      <c r="Q2417" s="42">
        <f>OfficeForms.Table[[#This Row],[ INFORMEDEPAGO ]]*0.3</f>
        <v>9882.4650000000001</v>
      </c>
      <c r="R2417" s="12">
        <f>(IF(O2417&lt;4172.98,0,MIN(O2417*0.3,O2417-4172.98)))-P2417</f>
        <v>9882.4650000000001</v>
      </c>
      <c r="T2417" s="1"/>
      <c r="V2417" s="1"/>
      <c r="X2417" s="101">
        <v>1</v>
      </c>
    </row>
    <row r="2418" spans="1:24" hidden="1">
      <c r="A2418">
        <v>822</v>
      </c>
      <c r="B2418" s="2">
        <v>46233.710902777799</v>
      </c>
      <c r="C2418" s="2">
        <v>46233.7118402778</v>
      </c>
      <c r="D2418" s="1" t="s">
        <v>24</v>
      </c>
      <c r="E2418" s="1"/>
      <c r="F2418" s="29">
        <v>46233</v>
      </c>
      <c r="G2418" s="29">
        <v>46233</v>
      </c>
      <c r="H2418" s="1" t="s">
        <v>3036</v>
      </c>
      <c r="I2418" s="1" t="s">
        <v>5550</v>
      </c>
      <c r="J2418" s="207">
        <v>28886814624</v>
      </c>
      <c r="K2418" s="188"/>
      <c r="L2418" s="62">
        <v>23238404</v>
      </c>
      <c r="M2418" s="102">
        <v>5215575664849</v>
      </c>
      <c r="N2418" s="171" t="s">
        <v>37</v>
      </c>
      <c r="O2418" s="52">
        <v>4637.67</v>
      </c>
      <c r="P2418" s="52">
        <v>447.41</v>
      </c>
      <c r="Q2418" s="42">
        <f>OfficeForms.Table[[#This Row],[ INFORMEDEPAGO ]]*0.3</f>
        <v>1391.3009999999999</v>
      </c>
      <c r="R2418" s="12">
        <f>(IF(O2418&lt;4172.98,0,MIN(O2418*0.3,O2418-4172.98)))-P2418</f>
        <v>17.280000000000484</v>
      </c>
      <c r="S2418" s="74">
        <v>46692</v>
      </c>
      <c r="T2418" s="1"/>
      <c r="V2418" s="1"/>
      <c r="X2418" s="101">
        <v>2</v>
      </c>
    </row>
    <row r="2419" spans="1:24" hidden="1">
      <c r="A2419">
        <v>823</v>
      </c>
      <c r="B2419" s="2">
        <v>46233.712754629603</v>
      </c>
      <c r="C2419" s="2">
        <v>46233.713553240697</v>
      </c>
      <c r="D2419" s="1" t="s">
        <v>24</v>
      </c>
      <c r="E2419" s="1"/>
      <c r="F2419" s="29">
        <v>46233</v>
      </c>
      <c r="G2419" s="29">
        <v>46233</v>
      </c>
      <c r="H2419" s="1" t="s">
        <v>5033</v>
      </c>
      <c r="I2419" s="1" t="s">
        <v>5551</v>
      </c>
      <c r="J2419" s="207">
        <v>23786111254</v>
      </c>
      <c r="K2419" s="188"/>
      <c r="L2419" s="62">
        <v>23239418</v>
      </c>
      <c r="M2419" s="102">
        <v>5214448871688</v>
      </c>
      <c r="N2419" s="171" t="s">
        <v>37</v>
      </c>
      <c r="O2419" s="52">
        <v>9760.32</v>
      </c>
      <c r="P2419" s="52">
        <v>2928.1</v>
      </c>
      <c r="Q2419" s="42">
        <f>OfficeForms.Table[[#This Row],[ INFORMEDEPAGO ]]*0.3</f>
        <v>2928.096</v>
      </c>
      <c r="R2419" s="12">
        <f>(IF(O2419&lt;4172.98,0,MIN(O2419*0.3,O2419-4172.98)))-P2419</f>
        <v>-3.9999999999054126E-3</v>
      </c>
      <c r="S2419" s="74">
        <v>46874</v>
      </c>
      <c r="T2419" s="1" t="s">
        <v>5368</v>
      </c>
      <c r="V2419" s="1"/>
      <c r="X2419" s="101">
        <v>2</v>
      </c>
    </row>
    <row r="2420" spans="1:24" hidden="1">
      <c r="A2420">
        <v>824</v>
      </c>
      <c r="B2420" s="2">
        <v>46233.713483796302</v>
      </c>
      <c r="C2420" s="2">
        <v>46233.716354166703</v>
      </c>
      <c r="D2420" s="1" t="s">
        <v>24</v>
      </c>
      <c r="E2420" s="1"/>
      <c r="F2420" s="29">
        <v>46233</v>
      </c>
      <c r="G2420" s="29">
        <v>46233</v>
      </c>
      <c r="H2420" s="1" t="s">
        <v>1519</v>
      </c>
      <c r="I2420" s="1" t="s">
        <v>5552</v>
      </c>
      <c r="J2420" s="207"/>
      <c r="K2420" s="188" t="s">
        <v>5553</v>
      </c>
      <c r="L2420" s="62">
        <v>22916368</v>
      </c>
      <c r="M2420" s="102">
        <v>5213132623403</v>
      </c>
      <c r="N2420" s="171" t="s">
        <v>47</v>
      </c>
      <c r="O2420" s="52">
        <v>5639.07</v>
      </c>
      <c r="P2420" s="52">
        <v>848</v>
      </c>
      <c r="Q2420" s="42">
        <f>OfficeForms.Table[[#This Row],[ INFORMEDEPAGO ]]*0.3</f>
        <v>1691.7209999999998</v>
      </c>
      <c r="R2420" s="12">
        <f>(IF(O2420&lt;4172.98,0,MIN(O2420*0.3,O2420-4172.98)))-P2420</f>
        <v>618.09000000000015</v>
      </c>
      <c r="T2420" s="1"/>
      <c r="V2420" s="1"/>
      <c r="X2420" s="101">
        <v>1</v>
      </c>
    </row>
    <row r="2421" spans="1:24" hidden="1">
      <c r="A2421">
        <v>825</v>
      </c>
      <c r="B2421" s="2">
        <v>46233.720613425903</v>
      </c>
      <c r="C2421" s="2">
        <v>46233.721261574101</v>
      </c>
      <c r="D2421" s="1" t="s">
        <v>24</v>
      </c>
      <c r="E2421" s="1"/>
      <c r="F2421" s="29">
        <v>46233</v>
      </c>
      <c r="G2421" s="29">
        <v>46233</v>
      </c>
      <c r="H2421" s="1" t="s">
        <v>5033</v>
      </c>
      <c r="I2421" s="1" t="s">
        <v>5554</v>
      </c>
      <c r="J2421" s="207"/>
      <c r="K2421" s="188" t="s">
        <v>5555</v>
      </c>
      <c r="L2421" s="62">
        <v>23239184</v>
      </c>
      <c r="M2421" s="102">
        <v>5219999933662</v>
      </c>
      <c r="N2421" s="171" t="s">
        <v>37</v>
      </c>
      <c r="O2421" s="52">
        <v>7920.51</v>
      </c>
      <c r="P2421" s="52">
        <v>2275.54</v>
      </c>
      <c r="Q2421" s="42">
        <f>OfficeForms.Table[[#This Row],[ INFORMEDEPAGO ]]*0.3</f>
        <v>2376.1529999999998</v>
      </c>
      <c r="R2421" s="12">
        <f>(IF(O2421&lt;4172.98,0,MIN(O2421*0.3,O2421-4172.98)))-P2421</f>
        <v>100.61299999999983</v>
      </c>
      <c r="S2421" s="74">
        <v>46692</v>
      </c>
      <c r="T2421" s="1" t="s">
        <v>192</v>
      </c>
      <c r="V2421" s="1"/>
      <c r="X2421" s="101">
        <v>2</v>
      </c>
    </row>
    <row r="2422" spans="1:24" hidden="1">
      <c r="A2422">
        <v>826</v>
      </c>
      <c r="B2422" s="2">
        <v>46233.723981481497</v>
      </c>
      <c r="C2422" s="2">
        <v>46233.724953703699</v>
      </c>
      <c r="D2422" s="1" t="s">
        <v>24</v>
      </c>
      <c r="E2422" s="1"/>
      <c r="F2422" s="29">
        <v>46233</v>
      </c>
      <c r="G2422" s="29">
        <v>46232</v>
      </c>
      <c r="H2422" s="1" t="s">
        <v>269</v>
      </c>
      <c r="I2422" s="1" t="s">
        <v>5556</v>
      </c>
      <c r="J2422" s="175" t="s">
        <v>5557</v>
      </c>
      <c r="K2422" s="188" t="s">
        <v>5558</v>
      </c>
      <c r="L2422" s="62">
        <v>23214660</v>
      </c>
      <c r="M2422" s="102">
        <v>5218715128218</v>
      </c>
      <c r="N2422" s="171" t="s">
        <v>32</v>
      </c>
      <c r="O2422" s="52">
        <v>3494.57</v>
      </c>
      <c r="P2422" s="52">
        <v>842</v>
      </c>
      <c r="Q2422" s="42">
        <f>OfficeForms.Table[[#This Row],[ INFORMEDEPAGO ]]*0.3</f>
        <v>1048.3710000000001</v>
      </c>
      <c r="R2422" s="12">
        <f>(IF(O2422&lt;4172.98,0,MIN(O2422*0.3,O2422-4172.98)))-P2422</f>
        <v>-842</v>
      </c>
      <c r="T2422" s="1"/>
      <c r="V2422" s="1"/>
      <c r="X2422" s="101">
        <v>1</v>
      </c>
    </row>
    <row r="2423" spans="1:24" hidden="1">
      <c r="A2423">
        <v>827</v>
      </c>
      <c r="B2423" s="2">
        <v>46233.727500000001</v>
      </c>
      <c r="C2423" s="2">
        <v>46233.728310185201</v>
      </c>
      <c r="D2423" s="1" t="s">
        <v>24</v>
      </c>
      <c r="E2423" s="1"/>
      <c r="F2423" s="29">
        <v>46233</v>
      </c>
      <c r="G2423" s="29">
        <v>46233</v>
      </c>
      <c r="H2423" s="1" t="s">
        <v>1629</v>
      </c>
      <c r="I2423" s="1" t="s">
        <v>5559</v>
      </c>
      <c r="J2423" s="175" t="s">
        <v>5560</v>
      </c>
      <c r="K2423" s="188" t="s">
        <v>5561</v>
      </c>
      <c r="L2423" s="62">
        <v>2</v>
      </c>
      <c r="M2423" s="102" t="s">
        <v>5562</v>
      </c>
      <c r="N2423" s="171" t="s">
        <v>37</v>
      </c>
      <c r="O2423" s="52">
        <v>9760.32</v>
      </c>
      <c r="P2423" s="52">
        <v>2809.95</v>
      </c>
      <c r="Q2423" s="42">
        <f>OfficeForms.Table[[#This Row],[ INFORMEDEPAGO ]]*0.3</f>
        <v>2928.096</v>
      </c>
      <c r="R2423" s="12">
        <f>(IF(O2423&lt;4172.98,0,MIN(O2423*0.3,O2423-4172.98)))-P2423</f>
        <v>118.14600000000019</v>
      </c>
      <c r="S2423" s="74">
        <v>46753</v>
      </c>
      <c r="T2423" s="1" t="s">
        <v>192</v>
      </c>
      <c r="V2423" s="1"/>
      <c r="X2423" s="101">
        <v>2</v>
      </c>
    </row>
    <row r="2424" spans="1:24" hidden="1">
      <c r="A2424">
        <v>828</v>
      </c>
      <c r="B2424" s="2">
        <v>46233.526643518497</v>
      </c>
      <c r="C2424" s="2">
        <v>46233.7286805556</v>
      </c>
      <c r="D2424" s="1" t="s">
        <v>24</v>
      </c>
      <c r="E2424" s="1"/>
      <c r="F2424" s="29">
        <v>46233</v>
      </c>
      <c r="G2424" s="29">
        <v>46232</v>
      </c>
      <c r="H2424" s="1" t="s">
        <v>81</v>
      </c>
      <c r="I2424" s="1" t="s">
        <v>5563</v>
      </c>
      <c r="J2424" s="175">
        <v>43796408045</v>
      </c>
      <c r="K2424" s="188"/>
      <c r="L2424" s="62">
        <v>23215242</v>
      </c>
      <c r="M2424" s="102">
        <v>5218131113139</v>
      </c>
      <c r="N2424" s="171" t="s">
        <v>37</v>
      </c>
      <c r="O2424" s="52">
        <v>9760.32</v>
      </c>
      <c r="P2424" s="52">
        <v>2800.52</v>
      </c>
      <c r="Q2424" s="42">
        <f>OfficeForms.Table[[#This Row],[ INFORMEDEPAGO ]]*0.3</f>
        <v>2928.096</v>
      </c>
      <c r="R2424" s="12">
        <f>(IF(O2424&lt;4172.98,0,MIN(O2424*0.3,O2424-4172.98)))-P2424</f>
        <v>127.57600000000002</v>
      </c>
      <c r="S2424" s="74">
        <v>46661</v>
      </c>
      <c r="T2424" s="1"/>
      <c r="V2424" s="1"/>
      <c r="X2424" s="101">
        <v>2</v>
      </c>
    </row>
    <row r="2425" spans="1:24" hidden="1">
      <c r="A2425">
        <v>829</v>
      </c>
      <c r="B2425" s="2">
        <v>46233.728622685201</v>
      </c>
      <c r="C2425" s="2">
        <v>46233.729282407403</v>
      </c>
      <c r="D2425" s="1" t="s">
        <v>24</v>
      </c>
      <c r="E2425" s="1"/>
      <c r="F2425" s="29">
        <v>46233</v>
      </c>
      <c r="G2425" s="29">
        <v>46233</v>
      </c>
      <c r="H2425" s="1" t="s">
        <v>3452</v>
      </c>
      <c r="I2425" s="1" t="s">
        <v>5564</v>
      </c>
      <c r="J2425" s="175"/>
      <c r="K2425" s="188" t="s">
        <v>5565</v>
      </c>
      <c r="L2425" s="62">
        <v>23240048</v>
      </c>
      <c r="M2425" s="102">
        <v>8717967188</v>
      </c>
      <c r="N2425" s="171" t="s">
        <v>32</v>
      </c>
      <c r="O2425" s="67">
        <v>4342.43</v>
      </c>
      <c r="P2425" s="99"/>
      <c r="Q2425" s="42">
        <f>OfficeForms.Table[[#This Row],[ INFORMEDEPAGO ]]*0.3</f>
        <v>1302.729</v>
      </c>
      <c r="R2425" s="12">
        <f>(IF(O2425&lt;4172.98,0,MIN(O2425*0.3,O2425-4172.98)))-P2425</f>
        <v>169.45000000000073</v>
      </c>
      <c r="T2425" s="1"/>
      <c r="V2425" s="1"/>
      <c r="X2425" s="101">
        <v>1</v>
      </c>
    </row>
    <row r="2426" spans="1:24" hidden="1">
      <c r="A2426">
        <v>830</v>
      </c>
      <c r="B2426" s="2">
        <v>46233.654467592598</v>
      </c>
      <c r="C2426" s="2">
        <v>46233.729872685202</v>
      </c>
      <c r="D2426" s="1" t="s">
        <v>24</v>
      </c>
      <c r="E2426" s="1"/>
      <c r="F2426" s="29">
        <v>46233</v>
      </c>
      <c r="G2426" s="29">
        <v>46233</v>
      </c>
      <c r="H2426" s="1" t="s">
        <v>3352</v>
      </c>
      <c r="I2426" s="1" t="s">
        <v>5566</v>
      </c>
      <c r="J2426" s="175"/>
      <c r="K2426" s="188" t="s">
        <v>5567</v>
      </c>
      <c r="L2426" s="62">
        <v>23239170</v>
      </c>
      <c r="M2426" s="102">
        <v>6144634763</v>
      </c>
      <c r="N2426" s="171" t="s">
        <v>263</v>
      </c>
      <c r="O2426" s="52">
        <v>7920.51</v>
      </c>
      <c r="P2426" s="52">
        <v>2195.2800000000002</v>
      </c>
      <c r="Q2426" s="42">
        <f>OfficeForms.Table[[#This Row],[ INFORMEDEPAGO ]]*0.3</f>
        <v>2376.1529999999998</v>
      </c>
      <c r="R2426" s="12">
        <f>(IF(O2426&lt;4172.98,0,MIN(O2426*0.3,O2426-4172.98)))-P2426</f>
        <v>180.87299999999959</v>
      </c>
      <c r="S2426" s="74">
        <v>46204</v>
      </c>
      <c r="T2426" s="1" t="s">
        <v>192</v>
      </c>
      <c r="V2426" s="1"/>
      <c r="X2426" s="101">
        <v>2</v>
      </c>
    </row>
    <row r="2427" spans="1:24" hidden="1">
      <c r="A2427">
        <v>831</v>
      </c>
      <c r="B2427" s="2">
        <v>46233.659155092602</v>
      </c>
      <c r="C2427" s="2">
        <v>46233.736967592602</v>
      </c>
      <c r="D2427" s="1" t="s">
        <v>24</v>
      </c>
      <c r="E2427" s="1"/>
      <c r="F2427" s="29">
        <v>46233</v>
      </c>
      <c r="G2427" s="29">
        <v>46233</v>
      </c>
      <c r="H2427" s="1" t="s">
        <v>1625</v>
      </c>
      <c r="I2427" s="1" t="s">
        <v>5568</v>
      </c>
      <c r="J2427" s="175">
        <v>33876278152</v>
      </c>
      <c r="K2427" s="188" t="s">
        <v>5569</v>
      </c>
      <c r="L2427" s="62">
        <v>2</v>
      </c>
      <c r="M2427" s="102">
        <v>6124012116</v>
      </c>
      <c r="N2427" s="171" t="s">
        <v>37</v>
      </c>
      <c r="O2427" s="52">
        <v>32188.91</v>
      </c>
      <c r="P2427" s="52">
        <v>9626.77</v>
      </c>
      <c r="Q2427" s="42">
        <f>OfficeForms.Table[[#This Row],[ INFORMEDEPAGO ]]*0.3</f>
        <v>9656.6729999999989</v>
      </c>
      <c r="R2427" s="12">
        <f>(IF(O2427&lt;4172.98,0,MIN(O2427*0.3,O2427-4172.98)))-P2427</f>
        <v>29.902999999998428</v>
      </c>
      <c r="S2427" s="74">
        <v>46753</v>
      </c>
      <c r="T2427" s="1"/>
      <c r="V2427" s="1"/>
      <c r="X2427" s="101">
        <v>2</v>
      </c>
    </row>
    <row r="2428" spans="1:24" hidden="1">
      <c r="A2428">
        <v>832</v>
      </c>
      <c r="B2428" s="2">
        <v>46233.654143518499</v>
      </c>
      <c r="C2428" s="2">
        <v>46233.737013888902</v>
      </c>
      <c r="D2428" s="1" t="s">
        <v>24</v>
      </c>
      <c r="E2428" s="1"/>
      <c r="F2428" s="29">
        <v>46233</v>
      </c>
      <c r="G2428" s="29">
        <v>46233</v>
      </c>
      <c r="H2428" s="1" t="s">
        <v>51</v>
      </c>
      <c r="I2428" s="1" t="s">
        <v>5570</v>
      </c>
      <c r="J2428" s="175">
        <v>32856575371</v>
      </c>
      <c r="K2428" s="188" t="s">
        <v>5571</v>
      </c>
      <c r="L2428" s="62">
        <v>23229200</v>
      </c>
      <c r="M2428" s="102">
        <v>5218446684595</v>
      </c>
      <c r="N2428" s="171" t="s">
        <v>28</v>
      </c>
      <c r="O2428" s="67">
        <v>9760.32</v>
      </c>
      <c r="P2428" s="99"/>
      <c r="Q2428" s="42">
        <f>OfficeForms.Table[[#This Row],[ INFORMEDEPAGO ]]*0.3</f>
        <v>2928.096</v>
      </c>
      <c r="R2428" s="12">
        <f>(IF(O2428&lt;4172.98,0,MIN(O2428*0.3,O2428-4172.98)))-P2428</f>
        <v>2928.096</v>
      </c>
      <c r="T2428" s="1"/>
      <c r="V2428" s="1"/>
      <c r="X2428" s="101">
        <v>1</v>
      </c>
    </row>
    <row r="2429" spans="1:24" hidden="1">
      <c r="A2429">
        <v>833</v>
      </c>
      <c r="B2429" s="2">
        <v>46233.738356481503</v>
      </c>
      <c r="C2429" s="2">
        <v>46233.739155092597</v>
      </c>
      <c r="D2429" s="1" t="s">
        <v>24</v>
      </c>
      <c r="E2429" s="1"/>
      <c r="F2429" s="29">
        <v>46233</v>
      </c>
      <c r="G2429" s="29">
        <v>46233</v>
      </c>
      <c r="H2429" s="1" t="s">
        <v>71</v>
      </c>
      <c r="I2429" s="1" t="s">
        <v>5572</v>
      </c>
      <c r="J2429" s="175" t="s">
        <v>5573</v>
      </c>
      <c r="K2429" s="188"/>
      <c r="L2429" s="62">
        <v>23239280</v>
      </c>
      <c r="M2429" s="102">
        <v>5219323278237</v>
      </c>
      <c r="N2429" s="171" t="s">
        <v>37</v>
      </c>
      <c r="O2429" s="52">
        <v>9081.52</v>
      </c>
      <c r="P2429" s="52">
        <v>2627</v>
      </c>
      <c r="Q2429" s="42">
        <f>OfficeForms.Table[[#This Row],[ INFORMEDEPAGO ]]*0.3</f>
        <v>2724.4560000000001</v>
      </c>
      <c r="R2429" s="12">
        <f>(IF(O2429&lt;4172.98,0,MIN(O2429*0.3,O2429-4172.98)))-P2429</f>
        <v>97.456000000000131</v>
      </c>
      <c r="S2429" s="74">
        <v>46600</v>
      </c>
      <c r="T2429" s="1"/>
      <c r="V2429" s="1"/>
      <c r="X2429" s="101">
        <v>2</v>
      </c>
    </row>
    <row r="2430" spans="1:24" hidden="1">
      <c r="A2430">
        <v>834</v>
      </c>
      <c r="B2430" s="2">
        <v>46233.754178240699</v>
      </c>
      <c r="C2430" s="2">
        <v>46233.755416666703</v>
      </c>
      <c r="D2430" s="1" t="s">
        <v>24</v>
      </c>
      <c r="E2430" s="1"/>
      <c r="F2430" s="29">
        <v>46233</v>
      </c>
      <c r="G2430" s="29">
        <v>46229</v>
      </c>
      <c r="H2430" s="1" t="s">
        <v>110</v>
      </c>
      <c r="I2430" s="1" t="s">
        <v>5574</v>
      </c>
      <c r="J2430" s="175">
        <v>65866828745</v>
      </c>
      <c r="K2430" s="189" t="s">
        <v>5575</v>
      </c>
      <c r="L2430" s="62">
        <v>23121910</v>
      </c>
      <c r="M2430" s="102">
        <v>5212295501673</v>
      </c>
      <c r="N2430" s="171" t="s">
        <v>98</v>
      </c>
      <c r="O2430" s="67"/>
      <c r="P2430" s="99"/>
      <c r="Q2430" s="42">
        <f>OfficeForms.Table[[#This Row],[ INFORMEDEPAGO ]]*0.3</f>
        <v>0</v>
      </c>
      <c r="R2430" s="12">
        <f>(IF(O2430&lt;4172.98,0,MIN(O2430*0.3,O2430-4172.98)))-P2430</f>
        <v>0</v>
      </c>
      <c r="T2430" s="1"/>
      <c r="V2430" s="1"/>
      <c r="X2430" s="101">
        <v>0</v>
      </c>
    </row>
    <row r="2431" spans="1:24" hidden="1">
      <c r="A2431">
        <v>835</v>
      </c>
      <c r="B2431" s="2">
        <v>46233.774178240703</v>
      </c>
      <c r="C2431" s="2">
        <v>46233.774664351797</v>
      </c>
      <c r="D2431" s="1" t="s">
        <v>24</v>
      </c>
      <c r="E2431" s="1"/>
      <c r="F2431" s="29">
        <v>46233</v>
      </c>
      <c r="G2431" s="29">
        <v>46233</v>
      </c>
      <c r="H2431" s="1" t="s">
        <v>3007</v>
      </c>
      <c r="I2431" s="1" t="s">
        <v>5576</v>
      </c>
      <c r="J2431" s="175">
        <v>55776002994</v>
      </c>
      <c r="K2431" s="188"/>
      <c r="L2431" s="62">
        <v>23235502</v>
      </c>
      <c r="M2431" s="102">
        <v>6648177007</v>
      </c>
      <c r="N2431" s="171" t="s">
        <v>74</v>
      </c>
      <c r="O2431" s="67"/>
      <c r="P2431" s="99"/>
      <c r="Q2431" s="42">
        <f>OfficeForms.Table[[#This Row],[ INFORMEDEPAGO ]]*0.3</f>
        <v>0</v>
      </c>
      <c r="R2431" s="12">
        <f>(IF(O2431&lt;4172.98,0,MIN(O2431*0.3,O2431-4172.98)))-P2431</f>
        <v>0</v>
      </c>
      <c r="T2431" s="1"/>
      <c r="V2431" s="1"/>
      <c r="X2431" s="101">
        <v>1</v>
      </c>
    </row>
    <row r="2432" spans="1:24" hidden="1">
      <c r="A2432">
        <v>836</v>
      </c>
      <c r="B2432" s="2">
        <v>46233.776145833297</v>
      </c>
      <c r="C2432" s="2">
        <v>46233.777453703697</v>
      </c>
      <c r="D2432" s="1" t="s">
        <v>24</v>
      </c>
      <c r="E2432" s="1"/>
      <c r="F2432" s="29">
        <v>46233</v>
      </c>
      <c r="G2432" s="29">
        <v>46233</v>
      </c>
      <c r="H2432" s="1" t="s">
        <v>3022</v>
      </c>
      <c r="I2432" s="1" t="s">
        <v>5577</v>
      </c>
      <c r="J2432" s="175"/>
      <c r="K2432" s="188" t="s">
        <v>5578</v>
      </c>
      <c r="L2432" s="62">
        <v>23233164</v>
      </c>
      <c r="M2432" s="102">
        <v>8611041624</v>
      </c>
      <c r="N2432" s="171" t="s">
        <v>32</v>
      </c>
      <c r="O2432" s="52">
        <v>2410.58</v>
      </c>
      <c r="P2432" s="52">
        <v>581</v>
      </c>
      <c r="Q2432" s="42">
        <f>OfficeForms.Table[[#This Row],[ INFORMEDEPAGO ]]*0.3</f>
        <v>723.17399999999998</v>
      </c>
      <c r="R2432" s="12">
        <f>(IF(O2432&lt;4172.98,0,MIN(O2432*0.3,O2432-4172.98)))-P2432</f>
        <v>-581</v>
      </c>
      <c r="T2432" s="1"/>
      <c r="V2432" s="1"/>
      <c r="X2432" s="101">
        <v>1</v>
      </c>
    </row>
    <row r="2433" spans="1:24" hidden="1">
      <c r="A2433">
        <v>837</v>
      </c>
      <c r="B2433" s="2">
        <v>46233.782662037003</v>
      </c>
      <c r="C2433" s="2">
        <v>46233.783449074101</v>
      </c>
      <c r="D2433" s="1" t="s">
        <v>24</v>
      </c>
      <c r="E2433" s="1"/>
      <c r="F2433" s="29">
        <v>46233</v>
      </c>
      <c r="G2433" s="29">
        <v>46229</v>
      </c>
      <c r="H2433" s="1" t="s">
        <v>3452</v>
      </c>
      <c r="I2433" s="1" t="s">
        <v>5579</v>
      </c>
      <c r="J2433" s="175"/>
      <c r="K2433" s="188" t="s">
        <v>5580</v>
      </c>
      <c r="L2433" s="119">
        <v>23116820</v>
      </c>
      <c r="M2433" s="102">
        <v>6861757231</v>
      </c>
      <c r="N2433" s="171" t="s">
        <v>32</v>
      </c>
      <c r="O2433" s="52">
        <v>4342.43</v>
      </c>
      <c r="P2433" s="52">
        <v>848</v>
      </c>
      <c r="Q2433" s="42">
        <f>OfficeForms.Table[[#This Row],[ INFORMEDEPAGO ]]*0.3</f>
        <v>1302.729</v>
      </c>
      <c r="R2433" s="12">
        <f>(IF(O2433&lt;4172.98,0,MIN(O2433*0.3,O2433-4172.98)))-P2433</f>
        <v>-678.54999999999927</v>
      </c>
      <c r="T2433" s="1"/>
      <c r="V2433" s="1"/>
      <c r="X2433" s="101">
        <v>1</v>
      </c>
    </row>
    <row r="2434" spans="1:24" hidden="1">
      <c r="A2434">
        <v>838</v>
      </c>
      <c r="B2434" s="2">
        <v>46233.785231481503</v>
      </c>
      <c r="C2434" s="2">
        <v>46233.786342592597</v>
      </c>
      <c r="D2434" s="1" t="s">
        <v>24</v>
      </c>
      <c r="E2434" s="1"/>
      <c r="F2434" s="29">
        <v>46233</v>
      </c>
      <c r="G2434" s="29">
        <v>46233</v>
      </c>
      <c r="H2434" s="1" t="s">
        <v>476</v>
      </c>
      <c r="I2434" s="1" t="s">
        <v>5581</v>
      </c>
      <c r="J2434" s="175"/>
      <c r="K2434" s="188" t="s">
        <v>5582</v>
      </c>
      <c r="L2434" s="62">
        <v>23240818</v>
      </c>
      <c r="M2434" s="102">
        <v>5218714646665</v>
      </c>
      <c r="N2434" s="171" t="s">
        <v>74</v>
      </c>
      <c r="O2434" s="67"/>
      <c r="P2434" s="99"/>
      <c r="Q2434" s="42">
        <f>OfficeForms.Table[[#This Row],[ INFORMEDEPAGO ]]*0.3</f>
        <v>0</v>
      </c>
      <c r="R2434" s="12">
        <f>(IF(O2434&lt;4172.98,0,MIN(O2434*0.3,O2434-4172.98)))-P2434</f>
        <v>0</v>
      </c>
      <c r="T2434" s="1"/>
      <c r="V2434" s="1"/>
      <c r="X2434" s="101">
        <v>1</v>
      </c>
    </row>
    <row r="2435" spans="1:24" hidden="1">
      <c r="A2435">
        <v>839</v>
      </c>
      <c r="B2435" s="2">
        <v>46234.342800925901</v>
      </c>
      <c r="C2435" s="2">
        <v>46234.346597222197</v>
      </c>
      <c r="D2435" s="1" t="s">
        <v>24</v>
      </c>
      <c r="E2435" s="1"/>
      <c r="F2435" s="29">
        <v>46234</v>
      </c>
      <c r="G2435" s="29">
        <v>46233</v>
      </c>
      <c r="H2435" s="1" t="s">
        <v>3036</v>
      </c>
      <c r="I2435" s="1" t="s">
        <v>5583</v>
      </c>
      <c r="J2435" s="175">
        <v>39956201972</v>
      </c>
      <c r="K2435" s="188" t="s">
        <v>5584</v>
      </c>
      <c r="L2435" s="62">
        <v>23238918</v>
      </c>
      <c r="M2435" s="102">
        <v>5215545749654</v>
      </c>
      <c r="N2435" s="171" t="s">
        <v>47</v>
      </c>
      <c r="O2435" s="50">
        <v>4554.84</v>
      </c>
      <c r="P2435" s="97"/>
      <c r="Q2435" s="42">
        <f>OfficeForms.Table[[#This Row],[ INFORMEDEPAGO ]]*0.3</f>
        <v>1366.452</v>
      </c>
      <c r="R2435" s="12">
        <f>(IF(O2435&lt;4172.98,0,MIN(O2435*0.3,O2435-4172.98)))-P2435</f>
        <v>381.86000000000058</v>
      </c>
      <c r="T2435" s="1"/>
      <c r="V2435" s="1"/>
      <c r="X2435" s="101">
        <v>1</v>
      </c>
    </row>
    <row r="2436" spans="1:24" hidden="1">
      <c r="A2436">
        <v>840</v>
      </c>
      <c r="B2436" s="2">
        <v>46234.3440625</v>
      </c>
      <c r="C2436" s="2">
        <v>46234.358229166697</v>
      </c>
      <c r="D2436" s="1" t="s">
        <v>24</v>
      </c>
      <c r="E2436" s="1"/>
      <c r="F2436" s="29">
        <v>46234</v>
      </c>
      <c r="G2436" s="29">
        <v>46234</v>
      </c>
      <c r="H2436" s="1" t="s">
        <v>1625</v>
      </c>
      <c r="I2436" s="1" t="s">
        <v>5585</v>
      </c>
      <c r="J2436" s="175">
        <v>32826404645</v>
      </c>
      <c r="K2436" s="188" t="s">
        <v>5586</v>
      </c>
      <c r="L2436" s="62">
        <v>2</v>
      </c>
      <c r="M2436" s="102" t="s">
        <v>5587</v>
      </c>
      <c r="N2436" s="171" t="s">
        <v>106</v>
      </c>
      <c r="O2436" s="90">
        <v>9081.52</v>
      </c>
      <c r="P2436" s="90">
        <v>2515.4699999999998</v>
      </c>
      <c r="Q2436" s="42">
        <f>OfficeForms.Table[[#This Row],[ INFORMEDEPAGO ]]*0.3</f>
        <v>2724.4560000000001</v>
      </c>
      <c r="R2436" s="12">
        <f>(IF(O2436&lt;4172.98,0,MIN(O2436*0.3,O2436-4172.98)))-P2436</f>
        <v>208.98600000000033</v>
      </c>
      <c r="S2436" s="74">
        <v>46235</v>
      </c>
      <c r="T2436" s="1"/>
      <c r="V2436" s="1"/>
      <c r="X2436" s="101">
        <v>2</v>
      </c>
    </row>
    <row r="2437" spans="1:24" hidden="1">
      <c r="A2437">
        <v>842</v>
      </c>
      <c r="B2437" s="2">
        <v>46234.366875</v>
      </c>
      <c r="C2437" s="2">
        <v>46234.3679513889</v>
      </c>
      <c r="D2437" s="1" t="s">
        <v>24</v>
      </c>
      <c r="E2437" s="1"/>
      <c r="F2437" s="29">
        <v>46234</v>
      </c>
      <c r="G2437" s="29">
        <v>46234</v>
      </c>
      <c r="H2437" s="1" t="s">
        <v>1629</v>
      </c>
      <c r="I2437" s="1" t="s">
        <v>5588</v>
      </c>
      <c r="J2437" s="175">
        <v>43776013864</v>
      </c>
      <c r="K2437" s="188" t="s">
        <v>5589</v>
      </c>
      <c r="L2437" s="62">
        <v>2</v>
      </c>
      <c r="M2437" s="102" t="s">
        <v>5590</v>
      </c>
      <c r="N2437" s="171" t="s">
        <v>130</v>
      </c>
      <c r="O2437" s="50">
        <v>7116.73</v>
      </c>
      <c r="P2437" s="97">
        <v>2058.8200000000002</v>
      </c>
      <c r="Q2437" s="42">
        <f>OfficeForms.Table[[#This Row],[ INFORMEDEPAGO ]]*0.3</f>
        <v>2135.0189999999998</v>
      </c>
      <c r="R2437" s="12">
        <f>(IF(O2437&lt;4172.98,0,MIN(O2437*0.3,O2437-4172.98)))-P2437</f>
        <v>76.198999999999614</v>
      </c>
      <c r="S2437" s="74">
        <v>46113</v>
      </c>
      <c r="T2437" s="1"/>
      <c r="V2437" s="1"/>
      <c r="X2437" s="101">
        <v>2</v>
      </c>
    </row>
    <row r="2438" spans="1:24" hidden="1">
      <c r="A2438">
        <v>843</v>
      </c>
      <c r="B2438" s="2">
        <v>46234.368796296301</v>
      </c>
      <c r="C2438" s="2">
        <v>46234.369606481501</v>
      </c>
      <c r="D2438" s="1" t="s">
        <v>24</v>
      </c>
      <c r="E2438" s="1"/>
      <c r="F2438" s="29">
        <v>46234</v>
      </c>
      <c r="G2438" s="29">
        <v>46233</v>
      </c>
      <c r="H2438" s="1" t="s">
        <v>5135</v>
      </c>
      <c r="I2438" s="1" t="s">
        <v>5591</v>
      </c>
      <c r="J2438" s="175"/>
      <c r="K2438" s="188" t="s">
        <v>5592</v>
      </c>
      <c r="L2438" s="62">
        <v>23241776</v>
      </c>
      <c r="M2438" s="102">
        <v>5215572002123</v>
      </c>
      <c r="N2438" s="171" t="s">
        <v>98</v>
      </c>
      <c r="O2438" s="50"/>
      <c r="P2438" s="97"/>
      <c r="Q2438" s="42">
        <f>OfficeForms.Table[[#This Row],[ INFORMEDEPAGO ]]*0.3</f>
        <v>0</v>
      </c>
      <c r="R2438" s="12">
        <f>(IF(O2438&lt;4172.98,0,MIN(O2438*0.3,O2438-4172.98)))-P2438</f>
        <v>0</v>
      </c>
      <c r="T2438" s="1"/>
      <c r="V2438" s="1"/>
      <c r="X2438" s="101">
        <v>0</v>
      </c>
    </row>
    <row r="2439" spans="1:24" hidden="1">
      <c r="A2439">
        <v>844</v>
      </c>
      <c r="B2439" s="2">
        <v>46234.371921296297</v>
      </c>
      <c r="C2439" s="2">
        <v>46234.372974537</v>
      </c>
      <c r="D2439" s="1" t="s">
        <v>24</v>
      </c>
      <c r="E2439" s="1"/>
      <c r="F2439" s="29">
        <v>46234</v>
      </c>
      <c r="G2439" s="29">
        <v>46233</v>
      </c>
      <c r="H2439" s="1" t="s">
        <v>5135</v>
      </c>
      <c r="I2439" s="1" t="s">
        <v>5593</v>
      </c>
      <c r="J2439" s="175" t="s">
        <v>5594</v>
      </c>
      <c r="K2439" s="188" t="s">
        <v>5595</v>
      </c>
      <c r="L2439" s="62">
        <v>23241858</v>
      </c>
      <c r="M2439" s="102">
        <v>5219991401686</v>
      </c>
      <c r="N2439" s="171" t="s">
        <v>37</v>
      </c>
      <c r="O2439" s="50">
        <v>5385.7</v>
      </c>
      <c r="P2439" s="97">
        <v>1212.71</v>
      </c>
      <c r="Q2439" s="42">
        <f>OfficeForms.Table[[#This Row],[ INFORMEDEPAGO ]]*0.3</f>
        <v>1615.7099999999998</v>
      </c>
      <c r="R2439" s="12">
        <f>(IF(O2439&lt;4172.98,0,MIN(O2439*0.3,O2439-4172.98)))-P2439</f>
        <v>1.0000000000218279E-2</v>
      </c>
      <c r="S2439" s="74">
        <v>46935</v>
      </c>
      <c r="T2439" s="1"/>
      <c r="V2439" s="1"/>
      <c r="X2439" s="101">
        <v>2</v>
      </c>
    </row>
    <row r="2440" spans="1:24" hidden="1">
      <c r="A2440">
        <v>845</v>
      </c>
      <c r="B2440" s="2">
        <v>46234.373634259297</v>
      </c>
      <c r="C2440" s="2">
        <v>46234.3748611111</v>
      </c>
      <c r="D2440" s="1" t="s">
        <v>24</v>
      </c>
      <c r="E2440" s="1"/>
      <c r="F2440" s="29">
        <v>46234</v>
      </c>
      <c r="G2440" s="29">
        <v>46233</v>
      </c>
      <c r="H2440" s="1" t="s">
        <v>5135</v>
      </c>
      <c r="I2440" s="1" t="s">
        <v>5596</v>
      </c>
      <c r="J2440" s="175" t="s">
        <v>5597</v>
      </c>
      <c r="K2440" s="188" t="s">
        <v>5598</v>
      </c>
      <c r="L2440" s="62">
        <v>23241996</v>
      </c>
      <c r="M2440" s="102">
        <v>5215539549357</v>
      </c>
      <c r="N2440" s="171" t="s">
        <v>98</v>
      </c>
      <c r="O2440" s="50"/>
      <c r="P2440" s="97"/>
      <c r="Q2440" s="42">
        <f>OfficeForms.Table[[#This Row],[ INFORMEDEPAGO ]]*0.3</f>
        <v>0</v>
      </c>
      <c r="R2440" s="12">
        <f>(IF(O2440&lt;4172.98,0,MIN(O2440*0.3,O2440-4172.98)))-P2440</f>
        <v>0</v>
      </c>
      <c r="T2440" s="1"/>
      <c r="V2440" s="1"/>
      <c r="X2440" s="101">
        <v>0</v>
      </c>
    </row>
    <row r="2441" spans="1:24" hidden="1">
      <c r="A2441">
        <v>846</v>
      </c>
      <c r="B2441" s="2">
        <v>46234.375798611101</v>
      </c>
      <c r="C2441" s="2">
        <v>46234.376550925903</v>
      </c>
      <c r="D2441" s="1" t="s">
        <v>24</v>
      </c>
      <c r="E2441" s="1"/>
      <c r="F2441" s="29">
        <v>46234</v>
      </c>
      <c r="G2441" s="29">
        <v>46233</v>
      </c>
      <c r="H2441" s="1" t="s">
        <v>5135</v>
      </c>
      <c r="I2441" s="1"/>
      <c r="J2441" s="207" t="s">
        <v>5599</v>
      </c>
      <c r="K2441" s="188"/>
      <c r="L2441" s="62">
        <v>23242284</v>
      </c>
      <c r="M2441" s="102">
        <v>5218131079813</v>
      </c>
      <c r="N2441" s="171" t="s">
        <v>37</v>
      </c>
      <c r="O2441" s="50">
        <v>9760.32</v>
      </c>
      <c r="P2441" s="97">
        <v>2925.55</v>
      </c>
      <c r="Q2441" s="42">
        <f>OfficeForms.Table[[#This Row],[ INFORMEDEPAGO ]]*0.3</f>
        <v>2928.096</v>
      </c>
      <c r="R2441" s="12">
        <f>(IF(O2441&lt;4172.98,0,MIN(O2441*0.3,O2441-4172.98)))-P2441</f>
        <v>2.5459999999998217</v>
      </c>
      <c r="S2441" s="74">
        <v>46661</v>
      </c>
      <c r="T2441" s="1" t="s">
        <v>259</v>
      </c>
      <c r="V2441" s="1"/>
      <c r="X2441" s="101">
        <v>2</v>
      </c>
    </row>
    <row r="2442" spans="1:24" hidden="1">
      <c r="A2442">
        <v>847</v>
      </c>
      <c r="B2442" s="2">
        <v>46233.73</v>
      </c>
      <c r="C2442" s="2">
        <v>46234.377453703702</v>
      </c>
      <c r="D2442" s="1" t="s">
        <v>24</v>
      </c>
      <c r="E2442" s="1"/>
      <c r="F2442" s="29">
        <v>46234</v>
      </c>
      <c r="G2442" s="29">
        <v>46233</v>
      </c>
      <c r="H2442" s="1" t="s">
        <v>3352</v>
      </c>
      <c r="I2442" s="1" t="s">
        <v>5600</v>
      </c>
      <c r="J2442" s="207"/>
      <c r="K2442" s="188" t="s">
        <v>5601</v>
      </c>
      <c r="L2442" s="62">
        <v>23240234</v>
      </c>
      <c r="M2442" s="102">
        <v>8122127031</v>
      </c>
      <c r="N2442" s="171" t="s">
        <v>106</v>
      </c>
      <c r="O2442" s="50">
        <v>11583.73</v>
      </c>
      <c r="P2442" s="97">
        <v>2147.14</v>
      </c>
      <c r="Q2442" s="42">
        <f>OfficeForms.Table[[#This Row],[ INFORMEDEPAGO ]]*0.3</f>
        <v>3475.1189999999997</v>
      </c>
      <c r="R2442" s="12">
        <f>(IF(O2442&lt;4172.98,0,MIN(O2442*0.3,O2442-4172.98)))-P2442</f>
        <v>1327.9789999999998</v>
      </c>
      <c r="S2442" s="74">
        <v>45931</v>
      </c>
      <c r="T2442" s="1"/>
      <c r="V2442" s="1"/>
      <c r="X2442" s="101">
        <v>2</v>
      </c>
    </row>
    <row r="2443" spans="1:24" hidden="1">
      <c r="A2443">
        <v>848</v>
      </c>
      <c r="B2443" s="2">
        <v>46234.377465277801</v>
      </c>
      <c r="C2443" s="2">
        <v>46234.3838888889</v>
      </c>
      <c r="D2443" s="1" t="s">
        <v>24</v>
      </c>
      <c r="E2443" s="1"/>
      <c r="F2443" s="29">
        <v>46234</v>
      </c>
      <c r="G2443" s="29">
        <v>46233</v>
      </c>
      <c r="H2443" s="1" t="s">
        <v>5135</v>
      </c>
      <c r="I2443" s="1" t="s">
        <v>5602</v>
      </c>
      <c r="J2443" s="175" t="s">
        <v>5603</v>
      </c>
      <c r="K2443" s="188" t="s">
        <v>5604</v>
      </c>
      <c r="L2443" s="62">
        <v>23243354</v>
      </c>
      <c r="M2443" s="102">
        <v>5212382018633</v>
      </c>
      <c r="N2443" s="171" t="s">
        <v>32</v>
      </c>
      <c r="O2443" s="50">
        <v>2456.0500000000002</v>
      </c>
      <c r="P2443" s="97"/>
      <c r="Q2443" s="42">
        <f>OfficeForms.Table[[#This Row],[ INFORMEDEPAGO ]]*0.3</f>
        <v>736.81500000000005</v>
      </c>
      <c r="R2443" s="12">
        <f>(IF(O2443&lt;4172.98,0,MIN(O2443*0.3,O2443-4172.98)))-P2443</f>
        <v>0</v>
      </c>
      <c r="T2443" s="1"/>
      <c r="V2443" s="1"/>
      <c r="X2443" s="101">
        <v>1</v>
      </c>
    </row>
    <row r="2444" spans="1:24" hidden="1">
      <c r="A2444">
        <v>849</v>
      </c>
      <c r="B2444" s="2">
        <v>46234.392777777801</v>
      </c>
      <c r="C2444" s="2">
        <v>46234.395324074103</v>
      </c>
      <c r="D2444" s="1" t="s">
        <v>24</v>
      </c>
      <c r="E2444" s="1"/>
      <c r="F2444" s="29">
        <v>46234</v>
      </c>
      <c r="G2444" s="29">
        <v>46233</v>
      </c>
      <c r="H2444" s="1" t="s">
        <v>5605</v>
      </c>
      <c r="I2444" s="1" t="s">
        <v>5606</v>
      </c>
      <c r="J2444" s="175"/>
      <c r="K2444" s="188" t="s">
        <v>5607</v>
      </c>
      <c r="L2444" s="62">
        <v>23236642</v>
      </c>
      <c r="M2444" s="102">
        <v>5219932137178</v>
      </c>
      <c r="N2444" s="171" t="s">
        <v>106</v>
      </c>
      <c r="O2444" s="50">
        <v>7116.73</v>
      </c>
      <c r="P2444" s="97">
        <v>1975.86</v>
      </c>
      <c r="Q2444" s="42">
        <f>OfficeForms.Table[[#This Row],[ INFORMEDEPAGO ]]*0.3</f>
        <v>2135.0189999999998</v>
      </c>
      <c r="R2444" s="12">
        <f>(IF(O2444&lt;4172.98,0,MIN(O2444*0.3,O2444-4172.98)))-P2444</f>
        <v>159.15899999999988</v>
      </c>
      <c r="S2444" s="74">
        <v>46235</v>
      </c>
      <c r="T2444" s="1"/>
      <c r="V2444" s="1"/>
      <c r="X2444" s="101">
        <v>2</v>
      </c>
    </row>
    <row r="2445" spans="1:24" hidden="1">
      <c r="A2445">
        <v>850</v>
      </c>
      <c r="B2445" s="2">
        <v>46234.400300925903</v>
      </c>
      <c r="C2445" s="2">
        <v>46234.401423611103</v>
      </c>
      <c r="D2445" s="1" t="s">
        <v>24</v>
      </c>
      <c r="E2445" s="1"/>
      <c r="F2445" s="29">
        <v>46234</v>
      </c>
      <c r="G2445" s="29">
        <v>46233</v>
      </c>
      <c r="H2445" s="1" t="s">
        <v>5033</v>
      </c>
      <c r="I2445" s="1" t="s">
        <v>5608</v>
      </c>
      <c r="J2445" s="175"/>
      <c r="K2445" s="188" t="s">
        <v>5609</v>
      </c>
      <c r="L2445" s="62">
        <v>23241572</v>
      </c>
      <c r="M2445" s="102">
        <v>5214442677303</v>
      </c>
      <c r="N2445" s="171" t="s">
        <v>28</v>
      </c>
      <c r="O2445" s="50">
        <v>7920.51</v>
      </c>
      <c r="P2445" s="97"/>
      <c r="Q2445" s="42">
        <f>OfficeForms.Table[[#This Row],[ INFORMEDEPAGO ]]*0.3</f>
        <v>2376.1529999999998</v>
      </c>
      <c r="R2445" s="12">
        <f>(IF(O2445&lt;4172.98,0,MIN(O2445*0.3,O2445-4172.98)))-P2445</f>
        <v>2376.1529999999998</v>
      </c>
      <c r="T2445" s="1"/>
      <c r="V2445" s="1"/>
      <c r="X2445" s="101">
        <v>1</v>
      </c>
    </row>
    <row r="2446" spans="1:24" hidden="1">
      <c r="A2446">
        <v>851</v>
      </c>
      <c r="B2446" s="2">
        <v>46234.4043634259</v>
      </c>
      <c r="C2446" s="2">
        <v>46234.404861111099</v>
      </c>
      <c r="D2446" s="1" t="s">
        <v>24</v>
      </c>
      <c r="E2446" s="1"/>
      <c r="F2446" s="29">
        <v>46234</v>
      </c>
      <c r="G2446" s="29">
        <v>46233</v>
      </c>
      <c r="H2446" s="1" t="s">
        <v>3007</v>
      </c>
      <c r="I2446" s="1" t="s">
        <v>5610</v>
      </c>
      <c r="J2446" s="175">
        <v>4745643447</v>
      </c>
      <c r="K2446" s="189" t="s">
        <v>5611</v>
      </c>
      <c r="L2446" s="62">
        <v>23236024</v>
      </c>
      <c r="M2446" s="102">
        <v>3334735045</v>
      </c>
      <c r="N2446" s="171" t="s">
        <v>28</v>
      </c>
      <c r="O2446" s="50">
        <v>18040.689999999999</v>
      </c>
      <c r="P2446" s="97"/>
      <c r="Q2446" s="42">
        <f>OfficeForms.Table[[#This Row],[ INFORMEDEPAGO ]]*0.3</f>
        <v>5412.2069999999994</v>
      </c>
      <c r="R2446" s="12">
        <f>(IF(O2446&lt;4172.98,0,MIN(O2446*0.3,O2446-4172.98)))-P2446</f>
        <v>5412.2069999999994</v>
      </c>
      <c r="T2446" s="1"/>
      <c r="V2446" s="1"/>
      <c r="X2446" s="101">
        <v>1</v>
      </c>
    </row>
    <row r="2447" spans="1:24" hidden="1">
      <c r="A2447">
        <v>852</v>
      </c>
      <c r="B2447" s="2">
        <v>46234.408067129603</v>
      </c>
      <c r="C2447" s="2">
        <v>46234.4119444444</v>
      </c>
      <c r="D2447" s="1" t="s">
        <v>24</v>
      </c>
      <c r="E2447" s="1"/>
      <c r="F2447" s="29">
        <v>46234</v>
      </c>
      <c r="G2447" s="29">
        <v>46231</v>
      </c>
      <c r="H2447" s="1" t="s">
        <v>78</v>
      </c>
      <c r="I2447" s="1" t="s">
        <v>5612</v>
      </c>
      <c r="J2447" s="175">
        <v>65735603188</v>
      </c>
      <c r="K2447" s="188" t="s">
        <v>5613</v>
      </c>
      <c r="L2447" s="62">
        <v>23171100</v>
      </c>
      <c r="M2447" s="102">
        <v>5212299161274</v>
      </c>
      <c r="N2447" s="171" t="s">
        <v>263</v>
      </c>
      <c r="O2447" s="50">
        <v>7920.51</v>
      </c>
      <c r="P2447" s="97">
        <v>2081.56</v>
      </c>
      <c r="Q2447" s="42">
        <f>OfficeForms.Table[[#This Row],[ INFORMEDEPAGO ]]*0.3</f>
        <v>2376.1529999999998</v>
      </c>
      <c r="R2447" s="12">
        <f>(IF(O2447&lt;4172.98,0,MIN(O2447*0.3,O2447-4172.98)))-P2447</f>
        <v>294.59299999999985</v>
      </c>
      <c r="S2447" s="74">
        <v>45870</v>
      </c>
      <c r="T2447" s="1" t="s">
        <v>178</v>
      </c>
      <c r="V2447" s="1"/>
      <c r="X2447" s="101">
        <v>2</v>
      </c>
    </row>
    <row r="2448" spans="1:24" hidden="1">
      <c r="A2448">
        <v>853</v>
      </c>
      <c r="B2448" s="2">
        <v>46234.418472222198</v>
      </c>
      <c r="C2448" s="2">
        <v>46234.419560185197</v>
      </c>
      <c r="D2448" s="1" t="s">
        <v>24</v>
      </c>
      <c r="E2448" s="1"/>
      <c r="F2448" s="29">
        <v>46234</v>
      </c>
      <c r="G2448" s="29">
        <v>46233</v>
      </c>
      <c r="H2448" s="1" t="s">
        <v>71</v>
      </c>
      <c r="I2448" s="1" t="s">
        <v>5614</v>
      </c>
      <c r="J2448" s="209" t="s">
        <v>5615</v>
      </c>
      <c r="K2448" s="189" t="s">
        <v>5616</v>
      </c>
      <c r="L2448" s="62">
        <v>23235900</v>
      </c>
      <c r="M2448" s="102">
        <v>5218333323220</v>
      </c>
      <c r="N2448" s="171" t="s">
        <v>130</v>
      </c>
      <c r="O2448" s="50">
        <v>4336.66</v>
      </c>
      <c r="P2448" s="97">
        <v>355</v>
      </c>
      <c r="Q2448" s="42">
        <f>OfficeForms.Table[[#This Row],[ INFORMEDEPAGO ]]*0.3</f>
        <v>1300.9979999999998</v>
      </c>
      <c r="R2448" s="12">
        <f>(IF(O2448&lt;4172.98,0,MIN(O2448*0.3,O2448-4172.98)))-P2448</f>
        <v>-191.31999999999971</v>
      </c>
      <c r="T2448" s="1"/>
      <c r="V2448" s="1"/>
      <c r="X2448" s="101">
        <v>1</v>
      </c>
    </row>
    <row r="2449" spans="1:24" hidden="1">
      <c r="A2449">
        <v>854</v>
      </c>
      <c r="B2449" s="2">
        <v>46234.431319444397</v>
      </c>
      <c r="C2449" s="2">
        <v>46234.436932870398</v>
      </c>
      <c r="D2449" s="1" t="s">
        <v>24</v>
      </c>
      <c r="E2449" s="1"/>
      <c r="F2449" s="29">
        <v>46234</v>
      </c>
      <c r="G2449" s="29">
        <v>46234</v>
      </c>
      <c r="H2449" s="1" t="s">
        <v>81</v>
      </c>
      <c r="I2449" s="1" t="s">
        <v>5617</v>
      </c>
      <c r="J2449" s="175"/>
      <c r="K2449" s="188" t="s">
        <v>5618</v>
      </c>
      <c r="L2449" s="62">
        <v>23252788</v>
      </c>
      <c r="M2449" s="102">
        <v>5215537002106</v>
      </c>
      <c r="N2449" s="171" t="s">
        <v>263</v>
      </c>
      <c r="O2449" s="90">
        <v>16609.87</v>
      </c>
      <c r="P2449" s="90">
        <v>4611.4799999999996</v>
      </c>
      <c r="Q2449" s="42">
        <f>OfficeForms.Table[[#This Row],[ INFORMEDEPAGO ]]*0.3</f>
        <v>4982.9609999999993</v>
      </c>
      <c r="R2449" s="12">
        <f>(IF(O2449&lt;4172.98,0,MIN(O2449*0.3,O2449-4172.98)))-P2449</f>
        <v>371.48099999999977</v>
      </c>
      <c r="S2449" s="74">
        <v>46113</v>
      </c>
      <c r="T2449" s="1" t="s">
        <v>192</v>
      </c>
      <c r="V2449" s="1"/>
      <c r="X2449" s="101">
        <v>2</v>
      </c>
    </row>
    <row r="2450" spans="1:24" hidden="1">
      <c r="A2450">
        <v>855</v>
      </c>
      <c r="B2450" s="2">
        <v>46234.4353819444</v>
      </c>
      <c r="C2450" s="2">
        <v>46234.438599537003</v>
      </c>
      <c r="D2450" s="1" t="s">
        <v>24</v>
      </c>
      <c r="E2450" s="1"/>
      <c r="F2450" s="29">
        <v>46234</v>
      </c>
      <c r="G2450" s="29">
        <v>46233</v>
      </c>
      <c r="H2450" s="1" t="s">
        <v>81</v>
      </c>
      <c r="I2450" s="1" t="s">
        <v>5619</v>
      </c>
      <c r="J2450" s="175">
        <v>51897236611</v>
      </c>
      <c r="K2450" s="188"/>
      <c r="L2450" s="62">
        <v>23244992</v>
      </c>
      <c r="M2450" s="102">
        <v>5214491087696</v>
      </c>
      <c r="N2450" s="171" t="s">
        <v>37</v>
      </c>
      <c r="O2450" s="90">
        <v>14420.95</v>
      </c>
      <c r="P2450" s="90">
        <v>4322.0200000000004</v>
      </c>
      <c r="Q2450" s="42">
        <f>OfficeForms.Table[[#This Row],[ INFORMEDEPAGO ]]*0.3</f>
        <v>4326.2849999999999</v>
      </c>
      <c r="R2450" s="12">
        <f>(IF(O2450&lt;4172.98,0,MIN(O2450*0.3,O2450-4172.98)))-P2450</f>
        <v>4.2649999999994179</v>
      </c>
      <c r="S2450" s="74">
        <v>46935</v>
      </c>
      <c r="T2450" s="1" t="s">
        <v>192</v>
      </c>
      <c r="V2450" s="1"/>
      <c r="X2450" s="101">
        <v>2</v>
      </c>
    </row>
    <row r="2451" spans="1:24" hidden="1">
      <c r="A2451">
        <v>856</v>
      </c>
      <c r="B2451" s="2">
        <v>46233.737025463</v>
      </c>
      <c r="C2451" s="2">
        <v>46234.438831018502</v>
      </c>
      <c r="D2451" s="1" t="s">
        <v>24</v>
      </c>
      <c r="E2451" s="1"/>
      <c r="F2451" s="29">
        <v>46234</v>
      </c>
      <c r="G2451" s="29">
        <v>46234</v>
      </c>
      <c r="H2451" s="1" t="s">
        <v>51</v>
      </c>
      <c r="I2451" s="1" t="s">
        <v>5620</v>
      </c>
      <c r="J2451" s="175">
        <v>43806124202</v>
      </c>
      <c r="K2451" s="188" t="s">
        <v>5621</v>
      </c>
      <c r="L2451" s="62">
        <v>23253386</v>
      </c>
      <c r="M2451" s="102">
        <v>5218143391629</v>
      </c>
      <c r="N2451" s="171" t="s">
        <v>130</v>
      </c>
      <c r="O2451" s="90">
        <v>6262.86</v>
      </c>
      <c r="P2451" s="90">
        <v>1659.99</v>
      </c>
      <c r="Q2451" s="42">
        <f>OfficeForms.Table[[#This Row],[ INFORMEDEPAGO ]]*0.3</f>
        <v>1878.8579999999997</v>
      </c>
      <c r="R2451" s="12">
        <f>(IF(O2451&lt;4172.98,0,MIN(O2451*0.3,O2451-4172.98)))-P2451</f>
        <v>218.86799999999971</v>
      </c>
      <c r="S2451" s="74">
        <v>45689</v>
      </c>
      <c r="T2451" s="1"/>
      <c r="V2451" s="1"/>
      <c r="X2451" s="101">
        <v>2</v>
      </c>
    </row>
    <row r="2452" spans="1:24" hidden="1">
      <c r="A2452">
        <v>857</v>
      </c>
      <c r="B2452" s="2">
        <v>46234.451134259303</v>
      </c>
      <c r="C2452" s="2">
        <v>46234.459791666697</v>
      </c>
      <c r="D2452" s="1" t="s">
        <v>24</v>
      </c>
      <c r="E2452" s="1"/>
      <c r="F2452" s="29">
        <v>46234</v>
      </c>
      <c r="G2452" s="29">
        <v>46234</v>
      </c>
      <c r="H2452" s="1" t="s">
        <v>160</v>
      </c>
      <c r="I2452" s="1" t="s">
        <v>5622</v>
      </c>
      <c r="J2452" s="175">
        <v>1373551148</v>
      </c>
      <c r="K2452" s="188" t="s">
        <v>5623</v>
      </c>
      <c r="L2452" s="62">
        <v>23255718</v>
      </c>
      <c r="M2452" s="102">
        <v>5217717763222</v>
      </c>
      <c r="N2452" s="171" t="s">
        <v>28</v>
      </c>
      <c r="O2452" s="90">
        <v>24674.82</v>
      </c>
      <c r="P2452" s="90"/>
      <c r="Q2452" s="42">
        <f>OfficeForms.Table[[#This Row],[ INFORMEDEPAGO ]]*0.3</f>
        <v>7402.4459999999999</v>
      </c>
      <c r="R2452" s="12">
        <f>(IF(O2452&lt;4172.98,0,MIN(O2452*0.3,O2452-4172.98)))-P2452</f>
        <v>7402.4459999999999</v>
      </c>
      <c r="T2452" s="1"/>
      <c r="V2452" s="1"/>
      <c r="X2452" s="101">
        <v>1</v>
      </c>
    </row>
    <row r="2453" spans="1:24" hidden="1">
      <c r="A2453">
        <v>858</v>
      </c>
      <c r="B2453" s="2">
        <v>46234.461828703701</v>
      </c>
      <c r="C2453" s="2">
        <v>46234.462743055599</v>
      </c>
      <c r="D2453" s="1" t="s">
        <v>24</v>
      </c>
      <c r="E2453" s="1"/>
      <c r="F2453" s="29">
        <v>46234</v>
      </c>
      <c r="G2453" s="29">
        <v>46233</v>
      </c>
      <c r="H2453" s="1" t="s">
        <v>269</v>
      </c>
      <c r="I2453" s="1" t="s">
        <v>5624</v>
      </c>
      <c r="J2453" s="175" t="s">
        <v>5625</v>
      </c>
      <c r="K2453" s="188" t="s">
        <v>5626</v>
      </c>
      <c r="L2453" s="62">
        <v>23218254</v>
      </c>
      <c r="M2453" s="102">
        <v>5212351101299</v>
      </c>
      <c r="N2453" s="171" t="s">
        <v>98</v>
      </c>
      <c r="O2453" s="106"/>
      <c r="P2453" s="106"/>
      <c r="Q2453" s="42">
        <f>OfficeForms.Table[[#This Row],[ INFORMEDEPAGO ]]*0.3</f>
        <v>0</v>
      </c>
      <c r="R2453" s="12">
        <f>(IF(O2453&lt;4172.98,0,MIN(O2453*0.3,O2453-4172.98)))-P2453</f>
        <v>0</v>
      </c>
      <c r="T2453" s="1"/>
      <c r="V2453" s="1"/>
      <c r="X2453" s="101">
        <v>0</v>
      </c>
    </row>
    <row r="2454" spans="1:24" hidden="1">
      <c r="A2454">
        <v>859</v>
      </c>
      <c r="B2454" s="2">
        <v>46234.438854166699</v>
      </c>
      <c r="C2454" s="2">
        <v>46234.465231481503</v>
      </c>
      <c r="D2454" s="1" t="s">
        <v>24</v>
      </c>
      <c r="E2454" s="1"/>
      <c r="F2454" s="29">
        <v>46234</v>
      </c>
      <c r="G2454" s="29">
        <v>46233</v>
      </c>
      <c r="H2454" s="1" t="s">
        <v>51</v>
      </c>
      <c r="I2454" s="1" t="s">
        <v>5627</v>
      </c>
      <c r="J2454" s="175">
        <v>33826442353</v>
      </c>
      <c r="K2454" s="188" t="s">
        <v>5628</v>
      </c>
      <c r="L2454" s="62">
        <v>23231846</v>
      </c>
      <c r="M2454" s="102">
        <v>5216453333373</v>
      </c>
      <c r="N2454" s="171" t="s">
        <v>37</v>
      </c>
      <c r="O2454" s="90">
        <v>9081.52</v>
      </c>
      <c r="P2454" s="90">
        <v>2637.36</v>
      </c>
      <c r="Q2454" s="42">
        <f>OfficeForms.Table[[#This Row],[ INFORMEDEPAGO ]]*0.3</f>
        <v>2724.4560000000001</v>
      </c>
      <c r="R2454" s="12">
        <f>(IF(O2454&lt;4172.98,0,MIN(O2454*0.3,O2454-4172.98)))-P2454</f>
        <v>87.096000000000004</v>
      </c>
      <c r="S2454" s="74">
        <v>46447</v>
      </c>
      <c r="T2454" s="1"/>
      <c r="V2454" s="1"/>
      <c r="X2454" s="101">
        <v>2</v>
      </c>
    </row>
    <row r="2455" spans="1:24" hidden="1">
      <c r="A2455">
        <v>860</v>
      </c>
      <c r="B2455" s="2">
        <v>46234.464351851901</v>
      </c>
      <c r="C2455" s="2">
        <v>46234.468761574099</v>
      </c>
      <c r="D2455" s="1" t="s">
        <v>24</v>
      </c>
      <c r="E2455" s="1"/>
      <c r="F2455" s="29">
        <v>46234</v>
      </c>
      <c r="G2455" s="29">
        <v>46234</v>
      </c>
      <c r="H2455" s="1" t="s">
        <v>51</v>
      </c>
      <c r="I2455" s="1" t="s">
        <v>5629</v>
      </c>
      <c r="J2455" s="175">
        <v>54796365739</v>
      </c>
      <c r="K2455" s="188" t="s">
        <v>5630</v>
      </c>
      <c r="L2455" s="62">
        <v>23253632</v>
      </c>
      <c r="M2455" s="102">
        <v>5213313294337</v>
      </c>
      <c r="N2455" s="171" t="s">
        <v>28</v>
      </c>
      <c r="O2455" s="90">
        <v>28060.38</v>
      </c>
      <c r="P2455" s="90">
        <v>3807.48</v>
      </c>
      <c r="Q2455" s="42">
        <f>OfficeForms.Table[[#This Row],[ INFORMEDEPAGO ]]*0.3</f>
        <v>8418.1139999999996</v>
      </c>
      <c r="R2455" s="12">
        <f>(IF(O2455&lt;4172.98,0,MIN(O2455*0.3,O2455-4172.98)))-P2455</f>
        <v>4610.634</v>
      </c>
      <c r="S2455" s="74">
        <v>46357</v>
      </c>
      <c r="T2455" s="1"/>
      <c r="V2455" s="1"/>
      <c r="X2455" s="101">
        <v>2</v>
      </c>
    </row>
    <row r="2456" spans="1:24" hidden="1">
      <c r="A2456">
        <v>861</v>
      </c>
      <c r="B2456" s="2">
        <v>46234.453182870398</v>
      </c>
      <c r="C2456" s="2">
        <v>46234.473611111098</v>
      </c>
      <c r="D2456" s="1" t="s">
        <v>24</v>
      </c>
      <c r="E2456" s="1"/>
      <c r="F2456" s="29">
        <v>46234</v>
      </c>
      <c r="G2456" s="29">
        <v>46231</v>
      </c>
      <c r="H2456" s="1" t="s">
        <v>78</v>
      </c>
      <c r="I2456" s="1" t="s">
        <v>5631</v>
      </c>
      <c r="J2456" s="175">
        <v>23705312132</v>
      </c>
      <c r="K2456" s="188" t="s">
        <v>5632</v>
      </c>
      <c r="L2456" s="62">
        <v>23171954</v>
      </c>
      <c r="M2456" s="102">
        <v>5216681394526</v>
      </c>
      <c r="N2456" s="171" t="s">
        <v>32</v>
      </c>
      <c r="O2456" s="90">
        <v>3979.3</v>
      </c>
      <c r="P2456" s="90">
        <v>879</v>
      </c>
      <c r="Q2456" s="42">
        <f>OfficeForms.Table[[#This Row],[ INFORMEDEPAGO ]]*0.3</f>
        <v>1193.79</v>
      </c>
      <c r="R2456" s="12">
        <f>(IF(O2456&lt;4172.98,0,MIN(O2456*0.3,O2456-4172.98)))-P2456</f>
        <v>-879</v>
      </c>
      <c r="T2456" s="1"/>
      <c r="V2456" s="1"/>
      <c r="X2456" s="101">
        <v>1</v>
      </c>
    </row>
    <row r="2457" spans="1:24" hidden="1">
      <c r="A2457">
        <v>862</v>
      </c>
      <c r="B2457" s="2">
        <v>46234.472314814797</v>
      </c>
      <c r="C2457" s="2">
        <v>46234.477141203701</v>
      </c>
      <c r="D2457" s="1" t="s">
        <v>24</v>
      </c>
      <c r="E2457" s="1"/>
      <c r="F2457" s="29">
        <v>46234</v>
      </c>
      <c r="G2457" s="29">
        <v>46234</v>
      </c>
      <c r="H2457" s="1" t="s">
        <v>160</v>
      </c>
      <c r="I2457" s="1" t="s">
        <v>5633</v>
      </c>
      <c r="J2457" s="175">
        <v>43886026020</v>
      </c>
      <c r="K2457" s="188" t="s">
        <v>5634</v>
      </c>
      <c r="L2457" s="62">
        <v>23253848</v>
      </c>
      <c r="M2457" s="102">
        <v>5218180223088</v>
      </c>
      <c r="N2457" s="171" t="s">
        <v>263</v>
      </c>
      <c r="O2457" s="90">
        <v>7116.73</v>
      </c>
      <c r="P2457" s="90">
        <v>1975.67</v>
      </c>
      <c r="Q2457" s="42">
        <f>OfficeForms.Table[[#This Row],[ INFORMEDEPAGO ]]*0.3</f>
        <v>2135.0189999999998</v>
      </c>
      <c r="R2457" s="12">
        <f>(IF(O2457&lt;4172.98,0,MIN(O2457*0.3,O2457-4172.98)))-P2457</f>
        <v>159.34899999999971</v>
      </c>
      <c r="S2457" s="74">
        <v>46113</v>
      </c>
      <c r="T2457" s="1" t="s">
        <v>178</v>
      </c>
      <c r="V2457" s="1"/>
      <c r="X2457" s="101">
        <v>2</v>
      </c>
    </row>
    <row r="2458" spans="1:24" hidden="1">
      <c r="A2458">
        <v>863</v>
      </c>
      <c r="B2458" s="2">
        <v>46234.473645833299</v>
      </c>
      <c r="C2458" s="2">
        <v>46234.478935185201</v>
      </c>
      <c r="D2458" s="1" t="s">
        <v>24</v>
      </c>
      <c r="E2458" s="1"/>
      <c r="F2458" s="29">
        <v>46234</v>
      </c>
      <c r="G2458" s="29">
        <v>46232</v>
      </c>
      <c r="H2458" s="1" t="s">
        <v>78</v>
      </c>
      <c r="I2458" s="1" t="s">
        <v>5635</v>
      </c>
      <c r="J2458" s="175">
        <v>43816593529</v>
      </c>
      <c r="K2458" s="188" t="s">
        <v>5636</v>
      </c>
      <c r="L2458" s="62">
        <v>23202156</v>
      </c>
      <c r="M2458" s="102">
        <v>5218188008511</v>
      </c>
      <c r="N2458" s="171" t="s">
        <v>37</v>
      </c>
      <c r="O2458" s="90">
        <v>9760.32</v>
      </c>
      <c r="P2458" s="90">
        <v>2809.35</v>
      </c>
      <c r="Q2458" s="42">
        <f>OfficeForms.Table[[#This Row],[ INFORMEDEPAGO ]]*0.3</f>
        <v>2928.096</v>
      </c>
      <c r="R2458" s="12">
        <f>(IF(O2458&lt;4172.98,0,MIN(O2458*0.3,O2458-4172.98)))-P2458</f>
        <v>118.74600000000009</v>
      </c>
      <c r="S2458" s="74">
        <v>46631</v>
      </c>
      <c r="T2458" s="1" t="s">
        <v>192</v>
      </c>
      <c r="V2458" s="1"/>
      <c r="X2458" s="101">
        <v>2</v>
      </c>
    </row>
    <row r="2459" spans="1:24" hidden="1">
      <c r="A2459">
        <v>864</v>
      </c>
      <c r="B2459" s="2">
        <v>46234.479791666701</v>
      </c>
      <c r="C2459" s="2">
        <v>46234.481030092596</v>
      </c>
      <c r="D2459" s="1" t="s">
        <v>24</v>
      </c>
      <c r="E2459" s="1"/>
      <c r="F2459" s="29">
        <v>46234</v>
      </c>
      <c r="G2459" s="29">
        <v>46233</v>
      </c>
      <c r="H2459" s="1" t="s">
        <v>5135</v>
      </c>
      <c r="I2459" s="1" t="s">
        <v>5637</v>
      </c>
      <c r="J2459" s="175"/>
      <c r="K2459" s="188" t="s">
        <v>5638</v>
      </c>
      <c r="L2459" s="62">
        <v>23242044</v>
      </c>
      <c r="M2459" s="102">
        <v>5213222141246</v>
      </c>
      <c r="N2459" s="171" t="s">
        <v>37</v>
      </c>
      <c r="O2459" s="90">
        <v>9760.32</v>
      </c>
      <c r="P2459" s="90">
        <v>2809.35</v>
      </c>
      <c r="Q2459" s="42">
        <f>OfficeForms.Table[[#This Row],[ INFORMEDEPAGO ]]*0.3</f>
        <v>2928.096</v>
      </c>
      <c r="R2459" s="12">
        <f>(IF(O2459&lt;4172.98,0,MIN(O2459*0.3,O2459-4172.98)))-P2459</f>
        <v>118.74600000000009</v>
      </c>
      <c r="S2459" s="74">
        <v>46753</v>
      </c>
      <c r="T2459" s="1" t="s">
        <v>5368</v>
      </c>
      <c r="V2459" s="1"/>
      <c r="X2459" s="101">
        <v>2</v>
      </c>
    </row>
    <row r="2460" spans="1:24" hidden="1">
      <c r="A2460">
        <v>865</v>
      </c>
      <c r="B2460" s="2">
        <v>46234.476817129602</v>
      </c>
      <c r="C2460" s="2">
        <v>46234.4848263889</v>
      </c>
      <c r="D2460" s="1" t="s">
        <v>24</v>
      </c>
      <c r="E2460" s="1"/>
      <c r="F2460" s="29">
        <v>46234</v>
      </c>
      <c r="G2460" s="29">
        <v>46234</v>
      </c>
      <c r="H2460" s="1" t="s">
        <v>81</v>
      </c>
      <c r="I2460" s="1" t="s">
        <v>5639</v>
      </c>
      <c r="J2460" s="175"/>
      <c r="K2460" s="188" t="s">
        <v>5640</v>
      </c>
      <c r="L2460" s="62">
        <v>23255392</v>
      </c>
      <c r="M2460" s="102">
        <v>5215528253193</v>
      </c>
      <c r="N2460" s="171" t="s">
        <v>32</v>
      </c>
      <c r="O2460" s="90">
        <f>15161.87-10988.88</f>
        <v>4172.9900000000016</v>
      </c>
      <c r="P2460" s="90"/>
      <c r="Q2460" s="42">
        <f>OfficeForms.Table[[#This Row],[ INFORMEDEPAGO ]]*0.3</f>
        <v>1251.8970000000004</v>
      </c>
      <c r="R2460" s="12">
        <f>(IF(O2460&lt;4172.98,0,MIN(O2460*0.3,O2460-4172.98)))-P2460</f>
        <v>1.0000000002037268E-2</v>
      </c>
      <c r="T2460" s="1"/>
      <c r="V2460" s="1"/>
      <c r="X2460" s="101">
        <v>1</v>
      </c>
    </row>
    <row r="2461" spans="1:24" hidden="1">
      <c r="A2461">
        <v>866</v>
      </c>
      <c r="B2461" s="2">
        <v>46234.437442129602</v>
      </c>
      <c r="C2461" s="2">
        <v>46234.4848726852</v>
      </c>
      <c r="D2461" s="1" t="s">
        <v>24</v>
      </c>
      <c r="E2461" s="1"/>
      <c r="F2461" s="29">
        <v>46234</v>
      </c>
      <c r="G2461" s="29">
        <v>46234</v>
      </c>
      <c r="H2461" s="1" t="s">
        <v>81</v>
      </c>
      <c r="I2461" s="1" t="s">
        <v>5641</v>
      </c>
      <c r="J2461" s="175"/>
      <c r="K2461" s="188" t="s">
        <v>5642</v>
      </c>
      <c r="L2461" s="62">
        <v>23249832</v>
      </c>
      <c r="M2461" s="102">
        <v>5216146094817</v>
      </c>
      <c r="N2461" s="171" t="s">
        <v>37</v>
      </c>
      <c r="O2461" s="90">
        <v>18801.78</v>
      </c>
      <c r="P2461" s="90">
        <v>5626.95</v>
      </c>
      <c r="Q2461" s="42">
        <f>OfficeForms.Table[[#This Row],[ INFORMEDEPAGO ]]*0.3</f>
        <v>5640.5339999999997</v>
      </c>
      <c r="R2461" s="12">
        <f>(IF(O2461&lt;4172.98,0,MIN(O2461*0.3,O2461-4172.98)))-P2461</f>
        <v>13.583999999999833</v>
      </c>
      <c r="S2461" s="74">
        <v>46935</v>
      </c>
      <c r="T2461" s="1"/>
      <c r="V2461" s="1"/>
      <c r="X2461" s="101">
        <v>2</v>
      </c>
    </row>
    <row r="2462" spans="1:24" hidden="1">
      <c r="A2462">
        <v>867</v>
      </c>
      <c r="B2462" s="2">
        <v>46234.483993055597</v>
      </c>
      <c r="C2462" s="2">
        <v>46234.484942129602</v>
      </c>
      <c r="D2462" s="1" t="s">
        <v>24</v>
      </c>
      <c r="E2462" s="1"/>
      <c r="F2462" s="29">
        <v>46234</v>
      </c>
      <c r="G2462" s="29">
        <v>46234</v>
      </c>
      <c r="H2462" s="1" t="s">
        <v>1629</v>
      </c>
      <c r="I2462" s="1" t="s">
        <v>5643</v>
      </c>
      <c r="J2462" s="175" t="s">
        <v>5644</v>
      </c>
      <c r="K2462" s="188" t="s">
        <v>5645</v>
      </c>
      <c r="L2462" s="62">
        <v>2</v>
      </c>
      <c r="M2462" s="102">
        <v>4443058784</v>
      </c>
      <c r="N2462" s="171" t="s">
        <v>106</v>
      </c>
      <c r="O2462" s="90">
        <v>8631</v>
      </c>
      <c r="P2462" s="90">
        <v>2396.48</v>
      </c>
      <c r="Q2462" s="42">
        <f>OfficeForms.Table[[#This Row],[ INFORMEDEPAGO ]]*0.3</f>
        <v>2589.2999999999997</v>
      </c>
      <c r="R2462" s="12">
        <f>(IF(O2462&lt;4172.98,0,MIN(O2462*0.3,O2462-4172.98)))-P2462</f>
        <v>192.81999999999971</v>
      </c>
      <c r="S2462" s="74">
        <v>46054</v>
      </c>
      <c r="T2462" s="1"/>
      <c r="V2462" s="1"/>
      <c r="X2462" s="101">
        <v>2</v>
      </c>
    </row>
    <row r="2463" spans="1:24" hidden="1">
      <c r="A2463">
        <v>868</v>
      </c>
      <c r="B2463" s="2">
        <v>46234.488530092603</v>
      </c>
      <c r="C2463" s="2">
        <v>46234.4891319444</v>
      </c>
      <c r="D2463" s="1" t="s">
        <v>24</v>
      </c>
      <c r="E2463" s="1"/>
      <c r="F2463" s="29">
        <v>46234</v>
      </c>
      <c r="G2463" s="29">
        <v>46234</v>
      </c>
      <c r="H2463" s="1" t="s">
        <v>269</v>
      </c>
      <c r="I2463" s="1" t="s">
        <v>5646</v>
      </c>
      <c r="J2463" s="175"/>
      <c r="K2463" s="188" t="s">
        <v>5647</v>
      </c>
      <c r="L2463" s="62">
        <v>23250232</v>
      </c>
      <c r="M2463" s="102">
        <v>5218715196636</v>
      </c>
      <c r="N2463" s="171" t="s">
        <v>37</v>
      </c>
      <c r="O2463" s="90">
        <v>11029.03</v>
      </c>
      <c r="P2463" s="90">
        <v>3307.6</v>
      </c>
      <c r="Q2463" s="42">
        <f>OfficeForms.Table[[#This Row],[ INFORMEDEPAGO ]]*0.3</f>
        <v>3308.7090000000003</v>
      </c>
      <c r="R2463" s="12">
        <f>(IF(O2463&lt;4172.98,0,MIN(O2463*0.3,O2463-4172.98)))-P2463</f>
        <v>1.1090000000003783</v>
      </c>
      <c r="S2463" s="74">
        <v>46813</v>
      </c>
      <c r="T2463" s="1"/>
      <c r="V2463" s="1"/>
      <c r="X2463" s="101">
        <v>2</v>
      </c>
    </row>
    <row r="2464" spans="1:24" hidden="1">
      <c r="A2464">
        <v>869</v>
      </c>
      <c r="B2464" s="2">
        <v>46234.468773148197</v>
      </c>
      <c r="C2464" s="2">
        <v>46234.491909722201</v>
      </c>
      <c r="D2464" s="1" t="s">
        <v>24</v>
      </c>
      <c r="E2464" s="1"/>
      <c r="F2464" s="29">
        <v>46234</v>
      </c>
      <c r="G2464" s="29">
        <v>46232</v>
      </c>
      <c r="H2464" s="1" t="s">
        <v>51</v>
      </c>
      <c r="I2464" s="1" t="s">
        <v>5648</v>
      </c>
      <c r="J2464" s="175">
        <v>83846602783</v>
      </c>
      <c r="K2464" s="188" t="s">
        <v>5649</v>
      </c>
      <c r="L2464" s="62">
        <v>23215170</v>
      </c>
      <c r="M2464" s="102">
        <v>5219141000113</v>
      </c>
      <c r="N2464" s="171" t="s">
        <v>28</v>
      </c>
      <c r="O2464" s="90">
        <v>10636.54</v>
      </c>
      <c r="P2464" s="90"/>
      <c r="Q2464" s="42">
        <f>OfficeForms.Table[[#This Row],[ INFORMEDEPAGO ]]*0.3</f>
        <v>3190.962</v>
      </c>
      <c r="R2464" s="12">
        <f>(IF(O2464&lt;4172.98,0,MIN(O2464*0.3,O2464-4172.98)))-P2464</f>
        <v>3190.962</v>
      </c>
      <c r="T2464" s="1"/>
      <c r="V2464" s="1"/>
      <c r="X2464" s="101">
        <v>1</v>
      </c>
    </row>
    <row r="2465" spans="1:24" hidden="1">
      <c r="A2465">
        <v>870</v>
      </c>
      <c r="B2465" s="2">
        <v>46234.484907407401</v>
      </c>
      <c r="C2465" s="2">
        <v>46234.494583333297</v>
      </c>
      <c r="D2465" s="1" t="s">
        <v>24</v>
      </c>
      <c r="E2465" s="1"/>
      <c r="F2465" s="29">
        <v>46234</v>
      </c>
      <c r="G2465" s="29">
        <v>46234</v>
      </c>
      <c r="H2465" s="1" t="s">
        <v>81</v>
      </c>
      <c r="I2465" s="1" t="s">
        <v>5650</v>
      </c>
      <c r="J2465" s="175"/>
      <c r="K2465" s="188" t="s">
        <v>5651</v>
      </c>
      <c r="L2465" s="62">
        <v>23247814</v>
      </c>
      <c r="M2465" s="102">
        <v>5215565297169</v>
      </c>
      <c r="N2465" s="171" t="s">
        <v>47</v>
      </c>
      <c r="O2465" s="91">
        <v>9760.32</v>
      </c>
      <c r="P2465" s="91">
        <v>2240.41</v>
      </c>
      <c r="Q2465" s="42">
        <f>OfficeForms.Table[[#This Row],[ INFORMEDEPAGO ]]*0.3</f>
        <v>2928.096</v>
      </c>
      <c r="R2465" s="12">
        <f>(IF(O2465&lt;4172.98,0,MIN(O2465*0.3,O2465-4172.98)))-P2465</f>
        <v>687.68600000000015</v>
      </c>
      <c r="S2465" s="74">
        <v>46692</v>
      </c>
      <c r="T2465" s="1"/>
      <c r="V2465" s="1"/>
      <c r="X2465" s="101">
        <v>2</v>
      </c>
    </row>
    <row r="2466" spans="1:24" hidden="1">
      <c r="A2466">
        <v>871</v>
      </c>
      <c r="B2466" s="2">
        <v>46234.502546296302</v>
      </c>
      <c r="C2466" s="2">
        <v>46234.503078703703</v>
      </c>
      <c r="D2466" s="1" t="s">
        <v>24</v>
      </c>
      <c r="E2466" s="1"/>
      <c r="F2466" s="29">
        <v>46234</v>
      </c>
      <c r="G2466" s="29">
        <v>46233</v>
      </c>
      <c r="H2466" s="1" t="s">
        <v>3352</v>
      </c>
      <c r="I2466" s="1" t="s">
        <v>5652</v>
      </c>
      <c r="J2466" s="175"/>
      <c r="K2466" s="188" t="s">
        <v>5653</v>
      </c>
      <c r="L2466" s="62">
        <v>23238428</v>
      </c>
      <c r="M2466" s="102">
        <v>5569094239</v>
      </c>
      <c r="N2466" s="171" t="s">
        <v>32</v>
      </c>
      <c r="O2466" s="90">
        <f>4058.92+879</f>
        <v>4937.92</v>
      </c>
      <c r="P2466" s="90">
        <v>879</v>
      </c>
      <c r="Q2466" s="42">
        <f>OfficeForms.Table[[#This Row],[ INFORMEDEPAGO ]]*0.3</f>
        <v>1481.376</v>
      </c>
      <c r="R2466" s="12">
        <f>(IF(O2466&lt;4172.98,0,MIN(O2466*0.3,O2466-4172.98)))-P2466</f>
        <v>-114.05999999999949</v>
      </c>
      <c r="T2466" s="1"/>
      <c r="V2466" s="1"/>
      <c r="X2466" s="101">
        <v>1</v>
      </c>
    </row>
    <row r="2467" spans="1:24" hidden="1">
      <c r="A2467">
        <v>872</v>
      </c>
      <c r="B2467" s="2">
        <v>46234.4919212963</v>
      </c>
      <c r="C2467" s="2">
        <v>46234.51</v>
      </c>
      <c r="D2467" s="1" t="s">
        <v>24</v>
      </c>
      <c r="E2467" s="1"/>
      <c r="F2467" s="29">
        <v>46234</v>
      </c>
      <c r="G2467" s="29">
        <v>46234</v>
      </c>
      <c r="H2467" s="1" t="s">
        <v>51</v>
      </c>
      <c r="I2467" s="1" t="s">
        <v>5654</v>
      </c>
      <c r="J2467" s="175">
        <v>24756002283</v>
      </c>
      <c r="K2467" s="188" t="s">
        <v>5655</v>
      </c>
      <c r="L2467" s="62">
        <v>23245310</v>
      </c>
      <c r="M2467" s="102">
        <v>5216462684881</v>
      </c>
      <c r="N2467" s="171" t="s">
        <v>28</v>
      </c>
      <c r="O2467" s="90">
        <v>11111.93</v>
      </c>
      <c r="P2467" s="90"/>
      <c r="Q2467" s="42">
        <f>OfficeForms.Table[[#This Row],[ INFORMEDEPAGO ]]*0.3</f>
        <v>3333.5790000000002</v>
      </c>
      <c r="R2467" s="12">
        <f>(IF(O2467&lt;4172.98,0,MIN(O2467*0.3,O2467-4172.98)))-P2467</f>
        <v>3333.5790000000002</v>
      </c>
      <c r="T2467" s="1"/>
      <c r="V2467" s="1"/>
      <c r="X2467" s="101">
        <v>1</v>
      </c>
    </row>
    <row r="2468" spans="1:24" hidden="1">
      <c r="A2468">
        <v>873</v>
      </c>
      <c r="B2468" s="2">
        <v>46234.496736111098</v>
      </c>
      <c r="C2468" s="2">
        <v>46234.512465277803</v>
      </c>
      <c r="D2468" s="1" t="s">
        <v>24</v>
      </c>
      <c r="E2468" s="1"/>
      <c r="F2468" s="29">
        <v>46234</v>
      </c>
      <c r="G2468" s="29">
        <v>46234</v>
      </c>
      <c r="H2468" s="1" t="s">
        <v>78</v>
      </c>
      <c r="I2468" s="1" t="s">
        <v>5656</v>
      </c>
      <c r="J2468" s="175">
        <v>65886242562</v>
      </c>
      <c r="K2468" s="188" t="s">
        <v>5657</v>
      </c>
      <c r="L2468" s="62">
        <v>23256696</v>
      </c>
      <c r="M2468" s="102">
        <v>5218677220236</v>
      </c>
      <c r="N2468" s="171" t="s">
        <v>37</v>
      </c>
      <c r="O2468" s="90">
        <v>11533.76</v>
      </c>
      <c r="P2468" s="90">
        <v>3459.58</v>
      </c>
      <c r="Q2468" s="42">
        <f>OfficeForms.Table[[#This Row],[ INFORMEDEPAGO ]]*0.3</f>
        <v>3460.1280000000002</v>
      </c>
      <c r="R2468" s="12">
        <f>(IF(O2468&lt;4172.98,0,MIN(O2468*0.3,O2468-4172.98)))-P2468</f>
        <v>0.54800000000022919</v>
      </c>
      <c r="S2468" s="74">
        <v>46357</v>
      </c>
      <c r="T2468" s="1"/>
      <c r="V2468" s="1"/>
      <c r="X2468" s="101">
        <v>2</v>
      </c>
    </row>
    <row r="2469" spans="1:24" hidden="1">
      <c r="A2469">
        <v>874</v>
      </c>
      <c r="B2469" s="2">
        <v>46234.510625000003</v>
      </c>
      <c r="C2469" s="2">
        <v>46234.514421296299</v>
      </c>
      <c r="D2469" s="1" t="s">
        <v>24</v>
      </c>
      <c r="E2469" s="1"/>
      <c r="F2469" s="29">
        <v>46234</v>
      </c>
      <c r="G2469" s="29">
        <v>46234</v>
      </c>
      <c r="H2469" s="1" t="s">
        <v>160</v>
      </c>
      <c r="I2469" s="1" t="s">
        <v>5658</v>
      </c>
      <c r="J2469" s="175">
        <v>84936408461</v>
      </c>
      <c r="K2469" s="188" t="s">
        <v>5659</v>
      </c>
      <c r="L2469" s="62">
        <v>23253612</v>
      </c>
      <c r="M2469" s="102">
        <v>5219971225658</v>
      </c>
      <c r="N2469" s="171" t="s">
        <v>98</v>
      </c>
      <c r="O2469" s="91"/>
      <c r="P2469" s="91"/>
      <c r="Q2469" s="42">
        <f>OfficeForms.Table[[#This Row],[ INFORMEDEPAGO ]]*0.3</f>
        <v>0</v>
      </c>
      <c r="R2469" s="12">
        <f>(IF(O2469&lt;4172.98,0,MIN(O2469*0.3,O2469-4172.98)))-P2469</f>
        <v>0</v>
      </c>
      <c r="T2469" s="1"/>
      <c r="V2469" s="1"/>
      <c r="X2469" s="101">
        <v>0</v>
      </c>
    </row>
    <row r="2470" spans="1:24" hidden="1">
      <c r="A2470">
        <v>875</v>
      </c>
      <c r="B2470" s="2">
        <v>46234.520023148099</v>
      </c>
      <c r="C2470" s="2">
        <v>46234.520347222198</v>
      </c>
      <c r="D2470" s="1" t="s">
        <v>24</v>
      </c>
      <c r="E2470" s="1"/>
      <c r="F2470" s="29">
        <v>46234</v>
      </c>
      <c r="G2470" s="29">
        <v>46234</v>
      </c>
      <c r="H2470" s="1" t="s">
        <v>269</v>
      </c>
      <c r="I2470" s="1" t="s">
        <v>5660</v>
      </c>
      <c r="J2470" s="207" t="s">
        <v>5661</v>
      </c>
      <c r="K2470" s="188" t="s">
        <v>5662</v>
      </c>
      <c r="L2470" s="62">
        <v>23258782</v>
      </c>
      <c r="M2470" s="102">
        <v>5219211090414</v>
      </c>
      <c r="N2470" s="171" t="s">
        <v>37</v>
      </c>
      <c r="O2470" s="91">
        <v>9595.2800000000007</v>
      </c>
      <c r="P2470" s="91">
        <v>2776.15</v>
      </c>
      <c r="Q2470" s="42">
        <f>OfficeForms.Table[[#This Row],[ INFORMEDEPAGO ]]*0.3</f>
        <v>2878.5840000000003</v>
      </c>
      <c r="R2470" s="12">
        <f>(IF(O2470&lt;4172.98,0,MIN(O2470*0.3,O2470-4172.98)))-P2470</f>
        <v>102.4340000000002</v>
      </c>
      <c r="S2470" s="74">
        <v>46784</v>
      </c>
      <c r="T2470" s="1"/>
      <c r="V2470" s="1"/>
      <c r="X2470" s="101">
        <v>2</v>
      </c>
    </row>
    <row r="2471" spans="1:24" hidden="1">
      <c r="A2471">
        <v>876</v>
      </c>
      <c r="B2471" s="2">
        <v>46234.510011574101</v>
      </c>
      <c r="C2471" s="2">
        <v>46234.521805555603</v>
      </c>
      <c r="D2471" s="1" t="s">
        <v>24</v>
      </c>
      <c r="E2471" s="1"/>
      <c r="F2471" s="29">
        <v>46234</v>
      </c>
      <c r="G2471" s="29">
        <v>46234</v>
      </c>
      <c r="H2471" s="1" t="s">
        <v>51</v>
      </c>
      <c r="I2471" s="1" t="s">
        <v>5663</v>
      </c>
      <c r="J2471" s="207">
        <v>33786046582</v>
      </c>
      <c r="K2471" s="188" t="s">
        <v>5664</v>
      </c>
      <c r="L2471" s="62">
        <v>23258394</v>
      </c>
      <c r="M2471" s="102">
        <v>5216564587190</v>
      </c>
      <c r="N2471" s="171" t="s">
        <v>37</v>
      </c>
      <c r="O2471" s="91">
        <v>9081.52</v>
      </c>
      <c r="P2471" s="91">
        <v>2624.73</v>
      </c>
      <c r="Q2471" s="42">
        <f>OfficeForms.Table[[#This Row],[ INFORMEDEPAGO ]]*0.3</f>
        <v>2724.4560000000001</v>
      </c>
      <c r="R2471" s="12">
        <f>(IF(O2471&lt;4172.98,0,MIN(O2471*0.3,O2471-4172.98)))-P2471</f>
        <v>99.726000000000113</v>
      </c>
      <c r="S2471" s="74">
        <v>46266</v>
      </c>
      <c r="T2471" s="1"/>
      <c r="V2471" s="1"/>
      <c r="X2471" s="101">
        <v>2</v>
      </c>
    </row>
    <row r="2472" spans="1:24" hidden="1">
      <c r="A2472">
        <v>877</v>
      </c>
      <c r="B2472" s="2">
        <v>46234.523067129601</v>
      </c>
      <c r="C2472" s="2">
        <v>46234.523865740703</v>
      </c>
      <c r="D2472" s="1" t="s">
        <v>24</v>
      </c>
      <c r="E2472" s="1"/>
      <c r="F2472" s="29">
        <v>46234</v>
      </c>
      <c r="G2472" s="29">
        <v>46233</v>
      </c>
      <c r="H2472" s="1" t="s">
        <v>3452</v>
      </c>
      <c r="I2472" s="1" t="s">
        <v>5665</v>
      </c>
      <c r="J2472" s="207"/>
      <c r="K2472" s="188" t="s">
        <v>5666</v>
      </c>
      <c r="L2472" s="62">
        <v>23241100</v>
      </c>
      <c r="M2472" s="102">
        <v>4523085109</v>
      </c>
      <c r="N2472" s="171" t="s">
        <v>37</v>
      </c>
      <c r="O2472" s="91">
        <v>7920.51</v>
      </c>
      <c r="P2472" s="91">
        <v>2186.6799999999998</v>
      </c>
      <c r="Q2472" s="42">
        <f>OfficeForms.Table[[#This Row],[ INFORMEDEPAGO ]]*0.3</f>
        <v>2376.1529999999998</v>
      </c>
      <c r="R2472" s="12">
        <f>(IF(O2472&lt;4172.98,0,MIN(O2472*0.3,O2472-4172.98)))-P2472</f>
        <v>189.47299999999996</v>
      </c>
      <c r="S2472" s="74">
        <v>46388</v>
      </c>
      <c r="T2472" s="1"/>
      <c r="V2472" s="1"/>
      <c r="X2472" s="101">
        <v>2</v>
      </c>
    </row>
    <row r="2473" spans="1:24" hidden="1">
      <c r="A2473">
        <v>878</v>
      </c>
      <c r="B2473" s="2">
        <v>46234.5167476852</v>
      </c>
      <c r="C2473" s="2">
        <v>46234.529039351903</v>
      </c>
      <c r="D2473" s="1" t="s">
        <v>24</v>
      </c>
      <c r="E2473" s="1"/>
      <c r="F2473" s="29">
        <v>46234</v>
      </c>
      <c r="G2473" s="29">
        <v>46234</v>
      </c>
      <c r="H2473" s="1" t="s">
        <v>78</v>
      </c>
      <c r="I2473" s="1" t="s">
        <v>5667</v>
      </c>
      <c r="J2473" s="207">
        <v>24915923007</v>
      </c>
      <c r="K2473" s="188" t="s">
        <v>5668</v>
      </c>
      <c r="L2473" s="62">
        <v>23257448</v>
      </c>
      <c r="M2473" s="102">
        <v>5216471208629</v>
      </c>
      <c r="N2473" s="171" t="s">
        <v>106</v>
      </c>
      <c r="O2473" s="91">
        <v>5617.64</v>
      </c>
      <c r="P2473" s="91">
        <v>1558</v>
      </c>
      <c r="Q2473" s="42">
        <f>OfficeForms.Table[[#This Row],[ INFORMEDEPAGO ]]*0.3</f>
        <v>1685.2920000000001</v>
      </c>
      <c r="R2473" s="12">
        <f>(IF(O2473&lt;4172.98,0,MIN(O2473*0.3,O2473-4172.98)))-P2473</f>
        <v>-113.33999999999924</v>
      </c>
      <c r="S2473" s="74">
        <v>46235</v>
      </c>
      <c r="T2473" s="1"/>
      <c r="V2473" s="1"/>
      <c r="X2473" s="101">
        <v>2</v>
      </c>
    </row>
    <row r="2474" spans="1:24" hidden="1">
      <c r="A2474">
        <v>879</v>
      </c>
      <c r="B2474" s="2">
        <v>46234.534155092602</v>
      </c>
      <c r="C2474" s="2">
        <v>46234.534571759301</v>
      </c>
      <c r="D2474" s="1" t="s">
        <v>24</v>
      </c>
      <c r="E2474" s="1"/>
      <c r="F2474" s="29">
        <v>46234</v>
      </c>
      <c r="G2474" s="29">
        <v>46234</v>
      </c>
      <c r="H2474" s="1" t="s">
        <v>269</v>
      </c>
      <c r="I2474" s="1" t="s">
        <v>5669</v>
      </c>
      <c r="J2474" s="175" t="s">
        <v>5670</v>
      </c>
      <c r="K2474" s="188" t="s">
        <v>5671</v>
      </c>
      <c r="L2474" s="62">
        <v>23258126</v>
      </c>
      <c r="M2474" s="102">
        <v>5216563411893</v>
      </c>
      <c r="N2474" s="171" t="s">
        <v>37</v>
      </c>
      <c r="O2474" s="91">
        <v>12671.84</v>
      </c>
      <c r="P2474" s="91">
        <v>3517.29</v>
      </c>
      <c r="Q2474" s="42">
        <f>OfficeForms.Table[[#This Row],[ INFORMEDEPAGO ]]*0.3</f>
        <v>3801.5519999999997</v>
      </c>
      <c r="R2474" s="12">
        <f>(IF(O2474&lt;4172.98,0,MIN(O2474*0.3,O2474-4172.98)))-P2474</f>
        <v>284.26199999999972</v>
      </c>
      <c r="S2474" s="74">
        <v>46296</v>
      </c>
      <c r="T2474" s="1"/>
      <c r="V2474" s="1"/>
      <c r="X2474" s="101">
        <v>2</v>
      </c>
    </row>
    <row r="2475" spans="1:24" hidden="1">
      <c r="A2475">
        <v>880</v>
      </c>
      <c r="B2475" s="2">
        <v>46234.4946180556</v>
      </c>
      <c r="C2475" s="2">
        <v>46234.542557870402</v>
      </c>
      <c r="D2475" s="1" t="s">
        <v>24</v>
      </c>
      <c r="E2475" s="1"/>
      <c r="F2475" s="29">
        <v>46234</v>
      </c>
      <c r="G2475" s="29">
        <v>46234</v>
      </c>
      <c r="H2475" s="1" t="s">
        <v>81</v>
      </c>
      <c r="I2475" s="1" t="s">
        <v>5672</v>
      </c>
      <c r="J2475" s="175"/>
      <c r="K2475" s="188" t="s">
        <v>5673</v>
      </c>
      <c r="L2475" s="62">
        <v>23257688</v>
      </c>
      <c r="M2475" s="102">
        <v>5216142187565</v>
      </c>
      <c r="N2475" s="171" t="s">
        <v>28</v>
      </c>
      <c r="O2475" s="91">
        <v>9760.32</v>
      </c>
      <c r="P2475" s="91"/>
      <c r="Q2475" s="42">
        <f>OfficeForms.Table[[#This Row],[ INFORMEDEPAGO ]]*0.3</f>
        <v>2928.096</v>
      </c>
      <c r="R2475" s="12">
        <f>(IF(O2475&lt;4172.98,0,MIN(O2475*0.3,O2475-4172.98)))-P2475</f>
        <v>2928.096</v>
      </c>
      <c r="T2475" s="1"/>
      <c r="V2475" s="1"/>
      <c r="X2475" s="101">
        <v>1</v>
      </c>
    </row>
    <row r="2476" spans="1:24" hidden="1">
      <c r="A2476">
        <v>881</v>
      </c>
      <c r="B2476" s="2">
        <v>46234.5218171296</v>
      </c>
      <c r="C2476" s="2">
        <v>46234.542592592603</v>
      </c>
      <c r="D2476" s="1" t="s">
        <v>24</v>
      </c>
      <c r="E2476" s="1"/>
      <c r="F2476" s="29">
        <v>46234</v>
      </c>
      <c r="G2476" s="29">
        <v>46234</v>
      </c>
      <c r="H2476" s="1" t="s">
        <v>51</v>
      </c>
      <c r="I2476" s="1" t="s">
        <v>5674</v>
      </c>
      <c r="J2476" s="175">
        <v>4383652106</v>
      </c>
      <c r="K2476" s="188" t="s">
        <v>5675</v>
      </c>
      <c r="L2476" s="62">
        <v>23259162</v>
      </c>
      <c r="M2476" s="102">
        <v>5218333832267</v>
      </c>
      <c r="N2476" s="171" t="s">
        <v>37</v>
      </c>
      <c r="O2476" s="91">
        <v>9760.32</v>
      </c>
      <c r="P2476" s="91">
        <v>2822.12</v>
      </c>
      <c r="Q2476" s="42">
        <f>OfficeForms.Table[[#This Row],[ INFORMEDEPAGO ]]*0.3</f>
        <v>2928.096</v>
      </c>
      <c r="R2476" s="12">
        <f>(IF(O2476&lt;4172.98,0,MIN(O2476*0.3,O2476-4172.98)))-P2476</f>
        <v>105.97600000000011</v>
      </c>
      <c r="S2476" s="74">
        <v>46569</v>
      </c>
      <c r="T2476" s="1"/>
      <c r="V2476" s="1"/>
      <c r="X2476" s="101">
        <v>2</v>
      </c>
    </row>
    <row r="2477" spans="1:24" hidden="1">
      <c r="A2477">
        <v>882</v>
      </c>
      <c r="B2477" s="2">
        <v>46234.538321759297</v>
      </c>
      <c r="C2477" s="2">
        <v>46234.543055555601</v>
      </c>
      <c r="D2477" s="1" t="s">
        <v>24</v>
      </c>
      <c r="E2477" s="1"/>
      <c r="F2477" s="29">
        <v>46234</v>
      </c>
      <c r="G2477" s="29">
        <v>46233</v>
      </c>
      <c r="H2477" s="1" t="s">
        <v>160</v>
      </c>
      <c r="I2477" s="1" t="s">
        <v>5676</v>
      </c>
      <c r="J2477" s="175"/>
      <c r="K2477" s="188" t="s">
        <v>5677</v>
      </c>
      <c r="L2477" s="62">
        <v>23245292</v>
      </c>
      <c r="M2477" s="102">
        <v>5216145375926</v>
      </c>
      <c r="N2477" s="171" t="s">
        <v>37</v>
      </c>
      <c r="O2477" s="91">
        <v>7920.51</v>
      </c>
      <c r="P2477" s="91">
        <v>2370</v>
      </c>
      <c r="Q2477" s="42">
        <f>OfficeForms.Table[[#This Row],[ INFORMEDEPAGO ]]*0.3</f>
        <v>2376.1529999999998</v>
      </c>
      <c r="R2477" s="12">
        <f>(IF(O2477&lt;4172.98,0,MIN(O2477*0.3,O2477-4172.98)))-P2477</f>
        <v>6.1529999999997926</v>
      </c>
      <c r="S2477" s="74">
        <v>46813</v>
      </c>
      <c r="T2477" s="1"/>
      <c r="V2477" s="1"/>
      <c r="X2477" s="101">
        <v>2</v>
      </c>
    </row>
    <row r="2478" spans="1:24" hidden="1">
      <c r="A2478">
        <v>883</v>
      </c>
      <c r="B2478" s="2">
        <v>46234.550150463001</v>
      </c>
      <c r="C2478" s="2">
        <v>46234.555104166699</v>
      </c>
      <c r="D2478" s="1" t="s">
        <v>24</v>
      </c>
      <c r="E2478" s="1"/>
      <c r="F2478" s="29">
        <v>46234</v>
      </c>
      <c r="G2478" s="29">
        <v>46233</v>
      </c>
      <c r="H2478" s="1" t="s">
        <v>5135</v>
      </c>
      <c r="I2478" s="1" t="s">
        <v>5678</v>
      </c>
      <c r="J2478" s="175" t="s">
        <v>5679</v>
      </c>
      <c r="K2478" s="188"/>
      <c r="L2478" s="62">
        <v>23242356</v>
      </c>
      <c r="M2478" s="102">
        <v>5216673316373</v>
      </c>
      <c r="N2478" s="171" t="s">
        <v>32</v>
      </c>
      <c r="O2478" s="91">
        <f>3016.43+879</f>
        <v>3895.43</v>
      </c>
      <c r="P2478" s="91">
        <v>879</v>
      </c>
      <c r="Q2478" s="42">
        <f>OfficeForms.Table[[#This Row],[ INFORMEDEPAGO ]]*0.3</f>
        <v>1168.6289999999999</v>
      </c>
      <c r="R2478" s="12">
        <f>(IF(O2478&lt;4172.98,0,MIN(O2478*0.3,O2478-4172.98)))-P2478</f>
        <v>-879</v>
      </c>
      <c r="T2478" s="1"/>
      <c r="V2478" s="1"/>
      <c r="X2478" s="101">
        <v>1</v>
      </c>
    </row>
    <row r="2479" spans="1:24" hidden="1">
      <c r="A2479">
        <v>884</v>
      </c>
      <c r="B2479" s="2">
        <v>46234.558564814797</v>
      </c>
      <c r="C2479" s="2">
        <v>46234.562870370399</v>
      </c>
      <c r="D2479" s="1" t="s">
        <v>24</v>
      </c>
      <c r="E2479" s="1"/>
      <c r="F2479" s="29">
        <v>46234</v>
      </c>
      <c r="G2479" s="29">
        <v>46234</v>
      </c>
      <c r="H2479" s="1" t="s">
        <v>3452</v>
      </c>
      <c r="I2479" s="1" t="s">
        <v>5680</v>
      </c>
      <c r="J2479" s="175"/>
      <c r="K2479" s="188" t="s">
        <v>5681</v>
      </c>
      <c r="L2479" s="62">
        <v>23259370</v>
      </c>
      <c r="M2479" s="102">
        <v>2297785330</v>
      </c>
      <c r="N2479" s="171" t="s">
        <v>37</v>
      </c>
      <c r="O2479" s="91">
        <v>9762.32</v>
      </c>
      <c r="P2479" s="91">
        <v>2823.87</v>
      </c>
      <c r="Q2479" s="42">
        <f>OfficeForms.Table[[#This Row],[ INFORMEDEPAGO ]]*0.3</f>
        <v>2928.6959999999999</v>
      </c>
      <c r="R2479" s="12">
        <f>(IF(O2479&lt;4172.98,0,MIN(O2479*0.3,O2479-4172.98)))-P2479</f>
        <v>104.82600000000002</v>
      </c>
      <c r="S2479" s="74">
        <v>46753</v>
      </c>
      <c r="T2479" s="1"/>
      <c r="V2479" s="1"/>
      <c r="X2479" s="101">
        <v>2</v>
      </c>
    </row>
    <row r="2480" spans="1:24" hidden="1">
      <c r="A2480">
        <v>885</v>
      </c>
      <c r="B2480" s="2">
        <v>46234.358321759297</v>
      </c>
      <c r="C2480" s="2">
        <v>46234.563553240703</v>
      </c>
      <c r="D2480" s="1" t="s">
        <v>24</v>
      </c>
      <c r="E2480" s="1"/>
      <c r="F2480" s="29">
        <v>46234</v>
      </c>
      <c r="G2480" s="29">
        <v>46234</v>
      </c>
      <c r="H2480" s="1" t="s">
        <v>1625</v>
      </c>
      <c r="I2480" s="1" t="s">
        <v>5682</v>
      </c>
      <c r="J2480" s="175">
        <v>14765801346</v>
      </c>
      <c r="K2480" s="188" t="s">
        <v>5683</v>
      </c>
      <c r="L2480" s="62">
        <v>2</v>
      </c>
      <c r="M2480" s="102">
        <v>5544639706</v>
      </c>
      <c r="N2480" s="171" t="s">
        <v>37</v>
      </c>
      <c r="O2480" s="91">
        <v>19203.740000000002</v>
      </c>
      <c r="P2480" s="91">
        <v>5719.12</v>
      </c>
      <c r="Q2480" s="42">
        <f>OfficeForms.Table[[#This Row],[ INFORMEDEPAGO ]]*0.3</f>
        <v>5761.1220000000003</v>
      </c>
      <c r="R2480" s="12">
        <f>(IF(O2480&lt;4172.98,0,MIN(O2480*0.3,O2480-4172.98)))-P2480</f>
        <v>42.002000000000407</v>
      </c>
      <c r="S2480" s="74">
        <v>46508</v>
      </c>
      <c r="T2480" s="1"/>
      <c r="V2480" s="1"/>
      <c r="X2480" s="101">
        <v>2</v>
      </c>
    </row>
    <row r="2481" spans="1:24" hidden="1">
      <c r="A2481">
        <v>886</v>
      </c>
      <c r="B2481" s="2">
        <v>46234.576944444401</v>
      </c>
      <c r="C2481" s="2">
        <v>46234.577835648102</v>
      </c>
      <c r="D2481" s="1" t="s">
        <v>24</v>
      </c>
      <c r="E2481" s="1"/>
      <c r="F2481" s="29">
        <v>46234</v>
      </c>
      <c r="G2481" s="29">
        <v>46228</v>
      </c>
      <c r="H2481" s="1" t="s">
        <v>3036</v>
      </c>
      <c r="I2481" s="1" t="s">
        <v>5684</v>
      </c>
      <c r="J2481" s="175" t="s">
        <v>5685</v>
      </c>
      <c r="K2481" s="188" t="s">
        <v>5686</v>
      </c>
      <c r="L2481" s="62">
        <v>23108134</v>
      </c>
      <c r="M2481" s="102">
        <v>5215532503070</v>
      </c>
      <c r="N2481" s="171" t="s">
        <v>106</v>
      </c>
      <c r="O2481" s="91">
        <v>7128.48</v>
      </c>
      <c r="P2481" s="91">
        <v>1978.25</v>
      </c>
      <c r="Q2481" s="42">
        <f>OfficeForms.Table[[#This Row],[ INFORMEDEPAGO ]]*0.3</f>
        <v>2138.5439999999999</v>
      </c>
      <c r="R2481" s="12">
        <f>(IF(O2481&lt;4172.98,0,MIN(O2481*0.3,O2481-4172.98)))-P2481</f>
        <v>160.29399999999987</v>
      </c>
      <c r="S2481" s="74">
        <v>46204</v>
      </c>
      <c r="T2481" s="1"/>
      <c r="V2481" s="1"/>
      <c r="X2481" s="101">
        <v>2</v>
      </c>
    </row>
    <row r="2482" spans="1:24" hidden="1">
      <c r="A2482">
        <v>887</v>
      </c>
      <c r="B2482" s="2">
        <v>46234.582280092603</v>
      </c>
      <c r="C2482" s="2">
        <v>46234.583124999997</v>
      </c>
      <c r="D2482" s="1" t="s">
        <v>24</v>
      </c>
      <c r="E2482" s="1"/>
      <c r="F2482" s="29">
        <v>46234</v>
      </c>
      <c r="G2482" s="29">
        <v>46223</v>
      </c>
      <c r="H2482" s="1" t="s">
        <v>26</v>
      </c>
      <c r="I2482" s="1" t="s">
        <v>5687</v>
      </c>
      <c r="J2482" s="175" t="s">
        <v>5688</v>
      </c>
      <c r="K2482" s="188"/>
      <c r="L2482" s="62">
        <v>22850812</v>
      </c>
      <c r="M2482" s="102">
        <v>5212831303643</v>
      </c>
      <c r="N2482" s="171" t="s">
        <v>106</v>
      </c>
      <c r="O2482" s="91">
        <v>5923.14</v>
      </c>
      <c r="P2482" s="91">
        <v>1546.12</v>
      </c>
      <c r="Q2482" s="42">
        <f>OfficeForms.Table[[#This Row],[ INFORMEDEPAGO ]]*0.3</f>
        <v>1776.942</v>
      </c>
      <c r="R2482" s="12">
        <f>(IF(O2482&lt;4172.98,0,MIN(O2482*0.3,O2482-4172.98)))-P2482</f>
        <v>204.04000000000087</v>
      </c>
      <c r="S2482" s="74">
        <v>45748</v>
      </c>
      <c r="T2482" s="1"/>
      <c r="V2482" s="1"/>
      <c r="X2482" s="101">
        <v>2</v>
      </c>
    </row>
    <row r="2483" spans="1:24" hidden="1">
      <c r="A2483">
        <v>888</v>
      </c>
      <c r="B2483" s="2">
        <v>46234.542615740698</v>
      </c>
      <c r="C2483" s="2">
        <v>46234.604398148098</v>
      </c>
      <c r="D2483" s="1" t="s">
        <v>24</v>
      </c>
      <c r="E2483" s="1"/>
      <c r="F2483" s="29">
        <v>46234</v>
      </c>
      <c r="G2483" s="29">
        <v>46234</v>
      </c>
      <c r="H2483" s="1" t="s">
        <v>51</v>
      </c>
      <c r="I2483" s="1" t="s">
        <v>5689</v>
      </c>
      <c r="J2483" s="175">
        <v>28944900373</v>
      </c>
      <c r="K2483" s="188" t="s">
        <v>5690</v>
      </c>
      <c r="L2483" s="62">
        <v>23258696</v>
      </c>
      <c r="M2483" s="102">
        <v>5219991270867</v>
      </c>
      <c r="N2483" s="171" t="s">
        <v>28</v>
      </c>
      <c r="O2483" s="91">
        <v>35009.19</v>
      </c>
      <c r="P2483" s="91">
        <v>1615.84</v>
      </c>
      <c r="Q2483" s="42">
        <f>OfficeForms.Table[[#This Row],[ INFORMEDEPAGO ]]*0.3</f>
        <v>10502.757</v>
      </c>
      <c r="R2483" s="12">
        <f>(IF(O2483&lt;4172.98,0,MIN(O2483*0.3,O2483-4172.98)))-P2483</f>
        <v>8886.9169999999995</v>
      </c>
      <c r="T2483" s="1"/>
      <c r="V2483" s="1"/>
      <c r="X2483" s="101">
        <v>1</v>
      </c>
    </row>
    <row r="2484" spans="1:24" hidden="1">
      <c r="A2484">
        <v>889</v>
      </c>
      <c r="B2484" s="2">
        <v>46234.6166898148</v>
      </c>
      <c r="C2484" s="2">
        <v>46234.618657407402</v>
      </c>
      <c r="D2484" s="1" t="s">
        <v>24</v>
      </c>
      <c r="E2484" s="1"/>
      <c r="F2484" s="29">
        <v>46234</v>
      </c>
      <c r="G2484" s="29">
        <v>46234</v>
      </c>
      <c r="H2484" s="1" t="s">
        <v>5691</v>
      </c>
      <c r="I2484" s="103" t="s">
        <v>5692</v>
      </c>
      <c r="J2484" s="175"/>
      <c r="K2484" s="187" t="s">
        <v>5693</v>
      </c>
      <c r="L2484" s="62">
        <v>23260528</v>
      </c>
      <c r="M2484" s="102">
        <v>8180185080</v>
      </c>
      <c r="N2484" s="171" t="s">
        <v>28</v>
      </c>
      <c r="O2484" s="91">
        <v>9491</v>
      </c>
      <c r="P2484" s="91"/>
      <c r="Q2484" s="42">
        <f>OfficeForms.Table[[#This Row],[ INFORMEDEPAGO ]]*0.3</f>
        <v>2847.2999999999997</v>
      </c>
      <c r="R2484" s="12">
        <f>(IF(O2484&lt;4172.98,0,MIN(O2484*0.3,O2484-4172.98)))-P2484</f>
        <v>2847.2999999999997</v>
      </c>
      <c r="T2484" s="1"/>
      <c r="V2484" s="1"/>
      <c r="X2484" s="101">
        <v>1</v>
      </c>
    </row>
    <row r="2485" spans="1:24" hidden="1">
      <c r="A2485">
        <v>890</v>
      </c>
      <c r="B2485" s="2">
        <v>46234.615266203698</v>
      </c>
      <c r="C2485" s="2">
        <v>46234.6187615741</v>
      </c>
      <c r="D2485" s="1" t="s">
        <v>24</v>
      </c>
      <c r="E2485" s="1"/>
      <c r="F2485" s="29">
        <v>46234</v>
      </c>
      <c r="G2485" s="29">
        <v>46234</v>
      </c>
      <c r="H2485" s="1" t="s">
        <v>476</v>
      </c>
      <c r="I2485" s="1" t="s">
        <v>5694</v>
      </c>
      <c r="J2485" s="175"/>
      <c r="K2485" s="188" t="s">
        <v>5695</v>
      </c>
      <c r="L2485" s="62">
        <v>23261044</v>
      </c>
      <c r="M2485" s="102">
        <v>5219889679408</v>
      </c>
      <c r="N2485" s="171" t="s">
        <v>37</v>
      </c>
      <c r="O2485" s="91">
        <v>9504.7000000000007</v>
      </c>
      <c r="P2485" s="91">
        <v>2622.91</v>
      </c>
      <c r="Q2485" s="42">
        <f>OfficeForms.Table[[#This Row],[ INFORMEDEPAGO ]]*0.3</f>
        <v>2851.4100000000003</v>
      </c>
      <c r="R2485" s="12">
        <f>(IF(O2485&lt;4172.98,0,MIN(O2485*0.3,O2485-4172.98)))-P2485</f>
        <v>228.50000000000045</v>
      </c>
      <c r="S2485" s="74">
        <v>46266</v>
      </c>
      <c r="T2485" s="1"/>
      <c r="V2485" s="1"/>
      <c r="X2485" s="101">
        <v>2</v>
      </c>
    </row>
    <row r="2486" spans="1:24" hidden="1">
      <c r="A2486">
        <v>891</v>
      </c>
      <c r="B2486" s="2">
        <v>46234.622326388897</v>
      </c>
      <c r="C2486" s="2">
        <v>46234.623101851903</v>
      </c>
      <c r="D2486" s="1" t="s">
        <v>24</v>
      </c>
      <c r="E2486" s="1"/>
      <c r="F2486" s="29">
        <v>46234</v>
      </c>
      <c r="G2486" s="29">
        <v>46234</v>
      </c>
      <c r="H2486" s="1" t="s">
        <v>3022</v>
      </c>
      <c r="I2486" s="1" t="s">
        <v>5696</v>
      </c>
      <c r="J2486" s="175">
        <v>41815610112</v>
      </c>
      <c r="K2486" s="188"/>
      <c r="L2486" s="62">
        <v>23261780</v>
      </c>
      <c r="M2486" s="102">
        <v>8342715237</v>
      </c>
      <c r="N2486" s="171" t="s">
        <v>32</v>
      </c>
      <c r="O2486" s="91">
        <v>4199.87</v>
      </c>
      <c r="P2486" s="91">
        <v>848</v>
      </c>
      <c r="Q2486" s="42">
        <f>OfficeForms.Table[[#This Row],[ INFORMEDEPAGO ]]*0.3</f>
        <v>1259.961</v>
      </c>
      <c r="R2486" s="12">
        <f>(IF(O2486&lt;4172.98,0,MIN(O2486*0.3,O2486-4172.98)))-P2486</f>
        <v>-821.10999999999967</v>
      </c>
      <c r="T2486" s="1"/>
      <c r="V2486" s="1"/>
      <c r="X2486" s="101">
        <v>1</v>
      </c>
    </row>
    <row r="2487" spans="1:24" hidden="1">
      <c r="A2487">
        <v>892</v>
      </c>
      <c r="B2487" s="2">
        <v>46234.613078703696</v>
      </c>
      <c r="C2487" s="2">
        <v>46234.624490740702</v>
      </c>
      <c r="D2487" s="1" t="s">
        <v>24</v>
      </c>
      <c r="E2487" s="1"/>
      <c r="F2487" s="29">
        <v>46234</v>
      </c>
      <c r="G2487" s="29">
        <v>46232</v>
      </c>
      <c r="H2487" s="1" t="s">
        <v>78</v>
      </c>
      <c r="I2487" s="1" t="s">
        <v>5697</v>
      </c>
      <c r="J2487" s="175" t="s">
        <v>5698</v>
      </c>
      <c r="K2487" s="188" t="s">
        <v>5699</v>
      </c>
      <c r="L2487" s="62">
        <v>23217152</v>
      </c>
      <c r="M2487" s="102">
        <v>5213521389763</v>
      </c>
      <c r="N2487" s="171" t="s">
        <v>32</v>
      </c>
      <c r="O2487" s="91">
        <v>3904.19</v>
      </c>
      <c r="P2487" s="91"/>
      <c r="Q2487" s="42">
        <f>OfficeForms.Table[[#This Row],[ INFORMEDEPAGO ]]*0.3</f>
        <v>1171.2570000000001</v>
      </c>
      <c r="R2487" s="12">
        <f>(IF(O2487&lt;4172.98,0,MIN(O2487*0.3,O2487-4172.98)))-P2487</f>
        <v>0</v>
      </c>
      <c r="T2487" s="1"/>
      <c r="V2487" s="1"/>
      <c r="X2487" s="101">
        <v>1</v>
      </c>
    </row>
    <row r="2488" spans="1:24" hidden="1">
      <c r="A2488">
        <v>893</v>
      </c>
      <c r="B2488" s="2">
        <v>46234.604421296302</v>
      </c>
      <c r="C2488" s="2">
        <v>46234.625347222202</v>
      </c>
      <c r="D2488" s="1" t="s">
        <v>24</v>
      </c>
      <c r="E2488" s="1"/>
      <c r="F2488" s="29">
        <v>46234</v>
      </c>
      <c r="G2488" s="29">
        <v>46234</v>
      </c>
      <c r="H2488" s="1" t="s">
        <v>51</v>
      </c>
      <c r="I2488" s="1" t="s">
        <v>5700</v>
      </c>
      <c r="J2488" s="175">
        <v>21765603416</v>
      </c>
      <c r="K2488" s="188" t="s">
        <v>5701</v>
      </c>
      <c r="L2488" s="62">
        <v>23249790</v>
      </c>
      <c r="M2488" s="102">
        <v>5213326852473</v>
      </c>
      <c r="N2488" s="171" t="s">
        <v>37</v>
      </c>
      <c r="O2488" s="91">
        <v>9504.7000000000007</v>
      </c>
      <c r="P2488" s="91">
        <v>2749.87</v>
      </c>
      <c r="Q2488" s="42">
        <f>OfficeForms.Table[[#This Row],[ INFORMEDEPAGO ]]*0.3</f>
        <v>2851.4100000000003</v>
      </c>
      <c r="R2488" s="12">
        <f>(IF(O2488&lt;4172.98,0,MIN(O2488*0.3,O2488-4172.98)))-P2488</f>
        <v>101.54000000000042</v>
      </c>
      <c r="S2488" s="74">
        <v>46447</v>
      </c>
      <c r="T2488" s="1"/>
      <c r="V2488" s="1"/>
      <c r="X2488" s="101">
        <v>2</v>
      </c>
    </row>
    <row r="2489" spans="1:24" hidden="1">
      <c r="A2489">
        <v>894</v>
      </c>
      <c r="B2489" s="2">
        <v>46234.632025462997</v>
      </c>
      <c r="C2489" s="2">
        <v>46234.634409722203</v>
      </c>
      <c r="D2489" s="1" t="s">
        <v>24</v>
      </c>
      <c r="E2489" s="1"/>
      <c r="F2489" s="29">
        <v>46234</v>
      </c>
      <c r="G2489" s="29">
        <v>46234</v>
      </c>
      <c r="H2489" s="1" t="s">
        <v>476</v>
      </c>
      <c r="I2489" s="1" t="s">
        <v>5702</v>
      </c>
      <c r="J2489" s="175"/>
      <c r="K2489" s="188" t="s">
        <v>5703</v>
      </c>
      <c r="L2489" s="62">
        <v>23259574</v>
      </c>
      <c r="M2489" s="102">
        <v>5212491388793</v>
      </c>
      <c r="N2489" s="171" t="s">
        <v>98</v>
      </c>
      <c r="O2489" s="91"/>
      <c r="P2489" s="91"/>
      <c r="Q2489" s="42">
        <f>OfficeForms.Table[[#This Row],[ INFORMEDEPAGO ]]*0.3</f>
        <v>0</v>
      </c>
      <c r="R2489" s="12">
        <f>(IF(O2489&lt;4172.98,0,MIN(O2489*0.3,O2489-4172.98)))-P2489</f>
        <v>0</v>
      </c>
      <c r="T2489" s="1"/>
      <c r="V2489" s="1"/>
      <c r="X2489" s="101">
        <v>0</v>
      </c>
    </row>
    <row r="2490" spans="1:24" hidden="1">
      <c r="A2490">
        <v>895</v>
      </c>
      <c r="B2490" s="2">
        <v>46234.341018518498</v>
      </c>
      <c r="C2490" s="2">
        <v>46234.634641203702</v>
      </c>
      <c r="D2490" s="1" t="s">
        <v>24</v>
      </c>
      <c r="E2490" s="1"/>
      <c r="F2490" s="29">
        <v>46234</v>
      </c>
      <c r="G2490" s="29">
        <v>46228</v>
      </c>
      <c r="H2490" s="1" t="s">
        <v>3572</v>
      </c>
      <c r="I2490" s="1" t="s">
        <v>5704</v>
      </c>
      <c r="J2490" s="175"/>
      <c r="K2490" s="188" t="s">
        <v>5705</v>
      </c>
      <c r="L2490" s="62">
        <v>23106494</v>
      </c>
      <c r="M2490" s="102">
        <v>5215576162975</v>
      </c>
      <c r="N2490" s="171" t="s">
        <v>106</v>
      </c>
      <c r="O2490" s="91">
        <v>7920.51</v>
      </c>
      <c r="P2490" s="91">
        <v>2199.0100000000002</v>
      </c>
      <c r="Q2490" s="42">
        <f>OfficeForms.Table[[#This Row],[ INFORMEDEPAGO ]]*0.3</f>
        <v>2376.1529999999998</v>
      </c>
      <c r="R2490" s="12">
        <f>(IF(O2490&lt;4172.98,0,MIN(O2490*0.3,O2490-4172.98)))-P2490</f>
        <v>177.14299999999957</v>
      </c>
      <c r="S2490" s="74">
        <v>46082</v>
      </c>
      <c r="T2490" s="1"/>
      <c r="V2490" s="1"/>
      <c r="X2490" s="101">
        <v>2</v>
      </c>
    </row>
    <row r="2491" spans="1:24" hidden="1">
      <c r="A2491">
        <v>896</v>
      </c>
      <c r="B2491" s="2">
        <v>46234.636469907397</v>
      </c>
      <c r="C2491" s="2">
        <v>46234.638391203698</v>
      </c>
      <c r="D2491" s="1" t="s">
        <v>24</v>
      </c>
      <c r="E2491" s="1"/>
      <c r="F2491" s="29">
        <v>46234</v>
      </c>
      <c r="G2491" s="29">
        <v>46234</v>
      </c>
      <c r="H2491" s="1" t="s">
        <v>3575</v>
      </c>
      <c r="I2491" s="1" t="s">
        <v>5706</v>
      </c>
      <c r="J2491" s="175"/>
      <c r="K2491" s="188" t="s">
        <v>5707</v>
      </c>
      <c r="L2491" s="62">
        <v>23261408</v>
      </c>
      <c r="M2491" s="102">
        <v>5215542408403</v>
      </c>
      <c r="N2491" s="171" t="s">
        <v>37</v>
      </c>
      <c r="O2491" s="91">
        <v>5060.9799999999996</v>
      </c>
      <c r="P2491" s="91">
        <v>856.01</v>
      </c>
      <c r="Q2491" s="42">
        <f>OfficeForms.Table[[#This Row],[ INFORMEDEPAGO ]]*0.3</f>
        <v>1518.2939999999999</v>
      </c>
      <c r="R2491" s="12">
        <f>(IF(O2491&lt;4172.98,0,MIN(O2491*0.3,O2491-4172.98)))-P2491</f>
        <v>31.990000000000009</v>
      </c>
      <c r="S2491" s="74">
        <v>46447</v>
      </c>
      <c r="T2491" s="1"/>
      <c r="V2491" s="1"/>
      <c r="X2491" s="101">
        <v>2</v>
      </c>
    </row>
    <row r="2492" spans="1:24" hidden="1">
      <c r="A2492">
        <v>897</v>
      </c>
      <c r="B2492" s="2">
        <v>46234.643275463</v>
      </c>
      <c r="C2492" s="2">
        <v>46234.644189814797</v>
      </c>
      <c r="D2492" s="1" t="s">
        <v>24</v>
      </c>
      <c r="E2492" s="1"/>
      <c r="F2492" s="29">
        <v>46234</v>
      </c>
      <c r="G2492" s="29">
        <v>46234</v>
      </c>
      <c r="H2492" s="1" t="s">
        <v>3452</v>
      </c>
      <c r="I2492" s="1" t="s">
        <v>5708</v>
      </c>
      <c r="J2492" s="175"/>
      <c r="K2492" s="188" t="s">
        <v>5709</v>
      </c>
      <c r="L2492" s="62">
        <v>23261016</v>
      </c>
      <c r="M2492" s="102">
        <v>6643548267</v>
      </c>
      <c r="N2492" s="171" t="s">
        <v>37</v>
      </c>
      <c r="O2492" s="91">
        <v>25410.720000000001</v>
      </c>
      <c r="P2492" s="91">
        <v>7612.94</v>
      </c>
      <c r="Q2492" s="42">
        <f>OfficeForms.Table[[#This Row],[ INFORMEDEPAGO ]]*0.3</f>
        <v>7623.2160000000003</v>
      </c>
      <c r="R2492" s="12">
        <f>(IF(O2492&lt;4172.98,0,MIN(O2492*0.3,O2492-4172.98)))-P2492</f>
        <v>10.276000000000749</v>
      </c>
      <c r="S2492" s="74">
        <v>46935</v>
      </c>
      <c r="T2492" s="1" t="s">
        <v>5710</v>
      </c>
      <c r="V2492" s="1"/>
      <c r="X2492" s="101">
        <v>2</v>
      </c>
    </row>
    <row r="2493" spans="1:24" hidden="1">
      <c r="A2493">
        <v>898</v>
      </c>
      <c r="B2493" s="2">
        <v>46234.404907407399</v>
      </c>
      <c r="C2493" s="2">
        <v>46234.647002314799</v>
      </c>
      <c r="D2493" s="1" t="s">
        <v>24</v>
      </c>
      <c r="E2493" s="1"/>
      <c r="F2493" s="29">
        <v>46234</v>
      </c>
      <c r="G2493" s="29">
        <v>46234</v>
      </c>
      <c r="H2493" s="1" t="s">
        <v>3007</v>
      </c>
      <c r="I2493" s="1" t="s">
        <v>5711</v>
      </c>
      <c r="J2493" s="175"/>
      <c r="K2493" s="188" t="s">
        <v>5712</v>
      </c>
      <c r="L2493" s="62">
        <v>23262774</v>
      </c>
      <c r="M2493" s="102">
        <v>8616178431</v>
      </c>
      <c r="N2493" s="171" t="s">
        <v>106</v>
      </c>
      <c r="O2493" s="91">
        <v>19051.189999999999</v>
      </c>
      <c r="P2493" s="91">
        <v>5275.82</v>
      </c>
      <c r="Q2493" s="42">
        <f>OfficeForms.Table[[#This Row],[ INFORMEDEPAGO ]]*0.3</f>
        <v>5715.3569999999991</v>
      </c>
      <c r="R2493" s="12">
        <f>(IF(O2493&lt;4172.98,0,MIN(O2493*0.3,O2493-4172.98)))-P2493</f>
        <v>439.53699999999935</v>
      </c>
      <c r="S2493" s="74">
        <v>46235</v>
      </c>
      <c r="T2493" s="1"/>
      <c r="V2493" s="1"/>
      <c r="X2493" s="101">
        <v>2</v>
      </c>
    </row>
    <row r="2494" spans="1:24" hidden="1">
      <c r="A2494">
        <v>899</v>
      </c>
      <c r="B2494" s="2">
        <v>46234.647141203699</v>
      </c>
      <c r="C2494" s="2">
        <v>46234.6484837963</v>
      </c>
      <c r="D2494" s="1" t="s">
        <v>24</v>
      </c>
      <c r="E2494" s="1"/>
      <c r="F2494" s="29">
        <v>46234</v>
      </c>
      <c r="G2494" s="29">
        <v>46234</v>
      </c>
      <c r="H2494" s="1" t="s">
        <v>1629</v>
      </c>
      <c r="I2494" s="1" t="s">
        <v>5713</v>
      </c>
      <c r="J2494" s="175" t="s">
        <v>5714</v>
      </c>
      <c r="K2494" s="188" t="s">
        <v>5715</v>
      </c>
      <c r="L2494" s="62">
        <v>2</v>
      </c>
      <c r="M2494" s="102" t="s">
        <v>5716</v>
      </c>
      <c r="N2494" s="171" t="s">
        <v>37</v>
      </c>
      <c r="O2494" s="91">
        <v>27471.8</v>
      </c>
      <c r="P2494" s="91">
        <v>8240.89</v>
      </c>
      <c r="Q2494" s="42">
        <f>OfficeForms.Table[[#This Row],[ INFORMEDEPAGO ]]*0.3</f>
        <v>8241.5399999999991</v>
      </c>
      <c r="R2494" s="12">
        <f>(IF(O2494&lt;4172.98,0,MIN(O2494*0.3,O2494-4172.98)))-P2494</f>
        <v>0.6499999999996362</v>
      </c>
      <c r="S2494" s="74">
        <v>46539</v>
      </c>
      <c r="T2494" s="1"/>
      <c r="V2494" s="1"/>
      <c r="X2494" s="101">
        <v>2</v>
      </c>
    </row>
    <row r="2495" spans="1:24" hidden="1">
      <c r="A2495">
        <v>900</v>
      </c>
      <c r="B2495" s="2">
        <v>46234.6479398148</v>
      </c>
      <c r="C2495" s="2">
        <v>46234.648495370398</v>
      </c>
      <c r="D2495" s="1" t="s">
        <v>24</v>
      </c>
      <c r="E2495" s="1"/>
      <c r="F2495" s="29">
        <v>46234</v>
      </c>
      <c r="G2495" s="29">
        <v>46234</v>
      </c>
      <c r="H2495" s="1" t="s">
        <v>3575</v>
      </c>
      <c r="I2495" s="1" t="s">
        <v>5717</v>
      </c>
      <c r="J2495" s="175"/>
      <c r="K2495" s="188" t="s">
        <v>5718</v>
      </c>
      <c r="L2495" s="62">
        <v>23263336</v>
      </c>
      <c r="M2495" s="102">
        <v>5214498168349</v>
      </c>
      <c r="N2495" s="171" t="s">
        <v>28</v>
      </c>
      <c r="O2495" s="91">
        <v>10636.54</v>
      </c>
      <c r="P2495" s="91"/>
      <c r="Q2495" s="42">
        <f>OfficeForms.Table[[#This Row],[ INFORMEDEPAGO ]]*0.3</f>
        <v>3190.962</v>
      </c>
      <c r="R2495" s="12">
        <f>(IF(O2495&lt;4172.98,0,MIN(O2495*0.3,O2495-4172.98)))-P2495</f>
        <v>3190.962</v>
      </c>
      <c r="T2495" s="1"/>
      <c r="V2495" s="1"/>
      <c r="X2495" s="101">
        <v>1</v>
      </c>
    </row>
    <row r="2496" spans="1:24" hidden="1">
      <c r="A2496">
        <v>901</v>
      </c>
      <c r="B2496" s="2">
        <v>46234.6253587963</v>
      </c>
      <c r="C2496" s="2">
        <v>46234.649270833303</v>
      </c>
      <c r="D2496" s="1" t="s">
        <v>24</v>
      </c>
      <c r="E2496" s="1"/>
      <c r="F2496" s="29">
        <v>46234</v>
      </c>
      <c r="G2496" s="29">
        <v>46231</v>
      </c>
      <c r="H2496" s="1" t="s">
        <v>51</v>
      </c>
      <c r="I2496" s="1" t="s">
        <v>5719</v>
      </c>
      <c r="J2496" s="175" t="s">
        <v>5720</v>
      </c>
      <c r="K2496" s="188" t="s">
        <v>5721</v>
      </c>
      <c r="L2496" s="62">
        <v>23170612</v>
      </c>
      <c r="M2496" s="102">
        <v>14809427434</v>
      </c>
      <c r="N2496" s="171" t="s">
        <v>37</v>
      </c>
      <c r="O2496" s="91">
        <v>10636.54</v>
      </c>
      <c r="P2496" s="91">
        <v>3190.93</v>
      </c>
      <c r="Q2496" s="42">
        <f>OfficeForms.Table[[#This Row],[ INFORMEDEPAGO ]]*0.3</f>
        <v>3190.962</v>
      </c>
      <c r="R2496" s="12">
        <f>(IF(O2496&lt;4172.98,0,MIN(O2496*0.3,O2496-4172.98)))-P2496</f>
        <v>3.2000000000152795E-2</v>
      </c>
      <c r="S2496" s="74">
        <v>46874</v>
      </c>
      <c r="T2496" s="1"/>
      <c r="V2496" s="1"/>
      <c r="X2496" s="101">
        <v>2</v>
      </c>
    </row>
    <row r="2497" spans="1:24" hidden="1">
      <c r="A2497">
        <v>902</v>
      </c>
      <c r="B2497" s="2">
        <v>46234.648761574099</v>
      </c>
      <c r="C2497" s="2">
        <v>46234.649490740703</v>
      </c>
      <c r="D2497" s="1" t="s">
        <v>24</v>
      </c>
      <c r="E2497" s="1"/>
      <c r="F2497" s="29">
        <v>46234</v>
      </c>
      <c r="G2497" s="29">
        <v>46234</v>
      </c>
      <c r="H2497" s="1" t="s">
        <v>1629</v>
      </c>
      <c r="I2497" s="1" t="s">
        <v>5722</v>
      </c>
      <c r="J2497" s="175">
        <v>43887088359</v>
      </c>
      <c r="K2497" s="188" t="s">
        <v>5723</v>
      </c>
      <c r="L2497" s="62">
        <v>2</v>
      </c>
      <c r="M2497" s="102" t="s">
        <v>5724</v>
      </c>
      <c r="N2497" s="171" t="s">
        <v>98</v>
      </c>
      <c r="O2497" s="91"/>
      <c r="P2497" s="91"/>
      <c r="Q2497" s="42">
        <f>OfficeForms.Table[[#This Row],[ INFORMEDEPAGO ]]*0.3</f>
        <v>0</v>
      </c>
      <c r="R2497" s="12">
        <f>(IF(O2497&lt;4172.98,0,MIN(O2497*0.3,O2497-4172.98)))-P2497</f>
        <v>0</v>
      </c>
      <c r="T2497" s="1"/>
      <c r="V2497" s="1"/>
      <c r="X2497" s="101">
        <v>0</v>
      </c>
    </row>
    <row r="2498" spans="1:24" hidden="1">
      <c r="A2498">
        <v>903</v>
      </c>
      <c r="B2498" s="2">
        <v>46234.649328703701</v>
      </c>
      <c r="C2498" s="2">
        <v>46234.651238425897</v>
      </c>
      <c r="D2498" s="1" t="s">
        <v>24</v>
      </c>
      <c r="E2498" s="1"/>
      <c r="F2498" s="29">
        <v>46234</v>
      </c>
      <c r="G2498" s="29">
        <v>46234</v>
      </c>
      <c r="H2498" s="1" t="s">
        <v>3452</v>
      </c>
      <c r="I2498" s="1" t="s">
        <v>5725</v>
      </c>
      <c r="J2498" s="175"/>
      <c r="K2498" s="188" t="s">
        <v>5726</v>
      </c>
      <c r="L2498" s="62">
        <v>23262548</v>
      </c>
      <c r="M2498" s="102">
        <v>3325688176</v>
      </c>
      <c r="N2498" s="171" t="s">
        <v>37</v>
      </c>
      <c r="O2498" s="91">
        <v>15866.88</v>
      </c>
      <c r="P2498" s="91">
        <v>4585.45</v>
      </c>
      <c r="Q2498" s="42">
        <f>OfficeForms.Table[[#This Row],[ INFORMEDEPAGO ]]*0.3</f>
        <v>4760.0639999999994</v>
      </c>
      <c r="R2498" s="12">
        <f>(IF(O2498&lt;4172.98,0,MIN(O2498*0.3,O2498-4172.98)))-P2498</f>
        <v>174.61399999999958</v>
      </c>
      <c r="S2498" s="74">
        <v>46569</v>
      </c>
      <c r="T2498" s="1"/>
      <c r="V2498" s="1"/>
      <c r="X2498" s="101">
        <v>2</v>
      </c>
    </row>
    <row r="2499" spans="1:24" hidden="1">
      <c r="A2499">
        <v>904</v>
      </c>
      <c r="B2499" s="2">
        <v>46234.649305555598</v>
      </c>
      <c r="C2499" s="2">
        <v>46234.652384259301</v>
      </c>
      <c r="D2499" s="1" t="s">
        <v>24</v>
      </c>
      <c r="E2499" s="1"/>
      <c r="F2499" s="29">
        <v>46234</v>
      </c>
      <c r="G2499" s="29">
        <v>46234</v>
      </c>
      <c r="H2499" s="1" t="s">
        <v>51</v>
      </c>
      <c r="I2499" s="1" t="s">
        <v>5727</v>
      </c>
      <c r="J2499" s="175"/>
      <c r="K2499" s="188" t="s">
        <v>5728</v>
      </c>
      <c r="L2499" s="62">
        <v>23257584</v>
      </c>
      <c r="M2499" s="102">
        <v>5213541502840</v>
      </c>
      <c r="N2499" s="171" t="s">
        <v>37</v>
      </c>
      <c r="O2499" s="91">
        <v>5642.22</v>
      </c>
      <c r="P2499" s="91">
        <v>1469.23</v>
      </c>
      <c r="Q2499" s="42">
        <f>OfficeForms.Table[[#This Row],[ INFORMEDEPAGO ]]*0.3</f>
        <v>1692.6659999999999</v>
      </c>
      <c r="R2499" s="12">
        <f>(IF(O2499&lt;4172.98,0,MIN(O2499*0.3,O2499-4172.98)))-P2499</f>
        <v>1.0000000000673026E-2</v>
      </c>
      <c r="S2499" s="74">
        <v>46905</v>
      </c>
      <c r="T2499" s="1"/>
      <c r="V2499" s="1"/>
      <c r="X2499" s="101">
        <v>2</v>
      </c>
    </row>
    <row r="2500" spans="1:24" hidden="1">
      <c r="A2500">
        <v>905</v>
      </c>
      <c r="B2500" s="2">
        <v>46234.651620370401</v>
      </c>
      <c r="C2500" s="2">
        <v>46234.652615740699</v>
      </c>
      <c r="D2500" s="1" t="s">
        <v>24</v>
      </c>
      <c r="E2500" s="1"/>
      <c r="F2500" s="29">
        <v>46234</v>
      </c>
      <c r="G2500" s="29">
        <v>46234</v>
      </c>
      <c r="H2500" s="1" t="s">
        <v>3572</v>
      </c>
      <c r="I2500" s="1" t="s">
        <v>5729</v>
      </c>
      <c r="J2500" s="175">
        <v>12886912182</v>
      </c>
      <c r="K2500" s="188"/>
      <c r="L2500" s="62">
        <v>23263250</v>
      </c>
      <c r="M2500" s="102">
        <v>5216643557270</v>
      </c>
      <c r="N2500" s="171" t="s">
        <v>106</v>
      </c>
      <c r="O2500" s="91">
        <v>9151.15</v>
      </c>
      <c r="P2500" s="91">
        <v>2425.14</v>
      </c>
      <c r="Q2500" s="42">
        <f>OfficeForms.Table[[#This Row],[ INFORMEDEPAGO ]]*0.3</f>
        <v>2745.3449999999998</v>
      </c>
      <c r="R2500" s="12">
        <f>(IF(O2500&lt;4172.98,0,MIN(O2500*0.3,O2500-4172.98)))-P2500</f>
        <v>320.20499999999993</v>
      </c>
      <c r="S2500" s="74">
        <v>45748</v>
      </c>
      <c r="T2500" s="1"/>
      <c r="V2500" s="1"/>
      <c r="X2500" s="101">
        <v>2</v>
      </c>
    </row>
    <row r="2501" spans="1:24" hidden="1">
      <c r="A2501">
        <v>906</v>
      </c>
      <c r="B2501" s="2">
        <v>46234.6404861111</v>
      </c>
      <c r="C2501" s="2">
        <v>46234.656932870399</v>
      </c>
      <c r="D2501" s="1" t="s">
        <v>24</v>
      </c>
      <c r="E2501" s="1"/>
      <c r="F2501" s="29">
        <v>46234</v>
      </c>
      <c r="G2501" s="29">
        <v>46234</v>
      </c>
      <c r="H2501" s="1" t="s">
        <v>78</v>
      </c>
      <c r="I2501" s="1" t="s">
        <v>5730</v>
      </c>
      <c r="J2501" s="175">
        <v>45876016366</v>
      </c>
      <c r="K2501" s="188" t="s">
        <v>5731</v>
      </c>
      <c r="L2501" s="62">
        <v>23255164</v>
      </c>
      <c r="M2501" s="102">
        <v>5219995562113</v>
      </c>
      <c r="N2501" s="171" t="s">
        <v>32</v>
      </c>
      <c r="O2501" s="91">
        <f>3113.31+848</f>
        <v>3961.31</v>
      </c>
      <c r="P2501" s="91">
        <v>848</v>
      </c>
      <c r="Q2501" s="42">
        <f>OfficeForms.Table[[#This Row],[ INFORMEDEPAGO ]]*0.3</f>
        <v>1188.393</v>
      </c>
      <c r="R2501" s="12">
        <f>(IF(O2501&lt;4172.98,0,MIN(O2501*0.3,O2501-4172.98)))-P2501</f>
        <v>-848</v>
      </c>
      <c r="T2501" s="1"/>
      <c r="V2501" s="1"/>
      <c r="X2501" s="101">
        <v>1</v>
      </c>
    </row>
    <row r="2502" spans="1:24" hidden="1">
      <c r="A2502">
        <v>907</v>
      </c>
      <c r="B2502" s="2">
        <v>46234.662418981497</v>
      </c>
      <c r="C2502" s="2">
        <v>46234.663449074098</v>
      </c>
      <c r="D2502" s="1" t="s">
        <v>24</v>
      </c>
      <c r="E2502" s="1"/>
      <c r="F2502" s="29">
        <v>46234</v>
      </c>
      <c r="G2502" s="29">
        <v>46233</v>
      </c>
      <c r="H2502" s="1" t="s">
        <v>3007</v>
      </c>
      <c r="I2502" s="1" t="s">
        <v>5732</v>
      </c>
      <c r="J2502" s="175"/>
      <c r="K2502" s="188" t="s">
        <v>5733</v>
      </c>
      <c r="L2502" s="62">
        <v>23235208</v>
      </c>
      <c r="M2502" s="102">
        <v>6621384551</v>
      </c>
      <c r="N2502" s="171" t="s">
        <v>37</v>
      </c>
      <c r="O2502" s="91">
        <v>6261.78</v>
      </c>
      <c r="P2502" s="91">
        <v>1877</v>
      </c>
      <c r="Q2502" s="42">
        <f>OfficeForms.Table[[#This Row],[ INFORMEDEPAGO ]]*0.3</f>
        <v>1878.5339999999999</v>
      </c>
      <c r="R2502" s="12">
        <f>(IF(O2502&lt;4172.98,0,MIN(O2502*0.3,O2502-4172.98)))-P2502</f>
        <v>1.5339999999998781</v>
      </c>
      <c r="S2502" s="74">
        <v>46478</v>
      </c>
      <c r="T2502" s="1"/>
      <c r="V2502" s="1"/>
      <c r="X2502" s="101">
        <v>2</v>
      </c>
    </row>
    <row r="2503" spans="1:24" hidden="1">
      <c r="A2503">
        <v>908</v>
      </c>
      <c r="B2503" s="2">
        <v>46234.663449074098</v>
      </c>
      <c r="C2503" s="2">
        <v>46234.664236111101</v>
      </c>
      <c r="D2503" s="1" t="s">
        <v>24</v>
      </c>
      <c r="E2503" s="1"/>
      <c r="F2503" s="29">
        <v>46234</v>
      </c>
      <c r="G2503" s="29">
        <v>46225</v>
      </c>
      <c r="H2503" s="1" t="s">
        <v>269</v>
      </c>
      <c r="I2503" s="1" t="s">
        <v>5734</v>
      </c>
      <c r="J2503" s="207" t="s">
        <v>5735</v>
      </c>
      <c r="K2503" s="188" t="s">
        <v>5736</v>
      </c>
      <c r="L2503" s="62">
        <v>22982000</v>
      </c>
      <c r="M2503" s="102">
        <v>5213113431454</v>
      </c>
      <c r="N2503" s="171" t="s">
        <v>47</v>
      </c>
      <c r="O2503" s="91">
        <v>4632.01</v>
      </c>
      <c r="P2503" s="91"/>
      <c r="Q2503" s="42">
        <f>OfficeForms.Table[[#This Row],[ INFORMEDEPAGO ]]*0.3</f>
        <v>1389.6030000000001</v>
      </c>
      <c r="R2503" s="12">
        <f>(IF(O2503&lt;4172.98,0,MIN(O2503*0.3,O2503-4172.98)))-P2503</f>
        <v>459.03000000000065</v>
      </c>
      <c r="T2503" s="1"/>
      <c r="V2503" s="1"/>
      <c r="X2503" s="101">
        <v>1</v>
      </c>
    </row>
    <row r="2504" spans="1:24" hidden="1">
      <c r="A2504">
        <v>909</v>
      </c>
      <c r="B2504" s="2">
        <v>46234.664097222201</v>
      </c>
      <c r="C2504" s="2">
        <v>46234.665532407402</v>
      </c>
      <c r="D2504" s="1" t="s">
        <v>24</v>
      </c>
      <c r="E2504" s="1"/>
      <c r="F2504" s="29">
        <v>46234</v>
      </c>
      <c r="G2504" s="29">
        <v>46234</v>
      </c>
      <c r="H2504" s="1" t="s">
        <v>26</v>
      </c>
      <c r="I2504" s="1" t="s">
        <v>5737</v>
      </c>
      <c r="J2504" s="207">
        <v>43796366169</v>
      </c>
      <c r="K2504" s="188"/>
      <c r="L2504" s="62">
        <v>23261448</v>
      </c>
      <c r="M2504" s="102">
        <v>5218110151180</v>
      </c>
      <c r="N2504" s="171" t="s">
        <v>28</v>
      </c>
      <c r="O2504" s="91">
        <v>35251.01</v>
      </c>
      <c r="P2504" s="91">
        <v>8543.5499999999993</v>
      </c>
      <c r="Q2504" s="42">
        <f>OfficeForms.Table[[#This Row],[ INFORMEDEPAGO ]]*0.3</f>
        <v>10575.303</v>
      </c>
      <c r="R2504" s="12">
        <f>(IF(O2504&lt;4172.98,0,MIN(O2504*0.3,O2504-4172.98)))-P2504</f>
        <v>2031.7530000000006</v>
      </c>
      <c r="S2504" s="74">
        <v>46388</v>
      </c>
      <c r="T2504" s="1"/>
      <c r="V2504" s="1"/>
      <c r="X2504" s="101">
        <v>2</v>
      </c>
    </row>
    <row r="2505" spans="1:24" hidden="1">
      <c r="A2505">
        <v>910</v>
      </c>
      <c r="B2505" s="2">
        <v>46234.652407407397</v>
      </c>
      <c r="C2505" s="2">
        <v>46234.668738425898</v>
      </c>
      <c r="D2505" s="1" t="s">
        <v>24</v>
      </c>
      <c r="E2505" s="1"/>
      <c r="F2505" s="29">
        <v>46234</v>
      </c>
      <c r="G2505" s="29">
        <v>46234</v>
      </c>
      <c r="H2505" s="1" t="s">
        <v>51</v>
      </c>
      <c r="I2505" s="1" t="s">
        <v>5738</v>
      </c>
      <c r="J2505" s="207">
        <v>4988621097</v>
      </c>
      <c r="K2505" s="188" t="s">
        <v>5739</v>
      </c>
      <c r="L2505" s="62">
        <v>23258110</v>
      </c>
      <c r="M2505" s="102">
        <v>5218333106491</v>
      </c>
      <c r="N2505" s="171" t="s">
        <v>37</v>
      </c>
      <c r="O2505" s="91">
        <v>10527.41</v>
      </c>
      <c r="P2505" s="91">
        <v>3157.17</v>
      </c>
      <c r="Q2505" s="42">
        <f>OfficeForms.Table[[#This Row],[ INFORMEDEPAGO ]]*0.3</f>
        <v>3158.223</v>
      </c>
      <c r="R2505" s="12">
        <f>(IF(O2505&lt;4172.98,0,MIN(O2505*0.3,O2505-4172.98)))-P2505</f>
        <v>1.0529999999998836</v>
      </c>
      <c r="S2505" s="74">
        <v>46388</v>
      </c>
      <c r="T2505" s="1"/>
      <c r="V2505" s="1"/>
      <c r="X2505" s="101">
        <v>2</v>
      </c>
    </row>
    <row r="2506" spans="1:24" hidden="1">
      <c r="A2506">
        <v>911</v>
      </c>
      <c r="B2506" s="2">
        <v>46234.655069444401</v>
      </c>
      <c r="C2506" s="2">
        <v>46234.670648148203</v>
      </c>
      <c r="D2506" s="1" t="s">
        <v>24</v>
      </c>
      <c r="E2506" s="1"/>
      <c r="F2506" s="29">
        <v>46234</v>
      </c>
      <c r="G2506" s="29">
        <v>46234</v>
      </c>
      <c r="H2506" s="1" t="s">
        <v>78</v>
      </c>
      <c r="I2506" s="1" t="s">
        <v>5740</v>
      </c>
      <c r="J2506" s="207">
        <v>32816457710</v>
      </c>
      <c r="K2506" s="188" t="s">
        <v>5741</v>
      </c>
      <c r="L2506" s="62">
        <v>23258776</v>
      </c>
      <c r="M2506" s="102">
        <v>5214612109935</v>
      </c>
      <c r="N2506" s="171" t="s">
        <v>37</v>
      </c>
      <c r="O2506" s="91">
        <v>10989.53</v>
      </c>
      <c r="P2506" s="91">
        <v>3025.67</v>
      </c>
      <c r="Q2506" s="42">
        <f>OfficeForms.Table[[#This Row],[ INFORMEDEPAGO ]]*0.3</f>
        <v>3296.8589999999999</v>
      </c>
      <c r="R2506" s="12">
        <f>(IF(O2506&lt;4172.98,0,MIN(O2506*0.3,O2506-4172.98)))-P2506</f>
        <v>271.18899999999985</v>
      </c>
      <c r="S2506" s="74">
        <v>46753</v>
      </c>
      <c r="T2506" s="1"/>
      <c r="V2506" s="1"/>
      <c r="X2506" s="101">
        <v>2</v>
      </c>
    </row>
    <row r="2507" spans="1:24" hidden="1">
      <c r="A2507">
        <v>912</v>
      </c>
      <c r="B2507" s="2">
        <v>46234.668749999997</v>
      </c>
      <c r="C2507" s="2">
        <v>46234.674895833297</v>
      </c>
      <c r="D2507" s="1" t="s">
        <v>24</v>
      </c>
      <c r="E2507" s="1"/>
      <c r="F2507" s="29">
        <v>46234</v>
      </c>
      <c r="G2507" s="29">
        <v>46230</v>
      </c>
      <c r="H2507" s="1" t="s">
        <v>51</v>
      </c>
      <c r="I2507" s="1"/>
      <c r="J2507" s="207">
        <v>62805407756</v>
      </c>
      <c r="K2507" s="188"/>
      <c r="L2507" s="62">
        <v>23128122</v>
      </c>
      <c r="M2507" s="102">
        <v>5212224026208</v>
      </c>
      <c r="N2507" s="171" t="s">
        <v>32</v>
      </c>
      <c r="O2507" s="91">
        <v>3879.3</v>
      </c>
      <c r="P2507" s="91"/>
      <c r="Q2507" s="42">
        <f>OfficeForms.Table[[#This Row],[ INFORMEDEPAGO ]]*0.3</f>
        <v>1163.79</v>
      </c>
      <c r="R2507" s="12">
        <f>(IF(O2507&lt;4172.98,0,MIN(O2507*0.3,O2507-4172.98)))-P2507</f>
        <v>0</v>
      </c>
      <c r="T2507" s="1"/>
      <c r="V2507" s="1"/>
      <c r="X2507" s="101">
        <v>1</v>
      </c>
    </row>
    <row r="2508" spans="1:24" hidden="1">
      <c r="A2508">
        <v>913</v>
      </c>
      <c r="B2508" s="2">
        <v>46234.666215277801</v>
      </c>
      <c r="C2508" s="2">
        <v>46234.675810185203</v>
      </c>
      <c r="D2508" s="1" t="s">
        <v>24</v>
      </c>
      <c r="E2508" s="1"/>
      <c r="F2508" s="29">
        <v>46234</v>
      </c>
      <c r="G2508" s="29">
        <v>46232</v>
      </c>
      <c r="H2508" s="1" t="s">
        <v>269</v>
      </c>
      <c r="I2508" s="1" t="s">
        <v>5742</v>
      </c>
      <c r="J2508" s="175" t="s">
        <v>5743</v>
      </c>
      <c r="K2508" s="188" t="s">
        <v>5744</v>
      </c>
      <c r="L2508" s="62">
        <v>23200432</v>
      </c>
      <c r="M2508" s="102">
        <v>5213328044116</v>
      </c>
      <c r="N2508" s="171" t="s">
        <v>37</v>
      </c>
      <c r="O2508" s="91">
        <v>7116.73</v>
      </c>
      <c r="P2508" s="91">
        <v>2046.04</v>
      </c>
      <c r="Q2508" s="42">
        <f>OfficeForms.Table[[#This Row],[ INFORMEDEPAGO ]]*0.3</f>
        <v>2135.0189999999998</v>
      </c>
      <c r="R2508" s="12">
        <f>(IF(O2508&lt;4172.98,0,MIN(O2508*0.3,O2508-4172.98)))-P2508</f>
        <v>88.978999999999814</v>
      </c>
      <c r="S2508" s="74">
        <v>46753</v>
      </c>
      <c r="T2508" s="1" t="s">
        <v>5368</v>
      </c>
      <c r="V2508" s="1"/>
      <c r="X2508" s="101">
        <v>2</v>
      </c>
    </row>
    <row r="2509" spans="1:24" hidden="1">
      <c r="A2509">
        <v>914</v>
      </c>
      <c r="B2509" s="2">
        <v>46234.676747685196</v>
      </c>
      <c r="C2509" s="2">
        <v>46234.677627314799</v>
      </c>
      <c r="D2509" s="1" t="s">
        <v>24</v>
      </c>
      <c r="E2509" s="1"/>
      <c r="F2509" s="29">
        <v>46234</v>
      </c>
      <c r="G2509" s="29">
        <v>46234</v>
      </c>
      <c r="H2509" s="1" t="s">
        <v>3575</v>
      </c>
      <c r="I2509" s="1" t="s">
        <v>5745</v>
      </c>
      <c r="J2509" s="175"/>
      <c r="K2509" s="188" t="s">
        <v>5746</v>
      </c>
      <c r="L2509" s="62">
        <v>23262514</v>
      </c>
      <c r="M2509" s="102">
        <v>5215668599199</v>
      </c>
      <c r="N2509" s="171" t="s">
        <v>263</v>
      </c>
      <c r="O2509" s="91">
        <v>5617.64</v>
      </c>
      <c r="P2509" s="91">
        <v>1271.28</v>
      </c>
      <c r="Q2509" s="42">
        <f>OfficeForms.Table[[#This Row],[ INFORMEDEPAGO ]]*0.3</f>
        <v>1685.2920000000001</v>
      </c>
      <c r="R2509" s="12">
        <f>(IF(O2509&lt;4172.98,0,MIN(O2509*0.3,O2509-4172.98)))-P2509</f>
        <v>173.38000000000079</v>
      </c>
      <c r="S2509" s="74">
        <v>45809</v>
      </c>
      <c r="T2509" s="1" t="s">
        <v>192</v>
      </c>
      <c r="V2509" s="1"/>
      <c r="X2509" s="101">
        <v>2</v>
      </c>
    </row>
    <row r="2510" spans="1:24" hidden="1">
      <c r="A2510">
        <v>915</v>
      </c>
      <c r="B2510" s="2">
        <v>46234.563587962999</v>
      </c>
      <c r="C2510" s="2">
        <v>46234.684687499997</v>
      </c>
      <c r="D2510" s="1" t="s">
        <v>24</v>
      </c>
      <c r="E2510" s="1"/>
      <c r="F2510" s="29">
        <v>46234</v>
      </c>
      <c r="G2510" s="29">
        <v>46234</v>
      </c>
      <c r="H2510" s="1" t="s">
        <v>1625</v>
      </c>
      <c r="I2510" s="1" t="s">
        <v>5747</v>
      </c>
      <c r="J2510" s="175" t="s">
        <v>5748</v>
      </c>
      <c r="K2510" s="188" t="s">
        <v>5749</v>
      </c>
      <c r="L2510" s="62">
        <v>2</v>
      </c>
      <c r="M2510" s="102">
        <v>3311552258</v>
      </c>
      <c r="N2510" s="171" t="s">
        <v>28</v>
      </c>
      <c r="O2510" s="91">
        <v>8793.09</v>
      </c>
      <c r="P2510" s="91"/>
      <c r="Q2510" s="42">
        <f>OfficeForms.Table[[#This Row],[ INFORMEDEPAGO ]]*0.3</f>
        <v>2637.9270000000001</v>
      </c>
      <c r="R2510" s="12">
        <f>(IF(O2510&lt;4172.98,0,MIN(O2510*0.3,O2510-4172.98)))-P2510</f>
        <v>2637.9270000000001</v>
      </c>
      <c r="T2510" s="1"/>
      <c r="V2510" s="1"/>
      <c r="X2510" s="101">
        <v>1</v>
      </c>
    </row>
    <row r="2511" spans="1:24" hidden="1">
      <c r="A2511">
        <v>916</v>
      </c>
      <c r="B2511" s="2">
        <v>46234.686539351896</v>
      </c>
      <c r="C2511" s="2">
        <v>46234.688587962999</v>
      </c>
      <c r="D2511" s="1" t="s">
        <v>24</v>
      </c>
      <c r="E2511" s="1"/>
      <c r="F2511" s="29">
        <v>46234</v>
      </c>
      <c r="G2511" s="29">
        <v>46234</v>
      </c>
      <c r="H2511" s="1" t="s">
        <v>269</v>
      </c>
      <c r="I2511" s="1" t="s">
        <v>5750</v>
      </c>
      <c r="J2511" s="207" t="s">
        <v>5751</v>
      </c>
      <c r="K2511" s="188" t="s">
        <v>5752</v>
      </c>
      <c r="L2511" s="62">
        <v>23226436</v>
      </c>
      <c r="M2511" s="102">
        <v>5215548590450</v>
      </c>
      <c r="N2511" s="171" t="s">
        <v>47</v>
      </c>
      <c r="O2511" s="91">
        <v>4886.68</v>
      </c>
      <c r="P2511" s="91"/>
      <c r="Q2511" s="42">
        <f>OfficeForms.Table[[#This Row],[ INFORMEDEPAGO ]]*0.3</f>
        <v>1466.0040000000001</v>
      </c>
      <c r="R2511" s="12">
        <f>(IF(O2511&lt;4172.98,0,MIN(O2511*0.3,O2511-4172.98)))-P2511</f>
        <v>713.70000000000073</v>
      </c>
      <c r="T2511" s="1"/>
      <c r="V2511" s="1"/>
      <c r="X2511" s="101">
        <v>1</v>
      </c>
    </row>
    <row r="2512" spans="1:24" hidden="1">
      <c r="A2512">
        <v>917</v>
      </c>
      <c r="B2512" s="2">
        <v>46234.686111111099</v>
      </c>
      <c r="C2512" s="2">
        <v>46234.689664351899</v>
      </c>
      <c r="D2512" s="1" t="s">
        <v>24</v>
      </c>
      <c r="E2512" s="1"/>
      <c r="F2512" s="29">
        <v>46234</v>
      </c>
      <c r="G2512" s="29">
        <v>46234</v>
      </c>
      <c r="H2512" s="1" t="s">
        <v>5605</v>
      </c>
      <c r="I2512" s="1" t="s">
        <v>5753</v>
      </c>
      <c r="J2512" s="207"/>
      <c r="K2512" s="188" t="s">
        <v>5754</v>
      </c>
      <c r="L2512" s="62">
        <v>23263274</v>
      </c>
      <c r="M2512" s="102">
        <v>6862451666</v>
      </c>
      <c r="N2512" s="171" t="s">
        <v>47</v>
      </c>
      <c r="O2512" s="91">
        <v>6262.86</v>
      </c>
      <c r="P2512" s="91">
        <v>864.83</v>
      </c>
      <c r="Q2512" s="42">
        <f>OfficeForms.Table[[#This Row],[ INFORMEDEPAGO ]]*0.3</f>
        <v>1878.8579999999997</v>
      </c>
      <c r="R2512" s="12">
        <f>(IF(O2512&lt;4172.98,0,MIN(O2512*0.3,O2512-4172.98)))-P2512</f>
        <v>1014.0279999999997</v>
      </c>
      <c r="S2512" s="74">
        <v>45658</v>
      </c>
      <c r="T2512" s="1"/>
      <c r="V2512" s="1"/>
      <c r="X2512" s="101">
        <v>2</v>
      </c>
    </row>
    <row r="2513" spans="1:24" hidden="1">
      <c r="A2513">
        <v>918</v>
      </c>
      <c r="B2513" s="2">
        <v>46234.690405092602</v>
      </c>
      <c r="C2513" s="2">
        <v>46234.691261574102</v>
      </c>
      <c r="D2513" s="1" t="s">
        <v>24</v>
      </c>
      <c r="E2513" s="1"/>
      <c r="F2513" s="29">
        <v>46234</v>
      </c>
      <c r="G2513" s="29">
        <v>46234</v>
      </c>
      <c r="H2513" s="1" t="s">
        <v>3036</v>
      </c>
      <c r="I2513" s="1" t="s">
        <v>5755</v>
      </c>
      <c r="J2513" s="207">
        <v>72977804763</v>
      </c>
      <c r="K2513" s="188" t="s">
        <v>5756</v>
      </c>
      <c r="L2513" s="62">
        <v>23262224</v>
      </c>
      <c r="M2513" s="102">
        <v>5217441293949</v>
      </c>
      <c r="N2513" s="171" t="s">
        <v>32</v>
      </c>
      <c r="O2513" s="91">
        <v>3869.37</v>
      </c>
      <c r="P2513" s="91"/>
      <c r="Q2513" s="42">
        <f>OfficeForms.Table[[#This Row],[ INFORMEDEPAGO ]]*0.3</f>
        <v>1160.8109999999999</v>
      </c>
      <c r="R2513" s="12">
        <f>(IF(O2513&lt;4172.98,0,MIN(O2513*0.3,O2513-4172.98)))-P2513</f>
        <v>0</v>
      </c>
      <c r="T2513" s="1"/>
      <c r="V2513" s="1"/>
      <c r="X2513" s="101">
        <v>1</v>
      </c>
    </row>
    <row r="2514" spans="1:24" hidden="1">
      <c r="A2514">
        <v>919</v>
      </c>
      <c r="B2514" s="2">
        <v>46234.503101851798</v>
      </c>
      <c r="C2514" s="2">
        <v>46234.691388888903</v>
      </c>
      <c r="D2514" s="1" t="s">
        <v>24</v>
      </c>
      <c r="E2514" s="1"/>
      <c r="F2514" s="29">
        <v>46234</v>
      </c>
      <c r="G2514" s="29">
        <v>46231</v>
      </c>
      <c r="H2514" s="1" t="s">
        <v>3352</v>
      </c>
      <c r="I2514" s="1" t="s">
        <v>5123</v>
      </c>
      <c r="J2514" s="207"/>
      <c r="K2514" s="188" t="s">
        <v>5125</v>
      </c>
      <c r="L2514" s="62">
        <v>23182010</v>
      </c>
      <c r="M2514" s="102">
        <v>5534982312</v>
      </c>
      <c r="N2514" s="172" t="s">
        <v>37</v>
      </c>
      <c r="O2514" s="91">
        <v>9081.52</v>
      </c>
      <c r="P2514" s="91">
        <v>2518.66</v>
      </c>
      <c r="Q2514" s="42">
        <f>OfficeForms.Table[[#This Row],[ INFORMEDEPAGO ]]*0.3</f>
        <v>2724.4560000000001</v>
      </c>
      <c r="R2514" s="12">
        <f>(IF(O2514&lt;4172.98,0,MIN(O2514*0.3,O2514-4172.98)))-P2514</f>
        <v>205.79600000000028</v>
      </c>
      <c r="S2514" s="78">
        <v>46357</v>
      </c>
      <c r="T2514" s="1"/>
      <c r="V2514" s="1"/>
      <c r="X2514" s="101">
        <v>0</v>
      </c>
    </row>
    <row r="2515" spans="1:24" hidden="1">
      <c r="A2515">
        <v>920</v>
      </c>
      <c r="B2515" s="2">
        <v>46234.6941898148</v>
      </c>
      <c r="C2515" s="2">
        <v>46234.695787037002</v>
      </c>
      <c r="D2515" s="1" t="s">
        <v>24</v>
      </c>
      <c r="E2515" s="1"/>
      <c r="F2515" s="29">
        <v>46234</v>
      </c>
      <c r="G2515" s="29">
        <v>46233</v>
      </c>
      <c r="H2515" s="1" t="s">
        <v>5135</v>
      </c>
      <c r="I2515" s="1"/>
      <c r="J2515" s="207" t="s">
        <v>5757</v>
      </c>
      <c r="K2515" s="188"/>
      <c r="L2515" s="62">
        <v>23241924</v>
      </c>
      <c r="M2515" s="102">
        <v>5219171405092</v>
      </c>
      <c r="N2515" s="172" t="s">
        <v>74</v>
      </c>
      <c r="O2515" s="91"/>
      <c r="P2515" s="91"/>
      <c r="Q2515" s="42">
        <f>OfficeForms.Table[[#This Row],[ INFORMEDEPAGO ]]*0.3</f>
        <v>0</v>
      </c>
      <c r="R2515" s="12">
        <f>(IF(O2515&lt;4172.98,0,MIN(O2515*0.3,O2515-4172.98)))-P2515</f>
        <v>0</v>
      </c>
      <c r="S2515" s="78"/>
      <c r="T2515" s="1"/>
      <c r="V2515" s="1"/>
      <c r="X2515" s="101">
        <v>1</v>
      </c>
    </row>
    <row r="2516" spans="1:24" hidden="1">
      <c r="A2516">
        <v>921</v>
      </c>
      <c r="B2516" s="2">
        <v>46234.695995370399</v>
      </c>
      <c r="C2516" s="2">
        <v>46234.6968402778</v>
      </c>
      <c r="D2516" s="1" t="s">
        <v>24</v>
      </c>
      <c r="E2516" s="1"/>
      <c r="F2516" s="29">
        <v>46234</v>
      </c>
      <c r="G2516" s="29">
        <v>46234</v>
      </c>
      <c r="H2516" s="1" t="s">
        <v>269</v>
      </c>
      <c r="I2516" s="1" t="s">
        <v>5758</v>
      </c>
      <c r="J2516" s="207" t="s">
        <v>5759</v>
      </c>
      <c r="K2516" s="188" t="s">
        <v>5760</v>
      </c>
      <c r="L2516" s="62">
        <v>23255110</v>
      </c>
      <c r="M2516" s="102">
        <v>5214441195563</v>
      </c>
      <c r="N2516" s="172" t="s">
        <v>37</v>
      </c>
      <c r="O2516" s="91">
        <v>9760.32</v>
      </c>
      <c r="P2516" s="91">
        <v>2928.1</v>
      </c>
      <c r="Q2516" s="42">
        <f>OfficeForms.Table[[#This Row],[ INFORMEDEPAGO ]]*0.3</f>
        <v>2928.096</v>
      </c>
      <c r="R2516" s="12">
        <f>(IF(O2516&lt;4172.98,0,MIN(O2516*0.3,O2516-4172.98)))-P2516</f>
        <v>-3.9999999999054126E-3</v>
      </c>
      <c r="S2516" s="78">
        <v>46661</v>
      </c>
      <c r="T2516" s="1" t="s">
        <v>5368</v>
      </c>
      <c r="V2516" s="1"/>
      <c r="X2516" s="101">
        <v>2</v>
      </c>
    </row>
    <row r="2517" spans="1:24" hidden="1">
      <c r="A2517">
        <v>922</v>
      </c>
      <c r="B2517" s="2">
        <v>46234.674907407403</v>
      </c>
      <c r="C2517" s="2">
        <v>46234.712754629603</v>
      </c>
      <c r="D2517" s="1" t="s">
        <v>24</v>
      </c>
      <c r="E2517" s="1"/>
      <c r="F2517" s="29">
        <v>46234</v>
      </c>
      <c r="G2517" s="29">
        <v>46234</v>
      </c>
      <c r="H2517" s="1" t="s">
        <v>51</v>
      </c>
      <c r="I2517" s="1" t="s">
        <v>5761</v>
      </c>
      <c r="J2517" s="207" t="s">
        <v>5762</v>
      </c>
      <c r="K2517" s="188" t="s">
        <v>5763</v>
      </c>
      <c r="L2517" s="120">
        <v>23245592</v>
      </c>
      <c r="M2517" s="102">
        <v>5216673560023</v>
      </c>
      <c r="N2517" s="172" t="s">
        <v>130</v>
      </c>
      <c r="O2517" s="91">
        <v>7116.13</v>
      </c>
      <c r="P2517" s="91">
        <v>2118.96</v>
      </c>
      <c r="Q2517" s="42">
        <f>OfficeForms.Table[[#This Row],[ INFORMEDEPAGO ]]*0.3</f>
        <v>2134.8389999999999</v>
      </c>
      <c r="R2517" s="12">
        <f>(IF(O2517&lt;4172.98,0,MIN(O2517*0.3,O2517-4172.98)))-P2517</f>
        <v>15.878999999999905</v>
      </c>
      <c r="S2517" s="78">
        <v>46143</v>
      </c>
      <c r="T2517" s="1"/>
      <c r="V2517" s="1"/>
      <c r="X2517" s="101">
        <v>2</v>
      </c>
    </row>
    <row r="2518" spans="1:24" hidden="1">
      <c r="A2518">
        <v>923</v>
      </c>
      <c r="B2518" s="2">
        <v>46234.712291666699</v>
      </c>
      <c r="C2518" s="2">
        <v>46234.713518518503</v>
      </c>
      <c r="D2518" s="1" t="s">
        <v>24</v>
      </c>
      <c r="E2518" s="1"/>
      <c r="F2518" s="29">
        <v>46234</v>
      </c>
      <c r="G2518" s="29">
        <v>46234</v>
      </c>
      <c r="H2518" s="1" t="s">
        <v>3575</v>
      </c>
      <c r="I2518" s="1" t="s">
        <v>5764</v>
      </c>
      <c r="J2518" s="207">
        <v>1785768332</v>
      </c>
      <c r="K2518" s="188" t="s">
        <v>5765</v>
      </c>
      <c r="L2518" s="62">
        <v>23260996</v>
      </c>
      <c r="M2518" s="102">
        <v>5214402000358</v>
      </c>
      <c r="N2518" s="172" t="s">
        <v>37</v>
      </c>
      <c r="O2518" s="91">
        <v>8173.37</v>
      </c>
      <c r="P2518" s="91">
        <v>2269.2199999999998</v>
      </c>
      <c r="Q2518" s="42">
        <f>OfficeForms.Table[[#This Row],[ INFORMEDEPAGO ]]*0.3</f>
        <v>2452.011</v>
      </c>
      <c r="R2518" s="12">
        <f>(IF(O2518&lt;4172.98,0,MIN(O2518*0.3,O2518-4172.98)))-P2518</f>
        <v>182.79100000000017</v>
      </c>
      <c r="S2518" s="78">
        <v>46388</v>
      </c>
      <c r="T2518" s="1"/>
      <c r="V2518" s="1"/>
      <c r="X2518" s="101">
        <v>2</v>
      </c>
    </row>
    <row r="2519" spans="1:24" hidden="1">
      <c r="A2519">
        <v>924</v>
      </c>
      <c r="B2519" s="2">
        <v>46234.725011574097</v>
      </c>
      <c r="C2519" s="2">
        <v>46234.725370370397</v>
      </c>
      <c r="D2519" s="1" t="s">
        <v>24</v>
      </c>
      <c r="E2519" s="1"/>
      <c r="F2519" s="29">
        <v>46234</v>
      </c>
      <c r="G2519" s="29">
        <v>46234</v>
      </c>
      <c r="H2519" s="1" t="s">
        <v>3007</v>
      </c>
      <c r="I2519" s="1" t="s">
        <v>5766</v>
      </c>
      <c r="J2519" s="207"/>
      <c r="K2519" s="188" t="s">
        <v>5767</v>
      </c>
      <c r="L2519" s="62">
        <v>23265142</v>
      </c>
      <c r="M2519" s="102">
        <v>7206104550</v>
      </c>
      <c r="N2519" s="172" t="s">
        <v>32</v>
      </c>
      <c r="O2519" s="91">
        <v>3911.54</v>
      </c>
      <c r="P2519" s="91"/>
      <c r="Q2519" s="42">
        <f>OfficeForms.Table[[#This Row],[ INFORMEDEPAGO ]]*0.3</f>
        <v>1173.462</v>
      </c>
      <c r="R2519" s="12">
        <f>(IF(O2519&lt;4172.98,0,MIN(O2519*0.3,O2519-4172.98)))-P2519</f>
        <v>0</v>
      </c>
      <c r="S2519" s="78"/>
      <c r="T2519" s="1"/>
      <c r="V2519" s="1"/>
      <c r="X2519" s="101">
        <v>1</v>
      </c>
    </row>
    <row r="2520" spans="1:24" hidden="1">
      <c r="A2520">
        <v>925</v>
      </c>
      <c r="B2520" s="2">
        <v>46234.736840277801</v>
      </c>
      <c r="C2520" s="2">
        <v>46234.737604166701</v>
      </c>
      <c r="D2520" s="1" t="s">
        <v>24</v>
      </c>
      <c r="E2520" s="1"/>
      <c r="F2520" s="29">
        <v>46234</v>
      </c>
      <c r="G2520" s="29">
        <v>46234</v>
      </c>
      <c r="H2520" s="1" t="s">
        <v>3036</v>
      </c>
      <c r="I2520" s="1" t="s">
        <v>5768</v>
      </c>
      <c r="J2520" s="207" t="s">
        <v>5769</v>
      </c>
      <c r="K2520" s="188" t="s">
        <v>5770</v>
      </c>
      <c r="L2520" s="62">
        <v>23265686</v>
      </c>
      <c r="M2520" s="102">
        <v>5216625126772</v>
      </c>
      <c r="N2520" s="172" t="s">
        <v>32</v>
      </c>
      <c r="O2520" s="91">
        <v>3881.65</v>
      </c>
      <c r="P2520" s="91"/>
      <c r="Q2520" s="42">
        <f>OfficeForms.Table[[#This Row],[ INFORMEDEPAGO ]]*0.3</f>
        <v>1164.4949999999999</v>
      </c>
      <c r="R2520" s="12">
        <f>(IF(O2520&lt;4172.98,0,MIN(O2520*0.3,O2520-4172.98)))-P2520</f>
        <v>0</v>
      </c>
      <c r="S2520" s="78"/>
      <c r="T2520" s="1"/>
      <c r="V2520" s="1"/>
      <c r="X2520" s="101">
        <v>1</v>
      </c>
    </row>
    <row r="2521" spans="1:24" hidden="1">
      <c r="A2521">
        <v>926</v>
      </c>
      <c r="B2521" s="2">
        <v>46234.737824074102</v>
      </c>
      <c r="C2521" s="2">
        <v>46234.739108796297</v>
      </c>
      <c r="D2521" s="1" t="s">
        <v>24</v>
      </c>
      <c r="E2521" s="1"/>
      <c r="F2521" s="29">
        <v>46234</v>
      </c>
      <c r="G2521" s="29">
        <v>46234</v>
      </c>
      <c r="H2521" s="1" t="s">
        <v>1629</v>
      </c>
      <c r="I2521" s="1" t="s">
        <v>5771</v>
      </c>
      <c r="J2521" s="207" t="s">
        <v>5772</v>
      </c>
      <c r="K2521" s="188" t="s">
        <v>5773</v>
      </c>
      <c r="L2521" s="62">
        <v>2</v>
      </c>
      <c r="M2521" s="102" t="s">
        <v>5774</v>
      </c>
      <c r="N2521" s="172" t="s">
        <v>32</v>
      </c>
      <c r="O2521" s="91">
        <v>3591.45</v>
      </c>
      <c r="P2521" s="91"/>
      <c r="Q2521" s="42">
        <f>OfficeForms.Table[[#This Row],[ INFORMEDEPAGO ]]*0.3</f>
        <v>1077.4349999999999</v>
      </c>
      <c r="R2521" s="12">
        <f>(IF(O2521&lt;4172.98,0,MIN(O2521*0.3,O2521-4172.98)))-P2521</f>
        <v>0</v>
      </c>
      <c r="S2521" s="78"/>
      <c r="T2521" s="1"/>
      <c r="V2521" s="1"/>
      <c r="X2521" s="101">
        <v>1</v>
      </c>
    </row>
    <row r="2522" spans="1:24" hidden="1">
      <c r="A2522">
        <v>927</v>
      </c>
      <c r="B2522" s="2">
        <v>46234.741909722201</v>
      </c>
      <c r="C2522" s="2">
        <v>46234.743020833303</v>
      </c>
      <c r="D2522" s="1" t="s">
        <v>24</v>
      </c>
      <c r="E2522" s="1"/>
      <c r="F2522" s="29">
        <v>46234</v>
      </c>
      <c r="G2522" s="29">
        <v>46234</v>
      </c>
      <c r="H2522" s="1" t="s">
        <v>110</v>
      </c>
      <c r="I2522" s="1" t="s">
        <v>114</v>
      </c>
      <c r="J2522" s="207">
        <v>62816407696</v>
      </c>
      <c r="K2522" s="188"/>
      <c r="L2522" s="62">
        <v>23211748</v>
      </c>
      <c r="M2522" s="102">
        <v>5212214368786</v>
      </c>
      <c r="N2522" s="172" t="s">
        <v>28</v>
      </c>
      <c r="O2522" s="91">
        <v>7364.65</v>
      </c>
      <c r="P2522" s="91"/>
      <c r="Q2522" s="42">
        <f>OfficeForms.Table[[#This Row],[ INFORMEDEPAGO ]]*0.3</f>
        <v>2209.395</v>
      </c>
      <c r="R2522" s="12">
        <f>(IF(O2522&lt;4172.98,0,MIN(O2522*0.3,O2522-4172.98)))-P2522</f>
        <v>2209.395</v>
      </c>
      <c r="S2522" s="78"/>
      <c r="T2522" s="1"/>
      <c r="V2522" s="1"/>
      <c r="X2522" s="101">
        <v>1</v>
      </c>
    </row>
    <row r="2523" spans="1:24" hidden="1">
      <c r="A2523">
        <v>928</v>
      </c>
      <c r="B2523" s="2">
        <v>46234.742372685199</v>
      </c>
      <c r="C2523" s="2">
        <v>46234.743252314802</v>
      </c>
      <c r="D2523" s="1" t="s">
        <v>24</v>
      </c>
      <c r="E2523" s="1"/>
      <c r="F2523" s="29">
        <v>46234</v>
      </c>
      <c r="G2523" s="29">
        <v>46234</v>
      </c>
      <c r="H2523" s="1" t="s">
        <v>3022</v>
      </c>
      <c r="I2523" s="1" t="s">
        <v>5775</v>
      </c>
      <c r="J2523" s="207"/>
      <c r="K2523" s="188" t="s">
        <v>5776</v>
      </c>
      <c r="L2523" s="62">
        <v>23265430</v>
      </c>
      <c r="M2523" s="102">
        <v>5565214236</v>
      </c>
      <c r="N2523" s="172" t="s">
        <v>32</v>
      </c>
      <c r="O2523" s="91">
        <f>2648.99+848</f>
        <v>3496.99</v>
      </c>
      <c r="P2523" s="91">
        <v>848</v>
      </c>
      <c r="Q2523" s="42">
        <f>OfficeForms.Table[[#This Row],[ INFORMEDEPAGO ]]*0.3</f>
        <v>1049.097</v>
      </c>
      <c r="R2523" s="12">
        <f>(IF(O2523&lt;4172.98,0,MIN(O2523*0.3,O2523-4172.98)))-P2523</f>
        <v>-848</v>
      </c>
      <c r="S2523" s="78"/>
      <c r="T2523" s="1"/>
      <c r="V2523" s="1"/>
      <c r="X2523" s="101">
        <v>1</v>
      </c>
    </row>
    <row r="2524" spans="1:24" hidden="1">
      <c r="A2524">
        <v>929</v>
      </c>
      <c r="B2524" s="2">
        <v>46234.743194444403</v>
      </c>
      <c r="C2524" s="2">
        <v>46234.744317129604</v>
      </c>
      <c r="D2524" s="1" t="s">
        <v>24</v>
      </c>
      <c r="E2524" s="1"/>
      <c r="F2524" s="29">
        <v>46234</v>
      </c>
      <c r="G2524" s="29">
        <v>46227</v>
      </c>
      <c r="H2524" s="1" t="s">
        <v>110</v>
      </c>
      <c r="I2524" s="1" t="s">
        <v>5777</v>
      </c>
      <c r="J2524" s="207">
        <v>14806117322</v>
      </c>
      <c r="K2524" s="188" t="s">
        <v>5778</v>
      </c>
      <c r="L2524" s="62">
        <v>23089048</v>
      </c>
      <c r="M2524" s="102">
        <v>521442557904</v>
      </c>
      <c r="N2524" s="172" t="s">
        <v>98</v>
      </c>
      <c r="O2524" s="91"/>
      <c r="P2524" s="91"/>
      <c r="Q2524" s="42">
        <f>OfficeForms.Table[[#This Row],[ INFORMEDEPAGO ]]*0.3</f>
        <v>0</v>
      </c>
      <c r="R2524" s="12">
        <f>(IF(O2524&lt;4172.98,0,MIN(O2524*0.3,O2524-4172.98)))-P2524</f>
        <v>0</v>
      </c>
      <c r="S2524" s="78"/>
      <c r="T2524" s="1"/>
      <c r="V2524" s="1"/>
      <c r="X2524" s="101">
        <v>0</v>
      </c>
    </row>
    <row r="2525" spans="1:24" hidden="1">
      <c r="A2525">
        <v>930</v>
      </c>
      <c r="B2525" s="2">
        <v>46234.742013888899</v>
      </c>
      <c r="C2525" s="2">
        <v>46234.7444328704</v>
      </c>
      <c r="D2525" s="1" t="s">
        <v>24</v>
      </c>
      <c r="E2525" s="1"/>
      <c r="F2525" s="29">
        <v>46234</v>
      </c>
      <c r="G2525" s="29">
        <v>46233</v>
      </c>
      <c r="H2525" s="1" t="s">
        <v>160</v>
      </c>
      <c r="I2525" s="1" t="s">
        <v>5779</v>
      </c>
      <c r="J2525" s="207"/>
      <c r="K2525" s="188" t="s">
        <v>5780</v>
      </c>
      <c r="L2525" s="62">
        <v>23244702</v>
      </c>
      <c r="M2525" s="102">
        <v>5214341149627</v>
      </c>
      <c r="N2525" s="172" t="s">
        <v>98</v>
      </c>
      <c r="O2525" s="91"/>
      <c r="P2525" s="91"/>
      <c r="Q2525" s="42">
        <f>OfficeForms.Table[[#This Row],[ INFORMEDEPAGO ]]*0.3</f>
        <v>0</v>
      </c>
      <c r="R2525" s="12">
        <f>(IF(O2525&lt;4172.98,0,MIN(O2525*0.3,O2525-4172.98)))-P2525</f>
        <v>0</v>
      </c>
      <c r="S2525" s="78"/>
      <c r="T2525" s="1"/>
      <c r="V2525" s="1"/>
      <c r="X2525" s="101">
        <v>0</v>
      </c>
    </row>
    <row r="2526" spans="1:24" hidden="1">
      <c r="A2526">
        <v>931</v>
      </c>
      <c r="B2526" s="2">
        <v>46234.615011574097</v>
      </c>
      <c r="C2526" s="2">
        <v>46234.751608796301</v>
      </c>
      <c r="D2526" s="1" t="s">
        <v>24</v>
      </c>
      <c r="E2526" s="1"/>
      <c r="F2526" s="29">
        <v>46234</v>
      </c>
      <c r="G2526" s="29">
        <v>46234</v>
      </c>
      <c r="H2526" s="1" t="s">
        <v>71</v>
      </c>
      <c r="I2526" s="1" t="s">
        <v>5781</v>
      </c>
      <c r="J2526" s="207"/>
      <c r="K2526" s="188" t="s">
        <v>5782</v>
      </c>
      <c r="L2526" s="62">
        <v>23265854</v>
      </c>
      <c r="M2526" s="102">
        <v>5216647667253</v>
      </c>
      <c r="N2526" s="172" t="s">
        <v>32</v>
      </c>
      <c r="O2526" s="91">
        <v>3879.3</v>
      </c>
      <c r="P2526" s="91"/>
      <c r="Q2526" s="42">
        <f>OfficeForms.Table[[#This Row],[ INFORMEDEPAGO ]]*0.3</f>
        <v>1163.79</v>
      </c>
      <c r="R2526" s="12">
        <f>(IF(O2526&lt;4172.98,0,MIN(O2526*0.3,O2526-4172.98)))-P2526</f>
        <v>0</v>
      </c>
      <c r="S2526" s="78"/>
      <c r="T2526" s="1"/>
      <c r="V2526" s="1"/>
      <c r="X2526" s="101">
        <v>1</v>
      </c>
    </row>
    <row r="2527" spans="1:24" hidden="1">
      <c r="A2527">
        <v>932</v>
      </c>
      <c r="B2527" s="2">
        <v>46234.751342592601</v>
      </c>
      <c r="C2527" s="2">
        <v>46234.751990740697</v>
      </c>
      <c r="D2527" s="1" t="s">
        <v>24</v>
      </c>
      <c r="E2527" s="1"/>
      <c r="F2527" s="29">
        <v>46234</v>
      </c>
      <c r="G2527" s="29">
        <v>46234</v>
      </c>
      <c r="H2527" s="1" t="s">
        <v>3036</v>
      </c>
      <c r="I2527" s="1" t="s">
        <v>5783</v>
      </c>
      <c r="J2527" s="207" t="s">
        <v>5784</v>
      </c>
      <c r="K2527" s="188"/>
      <c r="L2527" s="62">
        <v>23265242</v>
      </c>
      <c r="M2527" s="102">
        <v>5214792553450</v>
      </c>
      <c r="N2527" s="172" t="s">
        <v>28</v>
      </c>
      <c r="O2527" s="91">
        <v>9760.32</v>
      </c>
      <c r="P2527" s="91"/>
      <c r="Q2527" s="42">
        <f>OfficeForms.Table[[#This Row],[ INFORMEDEPAGO ]]*0.3</f>
        <v>2928.096</v>
      </c>
      <c r="R2527" s="12">
        <f>(IF(O2527&lt;4172.98,0,MIN(O2527*0.3,O2527-4172.98)))-P2527</f>
        <v>2928.096</v>
      </c>
      <c r="S2527" s="78"/>
      <c r="T2527" s="1"/>
      <c r="V2527" s="1"/>
      <c r="X2527" s="101">
        <v>1</v>
      </c>
    </row>
    <row r="2528" spans="1:24" hidden="1">
      <c r="A2528">
        <v>933</v>
      </c>
      <c r="B2528" s="2">
        <v>46234.776805555601</v>
      </c>
      <c r="C2528" s="2">
        <v>46234.777372685203</v>
      </c>
      <c r="D2528" s="1" t="s">
        <v>24</v>
      </c>
      <c r="E2528" s="1"/>
      <c r="F2528" s="29">
        <v>46234</v>
      </c>
      <c r="G2528" s="29">
        <v>46234</v>
      </c>
      <c r="H2528" s="1" t="s">
        <v>3007</v>
      </c>
      <c r="I2528" s="1" t="s">
        <v>5785</v>
      </c>
      <c r="J2528" s="207">
        <v>71846207364</v>
      </c>
      <c r="K2528" s="188" t="s">
        <v>5786</v>
      </c>
      <c r="L2528" s="62">
        <v>23266346</v>
      </c>
      <c r="M2528" s="102">
        <v>5584547219</v>
      </c>
      <c r="N2528" s="172" t="s">
        <v>37</v>
      </c>
      <c r="O2528" s="91">
        <v>7116.13</v>
      </c>
      <c r="P2528" s="91">
        <v>2059.0100000000002</v>
      </c>
      <c r="Q2528" s="42">
        <f>OfficeForms.Table[[#This Row],[ INFORMEDEPAGO ]]*0.3</f>
        <v>2134.8389999999999</v>
      </c>
      <c r="R2528" s="12">
        <f>(IF(O2528&lt;4172.98,0,MIN(O2528*0.3,O2528-4172.98)))-P2528</f>
        <v>75.828999999999724</v>
      </c>
      <c r="S2528" s="78">
        <v>46357</v>
      </c>
      <c r="T2528" s="1"/>
      <c r="V2528" s="1"/>
      <c r="X2528" s="101">
        <v>2</v>
      </c>
    </row>
    <row r="2529" spans="1:24" hidden="1">
      <c r="A2529">
        <v>934</v>
      </c>
      <c r="B2529" s="2">
        <v>46234.781215277799</v>
      </c>
      <c r="C2529" s="2">
        <v>46234.782581018502</v>
      </c>
      <c r="D2529" s="1" t="s">
        <v>24</v>
      </c>
      <c r="E2529" s="1"/>
      <c r="F2529" s="29">
        <v>46234</v>
      </c>
      <c r="G2529" s="29">
        <v>46234</v>
      </c>
      <c r="H2529" s="1" t="s">
        <v>110</v>
      </c>
      <c r="I2529" s="1" t="s">
        <v>5787</v>
      </c>
      <c r="J2529" s="207">
        <v>23977918962</v>
      </c>
      <c r="K2529" s="188" t="s">
        <v>5788</v>
      </c>
      <c r="L2529" s="62">
        <v>23265592</v>
      </c>
      <c r="M2529" s="102">
        <v>5216871291970</v>
      </c>
      <c r="N2529" s="172" t="s">
        <v>32</v>
      </c>
      <c r="O2529" s="91">
        <v>3488.31</v>
      </c>
      <c r="P2529" s="91"/>
      <c r="Q2529" s="42">
        <f>OfficeForms.Table[[#This Row],[ INFORMEDEPAGO ]]*0.3</f>
        <v>1046.4929999999999</v>
      </c>
      <c r="R2529" s="12">
        <f>(IF(O2529&lt;4172.98,0,MIN(O2529*0.3,O2529-4172.98)))-P2529</f>
        <v>0</v>
      </c>
      <c r="S2529" s="78"/>
      <c r="T2529" s="1"/>
      <c r="V2529" s="1"/>
      <c r="X2529" s="101">
        <v>1</v>
      </c>
    </row>
    <row r="2530" spans="1:24" hidden="1">
      <c r="A2530">
        <v>935</v>
      </c>
      <c r="B2530" s="2">
        <v>46234.782581018502</v>
      </c>
      <c r="C2530" s="2">
        <v>46234.7831365741</v>
      </c>
      <c r="D2530" s="1" t="s">
        <v>24</v>
      </c>
      <c r="E2530" s="1"/>
      <c r="F2530" s="29">
        <v>46234</v>
      </c>
      <c r="G2530" s="29">
        <v>46234</v>
      </c>
      <c r="H2530" s="1" t="s">
        <v>71</v>
      </c>
      <c r="I2530" s="1" t="s">
        <v>5789</v>
      </c>
      <c r="J2530" s="207">
        <v>37886802448</v>
      </c>
      <c r="K2530" s="188"/>
      <c r="L2530" s="62">
        <v>23266584</v>
      </c>
      <c r="M2530" s="102">
        <v>5215535521383</v>
      </c>
      <c r="N2530" s="172" t="s">
        <v>37</v>
      </c>
      <c r="O2530" s="91">
        <v>21357.82</v>
      </c>
      <c r="P2530" s="91">
        <v>6407.19</v>
      </c>
      <c r="Q2530" s="42">
        <f>OfficeForms.Table[[#This Row],[ INFORMEDEPAGO ]]*0.3</f>
        <v>6407.3459999999995</v>
      </c>
      <c r="R2530" s="12">
        <f>(IF(O2530&lt;4172.98,0,MIN(O2530*0.3,O2530-4172.98)))-P2530</f>
        <v>0.15599999999994907</v>
      </c>
      <c r="S2530" s="78">
        <v>46447</v>
      </c>
      <c r="T2530" s="1"/>
      <c r="V2530" s="1"/>
      <c r="X2530" s="101">
        <v>2</v>
      </c>
    </row>
    <row r="2531" spans="1:24" hidden="1">
      <c r="A2531">
        <v>936</v>
      </c>
      <c r="B2531" s="2">
        <v>46234.780601851897</v>
      </c>
      <c r="C2531" s="2">
        <v>46234.783981481502</v>
      </c>
      <c r="D2531" s="1" t="s">
        <v>24</v>
      </c>
      <c r="E2531" s="1"/>
      <c r="F2531" s="29">
        <v>46234</v>
      </c>
      <c r="G2531" s="29">
        <v>46234</v>
      </c>
      <c r="H2531" s="1" t="s">
        <v>3022</v>
      </c>
      <c r="I2531" s="1" t="s">
        <v>5790</v>
      </c>
      <c r="J2531" s="207"/>
      <c r="K2531" s="188" t="s">
        <v>5791</v>
      </c>
      <c r="L2531" s="62">
        <v>23265906</v>
      </c>
      <c r="M2531" s="102">
        <v>6143819761</v>
      </c>
      <c r="N2531" s="172" t="s">
        <v>37</v>
      </c>
      <c r="O2531" s="91">
        <v>7640.52</v>
      </c>
      <c r="P2531" s="91">
        <v>2288.4899999999998</v>
      </c>
      <c r="Q2531" s="42">
        <f>OfficeForms.Table[[#This Row],[ INFORMEDEPAGO ]]*0.3</f>
        <v>2292.1559999999999</v>
      </c>
      <c r="R2531" s="12">
        <f>(IF(O2531&lt;4172.98,0,MIN(O2531*0.3,O2531-4172.98)))-P2531</f>
        <v>3.6660000000001673</v>
      </c>
      <c r="S2531" s="78">
        <v>46600</v>
      </c>
      <c r="T2531" s="1"/>
      <c r="V2531" s="1"/>
      <c r="X2531" s="101">
        <v>2</v>
      </c>
    </row>
    <row r="2532" spans="1:24" hidden="1">
      <c r="A2532">
        <v>937</v>
      </c>
      <c r="B2532" s="2">
        <v>46234.797384259298</v>
      </c>
      <c r="C2532" s="2">
        <v>46234.798159722202</v>
      </c>
      <c r="D2532" s="1" t="s">
        <v>24</v>
      </c>
      <c r="E2532" s="1"/>
      <c r="F2532" s="29">
        <v>46234</v>
      </c>
      <c r="G2532" s="29">
        <v>46234</v>
      </c>
      <c r="H2532" s="1" t="s">
        <v>107</v>
      </c>
      <c r="I2532" s="1" t="s">
        <v>5792</v>
      </c>
      <c r="J2532" s="207">
        <v>16705013395</v>
      </c>
      <c r="K2532" s="188" t="s">
        <v>5793</v>
      </c>
      <c r="L2532" s="62">
        <v>23260568</v>
      </c>
      <c r="M2532" s="102">
        <v>7291604504</v>
      </c>
      <c r="N2532" s="172" t="s">
        <v>28</v>
      </c>
      <c r="O2532" s="91">
        <v>13873.76</v>
      </c>
      <c r="P2532" s="91"/>
      <c r="Q2532" s="42">
        <f>OfficeForms.Table[[#This Row],[ INFORMEDEPAGO ]]*0.3</f>
        <v>4162.1279999999997</v>
      </c>
      <c r="R2532" s="12">
        <f>(IF(O2532&lt;4172.98,0,MIN(O2532*0.3,O2532-4172.98)))-P2532</f>
        <v>4162.1279999999997</v>
      </c>
      <c r="S2532" s="78"/>
      <c r="T2532" s="1"/>
      <c r="V2532" s="1"/>
      <c r="X2532" s="101">
        <v>1</v>
      </c>
    </row>
    <row r="2533" spans="1:24" hidden="1">
      <c r="A2533">
        <v>938</v>
      </c>
      <c r="B2533" s="2">
        <v>46235.349097222199</v>
      </c>
      <c r="C2533" s="2">
        <v>46235.352141203701</v>
      </c>
      <c r="D2533" s="1" t="s">
        <v>24</v>
      </c>
      <c r="E2533" s="1"/>
      <c r="F2533" s="29">
        <v>46235</v>
      </c>
      <c r="G2533" s="29">
        <v>46234</v>
      </c>
      <c r="H2533" s="1" t="s">
        <v>3036</v>
      </c>
      <c r="I2533" s="1" t="s">
        <v>5794</v>
      </c>
      <c r="J2533" s="207">
        <v>49836437282</v>
      </c>
      <c r="K2533" s="188" t="s">
        <v>5795</v>
      </c>
      <c r="L2533" s="62">
        <v>23264324</v>
      </c>
      <c r="M2533" s="102">
        <v>5218334367663</v>
      </c>
      <c r="N2533" s="172" t="s">
        <v>37</v>
      </c>
      <c r="O2533" s="91">
        <v>10636.54</v>
      </c>
      <c r="P2533" s="91">
        <v>3189.94</v>
      </c>
      <c r="Q2533" s="42">
        <f>OfficeForms.Table[[#This Row],[ INFORMEDEPAGO ]]*0.3</f>
        <v>3190.962</v>
      </c>
      <c r="R2533" s="12">
        <f>(IF(O2533&lt;4172.98,0,MIN(O2533*0.3,O2533-4172.98)))-P2533</f>
        <v>1.0219999999999345</v>
      </c>
      <c r="S2533" s="78">
        <v>46935</v>
      </c>
      <c r="T2533" s="1"/>
      <c r="V2533" s="1"/>
      <c r="X2533" s="101">
        <v>2</v>
      </c>
    </row>
    <row r="2534" spans="1:24" hidden="1">
      <c r="A2534">
        <v>939</v>
      </c>
      <c r="B2534" s="2">
        <v>46235.324027777802</v>
      </c>
      <c r="C2534" s="2">
        <v>46235.3918865741</v>
      </c>
      <c r="D2534" s="1" t="s">
        <v>24</v>
      </c>
      <c r="E2534" s="1"/>
      <c r="F2534" s="29">
        <v>46235</v>
      </c>
      <c r="G2534" s="29">
        <v>46235</v>
      </c>
      <c r="H2534" s="1" t="s">
        <v>1625</v>
      </c>
      <c r="I2534" s="1" t="s">
        <v>5796</v>
      </c>
      <c r="J2534" s="207" t="s">
        <v>5797</v>
      </c>
      <c r="K2534" s="188" t="s">
        <v>5798</v>
      </c>
      <c r="L2534" s="62">
        <v>2</v>
      </c>
      <c r="M2534" s="102">
        <v>8120809957</v>
      </c>
      <c r="N2534" s="172" t="s">
        <v>37</v>
      </c>
      <c r="O2534" s="91">
        <v>30821.43</v>
      </c>
      <c r="P2534" s="91">
        <v>9241.84</v>
      </c>
      <c r="Q2534" s="42">
        <f>OfficeForms.Table[[#This Row],[ INFORMEDEPAGO ]]*0.3</f>
        <v>9246.4290000000001</v>
      </c>
      <c r="R2534" s="12">
        <f>(IF(O2534&lt;4172.98,0,MIN(O2534*0.3,O2534-4172.98)))-P2534</f>
        <v>4.5889999999999418</v>
      </c>
      <c r="S2534" s="78">
        <v>46447</v>
      </c>
      <c r="T2534" s="1"/>
      <c r="V2534" s="1"/>
      <c r="X2534" s="101">
        <v>2</v>
      </c>
    </row>
    <row r="2535" spans="1:24" hidden="1">
      <c r="A2535">
        <v>940</v>
      </c>
      <c r="B2535" s="2">
        <v>46235.409629629597</v>
      </c>
      <c r="C2535" s="2">
        <v>46235.410254629598</v>
      </c>
      <c r="D2535" s="1" t="s">
        <v>24</v>
      </c>
      <c r="E2535" s="1"/>
      <c r="F2535" s="29">
        <v>46235</v>
      </c>
      <c r="G2535" s="29">
        <v>46234</v>
      </c>
      <c r="H2535" s="1" t="s">
        <v>269</v>
      </c>
      <c r="I2535" s="1" t="s">
        <v>5799</v>
      </c>
      <c r="J2535" s="175" t="s">
        <v>5800</v>
      </c>
      <c r="K2535" s="188" t="s">
        <v>5801</v>
      </c>
      <c r="L2535" s="62">
        <v>23267404</v>
      </c>
      <c r="M2535" s="102">
        <v>5218116874445</v>
      </c>
      <c r="N2535" s="172" t="s">
        <v>47</v>
      </c>
      <c r="O2535" s="91">
        <v>56051.25</v>
      </c>
      <c r="P2535" s="91">
        <v>15950.15</v>
      </c>
      <c r="Q2535" s="42">
        <f>OfficeForms.Table[[#This Row],[ INFORMEDEPAGO ]]*0.3</f>
        <v>16815.375</v>
      </c>
      <c r="R2535" s="12">
        <f>(IF(O2535&lt;4172.98,0,MIN(O2535*0.3,O2535-4172.98)))-P2535</f>
        <v>865.22500000000036</v>
      </c>
      <c r="S2535" s="78">
        <v>46508</v>
      </c>
      <c r="T2535" s="1"/>
      <c r="V2535" s="1"/>
      <c r="X2535" s="101">
        <v>2</v>
      </c>
    </row>
    <row r="2536" spans="1:24" hidden="1">
      <c r="A2536">
        <v>941</v>
      </c>
      <c r="B2536" s="2">
        <v>46235.410671296297</v>
      </c>
      <c r="C2536" s="2">
        <v>46235.411342592597</v>
      </c>
      <c r="D2536" s="1" t="s">
        <v>24</v>
      </c>
      <c r="E2536" s="1"/>
      <c r="F2536" s="29">
        <v>46235</v>
      </c>
      <c r="G2536" s="29">
        <v>46234</v>
      </c>
      <c r="H2536" s="1" t="s">
        <v>3036</v>
      </c>
      <c r="I2536" s="1" t="s">
        <v>5802</v>
      </c>
      <c r="J2536" s="207"/>
      <c r="K2536" s="188" t="s">
        <v>5803</v>
      </c>
      <c r="L2536" s="62">
        <v>23266710</v>
      </c>
      <c r="M2536" s="102">
        <v>5216421413044</v>
      </c>
      <c r="N2536" s="172" t="s">
        <v>32</v>
      </c>
      <c r="O2536" s="91">
        <f>3351.87+848</f>
        <v>4199.87</v>
      </c>
      <c r="P2536" s="91">
        <v>848</v>
      </c>
      <c r="Q2536" s="42">
        <f>OfficeForms.Table[[#This Row],[ INFORMEDEPAGO ]]*0.3</f>
        <v>1259.961</v>
      </c>
      <c r="R2536" s="12">
        <f>(IF(O2536&lt;4172.98,0,MIN(O2536*0.3,O2536-4172.98)))-P2536</f>
        <v>-821.10999999999967</v>
      </c>
      <c r="S2536" s="78"/>
      <c r="T2536" s="1"/>
      <c r="V2536" s="1"/>
      <c r="X2536" s="101">
        <v>1</v>
      </c>
    </row>
    <row r="2537" spans="1:24" hidden="1">
      <c r="A2537">
        <v>942</v>
      </c>
      <c r="B2537" s="2">
        <v>46235.412476851903</v>
      </c>
      <c r="C2537" s="2">
        <v>46235.413032407399</v>
      </c>
      <c r="D2537" s="1" t="s">
        <v>24</v>
      </c>
      <c r="E2537" s="1"/>
      <c r="F2537" s="29">
        <v>46235</v>
      </c>
      <c r="G2537" s="29">
        <v>46235</v>
      </c>
      <c r="H2537" s="1" t="s">
        <v>269</v>
      </c>
      <c r="I2537" s="1" t="s">
        <v>5804</v>
      </c>
      <c r="J2537" s="175" t="s">
        <v>5805</v>
      </c>
      <c r="K2537" s="188" t="s">
        <v>5806</v>
      </c>
      <c r="L2537" s="62">
        <v>23271946</v>
      </c>
      <c r="M2537" s="102">
        <v>5212482278039</v>
      </c>
      <c r="N2537" s="172" t="s">
        <v>130</v>
      </c>
      <c r="O2537" s="91">
        <v>9081.52</v>
      </c>
      <c r="P2537" s="91">
        <v>2627.32</v>
      </c>
      <c r="Q2537" s="42">
        <f>OfficeForms.Table[[#This Row],[ INFORMEDEPAGO ]]*0.3</f>
        <v>2724.4560000000001</v>
      </c>
      <c r="R2537" s="12">
        <f>(IF(O2537&lt;4172.98,0,MIN(O2537*0.3,O2537-4172.98)))-P2537</f>
        <v>97.135999999999967</v>
      </c>
      <c r="S2537" s="78">
        <v>46235</v>
      </c>
      <c r="T2537" s="1"/>
      <c r="V2537" s="1"/>
      <c r="X2537" s="101">
        <v>2</v>
      </c>
    </row>
    <row r="2538" spans="1:24" hidden="1">
      <c r="A2538">
        <v>943</v>
      </c>
      <c r="B2538" s="2">
        <v>46235.383136574099</v>
      </c>
      <c r="C2538" s="2">
        <v>46235.425104166701</v>
      </c>
      <c r="D2538" s="1" t="s">
        <v>24</v>
      </c>
      <c r="E2538" s="1"/>
      <c r="F2538" s="29">
        <v>46235</v>
      </c>
      <c r="G2538" s="29">
        <v>46234</v>
      </c>
      <c r="H2538" s="1" t="s">
        <v>81</v>
      </c>
      <c r="I2538" s="1" t="s">
        <v>5807</v>
      </c>
      <c r="J2538" s="175"/>
      <c r="K2538" s="188" t="s">
        <v>5808</v>
      </c>
      <c r="L2538" s="62">
        <v>23267246</v>
      </c>
      <c r="M2538" s="102">
        <v>5215543247497</v>
      </c>
      <c r="N2538" s="172" t="s">
        <v>37</v>
      </c>
      <c r="O2538" s="91">
        <v>46101.69</v>
      </c>
      <c r="P2538" s="91">
        <v>13802.93</v>
      </c>
      <c r="Q2538" s="42">
        <f>OfficeForms.Table[[#This Row],[ INFORMEDEPAGO ]]*0.3</f>
        <v>13830.507</v>
      </c>
      <c r="R2538" s="12">
        <f>(IF(O2538&lt;4172.98,0,MIN(O2538*0.3,O2538-4172.98)))-P2538</f>
        <v>27.576999999999316</v>
      </c>
      <c r="S2538" s="78">
        <v>46508</v>
      </c>
      <c r="T2538" s="1"/>
      <c r="V2538" s="1"/>
      <c r="X2538" s="101">
        <v>2</v>
      </c>
    </row>
    <row r="2539" spans="1:24" hidden="1">
      <c r="A2539">
        <v>944</v>
      </c>
      <c r="B2539" s="2">
        <v>46234.712766203702</v>
      </c>
      <c r="C2539" s="2">
        <v>46235.425162036998</v>
      </c>
      <c r="D2539" s="1" t="s">
        <v>24</v>
      </c>
      <c r="E2539" s="1"/>
      <c r="F2539" s="29">
        <v>46235</v>
      </c>
      <c r="G2539" s="29">
        <v>46233</v>
      </c>
      <c r="H2539" s="1" t="s">
        <v>51</v>
      </c>
      <c r="I2539" s="1" t="s">
        <v>5809</v>
      </c>
      <c r="J2539" s="175">
        <v>5179631130</v>
      </c>
      <c r="K2539" s="188" t="s">
        <v>5810</v>
      </c>
      <c r="L2539" s="62">
        <v>23269194</v>
      </c>
      <c r="M2539" s="102">
        <v>5214495410644</v>
      </c>
      <c r="N2539" s="172" t="s">
        <v>28</v>
      </c>
      <c r="O2539" s="91">
        <f>7041.51+879</f>
        <v>7920.51</v>
      </c>
      <c r="P2539" s="91">
        <v>879</v>
      </c>
      <c r="Q2539" s="42">
        <f>OfficeForms.Table[[#This Row],[ INFORMEDEPAGO ]]*0.3</f>
        <v>2376.1529999999998</v>
      </c>
      <c r="R2539" s="12">
        <f>(IF(O2539&lt;4172.98,0,MIN(O2539*0.3,O2539-4172.98)))-P2539</f>
        <v>1497.1529999999998</v>
      </c>
      <c r="S2539" s="78"/>
      <c r="T2539" s="1"/>
      <c r="V2539" s="1"/>
      <c r="X2539" s="101">
        <v>1</v>
      </c>
    </row>
    <row r="2540" spans="1:24" hidden="1">
      <c r="A2540">
        <v>945</v>
      </c>
      <c r="B2540" s="2">
        <v>46235.425173611096</v>
      </c>
      <c r="C2540" s="2">
        <v>46235.435532407399</v>
      </c>
      <c r="D2540" s="1" t="s">
        <v>24</v>
      </c>
      <c r="E2540" s="1"/>
      <c r="F2540" s="29">
        <v>46235</v>
      </c>
      <c r="G2540" s="29">
        <v>46235</v>
      </c>
      <c r="H2540" s="1" t="s">
        <v>51</v>
      </c>
      <c r="I2540" s="1" t="s">
        <v>5811</v>
      </c>
      <c r="J2540" s="175">
        <v>49906408064</v>
      </c>
      <c r="K2540" s="188" t="s">
        <v>5812</v>
      </c>
      <c r="L2540" s="62">
        <v>23273158</v>
      </c>
      <c r="M2540" s="102">
        <v>5218991262344</v>
      </c>
      <c r="N2540" s="172" t="s">
        <v>37</v>
      </c>
      <c r="O2540" s="91">
        <v>18684.990000000002</v>
      </c>
      <c r="P2540" s="91">
        <v>5392.55</v>
      </c>
      <c r="Q2540" s="42">
        <f>OfficeForms.Table[[#This Row],[ INFORMEDEPAGO ]]*0.3</f>
        <v>5605.4970000000003</v>
      </c>
      <c r="R2540" s="12">
        <f>(IF(O2540&lt;4172.98,0,MIN(O2540*0.3,O2540-4172.98)))-P2540</f>
        <v>212.94700000000012</v>
      </c>
      <c r="S2540" s="78">
        <v>46388</v>
      </c>
      <c r="T2540" s="1" t="s">
        <v>84</v>
      </c>
      <c r="V2540" s="1"/>
      <c r="X2540" s="101">
        <v>2</v>
      </c>
    </row>
    <row r="2541" spans="1:24" hidden="1">
      <c r="A2541">
        <v>946</v>
      </c>
      <c r="B2541" s="2">
        <v>46235.441018518497</v>
      </c>
      <c r="C2541" s="2">
        <v>46235.443819444401</v>
      </c>
      <c r="D2541" s="1" t="s">
        <v>24</v>
      </c>
      <c r="E2541" s="1"/>
      <c r="F2541" s="29">
        <v>46235</v>
      </c>
      <c r="G2541" s="29">
        <v>46234</v>
      </c>
      <c r="H2541" s="1" t="s">
        <v>110</v>
      </c>
      <c r="I2541" s="1" t="s">
        <v>5813</v>
      </c>
      <c r="J2541" s="175">
        <v>54765801433</v>
      </c>
      <c r="K2541" s="188" t="s">
        <v>5814</v>
      </c>
      <c r="L2541" s="62">
        <v>23266582</v>
      </c>
      <c r="M2541" s="102">
        <v>5213333804410</v>
      </c>
      <c r="N2541" s="172" t="s">
        <v>106</v>
      </c>
      <c r="O2541" s="91">
        <v>5891.74</v>
      </c>
      <c r="P2541" s="91">
        <v>1519.79</v>
      </c>
      <c r="Q2541" s="42">
        <f>OfficeForms.Table[[#This Row],[ INFORMEDEPAGO ]]*0.3</f>
        <v>1767.5219999999999</v>
      </c>
      <c r="R2541" s="12">
        <f>(IF(O2541&lt;4172.98,0,MIN(O2541*0.3,O2541-4172.98)))-P2541</f>
        <v>198.97000000000025</v>
      </c>
      <c r="S2541" s="78">
        <v>45992</v>
      </c>
      <c r="T2541" s="1"/>
      <c r="V2541" s="1"/>
      <c r="X2541" s="101">
        <v>2</v>
      </c>
    </row>
    <row r="2542" spans="1:24" hidden="1">
      <c r="A2542">
        <v>947</v>
      </c>
      <c r="B2542" s="2">
        <v>46235.441574074102</v>
      </c>
      <c r="C2542" s="2">
        <v>46235.444826388899</v>
      </c>
      <c r="D2542" s="1" t="s">
        <v>24</v>
      </c>
      <c r="E2542" s="1"/>
      <c r="F2542" s="29">
        <v>46235</v>
      </c>
      <c r="G2542" s="29">
        <v>46234</v>
      </c>
      <c r="H2542" s="1" t="s">
        <v>160</v>
      </c>
      <c r="I2542" s="1" t="s">
        <v>5815</v>
      </c>
      <c r="J2542" s="175">
        <v>45906007476</v>
      </c>
      <c r="K2542" s="188" t="s">
        <v>5816</v>
      </c>
      <c r="L2542" s="62">
        <v>23267032</v>
      </c>
      <c r="M2542" s="102">
        <v>5215525306486</v>
      </c>
      <c r="N2542" s="172" t="s">
        <v>37</v>
      </c>
      <c r="O2542" s="91">
        <v>9281.52</v>
      </c>
      <c r="P2542" s="91">
        <v>2827.5</v>
      </c>
      <c r="Q2542" s="42">
        <f>OfficeForms.Table[[#This Row],[ INFORMEDEPAGO ]]*0.3</f>
        <v>2784.4560000000001</v>
      </c>
      <c r="R2542" s="12">
        <f>(IF(O2542&lt;4172.98,0,MIN(O2542*0.3,O2542-4172.98)))-P2542</f>
        <v>-43.043999999999869</v>
      </c>
      <c r="S2542" s="78">
        <v>46784</v>
      </c>
      <c r="T2542" s="1"/>
      <c r="V2542" s="1"/>
      <c r="X2542" s="101">
        <v>2</v>
      </c>
    </row>
    <row r="2543" spans="1:24" hidden="1">
      <c r="A2543">
        <v>948</v>
      </c>
      <c r="B2543" s="2">
        <v>46235.435555555603</v>
      </c>
      <c r="C2543" s="2">
        <v>46235.446562500001</v>
      </c>
      <c r="D2543" s="1" t="s">
        <v>24</v>
      </c>
      <c r="E2543" s="1"/>
      <c r="F2543" s="29">
        <v>46235</v>
      </c>
      <c r="G2543" s="29">
        <v>46234</v>
      </c>
      <c r="H2543" s="1" t="s">
        <v>51</v>
      </c>
      <c r="I2543" s="1" t="s">
        <v>5817</v>
      </c>
      <c r="J2543" s="175">
        <v>17806319277</v>
      </c>
      <c r="K2543" s="188" t="s">
        <v>5818</v>
      </c>
      <c r="L2543" s="62">
        <v>23271836</v>
      </c>
      <c r="M2543" s="102">
        <v>5215531818976</v>
      </c>
      <c r="N2543" s="172" t="s">
        <v>37</v>
      </c>
      <c r="O2543" s="91">
        <v>7920.51</v>
      </c>
      <c r="P2543" s="91">
        <v>2376.13</v>
      </c>
      <c r="Q2543" s="42">
        <f>OfficeForms.Table[[#This Row],[ INFORMEDEPAGO ]]*0.3</f>
        <v>2376.1529999999998</v>
      </c>
      <c r="R2543" s="12">
        <f>(IF(O2543&lt;4172.98,0,MIN(O2543*0.3,O2543-4172.98)))-P2543</f>
        <v>2.2999999999683496E-2</v>
      </c>
      <c r="S2543" s="78">
        <v>46784</v>
      </c>
      <c r="T2543" s="1"/>
      <c r="V2543" s="1"/>
      <c r="X2543" s="101">
        <v>2</v>
      </c>
    </row>
    <row r="2544" spans="1:24" hidden="1">
      <c r="A2544">
        <v>949</v>
      </c>
      <c r="B2544" s="2">
        <v>46235.446203703701</v>
      </c>
      <c r="C2544" s="2">
        <v>46235.452916666698</v>
      </c>
      <c r="D2544" s="1" t="s">
        <v>24</v>
      </c>
      <c r="E2544" s="1"/>
      <c r="F2544" s="29">
        <v>46235</v>
      </c>
      <c r="G2544" s="29">
        <v>46234</v>
      </c>
      <c r="H2544" s="1" t="s">
        <v>160</v>
      </c>
      <c r="I2544" s="1" t="s">
        <v>5819</v>
      </c>
      <c r="J2544" s="175" t="s">
        <v>5820</v>
      </c>
      <c r="K2544" s="188" t="s">
        <v>5821</v>
      </c>
      <c r="L2544" s="62">
        <v>23268538</v>
      </c>
      <c r="M2544" s="102">
        <v>5218131259231</v>
      </c>
      <c r="N2544" s="172" t="s">
        <v>37</v>
      </c>
      <c r="O2544" s="91">
        <v>7116.73</v>
      </c>
      <c r="P2544" s="91">
        <v>1975.62</v>
      </c>
      <c r="Q2544" s="42">
        <f>OfficeForms.Table[[#This Row],[ INFORMEDEPAGO ]]*0.3</f>
        <v>2135.0189999999998</v>
      </c>
      <c r="R2544" s="12">
        <f>(IF(O2544&lt;4172.98,0,MIN(O2544*0.3,O2544-4172.98)))-P2544</f>
        <v>159.39899999999989</v>
      </c>
      <c r="S2544" s="78">
        <v>46266</v>
      </c>
      <c r="T2544" s="1"/>
      <c r="V2544" s="1"/>
      <c r="X2544" s="101">
        <v>2</v>
      </c>
    </row>
    <row r="2545" spans="1:24" hidden="1">
      <c r="A2545">
        <v>950</v>
      </c>
      <c r="B2545" s="2">
        <v>46235.345150462999</v>
      </c>
      <c r="C2545" s="2">
        <v>46235.457627314798</v>
      </c>
      <c r="D2545" s="1" t="s">
        <v>24</v>
      </c>
      <c r="E2545" s="1"/>
      <c r="F2545" s="29">
        <v>46235</v>
      </c>
      <c r="G2545" s="29">
        <v>46235</v>
      </c>
      <c r="H2545" s="1" t="s">
        <v>1629</v>
      </c>
      <c r="I2545" s="1" t="s">
        <v>5822</v>
      </c>
      <c r="J2545" s="175">
        <v>43826476640</v>
      </c>
      <c r="K2545" s="188" t="s">
        <v>5823</v>
      </c>
      <c r="L2545" s="62">
        <v>2</v>
      </c>
      <c r="M2545" s="102" t="s">
        <v>5824</v>
      </c>
      <c r="N2545" s="172" t="s">
        <v>37</v>
      </c>
      <c r="O2545" s="91">
        <v>9081.52</v>
      </c>
      <c r="P2545" s="91">
        <v>2511.2399999999998</v>
      </c>
      <c r="Q2545" s="42">
        <f>OfficeForms.Table[[#This Row],[ INFORMEDEPAGO ]]*0.3</f>
        <v>2724.4560000000001</v>
      </c>
      <c r="R2545" s="12">
        <f>(IF(O2545&lt;4172.98,0,MIN(O2545*0.3,O2545-4172.98)))-P2545</f>
        <v>213.21600000000035</v>
      </c>
      <c r="S2545" s="78">
        <v>46447</v>
      </c>
      <c r="T2545" s="1"/>
      <c r="V2545" s="1"/>
      <c r="X2545" s="101">
        <v>2</v>
      </c>
    </row>
    <row r="2546" spans="1:24" hidden="1">
      <c r="A2546">
        <v>951</v>
      </c>
      <c r="B2546" s="2">
        <v>46235.456770833298</v>
      </c>
      <c r="C2546" s="2">
        <v>46235.461412037002</v>
      </c>
      <c r="D2546" s="1" t="s">
        <v>24</v>
      </c>
      <c r="E2546" s="1"/>
      <c r="F2546" s="29">
        <v>46235</v>
      </c>
      <c r="G2546" s="29">
        <v>46235</v>
      </c>
      <c r="H2546" s="1" t="s">
        <v>51</v>
      </c>
      <c r="I2546" s="1" t="s">
        <v>5825</v>
      </c>
      <c r="J2546" s="175" t="s">
        <v>5826</v>
      </c>
      <c r="K2546" s="188" t="s">
        <v>5827</v>
      </c>
      <c r="L2546" s="62">
        <v>23277714</v>
      </c>
      <c r="M2546" s="102">
        <v>5215531696750</v>
      </c>
      <c r="N2546" s="172" t="s">
        <v>37</v>
      </c>
      <c r="O2546" s="91">
        <v>6262.86</v>
      </c>
      <c r="P2546" s="91">
        <v>1811</v>
      </c>
      <c r="Q2546" s="42">
        <f>OfficeForms.Table[[#This Row],[ INFORMEDEPAGO ]]*0.3</f>
        <v>1878.8579999999997</v>
      </c>
      <c r="R2546" s="12">
        <f>(IF(O2546&lt;4172.98,0,MIN(O2546*0.3,O2546-4172.98)))-P2546</f>
        <v>67.85799999999972</v>
      </c>
      <c r="S2546" s="78">
        <v>46631</v>
      </c>
      <c r="T2546" s="1"/>
      <c r="V2546" s="1"/>
      <c r="X2546" s="101">
        <v>2</v>
      </c>
    </row>
    <row r="2547" spans="1:24" hidden="1">
      <c r="A2547">
        <v>952</v>
      </c>
      <c r="B2547" s="2">
        <v>46235.462997685201</v>
      </c>
      <c r="C2547" s="2">
        <v>46235.463449074101</v>
      </c>
      <c r="D2547" s="1" t="s">
        <v>24</v>
      </c>
      <c r="E2547" s="1"/>
      <c r="F2547" s="29">
        <v>46235</v>
      </c>
      <c r="G2547" s="29">
        <v>46235</v>
      </c>
      <c r="H2547" s="1" t="s">
        <v>269</v>
      </c>
      <c r="I2547" s="1" t="s">
        <v>5828</v>
      </c>
      <c r="J2547" s="175"/>
      <c r="K2547" s="188" t="s">
        <v>5829</v>
      </c>
      <c r="L2547" s="62">
        <v>23273222</v>
      </c>
      <c r="M2547" s="102">
        <v>5219811704988</v>
      </c>
      <c r="N2547" s="172" t="s">
        <v>28</v>
      </c>
      <c r="O2547" s="91">
        <v>6842.24</v>
      </c>
      <c r="P2547" s="91">
        <v>500.13</v>
      </c>
      <c r="Q2547" s="42">
        <f>OfficeForms.Table[[#This Row],[ INFORMEDEPAGO ]]*0.3</f>
        <v>2052.672</v>
      </c>
      <c r="R2547" s="12">
        <f>(IF(O2547&lt;4172.98,0,MIN(O2547*0.3,O2547-4172.98)))-P2547</f>
        <v>1552.5419999999999</v>
      </c>
      <c r="S2547" s="78">
        <v>46539</v>
      </c>
      <c r="T2547" s="1"/>
      <c r="V2547" s="1"/>
      <c r="X2547" s="101">
        <v>2</v>
      </c>
    </row>
    <row r="2548" spans="1:24" hidden="1">
      <c r="A2548">
        <v>953</v>
      </c>
      <c r="B2548" s="2">
        <v>46235.4684375</v>
      </c>
      <c r="C2548" s="2">
        <v>46235.469317129602</v>
      </c>
      <c r="D2548" s="1" t="s">
        <v>24</v>
      </c>
      <c r="E2548" s="1"/>
      <c r="F2548" s="29">
        <v>46235</v>
      </c>
      <c r="G2548" s="29">
        <v>46234</v>
      </c>
      <c r="H2548" s="1" t="s">
        <v>3036</v>
      </c>
      <c r="I2548" s="1" t="s">
        <v>5830</v>
      </c>
      <c r="J2548" s="175">
        <v>57887168425</v>
      </c>
      <c r="K2548" s="188"/>
      <c r="L2548" s="62">
        <v>23261790</v>
      </c>
      <c r="M2548" s="102">
        <v>5216451135451</v>
      </c>
      <c r="N2548" s="172" t="s">
        <v>74</v>
      </c>
      <c r="O2548" s="91"/>
      <c r="P2548" s="91"/>
      <c r="Q2548" s="42">
        <f>OfficeForms.Table[[#This Row],[ INFORMEDEPAGO ]]*0.3</f>
        <v>0</v>
      </c>
      <c r="R2548" s="12">
        <f>(IF(O2548&lt;4172.98,0,MIN(O2548*0.3,O2548-4172.98)))-P2548</f>
        <v>0</v>
      </c>
      <c r="S2548" s="78"/>
      <c r="T2548" s="1"/>
      <c r="V2548" s="1"/>
      <c r="X2548" s="101">
        <v>2</v>
      </c>
    </row>
    <row r="2549" spans="1:24" hidden="1">
      <c r="A2549">
        <v>954</v>
      </c>
      <c r="B2549" s="2">
        <v>46235.453900462999</v>
      </c>
      <c r="C2549" s="2">
        <v>46235.472002314797</v>
      </c>
      <c r="D2549" s="1" t="s">
        <v>24</v>
      </c>
      <c r="E2549" s="1"/>
      <c r="F2549" s="29">
        <v>46235</v>
      </c>
      <c r="G2549" s="29">
        <v>46234</v>
      </c>
      <c r="H2549" s="1" t="s">
        <v>160</v>
      </c>
      <c r="I2549" s="1" t="s">
        <v>5831</v>
      </c>
      <c r="J2549" s="175" t="s">
        <v>5832</v>
      </c>
      <c r="K2549" s="188" t="s">
        <v>5833</v>
      </c>
      <c r="L2549" s="62">
        <v>23269146</v>
      </c>
      <c r="M2549" s="102">
        <v>5216311070745</v>
      </c>
      <c r="N2549" s="172" t="s">
        <v>263</v>
      </c>
      <c r="O2549" s="91">
        <v>20400.07</v>
      </c>
      <c r="P2549" s="91">
        <v>4295.26</v>
      </c>
      <c r="Q2549" s="42">
        <f>OfficeForms.Table[[#This Row],[ INFORMEDEPAGO ]]*0.3</f>
        <v>6120.0209999999997</v>
      </c>
      <c r="R2549" s="12">
        <f>(IF(O2549&lt;4172.98,0,MIN(O2549*0.3,O2549-4172.98)))-P2549</f>
        <v>1824.7609999999995</v>
      </c>
      <c r="S2549" s="78">
        <v>45689</v>
      </c>
      <c r="T2549" s="1" t="s">
        <v>192</v>
      </c>
      <c r="V2549" s="1"/>
      <c r="X2549" s="101">
        <v>2</v>
      </c>
    </row>
    <row r="2550" spans="1:24" hidden="1">
      <c r="A2550">
        <v>955</v>
      </c>
      <c r="B2550" s="2">
        <v>46235.425127314797</v>
      </c>
      <c r="C2550" s="2">
        <v>46235.472222222197</v>
      </c>
      <c r="D2550" s="1" t="s">
        <v>24</v>
      </c>
      <c r="E2550" s="1"/>
      <c r="F2550" s="29">
        <v>46235</v>
      </c>
      <c r="G2550" s="29">
        <v>46232</v>
      </c>
      <c r="H2550" s="1" t="s">
        <v>81</v>
      </c>
      <c r="I2550" s="1" t="s">
        <v>5834</v>
      </c>
      <c r="J2550" s="175"/>
      <c r="K2550" s="188" t="s">
        <v>5835</v>
      </c>
      <c r="L2550" s="62">
        <v>23201980</v>
      </c>
      <c r="M2550" s="102">
        <v>5219511231882</v>
      </c>
      <c r="N2550" s="172" t="s">
        <v>98</v>
      </c>
      <c r="O2550" s="91"/>
      <c r="P2550" s="91"/>
      <c r="Q2550" s="42">
        <f>OfficeForms.Table[[#This Row],[ INFORMEDEPAGO ]]*0.3</f>
        <v>0</v>
      </c>
      <c r="R2550" s="12">
        <f>(IF(O2550&lt;4172.98,0,MIN(O2550*0.3,O2550-4172.98)))-P2550</f>
        <v>0</v>
      </c>
      <c r="S2550" s="78"/>
      <c r="T2550" s="1"/>
      <c r="V2550" s="1"/>
      <c r="X2550" s="101">
        <v>0</v>
      </c>
    </row>
    <row r="2551" spans="1:24" hidden="1">
      <c r="A2551">
        <v>956</v>
      </c>
      <c r="B2551" s="2">
        <v>46235.485439814802</v>
      </c>
      <c r="C2551" s="2">
        <v>46235.486469907402</v>
      </c>
      <c r="D2551" s="1" t="s">
        <v>24</v>
      </c>
      <c r="E2551" s="1"/>
      <c r="F2551" s="29">
        <v>46235</v>
      </c>
      <c r="G2551" s="29">
        <v>46234</v>
      </c>
      <c r="H2551" s="1" t="s">
        <v>3036</v>
      </c>
      <c r="I2551" s="1" t="s">
        <v>5836</v>
      </c>
      <c r="J2551" s="175">
        <v>21826509396</v>
      </c>
      <c r="K2551" s="188"/>
      <c r="L2551" s="62">
        <v>23266420</v>
      </c>
      <c r="M2551" s="102">
        <v>5216462578378</v>
      </c>
      <c r="N2551" s="172" t="s">
        <v>28</v>
      </c>
      <c r="O2551" s="91">
        <v>11029.03</v>
      </c>
      <c r="P2551" s="91"/>
      <c r="Q2551" s="42">
        <f>OfficeForms.Table[[#This Row],[ INFORMEDEPAGO ]]*0.3</f>
        <v>3308.7090000000003</v>
      </c>
      <c r="R2551" s="12">
        <f>(IF(O2551&lt;4172.98,0,MIN(O2551*0.3,O2551-4172.98)))-P2551</f>
        <v>3308.7090000000003</v>
      </c>
      <c r="S2551" s="78"/>
      <c r="T2551" s="1"/>
      <c r="V2551" s="1"/>
      <c r="X2551" s="101">
        <v>1</v>
      </c>
    </row>
    <row r="2552" spans="1:24" hidden="1">
      <c r="A2552">
        <v>957</v>
      </c>
      <c r="B2552" s="2">
        <v>46235.4899421296</v>
      </c>
      <c r="C2552" s="2">
        <v>46235.4915162037</v>
      </c>
      <c r="D2552" s="1" t="s">
        <v>24</v>
      </c>
      <c r="E2552" s="1"/>
      <c r="F2552" s="29">
        <v>46235</v>
      </c>
      <c r="G2552" s="29">
        <v>46235</v>
      </c>
      <c r="H2552" s="1" t="s">
        <v>51</v>
      </c>
      <c r="I2552" s="1" t="s">
        <v>5837</v>
      </c>
      <c r="J2552" s="175">
        <v>33755833309</v>
      </c>
      <c r="K2552" s="188" t="s">
        <v>5838</v>
      </c>
      <c r="L2552" s="62">
        <v>23272152</v>
      </c>
      <c r="M2552" s="102">
        <v>5216143676494</v>
      </c>
      <c r="N2552" s="172" t="s">
        <v>37</v>
      </c>
      <c r="O2552" s="91">
        <v>11046.6</v>
      </c>
      <c r="P2552" s="91">
        <v>3196.05</v>
      </c>
      <c r="Q2552" s="42">
        <f>OfficeForms.Table[[#This Row],[ INFORMEDEPAGO ]]*0.3</f>
        <v>3313.98</v>
      </c>
      <c r="R2552" s="12">
        <f>(IF(O2552&lt;4172.98,0,MIN(O2552*0.3,O2552-4172.98)))-P2552</f>
        <v>117.92999999999984</v>
      </c>
      <c r="S2552" s="78">
        <v>46478</v>
      </c>
      <c r="T2552" s="1"/>
      <c r="V2552" s="1"/>
      <c r="X2552" s="101">
        <v>2</v>
      </c>
    </row>
    <row r="2553" spans="1:24" hidden="1">
      <c r="A2553">
        <v>958</v>
      </c>
      <c r="B2553" s="2">
        <v>46235.496724536999</v>
      </c>
      <c r="C2553" s="2">
        <v>46235.497442129599</v>
      </c>
      <c r="D2553" s="1" t="s">
        <v>24</v>
      </c>
      <c r="E2553" s="1"/>
      <c r="F2553" s="29">
        <v>46235</v>
      </c>
      <c r="G2553" s="29">
        <v>46235</v>
      </c>
      <c r="H2553" s="1" t="s">
        <v>269</v>
      </c>
      <c r="I2553" s="1" t="s">
        <v>5839</v>
      </c>
      <c r="J2553" s="207" t="s">
        <v>5840</v>
      </c>
      <c r="K2553" s="188" t="s">
        <v>5841</v>
      </c>
      <c r="L2553" s="62">
        <v>23278674</v>
      </c>
      <c r="M2553" s="102">
        <v>5213318922962</v>
      </c>
      <c r="N2553" s="172" t="s">
        <v>28</v>
      </c>
      <c r="O2553" s="91">
        <v>23514.47</v>
      </c>
      <c r="P2553" s="91"/>
      <c r="Q2553" s="42">
        <f>OfficeForms.Table[[#This Row],[ INFORMEDEPAGO ]]*0.3</f>
        <v>7054.3410000000003</v>
      </c>
      <c r="R2553" s="12">
        <f>(IF(O2553&lt;4172.98,0,MIN(O2553*0.3,O2553-4172.98)))-P2553</f>
        <v>7054.3410000000003</v>
      </c>
      <c r="S2553" s="78"/>
      <c r="T2553" s="1"/>
      <c r="V2553" s="1"/>
      <c r="X2553" s="101">
        <v>1</v>
      </c>
    </row>
    <row r="2554" spans="1:24" hidden="1">
      <c r="A2554">
        <v>959</v>
      </c>
      <c r="B2554" s="2">
        <v>46235.472245370402</v>
      </c>
      <c r="C2554" s="2">
        <v>46235.502210648097</v>
      </c>
      <c r="D2554" s="1" t="s">
        <v>24</v>
      </c>
      <c r="E2554" s="1"/>
      <c r="F2554" s="29">
        <v>46235</v>
      </c>
      <c r="G2554" s="29">
        <v>46235</v>
      </c>
      <c r="H2554" s="1" t="s">
        <v>81</v>
      </c>
      <c r="I2554" s="1" t="s">
        <v>5842</v>
      </c>
      <c r="J2554" s="207">
        <v>41584111581</v>
      </c>
      <c r="K2554" s="188"/>
      <c r="L2554" s="62">
        <v>23279050</v>
      </c>
      <c r="M2554" s="102">
        <v>5214441761198</v>
      </c>
      <c r="N2554" s="172" t="s">
        <v>47</v>
      </c>
      <c r="O2554" s="91">
        <v>6658.01</v>
      </c>
      <c r="P2554" s="91">
        <v>1515.36</v>
      </c>
      <c r="Q2554" s="42">
        <f>OfficeForms.Table[[#This Row],[ INFORMEDEPAGO ]]*0.3</f>
        <v>1997.403</v>
      </c>
      <c r="R2554" s="12">
        <f>(IF(O2554&lt;4172.98,0,MIN(O2554*0.3,O2554-4172.98)))-P2554</f>
        <v>482.04300000000012</v>
      </c>
      <c r="S2554" s="78">
        <v>46357</v>
      </c>
      <c r="T2554" s="1" t="s">
        <v>259</v>
      </c>
      <c r="V2554" s="1"/>
      <c r="X2554" s="101">
        <v>2</v>
      </c>
    </row>
    <row r="2555" spans="1:24" hidden="1">
      <c r="A2555">
        <v>960</v>
      </c>
      <c r="B2555" s="2">
        <v>46235.502465277801</v>
      </c>
      <c r="C2555" s="2">
        <v>46235.503148148098</v>
      </c>
      <c r="D2555" s="1" t="s">
        <v>24</v>
      </c>
      <c r="E2555" s="1"/>
      <c r="F2555" s="29">
        <v>46235</v>
      </c>
      <c r="G2555" s="29">
        <v>46235</v>
      </c>
      <c r="H2555" s="1" t="s">
        <v>269</v>
      </c>
      <c r="I2555" s="1" t="s">
        <v>5843</v>
      </c>
      <c r="J2555" s="207"/>
      <c r="K2555" s="188" t="s">
        <v>5844</v>
      </c>
      <c r="L2555" s="62">
        <v>23278346</v>
      </c>
      <c r="M2555" s="102">
        <v>5213334765252</v>
      </c>
      <c r="N2555" s="172" t="s">
        <v>37</v>
      </c>
      <c r="O2555" s="91">
        <v>25844.48</v>
      </c>
      <c r="P2555" s="91">
        <v>7753.31</v>
      </c>
      <c r="Q2555" s="42">
        <f>OfficeForms.Table[[#This Row],[ INFORMEDEPAGO ]]*0.3</f>
        <v>7753.3439999999991</v>
      </c>
      <c r="R2555" s="12">
        <f>(IF(O2555&lt;4172.98,0,MIN(O2555*0.3,O2555-4172.98)))-P2555</f>
        <v>3.3999999998741259E-2</v>
      </c>
      <c r="S2555" s="78">
        <v>46388</v>
      </c>
      <c r="T2555" s="1"/>
      <c r="V2555" s="1"/>
      <c r="X2555" s="101">
        <v>2</v>
      </c>
    </row>
    <row r="2556" spans="1:24" hidden="1">
      <c r="A2556">
        <v>961</v>
      </c>
      <c r="B2556" s="2">
        <v>46235.496863425898</v>
      </c>
      <c r="C2556" s="2">
        <v>46235.504328703697</v>
      </c>
      <c r="D2556" s="1" t="s">
        <v>24</v>
      </c>
      <c r="E2556" s="1"/>
      <c r="F2556" s="29">
        <v>46235</v>
      </c>
      <c r="G2556" s="29">
        <v>46234</v>
      </c>
      <c r="H2556" s="1" t="s">
        <v>160</v>
      </c>
      <c r="I2556" s="1" t="s">
        <v>5845</v>
      </c>
      <c r="J2556" s="207">
        <v>12957606465</v>
      </c>
      <c r="K2556" s="188" t="s">
        <v>5846</v>
      </c>
      <c r="L2556" s="62">
        <v>23278624</v>
      </c>
      <c r="M2556" s="102">
        <v>5214447222581</v>
      </c>
      <c r="N2556" s="172" t="s">
        <v>32</v>
      </c>
      <c r="O2556" s="91">
        <v>3605.17</v>
      </c>
      <c r="P2556" s="91"/>
      <c r="Q2556" s="42">
        <f>OfficeForms.Table[[#This Row],[ INFORMEDEPAGO ]]*0.3</f>
        <v>1081.5509999999999</v>
      </c>
      <c r="R2556" s="12">
        <f>(IF(O2556&lt;4172.98,0,MIN(O2556*0.3,O2556-4172.98)))-P2556</f>
        <v>0</v>
      </c>
      <c r="S2556" s="78"/>
      <c r="T2556" s="1"/>
      <c r="V2556" s="1"/>
      <c r="X2556" s="101">
        <v>1</v>
      </c>
    </row>
    <row r="2557" spans="1:24" hidden="1">
      <c r="A2557">
        <v>962</v>
      </c>
      <c r="B2557" s="2">
        <v>46235.504456018498</v>
      </c>
      <c r="C2557" s="2">
        <v>46235.509965277801</v>
      </c>
      <c r="D2557" s="1" t="s">
        <v>24</v>
      </c>
      <c r="E2557" s="1"/>
      <c r="F2557" s="29">
        <v>46235</v>
      </c>
      <c r="G2557" s="29">
        <v>46235</v>
      </c>
      <c r="H2557" s="1" t="s">
        <v>160</v>
      </c>
      <c r="I2557" s="1" t="s">
        <v>5847</v>
      </c>
      <c r="J2557" s="207">
        <v>64846431449</v>
      </c>
      <c r="K2557" s="188" t="s">
        <v>5848</v>
      </c>
      <c r="L2557" s="62">
        <v>23278750</v>
      </c>
      <c r="M2557" s="102">
        <v>5215513615353</v>
      </c>
      <c r="N2557" s="172" t="s">
        <v>37</v>
      </c>
      <c r="O2557" s="91">
        <v>9210.7800000000007</v>
      </c>
      <c r="P2557" s="91">
        <v>2761.91</v>
      </c>
      <c r="Q2557" s="42">
        <f>OfficeForms.Table[[#This Row],[ INFORMEDEPAGO ]]*0.3</f>
        <v>2763.2339999999999</v>
      </c>
      <c r="R2557" s="12">
        <f>(IF(O2557&lt;4172.98,0,MIN(O2557*0.3,O2557-4172.98)))-P2557</f>
        <v>1.3240000000000691</v>
      </c>
      <c r="S2557" s="78">
        <v>46508</v>
      </c>
      <c r="T2557" s="1"/>
      <c r="V2557" s="1"/>
      <c r="X2557" s="101">
        <v>2</v>
      </c>
    </row>
    <row r="2558" spans="1:24" hidden="1">
      <c r="A2558">
        <v>963</v>
      </c>
      <c r="B2558" s="2">
        <v>46235.5096990741</v>
      </c>
      <c r="C2558" s="2">
        <v>46235.510763888902</v>
      </c>
      <c r="D2558" s="1" t="s">
        <v>24</v>
      </c>
      <c r="E2558" s="1"/>
      <c r="F2558" s="29">
        <v>46235</v>
      </c>
      <c r="G2558" s="29">
        <v>46234</v>
      </c>
      <c r="H2558" s="1" t="s">
        <v>110</v>
      </c>
      <c r="I2558" s="1" t="s">
        <v>5849</v>
      </c>
      <c r="J2558" s="207">
        <v>13796500224</v>
      </c>
      <c r="K2558" s="188" t="s">
        <v>5850</v>
      </c>
      <c r="L2558" s="62">
        <v>23265016</v>
      </c>
      <c r="M2558" s="102">
        <v>5217841004130</v>
      </c>
      <c r="N2558" s="172" t="s">
        <v>28</v>
      </c>
      <c r="O2558" s="91">
        <v>11029.03</v>
      </c>
      <c r="P2558" s="91"/>
      <c r="Q2558" s="42">
        <f>OfficeForms.Table[[#This Row],[ INFORMEDEPAGO ]]*0.3</f>
        <v>3308.7090000000003</v>
      </c>
      <c r="R2558" s="12">
        <f>(IF(O2558&lt;4172.98,0,MIN(O2558*0.3,O2558-4172.98)))-P2558</f>
        <v>3308.7090000000003</v>
      </c>
      <c r="S2558" s="78"/>
      <c r="T2558" s="1"/>
      <c r="V2558" s="1"/>
      <c r="X2558" s="101">
        <v>1</v>
      </c>
    </row>
    <row r="2559" spans="1:24" hidden="1">
      <c r="A2559">
        <v>964</v>
      </c>
      <c r="B2559" s="2">
        <v>46235.513402777797</v>
      </c>
      <c r="C2559" s="2">
        <v>46235.514062499999</v>
      </c>
      <c r="D2559" s="1" t="s">
        <v>24</v>
      </c>
      <c r="E2559" s="1"/>
      <c r="F2559" s="29">
        <v>46235</v>
      </c>
      <c r="G2559" s="29">
        <v>46235</v>
      </c>
      <c r="H2559" s="1" t="s">
        <v>3007</v>
      </c>
      <c r="I2559" s="1" t="s">
        <v>5851</v>
      </c>
      <c r="J2559" s="207"/>
      <c r="K2559" s="188" t="s">
        <v>5852</v>
      </c>
      <c r="L2559" s="62">
        <v>23280190</v>
      </c>
      <c r="M2559" s="102">
        <v>5551940746</v>
      </c>
      <c r="N2559" s="172" t="s">
        <v>106</v>
      </c>
      <c r="O2559" s="91">
        <v>7116.73</v>
      </c>
      <c r="P2559" s="91">
        <v>1746.84</v>
      </c>
      <c r="Q2559" s="42">
        <f>OfficeForms.Table[[#This Row],[ INFORMEDEPAGO ]]*0.3</f>
        <v>2135.0189999999998</v>
      </c>
      <c r="R2559" s="12">
        <f>(IF(O2559&lt;4172.98,0,MIN(O2559*0.3,O2559-4172.98)))-P2559</f>
        <v>388.17899999999986</v>
      </c>
      <c r="S2559" s="78">
        <v>45566</v>
      </c>
      <c r="T2559" s="1"/>
      <c r="V2559" s="1"/>
      <c r="X2559" s="101">
        <v>2</v>
      </c>
    </row>
    <row r="2560" spans="1:24" hidden="1">
      <c r="A2560">
        <v>965</v>
      </c>
      <c r="B2560" s="2">
        <v>46235.504930555602</v>
      </c>
      <c r="C2560" s="2">
        <v>46235.514930555597</v>
      </c>
      <c r="D2560" s="1" t="s">
        <v>24</v>
      </c>
      <c r="E2560" s="1"/>
      <c r="F2560" s="29">
        <v>46235</v>
      </c>
      <c r="G2560" s="29">
        <v>46235</v>
      </c>
      <c r="H2560" s="1" t="s">
        <v>81</v>
      </c>
      <c r="I2560" s="1" t="s">
        <v>5853</v>
      </c>
      <c r="J2560" s="207"/>
      <c r="K2560" s="188" t="s">
        <v>5854</v>
      </c>
      <c r="L2560" s="62">
        <v>23278616</v>
      </c>
      <c r="M2560" s="102">
        <v>5215529408644</v>
      </c>
      <c r="N2560" s="172" t="s">
        <v>37</v>
      </c>
      <c r="O2560" s="91">
        <v>12680.66</v>
      </c>
      <c r="P2560" s="91">
        <v>3677.75</v>
      </c>
      <c r="Q2560" s="42">
        <f>OfficeForms.Table[[#This Row],[ INFORMEDEPAGO ]]*0.3</f>
        <v>3804.1979999999999</v>
      </c>
      <c r="R2560" s="12">
        <f>(IF(O2560&lt;4172.98,0,MIN(O2560*0.3,O2560-4172.98)))-P2560</f>
        <v>126.44799999999987</v>
      </c>
      <c r="S2560" s="78">
        <v>46935</v>
      </c>
      <c r="T2560" s="1"/>
      <c r="V2560" s="1"/>
      <c r="X2560" s="101">
        <v>2</v>
      </c>
    </row>
    <row r="2561" spans="1:24" hidden="1">
      <c r="A2561">
        <v>966</v>
      </c>
      <c r="B2561" s="2">
        <v>46235.505810185197</v>
      </c>
      <c r="C2561" s="2">
        <v>46235.518171296302</v>
      </c>
      <c r="D2561" s="1" t="s">
        <v>24</v>
      </c>
      <c r="E2561" s="1"/>
      <c r="F2561" s="29">
        <v>46235</v>
      </c>
      <c r="G2561" s="29">
        <v>46235</v>
      </c>
      <c r="H2561" s="1" t="s">
        <v>78</v>
      </c>
      <c r="I2561" s="1" t="s">
        <v>5855</v>
      </c>
      <c r="J2561" s="207">
        <v>41664611120</v>
      </c>
      <c r="K2561" s="188" t="s">
        <v>5856</v>
      </c>
      <c r="L2561" s="62">
        <v>23272004</v>
      </c>
      <c r="M2561" s="102">
        <v>5213320504511</v>
      </c>
      <c r="N2561" s="172" t="s">
        <v>28</v>
      </c>
      <c r="O2561" s="91">
        <v>11051.1</v>
      </c>
      <c r="P2561" s="91"/>
      <c r="Q2561" s="42">
        <f>OfficeForms.Table[[#This Row],[ INFORMEDEPAGO ]]*0.3</f>
        <v>3315.33</v>
      </c>
      <c r="R2561" s="12">
        <f>(IF(O2561&lt;4172.98,0,MIN(O2561*0.3,O2561-4172.98)))-P2561</f>
        <v>3315.33</v>
      </c>
      <c r="S2561" s="78"/>
      <c r="T2561" s="1"/>
      <c r="V2561" s="1"/>
      <c r="X2561" s="101">
        <v>1</v>
      </c>
    </row>
    <row r="2562" spans="1:24" hidden="1">
      <c r="A2562">
        <v>967</v>
      </c>
      <c r="B2562" s="2">
        <v>46235.505856481497</v>
      </c>
      <c r="C2562" s="2">
        <v>46235.518703703703</v>
      </c>
      <c r="D2562" s="1" t="s">
        <v>24</v>
      </c>
      <c r="E2562" s="1"/>
      <c r="F2562" s="29">
        <v>46235</v>
      </c>
      <c r="G2562" s="29">
        <v>46234</v>
      </c>
      <c r="H2562" s="1" t="s">
        <v>78</v>
      </c>
      <c r="I2562" s="1" t="s">
        <v>5857</v>
      </c>
      <c r="J2562" s="207">
        <v>24886635895</v>
      </c>
      <c r="K2562" s="188" t="s">
        <v>5858</v>
      </c>
      <c r="L2562" s="62">
        <v>23268912</v>
      </c>
      <c r="M2562" s="102">
        <v>5216621078299</v>
      </c>
      <c r="N2562" s="172" t="s">
        <v>28</v>
      </c>
      <c r="O2562" s="91">
        <v>11029.03</v>
      </c>
      <c r="P2562" s="91"/>
      <c r="Q2562" s="42">
        <f>OfficeForms.Table[[#This Row],[ INFORMEDEPAGO ]]*0.3</f>
        <v>3308.7090000000003</v>
      </c>
      <c r="R2562" s="12">
        <f>(IF(O2562&lt;4172.98,0,MIN(O2562*0.3,O2562-4172.98)))-P2562</f>
        <v>3308.7090000000003</v>
      </c>
      <c r="S2562" s="78"/>
      <c r="T2562" s="1"/>
      <c r="V2562" s="1"/>
      <c r="X2562" s="101">
        <v>1</v>
      </c>
    </row>
    <row r="2563" spans="1:24" hidden="1">
      <c r="A2563">
        <v>968</v>
      </c>
      <c r="B2563" s="2">
        <v>46235.491527777798</v>
      </c>
      <c r="C2563" s="2">
        <v>46235.519780092603</v>
      </c>
      <c r="D2563" s="1" t="s">
        <v>24</v>
      </c>
      <c r="E2563" s="1"/>
      <c r="F2563" s="29">
        <v>46235</v>
      </c>
      <c r="G2563" s="29">
        <v>46235</v>
      </c>
      <c r="H2563" s="1" t="s">
        <v>51</v>
      </c>
      <c r="I2563" s="1" t="s">
        <v>5859</v>
      </c>
      <c r="J2563" s="207"/>
      <c r="K2563" s="188" t="s">
        <v>5860</v>
      </c>
      <c r="L2563" s="62">
        <v>23279090</v>
      </c>
      <c r="M2563" s="102">
        <v>5219211609298</v>
      </c>
      <c r="N2563" s="172" t="s">
        <v>28</v>
      </c>
      <c r="O2563" s="91">
        <v>7116.73</v>
      </c>
      <c r="P2563" s="91"/>
      <c r="Q2563" s="42">
        <f>OfficeForms.Table[[#This Row],[ INFORMEDEPAGO ]]*0.3</f>
        <v>2135.0189999999998</v>
      </c>
      <c r="R2563" s="12">
        <f>(IF(O2563&lt;4172.98,0,MIN(O2563*0.3,O2563-4172.98)))-P2563</f>
        <v>2135.0189999999998</v>
      </c>
      <c r="S2563" s="78"/>
      <c r="T2563" s="1"/>
      <c r="V2563" s="1"/>
      <c r="X2563" s="101">
        <v>1</v>
      </c>
    </row>
    <row r="2564" spans="1:24" hidden="1">
      <c r="A2564">
        <v>969</v>
      </c>
      <c r="B2564" s="2">
        <v>46235.505902777797</v>
      </c>
      <c r="C2564" s="2">
        <v>46235.520405092597</v>
      </c>
      <c r="D2564" s="1" t="s">
        <v>24</v>
      </c>
      <c r="E2564" s="1"/>
      <c r="F2564" s="29">
        <v>46235</v>
      </c>
      <c r="G2564" s="29">
        <v>46234</v>
      </c>
      <c r="H2564" s="1" t="s">
        <v>78</v>
      </c>
      <c r="I2564" s="1" t="s">
        <v>5861</v>
      </c>
      <c r="J2564" s="207">
        <v>11765792715</v>
      </c>
      <c r="K2564" s="188" t="s">
        <v>5862</v>
      </c>
      <c r="L2564" s="62">
        <v>23267952</v>
      </c>
      <c r="M2564" s="102">
        <v>5215539730779</v>
      </c>
      <c r="N2564" s="172" t="s">
        <v>32</v>
      </c>
      <c r="O2564" s="91">
        <v>4342.43</v>
      </c>
      <c r="P2564" s="91"/>
      <c r="Q2564" s="42">
        <f>OfficeForms.Table[[#This Row],[ INFORMEDEPAGO ]]*0.3</f>
        <v>1302.729</v>
      </c>
      <c r="R2564" s="12">
        <f>(IF(O2564&lt;4172.98,0,MIN(O2564*0.3,O2564-4172.98)))-P2564</f>
        <v>169.45000000000073</v>
      </c>
      <c r="S2564" s="78"/>
      <c r="T2564" s="1"/>
      <c r="V2564" s="1"/>
      <c r="X2564" s="101">
        <v>1</v>
      </c>
    </row>
    <row r="2565" spans="1:24" hidden="1">
      <c r="A2565">
        <v>970</v>
      </c>
      <c r="B2565" s="2">
        <v>46235.5149537037</v>
      </c>
      <c r="C2565" s="2">
        <v>46235.525381944397</v>
      </c>
      <c r="D2565" s="1" t="s">
        <v>24</v>
      </c>
      <c r="E2565" s="1"/>
      <c r="F2565" s="29">
        <v>46235</v>
      </c>
      <c r="G2565" s="29">
        <v>46235</v>
      </c>
      <c r="H2565" s="1" t="s">
        <v>81</v>
      </c>
      <c r="I2565" s="1" t="s">
        <v>5863</v>
      </c>
      <c r="J2565" s="207"/>
      <c r="K2565" s="188" t="s">
        <v>5864</v>
      </c>
      <c r="L2565" s="62">
        <v>23279662</v>
      </c>
      <c r="M2565" s="102">
        <v>5217821210595</v>
      </c>
      <c r="N2565" s="172" t="s">
        <v>37</v>
      </c>
      <c r="O2565" s="91">
        <v>6262.86</v>
      </c>
      <c r="P2565" s="91">
        <v>1877.96</v>
      </c>
      <c r="Q2565" s="42">
        <f>OfficeForms.Table[[#This Row],[ INFORMEDEPAGO ]]*0.3</f>
        <v>1878.8579999999997</v>
      </c>
      <c r="R2565" s="12">
        <f>(IF(O2565&lt;4172.98,0,MIN(O2565*0.3,O2565-4172.98)))-P2565</f>
        <v>0.8979999999996835</v>
      </c>
      <c r="S2565" s="78">
        <v>46692</v>
      </c>
      <c r="T2565" s="1"/>
      <c r="V2565" s="1"/>
      <c r="X2565" s="101">
        <v>2</v>
      </c>
    </row>
    <row r="2566" spans="1:24" hidden="1">
      <c r="A2566">
        <v>971</v>
      </c>
      <c r="B2566" s="2">
        <v>46235.519432870402</v>
      </c>
      <c r="C2566" s="2">
        <v>46235.526643518497</v>
      </c>
      <c r="D2566" s="1" t="s">
        <v>24</v>
      </c>
      <c r="E2566" s="1"/>
      <c r="F2566" s="29">
        <v>46235</v>
      </c>
      <c r="G2566" s="29">
        <v>46235</v>
      </c>
      <c r="H2566" s="1" t="s">
        <v>160</v>
      </c>
      <c r="I2566" s="1" t="s">
        <v>5865</v>
      </c>
      <c r="J2566" s="207"/>
      <c r="K2566" s="188" t="s">
        <v>5866</v>
      </c>
      <c r="L2566" s="62">
        <v>23279722</v>
      </c>
      <c r="M2566" s="102">
        <v>5216771030654</v>
      </c>
      <c r="N2566" s="172" t="s">
        <v>32</v>
      </c>
      <c r="O2566" s="91">
        <v>4199.87</v>
      </c>
      <c r="P2566" s="91">
        <v>848</v>
      </c>
      <c r="Q2566" s="42">
        <f>OfficeForms.Table[[#This Row],[ INFORMEDEPAGO ]]*0.3</f>
        <v>1259.961</v>
      </c>
      <c r="R2566" s="12">
        <f>(IF(O2566&lt;4172.98,0,MIN(O2566*0.3,O2566-4172.98)))-P2566</f>
        <v>-821.10999999999967</v>
      </c>
      <c r="S2566" s="78"/>
      <c r="T2566" s="1"/>
      <c r="V2566" s="1"/>
      <c r="X2566" s="101">
        <v>1</v>
      </c>
    </row>
    <row r="2567" spans="1:24" hidden="1">
      <c r="A2567">
        <v>972</v>
      </c>
      <c r="B2567" s="2">
        <v>46235.530416666697</v>
      </c>
      <c r="C2567" s="2">
        <v>46235.530925925901</v>
      </c>
      <c r="D2567" s="1" t="s">
        <v>24</v>
      </c>
      <c r="E2567" s="1"/>
      <c r="F2567" s="29">
        <v>46235</v>
      </c>
      <c r="G2567" s="29">
        <v>46235</v>
      </c>
      <c r="H2567" s="1" t="s">
        <v>269</v>
      </c>
      <c r="I2567" s="1" t="s">
        <v>5867</v>
      </c>
      <c r="J2567" s="175" t="s">
        <v>5868</v>
      </c>
      <c r="K2567" s="188" t="s">
        <v>5869</v>
      </c>
      <c r="L2567" s="62">
        <v>23279738</v>
      </c>
      <c r="M2567" s="102">
        <v>5216861431996</v>
      </c>
      <c r="N2567" s="172" t="s">
        <v>37</v>
      </c>
      <c r="O2567" s="91">
        <v>9504.7000000000007</v>
      </c>
      <c r="P2567" s="91">
        <v>2834.02</v>
      </c>
      <c r="Q2567" s="42">
        <f>OfficeForms.Table[[#This Row],[ INFORMEDEPAGO ]]*0.3</f>
        <v>2851.4100000000003</v>
      </c>
      <c r="R2567" s="12">
        <f>(IF(O2567&lt;4172.98,0,MIN(O2567*0.3,O2567-4172.98)))-P2567</f>
        <v>17.390000000000327</v>
      </c>
      <c r="S2567" s="78">
        <v>46844</v>
      </c>
      <c r="T2567" s="1" t="s">
        <v>259</v>
      </c>
      <c r="V2567" s="1"/>
      <c r="X2567" s="101">
        <v>2</v>
      </c>
    </row>
    <row r="2568" spans="1:24" hidden="1">
      <c r="A2568">
        <v>973</v>
      </c>
      <c r="B2568" s="2">
        <v>46235.534375000003</v>
      </c>
      <c r="C2568" s="2">
        <v>46235.534988425898</v>
      </c>
      <c r="D2568" s="1" t="s">
        <v>24</v>
      </c>
      <c r="E2568" s="1"/>
      <c r="F2568" s="29">
        <v>46235</v>
      </c>
      <c r="G2568" s="29">
        <v>46234</v>
      </c>
      <c r="H2568" s="1" t="s">
        <v>110</v>
      </c>
      <c r="I2568" s="1" t="s">
        <v>5870</v>
      </c>
      <c r="J2568" s="175">
        <v>72856433098</v>
      </c>
      <c r="K2568" s="188"/>
      <c r="L2568" s="62">
        <v>23262108</v>
      </c>
      <c r="M2568" s="102">
        <v>5216122305581</v>
      </c>
      <c r="N2568" s="172" t="s">
        <v>37</v>
      </c>
      <c r="O2568" s="91">
        <v>14812.1</v>
      </c>
      <c r="P2568" s="91">
        <v>4285.5</v>
      </c>
      <c r="Q2568" s="42">
        <f>OfficeForms.Table[[#This Row],[ INFORMEDEPAGO ]]*0.3</f>
        <v>4443.63</v>
      </c>
      <c r="R2568" s="12">
        <f>(IF(O2568&lt;4172.98,0,MIN(O2568*0.3,O2568-4172.98)))-P2568</f>
        <v>158.13000000000011</v>
      </c>
      <c r="S2568" s="78">
        <v>46388</v>
      </c>
      <c r="T2568" s="1"/>
      <c r="V2568" s="1"/>
      <c r="X2568" s="101">
        <v>2</v>
      </c>
    </row>
    <row r="2569" spans="1:24" hidden="1">
      <c r="A2569">
        <v>974</v>
      </c>
      <c r="B2569" s="2">
        <v>46235.5319675926</v>
      </c>
      <c r="C2569" s="2">
        <v>46235.538090277798</v>
      </c>
      <c r="D2569" s="1" t="s">
        <v>24</v>
      </c>
      <c r="E2569" s="1"/>
      <c r="F2569" s="29">
        <v>46235</v>
      </c>
      <c r="G2569" s="29">
        <v>46235</v>
      </c>
      <c r="H2569" s="1" t="s">
        <v>160</v>
      </c>
      <c r="I2569" s="1" t="s">
        <v>5871</v>
      </c>
      <c r="J2569" s="175">
        <v>72855901426</v>
      </c>
      <c r="K2569" s="188" t="s">
        <v>5872</v>
      </c>
      <c r="L2569" s="62">
        <v>23278208</v>
      </c>
      <c r="M2569" s="102">
        <v>5217531633649</v>
      </c>
      <c r="N2569" s="172" t="s">
        <v>28</v>
      </c>
      <c r="O2569" s="91">
        <v>10536.35</v>
      </c>
      <c r="P2569" s="91">
        <v>1637.96</v>
      </c>
      <c r="Q2569" s="42">
        <f>OfficeForms.Table[[#This Row],[ INFORMEDEPAGO ]]*0.3</f>
        <v>3160.9050000000002</v>
      </c>
      <c r="R2569" s="12">
        <f>(IF(O2569&lt;4172.98,0,MIN(O2569*0.3,O2569-4172.98)))-P2569</f>
        <v>1522.9450000000002</v>
      </c>
      <c r="S2569" s="78">
        <v>46266</v>
      </c>
      <c r="T2569" s="1"/>
      <c r="V2569" s="1"/>
      <c r="X2569" s="101">
        <v>2</v>
      </c>
    </row>
    <row r="2570" spans="1:24" hidden="1">
      <c r="A2570">
        <v>975</v>
      </c>
      <c r="B2570" s="2">
        <v>46235.539930555598</v>
      </c>
      <c r="C2570" s="2">
        <v>46235.540486111102</v>
      </c>
      <c r="D2570" s="1" t="s">
        <v>24</v>
      </c>
      <c r="E2570" s="1"/>
      <c r="F2570" s="29">
        <v>46235</v>
      </c>
      <c r="G2570" s="29">
        <v>46235</v>
      </c>
      <c r="H2570" s="1" t="s">
        <v>26</v>
      </c>
      <c r="I2570" s="1" t="s">
        <v>5873</v>
      </c>
      <c r="J2570" s="175">
        <v>51786101165</v>
      </c>
      <c r="K2570" s="188" t="s">
        <v>5874</v>
      </c>
      <c r="L2570" s="62">
        <v>23280818</v>
      </c>
      <c r="M2570" s="102">
        <v>5214494586050</v>
      </c>
      <c r="N2570" s="172" t="s">
        <v>37</v>
      </c>
      <c r="O2570" s="91">
        <v>24271.84</v>
      </c>
      <c r="P2570" s="91">
        <v>7271.03</v>
      </c>
      <c r="Q2570" s="42">
        <f>OfficeForms.Table[[#This Row],[ INFORMEDEPAGO ]]*0.3</f>
        <v>7281.5519999999997</v>
      </c>
      <c r="R2570" s="12">
        <f>(IF(O2570&lt;4172.98,0,MIN(O2570*0.3,O2570-4172.98)))-P2570</f>
        <v>10.521999999999935</v>
      </c>
      <c r="S2570" s="78">
        <v>46419</v>
      </c>
      <c r="T2570" s="1"/>
      <c r="V2570" s="1"/>
      <c r="X2570" s="101">
        <v>2</v>
      </c>
    </row>
    <row r="2571" spans="1:24" hidden="1">
      <c r="A2571">
        <v>976</v>
      </c>
      <c r="B2571" s="2">
        <v>46235.547222222202</v>
      </c>
      <c r="C2571" s="2">
        <v>46235.547754629602</v>
      </c>
      <c r="D2571" s="1" t="s">
        <v>24</v>
      </c>
      <c r="E2571" s="1"/>
      <c r="F2571" s="29">
        <v>46235</v>
      </c>
      <c r="G2571" s="29">
        <v>46235</v>
      </c>
      <c r="H2571" s="1" t="s">
        <v>269</v>
      </c>
      <c r="I2571" s="1" t="s">
        <v>5875</v>
      </c>
      <c r="J2571" s="207" t="s">
        <v>5876</v>
      </c>
      <c r="K2571" s="188" t="s">
        <v>5877</v>
      </c>
      <c r="L2571" s="62">
        <v>23269236</v>
      </c>
      <c r="M2571" s="102">
        <v>5216675787395</v>
      </c>
      <c r="N2571" s="172" t="s">
        <v>74</v>
      </c>
      <c r="O2571" s="91"/>
      <c r="P2571" s="91"/>
      <c r="Q2571" s="42">
        <f>OfficeForms.Table[[#This Row],[ INFORMEDEPAGO ]]*0.3</f>
        <v>0</v>
      </c>
      <c r="R2571" s="12">
        <f>(IF(O2571&lt;4172.98,0,MIN(O2571*0.3,O2571-4172.98)))-P2571</f>
        <v>0</v>
      </c>
      <c r="S2571" s="78"/>
      <c r="T2571" s="1"/>
      <c r="V2571" s="1"/>
      <c r="X2571" s="101">
        <v>1</v>
      </c>
    </row>
    <row r="2572" spans="1:24" hidden="1">
      <c r="A2572">
        <v>977</v>
      </c>
      <c r="B2572" s="2">
        <v>46235.5547800926</v>
      </c>
      <c r="C2572" s="2">
        <v>46235.555381944403</v>
      </c>
      <c r="D2572" s="1" t="s">
        <v>24</v>
      </c>
      <c r="E2572" s="1"/>
      <c r="F2572" s="29">
        <v>46235</v>
      </c>
      <c r="G2572" s="29">
        <v>46235</v>
      </c>
      <c r="H2572" s="1" t="s">
        <v>3036</v>
      </c>
      <c r="I2572" s="1" t="s">
        <v>5878</v>
      </c>
      <c r="J2572" s="207">
        <v>82836604767</v>
      </c>
      <c r="K2572" s="188" t="s">
        <v>5879</v>
      </c>
      <c r="L2572" s="62">
        <v>23281462</v>
      </c>
      <c r="M2572" s="102">
        <v>5219912170555</v>
      </c>
      <c r="N2572" s="172" t="s">
        <v>47</v>
      </c>
      <c r="O2572" s="91">
        <v>4541.58</v>
      </c>
      <c r="P2572" s="91"/>
      <c r="Q2572" s="42">
        <f>OfficeForms.Table[[#This Row],[ INFORMEDEPAGO ]]*0.3</f>
        <v>1362.4739999999999</v>
      </c>
      <c r="R2572" s="12">
        <f>(IF(O2572&lt;4172.98,0,MIN(O2572*0.3,O2572-4172.98)))-P2572</f>
        <v>368.60000000000036</v>
      </c>
      <c r="S2572" s="78"/>
      <c r="T2572" s="1"/>
      <c r="V2572" s="1"/>
      <c r="X2572" s="101">
        <v>1</v>
      </c>
    </row>
    <row r="2573" spans="1:24" hidden="1">
      <c r="A2573">
        <v>978</v>
      </c>
      <c r="B2573" s="2">
        <v>46235.562175925901</v>
      </c>
      <c r="C2573" s="2">
        <v>46235.5633101852</v>
      </c>
      <c r="D2573" s="1" t="s">
        <v>24</v>
      </c>
      <c r="E2573" s="1"/>
      <c r="F2573" s="29">
        <v>46235</v>
      </c>
      <c r="G2573" s="29">
        <v>46235</v>
      </c>
      <c r="H2573" s="1" t="s">
        <v>107</v>
      </c>
      <c r="I2573" s="1"/>
      <c r="J2573" s="207"/>
      <c r="K2573" s="188" t="s">
        <v>5880</v>
      </c>
      <c r="L2573" s="62">
        <v>23280426</v>
      </c>
      <c r="M2573" s="102">
        <v>5643718824</v>
      </c>
      <c r="N2573" s="172" t="s">
        <v>37</v>
      </c>
      <c r="O2573" s="91">
        <v>10525.73</v>
      </c>
      <c r="P2573" s="91">
        <v>3155.53</v>
      </c>
      <c r="Q2573" s="42">
        <f>OfficeForms.Table[[#This Row],[ INFORMEDEPAGO ]]*0.3</f>
        <v>3157.7189999999996</v>
      </c>
      <c r="R2573" s="12">
        <f>(IF(O2573&lt;4172.98,0,MIN(O2573*0.3,O2573-4172.98)))-P2573</f>
        <v>2.1889999999993961</v>
      </c>
      <c r="S2573" s="78">
        <v>46784</v>
      </c>
      <c r="T2573" s="1" t="s">
        <v>259</v>
      </c>
      <c r="V2573" s="1"/>
      <c r="X2573" s="101">
        <v>2</v>
      </c>
    </row>
    <row r="2574" spans="1:24" hidden="1">
      <c r="A2574">
        <v>979</v>
      </c>
      <c r="B2574" s="2">
        <v>46235.568090277797</v>
      </c>
      <c r="C2574" s="2">
        <v>46235.568796296298</v>
      </c>
      <c r="D2574" s="1" t="s">
        <v>24</v>
      </c>
      <c r="E2574" s="1"/>
      <c r="F2574" s="29">
        <v>46235</v>
      </c>
      <c r="G2574" s="29">
        <v>46235</v>
      </c>
      <c r="H2574" s="1" t="s">
        <v>5033</v>
      </c>
      <c r="I2574" s="1" t="s">
        <v>5881</v>
      </c>
      <c r="J2574" s="207"/>
      <c r="K2574" s="188" t="s">
        <v>5882</v>
      </c>
      <c r="L2574" s="62">
        <v>23266716</v>
      </c>
      <c r="M2574" s="102">
        <v>5212721755543</v>
      </c>
      <c r="N2574" s="172" t="s">
        <v>32</v>
      </c>
      <c r="O2574" s="91">
        <v>4136.6099999999997</v>
      </c>
      <c r="P2574" s="91"/>
      <c r="Q2574" s="42">
        <f>OfficeForms.Table[[#This Row],[ INFORMEDEPAGO ]]*0.3</f>
        <v>1240.9829999999999</v>
      </c>
      <c r="R2574" s="12">
        <f>(IF(O2574&lt;4172.98,0,MIN(O2574*0.3,O2574-4172.98)))-P2574</f>
        <v>0</v>
      </c>
      <c r="S2574" s="78"/>
      <c r="T2574" s="1"/>
      <c r="V2574" s="1"/>
      <c r="X2574" s="101">
        <v>1</v>
      </c>
    </row>
    <row r="2575" spans="1:24" hidden="1">
      <c r="A2575">
        <v>980</v>
      </c>
      <c r="B2575" s="2">
        <v>46235.569305555597</v>
      </c>
      <c r="C2575" s="2">
        <v>46235.570335648197</v>
      </c>
      <c r="D2575" s="1" t="s">
        <v>24</v>
      </c>
      <c r="E2575" s="1"/>
      <c r="F2575" s="29">
        <v>46235</v>
      </c>
      <c r="G2575" s="29">
        <v>46235</v>
      </c>
      <c r="H2575" s="1" t="s">
        <v>5033</v>
      </c>
      <c r="I2575" s="1" t="s">
        <v>5883</v>
      </c>
      <c r="J2575" s="207">
        <v>10815911556</v>
      </c>
      <c r="K2575" s="188"/>
      <c r="L2575" s="62">
        <v>23282022</v>
      </c>
      <c r="M2575" s="102">
        <v>5219982015487</v>
      </c>
      <c r="N2575" s="172" t="s">
        <v>28</v>
      </c>
      <c r="O2575" s="91">
        <v>16742.91</v>
      </c>
      <c r="P2575" s="91"/>
      <c r="Q2575" s="42">
        <f>OfficeForms.Table[[#This Row],[ INFORMEDEPAGO ]]*0.3</f>
        <v>5022.8729999999996</v>
      </c>
      <c r="R2575" s="12">
        <f>(IF(O2575&lt;4172.98,0,MIN(O2575*0.3,O2575-4172.98)))-P2575</f>
        <v>5022.8729999999996</v>
      </c>
      <c r="S2575" s="78"/>
      <c r="T2575" s="1"/>
      <c r="V2575" s="1"/>
      <c r="X2575" s="101">
        <v>1</v>
      </c>
    </row>
    <row r="2576" spans="1:24" hidden="1">
      <c r="A2576">
        <v>981</v>
      </c>
      <c r="B2576" s="2">
        <v>46235.572407407402</v>
      </c>
      <c r="C2576" s="2">
        <v>46235.574224536998</v>
      </c>
      <c r="D2576" s="1" t="s">
        <v>24</v>
      </c>
      <c r="E2576" s="1"/>
      <c r="F2576" s="29">
        <v>46235</v>
      </c>
      <c r="G2576" s="29">
        <v>46235</v>
      </c>
      <c r="H2576" s="1" t="s">
        <v>5691</v>
      </c>
      <c r="I2576" s="1"/>
      <c r="J2576" s="207">
        <v>32866580841</v>
      </c>
      <c r="K2576" s="188"/>
      <c r="L2576" s="62">
        <v>23281854</v>
      </c>
      <c r="M2576" s="102">
        <v>8441032767</v>
      </c>
      <c r="N2576" s="172" t="s">
        <v>28</v>
      </c>
      <c r="O2576" s="91">
        <f>8912.32+848</f>
        <v>9760.32</v>
      </c>
      <c r="P2576" s="91">
        <v>848</v>
      </c>
      <c r="Q2576" s="42">
        <f>OfficeForms.Table[[#This Row],[ INFORMEDEPAGO ]]*0.3</f>
        <v>2928.096</v>
      </c>
      <c r="R2576" s="12">
        <f>(IF(O2576&lt;4172.98,0,MIN(O2576*0.3,O2576-4172.98)))-P2576</f>
        <v>2080.096</v>
      </c>
      <c r="S2576" s="78"/>
      <c r="T2576" s="1"/>
      <c r="V2576" s="1"/>
      <c r="X2576" s="101">
        <v>1</v>
      </c>
    </row>
    <row r="2577" spans="1:24" hidden="1">
      <c r="A2577">
        <v>982</v>
      </c>
      <c r="B2577" s="2">
        <v>46235.582071759301</v>
      </c>
      <c r="C2577" s="2">
        <v>46235.583831018499</v>
      </c>
      <c r="D2577" s="1" t="s">
        <v>24</v>
      </c>
      <c r="E2577" s="1"/>
      <c r="F2577" s="29">
        <v>46235</v>
      </c>
      <c r="G2577" s="29">
        <v>46235</v>
      </c>
      <c r="H2577" s="1" t="s">
        <v>3022</v>
      </c>
      <c r="I2577" s="1" t="s">
        <v>5884</v>
      </c>
      <c r="J2577" s="207"/>
      <c r="K2577" s="188" t="s">
        <v>5885</v>
      </c>
      <c r="L2577" s="62">
        <v>23281456</v>
      </c>
      <c r="M2577" s="102">
        <v>9712630208</v>
      </c>
      <c r="N2577" s="172" t="s">
        <v>37</v>
      </c>
      <c r="O2577" s="91">
        <v>4813.6899999999996</v>
      </c>
      <c r="P2577" s="91">
        <v>589.46</v>
      </c>
      <c r="Q2577" s="42">
        <f>OfficeForms.Table[[#This Row],[ INFORMEDEPAGO ]]*0.3</f>
        <v>1444.1069999999997</v>
      </c>
      <c r="R2577" s="12">
        <f>(IF(O2577&lt;4172.98,0,MIN(O2577*0.3,O2577-4172.98)))-P2577</f>
        <v>51.25</v>
      </c>
      <c r="S2577" s="78">
        <v>46357</v>
      </c>
      <c r="T2577" s="1"/>
      <c r="V2577" s="1"/>
      <c r="X2577" s="101">
        <v>2</v>
      </c>
    </row>
    <row r="2578" spans="1:24" hidden="1">
      <c r="A2578">
        <v>983</v>
      </c>
      <c r="B2578" s="2">
        <v>46235.587268518502</v>
      </c>
      <c r="C2578" s="2">
        <v>46235.5878703704</v>
      </c>
      <c r="D2578" s="1" t="s">
        <v>24</v>
      </c>
      <c r="E2578" s="1"/>
      <c r="F2578" s="29">
        <v>46235</v>
      </c>
      <c r="G2578" s="29">
        <v>46235</v>
      </c>
      <c r="H2578" s="1" t="s">
        <v>3036</v>
      </c>
      <c r="I2578" s="1" t="s">
        <v>5886</v>
      </c>
      <c r="J2578" s="207"/>
      <c r="K2578" s="188" t="s">
        <v>5887</v>
      </c>
      <c r="L2578" s="62">
        <v>23282696</v>
      </c>
      <c r="M2578" s="102">
        <v>5214361052043</v>
      </c>
      <c r="N2578" s="172" t="s">
        <v>37</v>
      </c>
      <c r="O2578" s="91">
        <v>32424.639999999999</v>
      </c>
      <c r="P2578" s="91">
        <v>9720.76</v>
      </c>
      <c r="Q2578" s="42">
        <f>OfficeForms.Table[[#This Row],[ INFORMEDEPAGO ]]*0.3</f>
        <v>9727.3919999999998</v>
      </c>
      <c r="R2578" s="12">
        <f>(IF(O2578&lt;4172.98,0,MIN(O2578*0.3,O2578-4172.98)))-P2578</f>
        <v>6.6319999999996071</v>
      </c>
      <c r="S2578" s="78">
        <v>46905</v>
      </c>
      <c r="T2578" s="1"/>
      <c r="V2578" s="1"/>
      <c r="X2578" s="101">
        <v>2</v>
      </c>
    </row>
    <row r="2579" spans="1:24" hidden="1">
      <c r="A2579">
        <v>984</v>
      </c>
      <c r="B2579" s="2">
        <v>46235.589108796303</v>
      </c>
      <c r="C2579" s="2">
        <v>46235.589733796303</v>
      </c>
      <c r="D2579" s="1" t="s">
        <v>24</v>
      </c>
      <c r="E2579" s="1"/>
      <c r="F2579" s="29">
        <v>46235</v>
      </c>
      <c r="G2579" s="29">
        <v>46235</v>
      </c>
      <c r="H2579" s="1" t="s">
        <v>269</v>
      </c>
      <c r="I2579" s="1" t="s">
        <v>5888</v>
      </c>
      <c r="J2579" s="207" t="s">
        <v>5889</v>
      </c>
      <c r="K2579" s="188" t="s">
        <v>5890</v>
      </c>
      <c r="L2579" s="62">
        <v>23277374</v>
      </c>
      <c r="M2579" s="102">
        <v>5214921368960</v>
      </c>
      <c r="N2579" s="172" t="s">
        <v>106</v>
      </c>
      <c r="O2579" s="91">
        <v>6543.63</v>
      </c>
      <c r="P2579" s="91">
        <v>1815.94</v>
      </c>
      <c r="Q2579" s="42">
        <f>OfficeForms.Table[[#This Row],[ INFORMEDEPAGO ]]*0.3</f>
        <v>1963.0889999999999</v>
      </c>
      <c r="R2579" s="12">
        <f>(IF(O2579&lt;4172.98,0,MIN(O2579*0.3,O2579-4172.98)))-P2579</f>
        <v>147.14899999999989</v>
      </c>
      <c r="S2579" s="78">
        <v>46143</v>
      </c>
      <c r="T2579" s="1"/>
      <c r="V2579" s="1"/>
      <c r="X2579" s="101">
        <v>2</v>
      </c>
    </row>
    <row r="2580" spans="1:24" hidden="1">
      <c r="A2580">
        <v>985</v>
      </c>
      <c r="B2580" s="2">
        <v>46235.591921296298</v>
      </c>
      <c r="C2580" s="2">
        <v>46235.592511574097</v>
      </c>
      <c r="D2580" s="1" t="s">
        <v>24</v>
      </c>
      <c r="E2580" s="1"/>
      <c r="F2580" s="29">
        <v>46235</v>
      </c>
      <c r="G2580" s="29">
        <v>46235</v>
      </c>
      <c r="H2580" s="1" t="s">
        <v>3036</v>
      </c>
      <c r="I2580" s="1" t="s">
        <v>5891</v>
      </c>
      <c r="J2580" s="207">
        <v>65765510584</v>
      </c>
      <c r="K2580" s="188" t="s">
        <v>5892</v>
      </c>
      <c r="L2580" s="62">
        <v>23280628</v>
      </c>
      <c r="M2580" s="102">
        <v>5217841337416</v>
      </c>
      <c r="N2580" s="172" t="s">
        <v>32</v>
      </c>
      <c r="O2580" s="91">
        <v>4153.45</v>
      </c>
      <c r="P2580" s="91"/>
      <c r="Q2580" s="42">
        <f>OfficeForms.Table[[#This Row],[ INFORMEDEPAGO ]]*0.3</f>
        <v>1246.0349999999999</v>
      </c>
      <c r="R2580" s="12">
        <f>(IF(O2580&lt;4172.98,0,MIN(O2580*0.3,O2580-4172.98)))-P2580</f>
        <v>0</v>
      </c>
      <c r="S2580" s="78"/>
      <c r="T2580" s="1"/>
      <c r="V2580" s="1"/>
      <c r="X2580" s="101">
        <v>1</v>
      </c>
    </row>
    <row r="2581" spans="1:24" hidden="1">
      <c r="A2581">
        <v>986</v>
      </c>
      <c r="B2581" s="2">
        <v>46235.606597222199</v>
      </c>
      <c r="C2581" s="2">
        <v>46235.607002314799</v>
      </c>
      <c r="D2581" s="1" t="s">
        <v>24</v>
      </c>
      <c r="E2581" s="1"/>
      <c r="F2581" s="29">
        <v>46235</v>
      </c>
      <c r="G2581" s="29">
        <v>46235</v>
      </c>
      <c r="H2581" s="1" t="s">
        <v>269</v>
      </c>
      <c r="I2581" s="1" t="s">
        <v>5893</v>
      </c>
      <c r="J2581" s="207" t="s">
        <v>5894</v>
      </c>
      <c r="K2581" s="188" t="s">
        <v>5895</v>
      </c>
      <c r="L2581" s="62">
        <v>23279482</v>
      </c>
      <c r="M2581" s="102">
        <v>5213326780392</v>
      </c>
      <c r="N2581" s="172" t="s">
        <v>37</v>
      </c>
      <c r="O2581" s="91">
        <v>9081.52</v>
      </c>
      <c r="P2581" s="91">
        <v>2617.79</v>
      </c>
      <c r="Q2581" s="42">
        <f>OfficeForms.Table[[#This Row],[ INFORMEDEPAGO ]]*0.3</f>
        <v>2724.4560000000001</v>
      </c>
      <c r="R2581" s="12">
        <f>(IF(O2581&lt;4172.98,0,MIN(O2581*0.3,O2581-4172.98)))-P2581</f>
        <v>106.66600000000017</v>
      </c>
      <c r="S2581" s="78">
        <v>46478</v>
      </c>
      <c r="T2581" s="1"/>
      <c r="V2581" s="1"/>
      <c r="X2581" s="101">
        <v>2</v>
      </c>
    </row>
    <row r="2582" spans="1:24" hidden="1">
      <c r="A2582">
        <v>987</v>
      </c>
      <c r="B2582" s="2">
        <v>46235.606446759302</v>
      </c>
      <c r="C2582" s="2">
        <v>46235.607199074097</v>
      </c>
      <c r="D2582" s="1" t="s">
        <v>24</v>
      </c>
      <c r="E2582" s="1"/>
      <c r="F2582" s="29">
        <v>46235</v>
      </c>
      <c r="G2582" s="29">
        <v>46235</v>
      </c>
      <c r="H2582" s="1" t="s">
        <v>26</v>
      </c>
      <c r="I2582" s="1" t="s">
        <v>5896</v>
      </c>
      <c r="J2582" s="207">
        <v>21836737169</v>
      </c>
      <c r="K2582" s="188" t="s">
        <v>5897</v>
      </c>
      <c r="L2582" s="62">
        <v>23281266</v>
      </c>
      <c r="M2582" s="102">
        <v>5216868849411</v>
      </c>
      <c r="N2582" s="172" t="s">
        <v>74</v>
      </c>
      <c r="O2582" s="91"/>
      <c r="P2582" s="91"/>
      <c r="Q2582" s="42">
        <f>OfficeForms.Table[[#This Row],[ INFORMEDEPAGO ]]*0.3</f>
        <v>0</v>
      </c>
      <c r="R2582" s="12">
        <f>(IF(O2582&lt;4172.98,0,MIN(O2582*0.3,O2582-4172.98)))-P2582</f>
        <v>0</v>
      </c>
      <c r="S2582" s="78"/>
      <c r="T2582" s="1"/>
      <c r="V2582" s="1"/>
      <c r="X2582" s="101">
        <v>1</v>
      </c>
    </row>
    <row r="2583" spans="1:24" hidden="1">
      <c r="A2583">
        <v>988</v>
      </c>
      <c r="B2583" s="2">
        <v>46235.519791666702</v>
      </c>
      <c r="C2583" s="2">
        <v>46235.611701388902</v>
      </c>
      <c r="D2583" s="1" t="s">
        <v>24</v>
      </c>
      <c r="E2583" s="1"/>
      <c r="F2583" s="29">
        <v>46235</v>
      </c>
      <c r="G2583" s="29">
        <v>46216</v>
      </c>
      <c r="H2583" s="1" t="s">
        <v>51</v>
      </c>
      <c r="I2583" s="1" t="s">
        <v>5898</v>
      </c>
      <c r="J2583" s="207">
        <v>20926909209</v>
      </c>
      <c r="K2583" s="188" t="s">
        <v>5899</v>
      </c>
      <c r="L2583" s="62">
        <v>22665472</v>
      </c>
      <c r="M2583" s="102">
        <v>5215561587638</v>
      </c>
      <c r="N2583" s="172" t="s">
        <v>263</v>
      </c>
      <c r="O2583" s="91">
        <v>34716.49</v>
      </c>
      <c r="P2583" s="91">
        <v>9671.43</v>
      </c>
      <c r="Q2583" s="42">
        <f>OfficeForms.Table[[#This Row],[ INFORMEDEPAGO ]]*0.3</f>
        <v>10414.946999999998</v>
      </c>
      <c r="R2583" s="12">
        <f>(IF(O2583&lt;4172.98,0,MIN(O2583*0.3,O2583-4172.98)))-P2583</f>
        <v>743.51699999999801</v>
      </c>
      <c r="S2583" s="78">
        <v>46082</v>
      </c>
      <c r="T2583" s="1"/>
      <c r="V2583" s="1"/>
      <c r="X2583" s="101">
        <v>2</v>
      </c>
    </row>
    <row r="2584" spans="1:24" hidden="1">
      <c r="A2584">
        <v>989</v>
      </c>
      <c r="B2584" s="2">
        <v>46235.6109953704</v>
      </c>
      <c r="C2584" s="2">
        <v>46235.613125000003</v>
      </c>
      <c r="D2584" s="1" t="s">
        <v>24</v>
      </c>
      <c r="E2584" s="1"/>
      <c r="F2584" s="29">
        <v>46235</v>
      </c>
      <c r="G2584" s="29">
        <v>46234</v>
      </c>
      <c r="H2584" s="1" t="s">
        <v>160</v>
      </c>
      <c r="I2584" s="1" t="s">
        <v>5900</v>
      </c>
      <c r="J2584" s="207">
        <v>23725600375</v>
      </c>
      <c r="K2584" s="188" t="s">
        <v>5901</v>
      </c>
      <c r="L2584" s="62">
        <v>23267250</v>
      </c>
      <c r="M2584" s="102">
        <v>5216671000501</v>
      </c>
      <c r="N2584" s="172" t="s">
        <v>37</v>
      </c>
      <c r="O2584" s="91">
        <v>14507.4</v>
      </c>
      <c r="P2584" s="91">
        <v>4234.8599999999997</v>
      </c>
      <c r="Q2584" s="42">
        <f>OfficeForms.Table[[#This Row],[ INFORMEDEPAGO ]]*0.3</f>
        <v>4352.2199999999993</v>
      </c>
      <c r="R2584" s="12">
        <f>(IF(O2584&lt;4172.98,0,MIN(O2584*0.3,O2584-4172.98)))-P2584</f>
        <v>117.35999999999967</v>
      </c>
      <c r="S2584" s="78">
        <v>46813</v>
      </c>
      <c r="T2584" s="1"/>
      <c r="V2584" s="1"/>
      <c r="X2584" s="101">
        <v>2</v>
      </c>
    </row>
    <row r="2585" spans="1:24" hidden="1">
      <c r="A2585">
        <v>990</v>
      </c>
      <c r="B2585" s="2">
        <v>46235.616932870398</v>
      </c>
      <c r="C2585" s="2">
        <v>46235.617673611101</v>
      </c>
      <c r="D2585" s="1" t="s">
        <v>24</v>
      </c>
      <c r="E2585" s="1"/>
      <c r="F2585" s="29">
        <v>46235</v>
      </c>
      <c r="G2585" s="29">
        <v>46235</v>
      </c>
      <c r="H2585" s="1" t="s">
        <v>3007</v>
      </c>
      <c r="I2585" s="1" t="s">
        <v>5902</v>
      </c>
      <c r="J2585" s="207">
        <v>65634517463</v>
      </c>
      <c r="K2585" s="188"/>
      <c r="L2585" s="62">
        <v>23281970</v>
      </c>
      <c r="M2585" s="102">
        <v>2291702382</v>
      </c>
      <c r="N2585" s="172" t="s">
        <v>37</v>
      </c>
      <c r="O2585" s="91">
        <v>24031.29</v>
      </c>
      <c r="P2585" s="91">
        <v>7207.68</v>
      </c>
      <c r="Q2585" s="42">
        <f>OfficeForms.Table[[#This Row],[ INFORMEDEPAGO ]]*0.3</f>
        <v>7209.3869999999997</v>
      </c>
      <c r="R2585" s="12">
        <f>(IF(O2585&lt;4172.98,0,MIN(O2585*0.3,O2585-4172.98)))-P2585</f>
        <v>1.7069999999994252</v>
      </c>
      <c r="S2585" s="78">
        <v>46357</v>
      </c>
      <c r="T2585" s="1"/>
      <c r="V2585" s="1"/>
      <c r="X2585" s="101">
        <v>2</v>
      </c>
    </row>
    <row r="2586" spans="1:24" hidden="1">
      <c r="A2586">
        <v>991</v>
      </c>
      <c r="B2586" s="2">
        <v>46235.6155208333</v>
      </c>
      <c r="C2586" s="2">
        <v>46235.620451388902</v>
      </c>
      <c r="D2586" s="1" t="s">
        <v>24</v>
      </c>
      <c r="E2586" s="1"/>
      <c r="F2586" s="29">
        <v>46235</v>
      </c>
      <c r="G2586" s="29">
        <v>46235</v>
      </c>
      <c r="H2586" s="1" t="s">
        <v>160</v>
      </c>
      <c r="I2586" s="1" t="s">
        <v>5903</v>
      </c>
      <c r="J2586" s="207">
        <v>62816424592</v>
      </c>
      <c r="K2586" s="188" t="s">
        <v>5904</v>
      </c>
      <c r="L2586" s="62">
        <v>23279078</v>
      </c>
      <c r="M2586" s="102">
        <v>5215521442401</v>
      </c>
      <c r="N2586" s="172" t="s">
        <v>37</v>
      </c>
      <c r="O2586" s="91">
        <v>9081.52</v>
      </c>
      <c r="P2586" s="91">
        <v>2724.46</v>
      </c>
      <c r="Q2586" s="42">
        <f>OfficeForms.Table[[#This Row],[ INFORMEDEPAGO ]]*0.3</f>
        <v>2724.4560000000001</v>
      </c>
      <c r="R2586" s="12">
        <f>(IF(O2586&lt;4172.98,0,MIN(O2586*0.3,O2586-4172.98)))-P2586</f>
        <v>-3.9999999999054126E-3</v>
      </c>
      <c r="S2586" s="78">
        <v>46784</v>
      </c>
      <c r="T2586" s="1"/>
      <c r="V2586" s="1"/>
      <c r="X2586" s="101">
        <v>2</v>
      </c>
    </row>
    <row r="2587" spans="1:24" hidden="1">
      <c r="A2587">
        <v>992</v>
      </c>
      <c r="B2587" s="2">
        <v>46235.619733796302</v>
      </c>
      <c r="C2587" s="2">
        <v>46235.621099536998</v>
      </c>
      <c r="D2587" s="1" t="s">
        <v>24</v>
      </c>
      <c r="E2587" s="1"/>
      <c r="F2587" s="29">
        <v>46235</v>
      </c>
      <c r="G2587" s="29">
        <v>46234</v>
      </c>
      <c r="H2587" s="1" t="s">
        <v>110</v>
      </c>
      <c r="I2587" s="1" t="s">
        <v>5905</v>
      </c>
      <c r="J2587" s="207"/>
      <c r="K2587" s="188" t="s">
        <v>5906</v>
      </c>
      <c r="L2587" s="62">
        <v>23283866</v>
      </c>
      <c r="M2587" s="102">
        <v>5217531315418</v>
      </c>
      <c r="N2587" s="172" t="s">
        <v>32</v>
      </c>
      <c r="O2587" s="91">
        <f>3018.25+848</f>
        <v>3866.25</v>
      </c>
      <c r="P2587" s="91">
        <v>848</v>
      </c>
      <c r="Q2587" s="42">
        <f>OfficeForms.Table[[#This Row],[ INFORMEDEPAGO ]]*0.3</f>
        <v>1159.875</v>
      </c>
      <c r="R2587" s="12">
        <f>(IF(O2587&lt;4172.98,0,MIN(O2587*0.3,O2587-4172.98)))-P2587</f>
        <v>-848</v>
      </c>
      <c r="S2587" s="78"/>
      <c r="T2587" s="1"/>
      <c r="V2587" s="1"/>
      <c r="X2587" s="101">
        <v>1</v>
      </c>
    </row>
    <row r="2588" spans="1:24" hidden="1">
      <c r="A2588">
        <v>993</v>
      </c>
      <c r="B2588" s="2">
        <v>46235.623055555603</v>
      </c>
      <c r="C2588" s="2">
        <v>46235.623668981498</v>
      </c>
      <c r="D2588" s="1" t="s">
        <v>24</v>
      </c>
      <c r="E2588" s="1"/>
      <c r="F2588" s="29">
        <v>46235</v>
      </c>
      <c r="G2588" s="29">
        <v>46235</v>
      </c>
      <c r="H2588" s="1" t="s">
        <v>3036</v>
      </c>
      <c r="I2588" s="1" t="s">
        <v>5907</v>
      </c>
      <c r="J2588" s="207">
        <v>43946212123</v>
      </c>
      <c r="K2588" s="188"/>
      <c r="L2588" s="62">
        <v>23282000</v>
      </c>
      <c r="M2588" s="102">
        <v>5218186848274</v>
      </c>
      <c r="N2588" s="172" t="s">
        <v>106</v>
      </c>
      <c r="O2588" s="91">
        <v>7116.73</v>
      </c>
      <c r="P2588" s="91">
        <v>1894.66</v>
      </c>
      <c r="Q2588" s="42">
        <f>OfficeForms.Table[[#This Row],[ INFORMEDEPAGO ]]*0.3</f>
        <v>2135.0189999999998</v>
      </c>
      <c r="R2588" s="12">
        <f>(IF(O2588&lt;4172.98,0,MIN(O2588*0.3,O2588-4172.98)))-P2588</f>
        <v>240.3589999999997</v>
      </c>
      <c r="S2588" s="78">
        <v>46235</v>
      </c>
      <c r="T2588" s="1"/>
      <c r="V2588" s="1"/>
      <c r="X2588" s="101">
        <v>2</v>
      </c>
    </row>
    <row r="2589" spans="1:24" hidden="1">
      <c r="A2589">
        <v>994</v>
      </c>
      <c r="B2589" s="2">
        <v>46235.622939814799</v>
      </c>
      <c r="C2589" s="2">
        <v>46235.6254050926</v>
      </c>
      <c r="D2589" s="1" t="s">
        <v>24</v>
      </c>
      <c r="E2589" s="1"/>
      <c r="F2589" s="29">
        <v>46235</v>
      </c>
      <c r="G2589" s="29">
        <v>46235</v>
      </c>
      <c r="H2589" s="1" t="s">
        <v>5033</v>
      </c>
      <c r="I2589" s="1" t="s">
        <v>5908</v>
      </c>
      <c r="J2589" s="207" t="s">
        <v>5909</v>
      </c>
      <c r="K2589" s="188"/>
      <c r="L2589" s="62">
        <v>23284122</v>
      </c>
      <c r="M2589" s="102">
        <v>5215565149857</v>
      </c>
      <c r="N2589" s="172" t="s">
        <v>37</v>
      </c>
      <c r="O2589" s="91">
        <v>7135.6</v>
      </c>
      <c r="P2589" s="91">
        <v>2064.4899999999998</v>
      </c>
      <c r="Q2589" s="42">
        <f>OfficeForms.Table[[#This Row],[ INFORMEDEPAGO ]]*0.3</f>
        <v>2140.6799999999998</v>
      </c>
      <c r="R2589" s="12">
        <f>(IF(O2589&lt;4172.98,0,MIN(O2589*0.3,O2589-4172.98)))-P2589</f>
        <v>76.190000000000055</v>
      </c>
      <c r="S2589" s="78">
        <v>46419</v>
      </c>
      <c r="T2589" s="1"/>
      <c r="V2589" s="1"/>
      <c r="X2589" s="101">
        <v>2</v>
      </c>
    </row>
    <row r="2590" spans="1:24" hidden="1">
      <c r="A2590">
        <v>995</v>
      </c>
      <c r="B2590" s="2">
        <v>46235.611724536997</v>
      </c>
      <c r="C2590" s="2">
        <v>46235.626736111102</v>
      </c>
      <c r="D2590" s="1" t="s">
        <v>24</v>
      </c>
      <c r="E2590" s="1"/>
      <c r="F2590" s="29">
        <v>46235</v>
      </c>
      <c r="G2590" s="29">
        <v>46234</v>
      </c>
      <c r="H2590" s="1" t="s">
        <v>51</v>
      </c>
      <c r="I2590" s="1" t="s">
        <v>5910</v>
      </c>
      <c r="J2590" s="207"/>
      <c r="K2590" s="188" t="s">
        <v>5911</v>
      </c>
      <c r="L2590" s="62">
        <v>23254644</v>
      </c>
      <c r="M2590" s="102">
        <v>5219613291778</v>
      </c>
      <c r="N2590" s="172" t="s">
        <v>28</v>
      </c>
      <c r="O2590" s="91">
        <v>5671.51</v>
      </c>
      <c r="P2590" s="91"/>
      <c r="Q2590" s="42">
        <f>OfficeForms.Table[[#This Row],[ INFORMEDEPAGO ]]*0.3</f>
        <v>1701.453</v>
      </c>
      <c r="R2590" s="12">
        <f>(IF(O2590&lt;4172.98,0,MIN(O2590*0.3,O2590-4172.98)))-P2590</f>
        <v>1498.5300000000007</v>
      </c>
      <c r="S2590" s="78"/>
      <c r="T2590" s="1"/>
      <c r="V2590" s="1"/>
      <c r="X2590" s="101">
        <v>1</v>
      </c>
    </row>
    <row r="2591" spans="1:24" hidden="1">
      <c r="A2591">
        <v>996</v>
      </c>
      <c r="B2591" s="2">
        <v>46235.623275462996</v>
      </c>
      <c r="C2591" s="2">
        <v>46235.6277430556</v>
      </c>
      <c r="D2591" s="1" t="s">
        <v>24</v>
      </c>
      <c r="E2591" s="1"/>
      <c r="F2591" s="29">
        <v>46235</v>
      </c>
      <c r="G2591" s="29">
        <v>46234</v>
      </c>
      <c r="H2591" s="1" t="s">
        <v>78</v>
      </c>
      <c r="I2591" s="1" t="s">
        <v>5912</v>
      </c>
      <c r="J2591" s="207">
        <v>53806100508</v>
      </c>
      <c r="K2591" s="188" t="s">
        <v>5913</v>
      </c>
      <c r="L2591" s="62">
        <v>23269072</v>
      </c>
      <c r="M2591" s="102">
        <v>5214591230115</v>
      </c>
      <c r="N2591" s="172" t="s">
        <v>28</v>
      </c>
      <c r="O2591" s="91">
        <v>6262.86</v>
      </c>
      <c r="P2591" s="91"/>
      <c r="Q2591" s="42">
        <f>OfficeForms.Table[[#This Row],[ INFORMEDEPAGO ]]*0.3</f>
        <v>1878.8579999999997</v>
      </c>
      <c r="R2591" s="12">
        <f>(IF(O2591&lt;4172.98,0,MIN(O2591*0.3,O2591-4172.98)))-P2591</f>
        <v>1878.8579999999997</v>
      </c>
      <c r="S2591" s="78"/>
      <c r="T2591" s="1"/>
      <c r="V2591" s="1"/>
      <c r="X2591" s="101">
        <v>1</v>
      </c>
    </row>
    <row r="2592" spans="1:24" hidden="1">
      <c r="A2592">
        <v>997</v>
      </c>
      <c r="B2592" s="2">
        <v>46235.623310185198</v>
      </c>
      <c r="C2592" s="2">
        <v>46235.628611111097</v>
      </c>
      <c r="D2592" s="1" t="s">
        <v>24</v>
      </c>
      <c r="E2592" s="1"/>
      <c r="F2592" s="29">
        <v>46235</v>
      </c>
      <c r="G2592" s="29">
        <v>46234</v>
      </c>
      <c r="H2592" s="1" t="s">
        <v>78</v>
      </c>
      <c r="I2592" s="1" t="s">
        <v>5914</v>
      </c>
      <c r="J2592" s="207">
        <v>1284654439</v>
      </c>
      <c r="K2592" s="188" t="s">
        <v>5915</v>
      </c>
      <c r="L2592" s="62">
        <v>23255780</v>
      </c>
      <c r="M2592" s="102">
        <v>5214779134337</v>
      </c>
      <c r="N2592" s="172" t="s">
        <v>37</v>
      </c>
      <c r="O2592" s="91">
        <v>9760.32</v>
      </c>
      <c r="P2592" s="91">
        <v>2914.24</v>
      </c>
      <c r="Q2592" s="42">
        <f>OfficeForms.Table[[#This Row],[ INFORMEDEPAGO ]]*0.3</f>
        <v>2928.096</v>
      </c>
      <c r="R2592" s="12">
        <f>(IF(O2592&lt;4172.98,0,MIN(O2592*0.3,O2592-4172.98)))-P2592</f>
        <v>13.856000000000222</v>
      </c>
      <c r="S2592" s="78">
        <v>46784</v>
      </c>
      <c r="T2592" s="1"/>
      <c r="V2592" s="1"/>
      <c r="X2592" s="101">
        <v>2</v>
      </c>
    </row>
    <row r="2593" spans="1:24" hidden="1">
      <c r="A2593">
        <v>998</v>
      </c>
      <c r="B2593" s="2">
        <v>46235.630543981497</v>
      </c>
      <c r="C2593" s="2">
        <v>46235.632881944402</v>
      </c>
      <c r="D2593" s="1" t="s">
        <v>24</v>
      </c>
      <c r="E2593" s="1"/>
      <c r="F2593" s="29">
        <v>46235</v>
      </c>
      <c r="G2593" s="29">
        <v>46235</v>
      </c>
      <c r="H2593" s="1" t="s">
        <v>5605</v>
      </c>
      <c r="I2593" s="1" t="s">
        <v>5916</v>
      </c>
      <c r="J2593" s="207"/>
      <c r="K2593" s="188" t="s">
        <v>5917</v>
      </c>
      <c r="L2593" s="62">
        <v>23283264</v>
      </c>
      <c r="M2593" s="102">
        <v>5653397294</v>
      </c>
      <c r="N2593" s="172" t="s">
        <v>37</v>
      </c>
      <c r="O2593" s="91">
        <v>12017.89</v>
      </c>
      <c r="P2593" s="91">
        <v>3475.37</v>
      </c>
      <c r="Q2593" s="42">
        <f>OfficeForms.Table[[#This Row],[ INFORMEDEPAGO ]]*0.3</f>
        <v>3605.3669999999997</v>
      </c>
      <c r="R2593" s="12">
        <f>(IF(O2593&lt;4172.98,0,MIN(O2593*0.3,O2593-4172.98)))-P2593</f>
        <v>129.99699999999984</v>
      </c>
      <c r="S2593" s="78">
        <v>46569</v>
      </c>
      <c r="T2593" s="1"/>
      <c r="V2593" s="1"/>
      <c r="X2593" s="101">
        <v>2</v>
      </c>
    </row>
    <row r="2594" spans="1:24" hidden="1">
      <c r="A2594">
        <v>999</v>
      </c>
      <c r="B2594" s="2">
        <v>46235.632025462997</v>
      </c>
      <c r="C2594" s="2">
        <v>46235.633125</v>
      </c>
      <c r="D2594" s="1" t="s">
        <v>24</v>
      </c>
      <c r="E2594" s="1"/>
      <c r="F2594" s="29">
        <v>46235</v>
      </c>
      <c r="G2594" s="29">
        <v>46235</v>
      </c>
      <c r="H2594" s="1" t="s">
        <v>3007</v>
      </c>
      <c r="I2594" s="1" t="s">
        <v>5918</v>
      </c>
      <c r="J2594" s="207"/>
      <c r="K2594" s="188" t="s">
        <v>5919</v>
      </c>
      <c r="L2594" s="62">
        <v>23284304</v>
      </c>
      <c r="M2594" s="102">
        <v>6871789395</v>
      </c>
      <c r="N2594" s="172" t="s">
        <v>37</v>
      </c>
      <c r="O2594" s="91">
        <v>24501.4</v>
      </c>
      <c r="P2594" s="91">
        <v>7085.2</v>
      </c>
      <c r="Q2594" s="42">
        <f>OfficeForms.Table[[#This Row],[ INFORMEDEPAGO ]]*0.3</f>
        <v>7350.42</v>
      </c>
      <c r="R2594" s="12">
        <f>(IF(O2594&lt;4172.98,0,MIN(O2594*0.3,O2594-4172.98)))-P2594</f>
        <v>265.22000000000025</v>
      </c>
      <c r="S2594" s="78">
        <v>46722</v>
      </c>
      <c r="T2594" s="1"/>
      <c r="V2594" s="1"/>
      <c r="X2594" s="101">
        <v>2</v>
      </c>
    </row>
    <row r="2595" spans="1:24" hidden="1">
      <c r="A2595">
        <v>1000</v>
      </c>
      <c r="B2595" s="2">
        <v>46235.635532407403</v>
      </c>
      <c r="C2595" s="2">
        <v>46235.636053240698</v>
      </c>
      <c r="D2595" s="1" t="s">
        <v>24</v>
      </c>
      <c r="E2595" s="1"/>
      <c r="F2595" s="29">
        <v>46235</v>
      </c>
      <c r="G2595" s="29">
        <v>46235</v>
      </c>
      <c r="H2595" s="1" t="s">
        <v>3007</v>
      </c>
      <c r="I2595" s="1" t="s">
        <v>5920</v>
      </c>
      <c r="J2595" s="207"/>
      <c r="K2595" s="188" t="s">
        <v>5921</v>
      </c>
      <c r="L2595" s="62">
        <v>23284602</v>
      </c>
      <c r="M2595" s="102">
        <v>4423357603</v>
      </c>
      <c r="N2595" s="172" t="s">
        <v>32</v>
      </c>
      <c r="O2595" s="91">
        <v>4342.43</v>
      </c>
      <c r="P2595" s="91"/>
      <c r="Q2595" s="42">
        <f>OfficeForms.Table[[#This Row],[ INFORMEDEPAGO ]]*0.3</f>
        <v>1302.729</v>
      </c>
      <c r="R2595" s="12">
        <f>(IF(O2595&lt;4172.98,0,MIN(O2595*0.3,O2595-4172.98)))-P2595</f>
        <v>169.45000000000073</v>
      </c>
      <c r="S2595" s="78"/>
      <c r="T2595" s="1"/>
      <c r="V2595" s="1"/>
      <c r="X2595" s="101">
        <v>1</v>
      </c>
    </row>
    <row r="2596" spans="1:24" hidden="1">
      <c r="A2596">
        <v>1001</v>
      </c>
      <c r="B2596" s="2">
        <v>46235.638449074097</v>
      </c>
      <c r="C2596" s="2">
        <v>46235.640185185199</v>
      </c>
      <c r="D2596" s="1" t="s">
        <v>24</v>
      </c>
      <c r="E2596" s="1"/>
      <c r="F2596" s="29">
        <v>46235</v>
      </c>
      <c r="G2596" s="29">
        <v>46235</v>
      </c>
      <c r="H2596" s="1" t="s">
        <v>5605</v>
      </c>
      <c r="I2596" s="1" t="s">
        <v>5922</v>
      </c>
      <c r="J2596" s="207"/>
      <c r="K2596" s="188" t="s">
        <v>5923</v>
      </c>
      <c r="L2596" s="62">
        <v>23282816</v>
      </c>
      <c r="M2596" s="102">
        <v>5637849639</v>
      </c>
      <c r="N2596" s="172" t="s">
        <v>37</v>
      </c>
      <c r="O2596" s="91">
        <v>13335.19</v>
      </c>
      <c r="P2596" s="91">
        <v>3791.15</v>
      </c>
      <c r="Q2596" s="42">
        <f>OfficeForms.Table[[#This Row],[ INFORMEDEPAGO ]]*0.3</f>
        <v>4000.5569999999998</v>
      </c>
      <c r="R2596" s="12">
        <f>(IF(O2596&lt;4172.98,0,MIN(O2596*0.3,O2596-4172.98)))-P2596</f>
        <v>209.4069999999997</v>
      </c>
      <c r="S2596" s="78">
        <v>46569</v>
      </c>
      <c r="T2596" s="1"/>
      <c r="V2596" s="1"/>
      <c r="X2596" s="101">
        <v>2</v>
      </c>
    </row>
    <row r="2597" spans="1:24" hidden="1">
      <c r="A2597">
        <v>1002</v>
      </c>
      <c r="B2597" s="2">
        <v>46235.642349537004</v>
      </c>
      <c r="C2597" s="2">
        <v>46235.643078703702</v>
      </c>
      <c r="D2597" s="1" t="s">
        <v>24</v>
      </c>
      <c r="E2597" s="1"/>
      <c r="F2597" s="29">
        <v>46235</v>
      </c>
      <c r="G2597" s="29">
        <v>46235</v>
      </c>
      <c r="H2597" s="1" t="s">
        <v>3036</v>
      </c>
      <c r="I2597" s="1" t="s">
        <v>5924</v>
      </c>
      <c r="J2597" s="207">
        <v>10786063254</v>
      </c>
      <c r="K2597" s="188" t="s">
        <v>5925</v>
      </c>
      <c r="L2597" s="62">
        <v>23284422</v>
      </c>
      <c r="M2597" s="102">
        <v>5215652041208</v>
      </c>
      <c r="N2597" s="172" t="s">
        <v>37</v>
      </c>
      <c r="O2597" s="91">
        <v>7920.51</v>
      </c>
      <c r="P2597" s="91">
        <v>2375.4499999999998</v>
      </c>
      <c r="Q2597" s="42">
        <f>OfficeForms.Table[[#This Row],[ INFORMEDEPAGO ]]*0.3</f>
        <v>2376.1529999999998</v>
      </c>
      <c r="R2597" s="12">
        <f>(IF(O2597&lt;4172.98,0,MIN(O2597*0.3,O2597-4172.98)))-P2597</f>
        <v>0.70299999999997453</v>
      </c>
      <c r="S2597" s="78">
        <v>46539</v>
      </c>
      <c r="T2597" s="1"/>
      <c r="V2597" s="1"/>
      <c r="X2597" s="101">
        <v>2</v>
      </c>
    </row>
    <row r="2598" spans="1:24" hidden="1">
      <c r="A2598">
        <v>1003</v>
      </c>
      <c r="B2598" s="2">
        <v>46235.659988425898</v>
      </c>
      <c r="C2598" s="2">
        <v>46235.660648148099</v>
      </c>
      <c r="D2598" s="1" t="s">
        <v>24</v>
      </c>
      <c r="E2598" s="1"/>
      <c r="F2598" s="29">
        <v>46235</v>
      </c>
      <c r="G2598" s="29">
        <v>46235</v>
      </c>
      <c r="H2598" s="1" t="s">
        <v>5033</v>
      </c>
      <c r="I2598" s="1" t="s">
        <v>5926</v>
      </c>
      <c r="J2598" s="207"/>
      <c r="K2598" s="188" t="s">
        <v>5927</v>
      </c>
      <c r="L2598" s="62">
        <v>23283572</v>
      </c>
      <c r="M2598" s="102">
        <v>5218128774826</v>
      </c>
      <c r="N2598" s="172" t="s">
        <v>37</v>
      </c>
      <c r="O2598" s="91">
        <v>9081.52</v>
      </c>
      <c r="P2598" s="91">
        <v>2627.5</v>
      </c>
      <c r="Q2598" s="42">
        <f>OfficeForms.Table[[#This Row],[ INFORMEDEPAGO ]]*0.3</f>
        <v>2724.4560000000001</v>
      </c>
      <c r="R2598" s="12">
        <f>(IF(O2598&lt;4172.98,0,MIN(O2598*0.3,O2598-4172.98)))-P2598</f>
        <v>96.956000000000131</v>
      </c>
      <c r="S2598" s="78">
        <v>46447</v>
      </c>
      <c r="T2598" s="1"/>
      <c r="V2598" s="1"/>
      <c r="X2598" s="101">
        <v>2</v>
      </c>
    </row>
    <row r="2599" spans="1:24" hidden="1">
      <c r="A2599">
        <v>1004</v>
      </c>
      <c r="B2599" s="2">
        <v>46235.663287037001</v>
      </c>
      <c r="C2599" s="2">
        <v>46235.664618055598</v>
      </c>
      <c r="D2599" s="1" t="s">
        <v>24</v>
      </c>
      <c r="E2599" s="1"/>
      <c r="F2599" s="29">
        <v>46235</v>
      </c>
      <c r="G2599" s="29">
        <v>46234</v>
      </c>
      <c r="H2599" s="1" t="s">
        <v>5691</v>
      </c>
      <c r="I2599" s="1" t="s">
        <v>5928</v>
      </c>
      <c r="J2599" s="208" t="s">
        <v>5929</v>
      </c>
      <c r="K2599" s="189" t="s">
        <v>5930</v>
      </c>
      <c r="L2599" s="62">
        <v>23261232</v>
      </c>
      <c r="M2599" s="102">
        <v>2227106370</v>
      </c>
      <c r="N2599" s="172" t="s">
        <v>74</v>
      </c>
      <c r="O2599" s="91"/>
      <c r="P2599" s="91"/>
      <c r="Q2599" s="42">
        <f>OfficeForms.Table[[#This Row],[ INFORMEDEPAGO ]]*0.3</f>
        <v>0</v>
      </c>
      <c r="R2599" s="12">
        <f>(IF(O2599&lt;4172.98,0,MIN(O2599*0.3,O2599-4172.98)))-P2599</f>
        <v>0</v>
      </c>
      <c r="S2599" s="78"/>
      <c r="T2599" s="1"/>
      <c r="V2599" s="1"/>
      <c r="X2599" s="101">
        <v>1</v>
      </c>
    </row>
    <row r="2600" spans="1:24" hidden="1">
      <c r="A2600">
        <v>1005</v>
      </c>
      <c r="B2600" s="2">
        <v>46235.666898148098</v>
      </c>
      <c r="C2600" s="2">
        <v>46235.667534722197</v>
      </c>
      <c r="D2600" s="1" t="s">
        <v>24</v>
      </c>
      <c r="E2600" s="1"/>
      <c r="F2600" s="29">
        <v>46235</v>
      </c>
      <c r="G2600" s="29">
        <v>46228</v>
      </c>
      <c r="H2600" s="1" t="s">
        <v>269</v>
      </c>
      <c r="I2600" s="1" t="s">
        <v>5931</v>
      </c>
      <c r="J2600" s="207" t="s">
        <v>5932</v>
      </c>
      <c r="K2600" s="188" t="s">
        <v>5933</v>
      </c>
      <c r="L2600" s="62">
        <v>23093896</v>
      </c>
      <c r="M2600" s="102">
        <v>5217702003661</v>
      </c>
      <c r="N2600" s="172" t="s">
        <v>37</v>
      </c>
      <c r="O2600" s="91">
        <v>7116.73</v>
      </c>
      <c r="P2600" s="91">
        <v>2058.6999999999998</v>
      </c>
      <c r="Q2600" s="42">
        <f>OfficeForms.Table[[#This Row],[ INFORMEDEPAGO ]]*0.3</f>
        <v>2135.0189999999998</v>
      </c>
      <c r="R2600" s="12">
        <f>(IF(O2600&lt;4172.98,0,MIN(O2600*0.3,O2600-4172.98)))-P2600</f>
        <v>76.31899999999996</v>
      </c>
      <c r="S2600" s="78">
        <v>46478</v>
      </c>
      <c r="T2600" s="1"/>
      <c r="V2600" s="1"/>
      <c r="X2600" s="101">
        <v>2</v>
      </c>
    </row>
    <row r="2601" spans="1:24" hidden="1">
      <c r="A2601">
        <v>1006</v>
      </c>
      <c r="B2601" s="2">
        <v>46235.664664351803</v>
      </c>
      <c r="C2601" s="2">
        <v>46235.668460648099</v>
      </c>
      <c r="D2601" s="1" t="s">
        <v>24</v>
      </c>
      <c r="E2601" s="1"/>
      <c r="F2601" s="29">
        <v>46235</v>
      </c>
      <c r="G2601" s="29">
        <v>46235</v>
      </c>
      <c r="H2601" s="1" t="s">
        <v>5691</v>
      </c>
      <c r="I2601" s="1" t="s">
        <v>5934</v>
      </c>
      <c r="J2601" s="207">
        <v>55796302804</v>
      </c>
      <c r="K2601" s="188"/>
      <c r="L2601" s="62">
        <v>23283864</v>
      </c>
      <c r="M2601" s="102">
        <v>3111307134</v>
      </c>
      <c r="N2601" s="172" t="s">
        <v>37</v>
      </c>
      <c r="O2601" s="91">
        <v>9081.4</v>
      </c>
      <c r="P2601" s="91">
        <v>2521.23</v>
      </c>
      <c r="Q2601" s="42">
        <f>OfficeForms.Table[[#This Row],[ INFORMEDEPAGO ]]*0.3</f>
        <v>2724.4199999999996</v>
      </c>
      <c r="R2601" s="12">
        <f>(IF(O2601&lt;4172.98,0,MIN(O2601*0.3,O2601-4172.98)))-P2601</f>
        <v>203.1899999999996</v>
      </c>
      <c r="S2601" s="78">
        <v>46327</v>
      </c>
      <c r="T2601" s="1"/>
      <c r="V2601" s="1"/>
      <c r="X2601" s="101">
        <v>2</v>
      </c>
    </row>
    <row r="2602" spans="1:24" hidden="1">
      <c r="A2602">
        <v>1007</v>
      </c>
      <c r="B2602" s="2">
        <v>46235.668506944399</v>
      </c>
      <c r="C2602" s="2">
        <v>46235.6713310185</v>
      </c>
      <c r="D2602" s="1" t="s">
        <v>24</v>
      </c>
      <c r="E2602" s="1"/>
      <c r="F2602" s="29">
        <v>46235</v>
      </c>
      <c r="G2602" s="29">
        <v>46235</v>
      </c>
      <c r="H2602" s="1" t="s">
        <v>5691</v>
      </c>
      <c r="I2602" s="1" t="s">
        <v>5935</v>
      </c>
      <c r="J2602" s="207">
        <v>55796002198</v>
      </c>
      <c r="K2602" s="188"/>
      <c r="L2602" s="62">
        <v>23283864</v>
      </c>
      <c r="M2602" s="102">
        <v>3111307134</v>
      </c>
      <c r="N2602" s="172" t="s">
        <v>37</v>
      </c>
      <c r="O2602" s="91">
        <v>6262.86</v>
      </c>
      <c r="P2602" s="91">
        <v>1870</v>
      </c>
      <c r="Q2602" s="42">
        <f>OfficeForms.Table[[#This Row],[ INFORMEDEPAGO ]]*0.3</f>
        <v>1878.8579999999997</v>
      </c>
      <c r="R2602" s="12">
        <f>(IF(O2602&lt;4172.98,0,MIN(O2602*0.3,O2602-4172.98)))-P2602</f>
        <v>8.8579999999997199</v>
      </c>
      <c r="S2602" s="78">
        <v>46813</v>
      </c>
      <c r="T2602" s="1"/>
      <c r="V2602" s="1"/>
      <c r="X2602" s="101">
        <v>2</v>
      </c>
    </row>
    <row r="2603" spans="1:24" hidden="1">
      <c r="A2603">
        <v>1008</v>
      </c>
      <c r="B2603" s="2">
        <v>46235.664537037002</v>
      </c>
      <c r="C2603" s="2">
        <v>46235.671412037002</v>
      </c>
      <c r="D2603" s="1" t="s">
        <v>24</v>
      </c>
      <c r="E2603" s="1"/>
      <c r="F2603" s="29">
        <v>46235</v>
      </c>
      <c r="G2603" s="29">
        <v>46235</v>
      </c>
      <c r="H2603" s="1" t="s">
        <v>160</v>
      </c>
      <c r="I2603" s="1" t="s">
        <v>5936</v>
      </c>
      <c r="J2603" s="207">
        <v>43826901340</v>
      </c>
      <c r="K2603" s="188" t="s">
        <v>5937</v>
      </c>
      <c r="L2603" s="62">
        <v>23278408</v>
      </c>
      <c r="M2603" s="102">
        <v>5218121920606</v>
      </c>
      <c r="N2603" s="172" t="s">
        <v>263</v>
      </c>
      <c r="O2603" s="91">
        <v>10866.89</v>
      </c>
      <c r="P2603" s="91">
        <v>1127.74</v>
      </c>
      <c r="Q2603" s="42">
        <f>OfficeForms.Table[[#This Row],[ INFORMEDEPAGO ]]*0.3</f>
        <v>3260.0669999999996</v>
      </c>
      <c r="R2603" s="12">
        <f>(IF(O2603&lt;4172.98,0,MIN(O2603*0.3,O2603-4172.98)))-P2603</f>
        <v>2132.3269999999993</v>
      </c>
      <c r="S2603" s="78">
        <v>45323</v>
      </c>
      <c r="T2603" s="1"/>
      <c r="V2603" s="1"/>
      <c r="X2603" s="101">
        <v>2</v>
      </c>
    </row>
    <row r="2604" spans="1:24" hidden="1">
      <c r="A2604">
        <v>1009</v>
      </c>
      <c r="B2604" s="2">
        <v>46235.626747685201</v>
      </c>
      <c r="C2604" s="2">
        <v>46235.671666666698</v>
      </c>
      <c r="D2604" s="1" t="s">
        <v>24</v>
      </c>
      <c r="E2604" s="1"/>
      <c r="F2604" s="29">
        <v>46235</v>
      </c>
      <c r="G2604" s="29">
        <v>46234</v>
      </c>
      <c r="H2604" s="1" t="s">
        <v>51</v>
      </c>
      <c r="I2604" s="1" t="s">
        <v>5938</v>
      </c>
      <c r="J2604" s="207">
        <v>41957213014</v>
      </c>
      <c r="K2604" s="188" t="s">
        <v>5939</v>
      </c>
      <c r="L2604" s="62">
        <v>23267154</v>
      </c>
      <c r="M2604" s="102">
        <v>5214448475658</v>
      </c>
      <c r="N2604" s="172" t="s">
        <v>32</v>
      </c>
      <c r="O2604" s="91">
        <v>1550.31</v>
      </c>
      <c r="P2604" s="91"/>
      <c r="Q2604" s="42">
        <f>OfficeForms.Table[[#This Row],[ INFORMEDEPAGO ]]*0.3</f>
        <v>465.09299999999996</v>
      </c>
      <c r="R2604" s="12">
        <f>(IF(O2604&lt;4172.98,0,MIN(O2604*0.3,O2604-4172.98)))-P2604</f>
        <v>0</v>
      </c>
      <c r="S2604" s="78"/>
      <c r="T2604" s="1"/>
      <c r="V2604" s="1"/>
      <c r="X2604" s="101">
        <v>1</v>
      </c>
    </row>
    <row r="2605" spans="1:24" hidden="1">
      <c r="A2605">
        <v>1010</v>
      </c>
      <c r="B2605" s="2">
        <v>46235.661284722199</v>
      </c>
      <c r="C2605" s="2">
        <v>46235.672083333302</v>
      </c>
      <c r="D2605" s="1" t="s">
        <v>24</v>
      </c>
      <c r="E2605" s="1"/>
      <c r="F2605" s="29">
        <v>46235</v>
      </c>
      <c r="G2605" s="29">
        <v>46235</v>
      </c>
      <c r="H2605" s="1" t="s">
        <v>26</v>
      </c>
      <c r="I2605" s="1" t="s">
        <v>5940</v>
      </c>
      <c r="J2605" s="207"/>
      <c r="K2605" s="188" t="s">
        <v>5941</v>
      </c>
      <c r="L2605" s="62">
        <v>23283412</v>
      </c>
      <c r="M2605" s="102">
        <v>5215554762440</v>
      </c>
      <c r="N2605" s="172" t="s">
        <v>37</v>
      </c>
      <c r="O2605" s="91">
        <v>15487.31</v>
      </c>
      <c r="P2605" s="91">
        <v>4480.8500000000004</v>
      </c>
      <c r="Q2605" s="42">
        <f>OfficeForms.Table[[#This Row],[ INFORMEDEPAGO ]]*0.3</f>
        <v>4646.1929999999993</v>
      </c>
      <c r="R2605" s="12">
        <f>(IF(O2605&lt;4172.98,0,MIN(O2605*0.3,O2605-4172.98)))-P2605</f>
        <v>165.34299999999894</v>
      </c>
      <c r="S2605" s="78">
        <v>46692</v>
      </c>
      <c r="T2605" s="1"/>
      <c r="V2605" s="1"/>
      <c r="X2605" s="101">
        <v>2</v>
      </c>
    </row>
    <row r="2606" spans="1:24" hidden="1">
      <c r="A2606">
        <v>1011</v>
      </c>
      <c r="B2606" s="2">
        <v>46235.643402777801</v>
      </c>
      <c r="C2606" s="2">
        <v>46235.672094907401</v>
      </c>
      <c r="D2606" s="1" t="s">
        <v>24</v>
      </c>
      <c r="E2606" s="1"/>
      <c r="F2606" s="29">
        <v>46235</v>
      </c>
      <c r="G2606" s="29">
        <v>46234</v>
      </c>
      <c r="H2606" s="1" t="s">
        <v>81</v>
      </c>
      <c r="I2606" s="1" t="s">
        <v>5942</v>
      </c>
      <c r="J2606" s="207">
        <v>10856550180</v>
      </c>
      <c r="K2606" s="188" t="s">
        <v>5943</v>
      </c>
      <c r="L2606" s="62">
        <v>23267408</v>
      </c>
      <c r="M2606" s="102">
        <v>5215535544267</v>
      </c>
      <c r="N2606" s="172" t="s">
        <v>37</v>
      </c>
      <c r="O2606" s="91">
        <v>12008.9</v>
      </c>
      <c r="P2606" s="91">
        <v>3601.23</v>
      </c>
      <c r="Q2606" s="42">
        <f>OfficeForms.Table[[#This Row],[ INFORMEDEPAGO ]]*0.3</f>
        <v>3602.6699999999996</v>
      </c>
      <c r="R2606" s="12">
        <f>(IF(O2606&lt;4172.98,0,MIN(O2606*0.3,O2606-4172.98)))-P2606</f>
        <v>1.4399999999995998</v>
      </c>
      <c r="S2606" s="78">
        <v>46266</v>
      </c>
      <c r="T2606" s="1"/>
      <c r="V2606" s="1"/>
      <c r="X2606" s="101">
        <v>2</v>
      </c>
    </row>
    <row r="2607" spans="1:24" hidden="1">
      <c r="A2607">
        <v>1012</v>
      </c>
      <c r="B2607" s="2">
        <v>46235.679791666698</v>
      </c>
      <c r="C2607" s="2">
        <v>46235.680428240703</v>
      </c>
      <c r="D2607" s="1" t="s">
        <v>24</v>
      </c>
      <c r="E2607" s="1"/>
      <c r="F2607" s="29">
        <v>46235</v>
      </c>
      <c r="G2607" s="29">
        <v>46235</v>
      </c>
      <c r="H2607" s="1" t="s">
        <v>269</v>
      </c>
      <c r="I2607" s="1" t="s">
        <v>5944</v>
      </c>
      <c r="J2607" s="207"/>
      <c r="K2607" s="188" t="s">
        <v>5945</v>
      </c>
      <c r="L2607" s="62">
        <v>23269474</v>
      </c>
      <c r="M2607" s="102">
        <v>5216681015918</v>
      </c>
      <c r="N2607" s="172" t="s">
        <v>37</v>
      </c>
      <c r="O2607" s="91">
        <v>7116.73</v>
      </c>
      <c r="P2607" s="91">
        <v>2059.04</v>
      </c>
      <c r="Q2607" s="42">
        <f>OfficeForms.Table[[#This Row],[ INFORMEDEPAGO ]]*0.3</f>
        <v>2135.0189999999998</v>
      </c>
      <c r="R2607" s="12">
        <f>(IF(O2607&lt;4172.98,0,MIN(O2607*0.3,O2607-4172.98)))-P2607</f>
        <v>75.978999999999814</v>
      </c>
      <c r="S2607" s="78">
        <v>46631</v>
      </c>
      <c r="T2607" s="1"/>
      <c r="V2607" s="1"/>
      <c r="X2607" s="101">
        <v>2</v>
      </c>
    </row>
    <row r="2608" spans="1:24" hidden="1">
      <c r="A2608">
        <v>1013</v>
      </c>
      <c r="B2608" s="2">
        <v>46235.671365740702</v>
      </c>
      <c r="C2608" s="2">
        <v>46235.680740740703</v>
      </c>
      <c r="D2608" s="1" t="s">
        <v>24</v>
      </c>
      <c r="E2608" s="1"/>
      <c r="F2608" s="29">
        <v>46235</v>
      </c>
      <c r="G2608" s="29">
        <v>46235</v>
      </c>
      <c r="H2608" s="1" t="s">
        <v>5691</v>
      </c>
      <c r="I2608" s="1" t="s">
        <v>5946</v>
      </c>
      <c r="J2608" s="207"/>
      <c r="K2608" s="188" t="s">
        <v>5947</v>
      </c>
      <c r="L2608" s="62">
        <v>23284228</v>
      </c>
      <c r="M2608" s="102">
        <v>2941292964</v>
      </c>
      <c r="N2608" s="172" t="s">
        <v>28</v>
      </c>
      <c r="O2608" s="91">
        <v>16215.72</v>
      </c>
      <c r="P2608" s="91"/>
      <c r="Q2608" s="42">
        <f>OfficeForms.Table[[#This Row],[ INFORMEDEPAGO ]]*0.3</f>
        <v>4864.7159999999994</v>
      </c>
      <c r="R2608" s="12">
        <f>(IF(O2608&lt;4172.98,0,MIN(O2608*0.3,O2608-4172.98)))-P2608</f>
        <v>4864.7159999999994</v>
      </c>
      <c r="S2608" s="78"/>
      <c r="T2608" s="1"/>
      <c r="V2608" s="1"/>
      <c r="X2608" s="101">
        <v>1</v>
      </c>
    </row>
    <row r="2609" spans="1:24" hidden="1">
      <c r="A2609">
        <v>1014</v>
      </c>
      <c r="B2609" s="2">
        <v>46235.683888888903</v>
      </c>
      <c r="C2609" s="2">
        <v>46235.684421296297</v>
      </c>
      <c r="D2609" s="1" t="s">
        <v>24</v>
      </c>
      <c r="E2609" s="1"/>
      <c r="F2609" s="29">
        <v>46235</v>
      </c>
      <c r="G2609" s="29">
        <v>46235</v>
      </c>
      <c r="H2609" s="1" t="s">
        <v>26</v>
      </c>
      <c r="I2609" s="1" t="s">
        <v>5948</v>
      </c>
      <c r="J2609" s="207"/>
      <c r="K2609" s="188" t="s">
        <v>5949</v>
      </c>
      <c r="L2609" s="62">
        <v>23280176</v>
      </c>
      <c r="M2609" s="102">
        <v>5215549684822</v>
      </c>
      <c r="N2609" s="172" t="s">
        <v>28</v>
      </c>
      <c r="O2609" s="91">
        <v>11127.99</v>
      </c>
      <c r="P2609" s="91"/>
      <c r="Q2609" s="42">
        <f>OfficeForms.Table[[#This Row],[ INFORMEDEPAGO ]]*0.3</f>
        <v>3338.3969999999999</v>
      </c>
      <c r="R2609" s="12">
        <f>(IF(O2609&lt;4172.98,0,MIN(O2609*0.3,O2609-4172.98)))-P2609</f>
        <v>3338.3969999999999</v>
      </c>
      <c r="S2609" s="78"/>
      <c r="T2609" s="1"/>
      <c r="V2609" s="1"/>
      <c r="X2609" s="101">
        <v>1</v>
      </c>
    </row>
    <row r="2610" spans="1:24" hidden="1">
      <c r="A2610">
        <v>1015</v>
      </c>
      <c r="B2610" s="2">
        <v>46235.690706018497</v>
      </c>
      <c r="C2610" s="2">
        <v>46235.692662037</v>
      </c>
      <c r="D2610" s="1" t="s">
        <v>24</v>
      </c>
      <c r="E2610" s="1"/>
      <c r="F2610" s="29">
        <v>46235</v>
      </c>
      <c r="G2610" s="29">
        <v>46230</v>
      </c>
      <c r="H2610" s="1" t="s">
        <v>160</v>
      </c>
      <c r="I2610" s="1" t="s">
        <v>5950</v>
      </c>
      <c r="J2610" s="207">
        <v>71796114123</v>
      </c>
      <c r="K2610" s="188" t="s">
        <v>5951</v>
      </c>
      <c r="L2610" s="62">
        <v>23135578</v>
      </c>
      <c r="M2610" s="102">
        <v>5219622585426</v>
      </c>
      <c r="N2610" s="172" t="s">
        <v>47</v>
      </c>
      <c r="O2610" s="91">
        <v>6262.88</v>
      </c>
      <c r="P2610" s="91">
        <v>1485.93</v>
      </c>
      <c r="Q2610" s="42">
        <f>OfficeForms.Table[[#This Row],[ INFORMEDEPAGO ]]*0.3</f>
        <v>1878.864</v>
      </c>
      <c r="R2610" s="12">
        <f>(IF(O2610&lt;4172.98,0,MIN(O2610*0.3,O2610-4172.98)))-P2610</f>
        <v>392.93399999999997</v>
      </c>
      <c r="S2610" s="78">
        <v>46508</v>
      </c>
      <c r="T2610" s="1"/>
      <c r="V2610" s="1"/>
      <c r="X2610" s="101">
        <v>2</v>
      </c>
    </row>
    <row r="2611" spans="1:24" hidden="1">
      <c r="A2611">
        <v>1016</v>
      </c>
      <c r="B2611" s="2">
        <v>46235.696909722203</v>
      </c>
      <c r="C2611" s="2">
        <v>46235.6977430556</v>
      </c>
      <c r="D2611" s="1" t="s">
        <v>24</v>
      </c>
      <c r="E2611" s="1"/>
      <c r="F2611" s="29">
        <v>46235</v>
      </c>
      <c r="G2611" s="29">
        <v>46235</v>
      </c>
      <c r="H2611" s="1" t="s">
        <v>5033</v>
      </c>
      <c r="I2611" s="1" t="s">
        <v>5952</v>
      </c>
      <c r="J2611" s="207"/>
      <c r="K2611" s="188" t="s">
        <v>5953</v>
      </c>
      <c r="L2611" s="62">
        <v>23285944</v>
      </c>
      <c r="M2611" s="102">
        <v>5214611382926</v>
      </c>
      <c r="N2611" s="172" t="s">
        <v>28</v>
      </c>
      <c r="O2611" s="91">
        <v>7116.73</v>
      </c>
      <c r="P2611" s="91"/>
      <c r="Q2611" s="42">
        <f>OfficeForms.Table[[#This Row],[ INFORMEDEPAGO ]]*0.3</f>
        <v>2135.0189999999998</v>
      </c>
      <c r="R2611" s="12">
        <f>(IF(O2611&lt;4172.98,0,MIN(O2611*0.3,O2611-4172.98)))-P2611</f>
        <v>2135.0189999999998</v>
      </c>
      <c r="S2611" s="78"/>
      <c r="T2611" s="1"/>
      <c r="V2611" s="1"/>
      <c r="X2611" s="101">
        <v>1</v>
      </c>
    </row>
    <row r="2612" spans="1:24" hidden="1">
      <c r="A2612">
        <v>1017</v>
      </c>
      <c r="B2612" s="2">
        <v>46235.712777777801</v>
      </c>
      <c r="C2612" s="2">
        <v>46235.713842592602</v>
      </c>
      <c r="D2612" s="1" t="s">
        <v>24</v>
      </c>
      <c r="E2612" s="1"/>
      <c r="F2612" s="29">
        <v>46235</v>
      </c>
      <c r="G2612" s="29">
        <v>46235</v>
      </c>
      <c r="H2612" s="1" t="s">
        <v>5691</v>
      </c>
      <c r="I2612" s="1" t="s">
        <v>5954</v>
      </c>
      <c r="J2612" s="207"/>
      <c r="K2612" s="188" t="s">
        <v>5955</v>
      </c>
      <c r="L2612" s="62">
        <v>23284550</v>
      </c>
      <c r="M2612" s="102">
        <v>6183025008</v>
      </c>
      <c r="N2612" s="172" t="s">
        <v>37</v>
      </c>
      <c r="O2612" s="91">
        <v>9760.32</v>
      </c>
      <c r="P2612" s="91">
        <v>2812.1</v>
      </c>
      <c r="Q2612" s="42">
        <f>OfficeForms.Table[[#This Row],[ INFORMEDEPAGO ]]*0.3</f>
        <v>2928.096</v>
      </c>
      <c r="R2612" s="12">
        <f>(IF(O2612&lt;4172.98,0,MIN(O2612*0.3,O2612-4172.98)))-P2612</f>
        <v>115.99600000000009</v>
      </c>
      <c r="S2612" s="78">
        <v>46692</v>
      </c>
      <c r="T2612" s="1"/>
      <c r="V2612" s="1"/>
      <c r="X2612" s="101">
        <v>2</v>
      </c>
    </row>
    <row r="2613" spans="1:24" hidden="1">
      <c r="A2613">
        <v>1018</v>
      </c>
      <c r="B2613" s="2">
        <v>46235.715034722198</v>
      </c>
      <c r="C2613" s="2">
        <v>46235.715659722198</v>
      </c>
      <c r="D2613" s="1" t="s">
        <v>24</v>
      </c>
      <c r="E2613" s="1"/>
      <c r="F2613" s="29">
        <v>46235</v>
      </c>
      <c r="G2613" s="29">
        <v>46235</v>
      </c>
      <c r="H2613" s="1" t="s">
        <v>107</v>
      </c>
      <c r="I2613" s="1"/>
      <c r="J2613" s="207">
        <v>33876667404</v>
      </c>
      <c r="K2613" s="188"/>
      <c r="L2613" s="62">
        <v>23285670</v>
      </c>
      <c r="M2613" s="102">
        <v>6142100839</v>
      </c>
      <c r="N2613" s="172" t="s">
        <v>28</v>
      </c>
      <c r="O2613" s="91">
        <v>10636.54</v>
      </c>
      <c r="P2613" s="91"/>
      <c r="Q2613" s="42">
        <f>OfficeForms.Table[[#This Row],[ INFORMEDEPAGO ]]*0.3</f>
        <v>3190.962</v>
      </c>
      <c r="R2613" s="12">
        <f>(IF(O2613&lt;4172.98,0,MIN(O2613*0.3,O2613-4172.98)))-P2613</f>
        <v>3190.962</v>
      </c>
      <c r="S2613" s="78"/>
      <c r="T2613" s="1"/>
      <c r="V2613" s="1"/>
      <c r="X2613" s="101">
        <v>1</v>
      </c>
    </row>
    <row r="2614" spans="1:24" hidden="1">
      <c r="A2614">
        <v>1019</v>
      </c>
      <c r="B2614" s="2">
        <v>46235.7190625</v>
      </c>
      <c r="C2614" s="2">
        <v>46235.719548611101</v>
      </c>
      <c r="D2614" s="1" t="s">
        <v>24</v>
      </c>
      <c r="E2614" s="1"/>
      <c r="F2614" s="29">
        <v>46235</v>
      </c>
      <c r="G2614" s="29">
        <v>46235</v>
      </c>
      <c r="H2614" s="1" t="s">
        <v>26</v>
      </c>
      <c r="I2614" s="1" t="s">
        <v>5956</v>
      </c>
      <c r="J2614" s="207"/>
      <c r="K2614" s="188" t="s">
        <v>5957</v>
      </c>
      <c r="L2614" s="62">
        <v>23284280</v>
      </c>
      <c r="M2614" s="102">
        <v>5218711526273</v>
      </c>
      <c r="N2614" s="172" t="s">
        <v>28</v>
      </c>
      <c r="O2614" s="91">
        <v>49661.65</v>
      </c>
      <c r="P2614" s="91"/>
      <c r="Q2614" s="42">
        <f>OfficeForms.Table[[#This Row],[ INFORMEDEPAGO ]]*0.3</f>
        <v>14898.494999999999</v>
      </c>
      <c r="R2614" s="12">
        <f>(IF(O2614&lt;4172.98,0,MIN(O2614*0.3,O2614-4172.98)))-P2614</f>
        <v>14898.494999999999</v>
      </c>
      <c r="S2614" s="78"/>
      <c r="T2614" s="1"/>
      <c r="V2614" s="1"/>
      <c r="X2614" s="101">
        <v>1</v>
      </c>
    </row>
    <row r="2615" spans="1:24" hidden="1">
      <c r="A2615">
        <v>1020</v>
      </c>
      <c r="B2615" s="2">
        <v>46235.735196759299</v>
      </c>
      <c r="C2615" s="2">
        <v>46235.735833333303</v>
      </c>
      <c r="D2615" s="1" t="s">
        <v>24</v>
      </c>
      <c r="E2615" s="1"/>
      <c r="F2615" s="29">
        <v>46235</v>
      </c>
      <c r="G2615" s="29">
        <v>46232</v>
      </c>
      <c r="H2615" s="1" t="s">
        <v>269</v>
      </c>
      <c r="I2615" s="1" t="s">
        <v>5958</v>
      </c>
      <c r="J2615" s="207" t="s">
        <v>5959</v>
      </c>
      <c r="K2615" s="188" t="s">
        <v>5960</v>
      </c>
      <c r="L2615" s="62">
        <v>23201360</v>
      </c>
      <c r="M2615" s="102">
        <v>5216651084099</v>
      </c>
      <c r="N2615" s="172" t="s">
        <v>28</v>
      </c>
      <c r="O2615" s="91">
        <v>9760.32</v>
      </c>
      <c r="P2615" s="91"/>
      <c r="Q2615" s="42">
        <f>OfficeForms.Table[[#This Row],[ INFORMEDEPAGO ]]*0.3</f>
        <v>2928.096</v>
      </c>
      <c r="R2615" s="12">
        <f>(IF(O2615&lt;4172.98,0,MIN(O2615*0.3,O2615-4172.98)))-P2615</f>
        <v>2928.096</v>
      </c>
      <c r="S2615" s="78"/>
      <c r="T2615" s="1"/>
      <c r="V2615" s="1"/>
      <c r="X2615" s="101">
        <v>1</v>
      </c>
    </row>
    <row r="2616" spans="1:24" hidden="1">
      <c r="A2616">
        <v>1021</v>
      </c>
      <c r="B2616" s="2">
        <v>46235.749537037002</v>
      </c>
      <c r="C2616" s="2">
        <v>46235.750057870398</v>
      </c>
      <c r="D2616" s="1" t="s">
        <v>24</v>
      </c>
      <c r="E2616" s="1"/>
      <c r="F2616" s="29">
        <v>46235</v>
      </c>
      <c r="G2616" s="29">
        <v>46235</v>
      </c>
      <c r="H2616" s="1" t="s">
        <v>26</v>
      </c>
      <c r="I2616" s="1" t="s">
        <v>5961</v>
      </c>
      <c r="J2616" s="207"/>
      <c r="K2616" s="188" t="s">
        <v>5962</v>
      </c>
      <c r="L2616" s="62">
        <v>23286704</v>
      </c>
      <c r="M2616" s="102">
        <v>5219221383247</v>
      </c>
      <c r="N2616" s="172" t="s">
        <v>47</v>
      </c>
      <c r="O2616" s="91">
        <v>15672.75</v>
      </c>
      <c r="P2616" s="91">
        <v>4268.13</v>
      </c>
      <c r="Q2616" s="42">
        <f>OfficeForms.Table[[#This Row],[ INFORMEDEPAGO ]]*0.3</f>
        <v>4701.8249999999998</v>
      </c>
      <c r="R2616" s="12">
        <f>(IF(O2616&lt;4172.98,0,MIN(O2616*0.3,O2616-4172.98)))-P2616</f>
        <v>433.69499999999971</v>
      </c>
      <c r="S2616" s="78">
        <v>46631</v>
      </c>
      <c r="T2616" s="1"/>
      <c r="V2616" s="1"/>
      <c r="X2616" s="101">
        <v>2</v>
      </c>
    </row>
    <row r="2617" spans="1:24" hidden="1">
      <c r="A2617">
        <v>1022</v>
      </c>
      <c r="B2617" s="2">
        <v>46235.770428240699</v>
      </c>
      <c r="C2617" s="2">
        <v>46235.771180555603</v>
      </c>
      <c r="D2617" s="1" t="s">
        <v>24</v>
      </c>
      <c r="E2617" s="1"/>
      <c r="F2617" s="29">
        <v>46235</v>
      </c>
      <c r="G2617" s="29">
        <v>46235</v>
      </c>
      <c r="H2617" s="1" t="s">
        <v>110</v>
      </c>
      <c r="I2617" s="1" t="s">
        <v>5963</v>
      </c>
      <c r="J2617" s="207">
        <v>65975600092</v>
      </c>
      <c r="K2617" s="188"/>
      <c r="L2617" s="62">
        <v>23285540</v>
      </c>
      <c r="M2617" s="102">
        <v>5212283135127</v>
      </c>
      <c r="N2617" s="172" t="s">
        <v>37</v>
      </c>
      <c r="O2617" s="91">
        <v>6262.86</v>
      </c>
      <c r="P2617" s="91">
        <v>1872.38</v>
      </c>
      <c r="Q2617" s="42">
        <f>OfficeForms.Table[[#This Row],[ INFORMEDEPAGO ]]*0.3</f>
        <v>1878.8579999999997</v>
      </c>
      <c r="R2617" s="12">
        <f>(IF(O2617&lt;4172.98,0,MIN(O2617*0.3,O2617-4172.98)))-P2617</f>
        <v>6.4779999999996107</v>
      </c>
      <c r="S2617" s="78">
        <v>46266</v>
      </c>
      <c r="T2617" s="1"/>
      <c r="V2617" s="1"/>
      <c r="X2617" s="101">
        <v>2</v>
      </c>
    </row>
    <row r="2618" spans="1:24" hidden="1">
      <c r="A2618">
        <v>1023</v>
      </c>
      <c r="B2618" s="2">
        <v>46235.771307870396</v>
      </c>
      <c r="C2618" s="2">
        <v>46235.771874999999</v>
      </c>
      <c r="D2618" s="1" t="s">
        <v>24</v>
      </c>
      <c r="E2618" s="1"/>
      <c r="F2618" s="29">
        <v>46235</v>
      </c>
      <c r="G2618" s="29">
        <v>46235</v>
      </c>
      <c r="H2618" s="1" t="s">
        <v>110</v>
      </c>
      <c r="I2618" s="1" t="s">
        <v>5964</v>
      </c>
      <c r="J2618" s="207">
        <v>23806419315</v>
      </c>
      <c r="K2618" s="188"/>
      <c r="L2618" s="62">
        <v>23284232</v>
      </c>
      <c r="M2618" s="102">
        <v>5216641425325</v>
      </c>
      <c r="N2618" s="172" t="s">
        <v>37</v>
      </c>
      <c r="O2618" s="91">
        <v>9760.32</v>
      </c>
      <c r="P2618" s="91">
        <v>2471.6799999999998</v>
      </c>
      <c r="Q2618" s="42">
        <f>OfficeForms.Table[[#This Row],[ INFORMEDEPAGO ]]*0.3</f>
        <v>2928.096</v>
      </c>
      <c r="R2618" s="12">
        <f>(IF(O2618&lt;4172.98,0,MIN(O2618*0.3,O2618-4172.98)))-P2618</f>
        <v>456.41600000000017</v>
      </c>
      <c r="S2618" s="78">
        <v>46661</v>
      </c>
      <c r="T2618" s="1"/>
      <c r="V2618" s="1"/>
      <c r="X2618" s="101">
        <v>2</v>
      </c>
    </row>
    <row r="2619" spans="1:24" hidden="1">
      <c r="A2619">
        <v>1024</v>
      </c>
      <c r="B2619" s="2">
        <v>46235.772002314799</v>
      </c>
      <c r="C2619" s="2">
        <v>46235.774942129603</v>
      </c>
      <c r="D2619" s="1" t="s">
        <v>24</v>
      </c>
      <c r="E2619" s="1"/>
      <c r="F2619" s="29">
        <v>46235</v>
      </c>
      <c r="G2619" s="29">
        <v>46235</v>
      </c>
      <c r="H2619" s="1" t="s">
        <v>110</v>
      </c>
      <c r="I2619" s="1" t="s">
        <v>5965</v>
      </c>
      <c r="J2619" s="207">
        <v>35917453330</v>
      </c>
      <c r="K2619" s="188"/>
      <c r="L2619" s="62">
        <v>23286210</v>
      </c>
      <c r="M2619" s="102">
        <v>5216391066416</v>
      </c>
      <c r="N2619" s="172" t="s">
        <v>32</v>
      </c>
      <c r="O2619" s="91">
        <f>4229.98+848</f>
        <v>5077.9799999999996</v>
      </c>
      <c r="P2619" s="91">
        <v>848</v>
      </c>
      <c r="Q2619" s="42">
        <f>OfficeForms.Table[[#This Row],[ INFORMEDEPAGO ]]*0.3</f>
        <v>1523.3939999999998</v>
      </c>
      <c r="R2619" s="12">
        <f>(IF(O2619&lt;4172.98,0,MIN(O2619*0.3,O2619-4172.98)))-P2619</f>
        <v>57</v>
      </c>
      <c r="S2619" s="78"/>
      <c r="T2619" s="1"/>
      <c r="V2619" s="1"/>
      <c r="X2619" s="101">
        <v>1</v>
      </c>
    </row>
    <row r="2620" spans="1:24" hidden="1">
      <c r="A2620">
        <v>1025</v>
      </c>
      <c r="B2620" s="2">
        <v>46235.7751041667</v>
      </c>
      <c r="C2620" s="2">
        <v>46235.777511574102</v>
      </c>
      <c r="D2620" s="1" t="s">
        <v>24</v>
      </c>
      <c r="E2620" s="1"/>
      <c r="F2620" s="29">
        <v>46235</v>
      </c>
      <c r="G2620" s="29">
        <v>46235</v>
      </c>
      <c r="H2620" s="1" t="s">
        <v>110</v>
      </c>
      <c r="I2620" s="1" t="s">
        <v>5966</v>
      </c>
      <c r="J2620" s="207">
        <v>10765766687</v>
      </c>
      <c r="K2620" s="188"/>
      <c r="L2620" s="62">
        <v>23286464</v>
      </c>
      <c r="M2620" s="102">
        <v>5215579623705</v>
      </c>
      <c r="N2620" s="172" t="s">
        <v>37</v>
      </c>
      <c r="O2620" s="91">
        <v>25185.37</v>
      </c>
      <c r="P2620" s="91">
        <v>7286.4</v>
      </c>
      <c r="Q2620" s="42">
        <f>OfficeForms.Table[[#This Row],[ INFORMEDEPAGO ]]*0.3</f>
        <v>7555.610999999999</v>
      </c>
      <c r="R2620" s="12">
        <f>(IF(O2620&lt;4172.98,0,MIN(O2620*0.3,O2620-4172.98)))-P2620</f>
        <v>269.21099999999933</v>
      </c>
      <c r="S2620" s="78">
        <v>46266</v>
      </c>
      <c r="T2620" s="1"/>
      <c r="V2620" s="1"/>
      <c r="X2620" s="101">
        <v>2</v>
      </c>
    </row>
    <row r="2621" spans="1:24" hidden="1">
      <c r="A2621">
        <v>1026</v>
      </c>
      <c r="B2621" s="2">
        <v>46235.777534722198</v>
      </c>
      <c r="C2621" s="2">
        <v>46235.7788657407</v>
      </c>
      <c r="D2621" s="1" t="s">
        <v>24</v>
      </c>
      <c r="E2621" s="1"/>
      <c r="F2621" s="29">
        <v>46235</v>
      </c>
      <c r="G2621" s="29">
        <v>46235</v>
      </c>
      <c r="H2621" s="1" t="s">
        <v>110</v>
      </c>
      <c r="I2621" s="1" t="s">
        <v>5967</v>
      </c>
      <c r="J2621" s="207">
        <v>23735501167</v>
      </c>
      <c r="K2621" s="188"/>
      <c r="L2621" s="62">
        <v>23287366</v>
      </c>
      <c r="M2621" s="102">
        <v>5216682504782</v>
      </c>
      <c r="N2621" s="172" t="s">
        <v>37</v>
      </c>
      <c r="O2621" s="91">
        <v>5668.03</v>
      </c>
      <c r="P2621" s="91">
        <v>1441</v>
      </c>
      <c r="Q2621" s="42">
        <f>OfficeForms.Table[[#This Row],[ INFORMEDEPAGO ]]*0.3</f>
        <v>1700.4089999999999</v>
      </c>
      <c r="R2621" s="12">
        <f>(IF(O2621&lt;4172.98,0,MIN(O2621*0.3,O2621-4172.98)))-P2621</f>
        <v>54.050000000000182</v>
      </c>
      <c r="S2621" s="78">
        <v>46539</v>
      </c>
      <c r="T2621" s="1"/>
      <c r="V2621" s="1"/>
      <c r="X2621" s="101">
        <v>2</v>
      </c>
    </row>
    <row r="2622" spans="1:24" hidden="1">
      <c r="A2622">
        <v>1027</v>
      </c>
      <c r="B2622" s="2">
        <v>46235.779039351903</v>
      </c>
      <c r="C2622" s="2">
        <v>46235.779652777797</v>
      </c>
      <c r="D2622" s="1" t="s">
        <v>24</v>
      </c>
      <c r="E2622" s="1"/>
      <c r="F2622" s="29">
        <v>46235</v>
      </c>
      <c r="G2622" s="29">
        <v>46235</v>
      </c>
      <c r="H2622" s="1" t="s">
        <v>3007</v>
      </c>
      <c r="I2622" s="1" t="s">
        <v>5968</v>
      </c>
      <c r="J2622" s="207"/>
      <c r="K2622" s="188" t="s">
        <v>5969</v>
      </c>
      <c r="L2622" s="62">
        <v>23285808</v>
      </c>
      <c r="M2622" s="102">
        <v>3320285042</v>
      </c>
      <c r="N2622" s="172" t="s">
        <v>106</v>
      </c>
      <c r="O2622" s="91">
        <v>7116.73</v>
      </c>
      <c r="P2622" s="91">
        <v>1747.63</v>
      </c>
      <c r="Q2622" s="42">
        <f>OfficeForms.Table[[#This Row],[ INFORMEDEPAGO ]]*0.3</f>
        <v>2135.0189999999998</v>
      </c>
      <c r="R2622" s="12">
        <f>(IF(O2622&lt;4172.98,0,MIN(O2622*0.3,O2622-4172.98)))-P2622</f>
        <v>387.38899999999967</v>
      </c>
      <c r="S2622" s="78">
        <v>45658</v>
      </c>
      <c r="T2622" s="1"/>
      <c r="V2622" s="1"/>
      <c r="X2622" s="101">
        <v>2</v>
      </c>
    </row>
    <row r="2623" spans="1:24" hidden="1">
      <c r="A2623">
        <v>1028</v>
      </c>
      <c r="B2623" s="2">
        <v>46235.796458333301</v>
      </c>
      <c r="C2623" s="2">
        <v>46235.796851851803</v>
      </c>
      <c r="D2623" s="1" t="s">
        <v>24</v>
      </c>
      <c r="E2623" s="1"/>
      <c r="F2623" s="29">
        <v>46235</v>
      </c>
      <c r="G2623" s="29">
        <v>46235</v>
      </c>
      <c r="H2623" s="1" t="s">
        <v>26</v>
      </c>
      <c r="I2623" s="1" t="s">
        <v>5970</v>
      </c>
      <c r="J2623" s="207"/>
      <c r="K2623" s="188" t="s">
        <v>5971</v>
      </c>
      <c r="L2623" s="62">
        <v>23287736</v>
      </c>
      <c r="M2623" s="102">
        <v>5219611448700</v>
      </c>
      <c r="N2623" s="172" t="s">
        <v>98</v>
      </c>
      <c r="O2623" s="91"/>
      <c r="P2623" s="91"/>
      <c r="Q2623" s="42">
        <f>OfficeForms.Table[[#This Row],[ INFORMEDEPAGO ]]*0.3</f>
        <v>0</v>
      </c>
      <c r="R2623" s="12">
        <f>(IF(O2623&lt;4172.98,0,MIN(O2623*0.3,O2623-4172.98)))-P2623</f>
        <v>0</v>
      </c>
      <c r="S2623" s="78"/>
      <c r="T2623" s="1"/>
      <c r="V2623" s="1"/>
      <c r="X2623" s="101">
        <v>0</v>
      </c>
    </row>
    <row r="2624" spans="1:24" hidden="1">
      <c r="A2624">
        <v>1029</v>
      </c>
      <c r="B2624" s="2">
        <v>46236.341076388897</v>
      </c>
      <c r="C2624" s="2">
        <v>46236.3644907407</v>
      </c>
      <c r="D2624" s="1" t="s">
        <v>24</v>
      </c>
      <c r="E2624" s="1"/>
      <c r="F2624" s="29">
        <v>46236</v>
      </c>
      <c r="G2624" s="29">
        <v>46235</v>
      </c>
      <c r="H2624" s="1" t="s">
        <v>71</v>
      </c>
      <c r="I2624" s="1" t="s">
        <v>5972</v>
      </c>
      <c r="J2624" s="207"/>
      <c r="K2624" s="188" t="s">
        <v>5973</v>
      </c>
      <c r="L2624" s="62">
        <v>23288712</v>
      </c>
      <c r="M2624" s="102">
        <v>5214771513584</v>
      </c>
      <c r="N2624" s="172" t="s">
        <v>37</v>
      </c>
      <c r="O2624" s="91">
        <v>5617.63</v>
      </c>
      <c r="P2624" s="91">
        <v>1392.23</v>
      </c>
      <c r="Q2624" s="42">
        <f>OfficeForms.Table[[#This Row],[ INFORMEDEPAGO ]]*0.3</f>
        <v>1685.289</v>
      </c>
      <c r="R2624" s="12">
        <f>(IF(O2624&lt;4172.98,0,MIN(O2624*0.3,O2624-4172.98)))-P2624</f>
        <v>52.420000000000528</v>
      </c>
      <c r="S2624" s="78">
        <v>46419</v>
      </c>
      <c r="T2624" s="1"/>
      <c r="V2624" s="1"/>
      <c r="X2624" s="101">
        <v>2</v>
      </c>
    </row>
    <row r="2625" spans="1:24" hidden="1">
      <c r="A2625">
        <v>1030</v>
      </c>
      <c r="B2625" s="2">
        <v>46236.376238425903</v>
      </c>
      <c r="C2625" s="2">
        <v>46236.376770833303</v>
      </c>
      <c r="D2625" s="1" t="s">
        <v>24</v>
      </c>
      <c r="E2625" s="1"/>
      <c r="F2625" s="29">
        <v>46236</v>
      </c>
      <c r="G2625" s="29">
        <v>46236</v>
      </c>
      <c r="H2625" s="1" t="s">
        <v>71</v>
      </c>
      <c r="I2625" s="1" t="s">
        <v>5974</v>
      </c>
      <c r="J2625" s="207"/>
      <c r="K2625" s="188" t="s">
        <v>5975</v>
      </c>
      <c r="L2625" s="62">
        <v>23292692</v>
      </c>
      <c r="M2625" s="102">
        <v>5219834403758</v>
      </c>
      <c r="N2625" s="172" t="s">
        <v>32</v>
      </c>
      <c r="O2625" s="91">
        <v>4035.69</v>
      </c>
      <c r="P2625" s="91"/>
      <c r="Q2625" s="42">
        <f>OfficeForms.Table[[#This Row],[ INFORMEDEPAGO ]]*0.3</f>
        <v>1210.7069999999999</v>
      </c>
      <c r="R2625" s="12">
        <f>(IF(O2625&lt;4172.98,0,MIN(O2625*0.3,O2625-4172.98)))-P2625</f>
        <v>0</v>
      </c>
      <c r="S2625" s="78"/>
      <c r="T2625" s="1"/>
      <c r="V2625" s="1"/>
      <c r="X2625" s="101">
        <v>1</v>
      </c>
    </row>
    <row r="2626" spans="1:24" hidden="1">
      <c r="A2626">
        <v>1031</v>
      </c>
      <c r="B2626" s="2">
        <v>46236.400243055599</v>
      </c>
      <c r="C2626" s="2">
        <v>46236.401006944398</v>
      </c>
      <c r="D2626" s="1" t="s">
        <v>24</v>
      </c>
      <c r="E2626" s="1"/>
      <c r="F2626" s="29">
        <v>46236</v>
      </c>
      <c r="G2626" s="29">
        <v>46236</v>
      </c>
      <c r="H2626" s="1" t="s">
        <v>71</v>
      </c>
      <c r="I2626" s="1" t="s">
        <v>5976</v>
      </c>
      <c r="J2626" s="207"/>
      <c r="K2626" s="188" t="s">
        <v>5977</v>
      </c>
      <c r="L2626" s="62">
        <v>23291638</v>
      </c>
      <c r="M2626" s="102">
        <v>5218994800755</v>
      </c>
      <c r="N2626" s="172" t="s">
        <v>32</v>
      </c>
      <c r="O2626" s="91">
        <v>3961.31</v>
      </c>
      <c r="P2626" s="91"/>
      <c r="Q2626" s="42">
        <f>OfficeForms.Table[[#This Row],[ INFORMEDEPAGO ]]*0.3</f>
        <v>1188.393</v>
      </c>
      <c r="R2626" s="12">
        <f>(IF(O2626&lt;4172.98,0,MIN(O2626*0.3,O2626-4172.98)))-P2626</f>
        <v>0</v>
      </c>
      <c r="S2626" s="78"/>
      <c r="T2626" s="1"/>
      <c r="V2626" s="1"/>
      <c r="X2626" s="101">
        <v>1</v>
      </c>
    </row>
    <row r="2627" spans="1:24" hidden="1">
      <c r="A2627">
        <v>1032</v>
      </c>
      <c r="B2627" s="2">
        <v>46236.400914351798</v>
      </c>
      <c r="C2627" s="2">
        <v>46236.4046296296</v>
      </c>
      <c r="D2627" s="1" t="s">
        <v>24</v>
      </c>
      <c r="E2627" s="1"/>
      <c r="F2627" s="29">
        <v>46236</v>
      </c>
      <c r="G2627" s="29">
        <v>46236</v>
      </c>
      <c r="H2627" s="1" t="s">
        <v>476</v>
      </c>
      <c r="I2627" s="1" t="s">
        <v>5978</v>
      </c>
      <c r="J2627" s="207">
        <v>55806109371</v>
      </c>
      <c r="K2627" s="188"/>
      <c r="L2627" s="62">
        <v>23288758</v>
      </c>
      <c r="M2627" s="102">
        <v>5213223035026</v>
      </c>
      <c r="N2627" s="172" t="s">
        <v>37</v>
      </c>
      <c r="O2627" s="91">
        <v>6425.73</v>
      </c>
      <c r="P2627" s="91">
        <v>1927.72</v>
      </c>
      <c r="Q2627" s="42">
        <f>OfficeForms.Table[[#This Row],[ INFORMEDEPAGO ]]*0.3</f>
        <v>1927.7189999999998</v>
      </c>
      <c r="R2627" s="12">
        <f>(IF(O2627&lt;4172.98,0,MIN(O2627*0.3,O2627-4172.98)))-P2627</f>
        <v>-1.0000000002037268E-3</v>
      </c>
      <c r="S2627" s="78">
        <v>46753</v>
      </c>
      <c r="T2627" s="1"/>
      <c r="V2627" s="1"/>
      <c r="X2627" s="101">
        <v>2</v>
      </c>
    </row>
    <row r="2628" spans="1:24" hidden="1">
      <c r="A2628">
        <v>1033</v>
      </c>
      <c r="B2628" s="2">
        <v>46236.467523148203</v>
      </c>
      <c r="C2628" s="2">
        <v>46236.468148148197</v>
      </c>
      <c r="D2628" s="1" t="s">
        <v>24</v>
      </c>
      <c r="E2628" s="1"/>
      <c r="F2628" s="29">
        <v>46236</v>
      </c>
      <c r="G2628" s="29">
        <v>46236</v>
      </c>
      <c r="H2628" s="1" t="s">
        <v>71</v>
      </c>
      <c r="I2628" s="1" t="s">
        <v>5979</v>
      </c>
      <c r="J2628" s="207"/>
      <c r="K2628" s="188" t="s">
        <v>5980</v>
      </c>
      <c r="L2628" s="62">
        <v>23295776</v>
      </c>
      <c r="M2628" s="102">
        <v>5218141928244</v>
      </c>
      <c r="N2628" s="172" t="s">
        <v>32</v>
      </c>
      <c r="O2628" s="91">
        <v>4342.43</v>
      </c>
      <c r="P2628" s="91"/>
      <c r="Q2628" s="42">
        <f>OfficeForms.Table[[#This Row],[ INFORMEDEPAGO ]]*0.3</f>
        <v>1302.729</v>
      </c>
      <c r="R2628" s="12">
        <f>(IF(O2628&lt;4172.98,0,MIN(O2628*0.3,O2628-4172.98)))-P2628</f>
        <v>169.45000000000073</v>
      </c>
      <c r="S2628" s="78"/>
      <c r="T2628" s="1"/>
      <c r="V2628" s="1"/>
      <c r="X2628" s="101">
        <v>1</v>
      </c>
    </row>
    <row r="2629" spans="1:24" hidden="1">
      <c r="A2629">
        <v>1034</v>
      </c>
      <c r="B2629" s="2">
        <v>46236.475821759297</v>
      </c>
      <c r="C2629" s="2">
        <v>46236.477291666699</v>
      </c>
      <c r="D2629" s="1" t="s">
        <v>24</v>
      </c>
      <c r="E2629" s="1"/>
      <c r="F2629" s="29">
        <v>46236</v>
      </c>
      <c r="G2629" s="29">
        <v>46236</v>
      </c>
      <c r="H2629" s="1" t="s">
        <v>476</v>
      </c>
      <c r="I2629" s="1" t="s">
        <v>5981</v>
      </c>
      <c r="J2629" s="207">
        <v>33705226505</v>
      </c>
      <c r="K2629" s="188" t="s">
        <v>5982</v>
      </c>
      <c r="L2629" s="62">
        <v>23288164</v>
      </c>
      <c r="M2629" s="102">
        <v>5216142343932</v>
      </c>
      <c r="N2629" s="172" t="s">
        <v>37</v>
      </c>
      <c r="O2629" s="91">
        <v>20772.189999999999</v>
      </c>
      <c r="P2629" s="91">
        <v>6230.45</v>
      </c>
      <c r="Q2629" s="42">
        <f>OfficeForms.Table[[#This Row],[ INFORMEDEPAGO ]]*0.3</f>
        <v>6231.6569999999992</v>
      </c>
      <c r="R2629" s="12">
        <f>(IF(O2629&lt;4172.98,0,MIN(O2629*0.3,O2629-4172.98)))-P2629</f>
        <v>1.2069999999994252</v>
      </c>
      <c r="S2629" s="78">
        <v>46539</v>
      </c>
      <c r="T2629" s="1"/>
      <c r="V2629" s="1"/>
      <c r="X2629" s="101">
        <v>2</v>
      </c>
    </row>
    <row r="2630" spans="1:24" hidden="1">
      <c r="A2630">
        <v>1035</v>
      </c>
      <c r="B2630" s="2">
        <v>46236.4773263889</v>
      </c>
      <c r="C2630" s="2">
        <v>46236.480856481503</v>
      </c>
      <c r="D2630" s="1" t="s">
        <v>24</v>
      </c>
      <c r="E2630" s="1"/>
      <c r="F2630" s="29">
        <v>46236</v>
      </c>
      <c r="G2630" s="29">
        <v>46236</v>
      </c>
      <c r="H2630" s="1" t="s">
        <v>476</v>
      </c>
      <c r="I2630" s="1" t="s">
        <v>5983</v>
      </c>
      <c r="J2630" s="207" t="s">
        <v>5984</v>
      </c>
      <c r="K2630" s="188" t="s">
        <v>5985</v>
      </c>
      <c r="L2630" s="62">
        <v>23295766</v>
      </c>
      <c r="M2630" s="102">
        <v>5215513829133</v>
      </c>
      <c r="N2630" s="172" t="s">
        <v>37</v>
      </c>
      <c r="O2630" s="91">
        <v>5055.88</v>
      </c>
      <c r="P2630" s="91">
        <v>1300.19</v>
      </c>
      <c r="Q2630" s="42">
        <f>OfficeForms.Table[[#This Row],[ INFORMEDEPAGO ]]*0.3</f>
        <v>1516.7639999999999</v>
      </c>
      <c r="R2630" s="12">
        <f>(IF(O2630&lt;4172.98,0,MIN(O2630*0.3,O2630-4172.98)))-P2630</f>
        <v>-417.28999999999951</v>
      </c>
      <c r="S2630" s="78">
        <v>46935</v>
      </c>
      <c r="T2630" s="1"/>
      <c r="V2630" s="1"/>
      <c r="X2630" s="101">
        <v>2</v>
      </c>
    </row>
    <row r="2631" spans="1:24" hidden="1">
      <c r="A2631">
        <v>1036</v>
      </c>
      <c r="B2631" s="2">
        <v>46236.481145833299</v>
      </c>
      <c r="C2631" s="2">
        <v>46236.481817129599</v>
      </c>
      <c r="D2631" s="1" t="s">
        <v>24</v>
      </c>
      <c r="E2631" s="1"/>
      <c r="F2631" s="29">
        <v>46236</v>
      </c>
      <c r="G2631" s="29">
        <v>46236</v>
      </c>
      <c r="H2631" s="1" t="s">
        <v>71</v>
      </c>
      <c r="I2631" s="1" t="s">
        <v>5986</v>
      </c>
      <c r="J2631" s="207"/>
      <c r="K2631" s="188" t="s">
        <v>5987</v>
      </c>
      <c r="L2631" s="62">
        <v>23295916</v>
      </c>
      <c r="M2631" s="102">
        <v>5216691992417</v>
      </c>
      <c r="N2631" s="172" t="s">
        <v>37</v>
      </c>
      <c r="O2631" s="91">
        <v>9760.32</v>
      </c>
      <c r="P2631" s="91">
        <v>2821.95</v>
      </c>
      <c r="Q2631" s="42">
        <f>OfficeForms.Table[[#This Row],[ INFORMEDEPAGO ]]*0.3</f>
        <v>2928.096</v>
      </c>
      <c r="R2631" s="12">
        <f>(IF(O2631&lt;4172.98,0,MIN(O2631*0.3,O2631-4172.98)))-P2631</f>
        <v>106.14600000000019</v>
      </c>
      <c r="S2631" s="78">
        <v>46539</v>
      </c>
      <c r="T2631" s="1"/>
      <c r="V2631" s="1"/>
      <c r="X2631" s="101">
        <v>2</v>
      </c>
    </row>
    <row r="2632" spans="1:24" hidden="1">
      <c r="A2632">
        <v>1037</v>
      </c>
      <c r="B2632" s="2">
        <v>46236.497731481497</v>
      </c>
      <c r="C2632" s="2">
        <v>46236.4984722222</v>
      </c>
      <c r="D2632" s="1" t="s">
        <v>24</v>
      </c>
      <c r="E2632" s="1"/>
      <c r="F2632" s="29">
        <v>46236</v>
      </c>
      <c r="G2632" s="29">
        <v>46236</v>
      </c>
      <c r="H2632" s="1" t="s">
        <v>71</v>
      </c>
      <c r="I2632" s="1" t="s">
        <v>5988</v>
      </c>
      <c r="J2632" s="207" t="s">
        <v>5989</v>
      </c>
      <c r="K2632" s="188"/>
      <c r="L2632" s="62">
        <v>23296304</v>
      </c>
      <c r="M2632" s="102">
        <v>5218116793467</v>
      </c>
      <c r="N2632" s="172" t="s">
        <v>37</v>
      </c>
      <c r="O2632" s="91">
        <v>7640.52</v>
      </c>
      <c r="P2632" s="91">
        <v>2292</v>
      </c>
      <c r="Q2632" s="42">
        <f>OfficeForms.Table[[#This Row],[ INFORMEDEPAGO ]]*0.3</f>
        <v>2292.1559999999999</v>
      </c>
      <c r="R2632" s="12">
        <f>(IF(O2632&lt;4172.98,0,MIN(O2632*0.3,O2632-4172.98)))-P2632</f>
        <v>0.15599999999994907</v>
      </c>
      <c r="S2632" s="78">
        <v>46844</v>
      </c>
      <c r="T2632" s="1"/>
      <c r="V2632" s="1"/>
      <c r="X2632" s="101">
        <v>2</v>
      </c>
    </row>
    <row r="2633" spans="1:24" hidden="1">
      <c r="A2633">
        <v>1038</v>
      </c>
      <c r="B2633" s="2">
        <v>46236.490555555603</v>
      </c>
      <c r="C2633" s="2">
        <v>46236.500972222202</v>
      </c>
      <c r="D2633" s="1" t="s">
        <v>24</v>
      </c>
      <c r="E2633" s="1"/>
      <c r="F2633" s="29">
        <v>46236</v>
      </c>
      <c r="G2633" s="29">
        <v>46236</v>
      </c>
      <c r="H2633" s="1" t="s">
        <v>476</v>
      </c>
      <c r="I2633" s="1" t="s">
        <v>5990</v>
      </c>
      <c r="J2633" s="207"/>
      <c r="K2633" s="188" t="s">
        <v>5991</v>
      </c>
      <c r="L2633" s="62">
        <v>23296484</v>
      </c>
      <c r="M2633" s="102">
        <v>5218442958771</v>
      </c>
      <c r="N2633" s="172" t="s">
        <v>37</v>
      </c>
      <c r="O2633" s="91">
        <v>7116.73</v>
      </c>
      <c r="P2633" s="91">
        <v>1975.12</v>
      </c>
      <c r="Q2633" s="42">
        <f>OfficeForms.Table[[#This Row],[ INFORMEDEPAGO ]]*0.3</f>
        <v>2135.0189999999998</v>
      </c>
      <c r="R2633" s="12">
        <f>(IF(O2633&lt;4172.98,0,MIN(O2633*0.3,O2633-4172.98)))-P2633</f>
        <v>159.89899999999989</v>
      </c>
      <c r="S2633" s="78">
        <v>46296</v>
      </c>
      <c r="T2633" s="1"/>
      <c r="V2633" s="1"/>
      <c r="X2633" s="101">
        <v>2</v>
      </c>
    </row>
    <row r="2634" spans="1:24" hidden="1">
      <c r="A2634">
        <v>1039</v>
      </c>
      <c r="B2634" s="2">
        <v>46236.343333333301</v>
      </c>
      <c r="C2634" s="2">
        <v>46236.502546296302</v>
      </c>
      <c r="D2634" s="1" t="s">
        <v>24</v>
      </c>
      <c r="E2634" s="1"/>
      <c r="F2634" s="29">
        <v>46236</v>
      </c>
      <c r="G2634" s="29">
        <v>46236</v>
      </c>
      <c r="H2634" s="1" t="s">
        <v>3572</v>
      </c>
      <c r="I2634" s="1" t="s">
        <v>5992</v>
      </c>
      <c r="J2634" s="208" t="s">
        <v>5993</v>
      </c>
      <c r="K2634" s="188" t="s">
        <v>5994</v>
      </c>
      <c r="L2634" s="62">
        <v>23292832</v>
      </c>
      <c r="M2634" s="102">
        <v>5219712189356</v>
      </c>
      <c r="N2634" s="172" t="s">
        <v>37</v>
      </c>
      <c r="O2634" s="91">
        <v>4807.49</v>
      </c>
      <c r="P2634" s="91">
        <v>1051.58</v>
      </c>
      <c r="Q2634" s="42">
        <f>OfficeForms.Table[[#This Row],[ INFORMEDEPAGO ]]*0.3</f>
        <v>1442.2469999999998</v>
      </c>
      <c r="R2634" s="12">
        <f>(IF(O2634&lt;4172.98,0,MIN(O2634*0.3,O2634-4172.98)))-P2634</f>
        <v>-417.06999999999971</v>
      </c>
      <c r="S2634" s="78">
        <v>46784</v>
      </c>
      <c r="T2634" s="1"/>
      <c r="V2634" s="1"/>
      <c r="X2634" s="101">
        <v>2</v>
      </c>
    </row>
    <row r="2635" spans="1:24" hidden="1">
      <c r="A2635">
        <v>1040</v>
      </c>
      <c r="B2635" s="2">
        <v>46236.502581018503</v>
      </c>
      <c r="C2635" s="2">
        <v>46236.553761574098</v>
      </c>
      <c r="D2635" s="1" t="s">
        <v>24</v>
      </c>
      <c r="E2635" s="1"/>
      <c r="F2635" s="29">
        <v>46236</v>
      </c>
      <c r="G2635" s="29">
        <v>46236</v>
      </c>
      <c r="H2635" s="1" t="s">
        <v>3572</v>
      </c>
      <c r="I2635" s="1" t="s">
        <v>5995</v>
      </c>
      <c r="J2635" s="207">
        <v>20876616622</v>
      </c>
      <c r="K2635" s="188" t="s">
        <v>5996</v>
      </c>
      <c r="L2635" s="62">
        <v>23293184</v>
      </c>
      <c r="M2635" s="102">
        <v>5215586829416</v>
      </c>
      <c r="N2635" s="172" t="s">
        <v>32</v>
      </c>
      <c r="O2635" s="91">
        <v>3494.87</v>
      </c>
      <c r="P2635" s="91"/>
      <c r="Q2635" s="42">
        <f>OfficeForms.Table[[#This Row],[ INFORMEDEPAGO ]]*0.3</f>
        <v>1048.461</v>
      </c>
      <c r="R2635" s="12">
        <f>(IF(O2635&lt;4172.98,0,MIN(O2635*0.3,O2635-4172.98)))-P2635</f>
        <v>0</v>
      </c>
      <c r="S2635" s="78"/>
      <c r="T2635" s="1"/>
      <c r="V2635" s="1"/>
      <c r="X2635" s="101">
        <v>1</v>
      </c>
    </row>
    <row r="2636" spans="1:24" hidden="1">
      <c r="A2636">
        <v>1041</v>
      </c>
      <c r="B2636" s="2">
        <v>46236.557268518503</v>
      </c>
      <c r="C2636" s="2">
        <v>46236.557824074102</v>
      </c>
      <c r="D2636" s="1" t="s">
        <v>24</v>
      </c>
      <c r="E2636" s="1"/>
      <c r="F2636" s="29">
        <v>46236</v>
      </c>
      <c r="G2636" s="29">
        <v>46236</v>
      </c>
      <c r="H2636" s="1" t="s">
        <v>71</v>
      </c>
      <c r="I2636" s="1" t="s">
        <v>5997</v>
      </c>
      <c r="J2636" s="207"/>
      <c r="K2636" s="188" t="s">
        <v>5998</v>
      </c>
      <c r="L2636" s="62">
        <v>23297736</v>
      </c>
      <c r="M2636" s="102">
        <v>5215564635457</v>
      </c>
      <c r="N2636" s="172" t="s">
        <v>37</v>
      </c>
      <c r="O2636" s="91">
        <v>9760.32</v>
      </c>
      <c r="P2636" s="91">
        <v>2911.13</v>
      </c>
      <c r="Q2636" s="42">
        <f>OfficeForms.Table[[#This Row],[ INFORMEDEPAGO ]]*0.3</f>
        <v>2928.096</v>
      </c>
      <c r="R2636" s="12">
        <f>(IF(O2636&lt;4172.98,0,MIN(O2636*0.3,O2636-4172.98)))-P2636</f>
        <v>16.965999999999894</v>
      </c>
      <c r="S2636" s="78">
        <v>46753</v>
      </c>
      <c r="T2636" s="1"/>
      <c r="V2636" s="1"/>
      <c r="X2636" s="101">
        <v>2</v>
      </c>
    </row>
    <row r="2637" spans="1:24" hidden="1">
      <c r="A2637">
        <v>1042</v>
      </c>
      <c r="B2637" s="2">
        <v>46236.540659722203</v>
      </c>
      <c r="C2637" s="2">
        <v>46236.564872685201</v>
      </c>
      <c r="D2637" s="1" t="s">
        <v>24</v>
      </c>
      <c r="E2637" s="1"/>
      <c r="F2637" s="29">
        <v>46236</v>
      </c>
      <c r="G2637" s="29">
        <v>46236</v>
      </c>
      <c r="H2637" s="1" t="s">
        <v>476</v>
      </c>
      <c r="I2637" s="1" t="s">
        <v>5999</v>
      </c>
      <c r="J2637" s="207">
        <v>32927241250</v>
      </c>
      <c r="K2637" s="188"/>
      <c r="L2637" s="62">
        <v>23297562</v>
      </c>
      <c r="M2637" s="102">
        <v>5216682173212</v>
      </c>
      <c r="N2637" s="172" t="s">
        <v>28</v>
      </c>
      <c r="O2637" s="91">
        <v>6755.26</v>
      </c>
      <c r="P2637" s="91">
        <v>758.75</v>
      </c>
      <c r="Q2637" s="42">
        <f>OfficeForms.Table[[#This Row],[ INFORMEDEPAGO ]]*0.3</f>
        <v>2026.578</v>
      </c>
      <c r="R2637" s="12">
        <f>(IF(O2637&lt;4172.98,0,MIN(O2637*0.3,O2637-4172.98)))-P2637</f>
        <v>1267.828</v>
      </c>
      <c r="S2637" s="78">
        <v>46296</v>
      </c>
      <c r="T2637" s="1"/>
      <c r="V2637" s="1"/>
      <c r="X2637" s="101">
        <v>2</v>
      </c>
    </row>
    <row r="2638" spans="1:24" hidden="1">
      <c r="A2638">
        <v>1043</v>
      </c>
      <c r="B2638" s="2">
        <v>46236.591828703698</v>
      </c>
      <c r="C2638" s="2">
        <v>46236.592569444401</v>
      </c>
      <c r="D2638" s="1" t="s">
        <v>24</v>
      </c>
      <c r="E2638" s="1"/>
      <c r="F2638" s="29">
        <v>46236</v>
      </c>
      <c r="G2638" s="29">
        <v>46236</v>
      </c>
      <c r="H2638" s="1" t="s">
        <v>71</v>
      </c>
      <c r="I2638" s="1" t="s">
        <v>6000</v>
      </c>
      <c r="J2638" s="207"/>
      <c r="K2638" s="188" t="s">
        <v>6001</v>
      </c>
      <c r="L2638" s="62">
        <v>23298264</v>
      </c>
      <c r="M2638" s="102">
        <v>5214891105268</v>
      </c>
      <c r="N2638" s="172" t="s">
        <v>28</v>
      </c>
      <c r="O2638" s="91">
        <v>7116.73</v>
      </c>
      <c r="P2638" s="91">
        <v>695.59</v>
      </c>
      <c r="Q2638" s="42">
        <f>OfficeForms.Table[[#This Row],[ INFORMEDEPAGO ]]*0.3</f>
        <v>2135.0189999999998</v>
      </c>
      <c r="R2638" s="12">
        <f>(IF(O2638&lt;4172.98,0,MIN(O2638*0.3,O2638-4172.98)))-P2638</f>
        <v>1439.4289999999996</v>
      </c>
      <c r="S2638" s="78">
        <v>46935</v>
      </c>
      <c r="T2638" s="1"/>
      <c r="V2638" s="1"/>
      <c r="X2638" s="101">
        <v>2</v>
      </c>
    </row>
    <row r="2639" spans="1:24" hidden="1">
      <c r="A2639">
        <v>1044</v>
      </c>
      <c r="B2639" s="2">
        <v>46236.6108564815</v>
      </c>
      <c r="C2639" s="2">
        <v>46236.612604166701</v>
      </c>
      <c r="D2639" s="1" t="s">
        <v>24</v>
      </c>
      <c r="E2639" s="1"/>
      <c r="F2639" s="29">
        <v>46236</v>
      </c>
      <c r="G2639" s="29">
        <v>46235</v>
      </c>
      <c r="H2639" s="1" t="s">
        <v>71</v>
      </c>
      <c r="I2639" s="1" t="s">
        <v>6002</v>
      </c>
      <c r="J2639" s="207"/>
      <c r="K2639" s="188" t="s">
        <v>6003</v>
      </c>
      <c r="L2639" s="62">
        <v>23290160</v>
      </c>
      <c r="M2639" s="102">
        <v>5212288243853</v>
      </c>
      <c r="N2639" s="172" t="s">
        <v>98</v>
      </c>
      <c r="O2639" s="91"/>
      <c r="P2639" s="91"/>
      <c r="Q2639" s="42">
        <f>OfficeForms.Table[[#This Row],[ INFORMEDEPAGO ]]*0.3</f>
        <v>0</v>
      </c>
      <c r="R2639" s="12">
        <f>(IF(O2639&lt;4172.98,0,MIN(O2639*0.3,O2639-4172.98)))-P2639</f>
        <v>0</v>
      </c>
      <c r="S2639" s="78"/>
      <c r="T2639" s="1"/>
      <c r="V2639" s="1"/>
      <c r="X2639" s="101">
        <v>0</v>
      </c>
    </row>
    <row r="2640" spans="1:24" hidden="1">
      <c r="A2640">
        <v>1045</v>
      </c>
      <c r="B2640" s="2">
        <v>46236.646273148101</v>
      </c>
      <c r="C2640" s="2">
        <v>46236.648472222201</v>
      </c>
      <c r="D2640" s="1" t="s">
        <v>24</v>
      </c>
      <c r="E2640" s="1"/>
      <c r="F2640" s="29">
        <v>46236</v>
      </c>
      <c r="G2640" s="29">
        <v>46236</v>
      </c>
      <c r="H2640" s="1" t="s">
        <v>476</v>
      </c>
      <c r="I2640" s="1" t="s">
        <v>6004</v>
      </c>
      <c r="J2640" s="207"/>
      <c r="K2640" s="188" t="s">
        <v>6005</v>
      </c>
      <c r="L2640" s="62">
        <v>23288008</v>
      </c>
      <c r="M2640" s="102">
        <v>5219904037570</v>
      </c>
      <c r="N2640" s="172" t="s">
        <v>37</v>
      </c>
      <c r="O2640" s="91">
        <v>7920.51</v>
      </c>
      <c r="P2640" s="91">
        <v>2291.3000000000002</v>
      </c>
      <c r="Q2640" s="42">
        <f>OfficeForms.Table[[#This Row],[ INFORMEDEPAGO ]]*0.3</f>
        <v>2376.1529999999998</v>
      </c>
      <c r="R2640" s="12">
        <f>(IF(O2640&lt;4172.98,0,MIN(O2640*0.3,O2640-4172.98)))-P2640</f>
        <v>84.852999999999611</v>
      </c>
      <c r="S2640" s="78">
        <v>46508</v>
      </c>
      <c r="T2640" s="1"/>
      <c r="V2640" s="1"/>
      <c r="X2640" s="101">
        <v>2</v>
      </c>
    </row>
    <row r="2641" spans="1:24" hidden="1">
      <c r="A2641">
        <v>1046</v>
      </c>
      <c r="B2641" s="2">
        <v>46236.646574074097</v>
      </c>
      <c r="C2641" s="2">
        <v>46236.648912037002</v>
      </c>
      <c r="D2641" s="1" t="s">
        <v>24</v>
      </c>
      <c r="E2641" s="1"/>
      <c r="F2641" s="29">
        <v>46236</v>
      </c>
      <c r="G2641" s="29">
        <v>46236</v>
      </c>
      <c r="H2641" s="1" t="s">
        <v>3572</v>
      </c>
      <c r="I2641" s="1" t="s">
        <v>6006</v>
      </c>
      <c r="J2641" s="207">
        <v>1644657148</v>
      </c>
      <c r="K2641" s="188"/>
      <c r="L2641" s="62">
        <v>23297994</v>
      </c>
      <c r="M2641" s="102">
        <v>5215521536207</v>
      </c>
      <c r="N2641" s="172" t="s">
        <v>37</v>
      </c>
      <c r="O2641" s="91">
        <v>14964.81</v>
      </c>
      <c r="P2641" s="91">
        <v>4489.43</v>
      </c>
      <c r="Q2641" s="42">
        <f>OfficeForms.Table[[#This Row],[ INFORMEDEPAGO ]]*0.3</f>
        <v>4489.4429999999993</v>
      </c>
      <c r="R2641" s="12">
        <f>(IF(O2641&lt;4172.98,0,MIN(O2641*0.3,O2641-4172.98)))-P2641</f>
        <v>1.299999999901047E-2</v>
      </c>
      <c r="S2641" s="78">
        <v>46569</v>
      </c>
      <c r="T2641" s="1"/>
      <c r="V2641" s="1"/>
      <c r="X2641" s="101">
        <v>2</v>
      </c>
    </row>
    <row r="2642" spans="1:24" hidden="1">
      <c r="A2642">
        <v>1047</v>
      </c>
      <c r="B2642" s="2">
        <v>46236.652476851901</v>
      </c>
      <c r="C2642" s="2">
        <v>46236.6535069444</v>
      </c>
      <c r="D2642" s="1" t="s">
        <v>24</v>
      </c>
      <c r="E2642" s="1"/>
      <c r="F2642" s="29">
        <v>46236</v>
      </c>
      <c r="G2642" s="29">
        <v>46233</v>
      </c>
      <c r="H2642" s="1" t="s">
        <v>71</v>
      </c>
      <c r="I2642" s="1" t="s">
        <v>6007</v>
      </c>
      <c r="J2642" s="207"/>
      <c r="K2642" s="188" t="s">
        <v>6008</v>
      </c>
      <c r="L2642" s="62">
        <v>23233524</v>
      </c>
      <c r="M2642" s="102">
        <v>5214641196992</v>
      </c>
      <c r="N2642" s="172" t="s">
        <v>98</v>
      </c>
      <c r="O2642" s="91"/>
      <c r="P2642" s="91"/>
      <c r="Q2642" s="42">
        <f>OfficeForms.Table[[#This Row],[ INFORMEDEPAGO ]]*0.3</f>
        <v>0</v>
      </c>
      <c r="R2642" s="12">
        <f>(IF(O2642&lt;4172.98,0,MIN(O2642*0.3,O2642-4172.98)))-P2642</f>
        <v>0</v>
      </c>
      <c r="S2642" s="78"/>
      <c r="T2642" s="1"/>
      <c r="V2642" s="1"/>
      <c r="X2642" s="101">
        <v>0</v>
      </c>
    </row>
    <row r="2643" spans="1:24" hidden="1">
      <c r="A2643">
        <v>1048</v>
      </c>
      <c r="B2643" s="2">
        <v>46236.653298611098</v>
      </c>
      <c r="C2643" s="2">
        <v>46236.655208333301</v>
      </c>
      <c r="D2643" s="1" t="s">
        <v>24</v>
      </c>
      <c r="E2643" s="1"/>
      <c r="F2643" s="29">
        <v>46236</v>
      </c>
      <c r="G2643" s="29">
        <v>46236</v>
      </c>
      <c r="H2643" s="1" t="s">
        <v>476</v>
      </c>
      <c r="I2643" s="1" t="s">
        <v>6009</v>
      </c>
      <c r="J2643" s="207">
        <v>21755001159</v>
      </c>
      <c r="K2643" s="188" t="s">
        <v>6010</v>
      </c>
      <c r="L2643" s="62">
        <v>23288970</v>
      </c>
      <c r="M2643" s="102">
        <v>5213111593745</v>
      </c>
      <c r="N2643" s="172" t="s">
        <v>32</v>
      </c>
      <c r="O2643" s="91"/>
      <c r="P2643" s="91"/>
      <c r="Q2643" s="42">
        <f>OfficeForms.Table[[#This Row],[ INFORMEDEPAGO ]]*0.3</f>
        <v>0</v>
      </c>
      <c r="R2643" s="12">
        <f>(IF(O2643&lt;4172.98,0,MIN(O2643*0.3,O2643-4172.98)))-P2643</f>
        <v>0</v>
      </c>
      <c r="S2643" s="78"/>
      <c r="T2643" s="1"/>
      <c r="V2643" s="1"/>
      <c r="X2643" s="101">
        <v>1</v>
      </c>
    </row>
    <row r="2644" spans="1:24" hidden="1">
      <c r="A2644">
        <v>1049</v>
      </c>
      <c r="B2644" s="2">
        <v>46236.6639699074</v>
      </c>
      <c r="C2644" s="2">
        <v>46236.665092592601</v>
      </c>
      <c r="D2644" s="1" t="s">
        <v>24</v>
      </c>
      <c r="E2644" s="1"/>
      <c r="F2644" s="29">
        <v>46236</v>
      </c>
      <c r="G2644" s="29">
        <v>46236</v>
      </c>
      <c r="H2644" s="1" t="s">
        <v>476</v>
      </c>
      <c r="I2644" s="1" t="s">
        <v>6011</v>
      </c>
      <c r="J2644" s="207">
        <v>76805900024</v>
      </c>
      <c r="K2644" s="188"/>
      <c r="L2644" s="62">
        <v>23289344</v>
      </c>
      <c r="M2644" s="102">
        <v>5219511270715</v>
      </c>
      <c r="N2644" s="172" t="s">
        <v>32</v>
      </c>
      <c r="O2644" s="91">
        <f>3965.69+848</f>
        <v>4813.6900000000005</v>
      </c>
      <c r="P2644" s="91">
        <v>848</v>
      </c>
      <c r="Q2644" s="42">
        <f>OfficeForms.Table[[#This Row],[ INFORMEDEPAGO ]]*0.3</f>
        <v>1444.1070000000002</v>
      </c>
      <c r="R2644" s="12">
        <f>(IF(O2644&lt;4172.98,0,MIN(O2644*0.3,O2644-4172.98)))-P2644</f>
        <v>-207.28999999999905</v>
      </c>
      <c r="S2644" s="78"/>
      <c r="T2644" s="1"/>
      <c r="V2644" s="1"/>
      <c r="X2644" s="101">
        <v>1</v>
      </c>
    </row>
    <row r="2645" spans="1:24" hidden="1">
      <c r="A2645">
        <v>1050</v>
      </c>
      <c r="B2645" s="2">
        <v>46236.656620370399</v>
      </c>
      <c r="C2645" s="2">
        <v>46236.668437499997</v>
      </c>
      <c r="D2645" s="1" t="s">
        <v>24</v>
      </c>
      <c r="E2645" s="1"/>
      <c r="F2645" s="29">
        <v>46236</v>
      </c>
      <c r="G2645" s="29">
        <v>46236</v>
      </c>
      <c r="H2645" s="1" t="s">
        <v>3572</v>
      </c>
      <c r="I2645" s="1" t="s">
        <v>6012</v>
      </c>
      <c r="J2645" s="207" t="s">
        <v>6013</v>
      </c>
      <c r="K2645" s="188"/>
      <c r="L2645" s="62">
        <v>23292694</v>
      </c>
      <c r="M2645" s="102">
        <v>5214281029593</v>
      </c>
      <c r="N2645" s="172" t="s">
        <v>98</v>
      </c>
      <c r="O2645" s="91"/>
      <c r="P2645" s="91"/>
      <c r="Q2645" s="42">
        <f>OfficeForms.Table[[#This Row],[ INFORMEDEPAGO ]]*0.3</f>
        <v>0</v>
      </c>
      <c r="R2645" s="12">
        <f>(IF(O2645&lt;4172.98,0,MIN(O2645*0.3,O2645-4172.98)))-P2645</f>
        <v>0</v>
      </c>
      <c r="S2645" s="78"/>
      <c r="T2645" s="1"/>
      <c r="V2645" s="1"/>
      <c r="X2645" s="101">
        <v>0</v>
      </c>
    </row>
    <row r="2646" spans="1:24" hidden="1">
      <c r="A2646">
        <v>1051</v>
      </c>
      <c r="B2646" s="2">
        <v>46236.686574074098</v>
      </c>
      <c r="C2646" s="2">
        <v>46236.688194444403</v>
      </c>
      <c r="D2646" s="1" t="s">
        <v>24</v>
      </c>
      <c r="E2646" s="1"/>
      <c r="F2646" s="29">
        <v>46236</v>
      </c>
      <c r="G2646" s="29">
        <v>46235</v>
      </c>
      <c r="H2646" s="1" t="s">
        <v>3572</v>
      </c>
      <c r="I2646" s="1" t="s">
        <v>6014</v>
      </c>
      <c r="J2646" s="207"/>
      <c r="K2646" s="188" t="s">
        <v>6015</v>
      </c>
      <c r="L2646" s="62">
        <v>23290094</v>
      </c>
      <c r="M2646" s="102">
        <v>5214426598423</v>
      </c>
      <c r="N2646" s="172" t="s">
        <v>37</v>
      </c>
      <c r="O2646" s="91">
        <v>13191.9</v>
      </c>
      <c r="P2646" s="91">
        <v>3957.57</v>
      </c>
      <c r="Q2646" s="42">
        <f>OfficeForms.Table[[#This Row],[ INFORMEDEPAGO ]]*0.3</f>
        <v>3957.5699999999997</v>
      </c>
      <c r="R2646" s="12">
        <f>(IF(O2646&lt;4172.98,0,MIN(O2646*0.3,O2646-4172.98)))-P2646</f>
        <v>0</v>
      </c>
      <c r="S2646" s="78">
        <v>46631</v>
      </c>
      <c r="T2646" s="1"/>
      <c r="V2646" s="1"/>
      <c r="X2646" s="101">
        <v>2</v>
      </c>
    </row>
    <row r="2647" spans="1:24" hidden="1">
      <c r="A2647">
        <v>1052</v>
      </c>
      <c r="B2647" s="2">
        <v>46236.691516203697</v>
      </c>
      <c r="C2647" s="2">
        <v>46236.693611111099</v>
      </c>
      <c r="D2647" s="1" t="s">
        <v>24</v>
      </c>
      <c r="E2647" s="1"/>
      <c r="F2647" s="29">
        <v>46236</v>
      </c>
      <c r="G2647" s="29">
        <v>46236</v>
      </c>
      <c r="H2647" s="1" t="s">
        <v>3572</v>
      </c>
      <c r="I2647" s="1" t="s">
        <v>6016</v>
      </c>
      <c r="J2647" s="207">
        <v>32745523772</v>
      </c>
      <c r="K2647" s="188" t="s">
        <v>6017</v>
      </c>
      <c r="L2647" s="62">
        <v>23297342</v>
      </c>
      <c r="M2647" s="102">
        <v>5216681567210</v>
      </c>
      <c r="N2647" s="172" t="s">
        <v>37</v>
      </c>
      <c r="O2647" s="91">
        <v>48295.76</v>
      </c>
      <c r="P2647" s="91">
        <v>14475.28</v>
      </c>
      <c r="Q2647" s="42">
        <f>OfficeForms.Table[[#This Row],[ INFORMEDEPAGO ]]*0.3</f>
        <v>14488.728000000001</v>
      </c>
      <c r="R2647" s="12">
        <f>(IF(O2647&lt;4172.98,0,MIN(O2647*0.3,O2647-4172.98)))-P2647</f>
        <v>13.44800000000032</v>
      </c>
      <c r="S2647" s="78">
        <v>46784</v>
      </c>
      <c r="T2647" s="1"/>
      <c r="V2647" s="1"/>
      <c r="X2647" s="101">
        <v>2</v>
      </c>
    </row>
    <row r="2648" spans="1:24" hidden="1">
      <c r="A2648">
        <v>1053</v>
      </c>
      <c r="B2648" s="2">
        <v>46236.691701388903</v>
      </c>
      <c r="C2648" s="2">
        <v>46236.696516203701</v>
      </c>
      <c r="D2648" s="1" t="s">
        <v>24</v>
      </c>
      <c r="E2648" s="1"/>
      <c r="F2648" s="29">
        <v>46236</v>
      </c>
      <c r="G2648" s="29">
        <v>46235</v>
      </c>
      <c r="H2648" s="1" t="s">
        <v>476</v>
      </c>
      <c r="I2648" s="1" t="s">
        <v>6018</v>
      </c>
      <c r="J2648" s="207">
        <v>10795993947</v>
      </c>
      <c r="K2648" s="188" t="s">
        <v>6019</v>
      </c>
      <c r="L2648" s="62">
        <v>23289878</v>
      </c>
      <c r="M2648" s="102">
        <v>5213121046353</v>
      </c>
      <c r="N2648" s="172" t="s">
        <v>98</v>
      </c>
      <c r="O2648" s="91"/>
      <c r="P2648" s="91"/>
      <c r="Q2648" s="42">
        <f>OfficeForms.Table[[#This Row],[ INFORMEDEPAGO ]]*0.3</f>
        <v>0</v>
      </c>
      <c r="R2648" s="12">
        <f>(IF(O2648&lt;4172.98,0,MIN(O2648*0.3,O2648-4172.98)))-P2648</f>
        <v>0</v>
      </c>
      <c r="S2648" s="78"/>
      <c r="T2648" s="1"/>
      <c r="V2648" s="1"/>
      <c r="X2648" s="101">
        <v>0</v>
      </c>
    </row>
    <row r="2649" spans="1:24" hidden="1">
      <c r="A2649">
        <v>1054</v>
      </c>
      <c r="B2649" s="2">
        <v>46237.320462962998</v>
      </c>
      <c r="C2649" s="2">
        <v>46237.335115740701</v>
      </c>
      <c r="D2649" s="1" t="s">
        <v>24</v>
      </c>
      <c r="E2649" s="1"/>
      <c r="F2649" s="29">
        <v>46237</v>
      </c>
      <c r="G2649" s="29">
        <v>46237</v>
      </c>
      <c r="H2649" s="1" t="s">
        <v>1625</v>
      </c>
      <c r="I2649" s="1" t="s">
        <v>6020</v>
      </c>
      <c r="J2649" s="207">
        <v>14816324249</v>
      </c>
      <c r="K2649" s="188" t="s">
        <v>6021</v>
      </c>
      <c r="L2649" s="62">
        <v>2</v>
      </c>
      <c r="M2649" s="102">
        <v>4425481504</v>
      </c>
      <c r="N2649" s="172" t="s">
        <v>235</v>
      </c>
      <c r="O2649" s="91"/>
      <c r="P2649" s="91"/>
      <c r="Q2649" s="42">
        <f>OfficeForms.Table[[#This Row],[ INFORMEDEPAGO ]]*0.3</f>
        <v>0</v>
      </c>
      <c r="R2649" s="12">
        <f>(IF(O2649&lt;4172.98,0,MIN(O2649*0.3,O2649-4172.98)))-P2649</f>
        <v>0</v>
      </c>
      <c r="S2649" s="78"/>
      <c r="T2649" s="1"/>
      <c r="V2649" s="1"/>
      <c r="X2649" s="101">
        <v>1</v>
      </c>
    </row>
    <row r="2650" spans="1:24" hidden="1">
      <c r="A2650">
        <v>1055</v>
      </c>
      <c r="B2650" s="2">
        <v>46237.338657407403</v>
      </c>
      <c r="C2650" s="2">
        <v>46237.339085648098</v>
      </c>
      <c r="D2650" s="1" t="s">
        <v>24</v>
      </c>
      <c r="E2650" s="1"/>
      <c r="F2650" s="29">
        <v>46237</v>
      </c>
      <c r="G2650" s="29">
        <v>46237</v>
      </c>
      <c r="H2650" s="1" t="s">
        <v>1625</v>
      </c>
      <c r="I2650" s="1" t="s">
        <v>6022</v>
      </c>
      <c r="J2650" s="207">
        <v>1681632167</v>
      </c>
      <c r="K2650" s="188" t="s">
        <v>6023</v>
      </c>
      <c r="L2650" s="62">
        <v>2</v>
      </c>
      <c r="M2650" s="102">
        <v>2212058270</v>
      </c>
      <c r="N2650" s="172" t="s">
        <v>37</v>
      </c>
      <c r="O2650" s="91">
        <v>12807.35</v>
      </c>
      <c r="P2650" s="91">
        <v>3842.2</v>
      </c>
      <c r="Q2650" s="42">
        <f>OfficeForms.Table[[#This Row],[ INFORMEDEPAGO ]]*0.3</f>
        <v>3842.2049999999999</v>
      </c>
      <c r="R2650" s="12">
        <f>(IF(O2650&lt;4172.98,0,MIN(O2650*0.3,O2650-4172.98)))-P2650</f>
        <v>5.0000000001091394E-3</v>
      </c>
      <c r="S2650" s="78">
        <v>46447</v>
      </c>
      <c r="T2650" s="1"/>
      <c r="V2650" s="1"/>
      <c r="X2650" s="101">
        <v>2</v>
      </c>
    </row>
    <row r="2651" spans="1:24" hidden="1">
      <c r="A2651">
        <v>1056</v>
      </c>
      <c r="B2651" s="2">
        <v>46237.338935185202</v>
      </c>
      <c r="C2651" s="2">
        <v>46237.345659722203</v>
      </c>
      <c r="D2651" s="1" t="s">
        <v>24</v>
      </c>
      <c r="E2651" s="1"/>
      <c r="F2651" s="29">
        <v>46237</v>
      </c>
      <c r="G2651" s="29">
        <v>46236</v>
      </c>
      <c r="H2651" s="1" t="s">
        <v>3572</v>
      </c>
      <c r="I2651" s="1" t="s">
        <v>6024</v>
      </c>
      <c r="J2651" s="207">
        <v>21947766255</v>
      </c>
      <c r="K2651" s="188" t="s">
        <v>6025</v>
      </c>
      <c r="L2651" s="62">
        <v>23293444</v>
      </c>
      <c r="M2651" s="102">
        <v>5216862141831</v>
      </c>
      <c r="N2651" s="172" t="s">
        <v>37</v>
      </c>
      <c r="O2651" s="91">
        <v>7685.91</v>
      </c>
      <c r="P2651" s="91">
        <v>2288.86</v>
      </c>
      <c r="Q2651" s="42">
        <f>OfficeForms.Table[[#This Row],[ INFORMEDEPAGO ]]*0.3</f>
        <v>2305.7729999999997</v>
      </c>
      <c r="R2651" s="12">
        <f>(IF(O2651&lt;4172.98,0,MIN(O2651*0.3,O2651-4172.98)))-P2651</f>
        <v>16.912999999999556</v>
      </c>
      <c r="S2651" s="78">
        <v>46874</v>
      </c>
      <c r="T2651" s="1" t="s">
        <v>178</v>
      </c>
      <c r="V2651" s="1"/>
      <c r="X2651" s="101">
        <v>2</v>
      </c>
    </row>
    <row r="2652" spans="1:24" hidden="1">
      <c r="A2652">
        <v>1057</v>
      </c>
      <c r="B2652" s="2">
        <v>46237.371666666702</v>
      </c>
      <c r="C2652" s="2">
        <v>46237.373032407399</v>
      </c>
      <c r="D2652" s="1" t="s">
        <v>24</v>
      </c>
      <c r="E2652" s="1"/>
      <c r="F2652" s="29">
        <v>46237</v>
      </c>
      <c r="G2652" s="29">
        <v>46236</v>
      </c>
      <c r="H2652" s="1" t="s">
        <v>3572</v>
      </c>
      <c r="I2652" s="1" t="s">
        <v>6026</v>
      </c>
      <c r="J2652" s="207">
        <v>53906510408</v>
      </c>
      <c r="K2652" s="188"/>
      <c r="L2652" s="62">
        <v>23293998</v>
      </c>
      <c r="M2652" s="102">
        <v>5217121332645</v>
      </c>
      <c r="N2652" s="172" t="s">
        <v>28</v>
      </c>
      <c r="O2652" s="91">
        <v>42341.38</v>
      </c>
      <c r="P2652" s="91"/>
      <c r="Q2652" s="42">
        <f>OfficeForms.Table[[#This Row],[ INFORMEDEPAGO ]]*0.3</f>
        <v>12702.413999999999</v>
      </c>
      <c r="R2652" s="12">
        <f>(IF(O2652&lt;4172.98,0,MIN(O2652*0.3,O2652-4172.98)))-P2652</f>
        <v>12702.413999999999</v>
      </c>
      <c r="S2652" s="78"/>
      <c r="T2652" s="1"/>
      <c r="V2652" s="1"/>
      <c r="X2652" s="101">
        <v>1</v>
      </c>
    </row>
    <row r="2653" spans="1:24" hidden="1">
      <c r="A2653">
        <v>1058</v>
      </c>
      <c r="B2653" s="2">
        <v>46237.345069444404</v>
      </c>
      <c r="C2653" s="2">
        <v>46237.402465277803</v>
      </c>
      <c r="D2653" s="1" t="s">
        <v>24</v>
      </c>
      <c r="E2653" s="1"/>
      <c r="F2653" s="29">
        <v>46237</v>
      </c>
      <c r="G2653" s="29">
        <v>46237</v>
      </c>
      <c r="H2653" s="1" t="s">
        <v>1625</v>
      </c>
      <c r="I2653" s="1" t="s">
        <v>6027</v>
      </c>
      <c r="J2653" s="207" t="s">
        <v>6028</v>
      </c>
      <c r="K2653" s="188" t="s">
        <v>6029</v>
      </c>
      <c r="L2653" s="62">
        <v>2</v>
      </c>
      <c r="M2653" s="102">
        <v>5662820327</v>
      </c>
      <c r="N2653" s="172" t="s">
        <v>37</v>
      </c>
      <c r="O2653" s="91">
        <v>5792.63</v>
      </c>
      <c r="P2653" s="91">
        <v>1549.01</v>
      </c>
      <c r="Q2653" s="42">
        <f>OfficeForms.Table[[#This Row],[ INFORMEDEPAGO ]]*0.3</f>
        <v>1737.789</v>
      </c>
      <c r="R2653" s="12">
        <f>(IF(O2653&lt;4172.98,0,MIN(O2653*0.3,O2653-4172.98)))-P2653</f>
        <v>70.640000000000555</v>
      </c>
      <c r="S2653" s="78">
        <v>46539</v>
      </c>
      <c r="T2653" s="1"/>
      <c r="V2653" s="1"/>
      <c r="X2653" s="101">
        <v>2</v>
      </c>
    </row>
    <row r="2654" spans="1:24" hidden="1">
      <c r="A2654">
        <v>1059</v>
      </c>
      <c r="B2654" s="2">
        <v>46237.4046296296</v>
      </c>
      <c r="C2654" s="2">
        <v>46237.4133449074</v>
      </c>
      <c r="D2654" s="1" t="s">
        <v>24</v>
      </c>
      <c r="E2654" s="1"/>
      <c r="F2654" s="29">
        <v>46237</v>
      </c>
      <c r="G2654" s="29">
        <v>46236</v>
      </c>
      <c r="H2654" s="1" t="s">
        <v>3572</v>
      </c>
      <c r="I2654" s="1" t="s">
        <v>6030</v>
      </c>
      <c r="J2654" s="207">
        <v>83735701449</v>
      </c>
      <c r="K2654" s="188"/>
      <c r="L2654" s="62">
        <v>23295424</v>
      </c>
      <c r="M2654" s="102">
        <v>5219931624465</v>
      </c>
      <c r="N2654" s="172" t="s">
        <v>37</v>
      </c>
      <c r="O2654" s="91">
        <v>40870.370000000003</v>
      </c>
      <c r="P2654" s="91">
        <v>12259.44</v>
      </c>
      <c r="Q2654" s="42">
        <f>OfficeForms.Table[[#This Row],[ INFORMEDEPAGO ]]*0.3</f>
        <v>12261.111000000001</v>
      </c>
      <c r="R2654" s="12">
        <f>(IF(O2654&lt;4172.98,0,MIN(O2654*0.3,O2654-4172.98)))-P2654</f>
        <v>1.6710000000002765</v>
      </c>
      <c r="S2654" s="78">
        <v>46600</v>
      </c>
      <c r="T2654" s="1"/>
      <c r="V2654" s="1"/>
      <c r="X2654" s="101">
        <v>2</v>
      </c>
    </row>
    <row r="2655" spans="1:24" hidden="1">
      <c r="A2655">
        <v>1060</v>
      </c>
      <c r="B2655" s="2">
        <v>46237.4131597222</v>
      </c>
      <c r="C2655" s="2">
        <v>46237.419386574104</v>
      </c>
      <c r="D2655" s="1" t="s">
        <v>24</v>
      </c>
      <c r="E2655" s="1"/>
      <c r="F2655" s="29">
        <v>46237</v>
      </c>
      <c r="G2655" s="29">
        <v>46237</v>
      </c>
      <c r="H2655" s="1" t="s">
        <v>160</v>
      </c>
      <c r="I2655" s="1" t="s">
        <v>6031</v>
      </c>
      <c r="J2655" s="207">
        <v>52845702142</v>
      </c>
      <c r="K2655" s="188" t="s">
        <v>6032</v>
      </c>
      <c r="L2655" s="62">
        <v>23313672</v>
      </c>
      <c r="M2655" s="102">
        <v>5213121140810</v>
      </c>
      <c r="N2655" s="172" t="s">
        <v>28</v>
      </c>
      <c r="O2655" s="91">
        <v>9760.32</v>
      </c>
      <c r="P2655" s="91"/>
      <c r="Q2655" s="42">
        <f>OfficeForms.Table[[#This Row],[ INFORMEDEPAGO ]]*0.3</f>
        <v>2928.096</v>
      </c>
      <c r="R2655" s="12">
        <f>(IF(O2655&lt;4172.98,0,MIN(O2655*0.3,O2655-4172.98)))-P2655</f>
        <v>2928.096</v>
      </c>
      <c r="S2655" s="78"/>
      <c r="T2655" s="1"/>
      <c r="V2655" s="1"/>
      <c r="X2655" s="101">
        <v>1</v>
      </c>
    </row>
    <row r="2656" spans="1:24" hidden="1">
      <c r="A2656">
        <v>1061</v>
      </c>
      <c r="B2656" s="2">
        <v>46237.418993055602</v>
      </c>
      <c r="C2656" s="2">
        <v>46237.420069444401</v>
      </c>
      <c r="D2656" s="1" t="s">
        <v>24</v>
      </c>
      <c r="E2656" s="1"/>
      <c r="F2656" s="29">
        <v>46237</v>
      </c>
      <c r="G2656" s="29">
        <v>46231</v>
      </c>
      <c r="H2656" s="1" t="s">
        <v>5135</v>
      </c>
      <c r="I2656" s="1" t="s">
        <v>6033</v>
      </c>
      <c r="J2656" s="207"/>
      <c r="K2656" s="188" t="s">
        <v>6034</v>
      </c>
      <c r="L2656" s="62">
        <v>23188100</v>
      </c>
      <c r="M2656" s="102">
        <v>5215591440659</v>
      </c>
      <c r="N2656" s="172" t="s">
        <v>37</v>
      </c>
      <c r="O2656" s="91">
        <v>7755.08</v>
      </c>
      <c r="P2656" s="91">
        <v>2322.0700000000002</v>
      </c>
      <c r="Q2656" s="42">
        <f>OfficeForms.Table[[#This Row],[ INFORMEDEPAGO ]]*0.3</f>
        <v>2326.5239999999999</v>
      </c>
      <c r="R2656" s="12">
        <f>(IF(O2656&lt;4172.98,0,MIN(O2656*0.3,O2656-4172.98)))-P2656</f>
        <v>4.4539999999997235</v>
      </c>
      <c r="S2656" s="78">
        <v>46813</v>
      </c>
      <c r="T2656" s="1"/>
      <c r="V2656" s="1"/>
      <c r="X2656" s="101">
        <v>2</v>
      </c>
    </row>
    <row r="2657" spans="1:24" hidden="1">
      <c r="A2657">
        <v>1062</v>
      </c>
      <c r="B2657" s="2">
        <v>46237.416006944397</v>
      </c>
      <c r="C2657" s="2">
        <v>46237.4230439815</v>
      </c>
      <c r="D2657" s="1" t="s">
        <v>24</v>
      </c>
      <c r="E2657" s="1"/>
      <c r="F2657" s="29">
        <v>46237</v>
      </c>
      <c r="G2657" s="29">
        <v>46236</v>
      </c>
      <c r="H2657" s="1" t="s">
        <v>71</v>
      </c>
      <c r="I2657" s="1" t="s">
        <v>6035</v>
      </c>
      <c r="J2657" s="207"/>
      <c r="K2657" s="188" t="s">
        <v>6036</v>
      </c>
      <c r="L2657" s="62">
        <v>23293672</v>
      </c>
      <c r="M2657" s="102">
        <v>5215517806146</v>
      </c>
      <c r="N2657" s="172" t="s">
        <v>28</v>
      </c>
      <c r="O2657" s="91">
        <f>77912.31-66528.73-354.55</f>
        <v>11029.030000000002</v>
      </c>
      <c r="P2657" s="91"/>
      <c r="Q2657" s="42">
        <f>OfficeForms.Table[[#This Row],[ INFORMEDEPAGO ]]*0.3</f>
        <v>3308.7090000000007</v>
      </c>
      <c r="R2657" s="12">
        <f>(IF(O2657&lt;4172.98,0,MIN(O2657*0.3,O2657-4172.98)))-P2657</f>
        <v>3308.7090000000007</v>
      </c>
      <c r="S2657" s="78"/>
      <c r="T2657" s="1"/>
      <c r="V2657" s="1"/>
      <c r="X2657" s="101">
        <v>1</v>
      </c>
    </row>
    <row r="2658" spans="1:24" hidden="1">
      <c r="A2658">
        <v>1063</v>
      </c>
      <c r="B2658" s="2">
        <v>46237.423159722202</v>
      </c>
      <c r="C2658" s="2">
        <v>46237.423888888901</v>
      </c>
      <c r="D2658" s="1" t="s">
        <v>24</v>
      </c>
      <c r="E2658" s="1"/>
      <c r="F2658" s="29">
        <v>46237</v>
      </c>
      <c r="G2658" s="29">
        <v>46233</v>
      </c>
      <c r="H2658" s="1" t="s">
        <v>3352</v>
      </c>
      <c r="I2658" s="1" t="s">
        <v>6037</v>
      </c>
      <c r="J2658" s="207">
        <v>31806321753</v>
      </c>
      <c r="K2658" s="188" t="s">
        <v>6038</v>
      </c>
      <c r="L2658" s="62">
        <v>23241518</v>
      </c>
      <c r="M2658" s="102">
        <v>8717363344</v>
      </c>
      <c r="N2658" s="172" t="s">
        <v>28</v>
      </c>
      <c r="O2658" s="91">
        <v>11029.03</v>
      </c>
      <c r="P2658" s="91"/>
      <c r="Q2658" s="42">
        <f>OfficeForms.Table[[#This Row],[ INFORMEDEPAGO ]]*0.3</f>
        <v>3308.7090000000003</v>
      </c>
      <c r="R2658" s="12">
        <f>(IF(O2658&lt;4172.98,0,MIN(O2658*0.3,O2658-4172.98)))-P2658</f>
        <v>3308.7090000000003</v>
      </c>
      <c r="S2658" s="78"/>
      <c r="T2658" s="1"/>
      <c r="V2658" s="1"/>
      <c r="X2658" s="101">
        <v>1</v>
      </c>
    </row>
    <row r="2659" spans="1:24" hidden="1">
      <c r="A2659">
        <v>1064</v>
      </c>
      <c r="B2659" s="2">
        <v>46237.431122685201</v>
      </c>
      <c r="C2659" s="2">
        <v>46237.434999999998</v>
      </c>
      <c r="D2659" s="1" t="s">
        <v>24</v>
      </c>
      <c r="E2659" s="1"/>
      <c r="F2659" s="29">
        <v>46237</v>
      </c>
      <c r="G2659" s="29">
        <v>46237</v>
      </c>
      <c r="H2659" s="1" t="s">
        <v>476</v>
      </c>
      <c r="I2659" s="1" t="s">
        <v>6039</v>
      </c>
      <c r="J2659" s="207"/>
      <c r="K2659" s="188" t="s">
        <v>6040</v>
      </c>
      <c r="L2659" s="119">
        <v>23297446</v>
      </c>
      <c r="M2659" s="102">
        <v>5213318834951</v>
      </c>
      <c r="N2659" s="172" t="s">
        <v>28</v>
      </c>
      <c r="O2659" s="91">
        <v>9582.4699999999993</v>
      </c>
      <c r="P2659" s="91"/>
      <c r="Q2659" s="42">
        <f>OfficeForms.Table[[#This Row],[ INFORMEDEPAGO ]]*0.3</f>
        <v>2874.7409999999995</v>
      </c>
      <c r="R2659" s="12">
        <f>(IF(O2659&lt;4172.98,0,MIN(O2659*0.3,O2659-4172.98)))-P2659</f>
        <v>2874.7409999999995</v>
      </c>
      <c r="S2659" s="78"/>
      <c r="T2659" s="1"/>
      <c r="V2659" s="1"/>
      <c r="X2659" s="101">
        <v>1</v>
      </c>
    </row>
    <row r="2660" spans="1:24" hidden="1">
      <c r="A2660">
        <v>1065</v>
      </c>
      <c r="B2660" s="2">
        <v>46237.441851851901</v>
      </c>
      <c r="C2660" s="2">
        <v>46237.442951388897</v>
      </c>
      <c r="D2660" s="1" t="s">
        <v>24</v>
      </c>
      <c r="E2660" s="1"/>
      <c r="F2660" s="29">
        <v>46237</v>
      </c>
      <c r="G2660" s="29">
        <v>46237</v>
      </c>
      <c r="H2660" s="1" t="s">
        <v>476</v>
      </c>
      <c r="I2660" s="1" t="s">
        <v>6041</v>
      </c>
      <c r="J2660" s="207">
        <v>13826320478</v>
      </c>
      <c r="K2660" s="188"/>
      <c r="L2660" s="62">
        <v>23295900</v>
      </c>
      <c r="M2660" s="102">
        <v>5216653913917</v>
      </c>
      <c r="N2660" s="172" t="s">
        <v>37</v>
      </c>
      <c r="O2660" s="91">
        <v>9760.32</v>
      </c>
      <c r="P2660" s="91">
        <v>2909.99</v>
      </c>
      <c r="Q2660" s="42">
        <f>OfficeForms.Table[[#This Row],[ INFORMEDEPAGO ]]*0.3</f>
        <v>2928.096</v>
      </c>
      <c r="R2660" s="12">
        <f>(IF(O2660&lt;4172.98,0,MIN(O2660*0.3,O2660-4172.98)))-P2660</f>
        <v>18.106000000000222</v>
      </c>
      <c r="S2660" s="78">
        <v>46753</v>
      </c>
      <c r="T2660" s="1" t="s">
        <v>259</v>
      </c>
      <c r="V2660" s="1"/>
      <c r="X2660" s="101">
        <v>2</v>
      </c>
    </row>
    <row r="2661" spans="1:24" hidden="1">
      <c r="A2661">
        <v>1066</v>
      </c>
      <c r="B2661" s="2">
        <v>46237.447847222204</v>
      </c>
      <c r="C2661" s="2">
        <v>46237.449016203696</v>
      </c>
      <c r="D2661" s="1" t="s">
        <v>24</v>
      </c>
      <c r="E2661" s="1"/>
      <c r="F2661" s="29">
        <v>46237</v>
      </c>
      <c r="G2661" s="29">
        <v>46237</v>
      </c>
      <c r="H2661" s="1" t="s">
        <v>269</v>
      </c>
      <c r="I2661" s="1" t="s">
        <v>6042</v>
      </c>
      <c r="J2661" s="207" t="s">
        <v>6043</v>
      </c>
      <c r="K2661" s="188" t="s">
        <v>6044</v>
      </c>
      <c r="L2661" s="62">
        <v>23308412</v>
      </c>
      <c r="M2661" s="102">
        <v>5218343552182</v>
      </c>
      <c r="N2661" s="172" t="s">
        <v>37</v>
      </c>
      <c r="O2661" s="91">
        <v>9081.52</v>
      </c>
      <c r="P2661" s="91">
        <v>2519.89</v>
      </c>
      <c r="Q2661" s="42">
        <f>OfficeForms.Table[[#This Row],[ INFORMEDEPAGO ]]*0.3</f>
        <v>2724.4560000000001</v>
      </c>
      <c r="R2661" s="12">
        <f>(IF(O2661&lt;4172.98,0,MIN(O2661*0.3,O2661-4172.98)))-P2661</f>
        <v>204.56600000000026</v>
      </c>
      <c r="S2661" s="78">
        <v>46388</v>
      </c>
      <c r="T2661" s="1"/>
      <c r="V2661" s="1"/>
      <c r="X2661" s="101">
        <v>2</v>
      </c>
    </row>
    <row r="2662" spans="1:24" hidden="1">
      <c r="A2662">
        <v>1067</v>
      </c>
      <c r="B2662" s="2">
        <v>46237.4538888889</v>
      </c>
      <c r="C2662" s="2">
        <v>46237.455960648098</v>
      </c>
      <c r="D2662" s="1" t="s">
        <v>24</v>
      </c>
      <c r="E2662" s="1"/>
      <c r="F2662" s="29">
        <v>46237</v>
      </c>
      <c r="G2662" s="29">
        <v>46236</v>
      </c>
      <c r="H2662" s="1" t="s">
        <v>3572</v>
      </c>
      <c r="I2662" s="1" t="s">
        <v>6045</v>
      </c>
      <c r="J2662" s="207">
        <v>10786073691</v>
      </c>
      <c r="K2662" s="188" t="s">
        <v>6046</v>
      </c>
      <c r="L2662" s="62">
        <v>23297478</v>
      </c>
      <c r="M2662" s="102">
        <v>5215578410256</v>
      </c>
      <c r="N2662" s="172" t="s">
        <v>37</v>
      </c>
      <c r="O2662" s="91">
        <v>5617.63</v>
      </c>
      <c r="P2662" s="91">
        <v>1379.11</v>
      </c>
      <c r="Q2662" s="42">
        <f>OfficeForms.Table[[#This Row],[ INFORMEDEPAGO ]]*0.3</f>
        <v>1685.289</v>
      </c>
      <c r="R2662" s="12">
        <f>(IF(O2662&lt;4172.98,0,MIN(O2662*0.3,O2662-4172.98)))-P2662</f>
        <v>65.540000000000646</v>
      </c>
      <c r="S2662" s="78">
        <v>46600</v>
      </c>
      <c r="T2662" s="1"/>
      <c r="V2662" s="1"/>
      <c r="X2662" s="101">
        <v>2</v>
      </c>
    </row>
    <row r="2663" spans="1:24" hidden="1">
      <c r="A2663">
        <v>1068</v>
      </c>
      <c r="B2663" s="2">
        <v>46237.465752314798</v>
      </c>
      <c r="C2663" s="2">
        <v>46237.468645833302</v>
      </c>
      <c r="D2663" s="1" t="s">
        <v>24</v>
      </c>
      <c r="E2663" s="1"/>
      <c r="F2663" s="29">
        <v>46237</v>
      </c>
      <c r="G2663" s="29">
        <v>46237</v>
      </c>
      <c r="H2663" s="1" t="s">
        <v>51</v>
      </c>
      <c r="I2663" s="1" t="s">
        <v>6047</v>
      </c>
      <c r="J2663" s="207" t="s">
        <v>6048</v>
      </c>
      <c r="K2663" s="188" t="s">
        <v>6049</v>
      </c>
      <c r="L2663" s="62">
        <v>23314908</v>
      </c>
      <c r="M2663" s="102">
        <v>5213112027025</v>
      </c>
      <c r="N2663" s="172" t="s">
        <v>37</v>
      </c>
      <c r="O2663" s="91">
        <v>7116.73</v>
      </c>
      <c r="P2663" s="91">
        <v>2059.04</v>
      </c>
      <c r="Q2663" s="42">
        <f>OfficeForms.Table[[#This Row],[ INFORMEDEPAGO ]]*0.3</f>
        <v>2135.0189999999998</v>
      </c>
      <c r="R2663" s="12">
        <f>(IF(O2663&lt;4172.98,0,MIN(O2663*0.3,O2663-4172.98)))-P2663</f>
        <v>75.978999999999814</v>
      </c>
      <c r="S2663" s="78">
        <v>46357</v>
      </c>
      <c r="T2663" s="1"/>
      <c r="V2663" s="1"/>
      <c r="X2663" s="101">
        <v>2</v>
      </c>
    </row>
    <row r="2664" spans="1:24" hidden="1">
      <c r="A2664">
        <v>1069</v>
      </c>
      <c r="B2664" s="2">
        <v>46237.473229166702</v>
      </c>
      <c r="C2664" s="2">
        <v>46237.478460648097</v>
      </c>
      <c r="D2664" s="1" t="s">
        <v>24</v>
      </c>
      <c r="E2664" s="1"/>
      <c r="F2664" s="29">
        <v>46237</v>
      </c>
      <c r="G2664" s="29">
        <v>46237</v>
      </c>
      <c r="H2664" s="1" t="s">
        <v>2908</v>
      </c>
      <c r="I2664" s="1" t="s">
        <v>6050</v>
      </c>
      <c r="J2664" s="207" t="s">
        <v>6051</v>
      </c>
      <c r="K2664" s="188" t="s">
        <v>6052</v>
      </c>
      <c r="L2664" s="62">
        <v>2</v>
      </c>
      <c r="M2664" s="102">
        <v>5214772713853</v>
      </c>
      <c r="N2664" s="172" t="s">
        <v>37</v>
      </c>
      <c r="O2664" s="91">
        <v>11029.03</v>
      </c>
      <c r="P2664" s="91">
        <v>3307.14</v>
      </c>
      <c r="Q2664" s="42">
        <f>OfficeForms.Table[[#This Row],[ INFORMEDEPAGO ]]*0.3</f>
        <v>3308.7090000000003</v>
      </c>
      <c r="R2664" s="12">
        <f>(IF(O2664&lt;4172.98,0,MIN(O2664*0.3,O2664-4172.98)))-P2664</f>
        <v>1.5690000000004147</v>
      </c>
      <c r="S2664" s="78">
        <v>46874</v>
      </c>
      <c r="T2664" s="1"/>
      <c r="V2664" s="1"/>
      <c r="X2664" s="101">
        <v>2</v>
      </c>
    </row>
    <row r="2665" spans="1:24" hidden="1">
      <c r="A2665">
        <v>1070</v>
      </c>
      <c r="B2665" s="2">
        <v>46237.481249999997</v>
      </c>
      <c r="C2665" s="2">
        <v>46237.483032407399</v>
      </c>
      <c r="D2665" s="1" t="s">
        <v>24</v>
      </c>
      <c r="E2665" s="1"/>
      <c r="F2665" s="29">
        <v>46237</v>
      </c>
      <c r="G2665" s="29">
        <v>46237</v>
      </c>
      <c r="H2665" s="1" t="s">
        <v>81</v>
      </c>
      <c r="I2665" s="1" t="s">
        <v>6053</v>
      </c>
      <c r="J2665" s="207"/>
      <c r="K2665" s="188" t="s">
        <v>6054</v>
      </c>
      <c r="L2665" s="62">
        <v>23315432</v>
      </c>
      <c r="M2665" s="102">
        <v>5219321127304</v>
      </c>
      <c r="N2665" s="172" t="s">
        <v>32</v>
      </c>
      <c r="O2665" s="91">
        <v>3351.87</v>
      </c>
      <c r="P2665" s="91"/>
      <c r="Q2665" s="42">
        <f>OfficeForms.Table[[#This Row],[ INFORMEDEPAGO ]]*0.3</f>
        <v>1005.5609999999999</v>
      </c>
      <c r="R2665" s="12">
        <f>(IF(O2665&lt;4172.98,0,MIN(O2665*0.3,O2665-4172.98)))-P2665</f>
        <v>0</v>
      </c>
      <c r="S2665" s="78"/>
      <c r="T2665" s="1"/>
      <c r="V2665" s="1"/>
      <c r="X2665" s="101">
        <v>1</v>
      </c>
    </row>
    <row r="2666" spans="1:24" hidden="1">
      <c r="A2666">
        <v>1071</v>
      </c>
      <c r="B2666" s="2">
        <v>46237.4194907407</v>
      </c>
      <c r="C2666" s="2">
        <v>46237.486597222203</v>
      </c>
      <c r="D2666" s="1" t="s">
        <v>24</v>
      </c>
      <c r="E2666" s="1"/>
      <c r="F2666" s="29">
        <v>46237</v>
      </c>
      <c r="G2666" s="29">
        <v>46236</v>
      </c>
      <c r="H2666" s="1" t="s">
        <v>160</v>
      </c>
      <c r="I2666" s="1" t="s">
        <v>6055</v>
      </c>
      <c r="J2666" s="207">
        <v>21796141808</v>
      </c>
      <c r="K2666" s="188" t="s">
        <v>6056</v>
      </c>
      <c r="L2666" s="62">
        <v>23299948</v>
      </c>
      <c r="M2666" s="102">
        <v>5216311829413</v>
      </c>
      <c r="N2666" s="172" t="s">
        <v>37</v>
      </c>
      <c r="O2666" s="91">
        <v>7653.18</v>
      </c>
      <c r="P2666" s="91">
        <v>2030</v>
      </c>
      <c r="Q2666" s="42">
        <f>OfficeForms.Table[[#This Row],[ INFORMEDEPAGO ]]*0.3</f>
        <v>2295.9540000000002</v>
      </c>
      <c r="R2666" s="12">
        <f>(IF(O2666&lt;4172.98,0,MIN(O2666*0.3,O2666-4172.98)))-P2666</f>
        <v>265.95400000000018</v>
      </c>
      <c r="S2666" s="78">
        <v>46478</v>
      </c>
      <c r="T2666" s="1"/>
      <c r="V2666" s="1"/>
      <c r="X2666" s="101">
        <v>2</v>
      </c>
    </row>
    <row r="2667" spans="1:24" hidden="1">
      <c r="A2667">
        <v>1072</v>
      </c>
      <c r="B2667" s="2">
        <v>46237.4686574074</v>
      </c>
      <c r="C2667" s="2">
        <v>46237.486828703702</v>
      </c>
      <c r="D2667" s="1" t="s">
        <v>24</v>
      </c>
      <c r="E2667" s="1"/>
      <c r="F2667" s="29">
        <v>46237</v>
      </c>
      <c r="G2667" s="29">
        <v>46234</v>
      </c>
      <c r="H2667" s="1" t="s">
        <v>51</v>
      </c>
      <c r="I2667" s="1" t="s">
        <v>6057</v>
      </c>
      <c r="J2667" s="207">
        <v>52825400170</v>
      </c>
      <c r="K2667" s="188" t="s">
        <v>6058</v>
      </c>
      <c r="L2667" s="62">
        <v>23268586</v>
      </c>
      <c r="M2667" s="102">
        <v>5217443242755</v>
      </c>
      <c r="N2667" s="172" t="s">
        <v>37</v>
      </c>
      <c r="O2667" s="91">
        <v>12417.03</v>
      </c>
      <c r="P2667" s="91">
        <v>3592.54</v>
      </c>
      <c r="Q2667" s="42">
        <f>OfficeForms.Table[[#This Row],[ INFORMEDEPAGO ]]*0.3</f>
        <v>3725.1089999999999</v>
      </c>
      <c r="R2667" s="12">
        <f>(IF(O2667&lt;4172.98,0,MIN(O2667*0.3,O2667-4172.98)))-P2667</f>
        <v>132.56899999999996</v>
      </c>
      <c r="S2667" s="78">
        <v>46388</v>
      </c>
      <c r="T2667" s="1"/>
      <c r="V2667" s="1"/>
      <c r="X2667" s="101">
        <v>2</v>
      </c>
    </row>
    <row r="2668" spans="1:24" hidden="1">
      <c r="A2668">
        <v>1073</v>
      </c>
      <c r="B2668" s="2">
        <v>46237.507685185199</v>
      </c>
      <c r="C2668" s="2">
        <v>46237.509259259299</v>
      </c>
      <c r="D2668" s="1" t="s">
        <v>24</v>
      </c>
      <c r="E2668" s="1"/>
      <c r="F2668" s="29">
        <v>46237</v>
      </c>
      <c r="G2668" s="29">
        <v>46230</v>
      </c>
      <c r="H2668" s="1" t="s">
        <v>3022</v>
      </c>
      <c r="I2668" s="1" t="s">
        <v>6059</v>
      </c>
      <c r="J2668" s="207">
        <v>21684814904</v>
      </c>
      <c r="K2668" s="188"/>
      <c r="L2668" s="62">
        <v>23152752</v>
      </c>
      <c r="M2668" s="102">
        <v>6642050437</v>
      </c>
      <c r="N2668" s="172" t="s">
        <v>37</v>
      </c>
      <c r="O2668" s="91">
        <v>8173.37</v>
      </c>
      <c r="P2668" s="91">
        <v>2364.73</v>
      </c>
      <c r="Q2668" s="42">
        <f>OfficeForms.Table[[#This Row],[ INFORMEDEPAGO ]]*0.3</f>
        <v>2452.011</v>
      </c>
      <c r="R2668" s="12">
        <f>(IF(O2668&lt;4172.98,0,MIN(O2668*0.3,O2668-4172.98)))-P2668</f>
        <v>87.280999999999949</v>
      </c>
      <c r="S2668" s="78">
        <v>46631</v>
      </c>
      <c r="T2668" s="1"/>
      <c r="V2668" s="1"/>
      <c r="X2668" s="101">
        <v>2</v>
      </c>
    </row>
    <row r="2669" spans="1:24" hidden="1">
      <c r="A2669">
        <v>1074</v>
      </c>
      <c r="B2669" s="2">
        <v>46237.513703703698</v>
      </c>
      <c r="C2669" s="2">
        <v>46237.518576388902</v>
      </c>
      <c r="D2669" s="1" t="s">
        <v>24</v>
      </c>
      <c r="E2669" s="1"/>
      <c r="F2669" s="29">
        <v>46237</v>
      </c>
      <c r="G2669" s="29">
        <v>46234</v>
      </c>
      <c r="H2669" s="1" t="s">
        <v>3022</v>
      </c>
      <c r="I2669" s="1"/>
      <c r="J2669" s="207" t="s">
        <v>6060</v>
      </c>
      <c r="K2669" s="188" t="s">
        <v>6061</v>
      </c>
      <c r="L2669" s="62">
        <v>23263764</v>
      </c>
      <c r="M2669" s="102">
        <v>8335347880</v>
      </c>
      <c r="N2669" s="172" t="s">
        <v>32</v>
      </c>
      <c r="O2669" s="91">
        <f>3965.69+848</f>
        <v>4813.6900000000005</v>
      </c>
      <c r="P2669" s="91">
        <v>848</v>
      </c>
      <c r="Q2669" s="42">
        <f>OfficeForms.Table[[#This Row],[ INFORMEDEPAGO ]]*0.3</f>
        <v>1444.1070000000002</v>
      </c>
      <c r="R2669" s="12">
        <f>(IF(O2669&lt;4172.98,0,MIN(O2669*0.3,O2669-4172.98)))-P2669</f>
        <v>-207.28999999999905</v>
      </c>
      <c r="S2669" s="78"/>
      <c r="T2669" s="1"/>
      <c r="V2669" s="1"/>
      <c r="X2669" s="101">
        <v>1</v>
      </c>
    </row>
    <row r="2670" spans="1:24" hidden="1">
      <c r="A2670">
        <v>1075</v>
      </c>
      <c r="B2670" s="2">
        <v>46237.524259259299</v>
      </c>
      <c r="C2670" s="2">
        <v>46237.524814814802</v>
      </c>
      <c r="D2670" s="1" t="s">
        <v>24</v>
      </c>
      <c r="E2670" s="1"/>
      <c r="F2670" s="29">
        <v>46237</v>
      </c>
      <c r="G2670" s="29">
        <v>46236</v>
      </c>
      <c r="H2670" s="1" t="s">
        <v>269</v>
      </c>
      <c r="I2670" s="1" t="s">
        <v>6062</v>
      </c>
      <c r="J2670" s="207" t="s">
        <v>6063</v>
      </c>
      <c r="K2670" s="188" t="s">
        <v>6064</v>
      </c>
      <c r="L2670" s="62">
        <v>23304464</v>
      </c>
      <c r="M2670" s="102">
        <v>5213330510552</v>
      </c>
      <c r="N2670" s="172" t="s">
        <v>28</v>
      </c>
      <c r="O2670" s="91">
        <v>25410.720000000001</v>
      </c>
      <c r="P2670" s="91"/>
      <c r="Q2670" s="42">
        <f>OfficeForms.Table[[#This Row],[ INFORMEDEPAGO ]]*0.3</f>
        <v>7623.2160000000003</v>
      </c>
      <c r="R2670" s="12">
        <f>(IF(O2670&lt;4172.98,0,MIN(O2670*0.3,O2670-4172.98)))-P2670</f>
        <v>7623.2160000000003</v>
      </c>
      <c r="S2670" s="78"/>
      <c r="T2670" s="1"/>
      <c r="V2670" s="1"/>
      <c r="X2670" s="101">
        <v>1</v>
      </c>
    </row>
    <row r="2671" spans="1:24" hidden="1">
      <c r="A2671">
        <v>1076</v>
      </c>
      <c r="B2671" s="2">
        <v>46237.539212962998</v>
      </c>
      <c r="C2671" s="2">
        <v>46237.539803240703</v>
      </c>
      <c r="D2671" s="1" t="s">
        <v>24</v>
      </c>
      <c r="E2671" s="1"/>
      <c r="F2671" s="29">
        <v>46237</v>
      </c>
      <c r="G2671" s="29">
        <v>46236</v>
      </c>
      <c r="H2671" s="1" t="s">
        <v>269</v>
      </c>
      <c r="I2671" s="1" t="s">
        <v>6065</v>
      </c>
      <c r="J2671" s="207" t="s">
        <v>6066</v>
      </c>
      <c r="K2671" s="188" t="s">
        <v>6067</v>
      </c>
      <c r="L2671" s="62">
        <v>23304596</v>
      </c>
      <c r="M2671" s="102">
        <v>5214111130859</v>
      </c>
      <c r="N2671" s="172" t="s">
        <v>47</v>
      </c>
      <c r="O2671" s="91">
        <v>7920.51</v>
      </c>
      <c r="P2671" s="91">
        <v>2017.67</v>
      </c>
      <c r="Q2671" s="42">
        <f>OfficeForms.Table[[#This Row],[ INFORMEDEPAGO ]]*0.3</f>
        <v>2376.1529999999998</v>
      </c>
      <c r="R2671" s="12">
        <f>(IF(O2671&lt;4172.98,0,MIN(O2671*0.3,O2671-4172.98)))-P2671</f>
        <v>358.48299999999972</v>
      </c>
      <c r="S2671" s="78">
        <v>46569</v>
      </c>
      <c r="T2671" s="1"/>
      <c r="V2671" s="1"/>
      <c r="X2671" s="101">
        <v>2</v>
      </c>
    </row>
    <row r="2672" spans="1:24" hidden="1">
      <c r="A2672">
        <v>1077</v>
      </c>
      <c r="B2672" s="2">
        <v>46237.441851851901</v>
      </c>
      <c r="C2672" s="2">
        <v>46237.542569444398</v>
      </c>
      <c r="D2672" s="1" t="s">
        <v>24</v>
      </c>
      <c r="E2672" s="1"/>
      <c r="F2672" s="29">
        <v>46237</v>
      </c>
      <c r="G2672" s="29">
        <v>46235</v>
      </c>
      <c r="H2672" s="1" t="s">
        <v>78</v>
      </c>
      <c r="I2672" s="1" t="s">
        <v>6068</v>
      </c>
      <c r="J2672" s="207">
        <v>20816201006</v>
      </c>
      <c r="K2672" s="188" t="s">
        <v>6069</v>
      </c>
      <c r="L2672" s="62">
        <v>23275110</v>
      </c>
      <c r="M2672" s="102">
        <v>5214131114519</v>
      </c>
      <c r="N2672" s="172" t="s">
        <v>28</v>
      </c>
      <c r="O2672" s="91">
        <f>56646.93-10548</f>
        <v>46098.93</v>
      </c>
      <c r="P2672" s="91">
        <v>848</v>
      </c>
      <c r="Q2672" s="42">
        <f>OfficeForms.Table[[#This Row],[ INFORMEDEPAGO ]]*0.3</f>
        <v>13829.679</v>
      </c>
      <c r="R2672" s="12">
        <f>(IF(O2672&lt;4172.98,0,MIN(O2672*0.3,O2672-4172.98)))-P2672</f>
        <v>12981.679</v>
      </c>
      <c r="S2672" s="78"/>
      <c r="T2672" s="1"/>
      <c r="V2672" s="1"/>
      <c r="X2672" s="101">
        <v>1</v>
      </c>
    </row>
    <row r="2673" spans="1:24" hidden="1">
      <c r="A2673">
        <v>1078</v>
      </c>
      <c r="B2673" s="2">
        <v>46237.505486111098</v>
      </c>
      <c r="C2673" s="2">
        <v>46237.542627314797</v>
      </c>
      <c r="D2673" s="1" t="s">
        <v>24</v>
      </c>
      <c r="E2673" s="1"/>
      <c r="F2673" s="29">
        <v>46237</v>
      </c>
      <c r="G2673" s="29">
        <v>46236</v>
      </c>
      <c r="H2673" s="1" t="s">
        <v>78</v>
      </c>
      <c r="I2673" s="1" t="s">
        <v>6070</v>
      </c>
      <c r="J2673" s="207">
        <v>62916507288</v>
      </c>
      <c r="K2673" s="188" t="s">
        <v>6071</v>
      </c>
      <c r="L2673" s="62">
        <v>23300984</v>
      </c>
      <c r="M2673" s="102">
        <v>5212227280007</v>
      </c>
      <c r="N2673" s="172" t="s">
        <v>28</v>
      </c>
      <c r="O2673" s="91">
        <v>9760.32</v>
      </c>
      <c r="P2673" s="91"/>
      <c r="Q2673" s="42">
        <f>OfficeForms.Table[[#This Row],[ INFORMEDEPAGO ]]*0.3</f>
        <v>2928.096</v>
      </c>
      <c r="R2673" s="12">
        <f>(IF(O2673&lt;4172.98,0,MIN(O2673*0.3,O2673-4172.98)))-P2673</f>
        <v>2928.096</v>
      </c>
      <c r="S2673" s="78"/>
      <c r="T2673" s="1"/>
      <c r="V2673" s="1"/>
      <c r="X2673" s="101">
        <v>1</v>
      </c>
    </row>
    <row r="2674" spans="1:24" hidden="1">
      <c r="A2674">
        <v>1079</v>
      </c>
      <c r="B2674" s="2">
        <v>46237.5339467593</v>
      </c>
      <c r="C2674" s="2">
        <v>46237.543043981503</v>
      </c>
      <c r="D2674" s="1" t="s">
        <v>24</v>
      </c>
      <c r="E2674" s="1"/>
      <c r="F2674" s="29">
        <v>46237</v>
      </c>
      <c r="G2674" s="29">
        <v>46237</v>
      </c>
      <c r="H2674" s="1" t="s">
        <v>78</v>
      </c>
      <c r="I2674" s="1" t="s">
        <v>6072</v>
      </c>
      <c r="J2674" s="207">
        <v>78865902866</v>
      </c>
      <c r="K2674" s="188" t="s">
        <v>6073</v>
      </c>
      <c r="L2674" s="62">
        <v>23315276</v>
      </c>
      <c r="M2674" s="102">
        <v>5219511135410</v>
      </c>
      <c r="N2674" s="172" t="s">
        <v>28</v>
      </c>
      <c r="O2674" s="91">
        <v>27620.83</v>
      </c>
      <c r="P2674" s="91">
        <v>3515.24</v>
      </c>
      <c r="Q2674" s="42">
        <f>OfficeForms.Table[[#This Row],[ INFORMEDEPAGO ]]*0.3</f>
        <v>8286.2489999999998</v>
      </c>
      <c r="R2674" s="12">
        <f>(IF(O2674&lt;4172.98,0,MIN(O2674*0.3,O2674-4172.98)))-P2674</f>
        <v>4771.009</v>
      </c>
      <c r="S2674" s="78">
        <v>46204</v>
      </c>
      <c r="T2674" s="1"/>
      <c r="V2674" s="1"/>
      <c r="X2674" s="101">
        <v>2</v>
      </c>
    </row>
    <row r="2675" spans="1:24" hidden="1">
      <c r="A2675">
        <v>1080</v>
      </c>
      <c r="B2675" s="2">
        <v>46237.402685185203</v>
      </c>
      <c r="C2675" s="2">
        <v>46237.554340277798</v>
      </c>
      <c r="D2675" s="1" t="s">
        <v>24</v>
      </c>
      <c r="E2675" s="1"/>
      <c r="F2675" s="29">
        <v>46237</v>
      </c>
      <c r="G2675" s="29">
        <v>46237</v>
      </c>
      <c r="H2675" s="1" t="s">
        <v>1625</v>
      </c>
      <c r="I2675" s="1" t="s">
        <v>6074</v>
      </c>
      <c r="J2675" s="207" t="s">
        <v>6075</v>
      </c>
      <c r="K2675" s="188" t="s">
        <v>6076</v>
      </c>
      <c r="L2675" s="62">
        <v>2</v>
      </c>
      <c r="M2675" s="102">
        <v>7772337102</v>
      </c>
      <c r="N2675" s="172" t="s">
        <v>47</v>
      </c>
      <c r="O2675" s="91">
        <v>28153.54</v>
      </c>
      <c r="P2675" s="91">
        <v>8145.49</v>
      </c>
      <c r="Q2675" s="42">
        <f>OfficeForms.Table[[#This Row],[ INFORMEDEPAGO ]]*0.3</f>
        <v>8446.0619999999999</v>
      </c>
      <c r="R2675" s="12">
        <f>(IF(O2675&lt;4172.98,0,MIN(O2675*0.3,O2675-4172.98)))-P2675</f>
        <v>300.57200000000012</v>
      </c>
      <c r="S2675" s="78">
        <v>46753</v>
      </c>
      <c r="T2675" s="1"/>
      <c r="V2675" s="1"/>
      <c r="X2675" s="101">
        <v>2</v>
      </c>
    </row>
    <row r="2676" spans="1:24" hidden="1">
      <c r="A2676">
        <v>1081</v>
      </c>
      <c r="B2676" s="2">
        <v>46237.447766203702</v>
      </c>
      <c r="C2676" s="2">
        <v>46237.554803240702</v>
      </c>
      <c r="D2676" s="1" t="s">
        <v>24</v>
      </c>
      <c r="E2676" s="1"/>
      <c r="F2676" s="29">
        <v>46237</v>
      </c>
      <c r="G2676" s="29">
        <v>46236</v>
      </c>
      <c r="H2676" s="1" t="s">
        <v>269</v>
      </c>
      <c r="I2676" s="1" t="s">
        <v>6077</v>
      </c>
      <c r="J2676" s="175" t="s">
        <v>6078</v>
      </c>
      <c r="K2676" s="188" t="s">
        <v>6079</v>
      </c>
      <c r="L2676" s="62">
        <v>23304632</v>
      </c>
      <c r="M2676" s="102">
        <v>5218715206192</v>
      </c>
      <c r="N2676" s="172" t="s">
        <v>37</v>
      </c>
      <c r="O2676" s="91">
        <v>10171.19</v>
      </c>
      <c r="P2676" s="91">
        <v>2942.73</v>
      </c>
      <c r="Q2676" s="42">
        <f>OfficeForms.Table[[#This Row],[ INFORMEDEPAGO ]]*0.3</f>
        <v>3051.357</v>
      </c>
      <c r="R2676" s="12">
        <f>(IF(O2676&lt;4172.98,0,MIN(O2676*0.3,O2676-4172.98)))-P2676</f>
        <v>108.62699999999995</v>
      </c>
      <c r="S2676" s="78">
        <v>46569</v>
      </c>
      <c r="T2676" s="1"/>
      <c r="V2676" s="1"/>
      <c r="X2676" s="101">
        <v>2</v>
      </c>
    </row>
    <row r="2677" spans="1:24" hidden="1">
      <c r="A2677">
        <v>1082</v>
      </c>
      <c r="B2677" s="2">
        <v>46237.338032407402</v>
      </c>
      <c r="C2677" s="2">
        <v>46237.556134259299</v>
      </c>
      <c r="D2677" s="1" t="s">
        <v>24</v>
      </c>
      <c r="E2677" s="1"/>
      <c r="F2677" s="29">
        <v>46237</v>
      </c>
      <c r="G2677" s="29">
        <v>46237</v>
      </c>
      <c r="H2677" s="1" t="s">
        <v>1629</v>
      </c>
      <c r="I2677" s="1" t="s">
        <v>6080</v>
      </c>
      <c r="J2677" s="207">
        <v>43796410413</v>
      </c>
      <c r="K2677" s="188" t="s">
        <v>6081</v>
      </c>
      <c r="L2677" s="62">
        <v>2</v>
      </c>
      <c r="M2677" s="102" t="s">
        <v>6082</v>
      </c>
      <c r="N2677" s="172" t="s">
        <v>37</v>
      </c>
      <c r="O2677" s="91">
        <v>9081.52</v>
      </c>
      <c r="P2677" s="91">
        <v>2627</v>
      </c>
      <c r="Q2677" s="42">
        <f>OfficeForms.Table[[#This Row],[ INFORMEDEPAGO ]]*0.3</f>
        <v>2724.4560000000001</v>
      </c>
      <c r="R2677" s="12">
        <f>(IF(O2677&lt;4172.98,0,MIN(O2677*0.3,O2677-4172.98)))-P2677</f>
        <v>97.456000000000131</v>
      </c>
      <c r="S2677" s="78">
        <v>46419</v>
      </c>
      <c r="T2677" s="1"/>
      <c r="V2677" s="1"/>
      <c r="X2677" s="101">
        <v>2</v>
      </c>
    </row>
    <row r="2678" spans="1:24" hidden="1">
      <c r="A2678">
        <v>1083</v>
      </c>
      <c r="B2678" s="2">
        <v>46237.556192129603</v>
      </c>
      <c r="C2678" s="2">
        <v>46237.558993055602</v>
      </c>
      <c r="D2678" s="1" t="s">
        <v>24</v>
      </c>
      <c r="E2678" s="1"/>
      <c r="F2678" s="29">
        <v>46237</v>
      </c>
      <c r="G2678" s="29">
        <v>46237</v>
      </c>
      <c r="H2678" s="1" t="s">
        <v>1629</v>
      </c>
      <c r="I2678" s="1" t="s">
        <v>6083</v>
      </c>
      <c r="J2678" s="207">
        <v>12896856932</v>
      </c>
      <c r="K2678" s="188" t="s">
        <v>1427</v>
      </c>
      <c r="L2678" s="62">
        <v>2</v>
      </c>
      <c r="M2678" s="102" t="s">
        <v>6084</v>
      </c>
      <c r="N2678" s="172" t="s">
        <v>74</v>
      </c>
      <c r="O2678" s="91"/>
      <c r="P2678" s="91"/>
      <c r="Q2678" s="42">
        <f>OfficeForms.Table[[#This Row],[ INFORMEDEPAGO ]]*0.3</f>
        <v>0</v>
      </c>
      <c r="R2678" s="12">
        <f>(IF(O2678&lt;4172.98,0,MIN(O2678*0.3,O2678-4172.98)))-P2678</f>
        <v>0</v>
      </c>
      <c r="S2678" s="78"/>
      <c r="T2678" s="1"/>
      <c r="V2678" s="1"/>
      <c r="X2678" s="101">
        <v>1</v>
      </c>
    </row>
    <row r="2679" spans="1:24" hidden="1">
      <c r="A2679">
        <v>1084</v>
      </c>
      <c r="B2679" s="2">
        <v>46237.559930555602</v>
      </c>
      <c r="C2679" s="2">
        <v>46237.562314814801</v>
      </c>
      <c r="D2679" s="1" t="s">
        <v>24</v>
      </c>
      <c r="E2679" s="1"/>
      <c r="F2679" s="29">
        <v>46237</v>
      </c>
      <c r="G2679" s="29">
        <v>46216</v>
      </c>
      <c r="H2679" s="1" t="s">
        <v>3452</v>
      </c>
      <c r="I2679" s="1" t="s">
        <v>1584</v>
      </c>
      <c r="J2679" s="207"/>
      <c r="K2679" s="188" t="s">
        <v>1585</v>
      </c>
      <c r="L2679" s="62">
        <v>22639886</v>
      </c>
      <c r="M2679" s="102">
        <v>6561572554</v>
      </c>
      <c r="N2679" s="172" t="s">
        <v>28</v>
      </c>
      <c r="O2679" s="91">
        <f>168650.89-135144.09</f>
        <v>33506.800000000017</v>
      </c>
      <c r="P2679" s="91"/>
      <c r="Q2679" s="42">
        <f>OfficeForms.Table[[#This Row],[ INFORMEDEPAGO ]]*0.3</f>
        <v>10052.040000000005</v>
      </c>
      <c r="R2679" s="12">
        <f>(IF(O2679&lt;4172.98,0,MIN(O2679*0.3,O2679-4172.98)))-P2679</f>
        <v>10052.040000000005</v>
      </c>
      <c r="S2679" s="78"/>
      <c r="T2679" s="1"/>
      <c r="V2679" s="1"/>
      <c r="X2679" s="101">
        <v>1</v>
      </c>
    </row>
    <row r="2680" spans="1:24" hidden="1">
      <c r="A2680">
        <v>1085</v>
      </c>
      <c r="B2680" s="2">
        <v>46237.574745370403</v>
      </c>
      <c r="C2680" s="2">
        <v>46237.577743055597</v>
      </c>
      <c r="D2680" s="1" t="s">
        <v>24</v>
      </c>
      <c r="E2680" s="1"/>
      <c r="F2680" s="29">
        <v>46237</v>
      </c>
      <c r="G2680" s="29">
        <v>46237</v>
      </c>
      <c r="H2680" s="1" t="s">
        <v>2908</v>
      </c>
      <c r="I2680" s="1" t="s">
        <v>6085</v>
      </c>
      <c r="J2680" s="207" t="s">
        <v>6086</v>
      </c>
      <c r="K2680" s="188" t="s">
        <v>6087</v>
      </c>
      <c r="L2680" s="62">
        <v>2</v>
      </c>
      <c r="M2680" s="102">
        <v>5218123242097</v>
      </c>
      <c r="N2680" s="172" t="s">
        <v>37</v>
      </c>
      <c r="O2680" s="91">
        <v>10171.24</v>
      </c>
      <c r="P2680" s="91">
        <v>3051.37</v>
      </c>
      <c r="Q2680" s="42">
        <f>OfficeForms.Table[[#This Row],[ INFORMEDEPAGO ]]*0.3</f>
        <v>3051.3719999999998</v>
      </c>
      <c r="R2680" s="12">
        <f>(IF(O2680&lt;4172.98,0,MIN(O2680*0.3,O2680-4172.98)))-P2680</f>
        <v>1.9999999999527063E-3</v>
      </c>
      <c r="S2680" s="78">
        <v>46661</v>
      </c>
      <c r="T2680" s="1" t="s">
        <v>192</v>
      </c>
      <c r="V2680" s="1"/>
      <c r="X2680" s="101">
        <v>2</v>
      </c>
    </row>
    <row r="2681" spans="1:24" hidden="1">
      <c r="A2681">
        <v>1086</v>
      </c>
      <c r="B2681" s="2">
        <v>46237.579502314802</v>
      </c>
      <c r="C2681" s="2">
        <v>46237.580324074101</v>
      </c>
      <c r="D2681" s="1" t="s">
        <v>24</v>
      </c>
      <c r="E2681" s="1"/>
      <c r="F2681" s="29">
        <v>46237</v>
      </c>
      <c r="G2681" s="29">
        <v>46237</v>
      </c>
      <c r="H2681" s="1" t="s">
        <v>1629</v>
      </c>
      <c r="I2681" s="1" t="s">
        <v>6088</v>
      </c>
      <c r="J2681" s="207" t="s">
        <v>6089</v>
      </c>
      <c r="K2681" s="188" t="s">
        <v>6090</v>
      </c>
      <c r="L2681" s="62">
        <v>2</v>
      </c>
      <c r="M2681" s="102" t="s">
        <v>6091</v>
      </c>
      <c r="N2681" s="172" t="s">
        <v>32</v>
      </c>
      <c r="O2681" s="91">
        <v>3855.42</v>
      </c>
      <c r="P2681" s="91">
        <v>848</v>
      </c>
      <c r="Q2681" s="42">
        <f>OfficeForms.Table[[#This Row],[ INFORMEDEPAGO ]]*0.3</f>
        <v>1156.626</v>
      </c>
      <c r="R2681" s="12">
        <f>(IF(O2681&lt;4172.98,0,MIN(O2681*0.3,O2681-4172.98)))-P2681</f>
        <v>-848</v>
      </c>
      <c r="S2681" s="78"/>
      <c r="T2681" s="1"/>
      <c r="V2681" s="1"/>
      <c r="X2681" s="101">
        <v>1</v>
      </c>
    </row>
    <row r="2682" spans="1:24" hidden="1">
      <c r="A2682">
        <v>1088</v>
      </c>
      <c r="B2682" s="2">
        <v>46237.4830671296</v>
      </c>
      <c r="C2682" s="2">
        <v>46237.597615740699</v>
      </c>
      <c r="D2682" s="1" t="s">
        <v>24</v>
      </c>
      <c r="E2682" s="1"/>
      <c r="F2682" s="29">
        <v>46237</v>
      </c>
      <c r="G2682" s="29">
        <v>46234</v>
      </c>
      <c r="H2682" s="1" t="s">
        <v>81</v>
      </c>
      <c r="I2682" s="1" t="s">
        <v>6092</v>
      </c>
      <c r="J2682" s="207"/>
      <c r="K2682" s="188" t="s">
        <v>6093</v>
      </c>
      <c r="L2682" s="62">
        <v>23258702</v>
      </c>
      <c r="M2682" s="102">
        <v>5218351042121</v>
      </c>
      <c r="N2682" s="172" t="s">
        <v>28</v>
      </c>
      <c r="O2682" s="91">
        <v>10636.54</v>
      </c>
      <c r="P2682" s="91"/>
      <c r="Q2682" s="42">
        <f>OfficeForms.Table[[#This Row],[ INFORMEDEPAGO ]]*0.3</f>
        <v>3190.962</v>
      </c>
      <c r="R2682" s="12">
        <f>(IF(O2682&lt;4172.98,0,MIN(O2682*0.3,O2682-4172.98)))-P2682</f>
        <v>3190.962</v>
      </c>
      <c r="S2682" s="78"/>
      <c r="T2682" s="1"/>
      <c r="V2682" s="1"/>
      <c r="X2682" s="101">
        <v>1</v>
      </c>
    </row>
    <row r="2683" spans="1:24" hidden="1">
      <c r="A2683">
        <v>1089</v>
      </c>
      <c r="B2683" s="2">
        <v>46237.486851851798</v>
      </c>
      <c r="C2683" s="2">
        <v>46237.6008449074</v>
      </c>
      <c r="D2683" s="1" t="s">
        <v>24</v>
      </c>
      <c r="E2683" s="1"/>
      <c r="F2683" s="29">
        <v>46237</v>
      </c>
      <c r="G2683" s="29">
        <v>46236</v>
      </c>
      <c r="H2683" s="1" t="s">
        <v>51</v>
      </c>
      <c r="I2683" s="1" t="s">
        <v>6094</v>
      </c>
      <c r="J2683" s="207">
        <v>67796111365</v>
      </c>
      <c r="K2683" s="188" t="s">
        <v>6095</v>
      </c>
      <c r="L2683" s="62">
        <v>23302504</v>
      </c>
      <c r="M2683" s="102">
        <v>5219811717996</v>
      </c>
      <c r="N2683" s="172" t="s">
        <v>37</v>
      </c>
      <c r="O2683" s="91">
        <v>6754.23</v>
      </c>
      <c r="P2683" s="91">
        <v>2023.15</v>
      </c>
      <c r="Q2683" s="42">
        <f>OfficeForms.Table[[#This Row],[ INFORMEDEPAGO ]]*0.3</f>
        <v>2026.2689999999998</v>
      </c>
      <c r="R2683" s="12">
        <f>(IF(O2683&lt;4172.98,0,MIN(O2683*0.3,O2683-4172.98)))-P2683</f>
        <v>3.1189999999996871</v>
      </c>
      <c r="S2683" s="78">
        <v>46966</v>
      </c>
      <c r="T2683" s="1"/>
      <c r="V2683" s="1"/>
      <c r="X2683" s="101">
        <v>2</v>
      </c>
    </row>
    <row r="2684" spans="1:24" hidden="1">
      <c r="A2684">
        <v>1090</v>
      </c>
      <c r="B2684" s="2">
        <v>46237.605532407397</v>
      </c>
      <c r="C2684" s="2">
        <v>46237.608460648102</v>
      </c>
      <c r="D2684" s="1" t="s">
        <v>24</v>
      </c>
      <c r="E2684" s="1"/>
      <c r="F2684" s="29">
        <v>46237</v>
      </c>
      <c r="G2684" s="29">
        <v>46236</v>
      </c>
      <c r="H2684" s="1" t="s">
        <v>160</v>
      </c>
      <c r="I2684" s="1" t="s">
        <v>6096</v>
      </c>
      <c r="J2684" s="207" t="s">
        <v>6097</v>
      </c>
      <c r="K2684" s="188" t="s">
        <v>6098</v>
      </c>
      <c r="L2684" s="62">
        <v>23299820</v>
      </c>
      <c r="M2684" s="102">
        <v>5214371020145</v>
      </c>
      <c r="N2684" s="172" t="s">
        <v>263</v>
      </c>
      <c r="O2684" s="91">
        <v>6262.86</v>
      </c>
      <c r="P2684" s="91">
        <v>1651.41</v>
      </c>
      <c r="Q2684" s="42">
        <f>OfficeForms.Table[[#This Row],[ INFORMEDEPAGO ]]*0.3</f>
        <v>1878.8579999999997</v>
      </c>
      <c r="R2684" s="12">
        <f>(IF(O2684&lt;4172.98,0,MIN(O2684*0.3,O2684-4172.98)))-P2684</f>
        <v>227.44799999999964</v>
      </c>
      <c r="S2684" s="78">
        <v>45839</v>
      </c>
      <c r="T2684" s="1" t="s">
        <v>192</v>
      </c>
      <c r="V2684" s="1"/>
      <c r="X2684" s="101">
        <v>2</v>
      </c>
    </row>
    <row r="2685" spans="1:24" hidden="1">
      <c r="A2685">
        <v>1091</v>
      </c>
      <c r="B2685" s="2">
        <v>46237.597638888903</v>
      </c>
      <c r="C2685" s="2">
        <v>46237.610763888901</v>
      </c>
      <c r="D2685" s="1" t="s">
        <v>24</v>
      </c>
      <c r="E2685" s="1"/>
      <c r="F2685" s="29">
        <v>46237</v>
      </c>
      <c r="G2685" s="29">
        <v>46237</v>
      </c>
      <c r="H2685" s="1" t="s">
        <v>81</v>
      </c>
      <c r="I2685" s="1" t="s">
        <v>6099</v>
      </c>
      <c r="J2685" s="207">
        <v>43816026207</v>
      </c>
      <c r="K2685" s="188" t="s">
        <v>6100</v>
      </c>
      <c r="L2685" s="62">
        <v>23312858</v>
      </c>
      <c r="M2685" s="102">
        <v>5218118917317</v>
      </c>
      <c r="N2685" s="172" t="s">
        <v>130</v>
      </c>
      <c r="O2685" s="91">
        <v>9504.7000000000007</v>
      </c>
      <c r="P2685" s="91">
        <v>2739.48</v>
      </c>
      <c r="Q2685" s="42">
        <f>OfficeForms.Table[[#This Row],[ INFORMEDEPAGO ]]*0.3</f>
        <v>2851.4100000000003</v>
      </c>
      <c r="R2685" s="12">
        <f>(IF(O2685&lt;4172.98,0,MIN(O2685*0.3,O2685-4172.98)))-P2685</f>
        <v>111.93000000000029</v>
      </c>
      <c r="S2685" s="78">
        <v>46235</v>
      </c>
      <c r="T2685" s="1"/>
      <c r="V2685" s="1"/>
      <c r="X2685" s="101">
        <v>2</v>
      </c>
    </row>
    <row r="2686" spans="1:24" hidden="1">
      <c r="A2686">
        <v>1092</v>
      </c>
      <c r="B2686" s="2">
        <v>46237.578275462998</v>
      </c>
      <c r="C2686" s="2">
        <v>46237.615474537</v>
      </c>
      <c r="D2686" s="1" t="s">
        <v>24</v>
      </c>
      <c r="E2686" s="1"/>
      <c r="F2686" s="29">
        <v>46237</v>
      </c>
      <c r="G2686" s="29">
        <v>46237</v>
      </c>
      <c r="H2686" s="1" t="s">
        <v>2908</v>
      </c>
      <c r="I2686" s="1" t="s">
        <v>2193</v>
      </c>
      <c r="J2686" s="207" t="s">
        <v>6101</v>
      </c>
      <c r="K2686" s="188" t="s">
        <v>2194</v>
      </c>
      <c r="L2686" s="62">
        <v>2</v>
      </c>
      <c r="M2686" s="102">
        <v>5213112474147</v>
      </c>
      <c r="N2686" s="172" t="s">
        <v>37</v>
      </c>
      <c r="O2686" s="91">
        <v>24234.17</v>
      </c>
      <c r="P2686" s="91">
        <v>7268.37</v>
      </c>
      <c r="Q2686" s="42">
        <f>OfficeForms.Table[[#This Row],[ INFORMEDEPAGO ]]*0.3</f>
        <v>7270.2509999999993</v>
      </c>
      <c r="R2686" s="12">
        <f>(IF(O2686&lt;4172.98,0,MIN(O2686*0.3,O2686-4172.98)))-P2686</f>
        <v>1.8809999999994034</v>
      </c>
      <c r="S2686" s="78">
        <v>46478</v>
      </c>
      <c r="T2686" s="1"/>
      <c r="V2686" s="1"/>
      <c r="X2686" s="101">
        <v>2</v>
      </c>
    </row>
    <row r="2687" spans="1:24" hidden="1">
      <c r="A2687">
        <v>1093</v>
      </c>
      <c r="B2687" s="2">
        <v>46237.615138888897</v>
      </c>
      <c r="C2687" s="2">
        <v>46237.615775462997</v>
      </c>
      <c r="D2687" s="1" t="s">
        <v>24</v>
      </c>
      <c r="E2687" s="1"/>
      <c r="F2687" s="29">
        <v>46237</v>
      </c>
      <c r="G2687" s="29">
        <v>46236</v>
      </c>
      <c r="H2687" s="1" t="s">
        <v>269</v>
      </c>
      <c r="I2687" s="1" t="s">
        <v>6102</v>
      </c>
      <c r="J2687" s="175" t="s">
        <v>6103</v>
      </c>
      <c r="K2687" s="188" t="s">
        <v>6104</v>
      </c>
      <c r="L2687" s="62">
        <v>23304430</v>
      </c>
      <c r="M2687" s="102">
        <v>5216532885729</v>
      </c>
      <c r="N2687" s="172" t="s">
        <v>37</v>
      </c>
      <c r="O2687" s="91">
        <v>7580.17</v>
      </c>
      <c r="P2687" s="91">
        <v>2057.23</v>
      </c>
      <c r="Q2687" s="42">
        <f>OfficeForms.Table[[#This Row],[ INFORMEDEPAGO ]]*0.3</f>
        <v>2274.0509999999999</v>
      </c>
      <c r="R2687" s="12">
        <f>(IF(O2687&lt;4172.98,0,MIN(O2687*0.3,O2687-4172.98)))-P2687</f>
        <v>216.82099999999991</v>
      </c>
      <c r="S2687" s="78">
        <v>46508</v>
      </c>
      <c r="T2687" s="1"/>
      <c r="V2687" s="1"/>
      <c r="X2687" s="101">
        <v>2</v>
      </c>
    </row>
    <row r="2688" spans="1:24" hidden="1">
      <c r="A2688">
        <v>1094</v>
      </c>
      <c r="B2688" s="2">
        <v>46237.619988425897</v>
      </c>
      <c r="C2688" s="2">
        <v>46237.622523148202</v>
      </c>
      <c r="D2688" s="1" t="s">
        <v>24</v>
      </c>
      <c r="E2688" s="1"/>
      <c r="F2688" s="29">
        <v>46237</v>
      </c>
      <c r="G2688" s="29">
        <v>46236</v>
      </c>
      <c r="H2688" s="1" t="s">
        <v>160</v>
      </c>
      <c r="I2688" s="1" t="s">
        <v>6105</v>
      </c>
      <c r="J2688" s="175">
        <v>84946404112</v>
      </c>
      <c r="K2688" s="188" t="s">
        <v>6106</v>
      </c>
      <c r="L2688" s="62">
        <v>23299202</v>
      </c>
      <c r="M2688" s="102">
        <v>5219993449523</v>
      </c>
      <c r="N2688" s="172" t="s">
        <v>37</v>
      </c>
      <c r="O2688" s="91">
        <v>9081.52</v>
      </c>
      <c r="P2688" s="91">
        <v>2515.2199999999998</v>
      </c>
      <c r="Q2688" s="42">
        <f>OfficeForms.Table[[#This Row],[ INFORMEDEPAGO ]]*0.3</f>
        <v>2724.4560000000001</v>
      </c>
      <c r="R2688" s="12">
        <f>(IF(O2688&lt;4172.98,0,MIN(O2688*0.3,O2688-4172.98)))-P2688</f>
        <v>209.23600000000033</v>
      </c>
      <c r="S2688" s="78">
        <v>46296</v>
      </c>
      <c r="T2688" s="1"/>
      <c r="V2688" s="1"/>
      <c r="X2688" s="101">
        <v>2</v>
      </c>
    </row>
    <row r="2689" spans="1:24" hidden="1">
      <c r="A2689">
        <v>1095</v>
      </c>
      <c r="B2689" s="2">
        <v>46237.623252314799</v>
      </c>
      <c r="C2689" s="2">
        <v>46237.650983796302</v>
      </c>
      <c r="D2689" s="1" t="s">
        <v>24</v>
      </c>
      <c r="E2689" s="1"/>
      <c r="F2689" s="29">
        <v>46237</v>
      </c>
      <c r="G2689" s="29">
        <v>46237</v>
      </c>
      <c r="H2689" s="1" t="s">
        <v>2908</v>
      </c>
      <c r="I2689" s="1" t="s">
        <v>6107</v>
      </c>
      <c r="J2689" s="175" t="s">
        <v>6108</v>
      </c>
      <c r="K2689" s="188" t="s">
        <v>6109</v>
      </c>
      <c r="L2689" s="62">
        <v>2</v>
      </c>
      <c r="M2689" s="102">
        <v>5217772135955</v>
      </c>
      <c r="N2689" s="172" t="s">
        <v>37</v>
      </c>
      <c r="O2689" s="91">
        <v>8784.27</v>
      </c>
      <c r="P2689" s="91">
        <v>2540.0700000000002</v>
      </c>
      <c r="Q2689" s="42">
        <f>OfficeForms.Table[[#This Row],[ INFORMEDEPAGO ]]*0.3</f>
        <v>2635.2809999999999</v>
      </c>
      <c r="R2689" s="12">
        <f>(IF(O2689&lt;4172.98,0,MIN(O2689*0.3,O2689-4172.98)))-P2689</f>
        <v>95.210999999999785</v>
      </c>
      <c r="S2689" s="78">
        <v>46539</v>
      </c>
      <c r="T2689" s="1"/>
      <c r="V2689" s="1"/>
      <c r="X2689" s="101">
        <v>2</v>
      </c>
    </row>
    <row r="2690" spans="1:24" hidden="1">
      <c r="A2690">
        <v>1096</v>
      </c>
      <c r="B2690" s="2">
        <v>46237.5467361111</v>
      </c>
      <c r="C2690" s="2">
        <v>46237.6534606481</v>
      </c>
      <c r="D2690" s="1" t="s">
        <v>24</v>
      </c>
      <c r="E2690" s="1"/>
      <c r="F2690" s="29">
        <v>46237</v>
      </c>
      <c r="G2690" s="29">
        <v>46237</v>
      </c>
      <c r="H2690" s="1" t="s">
        <v>5605</v>
      </c>
      <c r="I2690" s="1" t="s">
        <v>6110</v>
      </c>
      <c r="J2690" s="175" t="s">
        <v>6111</v>
      </c>
      <c r="K2690" s="188" t="s">
        <v>6112</v>
      </c>
      <c r="L2690" s="62">
        <v>23327342</v>
      </c>
      <c r="M2690" s="102">
        <v>5574274920</v>
      </c>
      <c r="N2690" s="172" t="s">
        <v>37</v>
      </c>
      <c r="O2690" s="91">
        <v>9081.52</v>
      </c>
      <c r="P2690" s="91">
        <v>2724.46</v>
      </c>
      <c r="Q2690" s="42">
        <f>OfficeForms.Table[[#This Row],[ INFORMEDEPAGO ]]*0.3</f>
        <v>2724.4560000000001</v>
      </c>
      <c r="R2690" s="12">
        <f>(IF(O2690&lt;4172.98,0,MIN(O2690*0.3,O2690-4172.98)))-P2690</f>
        <v>-3.9999999999054126E-3</v>
      </c>
      <c r="S2690" s="78">
        <v>46357</v>
      </c>
      <c r="T2690" s="1"/>
      <c r="V2690" s="1"/>
      <c r="X2690" s="101">
        <v>2</v>
      </c>
    </row>
    <row r="2691" spans="1:24" hidden="1">
      <c r="A2691">
        <v>1097</v>
      </c>
      <c r="B2691" s="2">
        <v>46237.5929861111</v>
      </c>
      <c r="C2691" s="2">
        <v>46237.654386574097</v>
      </c>
      <c r="D2691" s="1" t="s">
        <v>24</v>
      </c>
      <c r="E2691" s="1"/>
      <c r="F2691" s="29">
        <v>46237</v>
      </c>
      <c r="G2691" s="29">
        <v>46237</v>
      </c>
      <c r="H2691" s="1" t="s">
        <v>1625</v>
      </c>
      <c r="I2691" s="1" t="s">
        <v>6113</v>
      </c>
      <c r="J2691" s="175">
        <v>12744905311</v>
      </c>
      <c r="K2691" s="188" t="s">
        <v>6114</v>
      </c>
      <c r="L2691" s="62">
        <v>2</v>
      </c>
      <c r="M2691" s="102" t="s">
        <v>6115</v>
      </c>
      <c r="N2691" s="172" t="s">
        <v>32</v>
      </c>
      <c r="O2691" s="91">
        <f>2970.93+848</f>
        <v>3818.93</v>
      </c>
      <c r="P2691" s="91">
        <v>848</v>
      </c>
      <c r="Q2691" s="42">
        <f>OfficeForms.Table[[#This Row],[ INFORMEDEPAGO ]]*0.3</f>
        <v>1145.6789999999999</v>
      </c>
      <c r="R2691" s="12">
        <f>(IF(O2691&lt;4172.98,0,MIN(O2691*0.3,O2691-4172.98)))-P2691</f>
        <v>-848</v>
      </c>
      <c r="S2691" s="78"/>
      <c r="T2691" s="1"/>
      <c r="V2691" s="1"/>
      <c r="X2691" s="101">
        <v>1</v>
      </c>
    </row>
    <row r="2692" spans="1:24" hidden="1">
      <c r="A2692">
        <v>1098</v>
      </c>
      <c r="B2692" s="2">
        <v>46237.645254629599</v>
      </c>
      <c r="C2692" s="2">
        <v>46237.655810185199</v>
      </c>
      <c r="D2692" s="1" t="s">
        <v>24</v>
      </c>
      <c r="E2692" s="1"/>
      <c r="F2692" s="29">
        <v>46237</v>
      </c>
      <c r="G2692" s="29">
        <v>46236</v>
      </c>
      <c r="H2692" s="1" t="s">
        <v>160</v>
      </c>
      <c r="I2692" s="1" t="s">
        <v>6116</v>
      </c>
      <c r="J2692" s="175"/>
      <c r="K2692" s="188" t="s">
        <v>6117</v>
      </c>
      <c r="L2692" s="62">
        <v>23299560</v>
      </c>
      <c r="M2692" s="102">
        <v>5214774121822</v>
      </c>
      <c r="N2692" s="172" t="s">
        <v>37</v>
      </c>
      <c r="O2692" s="91">
        <v>10636.54</v>
      </c>
      <c r="P2692" s="91">
        <v>3100</v>
      </c>
      <c r="Q2692" s="42">
        <f>OfficeForms.Table[[#This Row],[ INFORMEDEPAGO ]]*0.3</f>
        <v>3190.962</v>
      </c>
      <c r="R2692" s="12">
        <f>(IF(O2692&lt;4172.98,0,MIN(O2692*0.3,O2692-4172.98)))-P2692</f>
        <v>90.961999999999989</v>
      </c>
      <c r="S2692" s="78">
        <v>46844</v>
      </c>
      <c r="T2692" s="1"/>
      <c r="V2692" s="1"/>
      <c r="X2692" s="101">
        <v>2</v>
      </c>
    </row>
    <row r="2693" spans="1:24" hidden="1">
      <c r="A2693">
        <v>1099</v>
      </c>
      <c r="B2693" s="2">
        <v>46237.6558449074</v>
      </c>
      <c r="C2693" s="2">
        <v>46237.661898148101</v>
      </c>
      <c r="D2693" s="1" t="s">
        <v>24</v>
      </c>
      <c r="E2693" s="1"/>
      <c r="F2693" s="29">
        <v>46237</v>
      </c>
      <c r="G2693" s="29">
        <v>46236</v>
      </c>
      <c r="H2693" s="1" t="s">
        <v>160</v>
      </c>
      <c r="I2693" s="1" t="s">
        <v>6118</v>
      </c>
      <c r="J2693" s="175">
        <v>54796400056</v>
      </c>
      <c r="K2693" s="188" t="s">
        <v>6119</v>
      </c>
      <c r="L2693" s="62">
        <v>23299902</v>
      </c>
      <c r="M2693" s="102">
        <v>5213331814654</v>
      </c>
      <c r="N2693" s="172" t="s">
        <v>28</v>
      </c>
      <c r="O2693" s="91">
        <v>10636.54</v>
      </c>
      <c r="P2693" s="91"/>
      <c r="Q2693" s="42">
        <f>OfficeForms.Table[[#This Row],[ INFORMEDEPAGO ]]*0.3</f>
        <v>3190.962</v>
      </c>
      <c r="R2693" s="12">
        <f>(IF(O2693&lt;4172.98,0,MIN(O2693*0.3,O2693-4172.98)))-P2693</f>
        <v>3190.962</v>
      </c>
      <c r="S2693" s="78"/>
      <c r="T2693" s="1"/>
      <c r="V2693" s="1"/>
      <c r="X2693" s="101">
        <v>1</v>
      </c>
    </row>
    <row r="2694" spans="1:24" hidden="1">
      <c r="A2694">
        <v>1100</v>
      </c>
      <c r="B2694" s="2">
        <v>46237.482546296298</v>
      </c>
      <c r="C2694" s="2">
        <v>46237.663194444402</v>
      </c>
      <c r="D2694" s="1" t="s">
        <v>24</v>
      </c>
      <c r="E2694" s="1"/>
      <c r="F2694" s="29">
        <v>46237</v>
      </c>
      <c r="G2694" s="29">
        <v>46236</v>
      </c>
      <c r="H2694" s="1" t="s">
        <v>3572</v>
      </c>
      <c r="I2694" s="1" t="s">
        <v>6120</v>
      </c>
      <c r="J2694" s="175"/>
      <c r="K2694" s="188" t="s">
        <v>6121</v>
      </c>
      <c r="L2694" s="62">
        <v>23296176</v>
      </c>
      <c r="M2694" s="102">
        <v>5215648174533</v>
      </c>
      <c r="N2694" s="172" t="s">
        <v>32</v>
      </c>
      <c r="O2694" s="91">
        <v>4342.43</v>
      </c>
      <c r="P2694" s="91"/>
      <c r="Q2694" s="42">
        <f>OfficeForms.Table[[#This Row],[ INFORMEDEPAGO ]]*0.3</f>
        <v>1302.729</v>
      </c>
      <c r="R2694" s="12">
        <f>(IF(O2694&lt;4172.98,0,MIN(O2694*0.3,O2694-4172.98)))-P2694</f>
        <v>169.45000000000073</v>
      </c>
      <c r="S2694" s="78"/>
      <c r="T2694" s="1"/>
      <c r="V2694" s="1"/>
      <c r="X2694" s="101">
        <v>1</v>
      </c>
    </row>
    <row r="2695" spans="1:24" hidden="1">
      <c r="A2695">
        <v>1101</v>
      </c>
      <c r="B2695" s="2">
        <v>46237.6644675926</v>
      </c>
      <c r="C2695" s="2">
        <v>46237.6652314815</v>
      </c>
      <c r="D2695" s="1" t="s">
        <v>24</v>
      </c>
      <c r="E2695" s="1"/>
      <c r="F2695" s="29">
        <v>46237</v>
      </c>
      <c r="G2695" s="29">
        <v>46237</v>
      </c>
      <c r="H2695" s="1" t="s">
        <v>26</v>
      </c>
      <c r="I2695" s="1" t="s">
        <v>6122</v>
      </c>
      <c r="J2695" s="175">
        <v>24734901440</v>
      </c>
      <c r="K2695" s="188" t="s">
        <v>6123</v>
      </c>
      <c r="L2695" s="62">
        <v>23314308</v>
      </c>
      <c r="M2695" s="102">
        <v>5216623466283</v>
      </c>
      <c r="N2695" s="172" t="s">
        <v>32</v>
      </c>
      <c r="O2695" s="91">
        <v>3632.17</v>
      </c>
      <c r="P2695" s="91"/>
      <c r="Q2695" s="42">
        <f>OfficeForms.Table[[#This Row],[ INFORMEDEPAGO ]]*0.3</f>
        <v>1089.6510000000001</v>
      </c>
      <c r="R2695" s="12">
        <f>(IF(O2695&lt;4172.98,0,MIN(O2695*0.3,O2695-4172.98)))-P2695</f>
        <v>0</v>
      </c>
      <c r="S2695" s="78"/>
      <c r="T2695" s="1"/>
      <c r="V2695" s="1"/>
      <c r="X2695" s="101">
        <v>1</v>
      </c>
    </row>
    <row r="2696" spans="1:24" hidden="1">
      <c r="A2696">
        <v>1102</v>
      </c>
      <c r="B2696" s="2">
        <v>46237.600856481498</v>
      </c>
      <c r="C2696" s="2">
        <v>46237.667407407404</v>
      </c>
      <c r="D2696" s="1" t="s">
        <v>24</v>
      </c>
      <c r="E2696" s="1"/>
      <c r="F2696" s="29">
        <v>46237</v>
      </c>
      <c r="G2696" s="29">
        <v>46236</v>
      </c>
      <c r="H2696" s="1" t="s">
        <v>51</v>
      </c>
      <c r="I2696" s="1" t="s">
        <v>6124</v>
      </c>
      <c r="J2696" s="175"/>
      <c r="K2696" s="188" t="s">
        <v>6125</v>
      </c>
      <c r="L2696" s="62">
        <v>23302566</v>
      </c>
      <c r="M2696" s="102">
        <v>5215659444562</v>
      </c>
      <c r="N2696" s="172" t="s">
        <v>106</v>
      </c>
      <c r="O2696" s="91">
        <v>7920.51</v>
      </c>
      <c r="P2696" s="91">
        <v>2101</v>
      </c>
      <c r="Q2696" s="42">
        <f>OfficeForms.Table[[#This Row],[ INFORMEDEPAGO ]]*0.3</f>
        <v>2376.1529999999998</v>
      </c>
      <c r="R2696" s="12">
        <f>(IF(O2696&lt;4172.98,0,MIN(O2696*0.3,O2696-4172.98)))-P2696</f>
        <v>275.15299999999979</v>
      </c>
      <c r="S2696" s="78">
        <v>45901</v>
      </c>
      <c r="T2696" s="1"/>
      <c r="V2696" s="1"/>
      <c r="X2696" s="101">
        <v>2</v>
      </c>
    </row>
    <row r="2697" spans="1:24" hidden="1">
      <c r="A2697">
        <v>1103</v>
      </c>
      <c r="B2697" s="2">
        <v>46237.668148148201</v>
      </c>
      <c r="C2697" s="2">
        <v>46237.669548611098</v>
      </c>
      <c r="D2697" s="1" t="s">
        <v>24</v>
      </c>
      <c r="E2697" s="1"/>
      <c r="F2697" s="29">
        <v>46237</v>
      </c>
      <c r="G2697" s="29">
        <v>46237</v>
      </c>
      <c r="H2697" s="1" t="s">
        <v>81</v>
      </c>
      <c r="I2697" s="1" t="s">
        <v>6126</v>
      </c>
      <c r="J2697" s="175"/>
      <c r="K2697" s="188" t="s">
        <v>6127</v>
      </c>
      <c r="L2697" s="62">
        <v>23322726</v>
      </c>
      <c r="M2697" s="102">
        <v>5216421570934</v>
      </c>
      <c r="N2697" s="172" t="s">
        <v>37</v>
      </c>
      <c r="O2697" s="91">
        <v>10636.54</v>
      </c>
      <c r="P2697" s="91">
        <v>3190.96</v>
      </c>
      <c r="Q2697" s="42">
        <f>OfficeForms.Table[[#This Row],[ INFORMEDEPAGO ]]*0.3</f>
        <v>3190.962</v>
      </c>
      <c r="R2697" s="12">
        <f>(IF(O2697&lt;4172.98,0,MIN(O2697*0.3,O2697-4172.98)))-P2697</f>
        <v>1.9999999999527063E-3</v>
      </c>
      <c r="S2697" s="78">
        <v>46935</v>
      </c>
      <c r="T2697" s="1"/>
      <c r="V2697" s="1"/>
      <c r="X2697" s="101">
        <v>2</v>
      </c>
    </row>
    <row r="2698" spans="1:24" hidden="1">
      <c r="A2698">
        <v>1104</v>
      </c>
      <c r="B2698" s="2">
        <v>46237.654421296298</v>
      </c>
      <c r="C2698" s="2">
        <v>46237.670555555596</v>
      </c>
      <c r="D2698" s="1" t="s">
        <v>24</v>
      </c>
      <c r="E2698" s="1"/>
      <c r="F2698" s="29">
        <v>46237</v>
      </c>
      <c r="G2698" s="29">
        <v>46237</v>
      </c>
      <c r="H2698" s="1" t="s">
        <v>1625</v>
      </c>
      <c r="I2698" s="1" t="s">
        <v>6128</v>
      </c>
      <c r="J2698" s="175" t="s">
        <v>6129</v>
      </c>
      <c r="K2698" s="188" t="s">
        <v>6130</v>
      </c>
      <c r="L2698" s="62">
        <v>2</v>
      </c>
      <c r="M2698" s="102">
        <v>4771661208</v>
      </c>
      <c r="N2698" s="172" t="s">
        <v>37</v>
      </c>
      <c r="O2698" s="91">
        <v>7920.51</v>
      </c>
      <c r="P2698" s="91">
        <v>2291.6</v>
      </c>
      <c r="Q2698" s="42">
        <f>OfficeForms.Table[[#This Row],[ INFORMEDEPAGO ]]*0.3</f>
        <v>2376.1529999999998</v>
      </c>
      <c r="R2698" s="12">
        <f>(IF(O2698&lt;4172.98,0,MIN(O2698*0.3,O2698-4172.98)))-P2698</f>
        <v>84.552999999999884</v>
      </c>
      <c r="S2698" s="78">
        <v>46357</v>
      </c>
      <c r="T2698" s="1"/>
      <c r="V2698" s="1"/>
      <c r="X2698" s="101">
        <v>2</v>
      </c>
    </row>
    <row r="2699" spans="1:24" hidden="1">
      <c r="A2699">
        <v>1105</v>
      </c>
      <c r="B2699" s="2">
        <v>46237.674363425896</v>
      </c>
      <c r="C2699" s="2">
        <v>46237.675601851799</v>
      </c>
      <c r="D2699" s="1" t="s">
        <v>24</v>
      </c>
      <c r="E2699" s="1"/>
      <c r="F2699" s="29">
        <v>46237</v>
      </c>
      <c r="G2699" s="29">
        <v>46237</v>
      </c>
      <c r="H2699" s="1" t="s">
        <v>5691</v>
      </c>
      <c r="I2699" s="1"/>
      <c r="J2699" s="175">
        <v>49866502401</v>
      </c>
      <c r="K2699" s="188"/>
      <c r="L2699" s="62">
        <v>23321468</v>
      </c>
      <c r="M2699" s="102">
        <v>8318983411</v>
      </c>
      <c r="N2699" s="172" t="s">
        <v>28</v>
      </c>
      <c r="O2699" s="91">
        <v>17051.88</v>
      </c>
      <c r="P2699" s="91">
        <v>3598.56</v>
      </c>
      <c r="Q2699" s="42">
        <f>OfficeForms.Table[[#This Row],[ INFORMEDEPAGO ]]*0.3</f>
        <v>5115.5640000000003</v>
      </c>
      <c r="R2699" s="12">
        <f>(IF(O2699&lt;4172.98,0,MIN(O2699*0.3,O2699-4172.98)))-P2699</f>
        <v>1517.0040000000004</v>
      </c>
      <c r="S2699" s="78">
        <v>46813</v>
      </c>
      <c r="T2699" s="1" t="s">
        <v>84</v>
      </c>
      <c r="V2699" s="1"/>
      <c r="X2699" s="101">
        <v>2</v>
      </c>
    </row>
    <row r="2700" spans="1:24" hidden="1">
      <c r="A2700">
        <v>1106</v>
      </c>
      <c r="B2700" s="2">
        <v>46237.673923611103</v>
      </c>
      <c r="C2700" s="2">
        <v>46237.676122685203</v>
      </c>
      <c r="D2700" s="1" t="s">
        <v>24</v>
      </c>
      <c r="E2700" s="1"/>
      <c r="F2700" s="29">
        <v>46237</v>
      </c>
      <c r="G2700" s="29">
        <v>46236</v>
      </c>
      <c r="H2700" s="1" t="s">
        <v>269</v>
      </c>
      <c r="I2700" s="1" t="s">
        <v>6131</v>
      </c>
      <c r="J2700" s="175" t="s">
        <v>6132</v>
      </c>
      <c r="K2700" s="188" t="s">
        <v>6133</v>
      </c>
      <c r="L2700" s="62">
        <v>23305482</v>
      </c>
      <c r="M2700" s="102">
        <v>5212226114156</v>
      </c>
      <c r="N2700" s="172" t="s">
        <v>37</v>
      </c>
      <c r="O2700" s="91">
        <v>9081.52</v>
      </c>
      <c r="P2700" s="91">
        <v>2627.48</v>
      </c>
      <c r="Q2700" s="42">
        <f>OfficeForms.Table[[#This Row],[ INFORMEDEPAGO ]]*0.3</f>
        <v>2724.4560000000001</v>
      </c>
      <c r="R2700" s="12">
        <f>(IF(O2700&lt;4172.98,0,MIN(O2700*0.3,O2700-4172.98)))-P2700</f>
        <v>96.976000000000113</v>
      </c>
      <c r="S2700" s="78">
        <v>46478</v>
      </c>
      <c r="T2700" s="1"/>
      <c r="V2700" s="1"/>
      <c r="X2700" s="101">
        <v>2</v>
      </c>
    </row>
    <row r="2701" spans="1:24" hidden="1">
      <c r="A2701">
        <v>1107</v>
      </c>
      <c r="B2701" s="2">
        <v>46237.672129629602</v>
      </c>
      <c r="C2701" s="2">
        <v>46237.6798263889</v>
      </c>
      <c r="D2701" s="1" t="s">
        <v>24</v>
      </c>
      <c r="E2701" s="1"/>
      <c r="F2701" s="29">
        <v>46237</v>
      </c>
      <c r="G2701" s="29">
        <v>46237</v>
      </c>
      <c r="H2701" s="1" t="s">
        <v>110</v>
      </c>
      <c r="I2701" s="1" t="s">
        <v>6134</v>
      </c>
      <c r="J2701" s="207">
        <v>24897401543</v>
      </c>
      <c r="K2701" s="188"/>
      <c r="L2701" s="119">
        <v>23327766</v>
      </c>
      <c r="M2701" s="102">
        <v>5216331156803</v>
      </c>
      <c r="N2701" s="172" t="s">
        <v>28</v>
      </c>
      <c r="O2701" s="91">
        <v>9163.2800000000007</v>
      </c>
      <c r="P2701" s="91"/>
      <c r="Q2701" s="42">
        <f>OfficeForms.Table[[#This Row],[ INFORMEDEPAGO ]]*0.3</f>
        <v>2748.9839999999999</v>
      </c>
      <c r="R2701" s="12">
        <f>(IF(O2701&lt;4172.98,0,MIN(O2701*0.3,O2701-4172.98)))-P2701</f>
        <v>2748.9839999999999</v>
      </c>
      <c r="S2701" s="78"/>
      <c r="T2701" s="1"/>
      <c r="V2701" s="1"/>
      <c r="X2701" s="101">
        <v>1</v>
      </c>
    </row>
    <row r="2702" spans="1:24" hidden="1">
      <c r="A2702">
        <v>1108</v>
      </c>
      <c r="B2702" s="2">
        <v>46237.669571759303</v>
      </c>
      <c r="C2702" s="2">
        <v>46237.682638888902</v>
      </c>
      <c r="D2702" s="1" t="s">
        <v>24</v>
      </c>
      <c r="E2702" s="1"/>
      <c r="F2702" s="29">
        <v>46237</v>
      </c>
      <c r="G2702" s="29">
        <v>46235</v>
      </c>
      <c r="H2702" s="1" t="s">
        <v>81</v>
      </c>
      <c r="I2702" s="1" t="s">
        <v>6135</v>
      </c>
      <c r="J2702" s="175" t="s">
        <v>6136</v>
      </c>
      <c r="K2702" s="188"/>
      <c r="L2702" s="62">
        <v>23276084</v>
      </c>
      <c r="M2702" s="102">
        <v>5218661157605</v>
      </c>
      <c r="N2702" s="172" t="s">
        <v>28</v>
      </c>
      <c r="O2702" s="91">
        <v>8784.2900000000009</v>
      </c>
      <c r="P2702" s="91"/>
      <c r="Q2702" s="42">
        <f>OfficeForms.Table[[#This Row],[ INFORMEDEPAGO ]]*0.3</f>
        <v>2635.2870000000003</v>
      </c>
      <c r="R2702" s="12">
        <f>(IF(O2702&lt;4172.98,0,MIN(O2702*0.3,O2702-4172.98)))-P2702</f>
        <v>2635.2870000000003</v>
      </c>
      <c r="S2702" s="78"/>
      <c r="T2702" s="1"/>
      <c r="V2702" s="1"/>
      <c r="X2702" s="101">
        <v>2</v>
      </c>
    </row>
    <row r="2703" spans="1:24" hidden="1">
      <c r="A2703">
        <v>1109</v>
      </c>
      <c r="B2703" s="2">
        <v>46237.6863310185</v>
      </c>
      <c r="C2703" s="2">
        <v>46237.687395833302</v>
      </c>
      <c r="D2703" s="1" t="s">
        <v>24</v>
      </c>
      <c r="E2703" s="1"/>
      <c r="F2703" s="29">
        <v>46237</v>
      </c>
      <c r="G2703" s="29">
        <v>46237</v>
      </c>
      <c r="H2703" s="1" t="s">
        <v>1629</v>
      </c>
      <c r="I2703" s="1" t="s">
        <v>6137</v>
      </c>
      <c r="J2703" s="175"/>
      <c r="K2703" s="188" t="s">
        <v>6138</v>
      </c>
      <c r="L2703" s="62">
        <v>2</v>
      </c>
      <c r="M2703" s="102">
        <v>8110438187</v>
      </c>
      <c r="N2703" s="172" t="s">
        <v>37</v>
      </c>
      <c r="O2703" s="91">
        <v>9081.52</v>
      </c>
      <c r="P2703" s="91">
        <v>2627.48</v>
      </c>
      <c r="Q2703" s="42">
        <f>OfficeForms.Table[[#This Row],[ INFORMEDEPAGO ]]*0.3</f>
        <v>2724.4560000000001</v>
      </c>
      <c r="R2703" s="12">
        <f>(IF(O2703&lt;4172.98,0,MIN(O2703*0.3,O2703-4172.98)))-P2703</f>
        <v>96.976000000000113</v>
      </c>
      <c r="S2703" s="78">
        <v>46539</v>
      </c>
      <c r="T2703" s="1"/>
      <c r="V2703" s="1"/>
      <c r="X2703" s="101">
        <v>2</v>
      </c>
    </row>
    <row r="2704" spans="1:24" hidden="1">
      <c r="A2704">
        <v>1110</v>
      </c>
      <c r="B2704" s="2">
        <v>46237.688182870399</v>
      </c>
      <c r="C2704" s="2">
        <v>46237.688530092601</v>
      </c>
      <c r="D2704" s="1" t="s">
        <v>24</v>
      </c>
      <c r="E2704" s="1"/>
      <c r="F2704" s="29">
        <v>46237</v>
      </c>
      <c r="G2704" s="29">
        <v>46237</v>
      </c>
      <c r="H2704" s="1" t="s">
        <v>26</v>
      </c>
      <c r="I2704" s="1" t="s">
        <v>6139</v>
      </c>
      <c r="J2704" s="175" t="s">
        <v>6140</v>
      </c>
      <c r="K2704" s="188"/>
      <c r="L2704" s="62">
        <v>23330112</v>
      </c>
      <c r="M2704" s="102">
        <v>5216221569316</v>
      </c>
      <c r="N2704" s="172" t="s">
        <v>37</v>
      </c>
      <c r="O2704" s="91">
        <v>6340.73</v>
      </c>
      <c r="P2704" s="91">
        <v>1833.98</v>
      </c>
      <c r="Q2704" s="42">
        <f>OfficeForms.Table[[#This Row],[ INFORMEDEPAGO ]]*0.3</f>
        <v>1902.2189999999998</v>
      </c>
      <c r="R2704" s="12">
        <f>(IF(O2704&lt;4172.98,0,MIN(O2704*0.3,O2704-4172.98)))-P2704</f>
        <v>68.238999999999805</v>
      </c>
      <c r="S2704" s="78">
        <v>46539</v>
      </c>
      <c r="T2704" s="1"/>
      <c r="V2704" s="1"/>
      <c r="X2704" s="101">
        <v>2</v>
      </c>
    </row>
    <row r="2705" spans="1:24" hidden="1">
      <c r="A2705">
        <v>1111</v>
      </c>
      <c r="B2705" s="2">
        <v>46237.667430555601</v>
      </c>
      <c r="C2705" s="2">
        <v>46237.695543981499</v>
      </c>
      <c r="D2705" s="1" t="s">
        <v>24</v>
      </c>
      <c r="E2705" s="1"/>
      <c r="F2705" s="29">
        <v>46237</v>
      </c>
      <c r="G2705" s="29">
        <v>46237</v>
      </c>
      <c r="H2705" s="1" t="s">
        <v>51</v>
      </c>
      <c r="I2705" s="1" t="s">
        <v>6141</v>
      </c>
      <c r="J2705" s="175"/>
      <c r="K2705" s="188" t="s">
        <v>6142</v>
      </c>
      <c r="L2705" s="62">
        <v>23309760</v>
      </c>
      <c r="M2705" s="102">
        <v>5218341170735</v>
      </c>
      <c r="N2705" s="172" t="s">
        <v>37</v>
      </c>
      <c r="O2705" s="91">
        <v>7116.73</v>
      </c>
      <c r="P2705" s="91">
        <v>2135</v>
      </c>
      <c r="Q2705" s="42">
        <f>OfficeForms.Table[[#This Row],[ INFORMEDEPAGO ]]*0.3</f>
        <v>2135.0189999999998</v>
      </c>
      <c r="R2705" s="12">
        <f>(IF(O2705&lt;4172.98,0,MIN(O2705*0.3,O2705-4172.98)))-P2705</f>
        <v>1.8999999999778083E-2</v>
      </c>
      <c r="S2705" s="78">
        <v>46784</v>
      </c>
      <c r="T2705" s="1"/>
      <c r="V2705" s="1"/>
      <c r="X2705" s="101">
        <v>2</v>
      </c>
    </row>
    <row r="2706" spans="1:24" hidden="1">
      <c r="A2706">
        <v>1112</v>
      </c>
      <c r="B2706" s="2">
        <v>46237.695555555598</v>
      </c>
      <c r="C2706" s="2">
        <v>46237.696192129602</v>
      </c>
      <c r="D2706" s="1" t="s">
        <v>24</v>
      </c>
      <c r="E2706" s="1"/>
      <c r="F2706" s="29">
        <v>46237</v>
      </c>
      <c r="G2706" s="29">
        <v>46237</v>
      </c>
      <c r="H2706" s="1" t="s">
        <v>26</v>
      </c>
      <c r="I2706" s="1" t="s">
        <v>6143</v>
      </c>
      <c r="J2706" s="175"/>
      <c r="K2706" s="188" t="s">
        <v>6144</v>
      </c>
      <c r="L2706" s="62">
        <v>23315882</v>
      </c>
      <c r="M2706" s="102">
        <v>5218116928701</v>
      </c>
      <c r="N2706" s="172" t="s">
        <v>28</v>
      </c>
      <c r="O2706" s="91">
        <v>31796.959999999999</v>
      </c>
      <c r="P2706" s="91"/>
      <c r="Q2706" s="42">
        <f>OfficeForms.Table[[#This Row],[ INFORMEDEPAGO ]]*0.3</f>
        <v>9539.0879999999997</v>
      </c>
      <c r="R2706" s="12">
        <f>(IF(O2706&lt;4172.98,0,MIN(O2706*0.3,O2706-4172.98)))-P2706</f>
        <v>9539.0879999999997</v>
      </c>
      <c r="S2706" s="78"/>
      <c r="T2706" s="1"/>
      <c r="V2706" s="1"/>
      <c r="X2706" s="101">
        <v>1</v>
      </c>
    </row>
    <row r="2707" spans="1:24" hidden="1">
      <c r="A2707">
        <v>1113</v>
      </c>
      <c r="B2707" s="2">
        <v>46237.7039814815</v>
      </c>
      <c r="C2707" s="2">
        <v>46237.705578703702</v>
      </c>
      <c r="D2707" s="1" t="s">
        <v>24</v>
      </c>
      <c r="E2707" s="1"/>
      <c r="F2707" s="29">
        <v>46237</v>
      </c>
      <c r="G2707" s="29">
        <v>46237</v>
      </c>
      <c r="H2707" s="1" t="s">
        <v>5691</v>
      </c>
      <c r="I2707" s="1" t="s">
        <v>6145</v>
      </c>
      <c r="J2707" s="175"/>
      <c r="K2707" s="188" t="s">
        <v>6146</v>
      </c>
      <c r="L2707" s="62">
        <v>23330746</v>
      </c>
      <c r="M2707" s="102">
        <v>6538495316</v>
      </c>
      <c r="N2707" s="172" t="s">
        <v>98</v>
      </c>
      <c r="O2707" s="91"/>
      <c r="P2707" s="91"/>
      <c r="Q2707" s="42">
        <f>OfficeForms.Table[[#This Row],[ INFORMEDEPAGO ]]*0.3</f>
        <v>0</v>
      </c>
      <c r="R2707" s="12">
        <f>(IF(O2707&lt;4172.98,0,MIN(O2707*0.3,O2707-4172.98)))-P2707</f>
        <v>0</v>
      </c>
      <c r="S2707" s="78"/>
      <c r="T2707" s="1"/>
      <c r="V2707" s="1"/>
      <c r="X2707" s="101">
        <v>0</v>
      </c>
    </row>
    <row r="2708" spans="1:24" hidden="1">
      <c r="A2708">
        <v>1114</v>
      </c>
      <c r="B2708" s="2">
        <v>46237.692083333299</v>
      </c>
      <c r="C2708" s="2">
        <v>46237.710358796299</v>
      </c>
      <c r="D2708" s="1" t="s">
        <v>24</v>
      </c>
      <c r="E2708" s="1"/>
      <c r="F2708" s="29">
        <v>46237</v>
      </c>
      <c r="G2708" s="29">
        <v>46236</v>
      </c>
      <c r="H2708" s="1" t="s">
        <v>269</v>
      </c>
      <c r="I2708" s="1" t="s">
        <v>6147</v>
      </c>
      <c r="J2708" s="175" t="s">
        <v>6148</v>
      </c>
      <c r="K2708" s="188" t="s">
        <v>6149</v>
      </c>
      <c r="L2708" s="62">
        <v>23305596</v>
      </c>
      <c r="M2708" s="102">
        <v>5214491255072</v>
      </c>
      <c r="N2708" s="172" t="s">
        <v>106</v>
      </c>
      <c r="O2708" s="91">
        <v>38455.32</v>
      </c>
      <c r="P2708" s="91">
        <v>11124.42</v>
      </c>
      <c r="Q2708" s="42">
        <f>OfficeForms.Table[[#This Row],[ INFORMEDEPAGO ]]*0.3</f>
        <v>11536.596</v>
      </c>
      <c r="R2708" s="12">
        <f>(IF(O2708&lt;4172.98,0,MIN(O2708*0.3,O2708-4172.98)))-P2708</f>
        <v>412.17599999999948</v>
      </c>
      <c r="S2708" s="78">
        <v>46113</v>
      </c>
      <c r="T2708" s="1"/>
      <c r="V2708" s="1"/>
      <c r="X2708" s="101">
        <v>2</v>
      </c>
    </row>
    <row r="2709" spans="1:24" hidden="1">
      <c r="A2709">
        <v>1115</v>
      </c>
      <c r="B2709" s="2">
        <v>46237.709479166697</v>
      </c>
      <c r="C2709" s="2">
        <v>46237.7109837963</v>
      </c>
      <c r="D2709" s="1" t="s">
        <v>24</v>
      </c>
      <c r="E2709" s="1"/>
      <c r="F2709" s="29">
        <v>46237</v>
      </c>
      <c r="G2709" s="29">
        <v>46237</v>
      </c>
      <c r="H2709" s="1" t="s">
        <v>71</v>
      </c>
      <c r="I2709" s="1" t="s">
        <v>6150</v>
      </c>
      <c r="J2709" s="207" t="s">
        <v>6151</v>
      </c>
      <c r="K2709" s="188"/>
      <c r="L2709" s="62">
        <v>23289186</v>
      </c>
      <c r="M2709" s="102">
        <v>5215637480259</v>
      </c>
      <c r="N2709" s="172" t="s">
        <v>37</v>
      </c>
      <c r="O2709" s="91">
        <v>10636.54</v>
      </c>
      <c r="P2709" s="91">
        <v>3190</v>
      </c>
      <c r="Q2709" s="42">
        <f>OfficeForms.Table[[#This Row],[ INFORMEDEPAGO ]]*0.3</f>
        <v>3190.962</v>
      </c>
      <c r="R2709" s="12">
        <f>(IF(O2709&lt;4172.98,0,MIN(O2709*0.3,O2709-4172.98)))-P2709</f>
        <v>0.96199999999998909</v>
      </c>
      <c r="S2709" s="78">
        <v>46905</v>
      </c>
      <c r="T2709" s="1"/>
      <c r="V2709" s="1"/>
      <c r="X2709" s="101">
        <v>2</v>
      </c>
    </row>
    <row r="2710" spans="1:24" hidden="1">
      <c r="A2710">
        <v>1116</v>
      </c>
      <c r="B2710" s="2">
        <v>46237.713819444398</v>
      </c>
      <c r="C2710" s="2">
        <v>46237.714560185203</v>
      </c>
      <c r="D2710" s="1" t="s">
        <v>24</v>
      </c>
      <c r="E2710" s="1"/>
      <c r="F2710" s="29">
        <v>46237</v>
      </c>
      <c r="G2710" s="29">
        <v>46237</v>
      </c>
      <c r="H2710" s="1" t="s">
        <v>107</v>
      </c>
      <c r="I2710" s="1" t="s">
        <v>6152</v>
      </c>
      <c r="J2710" s="207"/>
      <c r="K2710" s="188" t="s">
        <v>6153</v>
      </c>
      <c r="L2710" s="62">
        <v>23322804</v>
      </c>
      <c r="M2710" s="102">
        <v>5533341440</v>
      </c>
      <c r="N2710" s="172" t="s">
        <v>106</v>
      </c>
      <c r="O2710" s="91">
        <v>32158.2</v>
      </c>
      <c r="P2710" s="91">
        <v>7028.39</v>
      </c>
      <c r="Q2710" s="42">
        <f>OfficeForms.Table[[#This Row],[ INFORMEDEPAGO ]]*0.3</f>
        <v>9647.4599999999991</v>
      </c>
      <c r="R2710" s="12">
        <f>(IF(O2710&lt;4172.98,0,MIN(O2710*0.3,O2710-4172.98)))-P2710</f>
        <v>2619.0699999999988</v>
      </c>
      <c r="S2710" s="78">
        <v>45413</v>
      </c>
      <c r="T2710" s="1"/>
      <c r="V2710" s="1"/>
      <c r="X2710" s="101">
        <v>2</v>
      </c>
    </row>
    <row r="2711" spans="1:24" hidden="1">
      <c r="A2711">
        <v>1117</v>
      </c>
      <c r="B2711" s="2">
        <v>46237.712893518503</v>
      </c>
      <c r="C2711" s="2">
        <v>46237.717453703699</v>
      </c>
      <c r="D2711" s="1" t="s">
        <v>24</v>
      </c>
      <c r="E2711" s="1"/>
      <c r="F2711" s="29">
        <v>46237</v>
      </c>
      <c r="G2711" s="29">
        <v>46236</v>
      </c>
      <c r="H2711" s="1" t="s">
        <v>78</v>
      </c>
      <c r="I2711" s="1" t="s">
        <v>6154</v>
      </c>
      <c r="J2711" s="207">
        <v>53907338494</v>
      </c>
      <c r="K2711" s="188" t="s">
        <v>6155</v>
      </c>
      <c r="L2711" s="62">
        <v>23301114</v>
      </c>
      <c r="M2711" s="102">
        <v>5213511629242</v>
      </c>
      <c r="N2711" s="172" t="s">
        <v>37</v>
      </c>
      <c r="O2711" s="91">
        <v>45983.87</v>
      </c>
      <c r="P2711" s="91">
        <v>13779.09</v>
      </c>
      <c r="Q2711" s="42">
        <f>OfficeForms.Table[[#This Row],[ INFORMEDEPAGO ]]*0.3</f>
        <v>13795.161</v>
      </c>
      <c r="R2711" s="12">
        <f>(IF(O2711&lt;4172.98,0,MIN(O2711*0.3,O2711-4172.98)))-P2711</f>
        <v>16.070999999999913</v>
      </c>
      <c r="S2711" s="78">
        <v>46266</v>
      </c>
      <c r="T2711" s="1"/>
      <c r="V2711" s="1"/>
      <c r="X2711" s="101">
        <v>2</v>
      </c>
    </row>
    <row r="2712" spans="1:24" hidden="1">
      <c r="A2712">
        <v>1118</v>
      </c>
      <c r="B2712" s="2">
        <v>46237.7174421296</v>
      </c>
      <c r="C2712" s="2">
        <v>46237.718668981499</v>
      </c>
      <c r="D2712" s="1" t="s">
        <v>24</v>
      </c>
      <c r="E2712" s="1"/>
      <c r="F2712" s="29">
        <v>46237</v>
      </c>
      <c r="G2712" s="29">
        <v>46237</v>
      </c>
      <c r="H2712" s="1" t="s">
        <v>5691</v>
      </c>
      <c r="I2712" s="1"/>
      <c r="J2712" s="207">
        <v>51795909541</v>
      </c>
      <c r="K2712" s="188"/>
      <c r="L2712" s="62">
        <v>23330586</v>
      </c>
      <c r="M2712" s="102">
        <v>7751984304</v>
      </c>
      <c r="N2712" s="172" t="s">
        <v>106</v>
      </c>
      <c r="O2712" s="91">
        <v>12448.6</v>
      </c>
      <c r="P2712" s="91">
        <v>3302.29</v>
      </c>
      <c r="Q2712" s="42">
        <f>OfficeForms.Table[[#This Row],[ INFORMEDEPAGO ]]*0.3</f>
        <v>3734.58</v>
      </c>
      <c r="R2712" s="12">
        <f>(IF(O2712&lt;4172.98,0,MIN(O2712*0.3,O2712-4172.98)))-P2712</f>
        <v>432.28999999999996</v>
      </c>
      <c r="S2712" s="78">
        <v>46023</v>
      </c>
      <c r="T2712" s="1"/>
      <c r="V2712" s="1"/>
      <c r="X2712" s="101">
        <v>2</v>
      </c>
    </row>
    <row r="2713" spans="1:24" hidden="1">
      <c r="A2713">
        <v>1119</v>
      </c>
      <c r="B2713" s="2">
        <v>46237.720752314803</v>
      </c>
      <c r="C2713" s="2">
        <v>46237.721203703702</v>
      </c>
      <c r="D2713" s="1" t="s">
        <v>24</v>
      </c>
      <c r="E2713" s="1"/>
      <c r="F2713" s="29">
        <v>46237</v>
      </c>
      <c r="G2713" s="29">
        <v>46237</v>
      </c>
      <c r="H2713" s="1" t="s">
        <v>26</v>
      </c>
      <c r="I2713" s="1" t="s">
        <v>6156</v>
      </c>
      <c r="J2713" s="207"/>
      <c r="K2713" s="188" t="s">
        <v>6157</v>
      </c>
      <c r="L2713" s="62">
        <v>23315724</v>
      </c>
      <c r="M2713" s="102">
        <v>5212281122832</v>
      </c>
      <c r="N2713" s="172" t="s">
        <v>98</v>
      </c>
      <c r="O2713" s="91"/>
      <c r="P2713" s="91"/>
      <c r="Q2713" s="42">
        <f>OfficeForms.Table[[#This Row],[ INFORMEDEPAGO ]]*0.3</f>
        <v>0</v>
      </c>
      <c r="R2713" s="12">
        <f>(IF(O2713&lt;4172.98,0,MIN(O2713*0.3,O2713-4172.98)))-P2713</f>
        <v>0</v>
      </c>
      <c r="S2713" s="78"/>
      <c r="T2713" s="1"/>
      <c r="V2713" s="1"/>
      <c r="X2713" s="101">
        <v>0</v>
      </c>
    </row>
    <row r="2714" spans="1:24" hidden="1">
      <c r="A2714">
        <v>1120</v>
      </c>
      <c r="B2714" s="2">
        <v>46237.6706134259</v>
      </c>
      <c r="C2714" s="2">
        <v>46237.723310185203</v>
      </c>
      <c r="D2714" s="1" t="s">
        <v>24</v>
      </c>
      <c r="E2714" s="1"/>
      <c r="F2714" s="29">
        <v>46237</v>
      </c>
      <c r="G2714" s="29">
        <v>46237</v>
      </c>
      <c r="H2714" s="1" t="s">
        <v>1625</v>
      </c>
      <c r="I2714" s="1" t="s">
        <v>6158</v>
      </c>
      <c r="J2714" s="207">
        <v>62917374357</v>
      </c>
      <c r="K2714" s="188" t="s">
        <v>6159</v>
      </c>
      <c r="L2714" s="62">
        <v>2</v>
      </c>
      <c r="M2714" s="102" t="s">
        <v>6160</v>
      </c>
      <c r="N2714" s="172" t="s">
        <v>32</v>
      </c>
      <c r="O2714" s="91">
        <v>4172.99</v>
      </c>
      <c r="P2714" s="91"/>
      <c r="Q2714" s="42">
        <f>OfficeForms.Table[[#This Row],[ INFORMEDEPAGO ]]*0.3</f>
        <v>1251.8969999999999</v>
      </c>
      <c r="R2714" s="12">
        <f>(IF(O2714&lt;4172.98,0,MIN(O2714*0.3,O2714-4172.98)))-P2714</f>
        <v>1.0000000000218279E-2</v>
      </c>
      <c r="S2714" s="78"/>
      <c r="T2714" s="1"/>
      <c r="V2714" s="1"/>
      <c r="X2714" s="101">
        <v>1</v>
      </c>
    </row>
    <row r="2715" spans="1:24" hidden="1">
      <c r="A2715">
        <v>1121</v>
      </c>
      <c r="B2715" s="2">
        <v>46237.723310185203</v>
      </c>
      <c r="C2715" s="2">
        <v>46237.724212963003</v>
      </c>
      <c r="D2715" s="1" t="s">
        <v>24</v>
      </c>
      <c r="E2715" s="1"/>
      <c r="F2715" s="29">
        <v>46237</v>
      </c>
      <c r="G2715" s="29">
        <v>46237</v>
      </c>
      <c r="H2715" s="1" t="s">
        <v>26</v>
      </c>
      <c r="I2715" s="1" t="s">
        <v>6161</v>
      </c>
      <c r="J2715" s="207"/>
      <c r="K2715" s="188" t="s">
        <v>6162</v>
      </c>
      <c r="L2715" s="62">
        <v>23327730</v>
      </c>
      <c r="M2715" s="102">
        <v>5216121050157</v>
      </c>
      <c r="N2715" s="172" t="s">
        <v>37</v>
      </c>
      <c r="O2715" s="91">
        <v>65442.64</v>
      </c>
      <c r="P2715" s="91">
        <v>19630.830000000002</v>
      </c>
      <c r="Q2715" s="42">
        <f>OfficeForms.Table[[#This Row],[ INFORMEDEPAGO ]]*0.3</f>
        <v>19632.791999999998</v>
      </c>
      <c r="R2715" s="12">
        <f>(IF(O2715&lt;4172.98,0,MIN(O2715*0.3,O2715-4172.98)))-P2715</f>
        <v>1.9619999999958964</v>
      </c>
      <c r="S2715" s="78">
        <v>46388</v>
      </c>
      <c r="T2715" s="1"/>
      <c r="V2715" s="1"/>
      <c r="X2715" s="101">
        <v>2</v>
      </c>
    </row>
    <row r="2716" spans="1:24" hidden="1">
      <c r="A2716">
        <v>1122</v>
      </c>
      <c r="B2716" s="2">
        <v>46237.721006944397</v>
      </c>
      <c r="C2716" s="2">
        <v>46237.726481481499</v>
      </c>
      <c r="D2716" s="1" t="s">
        <v>24</v>
      </c>
      <c r="E2716" s="1"/>
      <c r="F2716" s="29">
        <v>46237</v>
      </c>
      <c r="G2716" s="29">
        <v>46237</v>
      </c>
      <c r="H2716" s="1" t="s">
        <v>103</v>
      </c>
      <c r="I2716" s="1"/>
      <c r="J2716" s="207" t="s">
        <v>6163</v>
      </c>
      <c r="K2716" s="188"/>
      <c r="L2716" s="62">
        <v>1</v>
      </c>
      <c r="M2716" s="102">
        <v>6391293595</v>
      </c>
      <c r="N2716" s="172" t="s">
        <v>130</v>
      </c>
      <c r="O2716" s="91">
        <v>4813.6899999999996</v>
      </c>
      <c r="P2716" s="91">
        <v>1019.36</v>
      </c>
      <c r="Q2716" s="42">
        <f>OfficeForms.Table[[#This Row],[ INFORMEDEPAGO ]]*0.3</f>
        <v>1444.1069999999997</v>
      </c>
      <c r="R2716" s="12">
        <f>(IF(O2716&lt;4172.98,0,MIN(O2716*0.3,O2716-4172.98)))-P2716</f>
        <v>-378.65</v>
      </c>
      <c r="S2716" s="78">
        <v>46478</v>
      </c>
      <c r="T2716" s="1"/>
      <c r="V2716" s="1"/>
      <c r="X2716" s="101">
        <v>2</v>
      </c>
    </row>
    <row r="2717" spans="1:24" hidden="1">
      <c r="A2717">
        <v>1123</v>
      </c>
      <c r="B2717" s="2">
        <v>46237.7243171296</v>
      </c>
      <c r="C2717" s="2">
        <v>46237.7271064815</v>
      </c>
      <c r="D2717" s="1" t="s">
        <v>24</v>
      </c>
      <c r="E2717" s="1"/>
      <c r="F2717" s="29">
        <v>46237</v>
      </c>
      <c r="G2717" s="29">
        <v>46235</v>
      </c>
      <c r="H2717" s="1" t="s">
        <v>71</v>
      </c>
      <c r="I2717" s="1" t="s">
        <v>6164</v>
      </c>
      <c r="J2717" s="207" t="s">
        <v>6165</v>
      </c>
      <c r="K2717" s="188" t="s">
        <v>6166</v>
      </c>
      <c r="L2717" s="62">
        <v>23288760</v>
      </c>
      <c r="M2717" s="102">
        <v>5216652600155</v>
      </c>
      <c r="N2717" s="172" t="s">
        <v>74</v>
      </c>
      <c r="O2717" s="91"/>
      <c r="P2717" s="91"/>
      <c r="Q2717" s="42">
        <f>OfficeForms.Table[[#This Row],[ INFORMEDEPAGO ]]*0.3</f>
        <v>0</v>
      </c>
      <c r="R2717" s="12">
        <f>(IF(O2717&lt;4172.98,0,MIN(O2717*0.3,O2717-4172.98)))-P2717</f>
        <v>0</v>
      </c>
      <c r="S2717" s="78"/>
      <c r="T2717" s="1"/>
      <c r="V2717" s="1"/>
      <c r="X2717" s="101">
        <v>1</v>
      </c>
    </row>
    <row r="2718" spans="1:24" hidden="1">
      <c r="A2718">
        <v>1124</v>
      </c>
      <c r="B2718" s="2">
        <v>46237.729722222197</v>
      </c>
      <c r="C2718" s="2">
        <v>46237.730358796303</v>
      </c>
      <c r="D2718" s="1" t="s">
        <v>24</v>
      </c>
      <c r="E2718" s="1"/>
      <c r="F2718" s="29">
        <v>46237</v>
      </c>
      <c r="G2718" s="29">
        <v>46237</v>
      </c>
      <c r="H2718" s="1" t="s">
        <v>107</v>
      </c>
      <c r="I2718" s="1"/>
      <c r="J2718" s="207" t="s">
        <v>6167</v>
      </c>
      <c r="K2718" s="188"/>
      <c r="L2718" s="62">
        <v>23331796</v>
      </c>
      <c r="M2718" s="102">
        <v>5213325762768</v>
      </c>
      <c r="N2718" s="172" t="s">
        <v>32</v>
      </c>
      <c r="O2718" s="91">
        <v>3635.53</v>
      </c>
      <c r="P2718" s="91"/>
      <c r="Q2718" s="42">
        <f>OfficeForms.Table[[#This Row],[ INFORMEDEPAGO ]]*0.3</f>
        <v>1090.6590000000001</v>
      </c>
      <c r="R2718" s="12">
        <f>(IF(O2718&lt;4172.98,0,MIN(O2718*0.3,O2718-4172.98)))-P2718</f>
        <v>0</v>
      </c>
      <c r="S2718" s="78"/>
      <c r="T2718" s="1"/>
      <c r="V2718" s="1"/>
      <c r="X2718" s="101">
        <v>1</v>
      </c>
    </row>
    <row r="2719" spans="1:24" hidden="1">
      <c r="A2719">
        <v>1125</v>
      </c>
      <c r="B2719" s="2">
        <v>46237.7313194444</v>
      </c>
      <c r="C2719" s="2">
        <v>46237.732407407399</v>
      </c>
      <c r="D2719" s="1" t="s">
        <v>24</v>
      </c>
      <c r="E2719" s="1"/>
      <c r="F2719" s="29">
        <v>46237</v>
      </c>
      <c r="G2719" s="29">
        <v>46236</v>
      </c>
      <c r="H2719" s="1" t="s">
        <v>71</v>
      </c>
      <c r="I2719" s="1" t="s">
        <v>6168</v>
      </c>
      <c r="J2719" s="207"/>
      <c r="K2719" s="188" t="s">
        <v>6169</v>
      </c>
      <c r="L2719" s="62">
        <v>23290700</v>
      </c>
      <c r="M2719" s="102">
        <v>5218126887579</v>
      </c>
      <c r="N2719" s="172" t="s">
        <v>32</v>
      </c>
      <c r="O2719" s="91">
        <v>4199.87</v>
      </c>
      <c r="P2719" s="91"/>
      <c r="Q2719" s="42">
        <f>OfficeForms.Table[[#This Row],[ INFORMEDEPAGO ]]*0.3</f>
        <v>1259.961</v>
      </c>
      <c r="R2719" s="12">
        <f>(IF(O2719&lt;4172.98,0,MIN(O2719*0.3,O2719-4172.98)))-P2719</f>
        <v>26.890000000000327</v>
      </c>
      <c r="S2719" s="78"/>
      <c r="T2719" s="1"/>
      <c r="V2719" s="1"/>
      <c r="X2719" s="101">
        <v>1</v>
      </c>
    </row>
    <row r="2720" spans="1:24" hidden="1">
      <c r="A2720">
        <v>1126</v>
      </c>
      <c r="B2720" s="2">
        <v>46237.723935185197</v>
      </c>
      <c r="C2720" s="2">
        <v>46237.732916666697</v>
      </c>
      <c r="D2720" s="1" t="s">
        <v>24</v>
      </c>
      <c r="E2720" s="1"/>
      <c r="F2720" s="29">
        <v>46237</v>
      </c>
      <c r="G2720" s="29">
        <v>46236</v>
      </c>
      <c r="H2720" s="1" t="s">
        <v>78</v>
      </c>
      <c r="I2720" s="1" t="s">
        <v>6170</v>
      </c>
      <c r="J2720" s="207"/>
      <c r="K2720" s="188" t="s">
        <v>6171</v>
      </c>
      <c r="L2720" s="62">
        <v>23310588</v>
      </c>
      <c r="M2720" s="102">
        <v>5215544105137</v>
      </c>
      <c r="N2720" s="172" t="s">
        <v>37</v>
      </c>
      <c r="O2720" s="91">
        <v>9081.52</v>
      </c>
      <c r="P2720" s="91">
        <v>2624.22</v>
      </c>
      <c r="Q2720" s="42">
        <f>OfficeForms.Table[[#This Row],[ INFORMEDEPAGO ]]*0.3</f>
        <v>2724.4560000000001</v>
      </c>
      <c r="R2720" s="12">
        <f>(IF(O2720&lt;4172.98,0,MIN(O2720*0.3,O2720-4172.98)))-P2720</f>
        <v>100.23600000000033</v>
      </c>
      <c r="S2720" s="78">
        <v>46631</v>
      </c>
      <c r="T2720" s="1"/>
      <c r="V2720" s="1"/>
      <c r="X2720" s="101">
        <v>2</v>
      </c>
    </row>
    <row r="2721" spans="1:24" hidden="1">
      <c r="A2721">
        <v>1127</v>
      </c>
      <c r="B2721" s="2">
        <v>46237.733935185199</v>
      </c>
      <c r="C2721" s="2">
        <v>46237.734375</v>
      </c>
      <c r="D2721" s="1" t="s">
        <v>24</v>
      </c>
      <c r="E2721" s="1"/>
      <c r="F2721" s="29">
        <v>46237</v>
      </c>
      <c r="G2721" s="29">
        <v>46237</v>
      </c>
      <c r="H2721" s="1" t="s">
        <v>1625</v>
      </c>
      <c r="I2721" s="1" t="s">
        <v>6172</v>
      </c>
      <c r="J2721" s="207">
        <v>53887002698</v>
      </c>
      <c r="K2721" s="188" t="s">
        <v>6173</v>
      </c>
      <c r="L2721" s="62">
        <v>2</v>
      </c>
      <c r="M2721" s="102">
        <v>4581295663</v>
      </c>
      <c r="N2721" s="172" t="s">
        <v>106</v>
      </c>
      <c r="O2721" s="91">
        <v>6941.78</v>
      </c>
      <c r="P2721" s="91">
        <v>1926.9</v>
      </c>
      <c r="Q2721" s="42">
        <f>OfficeForms.Table[[#This Row],[ INFORMEDEPAGO ]]*0.3</f>
        <v>2082.5339999999997</v>
      </c>
      <c r="R2721" s="12">
        <f>(IF(O2721&lt;4172.98,0,MIN(O2721*0.3,O2721-4172.98)))-P2721</f>
        <v>155.63399999999956</v>
      </c>
      <c r="S2721" s="78">
        <v>46235</v>
      </c>
      <c r="T2721" s="1"/>
      <c r="V2721" s="1"/>
      <c r="X2721" s="101">
        <v>2</v>
      </c>
    </row>
    <row r="2722" spans="1:24" hidden="1">
      <c r="A2722">
        <v>1128</v>
      </c>
      <c r="B2722" s="2">
        <v>46237.734386574099</v>
      </c>
      <c r="C2722" s="2">
        <v>46237.735104166699</v>
      </c>
      <c r="D2722" s="1" t="s">
        <v>24</v>
      </c>
      <c r="E2722" s="1"/>
      <c r="F2722" s="29">
        <v>46237</v>
      </c>
      <c r="G2722" s="29">
        <v>46237</v>
      </c>
      <c r="H2722" s="1" t="s">
        <v>1625</v>
      </c>
      <c r="I2722" s="1" t="s">
        <v>6174</v>
      </c>
      <c r="J2722" s="207"/>
      <c r="K2722" s="188" t="s">
        <v>6175</v>
      </c>
      <c r="L2722" s="62">
        <v>2</v>
      </c>
      <c r="M2722" s="102">
        <v>3316604720</v>
      </c>
      <c r="N2722" s="172" t="s">
        <v>28</v>
      </c>
      <c r="O2722" s="91">
        <v>32476.77</v>
      </c>
      <c r="P2722" s="91"/>
      <c r="Q2722" s="42">
        <f>OfficeForms.Table[[#This Row],[ INFORMEDEPAGO ]]*0.3</f>
        <v>9743.030999999999</v>
      </c>
      <c r="R2722" s="12">
        <f>(IF(O2722&lt;4172.98,0,MIN(O2722*0.3,O2722-4172.98)))-P2722</f>
        <v>9743.030999999999</v>
      </c>
      <c r="S2722" s="78"/>
      <c r="T2722" s="1"/>
      <c r="V2722" s="1"/>
      <c r="X2722" s="101">
        <v>1</v>
      </c>
    </row>
    <row r="2723" spans="1:24" hidden="1">
      <c r="A2723">
        <v>1129</v>
      </c>
      <c r="B2723" s="2">
        <v>46237.740868055596</v>
      </c>
      <c r="C2723" s="2">
        <v>46237.741817129601</v>
      </c>
      <c r="D2723" s="1" t="s">
        <v>24</v>
      </c>
      <c r="E2723" s="1"/>
      <c r="F2723" s="29">
        <v>46237</v>
      </c>
      <c r="G2723" s="29">
        <v>46236</v>
      </c>
      <c r="H2723" s="1" t="s">
        <v>71</v>
      </c>
      <c r="I2723" s="1" t="s">
        <v>6176</v>
      </c>
      <c r="J2723" s="207" t="s">
        <v>6177</v>
      </c>
      <c r="K2723" s="188"/>
      <c r="L2723" s="62">
        <v>23292318</v>
      </c>
      <c r="M2723" s="102">
        <v>5216624182152</v>
      </c>
      <c r="N2723" s="172" t="s">
        <v>28</v>
      </c>
      <c r="O2723" s="91">
        <v>7920.51</v>
      </c>
      <c r="P2723" s="91">
        <v>591.59</v>
      </c>
      <c r="Q2723" s="42">
        <f>OfficeForms.Table[[#This Row],[ INFORMEDEPAGO ]]*0.3</f>
        <v>2376.1529999999998</v>
      </c>
      <c r="R2723" s="12">
        <f>(IF(O2723&lt;4172.98,0,MIN(O2723*0.3,O2723-4172.98)))-P2723</f>
        <v>1784.5629999999996</v>
      </c>
      <c r="S2723" s="78">
        <v>45870</v>
      </c>
      <c r="T2723" s="1" t="s">
        <v>192</v>
      </c>
      <c r="V2723" s="1"/>
      <c r="X2723" s="101">
        <v>2</v>
      </c>
    </row>
    <row r="2724" spans="1:24" hidden="1">
      <c r="A2724">
        <v>1130</v>
      </c>
      <c r="B2724" s="2">
        <v>46237.742245370398</v>
      </c>
      <c r="C2724" s="2">
        <v>46237.743194444403</v>
      </c>
      <c r="D2724" s="1" t="s">
        <v>24</v>
      </c>
      <c r="E2724" s="1"/>
      <c r="F2724" s="29">
        <v>46237</v>
      </c>
      <c r="G2724" s="29">
        <v>46237</v>
      </c>
      <c r="H2724" s="1" t="s">
        <v>3452</v>
      </c>
      <c r="I2724" s="1" t="s">
        <v>6178</v>
      </c>
      <c r="J2724" s="207"/>
      <c r="K2724" s="188" t="s">
        <v>6179</v>
      </c>
      <c r="L2724" s="62">
        <v>23327726</v>
      </c>
      <c r="M2724" s="102">
        <v>6645334075</v>
      </c>
      <c r="N2724" s="172" t="s">
        <v>37</v>
      </c>
      <c r="O2724" s="91">
        <v>5545.05</v>
      </c>
      <c r="P2724" s="91">
        <v>1265.25</v>
      </c>
      <c r="Q2724" s="42">
        <f>OfficeForms.Table[[#This Row],[ INFORMEDEPAGO ]]*0.3</f>
        <v>1663.5150000000001</v>
      </c>
      <c r="R2724" s="12">
        <f>(IF(O2724&lt;4172.98,0,MIN(O2724*0.3,O2724-4172.98)))-P2724</f>
        <v>106.82000000000062</v>
      </c>
      <c r="S2724" s="78">
        <v>46296</v>
      </c>
      <c r="T2724" s="1"/>
      <c r="V2724" s="1"/>
      <c r="X2724" s="101">
        <v>2</v>
      </c>
    </row>
    <row r="2725" spans="1:24" hidden="1">
      <c r="A2725">
        <v>1131</v>
      </c>
      <c r="B2725" s="2">
        <v>46237.735937500001</v>
      </c>
      <c r="C2725" s="2">
        <v>46237.743194444403</v>
      </c>
      <c r="D2725" s="1" t="s">
        <v>24</v>
      </c>
      <c r="E2725" s="1"/>
      <c r="F2725" s="29">
        <v>46237</v>
      </c>
      <c r="G2725" s="29">
        <v>46237</v>
      </c>
      <c r="H2725" s="1" t="s">
        <v>160</v>
      </c>
      <c r="I2725" s="1" t="s">
        <v>6180</v>
      </c>
      <c r="J2725" s="207">
        <v>31765701573</v>
      </c>
      <c r="K2725" s="188" t="s">
        <v>6181</v>
      </c>
      <c r="L2725" s="62">
        <v>23311222</v>
      </c>
      <c r="M2725" s="102">
        <v>5216181229447</v>
      </c>
      <c r="N2725" s="172" t="s">
        <v>32</v>
      </c>
      <c r="O2725" s="91">
        <v>4035.69</v>
      </c>
      <c r="P2725" s="91"/>
      <c r="Q2725" s="42">
        <f>OfficeForms.Table[[#This Row],[ INFORMEDEPAGO ]]*0.3</f>
        <v>1210.7069999999999</v>
      </c>
      <c r="R2725" s="12">
        <f>(IF(O2725&lt;4172.98,0,MIN(O2725*0.3,O2725-4172.98)))-P2725</f>
        <v>0</v>
      </c>
      <c r="S2725" s="78"/>
      <c r="T2725" s="1"/>
      <c r="V2725" s="1"/>
      <c r="X2725" s="101">
        <v>1</v>
      </c>
    </row>
    <row r="2726" spans="1:24" hidden="1">
      <c r="A2726">
        <v>1132</v>
      </c>
      <c r="B2726" s="2">
        <v>46237.695567129602</v>
      </c>
      <c r="C2726" s="2">
        <v>46237.743703703702</v>
      </c>
      <c r="D2726" s="1" t="s">
        <v>24</v>
      </c>
      <c r="E2726" s="1"/>
      <c r="F2726" s="29">
        <v>46237</v>
      </c>
      <c r="G2726" s="29">
        <v>46237</v>
      </c>
      <c r="H2726" s="1" t="s">
        <v>51</v>
      </c>
      <c r="I2726" s="1" t="s">
        <v>6182</v>
      </c>
      <c r="J2726" s="207" t="s">
        <v>6183</v>
      </c>
      <c r="K2726" s="188" t="s">
        <v>6184</v>
      </c>
      <c r="L2726" s="62">
        <v>23303452</v>
      </c>
      <c r="M2726" s="102">
        <v>5214152787324</v>
      </c>
      <c r="N2726" s="172" t="s">
        <v>130</v>
      </c>
      <c r="O2726" s="91">
        <v>4813.6899999999996</v>
      </c>
      <c r="P2726" s="91">
        <v>565.79999999999995</v>
      </c>
      <c r="Q2726" s="42">
        <f>OfficeForms.Table[[#This Row],[ INFORMEDEPAGO ]]*0.3</f>
        <v>1444.1069999999997</v>
      </c>
      <c r="R2726" s="12">
        <f>(IF(O2726&lt;4172.98,0,MIN(O2726*0.3,O2726-4172.98)))-P2726</f>
        <v>74.910000000000082</v>
      </c>
      <c r="S2726" s="78">
        <v>45870</v>
      </c>
      <c r="T2726" s="1"/>
      <c r="V2726" s="1"/>
      <c r="X2726" s="101">
        <v>2</v>
      </c>
    </row>
    <row r="2727" spans="1:24" hidden="1">
      <c r="A2727">
        <v>1133</v>
      </c>
      <c r="B2727" s="2">
        <v>46237.737812500003</v>
      </c>
      <c r="C2727" s="2">
        <v>46237.744351851899</v>
      </c>
      <c r="D2727" s="1" t="s">
        <v>24</v>
      </c>
      <c r="E2727" s="1"/>
      <c r="F2727" s="29">
        <v>46237</v>
      </c>
      <c r="G2727" s="29">
        <v>46236</v>
      </c>
      <c r="H2727" s="1" t="s">
        <v>78</v>
      </c>
      <c r="I2727" s="1" t="s">
        <v>6185</v>
      </c>
      <c r="J2727" s="207">
        <v>4180580738</v>
      </c>
      <c r="K2727" s="188" t="s">
        <v>6186</v>
      </c>
      <c r="L2727" s="62">
        <v>23301508</v>
      </c>
      <c r="M2727" s="102">
        <v>5214442040700</v>
      </c>
      <c r="N2727" s="172" t="s">
        <v>263</v>
      </c>
      <c r="O2727" s="91">
        <v>33509.56</v>
      </c>
      <c r="P2727" s="91">
        <v>10038.200000000001</v>
      </c>
      <c r="Q2727" s="42">
        <f>OfficeForms.Table[[#This Row],[ INFORMEDEPAGO ]]*0.3</f>
        <v>10052.867999999999</v>
      </c>
      <c r="R2727" s="12">
        <f>(IF(O2727&lt;4172.98,0,MIN(O2727*0.3,O2727-4172.98)))-P2727</f>
        <v>14.667999999997846</v>
      </c>
      <c r="S2727" s="78">
        <v>46054</v>
      </c>
      <c r="T2727" s="1" t="s">
        <v>192</v>
      </c>
      <c r="V2727" s="1"/>
      <c r="X2727" s="101">
        <v>2</v>
      </c>
    </row>
    <row r="2728" spans="1:24" hidden="1">
      <c r="A2728">
        <v>1134</v>
      </c>
      <c r="B2728" s="2">
        <v>46237.752025463</v>
      </c>
      <c r="C2728" s="2">
        <v>46237.754606481503</v>
      </c>
      <c r="D2728" s="1" t="s">
        <v>24</v>
      </c>
      <c r="E2728" s="1"/>
      <c r="F2728" s="29">
        <v>46237</v>
      </c>
      <c r="G2728" s="29">
        <v>46237</v>
      </c>
      <c r="H2728" s="1" t="s">
        <v>110</v>
      </c>
      <c r="I2728" s="1" t="s">
        <v>6187</v>
      </c>
      <c r="J2728" s="207">
        <v>23906625902</v>
      </c>
      <c r="K2728" s="188"/>
      <c r="L2728" s="62">
        <v>23333592</v>
      </c>
      <c r="M2728" s="102">
        <v>5216644303146</v>
      </c>
      <c r="N2728" s="172" t="s">
        <v>98</v>
      </c>
      <c r="O2728" s="91"/>
      <c r="P2728" s="91"/>
      <c r="Q2728" s="42">
        <f>OfficeForms.Table[[#This Row],[ INFORMEDEPAGO ]]*0.3</f>
        <v>0</v>
      </c>
      <c r="R2728" s="12">
        <f>(IF(O2728&lt;4172.98,0,MIN(O2728*0.3,O2728-4172.98)))-P2728</f>
        <v>0</v>
      </c>
      <c r="S2728" s="78"/>
      <c r="T2728" s="1"/>
      <c r="V2728" s="1"/>
      <c r="X2728" s="101">
        <v>0</v>
      </c>
    </row>
    <row r="2729" spans="1:24" hidden="1">
      <c r="A2729">
        <v>1135</v>
      </c>
      <c r="B2729" s="2">
        <v>46237.767037037003</v>
      </c>
      <c r="C2729" s="2">
        <v>46237.767546296302</v>
      </c>
      <c r="D2729" s="1" t="s">
        <v>24</v>
      </c>
      <c r="E2729" s="1"/>
      <c r="F2729" s="29">
        <v>46237</v>
      </c>
      <c r="G2729" s="29">
        <v>46237</v>
      </c>
      <c r="H2729" s="1" t="s">
        <v>107</v>
      </c>
      <c r="I2729" s="1"/>
      <c r="J2729" s="207"/>
      <c r="K2729" s="188" t="s">
        <v>6188</v>
      </c>
      <c r="L2729" s="62">
        <v>23320070</v>
      </c>
      <c r="M2729" s="102">
        <v>5215561044517</v>
      </c>
      <c r="N2729" s="172" t="s">
        <v>32</v>
      </c>
      <c r="O2729" s="91">
        <v>3275.9</v>
      </c>
      <c r="P2729" s="91"/>
      <c r="Q2729" s="42">
        <f>OfficeForms.Table[[#This Row],[ INFORMEDEPAGO ]]*0.3</f>
        <v>982.77</v>
      </c>
      <c r="R2729" s="12">
        <f>(IF(O2729&lt;4172.98,0,MIN(O2729*0.3,O2729-4172.98)))-P2729</f>
        <v>0</v>
      </c>
      <c r="S2729" s="78"/>
      <c r="T2729" s="1"/>
      <c r="V2729" s="1"/>
      <c r="X2729" s="101">
        <v>1</v>
      </c>
    </row>
    <row r="2730" spans="1:24" hidden="1">
      <c r="A2730">
        <v>1136</v>
      </c>
      <c r="B2730" s="2">
        <v>46237.769375000003</v>
      </c>
      <c r="C2730" s="2">
        <v>46237.770185185203</v>
      </c>
      <c r="D2730" s="1" t="s">
        <v>24</v>
      </c>
      <c r="E2730" s="1"/>
      <c r="F2730" s="29">
        <v>46237</v>
      </c>
      <c r="G2730" s="29">
        <v>46237</v>
      </c>
      <c r="H2730" s="1" t="s">
        <v>110</v>
      </c>
      <c r="I2730" s="1" t="s">
        <v>6189</v>
      </c>
      <c r="J2730" s="207">
        <v>75673013838</v>
      </c>
      <c r="K2730" s="188"/>
      <c r="L2730" s="62">
        <v>23322104</v>
      </c>
      <c r="M2730" s="102">
        <v>5212881361917</v>
      </c>
      <c r="N2730" s="172" t="s">
        <v>98</v>
      </c>
      <c r="O2730" s="91"/>
      <c r="P2730" s="91"/>
      <c r="Q2730" s="42">
        <f>OfficeForms.Table[[#This Row],[ INFORMEDEPAGO ]]*0.3</f>
        <v>0</v>
      </c>
      <c r="R2730" s="12">
        <f>(IF(O2730&lt;4172.98,0,MIN(O2730*0.3,O2730-4172.98)))-P2730</f>
        <v>0</v>
      </c>
      <c r="S2730" s="78"/>
      <c r="T2730" s="1"/>
      <c r="V2730" s="1"/>
      <c r="X2730" s="101">
        <v>0</v>
      </c>
    </row>
    <row r="2731" spans="1:24" hidden="1">
      <c r="A2731">
        <v>1137</v>
      </c>
      <c r="B2731" s="2">
        <v>46237.773819444403</v>
      </c>
      <c r="C2731" s="2">
        <v>46237.774398148104</v>
      </c>
      <c r="D2731" s="1" t="s">
        <v>24</v>
      </c>
      <c r="E2731" s="1"/>
      <c r="F2731" s="29">
        <v>46237</v>
      </c>
      <c r="G2731" s="29">
        <v>46237</v>
      </c>
      <c r="H2731" s="1" t="s">
        <v>26</v>
      </c>
      <c r="I2731" s="1" t="s">
        <v>6190</v>
      </c>
      <c r="J2731" s="207"/>
      <c r="K2731" s="188" t="s">
        <v>6191</v>
      </c>
      <c r="L2731" s="62">
        <v>23333846</v>
      </c>
      <c r="M2731" s="102">
        <v>5219622053030</v>
      </c>
      <c r="N2731" s="172" t="s">
        <v>37</v>
      </c>
      <c r="O2731" s="91">
        <v>7116.74</v>
      </c>
      <c r="P2731" s="91">
        <v>2059</v>
      </c>
      <c r="Q2731" s="42">
        <f>OfficeForms.Table[[#This Row],[ INFORMEDEPAGO ]]*0.3</f>
        <v>2135.0219999999999</v>
      </c>
      <c r="R2731" s="12">
        <f>(IF(O2731&lt;4172.98,0,MIN(O2731*0.3,O2731-4172.98)))-P2731</f>
        <v>76.021999999999935</v>
      </c>
      <c r="S2731" s="78">
        <v>46508</v>
      </c>
      <c r="T2731" s="1"/>
      <c r="V2731" s="1"/>
      <c r="X2731" s="101">
        <v>2</v>
      </c>
    </row>
    <row r="2732" spans="1:24" hidden="1">
      <c r="A2732">
        <v>1138</v>
      </c>
      <c r="B2732" s="2">
        <v>46237.7730324074</v>
      </c>
      <c r="C2732" s="2">
        <v>46237.776446759301</v>
      </c>
      <c r="D2732" s="1" t="s">
        <v>24</v>
      </c>
      <c r="E2732" s="1"/>
      <c r="F2732" s="29">
        <v>46237</v>
      </c>
      <c r="G2732" s="29">
        <v>46237</v>
      </c>
      <c r="H2732" s="1" t="s">
        <v>110</v>
      </c>
      <c r="I2732" s="1" t="s">
        <v>4912</v>
      </c>
      <c r="J2732" s="207">
        <v>52816100847</v>
      </c>
      <c r="K2732" s="188" t="s">
        <v>6192</v>
      </c>
      <c r="L2732" s="62">
        <v>23334168</v>
      </c>
      <c r="M2732" s="102">
        <v>5216462900800</v>
      </c>
      <c r="N2732" s="172" t="s">
        <v>106</v>
      </c>
      <c r="O2732" s="91">
        <v>5642.22</v>
      </c>
      <c r="P2732" s="91">
        <v>1354.16</v>
      </c>
      <c r="Q2732" s="42">
        <f>OfficeForms.Table[[#This Row],[ INFORMEDEPAGO ]]*0.3</f>
        <v>1692.6659999999999</v>
      </c>
      <c r="R2732" s="12">
        <f>(IF(O2732&lt;4172.98,0,MIN(O2732*0.3,O2732-4172.98)))-P2732</f>
        <v>115.08000000000061</v>
      </c>
      <c r="S2732" s="78">
        <v>46174</v>
      </c>
      <c r="T2732" s="1"/>
      <c r="V2732" s="1"/>
      <c r="X2732" s="101">
        <v>2</v>
      </c>
    </row>
    <row r="2733" spans="1:24" hidden="1">
      <c r="A2733">
        <v>1139</v>
      </c>
      <c r="B2733" s="2">
        <v>46237.795601851903</v>
      </c>
      <c r="C2733" s="2">
        <v>46237.7961111111</v>
      </c>
      <c r="D2733" s="1" t="s">
        <v>24</v>
      </c>
      <c r="E2733" s="1"/>
      <c r="F2733" s="29">
        <v>46237</v>
      </c>
      <c r="G2733" s="29">
        <v>46237</v>
      </c>
      <c r="H2733" s="1" t="s">
        <v>110</v>
      </c>
      <c r="I2733" s="1" t="s">
        <v>6193</v>
      </c>
      <c r="J2733" s="207"/>
      <c r="K2733" s="188" t="s">
        <v>6194</v>
      </c>
      <c r="L2733" s="62">
        <v>23333270</v>
      </c>
      <c r="M2733" s="102">
        <v>5217716848282</v>
      </c>
      <c r="N2733" s="172" t="s">
        <v>32</v>
      </c>
      <c r="O2733" s="91">
        <v>3855.42</v>
      </c>
      <c r="P2733" s="91"/>
      <c r="Q2733" s="42">
        <f>OfficeForms.Table[[#This Row],[ INFORMEDEPAGO ]]*0.3</f>
        <v>1156.626</v>
      </c>
      <c r="R2733" s="12">
        <f>(IF(O2733&lt;4172.98,0,MIN(O2733*0.3,O2733-4172.98)))-P2733</f>
        <v>0</v>
      </c>
      <c r="S2733" s="78"/>
      <c r="T2733" s="1"/>
      <c r="V2733" s="1"/>
      <c r="X2733" s="101">
        <v>1</v>
      </c>
    </row>
    <row r="2734" spans="1:24" hidden="1">
      <c r="A2734">
        <v>1140</v>
      </c>
      <c r="B2734" s="2">
        <v>46237.8433449074</v>
      </c>
      <c r="C2734" s="2">
        <v>46237.847118055601</v>
      </c>
      <c r="D2734" s="1" t="s">
        <v>24</v>
      </c>
      <c r="E2734" s="1"/>
      <c r="F2734" s="29">
        <v>46237</v>
      </c>
      <c r="G2734" s="29">
        <v>46237</v>
      </c>
      <c r="H2734" s="1" t="s">
        <v>5605</v>
      </c>
      <c r="I2734" s="1" t="s">
        <v>6195</v>
      </c>
      <c r="J2734" s="207"/>
      <c r="K2734" s="188" t="s">
        <v>6196</v>
      </c>
      <c r="L2734" s="62">
        <v>23317846</v>
      </c>
      <c r="M2734" s="102">
        <v>6182933057</v>
      </c>
      <c r="N2734" s="172" t="s">
        <v>47</v>
      </c>
      <c r="O2734" s="91">
        <v>10171.24</v>
      </c>
      <c r="P2734" s="91">
        <v>2718.48</v>
      </c>
      <c r="Q2734" s="42">
        <f>OfficeForms.Table[[#This Row],[ INFORMEDEPAGO ]]*0.3</f>
        <v>3051.3719999999998</v>
      </c>
      <c r="R2734" s="12">
        <f>(IF(O2734&lt;4172.98,0,MIN(O2734*0.3,O2734-4172.98)))-P2734</f>
        <v>332.89199999999983</v>
      </c>
      <c r="S2734" s="78">
        <v>46692</v>
      </c>
      <c r="T2734" s="1"/>
      <c r="V2734" s="1"/>
      <c r="X2734" s="101">
        <v>2</v>
      </c>
    </row>
    <row r="2735" spans="1:24" hidden="1">
      <c r="A2735">
        <v>1141</v>
      </c>
      <c r="B2735" s="2">
        <v>46238.381400462997</v>
      </c>
      <c r="C2735" s="2">
        <v>46238.384236111102</v>
      </c>
      <c r="D2735" s="1" t="s">
        <v>24</v>
      </c>
      <c r="E2735" s="1"/>
      <c r="F2735" s="29">
        <v>46238</v>
      </c>
      <c r="G2735" s="29">
        <v>46238</v>
      </c>
      <c r="H2735" s="1" t="s">
        <v>1629</v>
      </c>
      <c r="I2735" s="1" t="s">
        <v>6197</v>
      </c>
      <c r="J2735" s="207">
        <v>12084900716</v>
      </c>
      <c r="K2735" s="188"/>
      <c r="L2735" s="62">
        <v>2</v>
      </c>
      <c r="M2735" s="102">
        <v>4771593755</v>
      </c>
      <c r="N2735" s="172" t="s">
        <v>74</v>
      </c>
      <c r="O2735" s="91"/>
      <c r="P2735" s="91"/>
      <c r="Q2735" s="42">
        <f>OfficeForms.Table[[#This Row],[ INFORMEDEPAGO ]]*0.3</f>
        <v>0</v>
      </c>
      <c r="R2735" s="12">
        <f>(IF(O2735&lt;4172.98,0,MIN(O2735*0.3,O2735-4172.98)))-P2735</f>
        <v>0</v>
      </c>
      <c r="S2735" s="78"/>
      <c r="T2735" s="1"/>
      <c r="V2735" s="1"/>
      <c r="X2735" s="101">
        <v>1</v>
      </c>
    </row>
    <row r="2736" spans="1:24" hidden="1">
      <c r="A2736">
        <v>1142</v>
      </c>
      <c r="B2736" s="2">
        <v>46238.385775463001</v>
      </c>
      <c r="C2736" s="2">
        <v>46238.386620370402</v>
      </c>
      <c r="D2736" s="1" t="s">
        <v>24</v>
      </c>
      <c r="E2736" s="1"/>
      <c r="F2736" s="29">
        <v>46238</v>
      </c>
      <c r="G2736" s="29">
        <v>46238</v>
      </c>
      <c r="H2736" s="1" t="s">
        <v>1629</v>
      </c>
      <c r="I2736" s="1" t="s">
        <v>6198</v>
      </c>
      <c r="J2736" s="207">
        <v>41705220957</v>
      </c>
      <c r="K2736" s="188" t="s">
        <v>6199</v>
      </c>
      <c r="L2736" s="62">
        <v>2</v>
      </c>
      <c r="M2736" s="102">
        <v>8443185202</v>
      </c>
      <c r="N2736" s="172" t="s">
        <v>37</v>
      </c>
      <c r="O2736" s="91">
        <v>8933.91</v>
      </c>
      <c r="P2736" s="91">
        <v>2577.83</v>
      </c>
      <c r="Q2736" s="42">
        <f>OfficeForms.Table[[#This Row],[ INFORMEDEPAGO ]]*0.3</f>
        <v>2680.1729999999998</v>
      </c>
      <c r="R2736" s="12">
        <f>(IF(O2736&lt;4172.98,0,MIN(O2736*0.3,O2736-4172.98)))-P2736</f>
        <v>102.34299999999985</v>
      </c>
      <c r="S2736" s="78">
        <v>46966</v>
      </c>
      <c r="T2736" s="1" t="s">
        <v>192</v>
      </c>
      <c r="V2736" s="1"/>
      <c r="X2736" s="101">
        <v>2</v>
      </c>
    </row>
    <row r="2737" spans="1:24" hidden="1">
      <c r="A2737">
        <v>1143</v>
      </c>
      <c r="B2737" s="2">
        <v>46238.3899074074</v>
      </c>
      <c r="C2737" s="2">
        <v>46238.395555555602</v>
      </c>
      <c r="D2737" s="1" t="s">
        <v>24</v>
      </c>
      <c r="E2737" s="1"/>
      <c r="F2737" s="29">
        <v>46238</v>
      </c>
      <c r="G2737" s="29">
        <v>46238</v>
      </c>
      <c r="H2737" s="1" t="s">
        <v>51</v>
      </c>
      <c r="I2737" s="1" t="s">
        <v>6200</v>
      </c>
      <c r="J2737" s="207">
        <v>16725401741</v>
      </c>
      <c r="K2737" s="188" t="s">
        <v>6201</v>
      </c>
      <c r="L2737" s="62">
        <v>23315288</v>
      </c>
      <c r="M2737" s="102">
        <v>5217222335238</v>
      </c>
      <c r="N2737" s="172" t="s">
        <v>47</v>
      </c>
      <c r="O2737" s="91">
        <v>4636.43</v>
      </c>
      <c r="P2737" s="91"/>
      <c r="Q2737" s="42">
        <f>OfficeForms.Table[[#This Row],[ INFORMEDEPAGO ]]*0.3</f>
        <v>1390.9290000000001</v>
      </c>
      <c r="R2737" s="12">
        <f>(IF(O2737&lt;4172.98,0,MIN(O2737*0.3,O2737-4172.98)))-P2737</f>
        <v>463.45000000000073</v>
      </c>
      <c r="S2737" s="78"/>
      <c r="T2737" s="1"/>
      <c r="V2737" s="1"/>
      <c r="X2737" s="101">
        <v>1</v>
      </c>
    </row>
    <row r="2738" spans="1:24" hidden="1">
      <c r="A2738">
        <v>1144</v>
      </c>
      <c r="B2738" s="2">
        <v>46238.398506944402</v>
      </c>
      <c r="C2738" s="2">
        <v>46238.399166666699</v>
      </c>
      <c r="D2738" s="1" t="s">
        <v>24</v>
      </c>
      <c r="E2738" s="1"/>
      <c r="F2738" s="29">
        <v>46238</v>
      </c>
      <c r="G2738" s="29">
        <v>46237</v>
      </c>
      <c r="H2738" s="1" t="s">
        <v>269</v>
      </c>
      <c r="I2738" s="1" t="s">
        <v>6202</v>
      </c>
      <c r="J2738" s="207" t="s">
        <v>6203</v>
      </c>
      <c r="K2738" s="188"/>
      <c r="L2738" s="62">
        <v>23339494</v>
      </c>
      <c r="M2738" s="102">
        <v>5213221828370</v>
      </c>
      <c r="N2738" s="172" t="s">
        <v>37</v>
      </c>
      <c r="O2738" s="91">
        <v>7145.88</v>
      </c>
      <c r="P2738" s="91">
        <v>2065.77</v>
      </c>
      <c r="Q2738" s="42">
        <f>OfficeForms.Table[[#This Row],[ INFORMEDEPAGO ]]*0.3</f>
        <v>2143.7640000000001</v>
      </c>
      <c r="R2738" s="12">
        <f>(IF(O2738&lt;4172.98,0,MIN(O2738*0.3,O2738-4172.98)))-P2738</f>
        <v>77.994000000000142</v>
      </c>
      <c r="S2738" s="78">
        <v>46569</v>
      </c>
      <c r="T2738" s="1"/>
      <c r="V2738" s="1"/>
      <c r="X2738" s="101">
        <v>2</v>
      </c>
    </row>
    <row r="2739" spans="1:24" hidden="1">
      <c r="A2739">
        <v>1145</v>
      </c>
      <c r="B2739" s="2">
        <v>46238.401550925897</v>
      </c>
      <c r="C2739" s="2">
        <v>46238.402164351799</v>
      </c>
      <c r="D2739" s="1" t="s">
        <v>24</v>
      </c>
      <c r="E2739" s="1"/>
      <c r="F2739" s="29">
        <v>46238</v>
      </c>
      <c r="G2739" s="29">
        <v>46237</v>
      </c>
      <c r="H2739" s="1" t="s">
        <v>269</v>
      </c>
      <c r="I2739" s="1" t="s">
        <v>6204</v>
      </c>
      <c r="J2739" s="207" t="s">
        <v>6205</v>
      </c>
      <c r="K2739" s="188" t="s">
        <v>6206</v>
      </c>
      <c r="L2739" s="62">
        <v>23339898</v>
      </c>
      <c r="M2739" s="102">
        <v>5219821025747</v>
      </c>
      <c r="N2739" s="172" t="s">
        <v>28</v>
      </c>
      <c r="O2739" s="91">
        <v>15823</v>
      </c>
      <c r="P2739" s="91"/>
      <c r="Q2739" s="42">
        <f>OfficeForms.Table[[#This Row],[ INFORMEDEPAGO ]]*0.3</f>
        <v>4746.8999999999996</v>
      </c>
      <c r="R2739" s="12">
        <f>(IF(O2739&lt;4172.98,0,MIN(O2739*0.3,O2739-4172.98)))-P2739</f>
        <v>4746.8999999999996</v>
      </c>
      <c r="S2739" s="78"/>
      <c r="T2739" s="1"/>
      <c r="V2739" s="1"/>
      <c r="X2739" s="101">
        <v>1</v>
      </c>
    </row>
    <row r="2740" spans="1:24" hidden="1">
      <c r="A2740">
        <v>1146</v>
      </c>
      <c r="B2740" s="2">
        <v>46238.404293981497</v>
      </c>
      <c r="C2740" s="2">
        <v>46238.4049884259</v>
      </c>
      <c r="D2740" s="1" t="s">
        <v>24</v>
      </c>
      <c r="E2740" s="1"/>
      <c r="F2740" s="29">
        <v>46238</v>
      </c>
      <c r="G2740" s="29">
        <v>46235</v>
      </c>
      <c r="H2740" s="1" t="s">
        <v>3007</v>
      </c>
      <c r="I2740" s="1" t="s">
        <v>6207</v>
      </c>
      <c r="J2740" s="207">
        <v>10825700387</v>
      </c>
      <c r="K2740" s="188" t="s">
        <v>6208</v>
      </c>
      <c r="L2740" s="62">
        <v>23287182</v>
      </c>
      <c r="M2740" s="102">
        <v>5519354012</v>
      </c>
      <c r="N2740" s="172" t="s">
        <v>47</v>
      </c>
      <c r="O2740" s="91">
        <v>4813.6899999999996</v>
      </c>
      <c r="P2740" s="91"/>
      <c r="Q2740" s="42">
        <f>OfficeForms.Table[[#This Row],[ INFORMEDEPAGO ]]*0.3</f>
        <v>1444.1069999999997</v>
      </c>
      <c r="R2740" s="12">
        <f>(IF(O2740&lt;4172.98,0,MIN(O2740*0.3,O2740-4172.98)))-P2740</f>
        <v>640.71</v>
      </c>
      <c r="S2740" s="78"/>
      <c r="T2740" s="1"/>
      <c r="V2740" s="1"/>
      <c r="X2740" s="101">
        <v>1</v>
      </c>
    </row>
    <row r="2741" spans="1:24" hidden="1">
      <c r="A2741">
        <v>1147</v>
      </c>
      <c r="B2741" s="2">
        <v>46238.395578703698</v>
      </c>
      <c r="C2741" s="2">
        <v>46238.4086805556</v>
      </c>
      <c r="D2741" s="1" t="s">
        <v>24</v>
      </c>
      <c r="E2741" s="1"/>
      <c r="F2741" s="29">
        <v>46238</v>
      </c>
      <c r="G2741" s="29">
        <v>46238</v>
      </c>
      <c r="H2741" s="1" t="s">
        <v>51</v>
      </c>
      <c r="I2741" s="1" t="s">
        <v>6209</v>
      </c>
      <c r="J2741" s="207">
        <v>89866526620</v>
      </c>
      <c r="K2741" s="188" t="s">
        <v>6210</v>
      </c>
      <c r="L2741" s="62">
        <v>23351498</v>
      </c>
      <c r="M2741" s="102">
        <v>5215621717419</v>
      </c>
      <c r="N2741" s="172" t="s">
        <v>37</v>
      </c>
      <c r="O2741" s="91">
        <v>9760.32</v>
      </c>
      <c r="P2741" s="91">
        <v>2799.48</v>
      </c>
      <c r="Q2741" s="42">
        <f>OfficeForms.Table[[#This Row],[ INFORMEDEPAGO ]]*0.3</f>
        <v>2928.096</v>
      </c>
      <c r="R2741" s="12">
        <f>(IF(O2741&lt;4172.98,0,MIN(O2741*0.3,O2741-4172.98)))-P2741</f>
        <v>128.61599999999999</v>
      </c>
      <c r="S2741" s="78">
        <v>46600</v>
      </c>
      <c r="T2741" s="1"/>
      <c r="V2741" s="1"/>
      <c r="X2741" s="101">
        <v>2</v>
      </c>
    </row>
    <row r="2742" spans="1:24" hidden="1">
      <c r="A2742">
        <v>1148</v>
      </c>
      <c r="B2742" s="2">
        <v>46238.409027777801</v>
      </c>
      <c r="C2742" s="2">
        <v>46238.409537036998</v>
      </c>
      <c r="D2742" s="1" t="s">
        <v>24</v>
      </c>
      <c r="E2742" s="1"/>
      <c r="F2742" s="29">
        <v>46238</v>
      </c>
      <c r="G2742" s="29">
        <v>46238</v>
      </c>
      <c r="H2742" s="1" t="s">
        <v>269</v>
      </c>
      <c r="I2742" s="1" t="s">
        <v>6211</v>
      </c>
      <c r="J2742" s="207" t="s">
        <v>6212</v>
      </c>
      <c r="K2742" s="188" t="s">
        <v>6213</v>
      </c>
      <c r="L2742" s="62">
        <v>23350712</v>
      </c>
      <c r="M2742" s="102">
        <v>5219984989644</v>
      </c>
      <c r="N2742" s="172" t="s">
        <v>263</v>
      </c>
      <c r="O2742" s="91">
        <v>11256.72</v>
      </c>
      <c r="P2742" s="91">
        <v>2986.11</v>
      </c>
      <c r="Q2742" s="42">
        <f>OfficeForms.Table[[#This Row],[ INFORMEDEPAGO ]]*0.3</f>
        <v>3377.0159999999996</v>
      </c>
      <c r="R2742" s="12">
        <f>(IF(O2742&lt;4172.98,0,MIN(O2742*0.3,O2742-4172.98)))-P2742</f>
        <v>390.90599999999949</v>
      </c>
      <c r="S2742" s="78">
        <v>45931</v>
      </c>
      <c r="T2742" s="1"/>
      <c r="V2742" s="1"/>
      <c r="X2742" s="101">
        <v>2</v>
      </c>
    </row>
    <row r="2743" spans="1:24" hidden="1">
      <c r="A2743">
        <v>1149</v>
      </c>
      <c r="B2743" s="2">
        <v>46238.408692129597</v>
      </c>
      <c r="C2743" s="2">
        <v>46238.413541666698</v>
      </c>
      <c r="D2743" s="1" t="s">
        <v>24</v>
      </c>
      <c r="E2743" s="1"/>
      <c r="F2743" s="29">
        <v>46238</v>
      </c>
      <c r="G2743" s="29">
        <v>46238</v>
      </c>
      <c r="H2743" s="1" t="s">
        <v>51</v>
      </c>
      <c r="I2743" s="1" t="s">
        <v>6214</v>
      </c>
      <c r="J2743" s="207" t="s">
        <v>6215</v>
      </c>
      <c r="K2743" s="188" t="s">
        <v>6216</v>
      </c>
      <c r="L2743" s="62">
        <v>23341968</v>
      </c>
      <c r="M2743" s="102">
        <v>5215516570258</v>
      </c>
      <c r="N2743" s="172" t="s">
        <v>37</v>
      </c>
      <c r="O2743" s="91">
        <v>10815.23</v>
      </c>
      <c r="P2743" s="91">
        <v>3126.91</v>
      </c>
      <c r="Q2743" s="42">
        <f>OfficeForms.Table[[#This Row],[ INFORMEDEPAGO ]]*0.3</f>
        <v>3244.569</v>
      </c>
      <c r="R2743" s="12">
        <f>(IF(O2743&lt;4172.98,0,MIN(O2743*0.3,O2743-4172.98)))-P2743</f>
        <v>117.65900000000011</v>
      </c>
      <c r="S2743" s="78">
        <v>46600</v>
      </c>
      <c r="T2743" s="1"/>
      <c r="V2743" s="1"/>
      <c r="X2743" s="101">
        <v>2</v>
      </c>
    </row>
    <row r="2744" spans="1:24" hidden="1">
      <c r="A2744">
        <v>1150</v>
      </c>
      <c r="B2744" s="2">
        <v>46238.416597222204</v>
      </c>
      <c r="C2744" s="2">
        <v>46238.417037036997</v>
      </c>
      <c r="D2744" s="1" t="s">
        <v>24</v>
      </c>
      <c r="E2744" s="1"/>
      <c r="F2744" s="29">
        <v>46238</v>
      </c>
      <c r="G2744" s="29">
        <v>46238</v>
      </c>
      <c r="H2744" s="1" t="s">
        <v>269</v>
      </c>
      <c r="I2744" s="1" t="s">
        <v>6217</v>
      </c>
      <c r="J2744" s="207" t="s">
        <v>6218</v>
      </c>
      <c r="K2744" s="188" t="s">
        <v>6219</v>
      </c>
      <c r="L2744" s="62">
        <v>23340464</v>
      </c>
      <c r="M2744" s="102">
        <v>5212434350415</v>
      </c>
      <c r="N2744" s="172" t="s">
        <v>28</v>
      </c>
      <c r="O2744" s="91">
        <v>9081.52</v>
      </c>
      <c r="P2744" s="91"/>
      <c r="Q2744" s="42">
        <f>OfficeForms.Table[[#This Row],[ INFORMEDEPAGO ]]*0.3</f>
        <v>2724.4560000000001</v>
      </c>
      <c r="R2744" s="12">
        <f>(IF(O2744&lt;4172.98,0,MIN(O2744*0.3,O2744-4172.98)))-P2744</f>
        <v>2724.4560000000001</v>
      </c>
      <c r="S2744" s="78"/>
      <c r="T2744" s="1"/>
      <c r="V2744" s="1"/>
      <c r="X2744" s="101">
        <v>1</v>
      </c>
    </row>
    <row r="2745" spans="1:24" hidden="1">
      <c r="A2745">
        <v>1151</v>
      </c>
      <c r="B2745" s="2">
        <v>46238.4210648148</v>
      </c>
      <c r="C2745" s="2">
        <v>46238.4219675926</v>
      </c>
      <c r="D2745" s="1" t="s">
        <v>24</v>
      </c>
      <c r="E2745" s="1"/>
      <c r="F2745" s="29">
        <v>46238</v>
      </c>
      <c r="G2745" s="29">
        <v>46238</v>
      </c>
      <c r="H2745" s="1" t="s">
        <v>269</v>
      </c>
      <c r="I2745" s="1" t="s">
        <v>6220</v>
      </c>
      <c r="J2745" s="207" t="s">
        <v>6221</v>
      </c>
      <c r="K2745" s="188" t="s">
        <v>6222</v>
      </c>
      <c r="L2745" s="62">
        <v>23345646</v>
      </c>
      <c r="M2745" s="102">
        <v>5214423431363</v>
      </c>
      <c r="N2745" s="172" t="s">
        <v>28</v>
      </c>
      <c r="O2745" s="91">
        <v>39873.57</v>
      </c>
      <c r="P2745" s="91"/>
      <c r="Q2745" s="42">
        <f>OfficeForms.Table[[#This Row],[ INFORMEDEPAGO ]]*0.3</f>
        <v>11962.071</v>
      </c>
      <c r="R2745" s="12">
        <f>(IF(O2745&lt;4172.98,0,MIN(O2745*0.3,O2745-4172.98)))-P2745</f>
        <v>11962.071</v>
      </c>
      <c r="S2745" s="78"/>
      <c r="T2745" s="1"/>
      <c r="V2745" s="1"/>
      <c r="X2745" s="101">
        <v>1</v>
      </c>
    </row>
    <row r="2746" spans="1:24" hidden="1">
      <c r="A2746">
        <v>1152</v>
      </c>
      <c r="B2746" s="2">
        <v>46238.428645833301</v>
      </c>
      <c r="C2746" s="2">
        <v>46238.431550925903</v>
      </c>
      <c r="D2746" s="1" t="s">
        <v>24</v>
      </c>
      <c r="E2746" s="1"/>
      <c r="F2746" s="29">
        <v>46238</v>
      </c>
      <c r="G2746" s="29">
        <v>46238</v>
      </c>
      <c r="H2746" s="1" t="s">
        <v>1629</v>
      </c>
      <c r="I2746" s="1" t="s">
        <v>6223</v>
      </c>
      <c r="J2746" s="207" t="s">
        <v>6224</v>
      </c>
      <c r="K2746" s="188" t="s">
        <v>6225</v>
      </c>
      <c r="L2746" s="62">
        <v>2</v>
      </c>
      <c r="M2746" s="102" t="s">
        <v>6226</v>
      </c>
      <c r="N2746" s="172" t="s">
        <v>37</v>
      </c>
      <c r="O2746" s="91">
        <v>10024.790000000001</v>
      </c>
      <c r="P2746" s="91">
        <v>2896.27</v>
      </c>
      <c r="Q2746" s="42">
        <f>OfficeForms.Table[[#This Row],[ INFORMEDEPAGO ]]*0.3</f>
        <v>3007.4370000000004</v>
      </c>
      <c r="R2746" s="12">
        <f>(IF(O2746&lt;4172.98,0,MIN(O2746*0.3,O2746-4172.98)))-P2746</f>
        <v>111.16700000000037</v>
      </c>
      <c r="S2746" s="78">
        <v>46419</v>
      </c>
      <c r="T2746" s="1"/>
      <c r="V2746" s="1"/>
      <c r="X2746" s="101">
        <v>2</v>
      </c>
    </row>
    <row r="2747" spans="1:24" hidden="1">
      <c r="A2747">
        <v>1153</v>
      </c>
      <c r="B2747" s="2">
        <v>46238.434618055602</v>
      </c>
      <c r="C2747" s="2">
        <v>46238.435451388897</v>
      </c>
      <c r="D2747" s="1" t="s">
        <v>24</v>
      </c>
      <c r="E2747" s="1"/>
      <c r="F2747" s="29">
        <v>46238</v>
      </c>
      <c r="G2747" s="29">
        <v>46238</v>
      </c>
      <c r="H2747" s="1" t="s">
        <v>269</v>
      </c>
      <c r="I2747" s="1" t="s">
        <v>6227</v>
      </c>
      <c r="J2747" s="207" t="s">
        <v>6228</v>
      </c>
      <c r="K2747" s="188"/>
      <c r="L2747" s="62">
        <v>23348688</v>
      </c>
      <c r="M2747" s="102">
        <v>5217761127765</v>
      </c>
      <c r="N2747" s="172" t="s">
        <v>37</v>
      </c>
      <c r="O2747" s="91">
        <v>14182.1</v>
      </c>
      <c r="P2747" s="91">
        <v>4099.96</v>
      </c>
      <c r="Q2747" s="42">
        <f>OfficeForms.Table[[#This Row],[ INFORMEDEPAGO ]]*0.3</f>
        <v>4254.63</v>
      </c>
      <c r="R2747" s="12">
        <f>(IF(O2747&lt;4172.98,0,MIN(O2747*0.3,O2747-4172.98)))-P2747</f>
        <v>154.67000000000007</v>
      </c>
      <c r="S2747" s="78">
        <v>46539</v>
      </c>
      <c r="T2747" s="1"/>
      <c r="V2747" s="1"/>
      <c r="X2747" s="101">
        <v>2</v>
      </c>
    </row>
    <row r="2748" spans="1:24" hidden="1">
      <c r="A2748">
        <v>1154</v>
      </c>
      <c r="B2748" s="2">
        <v>46238.321516203701</v>
      </c>
      <c r="C2748" s="2">
        <v>46238.436203703699</v>
      </c>
      <c r="D2748" s="1" t="s">
        <v>24</v>
      </c>
      <c r="E2748" s="1"/>
      <c r="F2748" s="29">
        <v>46238</v>
      </c>
      <c r="G2748" s="29">
        <v>46238</v>
      </c>
      <c r="H2748" s="1" t="s">
        <v>1625</v>
      </c>
      <c r="I2748" s="1" t="s">
        <v>6229</v>
      </c>
      <c r="J2748" s="207" t="s">
        <v>6230</v>
      </c>
      <c r="K2748" s="188" t="s">
        <v>6231</v>
      </c>
      <c r="L2748" s="62">
        <v>2</v>
      </c>
      <c r="M2748" s="102">
        <v>8119870025</v>
      </c>
      <c r="N2748" s="172" t="s">
        <v>37</v>
      </c>
      <c r="O2748" s="91">
        <v>5639.5</v>
      </c>
      <c r="P2748" s="91">
        <v>1690</v>
      </c>
      <c r="Q2748" s="42">
        <f>OfficeForms.Table[[#This Row],[ INFORMEDEPAGO ]]*0.3</f>
        <v>1691.85</v>
      </c>
      <c r="R2748" s="12">
        <f>(IF(O2748&lt;4172.98,0,MIN(O2748*0.3,O2748-4172.98)))-P2748</f>
        <v>-223.47999999999956</v>
      </c>
      <c r="S2748" s="78">
        <v>46419</v>
      </c>
      <c r="T2748" s="1"/>
      <c r="V2748" s="1"/>
      <c r="X2748" s="101">
        <v>2</v>
      </c>
    </row>
    <row r="2749" spans="1:24" hidden="1">
      <c r="A2749">
        <v>1155</v>
      </c>
      <c r="B2749" s="2">
        <v>46238.437928240703</v>
      </c>
      <c r="C2749" s="2">
        <v>46238.438414351898</v>
      </c>
      <c r="D2749" s="1" t="s">
        <v>24</v>
      </c>
      <c r="E2749" s="1"/>
      <c r="F2749" s="29">
        <v>46238</v>
      </c>
      <c r="G2749" s="29">
        <v>46238</v>
      </c>
      <c r="H2749" s="1" t="s">
        <v>269</v>
      </c>
      <c r="I2749" s="1" t="s">
        <v>6232</v>
      </c>
      <c r="J2749" s="207" t="s">
        <v>6233</v>
      </c>
      <c r="K2749" s="188" t="s">
        <v>6234</v>
      </c>
      <c r="L2749" s="62">
        <v>23349492</v>
      </c>
      <c r="M2749" s="102">
        <v>5219811050649</v>
      </c>
      <c r="N2749" s="172" t="s">
        <v>28</v>
      </c>
      <c r="O2749" s="91">
        <v>10388.35</v>
      </c>
      <c r="P2749" s="91">
        <v>879</v>
      </c>
      <c r="Q2749" s="42">
        <f>OfficeForms.Table[[#This Row],[ INFORMEDEPAGO ]]*0.3</f>
        <v>3116.5050000000001</v>
      </c>
      <c r="R2749" s="12">
        <f>(IF(O2749&lt;4172.98,0,MIN(O2749*0.3,O2749-4172.98)))-P2749</f>
        <v>2237.5050000000001</v>
      </c>
      <c r="S2749" s="78"/>
      <c r="T2749" s="1"/>
      <c r="V2749" s="1"/>
      <c r="X2749" s="101">
        <v>1</v>
      </c>
    </row>
    <row r="2750" spans="1:24" hidden="1">
      <c r="A2750">
        <v>1156</v>
      </c>
      <c r="B2750" s="2">
        <v>46238.439537036997</v>
      </c>
      <c r="C2750" s="2">
        <v>46238.440428240698</v>
      </c>
      <c r="D2750" s="1" t="s">
        <v>24</v>
      </c>
      <c r="E2750" s="1"/>
      <c r="F2750" s="29">
        <v>46238</v>
      </c>
      <c r="G2750" s="29">
        <v>46238</v>
      </c>
      <c r="H2750" s="1" t="s">
        <v>1629</v>
      </c>
      <c r="I2750" s="1" t="s">
        <v>6235</v>
      </c>
      <c r="J2750" s="207">
        <v>43755935988</v>
      </c>
      <c r="K2750" s="188" t="s">
        <v>6236</v>
      </c>
      <c r="L2750" s="62">
        <v>2</v>
      </c>
      <c r="M2750" s="102">
        <v>8119067229</v>
      </c>
      <c r="N2750" s="172" t="s">
        <v>37</v>
      </c>
      <c r="O2750" s="91">
        <v>14385.18</v>
      </c>
      <c r="P2750" s="91">
        <v>4315</v>
      </c>
      <c r="Q2750" s="42">
        <f>OfficeForms.Table[[#This Row],[ INFORMEDEPAGO ]]*0.3</f>
        <v>4315.5540000000001</v>
      </c>
      <c r="R2750" s="12">
        <f>(IF(O2750&lt;4172.98,0,MIN(O2750*0.3,O2750-4172.98)))-P2750</f>
        <v>0.55400000000008731</v>
      </c>
      <c r="S2750" s="78">
        <v>46539</v>
      </c>
      <c r="T2750" s="1"/>
      <c r="V2750" s="1"/>
      <c r="X2750" s="101">
        <v>2</v>
      </c>
    </row>
    <row r="2751" spans="1:24" hidden="1">
      <c r="A2751">
        <v>1157</v>
      </c>
      <c r="B2751" s="2">
        <v>46238.432083333297</v>
      </c>
      <c r="C2751" s="2">
        <v>46238.440590277802</v>
      </c>
      <c r="D2751" s="1" t="s">
        <v>24</v>
      </c>
      <c r="E2751" s="1"/>
      <c r="F2751" s="29">
        <v>46238</v>
      </c>
      <c r="G2751" s="29">
        <v>46237</v>
      </c>
      <c r="H2751" s="1" t="s">
        <v>81</v>
      </c>
      <c r="I2751" s="1" t="s">
        <v>6237</v>
      </c>
      <c r="J2751" s="207"/>
      <c r="K2751" s="188" t="s">
        <v>6238</v>
      </c>
      <c r="L2751" s="62">
        <v>23319476</v>
      </c>
      <c r="M2751" s="102">
        <v>5212381864502</v>
      </c>
      <c r="N2751" s="172" t="s">
        <v>32</v>
      </c>
      <c r="O2751" s="91">
        <v>4388.54</v>
      </c>
      <c r="P2751" s="91"/>
      <c r="Q2751" s="42">
        <f>OfficeForms.Table[[#This Row],[ INFORMEDEPAGO ]]*0.3</f>
        <v>1316.5619999999999</v>
      </c>
      <c r="R2751" s="12">
        <f>(IF(O2751&lt;4172.98,0,MIN(O2751*0.3,O2751-4172.98)))-P2751</f>
        <v>215.5600000000004</v>
      </c>
      <c r="S2751" s="78"/>
      <c r="T2751" s="1"/>
      <c r="V2751" s="1"/>
      <c r="X2751" s="101">
        <v>1</v>
      </c>
    </row>
    <row r="2752" spans="1:24" hidden="1">
      <c r="A2752">
        <v>1158</v>
      </c>
      <c r="B2752" s="2">
        <v>46238.440636574102</v>
      </c>
      <c r="C2752" s="2">
        <v>46238.443553240701</v>
      </c>
      <c r="D2752" s="1" t="s">
        <v>24</v>
      </c>
      <c r="E2752" s="1"/>
      <c r="F2752" s="29">
        <v>46238</v>
      </c>
      <c r="G2752" s="29">
        <v>46237</v>
      </c>
      <c r="H2752" s="1" t="s">
        <v>81</v>
      </c>
      <c r="I2752" s="1" t="s">
        <v>6239</v>
      </c>
      <c r="J2752" s="207"/>
      <c r="K2752" s="188" t="s">
        <v>6240</v>
      </c>
      <c r="L2752" s="62">
        <v>23319600</v>
      </c>
      <c r="M2752" s="102">
        <v>5214441100974</v>
      </c>
      <c r="N2752" s="172" t="s">
        <v>47</v>
      </c>
      <c r="O2752" s="91">
        <v>12560.16</v>
      </c>
      <c r="P2752" s="91">
        <v>2819</v>
      </c>
      <c r="Q2752" s="42">
        <f>OfficeForms.Table[[#This Row],[ INFORMEDEPAGO ]]*0.3</f>
        <v>3768.0479999999998</v>
      </c>
      <c r="R2752" s="12">
        <f>(IF(O2752&lt;4172.98,0,MIN(O2752*0.3,O2752-4172.98)))-P2752</f>
        <v>949.04799999999977</v>
      </c>
      <c r="S2752" s="78"/>
      <c r="T2752" s="1"/>
      <c r="V2752" s="1"/>
      <c r="X2752" s="101">
        <v>1</v>
      </c>
    </row>
    <row r="2753" spans="1:24" hidden="1">
      <c r="A2753">
        <v>1159</v>
      </c>
      <c r="B2753" s="2">
        <v>46238.4437847222</v>
      </c>
      <c r="C2753" s="2">
        <v>46238.445081018501</v>
      </c>
      <c r="D2753" s="1" t="s">
        <v>24</v>
      </c>
      <c r="E2753" s="1"/>
      <c r="F2753" s="29">
        <v>46238</v>
      </c>
      <c r="G2753" s="29">
        <v>46227</v>
      </c>
      <c r="H2753" s="1" t="s">
        <v>3575</v>
      </c>
      <c r="I2753" s="1" t="s">
        <v>6241</v>
      </c>
      <c r="J2753" s="207"/>
      <c r="K2753" s="188" t="s">
        <v>6242</v>
      </c>
      <c r="L2753" s="62">
        <v>23052668</v>
      </c>
      <c r="M2753" s="62">
        <v>23052668</v>
      </c>
      <c r="N2753" s="172" t="s">
        <v>37</v>
      </c>
      <c r="O2753" s="91">
        <v>5617.64</v>
      </c>
      <c r="P2753" s="91">
        <v>1444</v>
      </c>
      <c r="Q2753" s="42">
        <f>OfficeForms.Table[[#This Row],[ INFORMEDEPAGO ]]*0.3</f>
        <v>1685.2920000000001</v>
      </c>
      <c r="R2753" s="12">
        <f>(IF(O2753&lt;4172.98,0,MIN(O2753*0.3,O2753-4172.98)))-P2753</f>
        <v>0.66000000000076398</v>
      </c>
      <c r="S2753" s="78">
        <v>46935</v>
      </c>
      <c r="T2753" s="1"/>
      <c r="V2753" s="1"/>
      <c r="X2753" s="101">
        <v>2</v>
      </c>
    </row>
    <row r="2754" spans="1:24" hidden="1">
      <c r="A2754">
        <v>1160</v>
      </c>
      <c r="B2754" s="2">
        <v>46238.439062500001</v>
      </c>
      <c r="C2754" s="2">
        <v>46238.445960648103</v>
      </c>
      <c r="D2754" s="1" t="s">
        <v>24</v>
      </c>
      <c r="E2754" s="1"/>
      <c r="F2754" s="29">
        <v>46238</v>
      </c>
      <c r="G2754" s="29">
        <v>46238</v>
      </c>
      <c r="H2754" s="1" t="s">
        <v>78</v>
      </c>
      <c r="I2754" s="1" t="s">
        <v>6243</v>
      </c>
      <c r="J2754" s="207">
        <v>12765207696</v>
      </c>
      <c r="K2754" s="188" t="s">
        <v>6244</v>
      </c>
      <c r="L2754" s="62">
        <v>23341352</v>
      </c>
      <c r="M2754" s="102">
        <v>5214792151302</v>
      </c>
      <c r="N2754" s="172" t="s">
        <v>32</v>
      </c>
      <c r="O2754" s="91">
        <v>3881.65</v>
      </c>
      <c r="P2754" s="91"/>
      <c r="Q2754" s="42">
        <f>OfficeForms.Table[[#This Row],[ INFORMEDEPAGO ]]*0.3</f>
        <v>1164.4949999999999</v>
      </c>
      <c r="R2754" s="12">
        <f>(IF(O2754&lt;4172.98,0,MIN(O2754*0.3,O2754-4172.98)))-P2754</f>
        <v>0</v>
      </c>
      <c r="S2754" s="78"/>
      <c r="T2754" s="1"/>
      <c r="V2754" s="1"/>
      <c r="X2754" s="101">
        <v>1</v>
      </c>
    </row>
    <row r="2755" spans="1:24" hidden="1">
      <c r="A2755">
        <v>1161</v>
      </c>
      <c r="B2755" s="2">
        <v>46238.429652777799</v>
      </c>
      <c r="C2755" s="2">
        <v>46238.446134259299</v>
      </c>
      <c r="D2755" s="1" t="s">
        <v>24</v>
      </c>
      <c r="E2755" s="1"/>
      <c r="F2755" s="29">
        <v>46238</v>
      </c>
      <c r="G2755" s="29">
        <v>46238</v>
      </c>
      <c r="H2755" s="1" t="s">
        <v>78</v>
      </c>
      <c r="I2755" s="1" t="s">
        <v>6245</v>
      </c>
      <c r="J2755" s="208" t="s">
        <v>6246</v>
      </c>
      <c r="K2755" s="188" t="s">
        <v>6247</v>
      </c>
      <c r="L2755" s="62">
        <v>23345258</v>
      </c>
      <c r="M2755" s="102">
        <v>5214171241747</v>
      </c>
      <c r="N2755" s="172" t="s">
        <v>32</v>
      </c>
      <c r="O2755" s="91"/>
      <c r="P2755" s="91"/>
      <c r="Q2755" s="42">
        <f>OfficeForms.Table[[#This Row],[ INFORMEDEPAGO ]]*0.3</f>
        <v>0</v>
      </c>
      <c r="R2755" s="12">
        <f>(IF(O2755&lt;4172.98,0,MIN(O2755*0.3,O2755-4172.98)))-P2755</f>
        <v>0</v>
      </c>
      <c r="S2755" s="78"/>
      <c r="T2755" s="1"/>
      <c r="V2755" s="1"/>
      <c r="X2755" s="101">
        <v>1</v>
      </c>
    </row>
    <row r="2756" spans="1:24" hidden="1">
      <c r="A2756">
        <v>1162</v>
      </c>
      <c r="B2756" s="2">
        <v>46238.443576388898</v>
      </c>
      <c r="C2756" s="2">
        <v>46238.447974536997</v>
      </c>
      <c r="D2756" s="1" t="s">
        <v>24</v>
      </c>
      <c r="E2756" s="1"/>
      <c r="F2756" s="29">
        <v>46238</v>
      </c>
      <c r="G2756" s="29">
        <v>46238</v>
      </c>
      <c r="H2756" s="1" t="s">
        <v>81</v>
      </c>
      <c r="I2756" s="1" t="s">
        <v>6248</v>
      </c>
      <c r="J2756" s="207">
        <v>33806224896</v>
      </c>
      <c r="K2756" s="188" t="s">
        <v>6249</v>
      </c>
      <c r="L2756" s="62">
        <v>23345774</v>
      </c>
      <c r="M2756" s="102">
        <v>5216562149832</v>
      </c>
      <c r="N2756" s="172" t="s">
        <v>28</v>
      </c>
      <c r="O2756" s="91">
        <f>8202.52+879</f>
        <v>9081.52</v>
      </c>
      <c r="P2756" s="91">
        <v>879</v>
      </c>
      <c r="Q2756" s="42">
        <f>OfficeForms.Table[[#This Row],[ INFORMEDEPAGO ]]*0.3</f>
        <v>2724.4560000000001</v>
      </c>
      <c r="R2756" s="12">
        <f>(IF(O2756&lt;4172.98,0,MIN(O2756*0.3,O2756-4172.98)))-P2756</f>
        <v>1845.4560000000001</v>
      </c>
      <c r="S2756" s="78"/>
      <c r="T2756" s="1"/>
      <c r="V2756" s="1"/>
      <c r="X2756" s="101">
        <v>1</v>
      </c>
    </row>
    <row r="2757" spans="1:24" hidden="1">
      <c r="A2757">
        <v>1163</v>
      </c>
      <c r="B2757" s="2">
        <v>46238.4296875</v>
      </c>
      <c r="C2757" s="2">
        <v>46238.448148148098</v>
      </c>
      <c r="D2757" s="1" t="s">
        <v>24</v>
      </c>
      <c r="E2757" s="1"/>
      <c r="F2757" s="29">
        <v>46238</v>
      </c>
      <c r="G2757" s="29">
        <v>46237</v>
      </c>
      <c r="H2757" s="1" t="s">
        <v>78</v>
      </c>
      <c r="I2757" s="1" t="s">
        <v>6250</v>
      </c>
      <c r="J2757" s="207">
        <v>43836614057</v>
      </c>
      <c r="K2757" s="188" t="s">
        <v>6251</v>
      </c>
      <c r="L2757" s="62">
        <v>23340296</v>
      </c>
      <c r="M2757" s="102">
        <v>5218111877048</v>
      </c>
      <c r="N2757" s="172" t="s">
        <v>32</v>
      </c>
      <c r="O2757" s="91">
        <f>3187.69+848</f>
        <v>4035.69</v>
      </c>
      <c r="P2757" s="91">
        <v>848</v>
      </c>
      <c r="Q2757" s="42">
        <f>OfficeForms.Table[[#This Row],[ INFORMEDEPAGO ]]*0.3</f>
        <v>1210.7069999999999</v>
      </c>
      <c r="R2757" s="12">
        <f>(IF(O2757&lt;4172.98,0,MIN(O2757*0.3,O2757-4172.98)))-P2757</f>
        <v>-848</v>
      </c>
      <c r="S2757" s="78"/>
      <c r="T2757" s="1"/>
      <c r="V2757" s="1"/>
      <c r="X2757" s="101">
        <v>1</v>
      </c>
    </row>
    <row r="2758" spans="1:24" hidden="1">
      <c r="A2758">
        <v>1164</v>
      </c>
      <c r="B2758" s="2">
        <v>46238.448032407403</v>
      </c>
      <c r="C2758" s="2">
        <v>46238.457060185203</v>
      </c>
      <c r="D2758" s="1" t="s">
        <v>24</v>
      </c>
      <c r="E2758" s="1"/>
      <c r="F2758" s="29">
        <v>46238</v>
      </c>
      <c r="G2758" s="29">
        <v>46238</v>
      </c>
      <c r="H2758" s="1" t="s">
        <v>81</v>
      </c>
      <c r="I2758" s="1" t="s">
        <v>6252</v>
      </c>
      <c r="J2758" s="208" t="s">
        <v>6253</v>
      </c>
      <c r="K2758" s="189" t="s">
        <v>6254</v>
      </c>
      <c r="L2758" s="62">
        <v>23348908</v>
      </c>
      <c r="M2758" s="102">
        <v>5213331975952</v>
      </c>
      <c r="N2758" s="172" t="s">
        <v>37</v>
      </c>
      <c r="O2758" s="91">
        <v>19385.810000000001</v>
      </c>
      <c r="P2758" s="91">
        <v>5815.74</v>
      </c>
      <c r="Q2758" s="42">
        <f>OfficeForms.Table[[#This Row],[ INFORMEDEPAGO ]]*0.3</f>
        <v>5815.7430000000004</v>
      </c>
      <c r="R2758" s="12">
        <f>(IF(O2758&lt;4172.98,0,MIN(O2758*0.3,O2758-4172.98)))-P2758</f>
        <v>3.0000000006111804E-3</v>
      </c>
      <c r="S2758" s="78">
        <v>46327</v>
      </c>
      <c r="T2758" s="1"/>
      <c r="V2758" s="1"/>
      <c r="X2758" s="101">
        <v>2</v>
      </c>
    </row>
    <row r="2759" spans="1:24" hidden="1">
      <c r="A2759">
        <v>1165</v>
      </c>
      <c r="B2759" s="2">
        <v>46238.413553240702</v>
      </c>
      <c r="C2759" s="2">
        <v>46238.459328703699</v>
      </c>
      <c r="D2759" s="1" t="s">
        <v>24</v>
      </c>
      <c r="E2759" s="1"/>
      <c r="F2759" s="29">
        <v>46238</v>
      </c>
      <c r="G2759" s="29">
        <v>46236</v>
      </c>
      <c r="H2759" s="1" t="s">
        <v>51</v>
      </c>
      <c r="I2759" s="1" t="s">
        <v>6255</v>
      </c>
      <c r="J2759" s="207">
        <v>43705516367</v>
      </c>
      <c r="K2759" s="188" t="s">
        <v>6256</v>
      </c>
      <c r="L2759" s="62">
        <v>23304004</v>
      </c>
      <c r="M2759" s="102">
        <v>5218180958247</v>
      </c>
      <c r="N2759" s="172" t="s">
        <v>28</v>
      </c>
      <c r="O2759" s="91">
        <v>35632.93</v>
      </c>
      <c r="P2759" s="91"/>
      <c r="Q2759" s="42">
        <f>OfficeForms.Table[[#This Row],[ INFORMEDEPAGO ]]*0.3</f>
        <v>10689.878999999999</v>
      </c>
      <c r="R2759" s="12">
        <f>(IF(O2759&lt;4172.98,0,MIN(O2759*0.3,O2759-4172.98)))-P2759</f>
        <v>10689.878999999999</v>
      </c>
      <c r="S2759" s="78"/>
      <c r="T2759" s="1"/>
      <c r="V2759" s="1"/>
      <c r="X2759" s="101">
        <v>1</v>
      </c>
    </row>
    <row r="2760" spans="1:24" hidden="1">
      <c r="A2760">
        <v>1166</v>
      </c>
      <c r="B2760" s="2">
        <v>46238.4590046296</v>
      </c>
      <c r="C2760" s="2">
        <v>46238.459918981498</v>
      </c>
      <c r="D2760" s="1" t="s">
        <v>24</v>
      </c>
      <c r="E2760" s="1"/>
      <c r="F2760" s="29">
        <v>46238</v>
      </c>
      <c r="G2760" s="29">
        <v>46234</v>
      </c>
      <c r="H2760" s="1" t="s">
        <v>3575</v>
      </c>
      <c r="I2760" s="1" t="s">
        <v>6257</v>
      </c>
      <c r="J2760" s="207"/>
      <c r="K2760" s="188" t="s">
        <v>6258</v>
      </c>
      <c r="L2760" s="62">
        <v>23265752</v>
      </c>
      <c r="M2760" s="102">
        <v>5218145487606</v>
      </c>
      <c r="N2760" s="172" t="s">
        <v>28</v>
      </c>
      <c r="O2760" s="91">
        <v>8181.55</v>
      </c>
      <c r="P2760" s="91"/>
      <c r="Q2760" s="42">
        <f>OfficeForms.Table[[#This Row],[ INFORMEDEPAGO ]]*0.3</f>
        <v>2454.4650000000001</v>
      </c>
      <c r="R2760" s="12">
        <f>(IF(O2760&lt;4172.98,0,MIN(O2760*0.3,O2760-4172.98)))-P2760</f>
        <v>2454.4650000000001</v>
      </c>
      <c r="S2760" s="78"/>
      <c r="T2760" s="1"/>
      <c r="V2760" s="1"/>
      <c r="X2760" s="101">
        <v>1</v>
      </c>
    </row>
    <row r="2761" spans="1:24" hidden="1">
      <c r="A2761">
        <v>1167</v>
      </c>
      <c r="B2761" s="2">
        <v>46238.459351851903</v>
      </c>
      <c r="C2761" s="2">
        <v>46238.465601851902</v>
      </c>
      <c r="D2761" s="1" t="s">
        <v>24</v>
      </c>
      <c r="E2761" s="1"/>
      <c r="F2761" s="29">
        <v>46238</v>
      </c>
      <c r="G2761" s="29">
        <v>46237</v>
      </c>
      <c r="H2761" s="1" t="s">
        <v>51</v>
      </c>
      <c r="I2761" s="1" t="s">
        <v>6259</v>
      </c>
      <c r="J2761" s="207">
        <v>33725412663</v>
      </c>
      <c r="K2761" s="188" t="s">
        <v>6260</v>
      </c>
      <c r="L2761" s="62">
        <v>23339714</v>
      </c>
      <c r="M2761" s="102">
        <v>23339714</v>
      </c>
      <c r="N2761" s="172" t="s">
        <v>130</v>
      </c>
      <c r="O2761" s="91">
        <v>5318.91</v>
      </c>
      <c r="P2761" s="91">
        <v>936.35</v>
      </c>
      <c r="Q2761" s="42">
        <f>OfficeForms.Table[[#This Row],[ INFORMEDEPAGO ]]*0.3</f>
        <v>1595.673</v>
      </c>
      <c r="R2761" s="12">
        <f>(IF(O2761&lt;4172.98,0,MIN(O2761*0.3,O2761-4172.98)))-P2761</f>
        <v>209.58000000000027</v>
      </c>
      <c r="S2761" s="78">
        <v>45536</v>
      </c>
      <c r="T2761" s="1"/>
      <c r="V2761" s="1"/>
      <c r="X2761" s="101">
        <v>2</v>
      </c>
    </row>
    <row r="2762" spans="1:24" hidden="1">
      <c r="A2762">
        <v>1168</v>
      </c>
      <c r="B2762" s="2">
        <v>46238.472557870402</v>
      </c>
      <c r="C2762" s="2">
        <v>46238.473159722198</v>
      </c>
      <c r="D2762" s="1" t="s">
        <v>24</v>
      </c>
      <c r="E2762" s="1"/>
      <c r="F2762" s="29">
        <v>46238</v>
      </c>
      <c r="G2762" s="29">
        <v>46235</v>
      </c>
      <c r="H2762" s="1" t="s">
        <v>71</v>
      </c>
      <c r="I2762" s="1" t="s">
        <v>6261</v>
      </c>
      <c r="J2762" s="207" t="s">
        <v>6262</v>
      </c>
      <c r="K2762" s="188"/>
      <c r="L2762" s="62">
        <v>23289446</v>
      </c>
      <c r="M2762" s="102">
        <v>5214461421413</v>
      </c>
      <c r="N2762" s="172" t="s">
        <v>37</v>
      </c>
      <c r="O2762" s="91">
        <v>10363.77</v>
      </c>
      <c r="P2762" s="91">
        <v>2875.42</v>
      </c>
      <c r="Q2762" s="42">
        <f>OfficeForms.Table[[#This Row],[ INFORMEDEPAGO ]]*0.3</f>
        <v>3109.1309999999999</v>
      </c>
      <c r="R2762" s="12">
        <f>(IF(O2762&lt;4172.98,0,MIN(O2762*0.3,O2762-4172.98)))-P2762</f>
        <v>233.71099999999979</v>
      </c>
      <c r="S2762" s="78">
        <v>46388</v>
      </c>
      <c r="T2762" s="1"/>
      <c r="V2762" s="1"/>
      <c r="X2762" s="101">
        <v>2</v>
      </c>
    </row>
    <row r="2763" spans="1:24" hidden="1">
      <c r="A2763">
        <v>1169</v>
      </c>
      <c r="B2763" s="2">
        <v>46238.471331018503</v>
      </c>
      <c r="C2763" s="2">
        <v>46238.473379629599</v>
      </c>
      <c r="D2763" s="1" t="s">
        <v>24</v>
      </c>
      <c r="E2763" s="1"/>
      <c r="F2763" s="29">
        <v>46238</v>
      </c>
      <c r="G2763" s="29">
        <v>46236</v>
      </c>
      <c r="H2763" s="1" t="s">
        <v>160</v>
      </c>
      <c r="I2763" s="1" t="s">
        <v>6263</v>
      </c>
      <c r="J2763" s="207">
        <v>19806254777</v>
      </c>
      <c r="K2763" s="188" t="s">
        <v>6264</v>
      </c>
      <c r="L2763" s="62">
        <v>23299524</v>
      </c>
      <c r="M2763" s="102">
        <v>5216121032629</v>
      </c>
      <c r="N2763" s="172" t="s">
        <v>28</v>
      </c>
      <c r="O2763" s="91">
        <v>10636.54</v>
      </c>
      <c r="P2763" s="91"/>
      <c r="Q2763" s="42">
        <f>OfficeForms.Table[[#This Row],[ INFORMEDEPAGO ]]*0.3</f>
        <v>3190.962</v>
      </c>
      <c r="R2763" s="12">
        <f>(IF(O2763&lt;4172.98,0,MIN(O2763*0.3,O2763-4172.98)))-P2763</f>
        <v>3190.962</v>
      </c>
      <c r="S2763" s="78"/>
      <c r="T2763" s="1"/>
      <c r="V2763" s="1"/>
      <c r="X2763" s="101">
        <v>1</v>
      </c>
    </row>
    <row r="2764" spans="1:24" hidden="1">
      <c r="A2764">
        <v>1170</v>
      </c>
      <c r="B2764" s="2">
        <v>46238.405011574097</v>
      </c>
      <c r="C2764" s="2">
        <v>46238.476354166698</v>
      </c>
      <c r="D2764" s="1" t="s">
        <v>24</v>
      </c>
      <c r="E2764" s="1"/>
      <c r="F2764" s="29">
        <v>46238</v>
      </c>
      <c r="G2764" s="29">
        <v>46233</v>
      </c>
      <c r="H2764" s="1" t="s">
        <v>3007</v>
      </c>
      <c r="I2764" s="1" t="s">
        <v>6265</v>
      </c>
      <c r="J2764" s="207"/>
      <c r="K2764" s="188" t="s">
        <v>6266</v>
      </c>
      <c r="L2764" s="62">
        <v>23233560</v>
      </c>
      <c r="M2764" s="102">
        <v>6241769773</v>
      </c>
      <c r="N2764" s="172" t="s">
        <v>37</v>
      </c>
      <c r="O2764" s="91">
        <v>10171.24</v>
      </c>
      <c r="P2764" s="91">
        <v>2942.41</v>
      </c>
      <c r="Q2764" s="42">
        <f>OfficeForms.Table[[#This Row],[ INFORMEDEPAGO ]]*0.3</f>
        <v>3051.3719999999998</v>
      </c>
      <c r="R2764" s="12">
        <f>(IF(O2764&lt;4172.98,0,MIN(O2764*0.3,O2764-4172.98)))-P2764</f>
        <v>108.96199999999999</v>
      </c>
      <c r="S2764" s="78">
        <v>46692</v>
      </c>
      <c r="T2764" s="1"/>
      <c r="V2764" s="1"/>
      <c r="X2764" s="101">
        <v>2</v>
      </c>
    </row>
    <row r="2765" spans="1:24" hidden="1">
      <c r="A2765">
        <v>1171</v>
      </c>
      <c r="B2765" s="2">
        <v>46238.477488425902</v>
      </c>
      <c r="C2765" s="2">
        <v>46238.480821759302</v>
      </c>
      <c r="D2765" s="1" t="s">
        <v>24</v>
      </c>
      <c r="E2765" s="1"/>
      <c r="F2765" s="29">
        <v>46238</v>
      </c>
      <c r="G2765" s="29">
        <v>46237</v>
      </c>
      <c r="H2765" s="1" t="s">
        <v>160</v>
      </c>
      <c r="I2765" s="1" t="s">
        <v>6267</v>
      </c>
      <c r="J2765" s="207">
        <v>65644721923</v>
      </c>
      <c r="K2765" s="188" t="s">
        <v>6268</v>
      </c>
      <c r="L2765" s="62">
        <v>23311202</v>
      </c>
      <c r="M2765" s="102">
        <v>5212298498933</v>
      </c>
      <c r="N2765" s="172" t="s">
        <v>37</v>
      </c>
      <c r="O2765" s="91">
        <v>9760.32</v>
      </c>
      <c r="P2765" s="91">
        <v>2822</v>
      </c>
      <c r="Q2765" s="42">
        <f>OfficeForms.Table[[#This Row],[ INFORMEDEPAGO ]]*0.3</f>
        <v>2928.096</v>
      </c>
      <c r="R2765" s="12">
        <f>(IF(O2765&lt;4172.98,0,MIN(O2765*0.3,O2765-4172.98)))-P2765</f>
        <v>106.096</v>
      </c>
      <c r="S2765" s="78">
        <v>46508</v>
      </c>
      <c r="T2765" s="1"/>
      <c r="V2765" s="1"/>
      <c r="X2765" s="101">
        <v>2</v>
      </c>
    </row>
    <row r="2766" spans="1:24" hidden="1">
      <c r="A2766">
        <v>1172</v>
      </c>
      <c r="B2766" s="2">
        <v>46238.457141203697</v>
      </c>
      <c r="C2766" s="2">
        <v>46238.487268518496</v>
      </c>
      <c r="D2766" s="1" t="s">
        <v>24</v>
      </c>
      <c r="E2766" s="1"/>
      <c r="F2766" s="29">
        <v>46238</v>
      </c>
      <c r="G2766" s="29">
        <v>46238</v>
      </c>
      <c r="H2766" s="1" t="s">
        <v>81</v>
      </c>
      <c r="I2766" s="1" t="s">
        <v>6269</v>
      </c>
      <c r="J2766" s="207"/>
      <c r="K2766" s="188" t="s">
        <v>6270</v>
      </c>
      <c r="L2766" s="62">
        <v>23354712</v>
      </c>
      <c r="M2766" s="102">
        <v>5216391607499</v>
      </c>
      <c r="N2766" s="172" t="s">
        <v>37</v>
      </c>
      <c r="O2766" s="91">
        <v>10171.24</v>
      </c>
      <c r="P2766" s="91">
        <v>3039.4</v>
      </c>
      <c r="Q2766" s="42">
        <f>OfficeForms.Table[[#This Row],[ INFORMEDEPAGO ]]*0.3</f>
        <v>3051.3719999999998</v>
      </c>
      <c r="R2766" s="12">
        <f>(IF(O2766&lt;4172.98,0,MIN(O2766*0.3,O2766-4172.98)))-P2766</f>
        <v>11.971999999999753</v>
      </c>
      <c r="S2766" s="78">
        <v>46905</v>
      </c>
      <c r="T2766" s="1" t="s">
        <v>259</v>
      </c>
      <c r="V2766" s="1"/>
      <c r="X2766" s="101">
        <v>2</v>
      </c>
    </row>
    <row r="2767" spans="1:24" hidden="1">
      <c r="A2767">
        <v>1173</v>
      </c>
      <c r="B2767" s="2">
        <v>46238.488368055601</v>
      </c>
      <c r="C2767" s="2">
        <v>46238.489328703698</v>
      </c>
      <c r="D2767" s="1" t="s">
        <v>24</v>
      </c>
      <c r="E2767" s="1"/>
      <c r="F2767" s="29">
        <v>46238</v>
      </c>
      <c r="G2767" s="29">
        <v>46235</v>
      </c>
      <c r="H2767" s="1" t="s">
        <v>5033</v>
      </c>
      <c r="I2767" s="1" t="s">
        <v>6271</v>
      </c>
      <c r="J2767" s="207"/>
      <c r="K2767" s="188" t="s">
        <v>6272</v>
      </c>
      <c r="L2767" s="62">
        <v>23280402</v>
      </c>
      <c r="M2767" s="102">
        <v>6567749546</v>
      </c>
      <c r="N2767" s="172" t="s">
        <v>32</v>
      </c>
      <c r="O2767" s="91">
        <v>3878.36</v>
      </c>
      <c r="P2767" s="91">
        <v>879</v>
      </c>
      <c r="Q2767" s="42">
        <f>OfficeForms.Table[[#This Row],[ INFORMEDEPAGO ]]*0.3</f>
        <v>1163.508</v>
      </c>
      <c r="R2767" s="12">
        <f>(IF(O2767&lt;4172.98,0,MIN(O2767*0.3,O2767-4172.98)))-P2767</f>
        <v>-879</v>
      </c>
      <c r="S2767" s="78"/>
      <c r="T2767" s="1"/>
      <c r="V2767" s="1"/>
      <c r="X2767" s="101">
        <v>1</v>
      </c>
    </row>
    <row r="2768" spans="1:24" hidden="1">
      <c r="A2768">
        <v>1174</v>
      </c>
      <c r="B2768" s="2">
        <v>46238.465613425898</v>
      </c>
      <c r="C2768" s="2">
        <v>46238.492604166699</v>
      </c>
      <c r="D2768" s="1" t="s">
        <v>24</v>
      </c>
      <c r="E2768" s="1"/>
      <c r="F2768" s="29">
        <v>46238</v>
      </c>
      <c r="G2768" s="29">
        <v>46238</v>
      </c>
      <c r="H2768" s="1" t="s">
        <v>51</v>
      </c>
      <c r="I2768" s="1" t="s">
        <v>6273</v>
      </c>
      <c r="J2768" s="207"/>
      <c r="K2768" s="188" t="s">
        <v>6274</v>
      </c>
      <c r="L2768" s="62">
        <v>23347968</v>
      </c>
      <c r="M2768" s="102">
        <v>5215619685111</v>
      </c>
      <c r="N2768" s="172" t="s">
        <v>37</v>
      </c>
      <c r="O2768" s="91">
        <v>5402.79</v>
      </c>
      <c r="P2768" s="91">
        <v>1173.44</v>
      </c>
      <c r="Q2768" s="42">
        <f>OfficeForms.Table[[#This Row],[ INFORMEDEPAGO ]]*0.3</f>
        <v>1620.837</v>
      </c>
      <c r="R2768" s="12">
        <f>(IF(O2768&lt;4172.98,0,MIN(O2768*0.3,O2768-4172.98)))-P2768</f>
        <v>56.370000000000346</v>
      </c>
      <c r="S2768" s="78">
        <v>46661</v>
      </c>
      <c r="T2768" s="1" t="s">
        <v>259</v>
      </c>
      <c r="V2768" s="1"/>
      <c r="X2768" s="101">
        <v>2</v>
      </c>
    </row>
    <row r="2769" spans="1:24" hidden="1">
      <c r="A2769">
        <v>1175</v>
      </c>
      <c r="B2769" s="2">
        <v>46238.4920949074</v>
      </c>
      <c r="C2769" s="2">
        <v>46238.493009259299</v>
      </c>
      <c r="D2769" s="1" t="s">
        <v>24</v>
      </c>
      <c r="E2769" s="1"/>
      <c r="F2769" s="29">
        <v>46238</v>
      </c>
      <c r="G2769" s="29">
        <v>46234</v>
      </c>
      <c r="H2769" s="1" t="s">
        <v>3036</v>
      </c>
      <c r="I2769" s="1" t="s">
        <v>6275</v>
      </c>
      <c r="J2769" s="207">
        <v>64866113463</v>
      </c>
      <c r="K2769" s="188"/>
      <c r="L2769" s="62">
        <v>23266162</v>
      </c>
      <c r="M2769" s="102">
        <v>5214461000935</v>
      </c>
      <c r="N2769" s="172" t="s">
        <v>106</v>
      </c>
      <c r="O2769" s="91">
        <v>9569.2999999999993</v>
      </c>
      <c r="P2769" s="91">
        <v>2354.35</v>
      </c>
      <c r="Q2769" s="42">
        <f>OfficeForms.Table[[#This Row],[ INFORMEDEPAGO ]]*0.3</f>
        <v>2870.7899999999995</v>
      </c>
      <c r="R2769" s="12">
        <f>(IF(O2769&lt;4172.98,0,MIN(O2769*0.3,O2769-4172.98)))-P2769</f>
        <v>516.4399999999996</v>
      </c>
      <c r="S2769" s="78">
        <v>45505</v>
      </c>
      <c r="T2769" s="1"/>
      <c r="V2769" s="1"/>
      <c r="X2769" s="101">
        <v>2</v>
      </c>
    </row>
    <row r="2770" spans="1:24" hidden="1">
      <c r="A2770">
        <v>1176</v>
      </c>
      <c r="B2770" s="2">
        <v>46238.489629629599</v>
      </c>
      <c r="C2770" s="2">
        <v>46238.496365740699</v>
      </c>
      <c r="D2770" s="1" t="s">
        <v>24</v>
      </c>
      <c r="E2770" s="1"/>
      <c r="F2770" s="29">
        <v>46238</v>
      </c>
      <c r="G2770" s="29">
        <v>46238</v>
      </c>
      <c r="H2770" s="1" t="s">
        <v>160</v>
      </c>
      <c r="I2770" s="1" t="s">
        <v>6276</v>
      </c>
      <c r="J2770" s="207">
        <v>49846634167</v>
      </c>
      <c r="K2770" s="188" t="s">
        <v>6277</v>
      </c>
      <c r="L2770" s="62">
        <v>23351366</v>
      </c>
      <c r="M2770" s="102">
        <v>5218683493711</v>
      </c>
      <c r="N2770" s="172" t="s">
        <v>28</v>
      </c>
      <c r="O2770" s="91">
        <v>10636.54</v>
      </c>
      <c r="P2770" s="91"/>
      <c r="Q2770" s="42">
        <f>OfficeForms.Table[[#This Row],[ INFORMEDEPAGO ]]*0.3</f>
        <v>3190.962</v>
      </c>
      <c r="R2770" s="12">
        <f>(IF(O2770&lt;4172.98,0,MIN(O2770*0.3,O2770-4172.98)))-P2770</f>
        <v>3190.962</v>
      </c>
      <c r="S2770" s="78"/>
      <c r="T2770" s="1"/>
      <c r="V2770" s="1"/>
      <c r="X2770" s="101">
        <v>1</v>
      </c>
    </row>
    <row r="2771" spans="1:24" hidden="1">
      <c r="A2771">
        <v>1177</v>
      </c>
      <c r="B2771" s="2">
        <v>46238.492615740703</v>
      </c>
      <c r="C2771" s="2">
        <v>46238.496539351901</v>
      </c>
      <c r="D2771" s="1" t="s">
        <v>24</v>
      </c>
      <c r="E2771" s="1"/>
      <c r="F2771" s="29">
        <v>46238</v>
      </c>
      <c r="G2771" s="29">
        <v>46230</v>
      </c>
      <c r="H2771" s="1" t="s">
        <v>51</v>
      </c>
      <c r="I2771" s="1" t="s">
        <v>6278</v>
      </c>
      <c r="J2771" s="207"/>
      <c r="K2771" s="188" t="s">
        <v>6279</v>
      </c>
      <c r="L2771" s="62">
        <v>23141904</v>
      </c>
      <c r="M2771" s="102">
        <v>5214438896076</v>
      </c>
      <c r="N2771" s="172" t="s">
        <v>98</v>
      </c>
      <c r="O2771" s="91"/>
      <c r="P2771" s="91"/>
      <c r="Q2771" s="42">
        <f>OfficeForms.Table[[#This Row],[ INFORMEDEPAGO ]]*0.3</f>
        <v>0</v>
      </c>
      <c r="R2771" s="12">
        <f>(IF(O2771&lt;4172.98,0,MIN(O2771*0.3,O2771-4172.98)))-P2771</f>
        <v>0</v>
      </c>
      <c r="S2771" s="78"/>
      <c r="T2771" s="1"/>
      <c r="V2771" s="1"/>
      <c r="X2771" s="101">
        <v>0</v>
      </c>
    </row>
    <row r="2772" spans="1:24" hidden="1">
      <c r="A2772">
        <v>1178</v>
      </c>
      <c r="B2772" s="2">
        <v>46238.341851851903</v>
      </c>
      <c r="C2772" s="2">
        <v>46238.498958333301</v>
      </c>
      <c r="D2772" s="1" t="s">
        <v>24</v>
      </c>
      <c r="E2772" s="1"/>
      <c r="F2772" s="29">
        <v>46238</v>
      </c>
      <c r="G2772" s="29">
        <v>46236</v>
      </c>
      <c r="H2772" s="1" t="s">
        <v>3572</v>
      </c>
      <c r="I2772" s="1" t="s">
        <v>6280</v>
      </c>
      <c r="J2772" s="207" t="s">
        <v>6281</v>
      </c>
      <c r="K2772" s="188"/>
      <c r="L2772" s="62">
        <v>23295146</v>
      </c>
      <c r="M2772" s="102">
        <v>5214421685627</v>
      </c>
      <c r="N2772" s="172" t="s">
        <v>98</v>
      </c>
      <c r="O2772" s="91"/>
      <c r="P2772" s="91"/>
      <c r="Q2772" s="42">
        <f>OfficeForms.Table[[#This Row],[ INFORMEDEPAGO ]]*0.3</f>
        <v>0</v>
      </c>
      <c r="R2772" s="12">
        <f>(IF(O2772&lt;4172.98,0,MIN(O2772*0.3,O2772-4172.98)))-P2772</f>
        <v>0</v>
      </c>
      <c r="S2772" s="78"/>
      <c r="T2772" s="1"/>
      <c r="V2772" s="1"/>
      <c r="X2772" s="101">
        <v>0</v>
      </c>
    </row>
    <row r="2773" spans="1:24" hidden="1">
      <c r="A2773">
        <v>1179</v>
      </c>
      <c r="B2773" s="2">
        <v>46238.496412036999</v>
      </c>
      <c r="C2773" s="2">
        <v>46238.507233796299</v>
      </c>
      <c r="D2773" s="1" t="s">
        <v>24</v>
      </c>
      <c r="E2773" s="1"/>
      <c r="F2773" s="29">
        <v>46238</v>
      </c>
      <c r="G2773" s="29">
        <v>46237</v>
      </c>
      <c r="H2773" s="1" t="s">
        <v>160</v>
      </c>
      <c r="I2773" s="1" t="s">
        <v>6282</v>
      </c>
      <c r="J2773" s="207">
        <v>11694959641</v>
      </c>
      <c r="K2773" s="188" t="s">
        <v>6283</v>
      </c>
      <c r="L2773" s="62">
        <v>23336306</v>
      </c>
      <c r="M2773" s="102">
        <v>5217352035555</v>
      </c>
      <c r="N2773" s="172" t="s">
        <v>37</v>
      </c>
      <c r="O2773" s="91">
        <v>9081.52</v>
      </c>
      <c r="P2773" s="91">
        <v>2521.35</v>
      </c>
      <c r="Q2773" s="42">
        <f>OfficeForms.Table[[#This Row],[ INFORMEDEPAGO ]]*0.3</f>
        <v>2724.4560000000001</v>
      </c>
      <c r="R2773" s="12">
        <f>(IF(O2773&lt;4172.98,0,MIN(O2773*0.3,O2773-4172.98)))-P2773</f>
        <v>203.10600000000022</v>
      </c>
      <c r="S2773" s="78">
        <v>46296</v>
      </c>
      <c r="T2773" s="1"/>
      <c r="V2773" s="1"/>
      <c r="X2773" s="101">
        <v>2</v>
      </c>
    </row>
    <row r="2774" spans="1:24" hidden="1">
      <c r="A2774">
        <v>1180</v>
      </c>
      <c r="B2774" s="2">
        <v>46238.507824074099</v>
      </c>
      <c r="C2774" s="2">
        <v>46238.509270833303</v>
      </c>
      <c r="D2774" s="1" t="s">
        <v>24</v>
      </c>
      <c r="E2774" s="1"/>
      <c r="F2774" s="29">
        <v>46238</v>
      </c>
      <c r="G2774" s="29">
        <v>46238</v>
      </c>
      <c r="H2774" s="1" t="s">
        <v>269</v>
      </c>
      <c r="I2774" s="1" t="s">
        <v>6284</v>
      </c>
      <c r="J2774" s="207" t="s">
        <v>6285</v>
      </c>
      <c r="K2774" s="188" t="s">
        <v>6286</v>
      </c>
      <c r="L2774" s="62">
        <v>23355420</v>
      </c>
      <c r="M2774" s="102">
        <v>5219381152265</v>
      </c>
      <c r="N2774" s="172" t="s">
        <v>32</v>
      </c>
      <c r="O2774" s="91">
        <v>807.15</v>
      </c>
      <c r="P2774" s="91"/>
      <c r="Q2774" s="42">
        <f>OfficeForms.Table[[#This Row],[ INFORMEDEPAGO ]]*0.3</f>
        <v>242.14499999999998</v>
      </c>
      <c r="R2774" s="12">
        <f>(IF(O2774&lt;4172.98,0,MIN(O2774*0.3,O2774-4172.98)))-P2774</f>
        <v>0</v>
      </c>
      <c r="S2774" s="78"/>
      <c r="T2774" s="1"/>
      <c r="V2774" s="1"/>
      <c r="X2774" s="101">
        <v>1</v>
      </c>
    </row>
    <row r="2775" spans="1:24" hidden="1">
      <c r="A2775">
        <v>1181</v>
      </c>
      <c r="B2775" s="2">
        <v>46238.510636574101</v>
      </c>
      <c r="C2775" s="2">
        <v>46238.515636574099</v>
      </c>
      <c r="D2775" s="1" t="s">
        <v>24</v>
      </c>
      <c r="E2775" s="1"/>
      <c r="F2775" s="29">
        <v>46238</v>
      </c>
      <c r="G2775" s="29">
        <v>46238</v>
      </c>
      <c r="H2775" s="1" t="s">
        <v>160</v>
      </c>
      <c r="I2775" s="1" t="s">
        <v>6287</v>
      </c>
      <c r="J2775" s="207">
        <v>62755818630</v>
      </c>
      <c r="K2775" s="188" t="s">
        <v>6288</v>
      </c>
      <c r="L2775" s="62">
        <v>23349030</v>
      </c>
      <c r="M2775" s="102">
        <v>5212297522582</v>
      </c>
      <c r="N2775" s="172" t="s">
        <v>263</v>
      </c>
      <c r="O2775" s="91">
        <v>7116.73</v>
      </c>
      <c r="P2775" s="91">
        <v>2058.6</v>
      </c>
      <c r="Q2775" s="42">
        <f>OfficeForms.Table[[#This Row],[ INFORMEDEPAGO ]]*0.3</f>
        <v>2135.0189999999998</v>
      </c>
      <c r="R2775" s="12">
        <f>(IF(O2775&lt;4172.98,0,MIN(O2775*0.3,O2775-4172.98)))-P2775</f>
        <v>76.418999999999869</v>
      </c>
      <c r="S2775" s="78">
        <v>46113</v>
      </c>
      <c r="T2775" s="1" t="s">
        <v>192</v>
      </c>
      <c r="V2775" s="1"/>
      <c r="X2775" s="101">
        <v>2</v>
      </c>
    </row>
    <row r="2776" spans="1:24" hidden="1">
      <c r="A2776">
        <v>1182</v>
      </c>
      <c r="B2776" s="2">
        <v>46238.496562499997</v>
      </c>
      <c r="C2776" s="2">
        <v>46238.516111111101</v>
      </c>
      <c r="D2776" s="1" t="s">
        <v>24</v>
      </c>
      <c r="E2776" s="1"/>
      <c r="F2776" s="29">
        <v>46238</v>
      </c>
      <c r="G2776" s="29">
        <v>46238</v>
      </c>
      <c r="H2776" s="1" t="s">
        <v>51</v>
      </c>
      <c r="I2776" s="1" t="s">
        <v>6289</v>
      </c>
      <c r="J2776" s="207"/>
      <c r="K2776" s="188" t="s">
        <v>6290</v>
      </c>
      <c r="L2776" s="62">
        <v>23353606</v>
      </c>
      <c r="M2776" s="102">
        <v>5214891167778</v>
      </c>
      <c r="N2776" s="172" t="s">
        <v>37</v>
      </c>
      <c r="O2776" s="91">
        <v>9760.32</v>
      </c>
      <c r="P2776" s="91">
        <v>2820.29</v>
      </c>
      <c r="Q2776" s="42">
        <f>OfficeForms.Table[[#This Row],[ INFORMEDEPAGO ]]*0.3</f>
        <v>2928.096</v>
      </c>
      <c r="R2776" s="12">
        <f>(IF(O2776&lt;4172.98,0,MIN(O2776*0.3,O2776-4172.98)))-P2776</f>
        <v>107.80600000000004</v>
      </c>
      <c r="S2776" s="78">
        <v>46631</v>
      </c>
      <c r="T2776" s="1" t="s">
        <v>192</v>
      </c>
      <c r="V2776" s="1"/>
      <c r="X2776" s="101">
        <v>2</v>
      </c>
    </row>
    <row r="2777" spans="1:24" hidden="1">
      <c r="A2777">
        <v>1183</v>
      </c>
      <c r="B2777" s="2">
        <v>46238.526435185202</v>
      </c>
      <c r="C2777" s="2">
        <v>46238.527071759301</v>
      </c>
      <c r="D2777" s="1" t="s">
        <v>24</v>
      </c>
      <c r="E2777" s="1"/>
      <c r="F2777" s="29">
        <v>46238</v>
      </c>
      <c r="G2777" s="29">
        <v>46238</v>
      </c>
      <c r="H2777" s="1" t="s">
        <v>1629</v>
      </c>
      <c r="I2777" s="1" t="s">
        <v>6291</v>
      </c>
      <c r="J2777" s="207">
        <v>62886407377</v>
      </c>
      <c r="K2777" s="188" t="s">
        <v>6292</v>
      </c>
      <c r="L2777" s="62">
        <v>2</v>
      </c>
      <c r="M2777" s="102">
        <v>2221509694</v>
      </c>
      <c r="N2777" s="172" t="s">
        <v>37</v>
      </c>
      <c r="O2777" s="91">
        <v>9760.32</v>
      </c>
      <c r="P2777" s="91">
        <v>2823.85</v>
      </c>
      <c r="Q2777" s="42">
        <f>OfficeForms.Table[[#This Row],[ INFORMEDEPAGO ]]*0.3</f>
        <v>2928.096</v>
      </c>
      <c r="R2777" s="12">
        <f>(IF(O2777&lt;4172.98,0,MIN(O2777*0.3,O2777-4172.98)))-P2777</f>
        <v>104.24600000000009</v>
      </c>
      <c r="S2777" s="78">
        <v>46661</v>
      </c>
      <c r="T2777" s="1"/>
      <c r="V2777" s="1"/>
      <c r="X2777" s="101">
        <v>2</v>
      </c>
    </row>
    <row r="2778" spans="1:24" hidden="1">
      <c r="A2778">
        <v>1184</v>
      </c>
      <c r="B2778" s="2">
        <v>46238.5161226852</v>
      </c>
      <c r="C2778" s="2">
        <v>46238.529652777797</v>
      </c>
      <c r="D2778" s="1" t="s">
        <v>24</v>
      </c>
      <c r="E2778" s="1"/>
      <c r="F2778" s="29">
        <v>46238</v>
      </c>
      <c r="G2778" s="29">
        <v>46238</v>
      </c>
      <c r="H2778" s="1" t="s">
        <v>51</v>
      </c>
      <c r="I2778" s="1" t="s">
        <v>6293</v>
      </c>
      <c r="J2778" s="207">
        <v>12654816862</v>
      </c>
      <c r="K2778" s="188" t="s">
        <v>6294</v>
      </c>
      <c r="L2778" s="62">
        <v>23355538</v>
      </c>
      <c r="M2778" s="102">
        <v>5216624668789</v>
      </c>
      <c r="N2778" s="172" t="s">
        <v>32</v>
      </c>
      <c r="O2778" s="91">
        <v>4022.21</v>
      </c>
      <c r="P2778" s="91"/>
      <c r="Q2778" s="42">
        <f>OfficeForms.Table[[#This Row],[ INFORMEDEPAGO ]]*0.3</f>
        <v>1206.663</v>
      </c>
      <c r="R2778" s="12">
        <f>(IF(O2778&lt;4172.98,0,MIN(O2778*0.3,O2778-4172.98)))-P2778</f>
        <v>0</v>
      </c>
      <c r="S2778" s="78"/>
      <c r="T2778" s="1"/>
      <c r="V2778" s="1"/>
      <c r="X2778" s="101">
        <v>1</v>
      </c>
    </row>
    <row r="2779" spans="1:24" hidden="1">
      <c r="A2779">
        <v>1185</v>
      </c>
      <c r="B2779" s="2">
        <v>46238.524571759299</v>
      </c>
      <c r="C2779" s="2">
        <v>46238.5297222222</v>
      </c>
      <c r="D2779" s="1" t="s">
        <v>24</v>
      </c>
      <c r="E2779" s="1"/>
      <c r="F2779" s="29">
        <v>46238</v>
      </c>
      <c r="G2779" s="29">
        <v>46238</v>
      </c>
      <c r="H2779" s="1" t="s">
        <v>78</v>
      </c>
      <c r="I2779" s="1" t="s">
        <v>6295</v>
      </c>
      <c r="J2779" s="207">
        <v>41796112799</v>
      </c>
      <c r="K2779" s="188" t="s">
        <v>6296</v>
      </c>
      <c r="L2779" s="62">
        <v>23354818</v>
      </c>
      <c r="M2779" s="102">
        <v>5214443302458</v>
      </c>
      <c r="N2779" s="172" t="s">
        <v>28</v>
      </c>
      <c r="O2779" s="91">
        <v>8346.34</v>
      </c>
      <c r="P2779" s="91"/>
      <c r="Q2779" s="42">
        <f>OfficeForms.Table[[#This Row],[ INFORMEDEPAGO ]]*0.3</f>
        <v>2503.902</v>
      </c>
      <c r="R2779" s="12">
        <f>(IF(O2779&lt;4172.98,0,MIN(O2779*0.3,O2779-4172.98)))-P2779</f>
        <v>2503.902</v>
      </c>
      <c r="S2779" s="78"/>
      <c r="T2779" s="1"/>
      <c r="V2779" s="1"/>
      <c r="X2779" s="101">
        <v>1</v>
      </c>
    </row>
    <row r="2780" spans="1:24" hidden="1">
      <c r="A2780">
        <v>1186</v>
      </c>
      <c r="B2780" s="2">
        <v>46238.542523148099</v>
      </c>
      <c r="C2780" s="2">
        <v>46238.545925925901</v>
      </c>
      <c r="D2780" s="1" t="s">
        <v>24</v>
      </c>
      <c r="E2780" s="1"/>
      <c r="F2780" s="29">
        <v>46238</v>
      </c>
      <c r="G2780" s="29">
        <v>46236</v>
      </c>
      <c r="H2780" s="1" t="s">
        <v>160</v>
      </c>
      <c r="I2780" s="1" t="s">
        <v>6297</v>
      </c>
      <c r="J2780" s="207">
        <v>85723505294</v>
      </c>
      <c r="K2780" s="188" t="s">
        <v>6298</v>
      </c>
      <c r="L2780" s="62">
        <v>23299282</v>
      </c>
      <c r="M2780" s="102">
        <v>5219992302072</v>
      </c>
      <c r="N2780" s="172" t="s">
        <v>37</v>
      </c>
      <c r="O2780" s="91">
        <v>7913.78</v>
      </c>
      <c r="P2780" s="91">
        <v>2130.0700000000002</v>
      </c>
      <c r="Q2780" s="42">
        <f>OfficeForms.Table[[#This Row],[ INFORMEDEPAGO ]]*0.3</f>
        <v>2374.134</v>
      </c>
      <c r="R2780" s="12">
        <f>(IF(O2780&lt;4172.98,0,MIN(O2780*0.3,O2780-4172.98)))-P2780</f>
        <v>244.06399999999985</v>
      </c>
      <c r="S2780" s="78">
        <v>46419</v>
      </c>
      <c r="T2780" s="1"/>
      <c r="V2780" s="1"/>
      <c r="X2780" s="101">
        <v>2</v>
      </c>
    </row>
    <row r="2781" spans="1:24" hidden="1">
      <c r="A2781">
        <v>1187</v>
      </c>
      <c r="B2781" s="2">
        <v>46238.4362384259</v>
      </c>
      <c r="C2781" s="2">
        <v>46238.609317129602</v>
      </c>
      <c r="D2781" s="1" t="s">
        <v>24</v>
      </c>
      <c r="E2781" s="1"/>
      <c r="F2781" s="29">
        <v>46238</v>
      </c>
      <c r="G2781" s="29">
        <v>46238</v>
      </c>
      <c r="H2781" s="1" t="s">
        <v>1625</v>
      </c>
      <c r="I2781" s="1" t="s">
        <v>6299</v>
      </c>
      <c r="J2781" s="207">
        <v>10805403754</v>
      </c>
      <c r="K2781" s="188" t="s">
        <v>6300</v>
      </c>
      <c r="L2781" s="62">
        <v>2</v>
      </c>
      <c r="M2781" s="102">
        <v>5577922514</v>
      </c>
      <c r="N2781" s="172" t="s">
        <v>32</v>
      </c>
      <c r="O2781" s="91">
        <v>3879.3</v>
      </c>
      <c r="P2781" s="91"/>
      <c r="Q2781" s="42">
        <f>OfficeForms.Table[[#This Row],[ INFORMEDEPAGO ]]*0.3</f>
        <v>1163.79</v>
      </c>
      <c r="R2781" s="12">
        <f>(IF(O2781&lt;4172.98,0,MIN(O2781*0.3,O2781-4172.98)))-P2781</f>
        <v>0</v>
      </c>
      <c r="S2781" s="78"/>
      <c r="T2781" s="1"/>
      <c r="V2781" s="1"/>
      <c r="X2781" s="101">
        <v>1</v>
      </c>
    </row>
    <row r="2782" spans="1:24" hidden="1">
      <c r="A2782">
        <v>1188</v>
      </c>
      <c r="B2782" s="2">
        <v>46238.490451388898</v>
      </c>
      <c r="C2782" s="2">
        <v>46238.613564814797</v>
      </c>
      <c r="D2782" s="1" t="s">
        <v>24</v>
      </c>
      <c r="E2782" s="1"/>
      <c r="F2782" s="29">
        <v>46238</v>
      </c>
      <c r="G2782" s="29">
        <v>46238</v>
      </c>
      <c r="H2782" s="1" t="s">
        <v>81</v>
      </c>
      <c r="I2782" s="1" t="s">
        <v>6301</v>
      </c>
      <c r="J2782" s="207">
        <v>53917339193</v>
      </c>
      <c r="K2782" s="188" t="s">
        <v>6302</v>
      </c>
      <c r="L2782" s="62">
        <v>23367210</v>
      </c>
      <c r="M2782" s="102">
        <v>5218685409954</v>
      </c>
      <c r="N2782" s="172" t="s">
        <v>37</v>
      </c>
      <c r="O2782" s="91">
        <v>4738.45</v>
      </c>
      <c r="P2782" s="91">
        <v>947.78</v>
      </c>
      <c r="Q2782" s="42">
        <f>OfficeForms.Table[[#This Row],[ INFORMEDEPAGO ]]*0.3</f>
        <v>1421.5349999999999</v>
      </c>
      <c r="R2782" s="12">
        <f>(IF(O2782&lt;4172.98,0,MIN(O2782*0.3,O2782-4172.98)))-P2782</f>
        <v>-382.30999999999972</v>
      </c>
      <c r="S2782" s="78">
        <v>46569</v>
      </c>
      <c r="T2782" s="1"/>
      <c r="V2782" s="1"/>
      <c r="X2782" s="101">
        <v>2</v>
      </c>
    </row>
    <row r="2783" spans="1:24" hidden="1">
      <c r="A2783">
        <v>1189</v>
      </c>
      <c r="B2783" s="2">
        <v>46238.616956018501</v>
      </c>
      <c r="C2783" s="2">
        <v>46238.617349537002</v>
      </c>
      <c r="D2783" s="1" t="s">
        <v>24</v>
      </c>
      <c r="E2783" s="1"/>
      <c r="F2783" s="29">
        <v>46238</v>
      </c>
      <c r="G2783" s="29">
        <v>46238</v>
      </c>
      <c r="H2783" s="1" t="s">
        <v>26</v>
      </c>
      <c r="I2783" s="1" t="s">
        <v>6303</v>
      </c>
      <c r="J2783" s="207"/>
      <c r="K2783" s="188" t="s">
        <v>6304</v>
      </c>
      <c r="L2783" s="62">
        <v>22818524</v>
      </c>
      <c r="M2783" s="102">
        <v>5215575198522</v>
      </c>
      <c r="N2783" s="172" t="s">
        <v>74</v>
      </c>
      <c r="O2783" s="91"/>
      <c r="P2783" s="91"/>
      <c r="Q2783" s="42">
        <f>OfficeForms.Table[[#This Row],[ INFORMEDEPAGO ]]*0.3</f>
        <v>0</v>
      </c>
      <c r="R2783" s="12">
        <f>(IF(O2783&lt;4172.98,0,MIN(O2783*0.3,O2783-4172.98)))-P2783</f>
        <v>0</v>
      </c>
      <c r="S2783" s="78"/>
      <c r="T2783" s="1"/>
      <c r="V2783" s="1"/>
      <c r="X2783" s="101">
        <v>1</v>
      </c>
    </row>
    <row r="2784" spans="1:24" hidden="1">
      <c r="A2784">
        <v>1190</v>
      </c>
      <c r="B2784" s="2">
        <v>46238.620127314804</v>
      </c>
      <c r="C2784" s="2">
        <v>46238.621793981503</v>
      </c>
      <c r="D2784" s="1" t="s">
        <v>24</v>
      </c>
      <c r="E2784" s="1"/>
      <c r="F2784" s="29">
        <v>46238</v>
      </c>
      <c r="G2784" s="29">
        <v>46236</v>
      </c>
      <c r="H2784" s="1" t="s">
        <v>476</v>
      </c>
      <c r="I2784" s="1" t="s">
        <v>6305</v>
      </c>
      <c r="J2784" s="207" t="s">
        <v>6306</v>
      </c>
      <c r="K2784" s="188"/>
      <c r="L2784" s="62">
        <v>23297314</v>
      </c>
      <c r="M2784" s="102">
        <v>5216572217619</v>
      </c>
      <c r="N2784" s="172" t="s">
        <v>37</v>
      </c>
      <c r="O2784" s="91">
        <v>17970.12</v>
      </c>
      <c r="P2784" s="91">
        <v>5390.99</v>
      </c>
      <c r="Q2784" s="42">
        <f>OfficeForms.Table[[#This Row],[ INFORMEDEPAGO ]]*0.3</f>
        <v>5391.0359999999991</v>
      </c>
      <c r="R2784" s="12">
        <f>(IF(O2784&lt;4172.98,0,MIN(O2784*0.3,O2784-4172.98)))-P2784</f>
        <v>4.5999999999366992E-2</v>
      </c>
      <c r="S2784" s="78">
        <v>46296</v>
      </c>
      <c r="T2784" s="1"/>
      <c r="V2784" s="1"/>
      <c r="X2784" s="101">
        <v>2</v>
      </c>
    </row>
    <row r="2785" spans="1:24" hidden="1">
      <c r="A2785">
        <v>1191</v>
      </c>
      <c r="B2785" s="2">
        <v>46238.624467592599</v>
      </c>
      <c r="C2785" s="2">
        <v>46238.628576388903</v>
      </c>
      <c r="D2785" s="1" t="s">
        <v>24</v>
      </c>
      <c r="E2785" s="1"/>
      <c r="F2785" s="29">
        <v>46238</v>
      </c>
      <c r="G2785" s="29">
        <v>46238</v>
      </c>
      <c r="H2785" s="1" t="s">
        <v>160</v>
      </c>
      <c r="I2785" s="1" t="s">
        <v>6307</v>
      </c>
      <c r="J2785" s="207">
        <v>84715404384</v>
      </c>
      <c r="K2785" s="188" t="s">
        <v>6308</v>
      </c>
      <c r="L2785" s="62">
        <v>23356156</v>
      </c>
      <c r="M2785" s="102">
        <v>5219993526094</v>
      </c>
      <c r="N2785" s="172" t="s">
        <v>32</v>
      </c>
      <c r="O2785" s="91">
        <v>4401.97</v>
      </c>
      <c r="P2785" s="91">
        <v>220.81</v>
      </c>
      <c r="Q2785" s="42">
        <f>OfficeForms.Table[[#This Row],[ INFORMEDEPAGO ]]*0.3</f>
        <v>1320.5910000000001</v>
      </c>
      <c r="R2785" s="12">
        <f>(IF(O2785&lt;4172.98,0,MIN(O2785*0.3,O2785-4172.98)))-P2785</f>
        <v>8.1800000000006889</v>
      </c>
      <c r="S2785" s="78"/>
      <c r="T2785" s="1"/>
      <c r="V2785" s="1"/>
      <c r="X2785" s="101">
        <v>1</v>
      </c>
    </row>
    <row r="2786" spans="1:24" hidden="1">
      <c r="A2786">
        <v>1192</v>
      </c>
      <c r="B2786" s="2">
        <v>46238.629675925898</v>
      </c>
      <c r="C2786" s="2">
        <v>46238.631180555603</v>
      </c>
      <c r="D2786" s="1" t="s">
        <v>24</v>
      </c>
      <c r="E2786" s="1"/>
      <c r="F2786" s="29">
        <v>46238</v>
      </c>
      <c r="G2786" s="29">
        <v>46238</v>
      </c>
      <c r="H2786" s="1" t="s">
        <v>110</v>
      </c>
      <c r="I2786" s="1" t="s">
        <v>6309</v>
      </c>
      <c r="J2786" s="207">
        <v>33826801998</v>
      </c>
      <c r="K2786" s="188"/>
      <c r="L2786" s="62">
        <v>23369204</v>
      </c>
      <c r="M2786" s="102">
        <v>5216142232713</v>
      </c>
      <c r="N2786" s="172" t="s">
        <v>32</v>
      </c>
      <c r="O2786" s="91">
        <f>3362.29+848</f>
        <v>4210.29</v>
      </c>
      <c r="P2786" s="91">
        <v>848</v>
      </c>
      <c r="Q2786" s="42">
        <f>OfficeForms.Table[[#This Row],[ INFORMEDEPAGO ]]*0.3</f>
        <v>1263.087</v>
      </c>
      <c r="R2786" s="12">
        <f>(IF(O2786&lt;4172.98,0,MIN(O2786*0.3,O2786-4172.98)))-P2786</f>
        <v>-810.6899999999996</v>
      </c>
      <c r="S2786" s="78"/>
      <c r="T2786" s="1"/>
      <c r="V2786" s="1"/>
      <c r="X2786" s="101">
        <v>1</v>
      </c>
    </row>
    <row r="2787" spans="1:24" hidden="1">
      <c r="A2787">
        <v>1193</v>
      </c>
      <c r="B2787" s="2">
        <v>46238.5296759259</v>
      </c>
      <c r="C2787" s="2">
        <v>46238.633159722202</v>
      </c>
      <c r="D2787" s="1" t="s">
        <v>24</v>
      </c>
      <c r="E2787" s="1"/>
      <c r="F2787" s="29">
        <v>46238</v>
      </c>
      <c r="G2787" s="29">
        <v>46238</v>
      </c>
      <c r="H2787" s="1" t="s">
        <v>51</v>
      </c>
      <c r="I2787" s="1" t="s">
        <v>6310</v>
      </c>
      <c r="J2787" s="207" t="s">
        <v>6311</v>
      </c>
      <c r="K2787" s="188" t="s">
        <v>6312</v>
      </c>
      <c r="L2787" s="62">
        <v>23368746</v>
      </c>
      <c r="M2787" s="102">
        <v>5215511997958</v>
      </c>
      <c r="N2787" s="172" t="s">
        <v>37</v>
      </c>
      <c r="O2787" s="91">
        <v>14787.68</v>
      </c>
      <c r="P2787" s="91">
        <v>4242.8900000000003</v>
      </c>
      <c r="Q2787" s="42">
        <f>OfficeForms.Table[[#This Row],[ INFORMEDEPAGO ]]*0.3</f>
        <v>4436.3040000000001</v>
      </c>
      <c r="R2787" s="12">
        <f>(IF(O2787&lt;4172.98,0,MIN(O2787*0.3,O2787-4172.98)))-P2787</f>
        <v>193.41399999999976</v>
      </c>
      <c r="S2787" s="78">
        <v>46327</v>
      </c>
      <c r="T2787" s="1"/>
      <c r="V2787" s="1"/>
      <c r="X2787" s="101">
        <v>2</v>
      </c>
    </row>
    <row r="2788" spans="1:24" hidden="1">
      <c r="A2788">
        <v>1194</v>
      </c>
      <c r="B2788" s="2">
        <v>46238.637268518498</v>
      </c>
      <c r="C2788" s="2">
        <v>46238.640104166698</v>
      </c>
      <c r="D2788" s="1" t="s">
        <v>24</v>
      </c>
      <c r="E2788" s="1"/>
      <c r="F2788" s="29">
        <v>46238</v>
      </c>
      <c r="G2788" s="29">
        <v>46238</v>
      </c>
      <c r="H2788" s="1" t="s">
        <v>81</v>
      </c>
      <c r="I2788" s="1" t="s">
        <v>6313</v>
      </c>
      <c r="J2788" s="207"/>
      <c r="K2788" s="188" t="s">
        <v>6314</v>
      </c>
      <c r="L2788" s="62">
        <v>23355208</v>
      </c>
      <c r="M2788" s="102">
        <v>5218361212703</v>
      </c>
      <c r="N2788" s="172" t="s">
        <v>37</v>
      </c>
      <c r="O2788" s="91">
        <v>7116.73</v>
      </c>
      <c r="P2788" s="91">
        <v>2043.04</v>
      </c>
      <c r="Q2788" s="42">
        <f>OfficeForms.Table[[#This Row],[ INFORMEDEPAGO ]]*0.3</f>
        <v>2135.0189999999998</v>
      </c>
      <c r="R2788" s="12">
        <f>(IF(O2788&lt;4172.98,0,MIN(O2788*0.3,O2788-4172.98)))-P2788</f>
        <v>91.978999999999814</v>
      </c>
      <c r="S2788" s="78">
        <v>46600</v>
      </c>
      <c r="T2788" s="1" t="s">
        <v>259</v>
      </c>
      <c r="V2788" s="1"/>
      <c r="X2788" s="101">
        <v>2</v>
      </c>
    </row>
    <row r="2789" spans="1:24" hidden="1">
      <c r="A2789">
        <v>1195</v>
      </c>
      <c r="B2789" s="2">
        <v>46238.613587963002</v>
      </c>
      <c r="C2789" s="2">
        <v>46238.640150462998</v>
      </c>
      <c r="D2789" s="1" t="s">
        <v>24</v>
      </c>
      <c r="E2789" s="1"/>
      <c r="F2789" s="29">
        <v>46238</v>
      </c>
      <c r="G2789" s="29">
        <v>46237</v>
      </c>
      <c r="H2789" s="1" t="s">
        <v>81</v>
      </c>
      <c r="I2789" s="1" t="s">
        <v>6315</v>
      </c>
      <c r="J2789" s="207"/>
      <c r="K2789" s="188" t="s">
        <v>6316</v>
      </c>
      <c r="L2789" s="62">
        <v>23339996</v>
      </c>
      <c r="M2789" s="102">
        <v>5216562240500</v>
      </c>
      <c r="N2789" s="172" t="s">
        <v>32</v>
      </c>
      <c r="O2789" s="91">
        <v>3866.25</v>
      </c>
      <c r="P2789" s="91">
        <v>879</v>
      </c>
      <c r="Q2789" s="42">
        <f>OfficeForms.Table[[#This Row],[ INFORMEDEPAGO ]]*0.3</f>
        <v>1159.875</v>
      </c>
      <c r="R2789" s="12">
        <f>(IF(O2789&lt;4172.98,0,MIN(O2789*0.3,O2789-4172.98)))-P2789</f>
        <v>-879</v>
      </c>
      <c r="S2789" s="78"/>
      <c r="T2789" s="1"/>
      <c r="V2789" s="1"/>
      <c r="X2789" s="101">
        <v>1</v>
      </c>
    </row>
    <row r="2790" spans="1:24" hidden="1">
      <c r="A2790">
        <v>1196</v>
      </c>
      <c r="B2790" s="2">
        <v>46238.651319444398</v>
      </c>
      <c r="C2790" s="2">
        <v>46238.651921296303</v>
      </c>
      <c r="D2790" s="1" t="s">
        <v>24</v>
      </c>
      <c r="E2790" s="1"/>
      <c r="F2790" s="29">
        <v>46238</v>
      </c>
      <c r="G2790" s="29">
        <v>46238</v>
      </c>
      <c r="H2790" s="1" t="s">
        <v>26</v>
      </c>
      <c r="I2790" s="1" t="s">
        <v>6317</v>
      </c>
      <c r="J2790" s="207" t="s">
        <v>6318</v>
      </c>
      <c r="K2790" s="188" t="s">
        <v>6319</v>
      </c>
      <c r="L2790" s="62">
        <v>23369800</v>
      </c>
      <c r="M2790" s="102">
        <v>5213311132007</v>
      </c>
      <c r="N2790" s="172" t="s">
        <v>98</v>
      </c>
      <c r="O2790" s="91"/>
      <c r="P2790" s="91"/>
      <c r="Q2790" s="42">
        <f>OfficeForms.Table[[#This Row],[ INFORMEDEPAGO ]]*0.3</f>
        <v>0</v>
      </c>
      <c r="R2790" s="12">
        <f>(IF(O2790&lt;4172.98,0,MIN(O2790*0.3,O2790-4172.98)))-P2790</f>
        <v>0</v>
      </c>
      <c r="S2790" s="78"/>
      <c r="T2790" s="1"/>
      <c r="V2790" s="1"/>
      <c r="X2790" s="101">
        <v>0</v>
      </c>
    </row>
    <row r="2791" spans="1:24" hidden="1">
      <c r="A2791">
        <v>1197</v>
      </c>
      <c r="B2791" s="2">
        <v>46238.652268518497</v>
      </c>
      <c r="C2791" s="2">
        <v>46238.653263888897</v>
      </c>
      <c r="D2791" s="1" t="s">
        <v>24</v>
      </c>
      <c r="E2791" s="1"/>
      <c r="F2791" s="29">
        <v>46238</v>
      </c>
      <c r="G2791" s="29">
        <v>46238</v>
      </c>
      <c r="H2791" s="1" t="s">
        <v>71</v>
      </c>
      <c r="I2791" s="1" t="s">
        <v>6320</v>
      </c>
      <c r="J2791" s="175" t="s">
        <v>6321</v>
      </c>
      <c r="K2791" s="188" t="s">
        <v>6322</v>
      </c>
      <c r="L2791" s="62">
        <v>23370026</v>
      </c>
      <c r="M2791" s="102">
        <v>5218666529180</v>
      </c>
      <c r="N2791" s="172" t="s">
        <v>130</v>
      </c>
      <c r="O2791" s="91">
        <v>8554.23</v>
      </c>
      <c r="P2791" s="91">
        <v>2371.66</v>
      </c>
      <c r="Q2791" s="42">
        <f>OfficeForms.Table[[#This Row],[ INFORMEDEPAGO ]]*0.3</f>
        <v>2566.2689999999998</v>
      </c>
      <c r="R2791" s="12">
        <f>(IF(O2791&lt;4172.98,0,MIN(O2791*0.3,O2791-4172.98)))-P2791</f>
        <v>194.60899999999992</v>
      </c>
      <c r="S2791" s="78">
        <v>46174</v>
      </c>
      <c r="T2791" s="1"/>
      <c r="V2791" s="1"/>
      <c r="X2791" s="101">
        <v>2</v>
      </c>
    </row>
    <row r="2792" spans="1:24" hidden="1">
      <c r="A2792">
        <v>1198</v>
      </c>
      <c r="B2792" s="2">
        <v>46238.6577314815</v>
      </c>
      <c r="C2792" s="2">
        <v>46238.658576388902</v>
      </c>
      <c r="D2792" s="1" t="s">
        <v>24</v>
      </c>
      <c r="E2792" s="1"/>
      <c r="F2792" s="29">
        <v>46238</v>
      </c>
      <c r="G2792" s="29">
        <v>46238</v>
      </c>
      <c r="H2792" s="1" t="s">
        <v>110</v>
      </c>
      <c r="I2792" s="1" t="s">
        <v>1756</v>
      </c>
      <c r="J2792" s="207">
        <v>30826104157</v>
      </c>
      <c r="K2792" s="188"/>
      <c r="L2792" s="62">
        <v>23370280</v>
      </c>
      <c r="M2792" s="102">
        <v>5215540147265</v>
      </c>
      <c r="N2792" s="172" t="s">
        <v>74</v>
      </c>
      <c r="O2792" s="91"/>
      <c r="P2792" s="91"/>
      <c r="Q2792" s="42">
        <f>OfficeForms.Table[[#This Row],[ INFORMEDEPAGO ]]*0.3</f>
        <v>0</v>
      </c>
      <c r="R2792" s="12">
        <f>(IF(O2792&lt;4172.98,0,MIN(O2792*0.3,O2792-4172.98)))-P2792</f>
        <v>0</v>
      </c>
      <c r="S2792" s="78"/>
      <c r="T2792" s="1"/>
      <c r="V2792" s="1"/>
      <c r="X2792" s="101">
        <v>1</v>
      </c>
    </row>
    <row r="2793" spans="1:24" hidden="1">
      <c r="A2793">
        <v>1199</v>
      </c>
      <c r="B2793" s="2">
        <v>46238.663113425901</v>
      </c>
      <c r="C2793" s="2">
        <v>46238.664004629602</v>
      </c>
      <c r="D2793" s="1" t="s">
        <v>24</v>
      </c>
      <c r="E2793" s="1"/>
      <c r="F2793" s="29">
        <v>46238</v>
      </c>
      <c r="G2793" s="29">
        <v>46238</v>
      </c>
      <c r="H2793" s="1" t="s">
        <v>107</v>
      </c>
      <c r="I2793" s="1"/>
      <c r="J2793" s="207">
        <v>53907210065</v>
      </c>
      <c r="K2793" s="188"/>
      <c r="L2793" s="62">
        <v>23370592</v>
      </c>
      <c r="M2793" s="102">
        <v>4361123666</v>
      </c>
      <c r="N2793" s="172" t="s">
        <v>130</v>
      </c>
      <c r="O2793" s="91">
        <v>4645.7700000000004</v>
      </c>
      <c r="P2793" s="91">
        <v>432.51</v>
      </c>
      <c r="Q2793" s="42">
        <f>OfficeForms.Table[[#This Row],[ INFORMEDEPAGO ]]*0.3</f>
        <v>1393.731</v>
      </c>
      <c r="R2793" s="12">
        <f>(IF(O2793&lt;4172.98,0,MIN(O2793*0.3,O2793-4172.98)))-P2793</f>
        <v>40.280000000000882</v>
      </c>
      <c r="S2793" s="78">
        <v>46174</v>
      </c>
      <c r="T2793" s="1"/>
      <c r="V2793" s="1"/>
      <c r="X2793" s="101">
        <v>2</v>
      </c>
    </row>
    <row r="2794" spans="1:24" hidden="1">
      <c r="A2794">
        <v>1200</v>
      </c>
      <c r="B2794" s="2">
        <v>46238.664976851898</v>
      </c>
      <c r="C2794" s="2">
        <v>46238.665891203702</v>
      </c>
      <c r="D2794" s="1" t="s">
        <v>24</v>
      </c>
      <c r="E2794" s="1"/>
      <c r="F2794" s="29">
        <v>46238</v>
      </c>
      <c r="G2794" s="29">
        <v>46238</v>
      </c>
      <c r="H2794" s="1" t="s">
        <v>26</v>
      </c>
      <c r="I2794" s="1" t="s">
        <v>6323</v>
      </c>
      <c r="J2794" s="207" t="s">
        <v>6324</v>
      </c>
      <c r="K2794" s="188" t="s">
        <v>6325</v>
      </c>
      <c r="L2794" s="62">
        <v>23369224</v>
      </c>
      <c r="M2794" s="102">
        <v>5218443612916</v>
      </c>
      <c r="N2794" s="172" t="s">
        <v>37</v>
      </c>
      <c r="O2794" s="91">
        <v>5636.59</v>
      </c>
      <c r="P2794" s="91">
        <v>1629.35</v>
      </c>
      <c r="Q2794" s="42">
        <f>OfficeForms.Table[[#This Row],[ INFORMEDEPAGO ]]*0.3</f>
        <v>1690.9770000000001</v>
      </c>
      <c r="R2794" s="12">
        <f>(IF(O2794&lt;4172.98,0,MIN(O2794*0.3,O2794-4172.98)))-P2794</f>
        <v>-165.73999999999933</v>
      </c>
      <c r="S2794" s="78">
        <v>46539</v>
      </c>
      <c r="T2794" s="1"/>
      <c r="V2794" s="1"/>
      <c r="X2794" s="101">
        <v>2</v>
      </c>
    </row>
    <row r="2795" spans="1:24" hidden="1">
      <c r="A2795">
        <v>1201</v>
      </c>
      <c r="B2795" s="2">
        <v>46238.659456018497</v>
      </c>
      <c r="C2795" s="2">
        <v>46238.666597222204</v>
      </c>
      <c r="D2795" s="1" t="s">
        <v>24</v>
      </c>
      <c r="E2795" s="1"/>
      <c r="F2795" s="29">
        <v>46238</v>
      </c>
      <c r="G2795" s="29">
        <v>46238</v>
      </c>
      <c r="H2795" s="1" t="s">
        <v>160</v>
      </c>
      <c r="I2795" s="1" t="s">
        <v>6326</v>
      </c>
      <c r="J2795" s="207">
        <v>43845903038</v>
      </c>
      <c r="K2795" s="188" t="s">
        <v>6327</v>
      </c>
      <c r="L2795" s="62">
        <v>23367154</v>
      </c>
      <c r="M2795" s="102">
        <v>23367154</v>
      </c>
      <c r="N2795" s="172" t="s">
        <v>37</v>
      </c>
      <c r="O2795" s="91">
        <v>42682.04</v>
      </c>
      <c r="P2795" s="91">
        <v>12802.93</v>
      </c>
      <c r="Q2795" s="42">
        <f>OfficeForms.Table[[#This Row],[ INFORMEDEPAGO ]]*0.3</f>
        <v>12804.611999999999</v>
      </c>
      <c r="R2795" s="12">
        <f>(IF(O2795&lt;4172.98,0,MIN(O2795*0.3,O2795-4172.98)))-P2795</f>
        <v>1.6819999999988795</v>
      </c>
      <c r="S2795" s="78">
        <v>46478</v>
      </c>
      <c r="T2795" s="1"/>
      <c r="V2795" s="1"/>
      <c r="X2795" s="101">
        <v>2</v>
      </c>
    </row>
    <row r="2796" spans="1:24" hidden="1">
      <c r="A2796">
        <v>1202</v>
      </c>
      <c r="B2796" s="2">
        <v>46238.666631944398</v>
      </c>
      <c r="C2796" s="2">
        <v>46238.669618055603</v>
      </c>
      <c r="D2796" s="1" t="s">
        <v>24</v>
      </c>
      <c r="E2796" s="1"/>
      <c r="F2796" s="29">
        <v>46238</v>
      </c>
      <c r="G2796" s="29">
        <v>46238</v>
      </c>
      <c r="H2796" s="1" t="s">
        <v>160</v>
      </c>
      <c r="I2796" s="1" t="s">
        <v>6328</v>
      </c>
      <c r="J2796" s="208" t="s">
        <v>6329</v>
      </c>
      <c r="K2796" s="188" t="s">
        <v>6330</v>
      </c>
      <c r="L2796" s="62">
        <v>23353422</v>
      </c>
      <c r="M2796" s="102">
        <v>5215516465257</v>
      </c>
      <c r="N2796" s="172" t="s">
        <v>37</v>
      </c>
      <c r="O2796" s="91">
        <v>9760.32</v>
      </c>
      <c r="P2796" s="91">
        <v>2806.88</v>
      </c>
      <c r="Q2796" s="42">
        <f>OfficeForms.Table[[#This Row],[ INFORMEDEPAGO ]]*0.3</f>
        <v>2928.096</v>
      </c>
      <c r="R2796" s="12">
        <f>(IF(O2796&lt;4172.98,0,MIN(O2796*0.3,O2796-4172.98)))-P2796</f>
        <v>121.21599999999989</v>
      </c>
      <c r="S2796" s="78">
        <v>46569</v>
      </c>
      <c r="T2796" s="1" t="s">
        <v>84</v>
      </c>
      <c r="V2796" s="1"/>
      <c r="X2796" s="101">
        <v>3</v>
      </c>
    </row>
    <row r="2797" spans="1:24" hidden="1">
      <c r="A2797">
        <v>1203</v>
      </c>
      <c r="B2797" s="2">
        <v>46238.633182870399</v>
      </c>
      <c r="C2797" s="2">
        <v>46238.677418981497</v>
      </c>
      <c r="D2797" s="1" t="s">
        <v>24</v>
      </c>
      <c r="E2797" s="1"/>
      <c r="F2797" s="29">
        <v>46238</v>
      </c>
      <c r="G2797" s="29">
        <v>46238</v>
      </c>
      <c r="H2797" s="1" t="s">
        <v>51</v>
      </c>
      <c r="I2797" s="1" t="s">
        <v>6331</v>
      </c>
      <c r="J2797" s="207">
        <v>67816216575</v>
      </c>
      <c r="K2797" s="188" t="s">
        <v>6332</v>
      </c>
      <c r="L2797" s="62">
        <v>23353906</v>
      </c>
      <c r="M2797" s="102">
        <v>5212221915677</v>
      </c>
      <c r="N2797" s="172" t="s">
        <v>47</v>
      </c>
      <c r="O2797" s="91">
        <v>31347.38</v>
      </c>
      <c r="P2797" s="91">
        <v>9063.16</v>
      </c>
      <c r="Q2797" s="42">
        <f>OfficeForms.Table[[#This Row],[ INFORMEDEPAGO ]]*0.3</f>
        <v>9404.2139999999999</v>
      </c>
      <c r="R2797" s="12">
        <f>(IF(O2797&lt;4172.98,0,MIN(O2797*0.3,O2797-4172.98)))-P2797</f>
        <v>341.05400000000009</v>
      </c>
      <c r="S2797" s="78">
        <v>46600</v>
      </c>
      <c r="T2797" s="1"/>
      <c r="V2797" s="1"/>
      <c r="X2797" s="101">
        <v>2</v>
      </c>
    </row>
    <row r="2798" spans="1:24" hidden="1">
      <c r="A2798">
        <v>1204</v>
      </c>
      <c r="B2798" s="2">
        <v>46238.499131944402</v>
      </c>
      <c r="C2798" s="2">
        <v>46238.680393518502</v>
      </c>
      <c r="D2798" s="1" t="s">
        <v>24</v>
      </c>
      <c r="E2798" s="1"/>
      <c r="F2798" s="29">
        <v>46238</v>
      </c>
      <c r="G2798" s="29">
        <v>46236</v>
      </c>
      <c r="H2798" s="1" t="s">
        <v>3572</v>
      </c>
      <c r="I2798" s="1" t="s">
        <v>6333</v>
      </c>
      <c r="J2798" s="207">
        <v>49796247861</v>
      </c>
      <c r="K2798" s="188"/>
      <c r="L2798" s="62">
        <v>23292426</v>
      </c>
      <c r="M2798" s="102">
        <v>5217831011365</v>
      </c>
      <c r="N2798" s="172" t="s">
        <v>37</v>
      </c>
      <c r="O2798" s="91">
        <v>31626.07</v>
      </c>
      <c r="P2798" s="91">
        <v>9477.57</v>
      </c>
      <c r="Q2798" s="42">
        <f>OfficeForms.Table[[#This Row],[ INFORMEDEPAGO ]]*0.3</f>
        <v>9487.8209999999999</v>
      </c>
      <c r="R2798" s="12">
        <f>(IF(O2798&lt;4172.98,0,MIN(O2798*0.3,O2798-4172.98)))-P2798</f>
        <v>10.251000000000204</v>
      </c>
      <c r="S2798" s="78">
        <v>46844</v>
      </c>
      <c r="T2798" s="1" t="s">
        <v>192</v>
      </c>
      <c r="V2798" s="1"/>
      <c r="X2798" s="101">
        <v>2</v>
      </c>
    </row>
    <row r="2799" spans="1:24" hidden="1">
      <c r="A2799">
        <v>1205</v>
      </c>
      <c r="B2799" s="2">
        <v>46238.640277777798</v>
      </c>
      <c r="C2799" s="2">
        <v>46238.684270833299</v>
      </c>
      <c r="D2799" s="1" t="s">
        <v>24</v>
      </c>
      <c r="E2799" s="1"/>
      <c r="F2799" s="29">
        <v>46238</v>
      </c>
      <c r="G2799" s="29">
        <v>46235</v>
      </c>
      <c r="H2799" s="1" t="s">
        <v>81</v>
      </c>
      <c r="I2799" s="1" t="s">
        <v>6334</v>
      </c>
      <c r="J2799" s="207"/>
      <c r="K2799" s="188" t="s">
        <v>6335</v>
      </c>
      <c r="L2799" s="62">
        <v>23278084</v>
      </c>
      <c r="M2799" s="102">
        <v>5216143286711</v>
      </c>
      <c r="N2799" s="172" t="s">
        <v>263</v>
      </c>
      <c r="O2799" s="91">
        <v>4813.6899999999996</v>
      </c>
      <c r="P2799" s="91">
        <v>520.23</v>
      </c>
      <c r="Q2799" s="42">
        <f>OfficeForms.Table[[#This Row],[ INFORMEDEPAGO ]]*0.3</f>
        <v>1444.1069999999997</v>
      </c>
      <c r="R2799" s="12">
        <f>(IF(O2799&lt;4172.98,0,MIN(O2799*0.3,O2799-4172.98)))-P2799</f>
        <v>120.48000000000002</v>
      </c>
      <c r="S2799" s="78">
        <v>46054</v>
      </c>
      <c r="T2799" s="1" t="s">
        <v>6336</v>
      </c>
      <c r="V2799" s="1"/>
      <c r="X2799" s="101">
        <v>2</v>
      </c>
    </row>
    <row r="2800" spans="1:24" hidden="1">
      <c r="A2800">
        <v>1206</v>
      </c>
      <c r="B2800" s="2">
        <v>46238.684456018498</v>
      </c>
      <c r="C2800" s="2">
        <v>46238.685138888897</v>
      </c>
      <c r="D2800" s="1" t="s">
        <v>24</v>
      </c>
      <c r="E2800" s="1"/>
      <c r="F2800" s="29">
        <v>46238</v>
      </c>
      <c r="G2800" s="29">
        <v>46238</v>
      </c>
      <c r="H2800" s="1" t="s">
        <v>71</v>
      </c>
      <c r="I2800" s="1" t="s">
        <v>6337</v>
      </c>
      <c r="J2800" s="207"/>
      <c r="K2800" s="188" t="s">
        <v>6338</v>
      </c>
      <c r="L2800" s="62">
        <v>23370336</v>
      </c>
      <c r="M2800" s="102">
        <v>5213221059927</v>
      </c>
      <c r="N2800" s="172" t="s">
        <v>37</v>
      </c>
      <c r="O2800" s="91">
        <v>9081.52</v>
      </c>
      <c r="P2800" s="91">
        <v>2625.85</v>
      </c>
      <c r="Q2800" s="42">
        <f>OfficeForms.Table[[#This Row],[ INFORMEDEPAGO ]]*0.3</f>
        <v>2724.4560000000001</v>
      </c>
      <c r="R2800" s="12">
        <f>(IF(O2800&lt;4172.98,0,MIN(O2800*0.3,O2800-4172.98)))-P2800</f>
        <v>98.606000000000222</v>
      </c>
      <c r="S2800" s="78">
        <v>46447</v>
      </c>
      <c r="T2800" s="1"/>
      <c r="V2800" s="1"/>
      <c r="X2800" s="101">
        <v>2</v>
      </c>
    </row>
    <row r="2801" spans="1:24" hidden="1">
      <c r="A2801">
        <v>1207</v>
      </c>
      <c r="B2801" s="2">
        <v>46238.688252314802</v>
      </c>
      <c r="C2801" s="2">
        <v>46238.688611111102</v>
      </c>
      <c r="D2801" s="1" t="s">
        <v>24</v>
      </c>
      <c r="E2801" s="1"/>
      <c r="F2801" s="29">
        <v>46238</v>
      </c>
      <c r="G2801" s="29">
        <v>46238</v>
      </c>
      <c r="H2801" s="1" t="s">
        <v>269</v>
      </c>
      <c r="I2801" s="1" t="s">
        <v>6339</v>
      </c>
      <c r="J2801" s="175" t="s">
        <v>6340</v>
      </c>
      <c r="K2801" s="188" t="s">
        <v>6341</v>
      </c>
      <c r="L2801" s="62">
        <v>23367318</v>
      </c>
      <c r="M2801" s="102">
        <v>23367318</v>
      </c>
      <c r="N2801" s="172" t="s">
        <v>106</v>
      </c>
      <c r="O2801" s="91">
        <v>9081.52</v>
      </c>
      <c r="P2801" s="91">
        <v>2598.66</v>
      </c>
      <c r="Q2801" s="42">
        <f>OfficeForms.Table[[#This Row],[ INFORMEDEPAGO ]]*0.3</f>
        <v>2724.4560000000001</v>
      </c>
      <c r="R2801" s="12">
        <f>(IF(O2801&lt;4172.98,0,MIN(O2801*0.3,O2801-4172.98)))-P2801</f>
        <v>125.79600000000028</v>
      </c>
      <c r="S2801" s="78">
        <v>46143</v>
      </c>
      <c r="T2801" s="1"/>
      <c r="V2801" s="1"/>
      <c r="X2801" s="101">
        <v>2</v>
      </c>
    </row>
    <row r="2802" spans="1:24" hidden="1">
      <c r="A2802">
        <v>1208</v>
      </c>
      <c r="B2802" s="2">
        <v>46238.689976851798</v>
      </c>
      <c r="C2802" s="2">
        <v>46238.6902893519</v>
      </c>
      <c r="D2802" s="1" t="s">
        <v>24</v>
      </c>
      <c r="E2802" s="1"/>
      <c r="F2802" s="29">
        <v>46238</v>
      </c>
      <c r="G2802" s="29">
        <v>46238</v>
      </c>
      <c r="H2802" s="1" t="s">
        <v>269</v>
      </c>
      <c r="I2802" s="1" t="s">
        <v>6342</v>
      </c>
      <c r="J2802" s="175" t="s">
        <v>6343</v>
      </c>
      <c r="K2802" s="188"/>
      <c r="L2802" s="62">
        <v>23367946</v>
      </c>
      <c r="M2802" s="62">
        <v>23367946</v>
      </c>
      <c r="N2802" s="172" t="s">
        <v>32</v>
      </c>
      <c r="O2802" s="91">
        <f>3362.29+848</f>
        <v>4210.29</v>
      </c>
      <c r="P2802" s="91">
        <v>848</v>
      </c>
      <c r="Q2802" s="42">
        <f>OfficeForms.Table[[#This Row],[ INFORMEDEPAGO ]]*0.3</f>
        <v>1263.087</v>
      </c>
      <c r="R2802" s="12">
        <f>(IF(O2802&lt;4172.98,0,MIN(O2802*0.3,O2802-4172.98)))-P2802</f>
        <v>-810.6899999999996</v>
      </c>
      <c r="S2802" s="78"/>
      <c r="T2802" s="1"/>
      <c r="V2802" s="1"/>
      <c r="X2802" s="101">
        <v>1</v>
      </c>
    </row>
    <row r="2803" spans="1:24" hidden="1">
      <c r="A2803">
        <v>1209</v>
      </c>
      <c r="B2803" s="2">
        <v>46238.677430555603</v>
      </c>
      <c r="C2803" s="2">
        <v>46238.6944097222</v>
      </c>
      <c r="D2803" s="1" t="s">
        <v>24</v>
      </c>
      <c r="E2803" s="1"/>
      <c r="F2803" s="29">
        <v>46238</v>
      </c>
      <c r="G2803" s="29">
        <v>46238</v>
      </c>
      <c r="H2803" s="1" t="s">
        <v>51</v>
      </c>
      <c r="I2803" s="1" t="s">
        <v>6344</v>
      </c>
      <c r="J2803" s="175"/>
      <c r="K2803" s="188" t="s">
        <v>6345</v>
      </c>
      <c r="L2803" s="62">
        <v>23357926</v>
      </c>
      <c r="M2803" s="102">
        <v>5218180817750</v>
      </c>
      <c r="N2803" s="172" t="s">
        <v>37</v>
      </c>
      <c r="O2803" s="91">
        <v>7920.51</v>
      </c>
      <c r="P2803" s="91">
        <v>2376.1</v>
      </c>
      <c r="Q2803" s="42">
        <f>OfficeForms.Table[[#This Row],[ INFORMEDEPAGO ]]*0.3</f>
        <v>2376.1529999999998</v>
      </c>
      <c r="R2803" s="12">
        <f>(IF(O2803&lt;4172.98,0,MIN(O2803*0.3,O2803-4172.98)))-P2803</f>
        <v>5.2999999999883585E-2</v>
      </c>
      <c r="S2803" s="78">
        <v>46905</v>
      </c>
      <c r="T2803" s="1"/>
      <c r="V2803" s="1"/>
      <c r="X2803" s="101">
        <v>2</v>
      </c>
    </row>
    <row r="2804" spans="1:24" hidden="1">
      <c r="A2804">
        <v>1210</v>
      </c>
      <c r="B2804" s="2">
        <v>46238.6926157407</v>
      </c>
      <c r="C2804" s="2">
        <v>46238.6949537037</v>
      </c>
      <c r="D2804" s="1" t="s">
        <v>24</v>
      </c>
      <c r="E2804" s="1"/>
      <c r="F2804" s="29">
        <v>46238</v>
      </c>
      <c r="G2804" s="29">
        <v>46236</v>
      </c>
      <c r="H2804" s="1" t="s">
        <v>51</v>
      </c>
      <c r="I2804" s="1" t="s">
        <v>6346</v>
      </c>
      <c r="J2804" s="175"/>
      <c r="K2804" s="188" t="s">
        <v>6347</v>
      </c>
      <c r="L2804" s="62">
        <v>23304092</v>
      </c>
      <c r="M2804" s="102">
        <v>5212881354472</v>
      </c>
      <c r="N2804" s="172" t="s">
        <v>37</v>
      </c>
      <c r="O2804" s="91">
        <v>16394.14</v>
      </c>
      <c r="P2804" s="91">
        <v>4743</v>
      </c>
      <c r="Q2804" s="42">
        <f>OfficeForms.Table[[#This Row],[ INFORMEDEPAGO ]]*0.3</f>
        <v>4918.2419999999993</v>
      </c>
      <c r="R2804" s="12">
        <f>(IF(O2804&lt;4172.98,0,MIN(O2804*0.3,O2804-4172.98)))-P2804</f>
        <v>175.24199999999928</v>
      </c>
      <c r="S2804" s="78">
        <v>46722</v>
      </c>
      <c r="T2804" s="1"/>
      <c r="V2804" s="1"/>
      <c r="X2804" s="101">
        <v>2</v>
      </c>
    </row>
    <row r="2805" spans="1:24" hidden="1">
      <c r="A2805">
        <v>1211</v>
      </c>
      <c r="B2805" s="2">
        <v>46238.6942361111</v>
      </c>
      <c r="C2805" s="2">
        <v>46238.6953587963</v>
      </c>
      <c r="D2805" s="1" t="s">
        <v>24</v>
      </c>
      <c r="E2805" s="1"/>
      <c r="F2805" s="29">
        <v>46238</v>
      </c>
      <c r="G2805" s="29">
        <v>46238</v>
      </c>
      <c r="H2805" s="1" t="s">
        <v>1629</v>
      </c>
      <c r="I2805" s="1" t="s">
        <v>6348</v>
      </c>
      <c r="J2805" s="175">
        <v>10786063254</v>
      </c>
      <c r="K2805" s="188" t="s">
        <v>5925</v>
      </c>
      <c r="L2805" s="62">
        <v>2</v>
      </c>
      <c r="M2805" s="102" t="s">
        <v>6349</v>
      </c>
      <c r="N2805" s="172" t="s">
        <v>37</v>
      </c>
      <c r="O2805" s="91">
        <v>7920.51</v>
      </c>
      <c r="P2805" s="91">
        <v>2375.4499999999998</v>
      </c>
      <c r="Q2805" s="42">
        <f>OfficeForms.Table[[#This Row],[ INFORMEDEPAGO ]]*0.3</f>
        <v>2376.1529999999998</v>
      </c>
      <c r="R2805" s="12">
        <f>(IF(O2805&lt;4172.98,0,MIN(O2805*0.3,O2805-4172.98)))-P2805</f>
        <v>0.70299999999997453</v>
      </c>
      <c r="S2805" s="78">
        <v>46539</v>
      </c>
      <c r="T2805" s="1"/>
      <c r="V2805" s="1"/>
      <c r="X2805" s="101">
        <v>0</v>
      </c>
    </row>
    <row r="2806" spans="1:24" hidden="1">
      <c r="A2806">
        <v>1212</v>
      </c>
      <c r="B2806" s="2">
        <v>46238.699004629598</v>
      </c>
      <c r="C2806" s="2">
        <v>46238.699502314797</v>
      </c>
      <c r="D2806" s="1" t="s">
        <v>24</v>
      </c>
      <c r="E2806" s="1"/>
      <c r="F2806" s="29">
        <v>46238</v>
      </c>
      <c r="G2806" s="29">
        <v>46238</v>
      </c>
      <c r="H2806" s="1" t="s">
        <v>269</v>
      </c>
      <c r="I2806" s="1" t="s">
        <v>6350</v>
      </c>
      <c r="J2806" s="175" t="s">
        <v>6351</v>
      </c>
      <c r="K2806" s="188" t="s">
        <v>6352</v>
      </c>
      <c r="L2806" s="62">
        <v>23367052</v>
      </c>
      <c r="M2806" s="102">
        <v>23367052</v>
      </c>
      <c r="N2806" s="172" t="s">
        <v>130</v>
      </c>
      <c r="O2806" s="91">
        <v>4827.43</v>
      </c>
      <c r="P2806" s="91">
        <v>535.05999999999995</v>
      </c>
      <c r="Q2806" s="42">
        <f>OfficeForms.Table[[#This Row],[ INFORMEDEPAGO ]]*0.3</f>
        <v>1448.229</v>
      </c>
      <c r="R2806" s="12">
        <f>(IF(O2806&lt;4172.98,0,MIN(O2806*0.3,O2806-4172.98)))-P2806</f>
        <v>119.39000000000078</v>
      </c>
      <c r="S2806" s="78">
        <v>45597</v>
      </c>
      <c r="T2806" s="1"/>
      <c r="V2806" s="1"/>
      <c r="X2806" s="101">
        <v>2</v>
      </c>
    </row>
    <row r="2807" spans="1:24" hidden="1">
      <c r="A2807">
        <v>1213</v>
      </c>
      <c r="B2807" s="2">
        <v>46238.693541666697</v>
      </c>
      <c r="C2807" s="2">
        <v>46238.700011574103</v>
      </c>
      <c r="D2807" s="1" t="s">
        <v>24</v>
      </c>
      <c r="E2807" s="1"/>
      <c r="F2807" s="29">
        <v>46238</v>
      </c>
      <c r="G2807" s="29">
        <v>46228</v>
      </c>
      <c r="H2807" s="1" t="s">
        <v>3452</v>
      </c>
      <c r="I2807" s="1" t="s">
        <v>6353</v>
      </c>
      <c r="J2807" s="175">
        <v>71654811588</v>
      </c>
      <c r="K2807" s="188" t="s">
        <v>6354</v>
      </c>
      <c r="L2807" s="62">
        <v>23110222</v>
      </c>
      <c r="M2807" s="102">
        <v>9612181127</v>
      </c>
      <c r="N2807" s="172" t="s">
        <v>32</v>
      </c>
      <c r="O2807" s="91">
        <v>4199.87</v>
      </c>
      <c r="P2807" s="91">
        <v>879</v>
      </c>
      <c r="Q2807" s="42">
        <f>OfficeForms.Table[[#This Row],[ INFORMEDEPAGO ]]*0.3</f>
        <v>1259.961</v>
      </c>
      <c r="R2807" s="12">
        <f>(IF(O2807&lt;4172.98,0,MIN(O2807*0.3,O2807-4172.98)))-P2807</f>
        <v>-852.10999999999967</v>
      </c>
      <c r="S2807" s="78"/>
      <c r="T2807" s="1"/>
      <c r="V2807" s="1"/>
      <c r="X2807" s="101">
        <v>1</v>
      </c>
    </row>
    <row r="2808" spans="1:24" hidden="1">
      <c r="A2808">
        <v>1214</v>
      </c>
      <c r="B2808" s="2">
        <v>46238.7022222222</v>
      </c>
      <c r="C2808" s="2">
        <v>46238.702731481499</v>
      </c>
      <c r="D2808" s="1" t="s">
        <v>24</v>
      </c>
      <c r="E2808" s="1"/>
      <c r="F2808" s="29">
        <v>46238</v>
      </c>
      <c r="G2808" s="29">
        <v>46238</v>
      </c>
      <c r="H2808" s="1" t="s">
        <v>71</v>
      </c>
      <c r="I2808" s="1" t="s">
        <v>6355</v>
      </c>
      <c r="J2808" s="175"/>
      <c r="K2808" s="188" t="s">
        <v>6356</v>
      </c>
      <c r="L2808" s="62">
        <v>23372722</v>
      </c>
      <c r="M2808" s="102">
        <v>5219995479200</v>
      </c>
      <c r="N2808" s="172" t="s">
        <v>32</v>
      </c>
      <c r="O2808" s="91">
        <v>4342.43</v>
      </c>
      <c r="P2808" s="91"/>
      <c r="Q2808" s="42">
        <f>OfficeForms.Table[[#This Row],[ INFORMEDEPAGO ]]*0.3</f>
        <v>1302.729</v>
      </c>
      <c r="R2808" s="12">
        <f>(IF(O2808&lt;4172.98,0,MIN(O2808*0.3,O2808-4172.98)))-P2808</f>
        <v>169.45000000000073</v>
      </c>
      <c r="S2808" s="78"/>
      <c r="T2808" s="1"/>
      <c r="V2808" s="1"/>
      <c r="X2808" s="101">
        <v>1</v>
      </c>
    </row>
    <row r="2809" spans="1:24" hidden="1">
      <c r="A2809">
        <v>1215</v>
      </c>
      <c r="B2809" s="2">
        <v>46238.704004629602</v>
      </c>
      <c r="C2809" s="2">
        <v>46238.708425925899</v>
      </c>
      <c r="D2809" s="1" t="s">
        <v>24</v>
      </c>
      <c r="E2809" s="1"/>
      <c r="F2809" s="29">
        <v>46238</v>
      </c>
      <c r="G2809" s="29">
        <v>46238</v>
      </c>
      <c r="H2809" s="1" t="s">
        <v>26</v>
      </c>
      <c r="I2809" s="1" t="s">
        <v>6357</v>
      </c>
      <c r="J2809" s="175">
        <v>62825807753</v>
      </c>
      <c r="K2809" s="188" t="s">
        <v>6358</v>
      </c>
      <c r="L2809" s="62">
        <v>23373026</v>
      </c>
      <c r="M2809" s="102">
        <v>5212223348405</v>
      </c>
      <c r="N2809" s="172" t="s">
        <v>106</v>
      </c>
      <c r="O2809" s="91">
        <v>16513.98</v>
      </c>
      <c r="P2809" s="91">
        <v>4063</v>
      </c>
      <c r="Q2809" s="42">
        <f>OfficeForms.Table[[#This Row],[ INFORMEDEPAGO ]]*0.3</f>
        <v>4954.1939999999995</v>
      </c>
      <c r="R2809" s="12">
        <f>(IF(O2809&lt;4172.98,0,MIN(O2809*0.3,O2809-4172.98)))-P2809</f>
        <v>891.19399999999951</v>
      </c>
      <c r="S2809" s="78">
        <v>45323</v>
      </c>
      <c r="T2809" s="1"/>
      <c r="V2809" s="1"/>
      <c r="X2809" s="101">
        <v>2</v>
      </c>
    </row>
    <row r="2810" spans="1:24" hidden="1">
      <c r="A2810">
        <v>1216</v>
      </c>
      <c r="B2810" s="2">
        <v>46238.708437499998</v>
      </c>
      <c r="C2810" s="2">
        <v>46238.709560185198</v>
      </c>
      <c r="D2810" s="1" t="s">
        <v>24</v>
      </c>
      <c r="E2810" s="1"/>
      <c r="F2810" s="29">
        <v>46238</v>
      </c>
      <c r="G2810" s="29">
        <v>46238</v>
      </c>
      <c r="H2810" s="1" t="s">
        <v>1629</v>
      </c>
      <c r="I2810" s="1" t="s">
        <v>6359</v>
      </c>
      <c r="J2810" s="175">
        <v>62846300861</v>
      </c>
      <c r="K2810" s="188" t="s">
        <v>6360</v>
      </c>
      <c r="L2810" s="62">
        <v>2</v>
      </c>
      <c r="M2810" s="102" t="s">
        <v>6361</v>
      </c>
      <c r="N2810" s="172" t="s">
        <v>106</v>
      </c>
      <c r="O2810" s="91">
        <v>15542.02</v>
      </c>
      <c r="P2810" s="91">
        <v>4108.67</v>
      </c>
      <c r="Q2810" s="42">
        <f>OfficeForms.Table[[#This Row],[ INFORMEDEPAGO ]]*0.3</f>
        <v>4662.6059999999998</v>
      </c>
      <c r="R2810" s="12">
        <f>(IF(O2810&lt;4172.98,0,MIN(O2810*0.3,O2810-4172.98)))-P2810</f>
        <v>553.93599999999969</v>
      </c>
      <c r="S2810" s="78">
        <v>45778</v>
      </c>
      <c r="T2810" s="1" t="s">
        <v>6362</v>
      </c>
      <c r="V2810" s="1"/>
      <c r="X2810" s="101">
        <v>2</v>
      </c>
    </row>
    <row r="2811" spans="1:24" hidden="1">
      <c r="A2811">
        <v>1217</v>
      </c>
      <c r="B2811" s="2">
        <v>46238.694965277798</v>
      </c>
      <c r="C2811" s="2">
        <v>46238.713842592602</v>
      </c>
      <c r="D2811" s="1" t="s">
        <v>24</v>
      </c>
      <c r="E2811" s="1"/>
      <c r="F2811" s="29">
        <v>46238</v>
      </c>
      <c r="G2811" s="29">
        <v>46238</v>
      </c>
      <c r="H2811" s="1" t="s">
        <v>51</v>
      </c>
      <c r="I2811" s="1" t="s">
        <v>6363</v>
      </c>
      <c r="J2811" s="175"/>
      <c r="K2811" s="188" t="s">
        <v>6364</v>
      </c>
      <c r="L2811" s="62">
        <v>23367600</v>
      </c>
      <c r="M2811" s="102">
        <v>15128035947</v>
      </c>
      <c r="N2811" s="172" t="s">
        <v>28</v>
      </c>
      <c r="O2811" s="91">
        <v>9760.32</v>
      </c>
      <c r="P2811" s="91">
        <v>879</v>
      </c>
      <c r="Q2811" s="42">
        <f>OfficeForms.Table[[#This Row],[ INFORMEDEPAGO ]]*0.3</f>
        <v>2928.096</v>
      </c>
      <c r="R2811" s="12">
        <f>(IF(O2811&lt;4172.98,0,MIN(O2811*0.3,O2811-4172.98)))-P2811</f>
        <v>2049.096</v>
      </c>
      <c r="S2811" s="78"/>
      <c r="T2811" s="1"/>
      <c r="V2811" s="1"/>
      <c r="X2811" s="101">
        <v>1</v>
      </c>
    </row>
    <row r="2812" spans="1:24" hidden="1">
      <c r="A2812">
        <v>1218</v>
      </c>
      <c r="B2812" s="2">
        <v>46238.710914351803</v>
      </c>
      <c r="C2812" s="2">
        <v>46238.7174884259</v>
      </c>
      <c r="D2812" s="1" t="s">
        <v>24</v>
      </c>
      <c r="E2812" s="1"/>
      <c r="F2812" s="29">
        <v>46238</v>
      </c>
      <c r="G2812" s="29">
        <v>46238</v>
      </c>
      <c r="H2812" s="1" t="s">
        <v>160</v>
      </c>
      <c r="I2812" s="1" t="s">
        <v>6365</v>
      </c>
      <c r="J2812" s="175">
        <v>22684910882</v>
      </c>
      <c r="K2812" s="188" t="s">
        <v>6366</v>
      </c>
      <c r="L2812" s="62">
        <v>23366202</v>
      </c>
      <c r="M2812" s="102">
        <v>23366202</v>
      </c>
      <c r="N2812" s="172" t="s">
        <v>32</v>
      </c>
      <c r="O2812" s="91">
        <v>3866.25</v>
      </c>
      <c r="P2812" s="91">
        <v>879</v>
      </c>
      <c r="Q2812" s="42">
        <f>OfficeForms.Table[[#This Row],[ INFORMEDEPAGO ]]*0.3</f>
        <v>1159.875</v>
      </c>
      <c r="R2812" s="12">
        <f>(IF(O2812&lt;4172.98,0,MIN(O2812*0.3,O2812-4172.98)))-P2812</f>
        <v>-879</v>
      </c>
      <c r="S2812" s="78"/>
      <c r="T2812" s="1"/>
      <c r="V2812" s="1"/>
      <c r="X2812" s="101">
        <v>1</v>
      </c>
    </row>
    <row r="2813" spans="1:24" hidden="1">
      <c r="A2813">
        <v>1219</v>
      </c>
      <c r="B2813" s="2">
        <v>46238.718495370398</v>
      </c>
      <c r="C2813" s="2">
        <v>46238.719351851803</v>
      </c>
      <c r="D2813" s="1" t="s">
        <v>24</v>
      </c>
      <c r="E2813" s="1"/>
      <c r="F2813" s="29">
        <v>46238</v>
      </c>
      <c r="G2813" s="29">
        <v>46238</v>
      </c>
      <c r="H2813" s="1" t="s">
        <v>269</v>
      </c>
      <c r="I2813" s="1" t="s">
        <v>6367</v>
      </c>
      <c r="J2813" s="175" t="s">
        <v>6368</v>
      </c>
      <c r="K2813" s="188" t="s">
        <v>6369</v>
      </c>
      <c r="L2813" s="62">
        <v>23366138</v>
      </c>
      <c r="M2813" s="102">
        <v>23366138</v>
      </c>
      <c r="N2813" s="172" t="s">
        <v>37</v>
      </c>
      <c r="O2813" s="91">
        <v>20144.009999999998</v>
      </c>
      <c r="P2813" s="91">
        <v>5980.88</v>
      </c>
      <c r="Q2813" s="42">
        <f>OfficeForms.Table[[#This Row],[ INFORMEDEPAGO ]]*0.3</f>
        <v>6043.2029999999995</v>
      </c>
      <c r="R2813" s="12">
        <f>(IF(O2813&lt;4172.98,0,MIN(O2813*0.3,O2813-4172.98)))-P2813</f>
        <v>62.322999999999411</v>
      </c>
      <c r="S2813" s="78">
        <v>46844</v>
      </c>
      <c r="T2813" s="1"/>
      <c r="V2813" s="1"/>
      <c r="X2813" s="101">
        <v>2</v>
      </c>
    </row>
    <row r="2814" spans="1:24" hidden="1">
      <c r="A2814">
        <v>1220</v>
      </c>
      <c r="B2814" s="2">
        <v>46238.716990740701</v>
      </c>
      <c r="C2814" s="2">
        <v>46238.720347222203</v>
      </c>
      <c r="D2814" s="1" t="s">
        <v>24</v>
      </c>
      <c r="E2814" s="1"/>
      <c r="F2814" s="29">
        <v>46238</v>
      </c>
      <c r="G2814" s="29">
        <v>46238</v>
      </c>
      <c r="H2814" s="1" t="s">
        <v>78</v>
      </c>
      <c r="I2814" s="1" t="s">
        <v>6370</v>
      </c>
      <c r="J2814" s="175">
        <v>43776000127</v>
      </c>
      <c r="K2814" s="188"/>
      <c r="L2814" s="62">
        <v>23366608</v>
      </c>
      <c r="M2814" s="102">
        <v>5218115378060</v>
      </c>
      <c r="N2814" s="172" t="s">
        <v>37</v>
      </c>
      <c r="O2814" s="91">
        <v>5617.63</v>
      </c>
      <c r="P2814" s="91">
        <v>1335</v>
      </c>
      <c r="Q2814" s="42">
        <f>OfficeForms.Table[[#This Row],[ INFORMEDEPAGO ]]*0.3</f>
        <v>1685.289</v>
      </c>
      <c r="R2814" s="12">
        <f>(IF(O2814&lt;4172.98,0,MIN(O2814*0.3,O2814-4172.98)))-P2814</f>
        <v>109.65000000000055</v>
      </c>
      <c r="S2814" s="78">
        <v>46388</v>
      </c>
      <c r="T2814" s="1"/>
      <c r="V2814" s="1"/>
      <c r="X2814" s="101">
        <v>2</v>
      </c>
    </row>
    <row r="2815" spans="1:24" hidden="1">
      <c r="A2815">
        <v>1221</v>
      </c>
      <c r="B2815" s="2">
        <v>46232.691689814797</v>
      </c>
      <c r="C2815" s="2">
        <v>46238.721284722204</v>
      </c>
      <c r="D2815" s="1" t="s">
        <v>24</v>
      </c>
      <c r="E2815" s="1"/>
      <c r="F2815" s="29">
        <v>46238</v>
      </c>
      <c r="G2815" s="29">
        <v>46269</v>
      </c>
      <c r="H2815" s="1" t="s">
        <v>107</v>
      </c>
      <c r="I2815" s="1"/>
      <c r="J2815" s="175">
        <v>82836409449</v>
      </c>
      <c r="K2815" s="188"/>
      <c r="L2815" s="62">
        <v>23369300</v>
      </c>
      <c r="M2815" s="102">
        <v>9841070467</v>
      </c>
      <c r="N2815" s="172" t="s">
        <v>37</v>
      </c>
      <c r="O2815" s="91">
        <v>10636.54</v>
      </c>
      <c r="P2815" s="91">
        <v>3190.96</v>
      </c>
      <c r="Q2815" s="42">
        <f>OfficeForms.Table[[#This Row],[ INFORMEDEPAGO ]]*0.3</f>
        <v>3190.962</v>
      </c>
      <c r="R2815" s="12">
        <f>(IF(O2815&lt;4172.98,0,MIN(O2815*0.3,O2815-4172.98)))-P2815</f>
        <v>1.9999999999527063E-3</v>
      </c>
      <c r="S2815" s="78">
        <v>46935</v>
      </c>
      <c r="T2815" s="1" t="s">
        <v>192</v>
      </c>
      <c r="V2815" s="1"/>
      <c r="X2815" s="101">
        <v>2</v>
      </c>
    </row>
    <row r="2816" spans="1:24" hidden="1">
      <c r="A2816">
        <v>1222</v>
      </c>
      <c r="B2816" s="2">
        <v>46238.735266203701</v>
      </c>
      <c r="C2816" s="2">
        <v>46238.736724536997</v>
      </c>
      <c r="D2816" s="1" t="s">
        <v>24</v>
      </c>
      <c r="E2816" s="1"/>
      <c r="F2816" s="29">
        <v>46238</v>
      </c>
      <c r="G2816" s="29">
        <v>46238</v>
      </c>
      <c r="H2816" s="1" t="s">
        <v>160</v>
      </c>
      <c r="I2816" s="1" t="s">
        <v>6371</v>
      </c>
      <c r="J2816" s="175">
        <v>31786205745</v>
      </c>
      <c r="K2816" s="188" t="s">
        <v>6372</v>
      </c>
      <c r="L2816" s="62">
        <v>23358296</v>
      </c>
      <c r="M2816" s="102">
        <v>5216183641422</v>
      </c>
      <c r="N2816" s="172" t="s">
        <v>32</v>
      </c>
      <c r="O2816" s="91">
        <v>4332.32</v>
      </c>
      <c r="P2816" s="91"/>
      <c r="Q2816" s="42">
        <f>OfficeForms.Table[[#This Row],[ INFORMEDEPAGO ]]*0.3</f>
        <v>1299.6959999999999</v>
      </c>
      <c r="R2816" s="12">
        <f>(IF(O2816&lt;4172.98,0,MIN(O2816*0.3,O2816-4172.98)))-P2816</f>
        <v>159.34000000000015</v>
      </c>
      <c r="S2816" s="78"/>
      <c r="T2816" s="1"/>
      <c r="V2816" s="1"/>
      <c r="X2816" s="101">
        <v>1</v>
      </c>
    </row>
    <row r="2817" spans="1:24" hidden="1">
      <c r="A2817">
        <v>1223</v>
      </c>
      <c r="B2817" s="2">
        <v>46238.725092592598</v>
      </c>
      <c r="C2817" s="2">
        <v>46238.738587963002</v>
      </c>
      <c r="D2817" s="1" t="s">
        <v>24</v>
      </c>
      <c r="E2817" s="1"/>
      <c r="F2817" s="29">
        <v>46238</v>
      </c>
      <c r="G2817" s="29">
        <v>46238</v>
      </c>
      <c r="H2817" s="1" t="s">
        <v>51</v>
      </c>
      <c r="I2817" s="1" t="s">
        <v>6373</v>
      </c>
      <c r="J2817" s="175">
        <v>32806038082</v>
      </c>
      <c r="K2817" s="188" t="s">
        <v>6374</v>
      </c>
      <c r="L2817" s="62">
        <v>23368952</v>
      </c>
      <c r="M2817" s="102">
        <v>23368952</v>
      </c>
      <c r="N2817" s="172" t="s">
        <v>28</v>
      </c>
      <c r="O2817" s="91">
        <v>7116.73</v>
      </c>
      <c r="P2817" s="91"/>
      <c r="Q2817" s="42">
        <f>OfficeForms.Table[[#This Row],[ INFORMEDEPAGO ]]*0.3</f>
        <v>2135.0189999999998</v>
      </c>
      <c r="R2817" s="12">
        <f>(IF(O2817&lt;4172.98,0,MIN(O2817*0.3,O2817-4172.98)))-P2817</f>
        <v>2135.0189999999998</v>
      </c>
      <c r="S2817" s="78"/>
      <c r="T2817" s="1"/>
      <c r="V2817" s="1"/>
      <c r="X2817" s="101">
        <v>1</v>
      </c>
    </row>
    <row r="2818" spans="1:24" hidden="1">
      <c r="A2818">
        <v>1224</v>
      </c>
      <c r="B2818" s="2">
        <v>46238.738877314798</v>
      </c>
      <c r="C2818" s="2">
        <v>46238.739386574103</v>
      </c>
      <c r="D2818" s="1" t="s">
        <v>24</v>
      </c>
      <c r="E2818" s="1"/>
      <c r="F2818" s="29">
        <v>46238</v>
      </c>
      <c r="G2818" s="29">
        <v>46238</v>
      </c>
      <c r="H2818" s="1" t="s">
        <v>269</v>
      </c>
      <c r="I2818" s="1" t="s">
        <v>6375</v>
      </c>
      <c r="J2818" s="175" t="s">
        <v>6376</v>
      </c>
      <c r="K2818" s="188" t="s">
        <v>6377</v>
      </c>
      <c r="L2818" s="62">
        <v>23368834</v>
      </c>
      <c r="M2818" s="102">
        <v>5216323240163</v>
      </c>
      <c r="N2818" s="172" t="s">
        <v>130</v>
      </c>
      <c r="O2818" s="91">
        <v>5239.09</v>
      </c>
      <c r="P2818" s="91">
        <v>1108.26</v>
      </c>
      <c r="Q2818" s="42">
        <f>OfficeForms.Table[[#This Row],[ INFORMEDEPAGO ]]*0.3</f>
        <v>1571.7270000000001</v>
      </c>
      <c r="R2818" s="12">
        <f>(IF(O2818&lt;4172.98,0,MIN(O2818*0.3,O2818-4172.98)))-P2818</f>
        <v>-42.149999999999409</v>
      </c>
      <c r="S2818" s="78">
        <v>45352</v>
      </c>
      <c r="T2818" s="1"/>
      <c r="V2818" s="1"/>
      <c r="X2818" s="101">
        <v>2</v>
      </c>
    </row>
    <row r="2819" spans="1:24" hidden="1">
      <c r="A2819">
        <v>1225</v>
      </c>
      <c r="B2819" s="2">
        <v>46238.737824074102</v>
      </c>
      <c r="C2819" s="2">
        <v>46238.740023148101</v>
      </c>
      <c r="D2819" s="1" t="s">
        <v>24</v>
      </c>
      <c r="E2819" s="1"/>
      <c r="F2819" s="29">
        <v>46238</v>
      </c>
      <c r="G2819" s="29">
        <v>46238</v>
      </c>
      <c r="H2819" s="1" t="s">
        <v>3452</v>
      </c>
      <c r="I2819" s="1" t="s">
        <v>6378</v>
      </c>
      <c r="J2819" s="207">
        <v>21846450365</v>
      </c>
      <c r="K2819" s="188" t="s">
        <v>6379</v>
      </c>
      <c r="L2819" s="62">
        <v>23372588</v>
      </c>
      <c r="M2819" s="102">
        <v>6151591111</v>
      </c>
      <c r="N2819" s="172" t="s">
        <v>28</v>
      </c>
      <c r="O2819" s="91">
        <v>78794.48</v>
      </c>
      <c r="P2819" s="91">
        <v>17633.55</v>
      </c>
      <c r="Q2819" s="42">
        <f>OfficeForms.Table[[#This Row],[ INFORMEDEPAGO ]]*0.3</f>
        <v>23638.343999999997</v>
      </c>
      <c r="R2819" s="12">
        <f>(IF(O2819&lt;4172.98,0,MIN(O2819*0.3,O2819-4172.98)))-P2819</f>
        <v>6004.7939999999981</v>
      </c>
      <c r="S2819" s="78">
        <v>46419</v>
      </c>
      <c r="T2819" s="1"/>
      <c r="V2819" s="1"/>
      <c r="X2819" s="101">
        <v>2</v>
      </c>
    </row>
    <row r="2820" spans="1:24" hidden="1">
      <c r="A2820">
        <v>1226</v>
      </c>
      <c r="B2820" s="2">
        <v>46238.740949074097</v>
      </c>
      <c r="C2820" s="2">
        <v>46238.741412037001</v>
      </c>
      <c r="D2820" s="1" t="s">
        <v>24</v>
      </c>
      <c r="E2820" s="1"/>
      <c r="F2820" s="29">
        <v>46238</v>
      </c>
      <c r="G2820" s="29">
        <v>46238</v>
      </c>
      <c r="H2820" s="1" t="s">
        <v>269</v>
      </c>
      <c r="I2820" s="1" t="s">
        <v>6380</v>
      </c>
      <c r="J2820" s="175" t="s">
        <v>6381</v>
      </c>
      <c r="K2820" s="188" t="s">
        <v>6382</v>
      </c>
      <c r="L2820" s="62">
        <v>23361474</v>
      </c>
      <c r="M2820" s="102">
        <v>5216561562511</v>
      </c>
      <c r="N2820" s="172" t="s">
        <v>37</v>
      </c>
      <c r="O2820" s="91">
        <v>16758.27</v>
      </c>
      <c r="P2820" s="91">
        <v>4775.8599999999997</v>
      </c>
      <c r="Q2820" s="42">
        <f>OfficeForms.Table[[#This Row],[ INFORMEDEPAGO ]]*0.3</f>
        <v>5027.4809999999998</v>
      </c>
      <c r="R2820" s="12">
        <f>(IF(O2820&lt;4172.98,0,MIN(O2820*0.3,O2820-4172.98)))-P2820</f>
        <v>251.62100000000009</v>
      </c>
      <c r="S2820" s="78">
        <v>46569</v>
      </c>
      <c r="T2820" s="1"/>
      <c r="V2820" s="1"/>
      <c r="X2820" s="101">
        <v>2</v>
      </c>
    </row>
    <row r="2821" spans="1:24" hidden="1">
      <c r="A2821">
        <v>1227</v>
      </c>
      <c r="B2821" s="2">
        <v>46238.748796296299</v>
      </c>
      <c r="C2821" s="2">
        <v>46238.749652777798</v>
      </c>
      <c r="D2821" s="1" t="s">
        <v>24</v>
      </c>
      <c r="E2821" s="1"/>
      <c r="F2821" s="29">
        <v>46238</v>
      </c>
      <c r="G2821" s="29">
        <v>46238</v>
      </c>
      <c r="H2821" s="1" t="s">
        <v>160</v>
      </c>
      <c r="I2821" s="1" t="s">
        <v>6383</v>
      </c>
      <c r="J2821" s="175">
        <v>33774802327</v>
      </c>
      <c r="K2821" s="188" t="s">
        <v>6384</v>
      </c>
      <c r="L2821" s="62">
        <v>23345002</v>
      </c>
      <c r="M2821" s="102">
        <v>5216567775284</v>
      </c>
      <c r="N2821" s="172" t="s">
        <v>32</v>
      </c>
      <c r="O2821" s="91">
        <v>3869.36</v>
      </c>
      <c r="P2821" s="91">
        <v>879</v>
      </c>
      <c r="Q2821" s="42">
        <f>OfficeForms.Table[[#This Row],[ INFORMEDEPAGO ]]*0.3</f>
        <v>1160.808</v>
      </c>
      <c r="R2821" s="12">
        <f>(IF(O2821&lt;4172.98,0,MIN(O2821*0.3,O2821-4172.98)))-P2821</f>
        <v>-879</v>
      </c>
      <c r="S2821" s="78"/>
      <c r="T2821" s="1"/>
      <c r="V2821" s="1"/>
      <c r="X2821" s="101">
        <v>1</v>
      </c>
    </row>
    <row r="2822" spans="1:24" hidden="1">
      <c r="A2822">
        <v>1228</v>
      </c>
      <c r="B2822" s="2">
        <v>46238.752187500002</v>
      </c>
      <c r="C2822" s="2">
        <v>46238.752719907403</v>
      </c>
      <c r="D2822" s="1" t="s">
        <v>24</v>
      </c>
      <c r="E2822" s="1"/>
      <c r="F2822" s="29">
        <v>46238</v>
      </c>
      <c r="G2822" s="29">
        <v>46235</v>
      </c>
      <c r="H2822" s="1" t="s">
        <v>3036</v>
      </c>
      <c r="I2822" s="1" t="s">
        <v>6385</v>
      </c>
      <c r="J2822" s="175">
        <v>32846319393</v>
      </c>
      <c r="K2822" s="188"/>
      <c r="L2822" s="62">
        <v>23287686</v>
      </c>
      <c r="M2822" s="102">
        <v>5218442959612</v>
      </c>
      <c r="N2822" s="172" t="s">
        <v>263</v>
      </c>
      <c r="O2822" s="91">
        <v>7920.51</v>
      </c>
      <c r="P2822" s="91">
        <v>2099.48</v>
      </c>
      <c r="Q2822" s="42">
        <f>OfficeForms.Table[[#This Row],[ INFORMEDEPAGO ]]*0.3</f>
        <v>2376.1529999999998</v>
      </c>
      <c r="R2822" s="12">
        <f>(IF(O2822&lt;4172.98,0,MIN(O2822*0.3,O2822-4172.98)))-P2822</f>
        <v>276.67299999999977</v>
      </c>
      <c r="S2822" s="78">
        <v>46023</v>
      </c>
      <c r="T2822" s="1" t="s">
        <v>192</v>
      </c>
      <c r="V2822" s="1"/>
      <c r="X2822" s="101">
        <v>2</v>
      </c>
    </row>
    <row r="2823" spans="1:24" hidden="1">
      <c r="A2823">
        <v>1229</v>
      </c>
      <c r="B2823" s="2">
        <v>46238.753310185202</v>
      </c>
      <c r="C2823" s="2">
        <v>46238.753680555601</v>
      </c>
      <c r="D2823" s="1" t="s">
        <v>24</v>
      </c>
      <c r="E2823" s="1"/>
      <c r="F2823" s="29">
        <v>46238</v>
      </c>
      <c r="G2823" s="29">
        <v>46238</v>
      </c>
      <c r="H2823" s="1" t="s">
        <v>269</v>
      </c>
      <c r="I2823" s="1" t="s">
        <v>6386</v>
      </c>
      <c r="J2823" s="175"/>
      <c r="K2823" s="188" t="s">
        <v>6387</v>
      </c>
      <c r="L2823" s="62">
        <v>23353636</v>
      </c>
      <c r="M2823" s="102">
        <v>5213331074067</v>
      </c>
      <c r="N2823" s="172" t="s">
        <v>28</v>
      </c>
      <c r="O2823" s="91">
        <v>10636.54</v>
      </c>
      <c r="P2823" s="91"/>
      <c r="Q2823" s="42">
        <f>OfficeForms.Table[[#This Row],[ INFORMEDEPAGO ]]*0.3</f>
        <v>3190.962</v>
      </c>
      <c r="R2823" s="12">
        <f>(IF(O2823&lt;4172.98,0,MIN(O2823*0.3,O2823-4172.98)))-P2823</f>
        <v>3190.962</v>
      </c>
      <c r="S2823" s="78"/>
      <c r="T2823" s="1"/>
      <c r="V2823" s="1"/>
      <c r="X2823" s="101">
        <v>1</v>
      </c>
    </row>
    <row r="2824" spans="1:24" hidden="1">
      <c r="A2824">
        <v>1230</v>
      </c>
      <c r="B2824" s="2">
        <v>46238.702800925901</v>
      </c>
      <c r="C2824" s="2">
        <v>46238.760775463001</v>
      </c>
      <c r="D2824" s="1" t="s">
        <v>24</v>
      </c>
      <c r="E2824" s="1"/>
      <c r="F2824" s="29">
        <v>46238</v>
      </c>
      <c r="G2824" s="29">
        <v>46239</v>
      </c>
      <c r="H2824" s="1" t="s">
        <v>71</v>
      </c>
      <c r="I2824" s="1" t="s">
        <v>6388</v>
      </c>
      <c r="J2824" s="175" t="s">
        <v>6389</v>
      </c>
      <c r="K2824" s="189" t="s">
        <v>6390</v>
      </c>
      <c r="L2824" s="62">
        <v>23372986</v>
      </c>
      <c r="M2824" s="102">
        <v>5212292085395</v>
      </c>
      <c r="N2824" s="172" t="s">
        <v>106</v>
      </c>
      <c r="O2824" s="91">
        <v>16023.87</v>
      </c>
      <c r="P2824" s="91">
        <v>4807.16</v>
      </c>
      <c r="Q2824" s="42">
        <f>OfficeForms.Table[[#This Row],[ INFORMEDEPAGO ]]*0.3</f>
        <v>4807.1610000000001</v>
      </c>
      <c r="R2824" s="12">
        <f>(IF(O2824&lt;4172.98,0,MIN(O2824*0.3,O2824-4172.98)))-P2824</f>
        <v>1.0000000002037268E-3</v>
      </c>
      <c r="S2824" s="78">
        <v>46082</v>
      </c>
      <c r="T2824" s="1"/>
      <c r="V2824" s="1"/>
      <c r="X2824" s="101">
        <v>2</v>
      </c>
    </row>
    <row r="2825" spans="1:24" hidden="1">
      <c r="A2825">
        <v>1231</v>
      </c>
      <c r="B2825" s="2">
        <v>46238.762534722198</v>
      </c>
      <c r="C2825" s="2">
        <v>46238.763298611098</v>
      </c>
      <c r="D2825" s="1" t="s">
        <v>24</v>
      </c>
      <c r="E2825" s="1"/>
      <c r="F2825" s="29">
        <v>46238</v>
      </c>
      <c r="G2825" s="29">
        <v>46237</v>
      </c>
      <c r="H2825" s="1" t="s">
        <v>3452</v>
      </c>
      <c r="I2825" s="1" t="s">
        <v>6391</v>
      </c>
      <c r="J2825" s="175">
        <v>22826101051</v>
      </c>
      <c r="K2825" s="188"/>
      <c r="L2825" s="62">
        <v>23334138</v>
      </c>
      <c r="M2825" s="102">
        <v>6242444774</v>
      </c>
      <c r="N2825" s="172" t="s">
        <v>37</v>
      </c>
      <c r="O2825" s="91">
        <v>7116.73</v>
      </c>
      <c r="P2825" s="91">
        <v>2058.04</v>
      </c>
      <c r="Q2825" s="42">
        <f>OfficeForms.Table[[#This Row],[ INFORMEDEPAGO ]]*0.3</f>
        <v>2135.0189999999998</v>
      </c>
      <c r="R2825" s="12">
        <f>(IF(O2825&lt;4172.98,0,MIN(O2825*0.3,O2825-4172.98)))-P2825</f>
        <v>76.978999999999814</v>
      </c>
      <c r="S2825" s="78">
        <v>46600</v>
      </c>
      <c r="T2825" s="1"/>
      <c r="V2825" s="1"/>
      <c r="X2825" s="101">
        <v>2</v>
      </c>
    </row>
    <row r="2826" spans="1:24" hidden="1">
      <c r="A2826">
        <v>1232</v>
      </c>
      <c r="B2826" s="2">
        <v>46238.780671296299</v>
      </c>
      <c r="C2826" s="2">
        <v>46238.78125</v>
      </c>
      <c r="D2826" s="1" t="s">
        <v>24</v>
      </c>
      <c r="E2826" s="1"/>
      <c r="F2826" s="29">
        <v>46238</v>
      </c>
      <c r="G2826" s="29">
        <v>46238</v>
      </c>
      <c r="H2826" s="1" t="s">
        <v>71</v>
      </c>
      <c r="I2826" s="1" t="s">
        <v>6392</v>
      </c>
      <c r="J2826" s="175" t="s">
        <v>6393</v>
      </c>
      <c r="K2826" s="188"/>
      <c r="L2826" s="62">
        <v>23374710</v>
      </c>
      <c r="M2826" s="102">
        <v>6221069550</v>
      </c>
      <c r="N2826" s="172" t="s">
        <v>32</v>
      </c>
      <c r="O2826" s="91">
        <v>3879.3</v>
      </c>
      <c r="P2826" s="91"/>
      <c r="Q2826" s="42">
        <f>OfficeForms.Table[[#This Row],[ INFORMEDEPAGO ]]*0.3</f>
        <v>1163.79</v>
      </c>
      <c r="R2826" s="12">
        <f>(IF(O2826&lt;4172.98,0,MIN(O2826*0.3,O2826-4172.98)))-P2826</f>
        <v>0</v>
      </c>
      <c r="S2826" s="78"/>
      <c r="T2826" s="1"/>
      <c r="V2826" s="1"/>
      <c r="X2826" s="101">
        <v>1</v>
      </c>
    </row>
    <row r="2827" spans="1:24" hidden="1">
      <c r="A2827">
        <v>1233</v>
      </c>
      <c r="B2827" s="2">
        <v>46238.782210648104</v>
      </c>
      <c r="C2827" s="2">
        <v>46238.782847222203</v>
      </c>
      <c r="D2827" s="1" t="s">
        <v>24</v>
      </c>
      <c r="E2827" s="1"/>
      <c r="F2827" s="29">
        <v>46238</v>
      </c>
      <c r="G2827" s="29">
        <v>46238</v>
      </c>
      <c r="H2827" s="1" t="s">
        <v>26</v>
      </c>
      <c r="I2827" s="1" t="s">
        <v>6394</v>
      </c>
      <c r="J2827" s="175"/>
      <c r="K2827" s="188" t="s">
        <v>6395</v>
      </c>
      <c r="L2827" s="62">
        <v>23375398</v>
      </c>
      <c r="M2827" s="102">
        <v>5216311865266</v>
      </c>
      <c r="N2827" s="172" t="s">
        <v>37</v>
      </c>
      <c r="O2827" s="91">
        <v>7116.73</v>
      </c>
      <c r="P2827" s="91">
        <v>2055.65</v>
      </c>
      <c r="Q2827" s="42">
        <f>OfficeForms.Table[[#This Row],[ INFORMEDEPAGO ]]*0.3</f>
        <v>2135.0189999999998</v>
      </c>
      <c r="R2827" s="12">
        <f>(IF(O2827&lt;4172.98,0,MIN(O2827*0.3,O2827-4172.98)))-P2827</f>
        <v>79.368999999999687</v>
      </c>
      <c r="S2827" s="78">
        <v>46357</v>
      </c>
      <c r="T2827" s="1"/>
      <c r="V2827" s="1"/>
      <c r="X2827" s="101">
        <v>2</v>
      </c>
    </row>
    <row r="2828" spans="1:24" hidden="1">
      <c r="A2828">
        <v>1234</v>
      </c>
      <c r="B2828" s="2">
        <v>46238.783275463</v>
      </c>
      <c r="C2828" s="2">
        <v>46238.784027777801</v>
      </c>
      <c r="D2828" s="1" t="s">
        <v>24</v>
      </c>
      <c r="E2828" s="1"/>
      <c r="F2828" s="29">
        <v>46238</v>
      </c>
      <c r="G2828" s="29">
        <v>46238</v>
      </c>
      <c r="H2828" s="1" t="s">
        <v>110</v>
      </c>
      <c r="I2828" s="1" t="s">
        <v>6396</v>
      </c>
      <c r="J2828" s="175">
        <v>16956000240</v>
      </c>
      <c r="K2828" s="188" t="s">
        <v>6397</v>
      </c>
      <c r="L2828" s="62">
        <v>23370944</v>
      </c>
      <c r="M2828" s="102">
        <v>5215643390142</v>
      </c>
      <c r="N2828" s="172" t="s">
        <v>32</v>
      </c>
      <c r="O2828" s="91">
        <v>4332.32</v>
      </c>
      <c r="P2828" s="91"/>
      <c r="Q2828" s="42">
        <f>OfficeForms.Table[[#This Row],[ INFORMEDEPAGO ]]*0.3</f>
        <v>1299.6959999999999</v>
      </c>
      <c r="R2828" s="12">
        <f>(IF(O2828&lt;4172.98,0,MIN(O2828*0.3,O2828-4172.98)))-P2828</f>
        <v>159.34000000000015</v>
      </c>
      <c r="S2828" s="78"/>
      <c r="T2828" s="1"/>
      <c r="V2828" s="1"/>
      <c r="X2828" s="101">
        <v>1</v>
      </c>
    </row>
    <row r="2829" spans="1:24" hidden="1">
      <c r="A2829">
        <v>1235</v>
      </c>
      <c r="B2829" s="2">
        <v>46238.7944907407</v>
      </c>
      <c r="C2829" s="2">
        <v>46238.794953703698</v>
      </c>
      <c r="D2829" s="1" t="s">
        <v>24</v>
      </c>
      <c r="E2829" s="1"/>
      <c r="F2829" s="29">
        <v>46238</v>
      </c>
      <c r="G2829" s="29">
        <v>46238</v>
      </c>
      <c r="H2829" s="1" t="s">
        <v>26</v>
      </c>
      <c r="I2829" s="1" t="s">
        <v>6398</v>
      </c>
      <c r="J2829" s="175">
        <v>81866201742</v>
      </c>
      <c r="K2829" s="188"/>
      <c r="L2829" s="62">
        <v>23373826</v>
      </c>
      <c r="M2829" s="102">
        <v>5219811810243</v>
      </c>
      <c r="N2829" s="172" t="s">
        <v>37</v>
      </c>
      <c r="O2829" s="91">
        <v>10454.969999999999</v>
      </c>
      <c r="P2829" s="91">
        <v>3134.59</v>
      </c>
      <c r="Q2829" s="42">
        <f>OfficeForms.Table[[#This Row],[ INFORMEDEPAGO ]]*0.3</f>
        <v>3136.4909999999995</v>
      </c>
      <c r="R2829" s="12">
        <f>(IF(O2829&lt;4172.98,0,MIN(O2829*0.3,O2829-4172.98)))-P2829</f>
        <v>1.9009999999993852</v>
      </c>
      <c r="S2829" s="78">
        <v>46327</v>
      </c>
      <c r="T2829" s="1"/>
      <c r="V2829" s="1"/>
      <c r="X2829" s="101">
        <v>2</v>
      </c>
    </row>
    <row r="2830" spans="1:24" hidden="1">
      <c r="A2830">
        <v>1236</v>
      </c>
      <c r="B2830" s="2">
        <v>46238.800347222197</v>
      </c>
      <c r="C2830" s="2">
        <v>46238.800891203697</v>
      </c>
      <c r="D2830" s="1" t="s">
        <v>24</v>
      </c>
      <c r="E2830" s="1"/>
      <c r="F2830" s="29">
        <v>46238</v>
      </c>
      <c r="G2830" s="29">
        <v>46238</v>
      </c>
      <c r="H2830" s="1" t="s">
        <v>110</v>
      </c>
      <c r="I2830" s="1"/>
      <c r="J2830" s="175">
        <v>63816216517</v>
      </c>
      <c r="K2830" s="188" t="s">
        <v>6397</v>
      </c>
      <c r="L2830" s="62">
        <v>23370944</v>
      </c>
      <c r="M2830" s="102">
        <v>5215643390142</v>
      </c>
      <c r="N2830" s="172" t="s">
        <v>37</v>
      </c>
      <c r="O2830" s="91">
        <v>7116.73</v>
      </c>
      <c r="P2830" s="91">
        <v>2055.04</v>
      </c>
      <c r="Q2830" s="42">
        <f>OfficeForms.Table[[#This Row],[ INFORMEDEPAGO ]]*0.3</f>
        <v>2135.0189999999998</v>
      </c>
      <c r="R2830" s="12">
        <f>(IF(O2830&lt;4172.98,0,MIN(O2830*0.3,O2830-4172.98)))-P2830</f>
        <v>79.978999999999814</v>
      </c>
      <c r="S2830" s="78">
        <v>46478</v>
      </c>
      <c r="T2830" s="1"/>
      <c r="V2830" s="1"/>
      <c r="X2830" s="101">
        <v>2</v>
      </c>
    </row>
    <row r="2831" spans="1:24" hidden="1">
      <c r="A2831">
        <v>1237</v>
      </c>
      <c r="B2831" s="2">
        <v>46238.756585648203</v>
      </c>
      <c r="C2831" s="2">
        <v>46238.915648148097</v>
      </c>
      <c r="D2831" s="1" t="s">
        <v>24</v>
      </c>
      <c r="E2831" s="1"/>
      <c r="F2831" s="29">
        <v>46238</v>
      </c>
      <c r="G2831" s="29">
        <v>46238</v>
      </c>
      <c r="H2831" s="1" t="s">
        <v>3572</v>
      </c>
      <c r="I2831" s="1" t="s">
        <v>6399</v>
      </c>
      <c r="J2831" s="175">
        <v>43927775239</v>
      </c>
      <c r="K2831" s="188"/>
      <c r="L2831" s="62">
        <v>23288402</v>
      </c>
      <c r="M2831" s="102">
        <v>5218124669902</v>
      </c>
      <c r="N2831" s="172" t="s">
        <v>130</v>
      </c>
      <c r="O2831" s="91">
        <v>5742.01</v>
      </c>
      <c r="P2831" s="91">
        <v>638.04999999999995</v>
      </c>
      <c r="Q2831" s="42">
        <f>OfficeForms.Table[[#This Row],[ INFORMEDEPAGO ]]*0.3</f>
        <v>1722.6030000000001</v>
      </c>
      <c r="R2831" s="12">
        <f>(IF(O2831&lt;4172.98,0,MIN(O2831*0.3,O2831-4172.98)))-P2831</f>
        <v>930.9800000000007</v>
      </c>
      <c r="S2831" s="78">
        <v>46204</v>
      </c>
      <c r="T2831" s="1"/>
      <c r="V2831" s="1"/>
      <c r="X2831" s="101">
        <v>2</v>
      </c>
    </row>
    <row r="2832" spans="1:24" hidden="1">
      <c r="A2832">
        <v>1238</v>
      </c>
      <c r="B2832" s="2">
        <v>46239.320879629602</v>
      </c>
      <c r="C2832" s="2">
        <v>46239.366273148102</v>
      </c>
      <c r="D2832" s="1" t="s">
        <v>24</v>
      </c>
      <c r="E2832" s="1"/>
      <c r="F2832" s="29">
        <v>46239</v>
      </c>
      <c r="G2832" s="29">
        <v>46239</v>
      </c>
      <c r="H2832" s="1" t="s">
        <v>1625</v>
      </c>
      <c r="I2832" s="1" t="s">
        <v>6400</v>
      </c>
      <c r="J2832" s="175" t="s">
        <v>6401</v>
      </c>
      <c r="K2832" s="188" t="s">
        <v>6402</v>
      </c>
      <c r="L2832" s="62">
        <v>2</v>
      </c>
      <c r="M2832" s="102" t="s">
        <v>6403</v>
      </c>
      <c r="N2832" s="172" t="s">
        <v>37</v>
      </c>
      <c r="O2832" s="91">
        <v>9760.32</v>
      </c>
      <c r="P2832" s="91">
        <v>2927.2</v>
      </c>
      <c r="Q2832" s="42">
        <f>OfficeForms.Table[[#This Row],[ INFORMEDEPAGO ]]*0.3</f>
        <v>2928.096</v>
      </c>
      <c r="R2832" s="12">
        <f>(IF(O2832&lt;4172.98,0,MIN(O2832*0.3,O2832-4172.98)))-P2832</f>
        <v>0.89600000000018554</v>
      </c>
      <c r="S2832" s="78">
        <v>46692</v>
      </c>
      <c r="T2832" s="1"/>
      <c r="V2832" s="1"/>
      <c r="X2832" s="101">
        <v>2</v>
      </c>
    </row>
    <row r="2833" spans="1:24" hidden="1">
      <c r="A2833">
        <v>1239</v>
      </c>
      <c r="B2833" s="2">
        <v>46239.394502314797</v>
      </c>
      <c r="C2833" s="2">
        <v>46239.395474536999</v>
      </c>
      <c r="D2833" s="1" t="s">
        <v>24</v>
      </c>
      <c r="E2833" s="1"/>
      <c r="F2833" s="29">
        <v>46239</v>
      </c>
      <c r="G2833" s="29">
        <v>46239</v>
      </c>
      <c r="H2833" s="1" t="s">
        <v>1629</v>
      </c>
      <c r="I2833" s="1" t="s">
        <v>6404</v>
      </c>
      <c r="J2833" s="175">
        <v>62896602083</v>
      </c>
      <c r="K2833" s="188" t="s">
        <v>6405</v>
      </c>
      <c r="L2833" s="62">
        <v>2</v>
      </c>
      <c r="M2833" s="102">
        <v>2225500506</v>
      </c>
      <c r="N2833" s="172" t="s">
        <v>32</v>
      </c>
      <c r="O2833" s="91">
        <f>3351.87+848</f>
        <v>4199.87</v>
      </c>
      <c r="P2833" s="91">
        <v>848</v>
      </c>
      <c r="Q2833" s="42">
        <f>OfficeForms.Table[[#This Row],[ INFORMEDEPAGO ]]*0.3</f>
        <v>1259.961</v>
      </c>
      <c r="R2833" s="12">
        <f>(IF(O2833&lt;4172.98,0,MIN(O2833*0.3,O2833-4172.98)))-P2833</f>
        <v>-821.10999999999967</v>
      </c>
      <c r="S2833" s="78"/>
      <c r="T2833" s="1"/>
      <c r="V2833" s="1"/>
      <c r="X2833" s="101">
        <v>1</v>
      </c>
    </row>
    <row r="2834" spans="1:24" hidden="1">
      <c r="A2834">
        <v>1240</v>
      </c>
      <c r="B2834" s="2">
        <v>46239.339988425898</v>
      </c>
      <c r="C2834" s="2">
        <v>46239.397280092599</v>
      </c>
      <c r="D2834" s="1" t="s">
        <v>24</v>
      </c>
      <c r="E2834" s="1"/>
      <c r="F2834" s="29">
        <v>46239</v>
      </c>
      <c r="G2834" s="29">
        <v>46234</v>
      </c>
      <c r="H2834" s="1" t="s">
        <v>3572</v>
      </c>
      <c r="I2834" s="1" t="s">
        <v>6406</v>
      </c>
      <c r="J2834" s="175"/>
      <c r="K2834" s="188" t="s">
        <v>6407</v>
      </c>
      <c r="L2834" s="62">
        <v>23260756</v>
      </c>
      <c r="M2834" s="102">
        <v>5214443040955</v>
      </c>
      <c r="N2834" s="172" t="s">
        <v>37</v>
      </c>
      <c r="O2834" s="91">
        <v>11399.56</v>
      </c>
      <c r="P2834" s="91">
        <v>3292.64</v>
      </c>
      <c r="Q2834" s="42">
        <f>OfficeForms.Table[[#This Row],[ INFORMEDEPAGO ]]*0.3</f>
        <v>3419.8679999999999</v>
      </c>
      <c r="R2834" s="12">
        <f>(IF(O2834&lt;4172.98,0,MIN(O2834*0.3,O2834-4172.98)))-P2834</f>
        <v>127.22800000000007</v>
      </c>
      <c r="S2834" s="78">
        <v>46784</v>
      </c>
      <c r="T2834" s="1" t="s">
        <v>6408</v>
      </c>
      <c r="V2834" s="1"/>
      <c r="X2834" s="101">
        <v>2</v>
      </c>
    </row>
    <row r="2835" spans="1:24" hidden="1">
      <c r="A2835">
        <v>1241</v>
      </c>
      <c r="B2835" s="2">
        <v>46239.396840277797</v>
      </c>
      <c r="C2835" s="2">
        <v>46239.397511574098</v>
      </c>
      <c r="D2835" s="1" t="s">
        <v>24</v>
      </c>
      <c r="E2835" s="1"/>
      <c r="F2835" s="29">
        <v>46239</v>
      </c>
      <c r="G2835" s="29">
        <v>46239</v>
      </c>
      <c r="H2835" s="1" t="s">
        <v>103</v>
      </c>
      <c r="I2835" s="1"/>
      <c r="J2835" s="175">
        <v>32836478100</v>
      </c>
      <c r="K2835" s="188"/>
      <c r="L2835" s="62">
        <v>1</v>
      </c>
      <c r="M2835" s="102">
        <v>8442314554</v>
      </c>
      <c r="N2835" s="172" t="s">
        <v>37</v>
      </c>
      <c r="O2835" s="121">
        <v>47701.14</v>
      </c>
      <c r="P2835" s="121">
        <v>14701.14</v>
      </c>
      <c r="Q2835" s="121">
        <f>O2835*0.3</f>
        <v>14310.341999999999</v>
      </c>
      <c r="R2835" s="121">
        <f>(IF(O2835&lt;4172.98,0,MIN(O2835*0.3,O2835-4172.98)))-P2835</f>
        <v>-390.79800000000068</v>
      </c>
      <c r="S2835" s="78">
        <v>46296</v>
      </c>
      <c r="T2835" s="1"/>
      <c r="V2835" s="1"/>
      <c r="X2835" s="101">
        <v>2</v>
      </c>
    </row>
    <row r="2836" spans="1:24" hidden="1">
      <c r="A2836">
        <v>1242</v>
      </c>
      <c r="B2836" s="2">
        <v>46239.399884259299</v>
      </c>
      <c r="C2836" s="2">
        <v>46239.403530092597</v>
      </c>
      <c r="D2836" s="1" t="s">
        <v>24</v>
      </c>
      <c r="E2836" s="1"/>
      <c r="F2836" s="29">
        <v>46239</v>
      </c>
      <c r="G2836" s="29">
        <v>46239</v>
      </c>
      <c r="H2836" s="1" t="s">
        <v>51</v>
      </c>
      <c r="I2836" s="1" t="s">
        <v>6409</v>
      </c>
      <c r="J2836" s="207" t="s">
        <v>6410</v>
      </c>
      <c r="K2836" s="188" t="s">
        <v>6411</v>
      </c>
      <c r="L2836" s="62">
        <v>23390948</v>
      </c>
      <c r="M2836" s="102">
        <v>23390948</v>
      </c>
      <c r="N2836" s="172" t="s">
        <v>28</v>
      </c>
      <c r="O2836" s="91">
        <v>6405.06</v>
      </c>
      <c r="P2836" s="91"/>
      <c r="Q2836" s="42">
        <f>OfficeForms.Table[[#This Row],[ INFORMEDEPAGO ]]*0.3</f>
        <v>1921.518</v>
      </c>
      <c r="R2836" s="12">
        <f>(IF(O2836&lt;4172.98,0,MIN(O2836*0.3,O2836-4172.98)))-P2836</f>
        <v>1921.518</v>
      </c>
      <c r="S2836" s="78"/>
      <c r="T2836" s="1"/>
      <c r="V2836" s="1"/>
      <c r="X2836" s="101">
        <v>1</v>
      </c>
    </row>
    <row r="2837" spans="1:24" hidden="1">
      <c r="A2837">
        <v>1243</v>
      </c>
      <c r="B2837" s="2">
        <v>46239.403541666703</v>
      </c>
      <c r="C2837" s="2">
        <v>46239.406215277799</v>
      </c>
      <c r="D2837" s="1" t="s">
        <v>24</v>
      </c>
      <c r="E2837" s="1"/>
      <c r="F2837" s="29">
        <v>46239</v>
      </c>
      <c r="G2837" s="29">
        <v>46239</v>
      </c>
      <c r="H2837" s="1" t="s">
        <v>51</v>
      </c>
      <c r="I2837" s="1" t="s">
        <v>6412</v>
      </c>
      <c r="J2837" s="175"/>
      <c r="K2837" s="188" t="s">
        <v>6413</v>
      </c>
      <c r="L2837" s="62">
        <v>23379868</v>
      </c>
      <c r="M2837" s="102">
        <v>5216631697305</v>
      </c>
      <c r="N2837" s="172" t="s">
        <v>32</v>
      </c>
      <c r="O2837" s="91">
        <f>14116.75-10548</f>
        <v>3568.75</v>
      </c>
      <c r="P2837" s="91">
        <v>848</v>
      </c>
      <c r="Q2837" s="42">
        <f>OfficeForms.Table[[#This Row],[ INFORMEDEPAGO ]]*0.3</f>
        <v>1070.625</v>
      </c>
      <c r="R2837" s="12">
        <f>(IF(O2837&lt;4172.98,0,MIN(O2837*0.3,O2837-4172.98)))-P2837</f>
        <v>-848</v>
      </c>
      <c r="S2837" s="78"/>
      <c r="T2837" s="1"/>
      <c r="V2837" s="1"/>
      <c r="X2837" s="101">
        <v>1</v>
      </c>
    </row>
    <row r="2838" spans="1:24" hidden="1">
      <c r="A2838">
        <v>1244</v>
      </c>
      <c r="B2838" s="2">
        <v>46239.414745370399</v>
      </c>
      <c r="C2838" s="2">
        <v>46239.423009259299</v>
      </c>
      <c r="D2838" s="1" t="s">
        <v>24</v>
      </c>
      <c r="E2838" s="1"/>
      <c r="F2838" s="29">
        <v>46239</v>
      </c>
      <c r="G2838" s="29">
        <v>46238</v>
      </c>
      <c r="H2838" s="1" t="s">
        <v>78</v>
      </c>
      <c r="I2838" s="1" t="s">
        <v>6414</v>
      </c>
      <c r="J2838" s="175">
        <v>54846653068</v>
      </c>
      <c r="K2838" s="188" t="s">
        <v>6415</v>
      </c>
      <c r="L2838" s="62">
        <v>23368344</v>
      </c>
      <c r="M2838" s="102">
        <v>5214494371634</v>
      </c>
      <c r="N2838" s="172" t="s">
        <v>98</v>
      </c>
      <c r="O2838" s="91"/>
      <c r="P2838" s="91"/>
      <c r="Q2838" s="42">
        <f>OfficeForms.Table[[#This Row],[ INFORMEDEPAGO ]]*0.3</f>
        <v>0</v>
      </c>
      <c r="R2838" s="12">
        <f>(IF(O2838&lt;4172.98,0,MIN(O2838*0.3,O2838-4172.98)))-P2838</f>
        <v>0</v>
      </c>
      <c r="S2838" s="78"/>
      <c r="T2838" s="1"/>
      <c r="V2838" s="1"/>
      <c r="X2838" s="101">
        <v>0</v>
      </c>
    </row>
    <row r="2839" spans="1:24" hidden="1">
      <c r="A2839">
        <v>1245</v>
      </c>
      <c r="B2839" s="2">
        <v>46239.426203703697</v>
      </c>
      <c r="C2839" s="2">
        <v>46239.439085648097</v>
      </c>
      <c r="D2839" s="1" t="s">
        <v>24</v>
      </c>
      <c r="E2839" s="1"/>
      <c r="F2839" s="29">
        <v>46239</v>
      </c>
      <c r="G2839" s="29">
        <v>46239</v>
      </c>
      <c r="H2839" s="1" t="s">
        <v>2908</v>
      </c>
      <c r="I2839" s="1" t="s">
        <v>6416</v>
      </c>
      <c r="J2839" s="175" t="s">
        <v>6417</v>
      </c>
      <c r="K2839" s="188" t="s">
        <v>6418</v>
      </c>
      <c r="L2839" s="62">
        <v>2</v>
      </c>
      <c r="M2839" s="102">
        <v>5215537091388</v>
      </c>
      <c r="N2839" s="172" t="s">
        <v>37</v>
      </c>
      <c r="O2839" s="91">
        <v>21548.25</v>
      </c>
      <c r="P2839" s="91">
        <v>6462.41</v>
      </c>
      <c r="Q2839" s="42">
        <f>OfficeForms.Table[[#This Row],[ INFORMEDEPAGO ]]*0.3</f>
        <v>6464.4749999999995</v>
      </c>
      <c r="R2839" s="12">
        <f>(IF(O2839&lt;4172.98,0,MIN(O2839*0.3,O2839-4172.98)))-P2839</f>
        <v>2.0649999999995998</v>
      </c>
      <c r="S2839" s="78">
        <v>46539</v>
      </c>
      <c r="T2839" s="1" t="s">
        <v>192</v>
      </c>
      <c r="V2839" s="1"/>
      <c r="X2839" s="101">
        <v>2</v>
      </c>
    </row>
    <row r="2840" spans="1:24" hidden="1">
      <c r="A2840">
        <v>1246</v>
      </c>
      <c r="B2840" s="2">
        <v>46239.4391203704</v>
      </c>
      <c r="C2840" s="2">
        <v>46239.443437499998</v>
      </c>
      <c r="D2840" s="1" t="s">
        <v>24</v>
      </c>
      <c r="E2840" s="1"/>
      <c r="F2840" s="29">
        <v>46239</v>
      </c>
      <c r="G2840" s="29">
        <v>46239</v>
      </c>
      <c r="H2840" s="1" t="s">
        <v>2908</v>
      </c>
      <c r="I2840" s="1" t="s">
        <v>6419</v>
      </c>
      <c r="J2840" s="175" t="s">
        <v>6420</v>
      </c>
      <c r="K2840" s="188" t="s">
        <v>6421</v>
      </c>
      <c r="L2840" s="62">
        <v>2</v>
      </c>
      <c r="M2840" s="102">
        <v>5215542831907</v>
      </c>
      <c r="N2840" s="172" t="s">
        <v>37</v>
      </c>
      <c r="O2840" s="91">
        <v>8984.57</v>
      </c>
      <c r="P2840" s="91">
        <v>2599</v>
      </c>
      <c r="Q2840" s="42">
        <f>OfficeForms.Table[[#This Row],[ INFORMEDEPAGO ]]*0.3</f>
        <v>2695.3709999999996</v>
      </c>
      <c r="R2840" s="12">
        <f>(IF(O2840&lt;4172.98,0,MIN(O2840*0.3,O2840-4172.98)))-P2840</f>
        <v>96.37099999999964</v>
      </c>
      <c r="S2840" s="78">
        <v>46692</v>
      </c>
      <c r="T2840" s="1" t="s">
        <v>192</v>
      </c>
      <c r="V2840" s="1"/>
      <c r="X2840" s="101">
        <v>2</v>
      </c>
    </row>
    <row r="2841" spans="1:24" hidden="1">
      <c r="A2841">
        <v>1247</v>
      </c>
      <c r="B2841" s="2">
        <v>46239.366354166697</v>
      </c>
      <c r="C2841" s="2">
        <v>46239.450277777803</v>
      </c>
      <c r="D2841" s="1" t="s">
        <v>24</v>
      </c>
      <c r="E2841" s="1"/>
      <c r="F2841" s="29">
        <v>46239</v>
      </c>
      <c r="G2841" s="29">
        <v>46239</v>
      </c>
      <c r="H2841" s="1" t="s">
        <v>1625</v>
      </c>
      <c r="I2841" s="1" t="s">
        <v>6422</v>
      </c>
      <c r="J2841" s="175" t="s">
        <v>6423</v>
      </c>
      <c r="K2841" s="188" t="s">
        <v>6424</v>
      </c>
      <c r="L2841" s="62">
        <v>2</v>
      </c>
      <c r="M2841" s="102">
        <v>5511905776</v>
      </c>
      <c r="N2841" s="172" t="s">
        <v>37</v>
      </c>
      <c r="O2841" s="91">
        <v>13534.06</v>
      </c>
      <c r="P2841" s="91">
        <v>4057.91</v>
      </c>
      <c r="Q2841" s="42">
        <f>OfficeForms.Table[[#This Row],[ INFORMEDEPAGO ]]*0.3</f>
        <v>4060.2179999999998</v>
      </c>
      <c r="R2841" s="12">
        <f>(IF(O2841&lt;4172.98,0,MIN(O2841*0.3,O2841-4172.98)))-P2841</f>
        <v>2.3079999999999927</v>
      </c>
      <c r="S2841" s="78">
        <v>46508</v>
      </c>
      <c r="T2841" s="1"/>
      <c r="V2841" s="1"/>
      <c r="X2841" s="101">
        <v>2</v>
      </c>
    </row>
    <row r="2842" spans="1:24" hidden="1">
      <c r="A2842">
        <v>1248</v>
      </c>
      <c r="B2842" s="2">
        <v>46239.450312499997</v>
      </c>
      <c r="C2842" s="2">
        <v>46239.459062499998</v>
      </c>
      <c r="D2842" s="1" t="s">
        <v>24</v>
      </c>
      <c r="E2842" s="1"/>
      <c r="F2842" s="29">
        <v>46239</v>
      </c>
      <c r="G2842" s="29">
        <v>46239</v>
      </c>
      <c r="H2842" s="1" t="s">
        <v>1625</v>
      </c>
      <c r="I2842" s="1" t="s">
        <v>6425</v>
      </c>
      <c r="J2842" s="175">
        <v>43866416266</v>
      </c>
      <c r="K2842" s="188" t="s">
        <v>6426</v>
      </c>
      <c r="L2842" s="62">
        <v>2</v>
      </c>
      <c r="M2842" s="102">
        <v>8136295032</v>
      </c>
      <c r="N2842" s="172" t="s">
        <v>37</v>
      </c>
      <c r="O2842" s="91">
        <v>9081.5300000000007</v>
      </c>
      <c r="P2842" s="91">
        <v>2514.86</v>
      </c>
      <c r="Q2842" s="42">
        <f>OfficeForms.Table[[#This Row],[ INFORMEDEPAGO ]]*0.3</f>
        <v>2724.4590000000003</v>
      </c>
      <c r="R2842" s="12">
        <f>(IF(O2842&lt;4172.98,0,MIN(O2842*0.3,O2842-4172.98)))-P2842</f>
        <v>209.59900000000016</v>
      </c>
      <c r="S2842" s="78">
        <v>46266</v>
      </c>
      <c r="T2842" s="1"/>
      <c r="V2842" s="1"/>
      <c r="X2842" s="101">
        <v>2</v>
      </c>
    </row>
    <row r="2843" spans="1:24" hidden="1">
      <c r="A2843">
        <v>1249</v>
      </c>
      <c r="B2843" s="2">
        <v>46239.426377314798</v>
      </c>
      <c r="C2843" s="2">
        <v>46239.459074074097</v>
      </c>
      <c r="D2843" s="1" t="s">
        <v>24</v>
      </c>
      <c r="E2843" s="1"/>
      <c r="F2843" s="29">
        <v>46239</v>
      </c>
      <c r="G2843" s="29">
        <v>46239</v>
      </c>
      <c r="H2843" s="1" t="s">
        <v>269</v>
      </c>
      <c r="I2843" s="1" t="s">
        <v>6427</v>
      </c>
      <c r="J2843" s="207" t="s">
        <v>6428</v>
      </c>
      <c r="K2843" s="188" t="s">
        <v>6429</v>
      </c>
      <c r="L2843" s="62">
        <v>23385506</v>
      </c>
      <c r="M2843" s="102">
        <v>5216681724059</v>
      </c>
      <c r="N2843" s="172" t="s">
        <v>98</v>
      </c>
      <c r="O2843" s="91"/>
      <c r="P2843" s="91"/>
      <c r="Q2843" s="42">
        <f>OfficeForms.Table[[#This Row],[ INFORMEDEPAGO ]]*0.3</f>
        <v>0</v>
      </c>
      <c r="R2843" s="12">
        <f>(IF(O2843&lt;4172.98,0,MIN(O2843*0.3,O2843-4172.98)))-P2843</f>
        <v>0</v>
      </c>
      <c r="S2843" s="78"/>
      <c r="T2843" s="1"/>
      <c r="V2843" s="1"/>
      <c r="X2843" s="101">
        <v>0</v>
      </c>
    </row>
    <row r="2844" spans="1:24" hidden="1">
      <c r="A2844">
        <v>1250</v>
      </c>
      <c r="B2844" s="2">
        <v>46239.462986111103</v>
      </c>
      <c r="C2844" s="2">
        <v>46239.464062500003</v>
      </c>
      <c r="D2844" s="1" t="s">
        <v>24</v>
      </c>
      <c r="E2844" s="1"/>
      <c r="F2844" s="29">
        <v>46239</v>
      </c>
      <c r="G2844" s="29">
        <v>46239</v>
      </c>
      <c r="H2844" s="1" t="s">
        <v>269</v>
      </c>
      <c r="I2844" s="1" t="s">
        <v>6430</v>
      </c>
      <c r="J2844" s="207" t="s">
        <v>6431</v>
      </c>
      <c r="K2844" s="188" t="s">
        <v>6432</v>
      </c>
      <c r="L2844" s="62">
        <v>23394142</v>
      </c>
      <c r="M2844" s="102">
        <v>5214612792124</v>
      </c>
      <c r="N2844" s="172" t="s">
        <v>37</v>
      </c>
      <c r="O2844" s="91">
        <v>6889.2</v>
      </c>
      <c r="P2844" s="91">
        <v>2615.5</v>
      </c>
      <c r="Q2844" s="42">
        <f>OfficeForms.Table[[#This Row],[ INFORMEDEPAGO ]]*0.3</f>
        <v>2066.7599999999998</v>
      </c>
      <c r="R2844" s="12">
        <f>(IF(O2844&lt;4172.98,0,MIN(O2844*0.3,O2844-4172.98)))-P2844</f>
        <v>-548.74000000000024</v>
      </c>
      <c r="S2844" s="78">
        <v>46357</v>
      </c>
      <c r="T2844" s="1"/>
      <c r="V2844" s="1"/>
      <c r="X2844" s="101">
        <v>2</v>
      </c>
    </row>
    <row r="2845" spans="1:24" hidden="1">
      <c r="A2845">
        <v>1251</v>
      </c>
      <c r="B2845" s="2">
        <v>46239.4628703704</v>
      </c>
      <c r="C2845" s="2">
        <v>46239.464282407404</v>
      </c>
      <c r="D2845" s="1" t="s">
        <v>24</v>
      </c>
      <c r="E2845" s="1"/>
      <c r="F2845" s="29">
        <v>46239</v>
      </c>
      <c r="G2845" s="29">
        <v>46239</v>
      </c>
      <c r="H2845" s="1" t="s">
        <v>1629</v>
      </c>
      <c r="I2845" s="1" t="s">
        <v>5942</v>
      </c>
      <c r="J2845" s="207">
        <v>10856550180</v>
      </c>
      <c r="K2845" s="188" t="s">
        <v>5943</v>
      </c>
      <c r="L2845" s="62">
        <v>2</v>
      </c>
      <c r="M2845" s="102" t="s">
        <v>6433</v>
      </c>
      <c r="N2845" s="172" t="s">
        <v>37</v>
      </c>
      <c r="O2845" s="91">
        <v>12008.9</v>
      </c>
      <c r="P2845" s="91">
        <v>3601.23</v>
      </c>
      <c r="Q2845" s="42">
        <f>OfficeForms.Table[[#This Row],[ INFORMEDEPAGO ]]*0.3</f>
        <v>3602.6699999999996</v>
      </c>
      <c r="R2845" s="12">
        <f>(IF(O2845&lt;4172.98,0,MIN(O2845*0.3,O2845-4172.98)))-P2845</f>
        <v>1.4399999999995998</v>
      </c>
      <c r="S2845" s="78">
        <v>46266</v>
      </c>
      <c r="T2845" s="1" t="s">
        <v>178</v>
      </c>
      <c r="V2845" s="1"/>
      <c r="X2845" s="101">
        <v>2</v>
      </c>
    </row>
    <row r="2846" spans="1:24" hidden="1">
      <c r="A2846">
        <v>1252</v>
      </c>
      <c r="B2846" s="2">
        <v>46239.462337962999</v>
      </c>
      <c r="C2846" s="2">
        <v>46239.470023148097</v>
      </c>
      <c r="D2846" s="1" t="s">
        <v>24</v>
      </c>
      <c r="E2846" s="1"/>
      <c r="F2846" s="29">
        <v>46239</v>
      </c>
      <c r="G2846" s="29">
        <v>46238</v>
      </c>
      <c r="H2846" s="1" t="s">
        <v>160</v>
      </c>
      <c r="I2846" s="1" t="s">
        <v>6434</v>
      </c>
      <c r="J2846" s="207">
        <v>33725427588</v>
      </c>
      <c r="K2846" s="188" t="s">
        <v>6435</v>
      </c>
      <c r="L2846" s="62">
        <v>23345002</v>
      </c>
      <c r="M2846" s="102">
        <v>5216567775284</v>
      </c>
      <c r="N2846" s="172" t="s">
        <v>32</v>
      </c>
      <c r="O2846" s="91">
        <f>3031.3+848</f>
        <v>3879.3</v>
      </c>
      <c r="P2846" s="91">
        <v>848</v>
      </c>
      <c r="Q2846" s="42">
        <f>OfficeForms.Table[[#This Row],[ INFORMEDEPAGO ]]*0.3</f>
        <v>1163.79</v>
      </c>
      <c r="R2846" s="12">
        <f>(IF(O2846&lt;4172.98,0,MIN(O2846*0.3,O2846-4172.98)))-P2846</f>
        <v>-848</v>
      </c>
      <c r="S2846" s="78"/>
      <c r="T2846" s="1"/>
      <c r="V2846" s="1"/>
      <c r="X2846" s="101">
        <v>1</v>
      </c>
    </row>
    <row r="2847" spans="1:24" hidden="1">
      <c r="A2847">
        <v>1253</v>
      </c>
      <c r="B2847" s="2">
        <v>46239.476180555597</v>
      </c>
      <c r="C2847" s="2">
        <v>46239.476793981499</v>
      </c>
      <c r="D2847" s="1" t="s">
        <v>24</v>
      </c>
      <c r="E2847" s="1"/>
      <c r="F2847" s="29">
        <v>46239</v>
      </c>
      <c r="G2847" s="29">
        <v>46238</v>
      </c>
      <c r="H2847" s="1" t="s">
        <v>3575</v>
      </c>
      <c r="I2847" s="1" t="s">
        <v>6436</v>
      </c>
      <c r="J2847" s="207"/>
      <c r="K2847" s="188" t="s">
        <v>6437</v>
      </c>
      <c r="L2847" s="62">
        <v>23376600</v>
      </c>
      <c r="M2847" s="102">
        <v>5216674193395</v>
      </c>
      <c r="N2847" s="172" t="s">
        <v>32</v>
      </c>
      <c r="O2847" s="91">
        <v>4369</v>
      </c>
      <c r="P2847" s="91"/>
      <c r="Q2847" s="42">
        <f>OfficeForms.Table[[#This Row],[ INFORMEDEPAGO ]]*0.3</f>
        <v>1310.7</v>
      </c>
      <c r="R2847" s="12">
        <f>(IF(O2847&lt;4172.98,0,MIN(O2847*0.3,O2847-4172.98)))-P2847</f>
        <v>196.02000000000044</v>
      </c>
      <c r="S2847" s="78"/>
      <c r="T2847" s="1"/>
      <c r="V2847" s="1"/>
      <c r="X2847" s="101">
        <v>1</v>
      </c>
    </row>
    <row r="2848" spans="1:24" hidden="1">
      <c r="A2848">
        <v>1254</v>
      </c>
      <c r="B2848" s="2">
        <v>46239.475150462997</v>
      </c>
      <c r="C2848" s="2">
        <v>46239.477395833303</v>
      </c>
      <c r="D2848" s="1" t="s">
        <v>24</v>
      </c>
      <c r="E2848" s="1"/>
      <c r="F2848" s="29">
        <v>46239</v>
      </c>
      <c r="G2848" s="29">
        <v>46239</v>
      </c>
      <c r="H2848" s="1" t="s">
        <v>476</v>
      </c>
      <c r="I2848" s="1" t="s">
        <v>6438</v>
      </c>
      <c r="J2848" s="207">
        <v>53816500317</v>
      </c>
      <c r="K2848" s="188"/>
      <c r="L2848" s="62">
        <v>23395928</v>
      </c>
      <c r="M2848" s="102">
        <v>5217531006111</v>
      </c>
      <c r="N2848" s="172" t="s">
        <v>32</v>
      </c>
      <c r="O2848" s="91">
        <v>1182.3599999999999</v>
      </c>
      <c r="P2848" s="91"/>
      <c r="Q2848" s="42">
        <f>OfficeForms.Table[[#This Row],[ INFORMEDEPAGO ]]*0.3</f>
        <v>354.70799999999997</v>
      </c>
      <c r="R2848" s="12">
        <f>(IF(O2848&lt;4172.98,0,MIN(O2848*0.3,O2848-4172.98)))-P2848</f>
        <v>0</v>
      </c>
      <c r="S2848" s="78"/>
      <c r="T2848" s="1"/>
      <c r="V2848" s="1"/>
      <c r="X2848" s="101">
        <v>1</v>
      </c>
    </row>
    <row r="2849" spans="1:24" hidden="1">
      <c r="A2849">
        <v>1255</v>
      </c>
      <c r="B2849" s="2">
        <v>46239.477361111101</v>
      </c>
      <c r="C2849" s="2">
        <v>46239.4778240741</v>
      </c>
      <c r="D2849" s="1" t="s">
        <v>24</v>
      </c>
      <c r="E2849" s="1"/>
      <c r="F2849" s="29">
        <v>46239</v>
      </c>
      <c r="G2849" s="29">
        <v>46239</v>
      </c>
      <c r="H2849" s="1" t="s">
        <v>269</v>
      </c>
      <c r="I2849" s="1" t="s">
        <v>6439</v>
      </c>
      <c r="J2849" s="207" t="s">
        <v>6440</v>
      </c>
      <c r="K2849" s="188" t="s">
        <v>6441</v>
      </c>
      <c r="L2849" s="62">
        <v>23395386</v>
      </c>
      <c r="M2849" s="102">
        <v>5215537703451</v>
      </c>
      <c r="N2849" s="172" t="s">
        <v>98</v>
      </c>
      <c r="O2849" s="91"/>
      <c r="P2849" s="91"/>
      <c r="Q2849" s="42">
        <f>OfficeForms.Table[[#This Row],[ INFORMEDEPAGO ]]*0.3</f>
        <v>0</v>
      </c>
      <c r="R2849" s="12">
        <f>(IF(O2849&lt;4172.98,0,MIN(O2849*0.3,O2849-4172.98)))-P2849</f>
        <v>0</v>
      </c>
      <c r="S2849" s="78"/>
      <c r="T2849" s="1"/>
      <c r="V2849" s="1"/>
      <c r="X2849" s="101">
        <v>0</v>
      </c>
    </row>
    <row r="2850" spans="1:24" hidden="1">
      <c r="A2850">
        <v>1256</v>
      </c>
      <c r="B2850" s="2">
        <v>46239.4816319444</v>
      </c>
      <c r="C2850" s="2">
        <v>46239.4823958333</v>
      </c>
      <c r="D2850" s="1" t="s">
        <v>24</v>
      </c>
      <c r="E2850" s="1"/>
      <c r="F2850" s="29">
        <v>46239</v>
      </c>
      <c r="G2850" s="29">
        <v>46238</v>
      </c>
      <c r="H2850" s="1" t="s">
        <v>110</v>
      </c>
      <c r="I2850" s="1" t="s">
        <v>6442</v>
      </c>
      <c r="J2850" s="207">
        <v>23756000941</v>
      </c>
      <c r="K2850" s="188"/>
      <c r="L2850" s="62">
        <v>23374900</v>
      </c>
      <c r="M2850" s="102">
        <v>5216641560099</v>
      </c>
      <c r="N2850" s="172" t="s">
        <v>47</v>
      </c>
      <c r="O2850" s="91">
        <v>9081.52</v>
      </c>
      <c r="P2850" s="91">
        <f>2627.5-848</f>
        <v>1779.5</v>
      </c>
      <c r="Q2850" s="42">
        <f>OfficeForms.Table[[#This Row],[ INFORMEDEPAGO ]]*0.3</f>
        <v>2724.4560000000001</v>
      </c>
      <c r="R2850" s="12">
        <f>(IF(O2850&lt;4172.98,0,MIN(O2850*0.3,O2850-4172.98)))-P2850</f>
        <v>944.95600000000013</v>
      </c>
      <c r="S2850" s="78">
        <v>46631</v>
      </c>
      <c r="T2850" s="1"/>
      <c r="V2850" s="1"/>
      <c r="X2850" s="101">
        <v>2</v>
      </c>
    </row>
    <row r="2851" spans="1:24" hidden="1">
      <c r="A2851">
        <v>1257</v>
      </c>
      <c r="B2851" s="2">
        <v>46239.459085648203</v>
      </c>
      <c r="C2851" s="2">
        <v>46239.4866666667</v>
      </c>
      <c r="D2851" s="1" t="s">
        <v>24</v>
      </c>
      <c r="E2851" s="1"/>
      <c r="F2851" s="29">
        <v>46239</v>
      </c>
      <c r="G2851" s="29">
        <v>46239</v>
      </c>
      <c r="H2851" s="1" t="s">
        <v>1625</v>
      </c>
      <c r="I2851" s="1" t="s">
        <v>6443</v>
      </c>
      <c r="J2851" s="207" t="s">
        <v>6444</v>
      </c>
      <c r="K2851" s="188" t="s">
        <v>6445</v>
      </c>
      <c r="L2851" s="62">
        <v>2</v>
      </c>
      <c r="M2851" s="102">
        <v>5566037416</v>
      </c>
      <c r="N2851" s="172" t="s">
        <v>37</v>
      </c>
      <c r="O2851" s="91">
        <v>5636.59</v>
      </c>
      <c r="P2851" s="91">
        <v>1463.61</v>
      </c>
      <c r="Q2851" s="42">
        <f>OfficeForms.Table[[#This Row],[ INFORMEDEPAGO ]]*0.3</f>
        <v>1690.9770000000001</v>
      </c>
      <c r="R2851" s="12">
        <f>(IF(O2851&lt;4172.98,0,MIN(O2851*0.3,O2851-4172.98)))-P2851</f>
        <v>0</v>
      </c>
      <c r="S2851" s="78">
        <v>46631</v>
      </c>
      <c r="T2851" s="1"/>
      <c r="V2851" s="1"/>
      <c r="X2851" s="101">
        <v>2</v>
      </c>
    </row>
    <row r="2852" spans="1:24" hidden="1">
      <c r="A2852">
        <v>1258</v>
      </c>
      <c r="B2852" s="2">
        <v>46239.490891203699</v>
      </c>
      <c r="C2852" s="2">
        <v>46239.493912037004</v>
      </c>
      <c r="D2852" s="1" t="s">
        <v>24</v>
      </c>
      <c r="E2852" s="1"/>
      <c r="F2852" s="29">
        <v>46239</v>
      </c>
      <c r="G2852" s="29">
        <v>46239</v>
      </c>
      <c r="H2852" s="1" t="s">
        <v>107</v>
      </c>
      <c r="I2852" s="1" t="s">
        <v>6446</v>
      </c>
      <c r="J2852" s="207"/>
      <c r="K2852" s="188" t="s">
        <v>6447</v>
      </c>
      <c r="L2852" s="62">
        <v>23374426</v>
      </c>
      <c r="M2852" s="102">
        <v>5214731010644</v>
      </c>
      <c r="N2852" s="172" t="s">
        <v>32</v>
      </c>
      <c r="O2852" s="91">
        <f>3018.25+848</f>
        <v>3866.25</v>
      </c>
      <c r="P2852" s="91">
        <v>848</v>
      </c>
      <c r="Q2852" s="42">
        <f>OfficeForms.Table[[#This Row],[ INFORMEDEPAGO ]]*0.3</f>
        <v>1159.875</v>
      </c>
      <c r="R2852" s="12">
        <f>(IF(O2852&lt;4172.98,0,MIN(O2852*0.3,O2852-4172.98)))-P2852</f>
        <v>-848</v>
      </c>
      <c r="S2852" s="78"/>
      <c r="T2852" s="1"/>
      <c r="V2852" s="1"/>
      <c r="X2852" s="101">
        <v>1</v>
      </c>
    </row>
    <row r="2853" spans="1:24" hidden="1">
      <c r="A2853">
        <v>1259</v>
      </c>
      <c r="B2853" s="2">
        <v>46239.4937615741</v>
      </c>
      <c r="C2853" s="2">
        <v>46239.496817129599</v>
      </c>
      <c r="D2853" s="1" t="s">
        <v>24</v>
      </c>
      <c r="E2853" s="1"/>
      <c r="F2853" s="29">
        <v>46239</v>
      </c>
      <c r="G2853" s="29">
        <v>46238</v>
      </c>
      <c r="H2853" s="1" t="s">
        <v>81</v>
      </c>
      <c r="I2853" s="1" t="s">
        <v>6448</v>
      </c>
      <c r="J2853" s="207"/>
      <c r="K2853" s="188" t="s">
        <v>6449</v>
      </c>
      <c r="L2853" s="62">
        <v>23356152</v>
      </c>
      <c r="M2853" s="102">
        <v>5215632705518</v>
      </c>
      <c r="N2853" s="172" t="s">
        <v>28</v>
      </c>
      <c r="O2853" s="91">
        <v>9081.52</v>
      </c>
      <c r="P2853" s="91"/>
      <c r="Q2853" s="42">
        <f>OfficeForms.Table[[#This Row],[ INFORMEDEPAGO ]]*0.3</f>
        <v>2724.4560000000001</v>
      </c>
      <c r="R2853" s="12">
        <f>(IF(O2853&lt;4172.98,0,MIN(O2853*0.3,O2853-4172.98)))-P2853</f>
        <v>2724.4560000000001</v>
      </c>
      <c r="S2853" s="78"/>
      <c r="T2853" s="1"/>
      <c r="V2853" s="1"/>
      <c r="X2853" s="101">
        <v>1</v>
      </c>
    </row>
    <row r="2854" spans="1:24" hidden="1">
      <c r="A2854">
        <v>1260</v>
      </c>
      <c r="B2854" s="2">
        <v>46239.406273148197</v>
      </c>
      <c r="C2854" s="2">
        <v>46239.4991435185</v>
      </c>
      <c r="D2854" s="1" t="s">
        <v>24</v>
      </c>
      <c r="E2854" s="1"/>
      <c r="F2854" s="29">
        <v>46239</v>
      </c>
      <c r="G2854" s="29">
        <v>46239</v>
      </c>
      <c r="H2854" s="1" t="s">
        <v>51</v>
      </c>
      <c r="I2854" s="1" t="s">
        <v>6450</v>
      </c>
      <c r="J2854" s="207"/>
      <c r="K2854" s="188" t="s">
        <v>6451</v>
      </c>
      <c r="L2854" s="62">
        <v>23379974</v>
      </c>
      <c r="M2854" s="102">
        <v>5212221785706</v>
      </c>
      <c r="N2854" s="172" t="s">
        <v>37</v>
      </c>
      <c r="O2854" s="91">
        <v>16455.740000000002</v>
      </c>
      <c r="P2854" s="91">
        <v>4758.1499999999996</v>
      </c>
      <c r="Q2854" s="42">
        <f>OfficeForms.Table[[#This Row],[ INFORMEDEPAGO ]]*0.3</f>
        <v>4936.7220000000007</v>
      </c>
      <c r="R2854" s="12">
        <f>(IF(O2854&lt;4172.98,0,MIN(O2854*0.3,O2854-4172.98)))-P2854</f>
        <v>178.57200000000103</v>
      </c>
      <c r="S2854" s="78">
        <v>46569</v>
      </c>
      <c r="T2854" s="1"/>
      <c r="V2854" s="1"/>
      <c r="X2854" s="101">
        <v>2</v>
      </c>
    </row>
    <row r="2855" spans="1:24" hidden="1">
      <c r="A2855">
        <v>1261</v>
      </c>
      <c r="B2855" s="2">
        <v>46239.497673611098</v>
      </c>
      <c r="C2855" s="2">
        <v>46239.499675925901</v>
      </c>
      <c r="D2855" s="1" t="s">
        <v>24</v>
      </c>
      <c r="E2855" s="1"/>
      <c r="F2855" s="29">
        <v>46239</v>
      </c>
      <c r="G2855" s="29">
        <v>46239</v>
      </c>
      <c r="H2855" s="1" t="s">
        <v>103</v>
      </c>
      <c r="I2855" s="1" t="s">
        <v>2902</v>
      </c>
      <c r="J2855" s="207"/>
      <c r="K2855" s="188" t="s">
        <v>2903</v>
      </c>
      <c r="L2855" s="62">
        <v>1</v>
      </c>
      <c r="M2855" s="102">
        <v>8991178970</v>
      </c>
      <c r="N2855" s="172" t="s">
        <v>37</v>
      </c>
      <c r="O2855" s="91">
        <v>5642.22</v>
      </c>
      <c r="P2855" s="91">
        <v>1414.92</v>
      </c>
      <c r="Q2855" s="42">
        <f>OfficeForms.Table[[#This Row],[ INFORMEDEPAGO ]]*0.3</f>
        <v>1692.6659999999999</v>
      </c>
      <c r="R2855" s="12">
        <f>(IF(O2855&lt;4172.98,0,MIN(O2855*0.3,O2855-4172.98)))-P2855</f>
        <v>54.320000000000618</v>
      </c>
      <c r="S2855" s="78">
        <v>46600</v>
      </c>
      <c r="T2855" s="1"/>
      <c r="V2855" s="1"/>
      <c r="X2855" s="101">
        <v>2</v>
      </c>
    </row>
    <row r="2856" spans="1:24" hidden="1">
      <c r="A2856">
        <v>1262</v>
      </c>
      <c r="B2856" s="2">
        <v>46239.507962962998</v>
      </c>
      <c r="C2856" s="2">
        <v>46239.508495370399</v>
      </c>
      <c r="D2856" s="1" t="s">
        <v>24</v>
      </c>
      <c r="E2856" s="1"/>
      <c r="F2856" s="29">
        <v>46239</v>
      </c>
      <c r="G2856" s="29">
        <v>46239</v>
      </c>
      <c r="H2856" s="1" t="s">
        <v>269</v>
      </c>
      <c r="I2856" s="1" t="s">
        <v>6452</v>
      </c>
      <c r="J2856" s="207"/>
      <c r="K2856" s="188" t="s">
        <v>6453</v>
      </c>
      <c r="L2856" s="62">
        <v>23358112</v>
      </c>
      <c r="M2856" s="102">
        <v>5212724057920</v>
      </c>
      <c r="N2856" s="172" t="s">
        <v>32</v>
      </c>
      <c r="O2856" s="91">
        <v>3879.46</v>
      </c>
      <c r="P2856" s="91"/>
      <c r="Q2856" s="42">
        <f>OfficeForms.Table[[#This Row],[ INFORMEDEPAGO ]]*0.3</f>
        <v>1163.838</v>
      </c>
      <c r="R2856" s="12">
        <f>(IF(O2856&lt;4172.98,0,MIN(O2856*0.3,O2856-4172.98)))-P2856</f>
        <v>0</v>
      </c>
      <c r="S2856" s="78"/>
      <c r="T2856" s="1"/>
      <c r="V2856" s="1"/>
      <c r="X2856" s="101">
        <v>1</v>
      </c>
    </row>
    <row r="2857" spans="1:24" hidden="1">
      <c r="A2857">
        <v>1263</v>
      </c>
      <c r="B2857" s="2">
        <v>46239.510740740698</v>
      </c>
      <c r="C2857" s="2">
        <v>46239.511469907397</v>
      </c>
      <c r="D2857" s="1" t="s">
        <v>24</v>
      </c>
      <c r="E2857" s="1"/>
      <c r="F2857" s="29">
        <v>46239</v>
      </c>
      <c r="G2857" s="29">
        <v>46239</v>
      </c>
      <c r="H2857" s="1" t="s">
        <v>103</v>
      </c>
      <c r="I2857" s="1" t="s">
        <v>219</v>
      </c>
      <c r="J2857" s="207"/>
      <c r="K2857" s="188" t="s">
        <v>6454</v>
      </c>
      <c r="L2857" s="62">
        <v>1</v>
      </c>
      <c r="M2857" s="102">
        <v>8941033143</v>
      </c>
      <c r="N2857" s="172" t="s">
        <v>32</v>
      </c>
      <c r="O2857" s="91">
        <v>3866.25</v>
      </c>
      <c r="P2857" s="91">
        <v>848</v>
      </c>
      <c r="Q2857" s="42">
        <f>OfficeForms.Table[[#This Row],[ INFORMEDEPAGO ]]*0.3</f>
        <v>1159.875</v>
      </c>
      <c r="R2857" s="12">
        <f>(IF(O2857&lt;4172.98,0,MIN(O2857*0.3,O2857-4172.98)))-P2857</f>
        <v>-848</v>
      </c>
      <c r="S2857" s="78"/>
      <c r="T2857" s="1"/>
      <c r="V2857" s="1"/>
      <c r="X2857" s="101">
        <v>1</v>
      </c>
    </row>
    <row r="2858" spans="1:24" hidden="1">
      <c r="A2858">
        <v>1264</v>
      </c>
      <c r="B2858" s="2">
        <v>46239.511979166702</v>
      </c>
      <c r="C2858" s="2">
        <v>46239.512476851902</v>
      </c>
      <c r="D2858" s="1" t="s">
        <v>24</v>
      </c>
      <c r="E2858" s="1"/>
      <c r="F2858" s="29">
        <v>46239</v>
      </c>
      <c r="G2858" s="29">
        <v>46239</v>
      </c>
      <c r="H2858" s="1" t="s">
        <v>26</v>
      </c>
      <c r="I2858" s="1" t="s">
        <v>6455</v>
      </c>
      <c r="J2858" s="207"/>
      <c r="K2858" s="188" t="s">
        <v>6456</v>
      </c>
      <c r="L2858" s="62">
        <v>23396062</v>
      </c>
      <c r="M2858" s="102">
        <v>5215548605398</v>
      </c>
      <c r="N2858" s="172" t="s">
        <v>37</v>
      </c>
      <c r="O2858" s="91">
        <v>12175.69</v>
      </c>
      <c r="P2858" s="91">
        <v>3651.61</v>
      </c>
      <c r="Q2858" s="42">
        <f>OfficeForms.Table[[#This Row],[ INFORMEDEPAGO ]]*0.3</f>
        <v>3652.7069999999999</v>
      </c>
      <c r="R2858" s="12">
        <f>(IF(O2858&lt;4172.98,0,MIN(O2858*0.3,O2858-4172.98)))-P2858</f>
        <v>1.0969999999997526</v>
      </c>
      <c r="S2858" s="78">
        <v>46419</v>
      </c>
      <c r="T2858" s="1"/>
      <c r="V2858" s="1"/>
      <c r="X2858" s="101">
        <v>2</v>
      </c>
    </row>
    <row r="2859" spans="1:24" hidden="1">
      <c r="A2859">
        <v>1265</v>
      </c>
      <c r="B2859" s="2">
        <v>46239.521446759303</v>
      </c>
      <c r="C2859" s="2">
        <v>46239.522905092599</v>
      </c>
      <c r="D2859" s="1" t="s">
        <v>24</v>
      </c>
      <c r="E2859" s="1"/>
      <c r="F2859" s="29">
        <v>46239</v>
      </c>
      <c r="G2859" s="29">
        <v>46230</v>
      </c>
      <c r="H2859" s="1" t="s">
        <v>3022</v>
      </c>
      <c r="I2859" s="1" t="s">
        <v>6457</v>
      </c>
      <c r="J2859" s="207"/>
      <c r="K2859" s="188" t="s">
        <v>6458</v>
      </c>
      <c r="L2859" s="62">
        <v>23152170</v>
      </c>
      <c r="M2859" s="102">
        <v>6681492708</v>
      </c>
      <c r="N2859" s="172" t="s">
        <v>28</v>
      </c>
      <c r="O2859" s="91">
        <v>10636.54</v>
      </c>
      <c r="P2859" s="91"/>
      <c r="Q2859" s="42">
        <f>OfficeForms.Table[[#This Row],[ INFORMEDEPAGO ]]*0.3</f>
        <v>3190.962</v>
      </c>
      <c r="R2859" s="12">
        <f>(IF(O2859&lt;4172.98,0,MIN(O2859*0.3,O2859-4172.98)))-P2859</f>
        <v>3190.962</v>
      </c>
      <c r="S2859" s="78"/>
      <c r="T2859" s="1"/>
      <c r="V2859" s="1"/>
      <c r="X2859" s="101">
        <v>1</v>
      </c>
    </row>
    <row r="2860" spans="1:24" hidden="1">
      <c r="A2860">
        <v>1266</v>
      </c>
      <c r="B2860" s="2">
        <v>46239.499178240701</v>
      </c>
      <c r="C2860" s="2">
        <v>46239.523229166698</v>
      </c>
      <c r="D2860" s="1" t="s">
        <v>24</v>
      </c>
      <c r="E2860" s="1"/>
      <c r="F2860" s="29">
        <v>46239</v>
      </c>
      <c r="G2860" s="29">
        <v>46238</v>
      </c>
      <c r="H2860" s="1" t="s">
        <v>51</v>
      </c>
      <c r="I2860" s="1" t="s">
        <v>6459</v>
      </c>
      <c r="J2860" s="207">
        <v>35886843016</v>
      </c>
      <c r="K2860" s="188" t="s">
        <v>6460</v>
      </c>
      <c r="L2860" s="62">
        <v>23360668</v>
      </c>
      <c r="M2860" s="102">
        <v>5216391287662</v>
      </c>
      <c r="N2860" s="172" t="s">
        <v>47</v>
      </c>
      <c r="O2860" s="91">
        <v>8173.37</v>
      </c>
      <c r="P2860" s="91">
        <v>1499.93</v>
      </c>
      <c r="Q2860" s="42">
        <f>OfficeForms.Table[[#This Row],[ INFORMEDEPAGO ]]*0.3</f>
        <v>2452.011</v>
      </c>
      <c r="R2860" s="12">
        <f>(IF(O2860&lt;4172.98,0,MIN(O2860*0.3,O2860-4172.98)))-P2860</f>
        <v>952.0809999999999</v>
      </c>
      <c r="S2860" s="78">
        <v>46478</v>
      </c>
      <c r="T2860" s="1"/>
      <c r="V2860" s="1"/>
      <c r="X2860" s="101">
        <v>2</v>
      </c>
    </row>
    <row r="2861" spans="1:24" hidden="1">
      <c r="A2861">
        <v>1267</v>
      </c>
      <c r="B2861" s="2">
        <v>46239.523726851898</v>
      </c>
      <c r="C2861" s="2">
        <v>46239.528402777803</v>
      </c>
      <c r="D2861" s="1" t="s">
        <v>24</v>
      </c>
      <c r="E2861" s="1"/>
      <c r="F2861" s="29">
        <v>46239</v>
      </c>
      <c r="G2861" s="29">
        <v>46238</v>
      </c>
      <c r="H2861" s="1" t="s">
        <v>78</v>
      </c>
      <c r="I2861" s="1" t="s">
        <v>6461</v>
      </c>
      <c r="J2861" s="207">
        <v>21945201669</v>
      </c>
      <c r="K2861" s="188" t="s">
        <v>6462</v>
      </c>
      <c r="L2861" s="62">
        <v>23368424</v>
      </c>
      <c r="M2861" s="102">
        <v>5216862026189</v>
      </c>
      <c r="N2861" s="172" t="s">
        <v>32</v>
      </c>
      <c r="O2861" s="91">
        <f>3934.69+879</f>
        <v>4813.6900000000005</v>
      </c>
      <c r="P2861" s="91">
        <v>879</v>
      </c>
      <c r="Q2861" s="42">
        <f>OfficeForms.Table[[#This Row],[ INFORMEDEPAGO ]]*0.3</f>
        <v>1444.1070000000002</v>
      </c>
      <c r="R2861" s="12">
        <f>(IF(O2861&lt;4172.98,0,MIN(O2861*0.3,O2861-4172.98)))-P2861</f>
        <v>-238.28999999999905</v>
      </c>
      <c r="S2861" s="78"/>
      <c r="T2861" s="1"/>
      <c r="V2861" s="1"/>
      <c r="X2861" s="101">
        <v>1</v>
      </c>
    </row>
    <row r="2862" spans="1:24" hidden="1">
      <c r="A2862">
        <v>1268</v>
      </c>
      <c r="B2862" s="2">
        <v>46239.523240740702</v>
      </c>
      <c r="C2862" s="2">
        <v>46239.528946759303</v>
      </c>
      <c r="D2862" s="1" t="s">
        <v>24</v>
      </c>
      <c r="E2862" s="1"/>
      <c r="F2862" s="29">
        <v>46239</v>
      </c>
      <c r="G2862" s="29">
        <v>46238</v>
      </c>
      <c r="H2862" s="1" t="s">
        <v>78</v>
      </c>
      <c r="I2862" s="1" t="s">
        <v>6463</v>
      </c>
      <c r="J2862" s="207"/>
      <c r="K2862" s="188" t="s">
        <v>6464</v>
      </c>
      <c r="L2862" s="62">
        <v>23366482</v>
      </c>
      <c r="M2862" s="102">
        <v>5217717508352</v>
      </c>
      <c r="N2862" s="172" t="s">
        <v>32</v>
      </c>
      <c r="O2862" s="91">
        <v>3881.65</v>
      </c>
      <c r="P2862" s="91">
        <v>879</v>
      </c>
      <c r="Q2862" s="42">
        <f>OfficeForms.Table[[#This Row],[ INFORMEDEPAGO ]]*0.3</f>
        <v>1164.4949999999999</v>
      </c>
      <c r="R2862" s="12">
        <f>(IF(O2862&lt;4172.98,0,MIN(O2862*0.3,O2862-4172.98)))-P2862</f>
        <v>-879</v>
      </c>
      <c r="S2862" s="78"/>
      <c r="T2862" s="1"/>
      <c r="V2862" s="1"/>
      <c r="X2862" s="101">
        <v>1</v>
      </c>
    </row>
    <row r="2863" spans="1:24" hidden="1">
      <c r="A2863">
        <v>1269</v>
      </c>
      <c r="B2863" s="2">
        <v>46239.523287037002</v>
      </c>
      <c r="C2863" s="2">
        <v>46239.529340277797</v>
      </c>
      <c r="D2863" s="1" t="s">
        <v>24</v>
      </c>
      <c r="E2863" s="1"/>
      <c r="F2863" s="29">
        <v>46239</v>
      </c>
      <c r="G2863" s="29">
        <v>46238</v>
      </c>
      <c r="H2863" s="1" t="s">
        <v>78</v>
      </c>
      <c r="I2863" s="1" t="s">
        <v>6465</v>
      </c>
      <c r="J2863" s="207" t="s">
        <v>6466</v>
      </c>
      <c r="K2863" s="188" t="s">
        <v>6467</v>
      </c>
      <c r="L2863" s="62">
        <v>23367008</v>
      </c>
      <c r="M2863" s="102">
        <v>23367008</v>
      </c>
      <c r="N2863" s="172" t="s">
        <v>37</v>
      </c>
      <c r="O2863" s="91">
        <v>7116.73</v>
      </c>
      <c r="P2863" s="91">
        <v>2052.9</v>
      </c>
      <c r="Q2863" s="42">
        <f>OfficeForms.Table[[#This Row],[ INFORMEDEPAGO ]]*0.3</f>
        <v>2135.0189999999998</v>
      </c>
      <c r="R2863" s="12">
        <f>(IF(O2863&lt;4172.98,0,MIN(O2863*0.3,O2863-4172.98)))-P2863</f>
        <v>82.118999999999687</v>
      </c>
      <c r="S2863" s="78">
        <v>46844</v>
      </c>
      <c r="T2863" s="1"/>
      <c r="V2863" s="1"/>
      <c r="X2863" s="101">
        <v>2</v>
      </c>
    </row>
    <row r="2864" spans="1:24" hidden="1">
      <c r="A2864">
        <v>1270</v>
      </c>
      <c r="B2864" s="2">
        <v>46239.496874999997</v>
      </c>
      <c r="C2864" s="2">
        <v>46239.5324189815</v>
      </c>
      <c r="D2864" s="1" t="s">
        <v>24</v>
      </c>
      <c r="E2864" s="1"/>
      <c r="F2864" s="29">
        <v>46239</v>
      </c>
      <c r="G2864" s="29">
        <v>46238</v>
      </c>
      <c r="H2864" s="1" t="s">
        <v>81</v>
      </c>
      <c r="I2864" s="1" t="s">
        <v>6468</v>
      </c>
      <c r="J2864" s="207"/>
      <c r="K2864" s="188" t="s">
        <v>6469</v>
      </c>
      <c r="L2864" s="62">
        <v>23367150</v>
      </c>
      <c r="M2864" s="102">
        <v>5214922911211</v>
      </c>
      <c r="N2864" s="172" t="s">
        <v>28</v>
      </c>
      <c r="O2864" s="91">
        <v>25289.77</v>
      </c>
      <c r="P2864" s="91"/>
      <c r="Q2864" s="42">
        <f>OfficeForms.Table[[#This Row],[ INFORMEDEPAGO ]]*0.3</f>
        <v>7586.9309999999996</v>
      </c>
      <c r="R2864" s="12">
        <f>(IF(O2864&lt;4172.98,0,MIN(O2864*0.3,O2864-4172.98)))-P2864</f>
        <v>7586.9309999999996</v>
      </c>
      <c r="S2864" s="78"/>
      <c r="T2864" s="1"/>
      <c r="V2864" s="1"/>
      <c r="X2864" s="101">
        <v>1</v>
      </c>
    </row>
    <row r="2865" spans="1:24" hidden="1">
      <c r="A2865">
        <v>1271</v>
      </c>
      <c r="B2865" s="2">
        <v>46239.533472222203</v>
      </c>
      <c r="C2865" s="2">
        <v>46239.534861111097</v>
      </c>
      <c r="D2865" s="1" t="s">
        <v>24</v>
      </c>
      <c r="E2865" s="1"/>
      <c r="F2865" s="29">
        <v>46239</v>
      </c>
      <c r="G2865" s="29">
        <v>46234</v>
      </c>
      <c r="H2865" s="1" t="s">
        <v>110</v>
      </c>
      <c r="I2865" s="1" t="s">
        <v>6470</v>
      </c>
      <c r="J2865" s="207"/>
      <c r="K2865" s="188" t="s">
        <v>6471</v>
      </c>
      <c r="L2865" s="62">
        <v>23264148</v>
      </c>
      <c r="M2865" s="102">
        <v>5213121082045</v>
      </c>
      <c r="N2865" s="172" t="s">
        <v>98</v>
      </c>
      <c r="O2865" s="91"/>
      <c r="P2865" s="91"/>
      <c r="Q2865" s="42">
        <f>OfficeForms.Table[[#This Row],[ INFORMEDEPAGO ]]*0.3</f>
        <v>0</v>
      </c>
      <c r="R2865" s="12">
        <f>(IF(O2865&lt;4172.98,0,MIN(O2865*0.3,O2865-4172.98)))-P2865</f>
        <v>0</v>
      </c>
      <c r="S2865" s="78"/>
      <c r="T2865" s="1"/>
      <c r="V2865" s="1"/>
      <c r="X2865" s="101">
        <v>0</v>
      </c>
    </row>
    <row r="2866" spans="1:24" hidden="1">
      <c r="A2866">
        <v>1272</v>
      </c>
      <c r="B2866" s="2">
        <v>46239.535624999997</v>
      </c>
      <c r="C2866" s="2">
        <v>46239.537187499998</v>
      </c>
      <c r="D2866" s="1" t="s">
        <v>24</v>
      </c>
      <c r="E2866" s="1"/>
      <c r="F2866" s="29">
        <v>46239</v>
      </c>
      <c r="G2866" s="29">
        <v>46239</v>
      </c>
      <c r="H2866" s="1" t="s">
        <v>110</v>
      </c>
      <c r="I2866" s="1" t="s">
        <v>6472</v>
      </c>
      <c r="J2866" s="207">
        <v>43725236624</v>
      </c>
      <c r="K2866" s="188"/>
      <c r="L2866" s="62">
        <v>23373428</v>
      </c>
      <c r="M2866" s="102">
        <v>5218126146241</v>
      </c>
      <c r="N2866" s="172" t="s">
        <v>37</v>
      </c>
      <c r="O2866" s="91">
        <v>10998.42</v>
      </c>
      <c r="P2866" s="91">
        <v>3181.41</v>
      </c>
      <c r="Q2866" s="42">
        <f>OfficeForms.Table[[#This Row],[ INFORMEDEPAGO ]]*0.3</f>
        <v>3299.5259999999998</v>
      </c>
      <c r="R2866" s="12">
        <f>(IF(O2866&lt;4172.98,0,MIN(O2866*0.3,O2866-4172.98)))-P2866</f>
        <v>118.11599999999999</v>
      </c>
      <c r="S2866" s="78">
        <v>46419</v>
      </c>
      <c r="T2866" s="1"/>
      <c r="V2866" s="1"/>
      <c r="X2866" s="101">
        <v>2</v>
      </c>
    </row>
    <row r="2867" spans="1:24" hidden="1">
      <c r="A2867">
        <v>1273</v>
      </c>
      <c r="B2867" s="2">
        <v>46239.5370833333</v>
      </c>
      <c r="C2867" s="2">
        <v>46239.538240740701</v>
      </c>
      <c r="D2867" s="1" t="s">
        <v>24</v>
      </c>
      <c r="E2867" s="1"/>
      <c r="F2867" s="29">
        <v>46239</v>
      </c>
      <c r="G2867" s="29">
        <v>46239</v>
      </c>
      <c r="H2867" s="1" t="s">
        <v>160</v>
      </c>
      <c r="I2867" s="1" t="s">
        <v>6473</v>
      </c>
      <c r="J2867" s="207">
        <v>33785817470</v>
      </c>
      <c r="K2867" s="188" t="s">
        <v>6474</v>
      </c>
      <c r="L2867" s="62">
        <v>23395464</v>
      </c>
      <c r="M2867" s="102">
        <v>5214611480324</v>
      </c>
      <c r="N2867" s="172" t="s">
        <v>28</v>
      </c>
      <c r="O2867" s="91">
        <v>9514.35</v>
      </c>
      <c r="P2867" s="91"/>
      <c r="Q2867" s="42">
        <f>OfficeForms.Table[[#This Row],[ INFORMEDEPAGO ]]*0.3</f>
        <v>2854.3049999999998</v>
      </c>
      <c r="R2867" s="12">
        <f>(IF(O2867&lt;4172.98,0,MIN(O2867*0.3,O2867-4172.98)))-P2867</f>
        <v>2854.3049999999998</v>
      </c>
      <c r="S2867" s="78"/>
      <c r="T2867" s="1"/>
      <c r="V2867" s="1"/>
      <c r="X2867" s="101">
        <v>1</v>
      </c>
    </row>
    <row r="2868" spans="1:24" hidden="1">
      <c r="A2868">
        <v>1274</v>
      </c>
      <c r="B2868" s="2">
        <v>46239.565914351901</v>
      </c>
      <c r="C2868" s="2">
        <v>46239.566608796304</v>
      </c>
      <c r="D2868" s="1" t="s">
        <v>24</v>
      </c>
      <c r="E2868" s="1"/>
      <c r="F2868" s="29">
        <v>46239</v>
      </c>
      <c r="G2868" s="29">
        <v>46232</v>
      </c>
      <c r="H2868" s="1" t="s">
        <v>3575</v>
      </c>
      <c r="I2868" s="1" t="s">
        <v>6475</v>
      </c>
      <c r="J2868" s="207"/>
      <c r="K2868" s="188" t="s">
        <v>6476</v>
      </c>
      <c r="L2868" s="62">
        <v>23212746</v>
      </c>
      <c r="M2868" s="102">
        <v>5219995466597</v>
      </c>
      <c r="N2868" s="172" t="s">
        <v>37</v>
      </c>
      <c r="O2868" s="91">
        <v>5617.63</v>
      </c>
      <c r="P2868" s="91">
        <v>1336</v>
      </c>
      <c r="Q2868" s="42">
        <f>OfficeForms.Table[[#This Row],[ INFORMEDEPAGO ]]*0.3</f>
        <v>1685.289</v>
      </c>
      <c r="R2868" s="12">
        <f>(IF(O2868&lt;4172.98,0,MIN(O2868*0.3,O2868-4172.98)))-P2868</f>
        <v>108.65000000000055</v>
      </c>
      <c r="S2868" s="78">
        <v>46388</v>
      </c>
      <c r="T2868" s="1"/>
      <c r="V2868" s="1"/>
      <c r="X2868" s="101">
        <v>2</v>
      </c>
    </row>
    <row r="2869" spans="1:24" hidden="1">
      <c r="A2869">
        <v>1275</v>
      </c>
      <c r="B2869" s="2">
        <v>46239.567141203697</v>
      </c>
      <c r="C2869" s="2">
        <v>46239.568043981497</v>
      </c>
      <c r="D2869" s="1" t="s">
        <v>24</v>
      </c>
      <c r="E2869" s="1"/>
      <c r="F2869" s="29">
        <v>46239</v>
      </c>
      <c r="G2869" s="29">
        <v>46239</v>
      </c>
      <c r="H2869" s="1" t="s">
        <v>110</v>
      </c>
      <c r="I2869" s="1" t="s">
        <v>6477</v>
      </c>
      <c r="J2869" s="207">
        <v>43725539985</v>
      </c>
      <c r="K2869" s="188"/>
      <c r="L2869" s="62">
        <v>23395836</v>
      </c>
      <c r="M2869" s="102">
        <v>5218123480191</v>
      </c>
      <c r="N2869" s="172" t="s">
        <v>28</v>
      </c>
      <c r="O2869" s="91">
        <v>32302.59</v>
      </c>
      <c r="P2869" s="91"/>
      <c r="Q2869" s="42">
        <f>OfficeForms.Table[[#This Row],[ INFORMEDEPAGO ]]*0.3</f>
        <v>9690.777</v>
      </c>
      <c r="R2869" s="12">
        <f>(IF(O2869&lt;4172.98,0,MIN(O2869*0.3,O2869-4172.98)))-P2869</f>
        <v>9690.777</v>
      </c>
      <c r="S2869" s="78"/>
      <c r="T2869" s="1"/>
      <c r="V2869" s="1"/>
      <c r="X2869" s="101">
        <v>1</v>
      </c>
    </row>
    <row r="2870" spans="1:24" hidden="1">
      <c r="A2870">
        <v>1276</v>
      </c>
      <c r="B2870" s="2">
        <v>46239.546284722201</v>
      </c>
      <c r="C2870" s="2">
        <v>46239.570185185199</v>
      </c>
      <c r="D2870" s="1" t="s">
        <v>24</v>
      </c>
      <c r="E2870" s="1"/>
      <c r="F2870" s="29">
        <v>46239</v>
      </c>
      <c r="G2870" s="29">
        <v>46239</v>
      </c>
      <c r="H2870" s="1" t="s">
        <v>26</v>
      </c>
      <c r="I2870" s="1" t="s">
        <v>6478</v>
      </c>
      <c r="J2870" s="207" t="s">
        <v>6479</v>
      </c>
      <c r="K2870" s="188" t="s">
        <v>6480</v>
      </c>
      <c r="L2870" s="62">
        <v>23397862</v>
      </c>
      <c r="M2870" s="102">
        <v>5216481069393</v>
      </c>
      <c r="N2870" s="172" t="s">
        <v>98</v>
      </c>
      <c r="O2870" s="91"/>
      <c r="P2870" s="91"/>
      <c r="Q2870" s="42">
        <f>OfficeForms.Table[[#This Row],[ INFORMEDEPAGO ]]*0.3</f>
        <v>0</v>
      </c>
      <c r="R2870" s="12">
        <f>(IF(O2870&lt;4172.98,0,MIN(O2870*0.3,O2870-4172.98)))-P2870</f>
        <v>0</v>
      </c>
      <c r="S2870" s="78"/>
      <c r="T2870" s="1"/>
      <c r="V2870" s="1"/>
      <c r="X2870" s="101">
        <v>0</v>
      </c>
    </row>
    <row r="2871" spans="1:24" hidden="1">
      <c r="A2871">
        <v>1277</v>
      </c>
      <c r="B2871" s="2">
        <v>46239.574537036999</v>
      </c>
      <c r="C2871" s="2">
        <v>46239.575243055602</v>
      </c>
      <c r="D2871" s="1" t="s">
        <v>24</v>
      </c>
      <c r="E2871" s="1"/>
      <c r="F2871" s="29">
        <v>46239</v>
      </c>
      <c r="G2871" s="29">
        <v>46238</v>
      </c>
      <c r="H2871" s="1" t="s">
        <v>3575</v>
      </c>
      <c r="I2871" s="1" t="s">
        <v>6481</v>
      </c>
      <c r="J2871" s="207"/>
      <c r="K2871" s="188" t="s">
        <v>6482</v>
      </c>
      <c r="L2871" s="62">
        <v>23375616</v>
      </c>
      <c r="M2871" s="102">
        <v>5217775725261</v>
      </c>
      <c r="N2871" s="172" t="s">
        <v>28</v>
      </c>
      <c r="O2871" s="91">
        <v>8539.89</v>
      </c>
      <c r="P2871" s="91"/>
      <c r="Q2871" s="42">
        <f>OfficeForms.Table[[#This Row],[ INFORMEDEPAGO ]]*0.3</f>
        <v>2561.9669999999996</v>
      </c>
      <c r="R2871" s="12">
        <f>(IF(O2871&lt;4172.98,0,MIN(O2871*0.3,O2871-4172.98)))-P2871</f>
        <v>2561.9669999999996</v>
      </c>
      <c r="S2871" s="78"/>
      <c r="T2871" s="1"/>
      <c r="V2871" s="1"/>
      <c r="X2871" s="101">
        <v>1</v>
      </c>
    </row>
    <row r="2872" spans="1:24" hidden="1">
      <c r="A2872">
        <v>1278</v>
      </c>
      <c r="B2872" s="2">
        <v>46239.523275462998</v>
      </c>
      <c r="C2872" s="2">
        <v>46239.599456018499</v>
      </c>
      <c r="D2872" s="1" t="s">
        <v>24</v>
      </c>
      <c r="E2872" s="1"/>
      <c r="F2872" s="29">
        <v>46239</v>
      </c>
      <c r="G2872" s="29">
        <v>46238</v>
      </c>
      <c r="H2872" s="1" t="s">
        <v>51</v>
      </c>
      <c r="I2872" s="1" t="s">
        <v>6483</v>
      </c>
      <c r="J2872" s="207">
        <v>32936376113</v>
      </c>
      <c r="K2872" s="188" t="s">
        <v>6484</v>
      </c>
      <c r="L2872" s="62">
        <v>23379666</v>
      </c>
      <c r="M2872" s="102">
        <v>5218441182240</v>
      </c>
      <c r="N2872" s="172" t="s">
        <v>37</v>
      </c>
      <c r="O2872" s="91">
        <v>7920.51</v>
      </c>
      <c r="P2872" s="91">
        <v>2199.02</v>
      </c>
      <c r="Q2872" s="42">
        <f>OfficeForms.Table[[#This Row],[ INFORMEDEPAGO ]]*0.3</f>
        <v>2376.1529999999998</v>
      </c>
      <c r="R2872" s="12">
        <f>(IF(O2872&lt;4172.98,0,MIN(O2872*0.3,O2872-4172.98)))-P2872</f>
        <v>177.13299999999981</v>
      </c>
      <c r="S2872" s="78">
        <v>46357</v>
      </c>
      <c r="T2872" s="1"/>
      <c r="V2872" s="1"/>
      <c r="X2872" s="101">
        <v>2</v>
      </c>
    </row>
    <row r="2873" spans="1:24" hidden="1">
      <c r="A2873">
        <v>1279</v>
      </c>
      <c r="B2873" s="2">
        <v>46239.597314814797</v>
      </c>
      <c r="C2873" s="2">
        <v>46239.601504629602</v>
      </c>
      <c r="D2873" s="1" t="s">
        <v>24</v>
      </c>
      <c r="E2873" s="1"/>
      <c r="F2873" s="29">
        <v>46239</v>
      </c>
      <c r="G2873" s="29">
        <v>46238</v>
      </c>
      <c r="H2873" s="1" t="s">
        <v>160</v>
      </c>
      <c r="I2873" s="1" t="s">
        <v>6485</v>
      </c>
      <c r="J2873" s="207">
        <v>64815712316</v>
      </c>
      <c r="K2873" s="188" t="s">
        <v>6486</v>
      </c>
      <c r="L2873" s="62">
        <v>23379884</v>
      </c>
      <c r="M2873" s="102">
        <v>5215513993581</v>
      </c>
      <c r="N2873" s="172" t="s">
        <v>37</v>
      </c>
      <c r="O2873" s="91">
        <v>40571.17</v>
      </c>
      <c r="P2873" s="91">
        <v>12170.44</v>
      </c>
      <c r="Q2873" s="42">
        <f>OfficeForms.Table[[#This Row],[ INFORMEDEPAGO ]]*0.3</f>
        <v>12171.350999999999</v>
      </c>
      <c r="R2873" s="12">
        <f>(IF(O2873&lt;4172.98,0,MIN(O2873*0.3,O2873-4172.98)))-P2873</f>
        <v>0.91099999999823922</v>
      </c>
      <c r="S2873" s="78">
        <v>46296</v>
      </c>
      <c r="T2873" s="1" t="s">
        <v>84</v>
      </c>
      <c r="V2873" s="1"/>
      <c r="X2873" s="101">
        <v>2</v>
      </c>
    </row>
    <row r="2874" spans="1:24" hidden="1">
      <c r="A2874">
        <v>1280</v>
      </c>
      <c r="B2874" s="2">
        <v>46239.604421296302</v>
      </c>
      <c r="C2874" s="2">
        <v>46239.605347222197</v>
      </c>
      <c r="D2874" s="1" t="s">
        <v>24</v>
      </c>
      <c r="E2874" s="1"/>
      <c r="F2874" s="29">
        <v>46239</v>
      </c>
      <c r="G2874" s="29">
        <v>46239</v>
      </c>
      <c r="H2874" s="1" t="s">
        <v>269</v>
      </c>
      <c r="I2874" s="1" t="s">
        <v>1041</v>
      </c>
      <c r="J2874" s="175" t="s">
        <v>6487</v>
      </c>
      <c r="K2874" s="190" t="s">
        <v>1042</v>
      </c>
      <c r="L2874" s="62">
        <v>23377140</v>
      </c>
      <c r="M2874" s="102">
        <v>23377140</v>
      </c>
      <c r="N2874" s="172" t="s">
        <v>37</v>
      </c>
      <c r="O2874" s="91">
        <v>7135.6</v>
      </c>
      <c r="P2874" s="91">
        <v>2129.23</v>
      </c>
      <c r="Q2874" s="42">
        <f>OfficeForms.Table[[#This Row],[ INFORMEDEPAGO ]]*0.3</f>
        <v>2140.6799999999998</v>
      </c>
      <c r="R2874" s="12">
        <f>(IF(O2874&lt;4172.98,0,MIN(O2874*0.3,O2874-4172.98)))-P2874</f>
        <v>11.449999999999818</v>
      </c>
      <c r="S2874" s="78">
        <v>46935</v>
      </c>
      <c r="T2874" s="1" t="s">
        <v>192</v>
      </c>
      <c r="V2874" s="1"/>
      <c r="X2874" s="101">
        <v>2</v>
      </c>
    </row>
    <row r="2875" spans="1:24" hidden="1">
      <c r="A2875">
        <v>1281</v>
      </c>
      <c r="B2875" s="2">
        <v>46239.496018518497</v>
      </c>
      <c r="C2875" s="2">
        <v>46239.608240740701</v>
      </c>
      <c r="D2875" s="1" t="s">
        <v>24</v>
      </c>
      <c r="E2875" s="1"/>
      <c r="F2875" s="29">
        <v>46239</v>
      </c>
      <c r="G2875" s="29">
        <v>46239</v>
      </c>
      <c r="H2875" s="1" t="s">
        <v>1625</v>
      </c>
      <c r="I2875" s="1" t="s">
        <v>5488</v>
      </c>
      <c r="J2875" s="175">
        <v>43956535256</v>
      </c>
      <c r="K2875" s="190" t="s">
        <v>5489</v>
      </c>
      <c r="L2875" s="62">
        <v>2</v>
      </c>
      <c r="M2875" s="102">
        <v>8131313024</v>
      </c>
      <c r="N2875" s="171" t="s">
        <v>28</v>
      </c>
      <c r="O2875" s="67">
        <v>10636.54</v>
      </c>
      <c r="P2875" s="99"/>
      <c r="Q2875" s="42">
        <f>OfficeForms.Table[[#This Row],[ INFORMEDEPAGO ]]*0.3</f>
        <v>3190.962</v>
      </c>
      <c r="R2875" s="12">
        <f>(IF(O2875&lt;4172.98,0,MIN(O2875*0.3,O2875-4172.98)))-P2875</f>
        <v>3190.962</v>
      </c>
      <c r="S2875" s="78"/>
      <c r="T2875" s="1"/>
      <c r="V2875" s="1"/>
      <c r="X2875" s="101">
        <v>0</v>
      </c>
    </row>
    <row r="2876" spans="1:24" hidden="1">
      <c r="A2876">
        <v>1282</v>
      </c>
      <c r="B2876" s="2">
        <v>46239.524131944403</v>
      </c>
      <c r="C2876" s="2">
        <v>46239.6088310185</v>
      </c>
      <c r="D2876" s="1" t="s">
        <v>24</v>
      </c>
      <c r="E2876" s="1"/>
      <c r="F2876" s="29">
        <v>46239</v>
      </c>
      <c r="G2876" s="29">
        <v>46239</v>
      </c>
      <c r="H2876" s="1" t="s">
        <v>2908</v>
      </c>
      <c r="I2876" s="1" t="s">
        <v>6488</v>
      </c>
      <c r="J2876" s="175">
        <v>19776013369</v>
      </c>
      <c r="K2876" s="190" t="s">
        <v>6489</v>
      </c>
      <c r="L2876" s="62">
        <v>2</v>
      </c>
      <c r="M2876" s="102">
        <v>5215637804150</v>
      </c>
      <c r="N2876" s="172" t="s">
        <v>37</v>
      </c>
      <c r="O2876" s="91">
        <v>8118.24</v>
      </c>
      <c r="P2876" s="91">
        <v>2435.4699999999998</v>
      </c>
      <c r="Q2876" s="42">
        <f>OfficeForms.Table[[#This Row],[ INFORMEDEPAGO ]]*0.3</f>
        <v>2435.4719999999998</v>
      </c>
      <c r="R2876" s="12">
        <f>(IF(O2876&lt;4172.98,0,MIN(O2876*0.3,O2876-4172.98)))-P2876</f>
        <v>1.9999999999527063E-3</v>
      </c>
      <c r="S2876" s="78">
        <v>46844</v>
      </c>
      <c r="T2876" s="1"/>
      <c r="V2876" s="1"/>
      <c r="X2876" s="101">
        <v>2</v>
      </c>
    </row>
    <row r="2877" spans="1:24" hidden="1">
      <c r="A2877">
        <v>1283</v>
      </c>
      <c r="B2877" s="2">
        <v>46239.608935185199</v>
      </c>
      <c r="C2877" s="2">
        <v>46239.613472222198</v>
      </c>
      <c r="D2877" s="1" t="s">
        <v>24</v>
      </c>
      <c r="E2877" s="1"/>
      <c r="F2877" s="29">
        <v>46239</v>
      </c>
      <c r="G2877" s="29">
        <v>46239</v>
      </c>
      <c r="H2877" s="1" t="s">
        <v>5605</v>
      </c>
      <c r="I2877" s="1" t="s">
        <v>6490</v>
      </c>
      <c r="J2877" s="175"/>
      <c r="K2877" s="190" t="s">
        <v>6491</v>
      </c>
      <c r="L2877" s="62">
        <v>23400806</v>
      </c>
      <c r="M2877" s="102">
        <v>2821844328</v>
      </c>
      <c r="N2877" s="172" t="s">
        <v>32</v>
      </c>
      <c r="O2877" s="91">
        <f>3018.25+848</f>
        <v>3866.25</v>
      </c>
      <c r="P2877" s="91">
        <v>848</v>
      </c>
      <c r="Q2877" s="42">
        <f>OfficeForms.Table[[#This Row],[ INFORMEDEPAGO ]]*0.3</f>
        <v>1159.875</v>
      </c>
      <c r="R2877" s="12">
        <f>(IF(O2877&lt;4172.98,0,MIN(O2877*0.3,O2877-4172.98)))-P2877</f>
        <v>-848</v>
      </c>
      <c r="S2877" s="78"/>
      <c r="T2877" s="1"/>
      <c r="V2877" s="1"/>
      <c r="X2877" s="101">
        <v>1</v>
      </c>
    </row>
    <row r="2878" spans="1:24" hidden="1">
      <c r="A2878">
        <v>1284</v>
      </c>
      <c r="B2878" s="2">
        <v>46239.6066782407</v>
      </c>
      <c r="C2878" s="2">
        <v>46239.615740740701</v>
      </c>
      <c r="D2878" s="1" t="s">
        <v>24</v>
      </c>
      <c r="E2878" s="1"/>
      <c r="F2878" s="29">
        <v>46239</v>
      </c>
      <c r="G2878" s="29">
        <v>46239</v>
      </c>
      <c r="H2878" s="1" t="s">
        <v>3572</v>
      </c>
      <c r="I2878" s="1" t="s">
        <v>6492</v>
      </c>
      <c r="J2878" s="175"/>
      <c r="K2878" s="190" t="s">
        <v>6493</v>
      </c>
      <c r="L2878" s="62">
        <v>23400972</v>
      </c>
      <c r="M2878" s="102">
        <v>7225767646</v>
      </c>
      <c r="N2878" s="172" t="s">
        <v>28</v>
      </c>
      <c r="O2878" s="91">
        <f>8233.52+848</f>
        <v>9081.52</v>
      </c>
      <c r="P2878" s="91">
        <v>848</v>
      </c>
      <c r="Q2878" s="42">
        <f>OfficeForms.Table[[#This Row],[ INFORMEDEPAGO ]]*0.3</f>
        <v>2724.4560000000001</v>
      </c>
      <c r="R2878" s="12">
        <f>(IF(O2878&lt;4172.98,0,MIN(O2878*0.3,O2878-4172.98)))-P2878</f>
        <v>1876.4560000000001</v>
      </c>
      <c r="S2878" s="78"/>
      <c r="T2878" s="1"/>
      <c r="V2878" s="1"/>
      <c r="X2878" s="101">
        <v>1</v>
      </c>
    </row>
    <row r="2879" spans="1:24" hidden="1">
      <c r="A2879">
        <v>1285</v>
      </c>
      <c r="B2879" s="2">
        <v>46239.628634259301</v>
      </c>
      <c r="C2879" s="2">
        <v>46239.633449074099</v>
      </c>
      <c r="D2879" s="1" t="s">
        <v>24</v>
      </c>
      <c r="E2879" s="1"/>
      <c r="F2879" s="29">
        <v>46239</v>
      </c>
      <c r="G2879" s="29">
        <v>46238</v>
      </c>
      <c r="H2879" s="1" t="s">
        <v>78</v>
      </c>
      <c r="I2879" s="1" t="s">
        <v>6494</v>
      </c>
      <c r="J2879" s="175"/>
      <c r="K2879" s="190" t="s">
        <v>6495</v>
      </c>
      <c r="L2879" s="62">
        <v>23367322</v>
      </c>
      <c r="M2879" s="102">
        <v>5216621046326</v>
      </c>
      <c r="N2879" s="172" t="s">
        <v>32</v>
      </c>
      <c r="O2879" s="91">
        <f>3320.87+879</f>
        <v>4199.87</v>
      </c>
      <c r="P2879" s="91">
        <v>879</v>
      </c>
      <c r="Q2879" s="42">
        <f>OfficeForms.Table[[#This Row],[ INFORMEDEPAGO ]]*0.3</f>
        <v>1259.961</v>
      </c>
      <c r="R2879" s="12">
        <f>(IF(O2879&lt;4172.98,0,MIN(O2879*0.3,O2879-4172.98)))-P2879</f>
        <v>-852.10999999999967</v>
      </c>
      <c r="S2879" s="78"/>
      <c r="T2879" s="1"/>
      <c r="V2879" s="1"/>
      <c r="X2879" s="101">
        <v>1</v>
      </c>
    </row>
    <row r="2880" spans="1:24" hidden="1">
      <c r="A2880">
        <v>1286</v>
      </c>
      <c r="B2880" s="2">
        <v>46239.512083333299</v>
      </c>
      <c r="C2880" s="2">
        <v>46239.635462963</v>
      </c>
      <c r="D2880" s="1" t="s">
        <v>24</v>
      </c>
      <c r="E2880" s="1"/>
      <c r="F2880" s="29">
        <v>46239</v>
      </c>
      <c r="G2880" s="29">
        <v>46239</v>
      </c>
      <c r="H2880" s="1" t="s">
        <v>103</v>
      </c>
      <c r="I2880" s="1" t="s">
        <v>219</v>
      </c>
      <c r="J2880" s="175">
        <v>65937572223</v>
      </c>
      <c r="K2880" s="190"/>
      <c r="L2880" s="62">
        <v>1</v>
      </c>
      <c r="M2880" s="102">
        <v>8143316507</v>
      </c>
      <c r="N2880" s="172" t="s">
        <v>37</v>
      </c>
      <c r="O2880" s="91">
        <v>11047.7</v>
      </c>
      <c r="P2880" s="91">
        <v>3195</v>
      </c>
      <c r="Q2880" s="42">
        <f>OfficeForms.Table[[#This Row],[ INFORMEDEPAGO ]]*0.3</f>
        <v>3314.31</v>
      </c>
      <c r="R2880" s="12">
        <f>(IF(O2880&lt;4172.98,0,MIN(O2880*0.3,O2880-4172.98)))-P2880</f>
        <v>119.30999999999995</v>
      </c>
      <c r="S2880" s="78">
        <v>46661</v>
      </c>
      <c r="T2880" s="1"/>
      <c r="V2880" s="1"/>
      <c r="X2880" s="101">
        <v>2</v>
      </c>
    </row>
    <row r="2881" spans="1:24" hidden="1">
      <c r="A2881">
        <v>1287</v>
      </c>
      <c r="B2881" s="2">
        <v>46239.634988425903</v>
      </c>
      <c r="C2881" s="2">
        <v>46239.635902777802</v>
      </c>
      <c r="D2881" s="1" t="s">
        <v>24</v>
      </c>
      <c r="E2881" s="1"/>
      <c r="F2881" s="29">
        <v>46239</v>
      </c>
      <c r="G2881" s="29">
        <v>46239</v>
      </c>
      <c r="H2881" s="1" t="s">
        <v>26</v>
      </c>
      <c r="I2881" s="1" t="s">
        <v>6496</v>
      </c>
      <c r="J2881" s="175"/>
      <c r="K2881" s="190" t="s">
        <v>6497</v>
      </c>
      <c r="L2881" s="62">
        <v>23395834</v>
      </c>
      <c r="M2881" s="102">
        <v>5219516382391</v>
      </c>
      <c r="N2881" s="172" t="s">
        <v>47</v>
      </c>
      <c r="O2881" s="91">
        <v>4813.6899999999996</v>
      </c>
      <c r="P2881" s="91"/>
      <c r="Q2881" s="42">
        <f>OfficeForms.Table[[#This Row],[ INFORMEDEPAGO ]]*0.3</f>
        <v>1444.1069999999997</v>
      </c>
      <c r="R2881" s="12">
        <f>(IF(O2881&lt;4172.98,0,MIN(O2881*0.3,O2881-4172.98)))-P2881</f>
        <v>640.71</v>
      </c>
      <c r="S2881" s="78"/>
      <c r="T2881" s="1"/>
      <c r="V2881" s="1"/>
      <c r="X2881" s="101">
        <v>1</v>
      </c>
    </row>
    <row r="2882" spans="1:24" hidden="1">
      <c r="A2882">
        <v>1288</v>
      </c>
      <c r="B2882" s="2">
        <v>46239.639305555596</v>
      </c>
      <c r="C2882" s="2">
        <v>46239.643807870401</v>
      </c>
      <c r="D2882" s="1" t="s">
        <v>24</v>
      </c>
      <c r="E2882" s="1"/>
      <c r="F2882" s="29">
        <v>46239</v>
      </c>
      <c r="G2882" s="29">
        <v>46239</v>
      </c>
      <c r="H2882" s="1" t="s">
        <v>160</v>
      </c>
      <c r="I2882" s="1" t="s">
        <v>6498</v>
      </c>
      <c r="J2882" s="175">
        <v>54816564923</v>
      </c>
      <c r="K2882" s="190" t="s">
        <v>6499</v>
      </c>
      <c r="L2882" s="62">
        <v>23387476</v>
      </c>
      <c r="M2882" s="102">
        <v>5213330387937</v>
      </c>
      <c r="N2882" s="172" t="s">
        <v>37</v>
      </c>
      <c r="O2882" s="91">
        <v>9760.32</v>
      </c>
      <c r="P2882" s="91">
        <v>2724.81</v>
      </c>
      <c r="Q2882" s="42">
        <f>OfficeForms.Table[[#This Row],[ INFORMEDEPAGO ]]*0.3</f>
        <v>2928.096</v>
      </c>
      <c r="R2882" s="12">
        <f>(IF(O2882&lt;4172.98,0,MIN(O2882*0.3,O2882-4172.98)))-P2882</f>
        <v>203.28600000000006</v>
      </c>
      <c r="S2882" s="78">
        <v>46600</v>
      </c>
      <c r="T2882" s="1"/>
      <c r="V2882" s="1"/>
      <c r="X2882" s="101">
        <v>2</v>
      </c>
    </row>
    <row r="2883" spans="1:24" hidden="1">
      <c r="A2883">
        <v>1289</v>
      </c>
      <c r="B2883" s="2">
        <v>46239.651805555601</v>
      </c>
      <c r="C2883" s="2">
        <v>46239.652372685203</v>
      </c>
      <c r="D2883" s="1" t="s">
        <v>24</v>
      </c>
      <c r="E2883" s="1"/>
      <c r="F2883" s="29">
        <v>46239</v>
      </c>
      <c r="G2883" s="29">
        <v>46239</v>
      </c>
      <c r="H2883" s="1" t="s">
        <v>107</v>
      </c>
      <c r="I2883" s="1"/>
      <c r="J2883" s="175"/>
      <c r="K2883" s="190" t="s">
        <v>6500</v>
      </c>
      <c r="L2883" s="62">
        <v>23395908</v>
      </c>
      <c r="M2883" s="102">
        <v>8991653063</v>
      </c>
      <c r="N2883" s="172" t="s">
        <v>37</v>
      </c>
      <c r="O2883" s="91">
        <v>5642.22</v>
      </c>
      <c r="P2883" s="91">
        <v>1401.79</v>
      </c>
      <c r="Q2883" s="42">
        <f>OfficeForms.Table[[#This Row],[ INFORMEDEPAGO ]]*0.3</f>
        <v>1692.6659999999999</v>
      </c>
      <c r="R2883" s="12">
        <f>(IF(O2883&lt;4172.98,0,MIN(O2883*0.3,O2883-4172.98)))-P2883</f>
        <v>67.450000000000728</v>
      </c>
      <c r="S2883" s="78">
        <v>46784</v>
      </c>
      <c r="T2883" s="1"/>
      <c r="V2883" s="1"/>
      <c r="X2883" s="101">
        <v>2</v>
      </c>
    </row>
    <row r="2884" spans="1:24" hidden="1">
      <c r="A2884">
        <v>1290</v>
      </c>
      <c r="B2884" s="2">
        <v>46239.599479166704</v>
      </c>
      <c r="C2884" s="2">
        <v>46239.662384259304</v>
      </c>
      <c r="D2884" s="1" t="s">
        <v>24</v>
      </c>
      <c r="E2884" s="1"/>
      <c r="F2884" s="29">
        <v>46239</v>
      </c>
      <c r="G2884" s="29">
        <v>46235</v>
      </c>
      <c r="H2884" s="1" t="s">
        <v>51</v>
      </c>
      <c r="I2884" s="1" t="s">
        <v>6501</v>
      </c>
      <c r="J2884" s="175"/>
      <c r="K2884" s="190" t="s">
        <v>6502</v>
      </c>
      <c r="L2884" s="62">
        <v>23279858</v>
      </c>
      <c r="M2884" s="102">
        <v>5219511236047</v>
      </c>
      <c r="N2884" s="172" t="s">
        <v>28</v>
      </c>
      <c r="O2884" s="91">
        <v>9760.32</v>
      </c>
      <c r="P2884" s="91"/>
      <c r="Q2884" s="42">
        <f>OfficeForms.Table[[#This Row],[ INFORMEDEPAGO ]]*0.3</f>
        <v>2928.096</v>
      </c>
      <c r="R2884" s="12">
        <f>(IF(O2884&lt;4172.98,0,MIN(O2884*0.3,O2884-4172.98)))-P2884</f>
        <v>2928.096</v>
      </c>
      <c r="S2884" s="78"/>
      <c r="T2884" s="1"/>
      <c r="V2884" s="1"/>
      <c r="X2884" s="101">
        <v>1</v>
      </c>
    </row>
    <row r="2885" spans="1:24" hidden="1">
      <c r="A2885">
        <v>1291</v>
      </c>
      <c r="B2885" s="2">
        <v>46239.550162036998</v>
      </c>
      <c r="C2885" s="2">
        <v>46239.666099536997</v>
      </c>
      <c r="D2885" s="1" t="s">
        <v>24</v>
      </c>
      <c r="E2885" s="1"/>
      <c r="F2885" s="29">
        <v>46239</v>
      </c>
      <c r="G2885" s="29">
        <v>46239</v>
      </c>
      <c r="H2885" s="1" t="s">
        <v>81</v>
      </c>
      <c r="I2885" s="1" t="s">
        <v>6503</v>
      </c>
      <c r="J2885" s="175" t="s">
        <v>6504</v>
      </c>
      <c r="K2885" s="190"/>
      <c r="L2885" s="62">
        <v>23389740</v>
      </c>
      <c r="M2885" s="102">
        <v>23389740</v>
      </c>
      <c r="N2885" s="172" t="s">
        <v>37</v>
      </c>
      <c r="O2885" s="91">
        <v>5636.59</v>
      </c>
      <c r="P2885" s="91">
        <v>1630.18</v>
      </c>
      <c r="Q2885" s="42">
        <f>OfficeForms.Table[[#This Row],[ INFORMEDEPAGO ]]*0.3</f>
        <v>1690.9770000000001</v>
      </c>
      <c r="R2885" s="12">
        <f>(IF(O2885&lt;4172.98,0,MIN(O2885*0.3,O2885-4172.98)))-P2885</f>
        <v>-166.56999999999948</v>
      </c>
      <c r="S2885" s="78">
        <v>46600</v>
      </c>
      <c r="T2885" s="1"/>
      <c r="V2885" s="1"/>
      <c r="X2885" s="101">
        <v>2</v>
      </c>
    </row>
    <row r="2886" spans="1:24" hidden="1">
      <c r="A2886">
        <v>1292</v>
      </c>
      <c r="B2886" s="2">
        <v>46239.636585648099</v>
      </c>
      <c r="C2886" s="2">
        <v>46239.668888888897</v>
      </c>
      <c r="D2886" s="1" t="s">
        <v>24</v>
      </c>
      <c r="E2886" s="1"/>
      <c r="F2886" s="29">
        <v>46239</v>
      </c>
      <c r="G2886" s="29">
        <v>46239</v>
      </c>
      <c r="H2886" s="1" t="s">
        <v>269</v>
      </c>
      <c r="I2886" s="1" t="s">
        <v>6505</v>
      </c>
      <c r="J2886" s="175" t="s">
        <v>6506</v>
      </c>
      <c r="K2886" s="190" t="s">
        <v>6507</v>
      </c>
      <c r="L2886" s="62">
        <v>23368440</v>
      </c>
      <c r="M2886" s="102">
        <v>23368440</v>
      </c>
      <c r="N2886" s="172" t="s">
        <v>28</v>
      </c>
      <c r="O2886" s="91">
        <v>28376.01</v>
      </c>
      <c r="P2886" s="91"/>
      <c r="Q2886" s="42">
        <f>OfficeForms.Table[[#This Row],[ INFORMEDEPAGO ]]*0.3</f>
        <v>8512.8029999999999</v>
      </c>
      <c r="R2886" s="12">
        <f>(IF(O2886&lt;4172.98,0,MIN(O2886*0.3,O2886-4172.98)))-P2886</f>
        <v>8512.8029999999999</v>
      </c>
      <c r="S2886" s="78"/>
      <c r="T2886" s="1"/>
      <c r="V2886" s="1"/>
      <c r="X2886" s="101">
        <v>1</v>
      </c>
    </row>
    <row r="2887" spans="1:24" hidden="1">
      <c r="A2887">
        <v>1293</v>
      </c>
      <c r="B2887" s="2">
        <v>46239.668391203697</v>
      </c>
      <c r="C2887" s="2">
        <v>46239.6691782407</v>
      </c>
      <c r="D2887" s="1" t="s">
        <v>24</v>
      </c>
      <c r="E2887" s="1"/>
      <c r="F2887" s="29">
        <v>46239</v>
      </c>
      <c r="G2887" s="29">
        <v>46239</v>
      </c>
      <c r="H2887" s="1" t="s">
        <v>107</v>
      </c>
      <c r="I2887" s="1"/>
      <c r="J2887" s="207"/>
      <c r="K2887" s="190" t="s">
        <v>6508</v>
      </c>
      <c r="L2887" s="62">
        <v>23374308</v>
      </c>
      <c r="M2887" s="102" t="s">
        <v>6509</v>
      </c>
      <c r="N2887" s="172" t="s">
        <v>28</v>
      </c>
      <c r="O2887" s="91">
        <v>6711.39</v>
      </c>
      <c r="P2887" s="91"/>
      <c r="Q2887" s="42">
        <f>OfficeForms.Table[[#This Row],[ INFORMEDEPAGO ]]*0.3</f>
        <v>2013.4169999999999</v>
      </c>
      <c r="R2887" s="12">
        <f>(IF(O2887&lt;4172.98,0,MIN(O2887*0.3,O2887-4172.98)))-P2887</f>
        <v>2013.4169999999999</v>
      </c>
      <c r="S2887" s="78"/>
      <c r="T2887" s="1"/>
      <c r="V2887" s="1"/>
      <c r="X2887" s="101">
        <v>1</v>
      </c>
    </row>
    <row r="2888" spans="1:24" hidden="1">
      <c r="A2888">
        <v>1294</v>
      </c>
      <c r="B2888" s="2">
        <v>46239.6725462963</v>
      </c>
      <c r="C2888" s="2">
        <v>46239.674212963</v>
      </c>
      <c r="D2888" s="1" t="s">
        <v>24</v>
      </c>
      <c r="E2888" s="1"/>
      <c r="F2888" s="29">
        <v>46239</v>
      </c>
      <c r="G2888" s="29">
        <v>46239</v>
      </c>
      <c r="H2888" s="1" t="s">
        <v>5605</v>
      </c>
      <c r="I2888" s="1" t="s">
        <v>6510</v>
      </c>
      <c r="J2888" s="207"/>
      <c r="K2888" s="190" t="s">
        <v>6511</v>
      </c>
      <c r="L2888" s="62">
        <v>23399608</v>
      </c>
      <c r="M2888" s="102">
        <v>5523813418</v>
      </c>
      <c r="N2888" s="172" t="s">
        <v>28</v>
      </c>
      <c r="O2888" s="91">
        <v>14962.98</v>
      </c>
      <c r="P2888" s="91">
        <v>2303.14</v>
      </c>
      <c r="Q2888" s="42">
        <f>OfficeForms.Table[[#This Row],[ INFORMEDEPAGO ]]*0.3</f>
        <v>4488.8939999999993</v>
      </c>
      <c r="R2888" s="12">
        <f>(IF(O2888&lt;4172.98,0,MIN(O2888*0.3,O2888-4172.98)))-P2888</f>
        <v>2185.7539999999995</v>
      </c>
      <c r="S2888" s="78">
        <v>45870</v>
      </c>
      <c r="T2888" s="1" t="s">
        <v>192</v>
      </c>
      <c r="V2888" s="1"/>
      <c r="X2888" s="101">
        <v>2</v>
      </c>
    </row>
    <row r="2889" spans="1:24" hidden="1">
      <c r="A2889">
        <v>1295</v>
      </c>
      <c r="B2889" s="2">
        <v>46239.677824074097</v>
      </c>
      <c r="C2889" s="2">
        <v>46239.678263888898</v>
      </c>
      <c r="D2889" s="1" t="s">
        <v>24</v>
      </c>
      <c r="E2889" s="1"/>
      <c r="F2889" s="29">
        <v>46239</v>
      </c>
      <c r="G2889" s="29">
        <v>46239</v>
      </c>
      <c r="H2889" s="1" t="s">
        <v>26</v>
      </c>
      <c r="I2889" s="1" t="s">
        <v>6512</v>
      </c>
      <c r="J2889" s="207" t="s">
        <v>6513</v>
      </c>
      <c r="K2889" s="190"/>
      <c r="L2889" s="62">
        <v>23402608</v>
      </c>
      <c r="M2889" s="102">
        <v>5214624756905</v>
      </c>
      <c r="N2889" s="172" t="s">
        <v>37</v>
      </c>
      <c r="O2889" s="91">
        <v>7135.6</v>
      </c>
      <c r="P2889" s="91">
        <v>2043.81</v>
      </c>
      <c r="Q2889" s="42">
        <f>OfficeForms.Table[[#This Row],[ INFORMEDEPAGO ]]*0.3</f>
        <v>2140.6799999999998</v>
      </c>
      <c r="R2889" s="12">
        <f>(IF(O2889&lt;4172.98,0,MIN(O2889*0.3,O2889-4172.98)))-P2889</f>
        <v>96.869999999999891</v>
      </c>
      <c r="S2889" s="78">
        <v>46296</v>
      </c>
      <c r="T2889" s="1"/>
      <c r="V2889" s="1"/>
      <c r="X2889" s="101">
        <v>2</v>
      </c>
    </row>
    <row r="2890" spans="1:24" hidden="1">
      <c r="A2890">
        <v>1296</v>
      </c>
      <c r="B2890" s="2">
        <v>46239.6623958333</v>
      </c>
      <c r="C2890" s="2">
        <v>46239.679907407401</v>
      </c>
      <c r="D2890" s="1" t="s">
        <v>24</v>
      </c>
      <c r="E2890" s="1"/>
      <c r="F2890" s="29">
        <v>46239</v>
      </c>
      <c r="G2890" s="29">
        <v>46239</v>
      </c>
      <c r="H2890" s="1" t="s">
        <v>51</v>
      </c>
      <c r="I2890" s="1" t="s">
        <v>6514</v>
      </c>
      <c r="J2890" s="207"/>
      <c r="K2890" s="190" t="s">
        <v>6515</v>
      </c>
      <c r="L2890" s="62">
        <v>23388838</v>
      </c>
      <c r="M2890" s="102">
        <v>5219221157099</v>
      </c>
      <c r="N2890" s="172" t="s">
        <v>263</v>
      </c>
      <c r="O2890" s="91">
        <v>7920.51</v>
      </c>
      <c r="P2890" s="91">
        <v>2198.64</v>
      </c>
      <c r="Q2890" s="42">
        <f>OfficeForms.Table[[#This Row],[ INFORMEDEPAGO ]]*0.3</f>
        <v>2376.1529999999998</v>
      </c>
      <c r="R2890" s="12">
        <f>(IF(O2890&lt;4172.98,0,MIN(O2890*0.3,O2890-4172.98)))-P2890</f>
        <v>177.51299999999992</v>
      </c>
      <c r="S2890" s="78">
        <v>46235</v>
      </c>
      <c r="T2890" s="1" t="s">
        <v>84</v>
      </c>
      <c r="V2890" s="1"/>
      <c r="X2890" s="101">
        <v>2</v>
      </c>
    </row>
    <row r="2891" spans="1:24" hidden="1">
      <c r="A2891">
        <v>1297</v>
      </c>
      <c r="B2891" s="2">
        <v>46239.674189814803</v>
      </c>
      <c r="C2891" s="2">
        <v>46239.681446759299</v>
      </c>
      <c r="D2891" s="1" t="s">
        <v>24</v>
      </c>
      <c r="E2891" s="1"/>
      <c r="F2891" s="29">
        <v>46239</v>
      </c>
      <c r="G2891" s="29">
        <v>46238</v>
      </c>
      <c r="H2891" s="1" t="s">
        <v>78</v>
      </c>
      <c r="I2891" s="1" t="s">
        <v>6494</v>
      </c>
      <c r="J2891" s="207">
        <v>24694917980</v>
      </c>
      <c r="K2891" s="190" t="s">
        <v>6495</v>
      </c>
      <c r="L2891" s="62">
        <v>23367322</v>
      </c>
      <c r="M2891" s="102">
        <v>5216621046326</v>
      </c>
      <c r="N2891" s="172" t="s">
        <v>47</v>
      </c>
      <c r="O2891" s="91">
        <v>8784.2900000000009</v>
      </c>
      <c r="P2891" s="91">
        <v>1611.06</v>
      </c>
      <c r="Q2891" s="42">
        <f>OfficeForms.Table[[#This Row],[ INFORMEDEPAGO ]]*0.3</f>
        <v>2635.2870000000003</v>
      </c>
      <c r="R2891" s="12">
        <f>(IF(O2891&lt;4172.98,0,MIN(O2891*0.3,O2891-4172.98)))-P2891</f>
        <v>1024.2270000000003</v>
      </c>
      <c r="S2891" s="78">
        <v>46905</v>
      </c>
      <c r="T2891" s="1"/>
      <c r="V2891" s="1"/>
      <c r="X2891" s="101">
        <v>2</v>
      </c>
    </row>
    <row r="2892" spans="1:24" hidden="1">
      <c r="A2892">
        <v>1298</v>
      </c>
      <c r="B2892" s="2">
        <v>46239.6661342593</v>
      </c>
      <c r="C2892" s="2">
        <v>46239.683194444398</v>
      </c>
      <c r="D2892" s="1" t="s">
        <v>24</v>
      </c>
      <c r="E2892" s="1"/>
      <c r="F2892" s="29">
        <v>46239</v>
      </c>
      <c r="G2892" s="29">
        <v>46239</v>
      </c>
      <c r="H2892" s="1" t="s">
        <v>81</v>
      </c>
      <c r="I2892" s="1" t="s">
        <v>6516</v>
      </c>
      <c r="J2892" s="207">
        <v>49906430506</v>
      </c>
      <c r="K2892" s="190" t="s">
        <v>6517</v>
      </c>
      <c r="L2892" s="62">
        <v>23393198</v>
      </c>
      <c r="M2892" s="102">
        <v>5218311033818</v>
      </c>
      <c r="N2892" s="172" t="s">
        <v>130</v>
      </c>
      <c r="O2892" s="91">
        <v>5055.87</v>
      </c>
      <c r="P2892" s="91">
        <v>474.5</v>
      </c>
      <c r="Q2892" s="42">
        <f>OfficeForms.Table[[#This Row],[ INFORMEDEPAGO ]]*0.3</f>
        <v>1516.761</v>
      </c>
      <c r="R2892" s="12">
        <f>(IF(O2892&lt;4172.98,0,MIN(O2892*0.3,O2892-4172.98)))-P2892</f>
        <v>408.39000000000033</v>
      </c>
      <c r="S2892" s="78">
        <v>45778</v>
      </c>
      <c r="T2892" s="1"/>
      <c r="V2892" s="1"/>
      <c r="X2892" s="101">
        <v>2</v>
      </c>
    </row>
    <row r="2893" spans="1:24" hidden="1">
      <c r="A2893">
        <v>1299</v>
      </c>
      <c r="B2893" s="2">
        <v>46239.615775462997</v>
      </c>
      <c r="C2893" s="2">
        <v>46239.683449074102</v>
      </c>
      <c r="D2893" s="1" t="s">
        <v>24</v>
      </c>
      <c r="E2893" s="1"/>
      <c r="F2893" s="29">
        <v>46239</v>
      </c>
      <c r="G2893" s="29">
        <v>46235</v>
      </c>
      <c r="H2893" s="1" t="s">
        <v>3572</v>
      </c>
      <c r="I2893" s="1" t="s">
        <v>6518</v>
      </c>
      <c r="J2893" s="207">
        <v>16876508850</v>
      </c>
      <c r="K2893" s="190" t="s">
        <v>6519</v>
      </c>
      <c r="L2893" s="62">
        <v>23289462</v>
      </c>
      <c r="M2893" s="102">
        <v>5217221081066</v>
      </c>
      <c r="N2893" s="172" t="s">
        <v>32</v>
      </c>
      <c r="O2893" s="91">
        <v>1584.11</v>
      </c>
      <c r="P2893" s="91"/>
      <c r="Q2893" s="42">
        <f>OfficeForms.Table[[#This Row],[ INFORMEDEPAGO ]]*0.3</f>
        <v>475.23299999999995</v>
      </c>
      <c r="R2893" s="12">
        <f>(IF(O2893&lt;4172.98,0,MIN(O2893*0.3,O2893-4172.98)))-P2893</f>
        <v>0</v>
      </c>
      <c r="S2893" s="78"/>
      <c r="T2893" s="1"/>
      <c r="V2893" s="1"/>
      <c r="X2893" s="101">
        <v>1</v>
      </c>
    </row>
    <row r="2894" spans="1:24" hidden="1">
      <c r="A2894">
        <v>1300</v>
      </c>
      <c r="B2894" s="2">
        <v>46239.6237384259</v>
      </c>
      <c r="C2894" s="2">
        <v>46239.686180555596</v>
      </c>
      <c r="D2894" s="1" t="s">
        <v>24</v>
      </c>
      <c r="E2894" s="1"/>
      <c r="F2894" s="29">
        <v>46239</v>
      </c>
      <c r="G2894" s="29">
        <v>46239</v>
      </c>
      <c r="H2894" s="1" t="s">
        <v>1629</v>
      </c>
      <c r="I2894" s="1" t="s">
        <v>6520</v>
      </c>
      <c r="J2894" s="207">
        <v>43786025817</v>
      </c>
      <c r="K2894" s="190" t="s">
        <v>6521</v>
      </c>
      <c r="L2894" s="62">
        <v>2</v>
      </c>
      <c r="M2894" s="102" t="s">
        <v>6522</v>
      </c>
      <c r="N2894" s="172" t="s">
        <v>37</v>
      </c>
      <c r="O2894" s="91">
        <v>5617.63</v>
      </c>
      <c r="P2894" s="91">
        <v>1392.42</v>
      </c>
      <c r="Q2894" s="42">
        <f>OfficeForms.Table[[#This Row],[ INFORMEDEPAGO ]]*0.3</f>
        <v>1685.289</v>
      </c>
      <c r="R2894" s="12">
        <f>(IF(O2894&lt;4172.98,0,MIN(O2894*0.3,O2894-4172.98)))-P2894</f>
        <v>52.230000000000473</v>
      </c>
      <c r="S2894" s="78">
        <v>46478</v>
      </c>
      <c r="T2894" s="1" t="s">
        <v>259</v>
      </c>
      <c r="V2894" s="1"/>
      <c r="X2894" s="101">
        <v>2</v>
      </c>
    </row>
    <row r="2895" spans="1:24" hidden="1">
      <c r="A2895">
        <v>1301</v>
      </c>
      <c r="B2895" s="2">
        <v>46239.692002314798</v>
      </c>
      <c r="C2895" s="2">
        <v>46239.692662037</v>
      </c>
      <c r="D2895" s="1" t="s">
        <v>24</v>
      </c>
      <c r="E2895" s="1"/>
      <c r="F2895" s="29">
        <v>46239</v>
      </c>
      <c r="G2895" s="29">
        <v>46238</v>
      </c>
      <c r="H2895" s="1" t="s">
        <v>269</v>
      </c>
      <c r="I2895" s="1" t="s">
        <v>6523</v>
      </c>
      <c r="J2895" s="207"/>
      <c r="K2895" s="190" t="s">
        <v>6524</v>
      </c>
      <c r="L2895" s="62">
        <v>23379040</v>
      </c>
      <c r="M2895" s="102">
        <v>5217711234062</v>
      </c>
      <c r="N2895" s="172" t="s">
        <v>37</v>
      </c>
      <c r="O2895" s="91">
        <v>35649.599999999999</v>
      </c>
      <c r="P2895" s="91">
        <v>10681.21</v>
      </c>
      <c r="Q2895" s="42">
        <f>OfficeForms.Table[[#This Row],[ INFORMEDEPAGO ]]*0.3</f>
        <v>10694.88</v>
      </c>
      <c r="R2895" s="12">
        <f>(IF(O2895&lt;4172.98,0,MIN(O2895*0.3,O2895-4172.98)))-P2895</f>
        <v>13.670000000000073</v>
      </c>
      <c r="S2895" s="78">
        <v>46478</v>
      </c>
      <c r="T2895" s="1"/>
      <c r="V2895" s="1"/>
      <c r="X2895" s="101">
        <v>2</v>
      </c>
    </row>
    <row r="2896" spans="1:24" hidden="1">
      <c r="A2896">
        <v>1302</v>
      </c>
      <c r="B2896" s="2">
        <v>46239.693437499998</v>
      </c>
      <c r="C2896" s="2">
        <v>46239.695254629602</v>
      </c>
      <c r="D2896" s="1" t="s">
        <v>24</v>
      </c>
      <c r="E2896" s="1"/>
      <c r="F2896" s="29">
        <v>46239</v>
      </c>
      <c r="G2896" s="29">
        <v>46239</v>
      </c>
      <c r="H2896" s="1" t="s">
        <v>476</v>
      </c>
      <c r="I2896" s="1" t="s">
        <v>6525</v>
      </c>
      <c r="J2896" s="207">
        <v>12786031612</v>
      </c>
      <c r="K2896" s="190" t="s">
        <v>6526</v>
      </c>
      <c r="L2896" s="62">
        <v>23404194</v>
      </c>
      <c r="M2896" s="102">
        <v>5216625487685</v>
      </c>
      <c r="N2896" s="172" t="s">
        <v>37</v>
      </c>
      <c r="O2896" s="91">
        <v>5617.63</v>
      </c>
      <c r="P2896" s="91">
        <v>1392.57</v>
      </c>
      <c r="Q2896" s="42">
        <f>OfficeForms.Table[[#This Row],[ INFORMEDEPAGO ]]*0.3</f>
        <v>1685.289</v>
      </c>
      <c r="R2896" s="12">
        <f>(IF(O2896&lt;4172.98,0,MIN(O2896*0.3,O2896-4172.98)))-P2896</f>
        <v>52.080000000000609</v>
      </c>
      <c r="S2896" s="78">
        <v>46419</v>
      </c>
      <c r="T2896" s="1"/>
      <c r="V2896" s="1"/>
      <c r="X2896" s="101">
        <v>2</v>
      </c>
    </row>
    <row r="2897" spans="1:24" hidden="1">
      <c r="A2897">
        <v>1303</v>
      </c>
      <c r="B2897" s="2">
        <v>46239.704826388901</v>
      </c>
      <c r="C2897" s="2">
        <v>46239.705405092602</v>
      </c>
      <c r="D2897" s="1" t="s">
        <v>24</v>
      </c>
      <c r="E2897" s="1"/>
      <c r="F2897" s="29">
        <v>46239</v>
      </c>
      <c r="G2897" s="29">
        <v>46239</v>
      </c>
      <c r="H2897" s="1" t="s">
        <v>110</v>
      </c>
      <c r="I2897" s="1" t="s">
        <v>6527</v>
      </c>
      <c r="J2897" s="207"/>
      <c r="K2897" s="190" t="s">
        <v>6528</v>
      </c>
      <c r="L2897" s="62">
        <v>23403124</v>
      </c>
      <c r="M2897" s="102">
        <v>5213331410944</v>
      </c>
      <c r="N2897" s="172" t="s">
        <v>98</v>
      </c>
      <c r="O2897" s="91"/>
      <c r="P2897" s="91"/>
      <c r="Q2897" s="42">
        <f>OfficeForms.Table[[#This Row],[ INFORMEDEPAGO ]]*0.3</f>
        <v>0</v>
      </c>
      <c r="R2897" s="12">
        <f>(IF(O2897&lt;4172.98,0,MIN(O2897*0.3,O2897-4172.98)))-P2897</f>
        <v>0</v>
      </c>
      <c r="S2897" s="78"/>
      <c r="T2897" s="1"/>
      <c r="V2897" s="1"/>
      <c r="X2897" s="101">
        <v>0</v>
      </c>
    </row>
    <row r="2898" spans="1:24" hidden="1">
      <c r="A2898">
        <v>1304</v>
      </c>
      <c r="B2898" s="2">
        <v>46239.679918981499</v>
      </c>
      <c r="C2898" s="2">
        <v>46239.705613425896</v>
      </c>
      <c r="D2898" s="1" t="s">
        <v>24</v>
      </c>
      <c r="E2898" s="1"/>
      <c r="F2898" s="29">
        <v>46239</v>
      </c>
      <c r="G2898" s="29">
        <v>46234</v>
      </c>
      <c r="H2898" s="1" t="s">
        <v>51</v>
      </c>
      <c r="I2898" s="1" t="s">
        <v>6529</v>
      </c>
      <c r="J2898" s="207"/>
      <c r="K2898" s="190" t="s">
        <v>6530</v>
      </c>
      <c r="L2898" s="62">
        <v>23268938</v>
      </c>
      <c r="M2898" s="102">
        <v>23268938</v>
      </c>
      <c r="N2898" s="172" t="s">
        <v>47</v>
      </c>
      <c r="O2898" s="91">
        <v>31342.19</v>
      </c>
      <c r="P2898" s="91">
        <v>8704.19</v>
      </c>
      <c r="Q2898" s="42">
        <f>OfficeForms.Table[[#This Row],[ INFORMEDEPAGO ]]*0.3</f>
        <v>9402.6569999999992</v>
      </c>
      <c r="R2898" s="12">
        <f>(IF(O2898&lt;4172.98,0,MIN(O2898*0.3,O2898-4172.98)))-P2898</f>
        <v>698.46699999999873</v>
      </c>
      <c r="S2898" s="78">
        <v>46753</v>
      </c>
      <c r="T2898" s="1"/>
      <c r="V2898" s="1"/>
      <c r="X2898" s="101">
        <v>2</v>
      </c>
    </row>
    <row r="2899" spans="1:24" hidden="1">
      <c r="A2899">
        <v>1305</v>
      </c>
      <c r="B2899" s="2">
        <v>46239.706689814797</v>
      </c>
      <c r="C2899" s="2">
        <v>46239.707187499997</v>
      </c>
      <c r="D2899" s="1" t="s">
        <v>24</v>
      </c>
      <c r="E2899" s="1"/>
      <c r="F2899" s="29">
        <v>46239</v>
      </c>
      <c r="G2899" s="29">
        <v>46239</v>
      </c>
      <c r="H2899" s="1" t="s">
        <v>269</v>
      </c>
      <c r="I2899" s="1" t="s">
        <v>6531</v>
      </c>
      <c r="J2899" s="207"/>
      <c r="K2899" s="190" t="s">
        <v>6532</v>
      </c>
      <c r="L2899" s="62">
        <v>23389502</v>
      </c>
      <c r="M2899" s="102">
        <v>23389502</v>
      </c>
      <c r="N2899" s="172" t="s">
        <v>37</v>
      </c>
      <c r="O2899" s="91">
        <v>9081.52</v>
      </c>
      <c r="P2899" s="91">
        <v>2724.46</v>
      </c>
      <c r="Q2899" s="42">
        <f>OfficeForms.Table[[#This Row],[ INFORMEDEPAGO ]]*0.3</f>
        <v>2724.4560000000001</v>
      </c>
      <c r="R2899" s="12">
        <f>(IF(O2899&lt;4172.98,0,MIN(O2899*0.3,O2899-4172.98)))-P2899</f>
        <v>-3.9999999999054126E-3</v>
      </c>
      <c r="S2899" s="78">
        <v>46327</v>
      </c>
      <c r="T2899" s="1"/>
      <c r="V2899" s="1"/>
      <c r="X2899" s="101">
        <v>2</v>
      </c>
    </row>
    <row r="2900" spans="1:24" hidden="1">
      <c r="A2900">
        <v>1306</v>
      </c>
      <c r="B2900" s="2">
        <v>46239.706655092603</v>
      </c>
      <c r="C2900" s="2">
        <v>46239.707256944399</v>
      </c>
      <c r="D2900" s="1" t="s">
        <v>24</v>
      </c>
      <c r="E2900" s="1"/>
      <c r="F2900" s="29">
        <v>46239</v>
      </c>
      <c r="G2900" s="29">
        <v>46239</v>
      </c>
      <c r="H2900" s="1" t="s">
        <v>110</v>
      </c>
      <c r="I2900" s="1" t="s">
        <v>6533</v>
      </c>
      <c r="J2900" s="207"/>
      <c r="K2900" s="190" t="s">
        <v>6534</v>
      </c>
      <c r="L2900" s="62">
        <v>23401414</v>
      </c>
      <c r="M2900" s="102">
        <v>5218442771211</v>
      </c>
      <c r="N2900" s="172" t="s">
        <v>47</v>
      </c>
      <c r="O2900" s="91">
        <v>29015.74</v>
      </c>
      <c r="P2900" s="91">
        <v>8000</v>
      </c>
      <c r="Q2900" s="42">
        <f>OfficeForms.Table[[#This Row],[ INFORMEDEPAGO ]]*0.3</f>
        <v>8704.7219999999998</v>
      </c>
      <c r="R2900" s="12">
        <f>(IF(O2900&lt;4172.98,0,MIN(O2900*0.3,O2900-4172.98)))-P2900</f>
        <v>704.72199999999975</v>
      </c>
      <c r="S2900" s="78">
        <v>46905</v>
      </c>
      <c r="T2900" s="1"/>
      <c r="V2900" s="1"/>
      <c r="X2900" s="101">
        <v>2</v>
      </c>
    </row>
    <row r="2901" spans="1:24" hidden="1">
      <c r="A2901">
        <v>1307</v>
      </c>
      <c r="B2901" s="2">
        <v>46239.611736111103</v>
      </c>
      <c r="C2901" s="2">
        <v>46239.710567129601</v>
      </c>
      <c r="D2901" s="1" t="s">
        <v>24</v>
      </c>
      <c r="E2901" s="1"/>
      <c r="F2901" s="29">
        <v>46239</v>
      </c>
      <c r="G2901" s="29">
        <v>46239</v>
      </c>
      <c r="H2901" s="1" t="s">
        <v>1625</v>
      </c>
      <c r="I2901" s="1" t="s">
        <v>6535</v>
      </c>
      <c r="J2901" s="207" t="s">
        <v>6536</v>
      </c>
      <c r="K2901" s="190" t="s">
        <v>6537</v>
      </c>
      <c r="L2901" s="62">
        <v>2</v>
      </c>
      <c r="M2901" s="102">
        <v>8134155769</v>
      </c>
      <c r="N2901" s="172" t="s">
        <v>37</v>
      </c>
      <c r="O2901" s="91">
        <v>7363.38</v>
      </c>
      <c r="P2901" s="91">
        <v>2130</v>
      </c>
      <c r="Q2901" s="42">
        <f>OfficeForms.Table[[#This Row],[ INFORMEDEPAGO ]]*0.3</f>
        <v>2209.0140000000001</v>
      </c>
      <c r="R2901" s="12">
        <f>(IF(O2901&lt;4172.98,0,MIN(O2901*0.3,O2901-4172.98)))-P2901</f>
        <v>79.014000000000124</v>
      </c>
      <c r="S2901" s="78">
        <v>46753</v>
      </c>
      <c r="T2901" s="1"/>
      <c r="V2901" s="1"/>
      <c r="X2901" s="101">
        <v>2</v>
      </c>
    </row>
    <row r="2902" spans="1:24" hidden="1">
      <c r="A2902">
        <v>1308</v>
      </c>
      <c r="B2902" s="2">
        <v>46239.705636574101</v>
      </c>
      <c r="C2902" s="2">
        <v>46239.736701388902</v>
      </c>
      <c r="D2902" s="1" t="s">
        <v>24</v>
      </c>
      <c r="E2902" s="1"/>
      <c r="F2902" s="29">
        <v>46239</v>
      </c>
      <c r="G2902" s="29">
        <v>46238</v>
      </c>
      <c r="H2902" s="1" t="s">
        <v>51</v>
      </c>
      <c r="I2902" s="1" t="s">
        <v>6538</v>
      </c>
      <c r="J2902" s="207"/>
      <c r="K2902" s="190" t="s">
        <v>6539</v>
      </c>
      <c r="L2902" s="62">
        <v>23367974</v>
      </c>
      <c r="M2902" s="102">
        <v>23367974</v>
      </c>
      <c r="N2902" s="172" t="s">
        <v>47</v>
      </c>
      <c r="O2902" s="91">
        <f>5581.14+879</f>
        <v>6460.14</v>
      </c>
      <c r="P2902" s="91">
        <v>879</v>
      </c>
      <c r="Q2902" s="42">
        <f>OfficeForms.Table[[#This Row],[ INFORMEDEPAGO ]]*0.3</f>
        <v>1938.0419999999999</v>
      </c>
      <c r="R2902" s="12">
        <f>(IF(O2902&lt;4172.98,0,MIN(O2902*0.3,O2902-4172.98)))-P2902</f>
        <v>1059.0419999999999</v>
      </c>
      <c r="S2902" s="78"/>
      <c r="T2902" s="1"/>
      <c r="V2902" s="1"/>
      <c r="X2902" s="101">
        <v>1</v>
      </c>
    </row>
    <row r="2903" spans="1:24" hidden="1">
      <c r="A2903">
        <v>1309</v>
      </c>
      <c r="B2903" s="2">
        <v>46239.737268518496</v>
      </c>
      <c r="C2903" s="2">
        <v>46239.739340277803</v>
      </c>
      <c r="D2903" s="1" t="s">
        <v>24</v>
      </c>
      <c r="E2903" s="1"/>
      <c r="F2903" s="29">
        <v>46239</v>
      </c>
      <c r="G2903" s="29">
        <v>46239</v>
      </c>
      <c r="H2903" s="1" t="s">
        <v>476</v>
      </c>
      <c r="I2903" s="1" t="s">
        <v>6540</v>
      </c>
      <c r="J2903" s="207"/>
      <c r="K2903" s="190" t="s">
        <v>6541</v>
      </c>
      <c r="L2903" s="62">
        <v>23407312</v>
      </c>
      <c r="M2903" s="102">
        <v>5215588277896</v>
      </c>
      <c r="N2903" s="172" t="s">
        <v>106</v>
      </c>
      <c r="O2903" s="91">
        <v>37909.769999999997</v>
      </c>
      <c r="P2903" s="91">
        <v>11372.13</v>
      </c>
      <c r="Q2903" s="42">
        <f>OfficeForms.Table[[#This Row],[ INFORMEDEPAGO ]]*0.3</f>
        <v>11372.930999999999</v>
      </c>
      <c r="R2903" s="12">
        <f>(IF(O2903&lt;4172.98,0,MIN(O2903*0.3,O2903-4172.98)))-P2903</f>
        <v>0.80099999999947613</v>
      </c>
      <c r="S2903" s="78">
        <v>46204</v>
      </c>
      <c r="T2903" s="1"/>
      <c r="V2903" s="1"/>
      <c r="X2903" s="101">
        <v>2</v>
      </c>
    </row>
    <row r="2904" spans="1:24" hidden="1">
      <c r="A2904">
        <v>1310</v>
      </c>
      <c r="B2904" s="2">
        <v>46239.736724536997</v>
      </c>
      <c r="C2904" s="2">
        <v>46239.739699074104</v>
      </c>
      <c r="D2904" s="1" t="s">
        <v>24</v>
      </c>
      <c r="E2904" s="1"/>
      <c r="F2904" s="29">
        <v>46239</v>
      </c>
      <c r="G2904" s="29">
        <v>46239</v>
      </c>
      <c r="H2904" s="1" t="s">
        <v>51</v>
      </c>
      <c r="I2904" s="1" t="s">
        <v>6542</v>
      </c>
      <c r="J2904" s="207"/>
      <c r="K2904" s="190" t="s">
        <v>6543</v>
      </c>
      <c r="L2904" s="62">
        <v>23394412</v>
      </c>
      <c r="M2904" s="102">
        <v>5218662804025</v>
      </c>
      <c r="N2904" s="172" t="s">
        <v>28</v>
      </c>
      <c r="O2904" s="91">
        <v>9665.01</v>
      </c>
      <c r="P2904" s="91"/>
      <c r="Q2904" s="42">
        <f>OfficeForms.Table[[#This Row],[ INFORMEDEPAGO ]]*0.3</f>
        <v>2899.5030000000002</v>
      </c>
      <c r="R2904" s="12">
        <f>(IF(O2904&lt;4172.98,0,MIN(O2904*0.3,O2904-4172.98)))-P2904</f>
        <v>2899.5030000000002</v>
      </c>
      <c r="S2904" s="78"/>
      <c r="T2904" s="1"/>
      <c r="V2904" s="1"/>
      <c r="X2904" s="101">
        <v>1</v>
      </c>
    </row>
    <row r="2905" spans="1:24" hidden="1">
      <c r="A2905">
        <v>1311</v>
      </c>
      <c r="B2905" s="2">
        <v>46239.791261574101</v>
      </c>
      <c r="C2905" s="2">
        <v>46239.792418981502</v>
      </c>
      <c r="D2905" s="1" t="s">
        <v>24</v>
      </c>
      <c r="E2905" s="1"/>
      <c r="F2905" s="29">
        <v>46239</v>
      </c>
      <c r="G2905" s="29">
        <v>46239</v>
      </c>
      <c r="H2905" s="1" t="s">
        <v>135</v>
      </c>
      <c r="I2905" s="1" t="s">
        <v>6544</v>
      </c>
      <c r="J2905" s="207">
        <v>32866000493</v>
      </c>
      <c r="K2905" s="190" t="s">
        <v>6545</v>
      </c>
      <c r="L2905" s="62">
        <v>23408326</v>
      </c>
      <c r="M2905" s="102">
        <v>6561231013</v>
      </c>
      <c r="N2905" s="172" t="s">
        <v>37</v>
      </c>
      <c r="O2905" s="91">
        <v>5617.63</v>
      </c>
      <c r="P2905" s="91">
        <v>1375.8</v>
      </c>
      <c r="Q2905" s="42">
        <f>OfficeForms.Table[[#This Row],[ INFORMEDEPAGO ]]*0.3</f>
        <v>1685.289</v>
      </c>
      <c r="R2905" s="12">
        <f>(IF(O2905&lt;4172.98,0,MIN(O2905*0.3,O2905-4172.98)))-P2905</f>
        <v>68.850000000000591</v>
      </c>
      <c r="S2905" s="78">
        <v>46419</v>
      </c>
      <c r="T2905" s="1" t="s">
        <v>6546</v>
      </c>
      <c r="V2905" s="1"/>
      <c r="X2905" s="101">
        <v>2</v>
      </c>
    </row>
    <row r="2906" spans="1:24" hidden="1">
      <c r="A2906">
        <v>1312</v>
      </c>
      <c r="B2906" s="2">
        <v>46239.795902777798</v>
      </c>
      <c r="C2906" s="2">
        <v>46239.797025462998</v>
      </c>
      <c r="D2906" s="1" t="s">
        <v>24</v>
      </c>
      <c r="E2906" s="1"/>
      <c r="F2906" s="29">
        <v>46239</v>
      </c>
      <c r="G2906" s="29">
        <v>46239</v>
      </c>
      <c r="H2906" s="1" t="s">
        <v>135</v>
      </c>
      <c r="I2906" s="1"/>
      <c r="J2906" s="207" t="s">
        <v>6547</v>
      </c>
      <c r="K2906" s="190" t="s">
        <v>6548</v>
      </c>
      <c r="L2906" s="62">
        <v>23407484</v>
      </c>
      <c r="M2906" s="102">
        <v>3121180401</v>
      </c>
      <c r="N2906" s="172" t="s">
        <v>37</v>
      </c>
      <c r="O2906" s="91">
        <v>9760.32</v>
      </c>
      <c r="P2906" s="91">
        <v>2792.71</v>
      </c>
      <c r="Q2906" s="42">
        <f>OfficeForms.Table[[#This Row],[ INFORMEDEPAGO ]]*0.3</f>
        <v>2928.096</v>
      </c>
      <c r="R2906" s="12">
        <f>(IF(O2906&lt;4172.98,0,MIN(O2906*0.3,O2906-4172.98)))-P2906</f>
        <v>135.38599999999997</v>
      </c>
      <c r="S2906" s="78">
        <v>46753</v>
      </c>
      <c r="T2906" s="1" t="s">
        <v>192</v>
      </c>
      <c r="V2906" s="1"/>
      <c r="X2906" s="101">
        <v>2</v>
      </c>
    </row>
    <row r="2907" spans="1:24" hidden="1">
      <c r="A2907">
        <v>1313</v>
      </c>
      <c r="B2907" s="2">
        <v>46239.6355092593</v>
      </c>
      <c r="C2907" s="2">
        <v>46239.809722222199</v>
      </c>
      <c r="D2907" s="1" t="s">
        <v>24</v>
      </c>
      <c r="E2907" s="1"/>
      <c r="F2907" s="29">
        <v>46239</v>
      </c>
      <c r="G2907" s="29">
        <v>46239</v>
      </c>
      <c r="H2907" s="1" t="s">
        <v>103</v>
      </c>
      <c r="I2907" s="1"/>
      <c r="J2907" s="207" t="s">
        <v>6549</v>
      </c>
      <c r="K2907" s="176"/>
      <c r="L2907" s="62">
        <v>1</v>
      </c>
      <c r="M2907" s="102">
        <v>8335347880</v>
      </c>
      <c r="N2907" s="172" t="s">
        <v>32</v>
      </c>
      <c r="O2907" s="91">
        <f>3965.69+848</f>
        <v>4813.6900000000005</v>
      </c>
      <c r="P2907" s="91">
        <v>848</v>
      </c>
      <c r="Q2907" s="42">
        <f>OfficeForms.Table[[#This Row],[ INFORMEDEPAGO ]]*0.3</f>
        <v>1444.1070000000002</v>
      </c>
      <c r="R2907" s="12">
        <f>(IF(O2907&lt;4172.98,0,MIN(O2907*0.3,O2907-4172.98)))-P2907</f>
        <v>-207.28999999999905</v>
      </c>
      <c r="S2907" s="78"/>
      <c r="T2907" s="1"/>
      <c r="V2907" s="1"/>
      <c r="X2907" s="101">
        <v>1</v>
      </c>
    </row>
    <row r="2908" spans="1:24" hidden="1">
      <c r="A2908">
        <v>1315</v>
      </c>
      <c r="B2908" s="2">
        <v>46239.813726851797</v>
      </c>
      <c r="C2908" s="2">
        <v>46239.816539351901</v>
      </c>
      <c r="D2908" s="1" t="s">
        <v>24</v>
      </c>
      <c r="E2908" s="1"/>
      <c r="F2908" s="29">
        <v>46239</v>
      </c>
      <c r="G2908" s="29">
        <v>46239</v>
      </c>
      <c r="H2908" s="1" t="s">
        <v>135</v>
      </c>
      <c r="I2908" s="1"/>
      <c r="J2908" s="207">
        <v>33866523641</v>
      </c>
      <c r="K2908" s="176" t="s">
        <v>6550</v>
      </c>
      <c r="L2908" s="62">
        <v>23407796</v>
      </c>
      <c r="M2908" s="102">
        <v>5216571932724</v>
      </c>
      <c r="N2908" s="172" t="s">
        <v>37</v>
      </c>
      <c r="O2908" s="91">
        <v>9760.32</v>
      </c>
      <c r="P2908" s="91">
        <v>2914.84</v>
      </c>
      <c r="Q2908" s="42">
        <f>OfficeForms.Table[[#This Row],[ INFORMEDEPAGO ]]*0.3</f>
        <v>2928.096</v>
      </c>
      <c r="R2908" s="12">
        <f>(IF(O2908&lt;4172.98,0,MIN(O2908*0.3,O2908-4172.98)))-P2908</f>
        <v>13.255999999999858</v>
      </c>
      <c r="S2908" s="78">
        <v>46935</v>
      </c>
      <c r="T2908" s="1" t="s">
        <v>84</v>
      </c>
      <c r="V2908" s="1"/>
      <c r="X2908" s="101">
        <v>2</v>
      </c>
    </row>
    <row r="2909" spans="1:24" hidden="1">
      <c r="A2909">
        <v>1316</v>
      </c>
      <c r="B2909" s="2">
        <v>46239.854965277802</v>
      </c>
      <c r="C2909" s="2">
        <v>46239.856030092596</v>
      </c>
      <c r="D2909" s="1" t="s">
        <v>24</v>
      </c>
      <c r="E2909" s="1"/>
      <c r="F2909" s="29">
        <v>46239</v>
      </c>
      <c r="G2909" s="29">
        <v>46208</v>
      </c>
      <c r="H2909" s="1" t="s">
        <v>107</v>
      </c>
      <c r="I2909" s="1"/>
      <c r="J2909" s="207">
        <v>72916301962</v>
      </c>
      <c r="K2909" s="176"/>
      <c r="L2909" s="62">
        <v>23398348</v>
      </c>
      <c r="M2909" s="102">
        <v>7442356023</v>
      </c>
      <c r="N2909" s="172" t="s">
        <v>37</v>
      </c>
      <c r="O2909" s="91">
        <v>9504.7000000000007</v>
      </c>
      <c r="P2909" s="91">
        <v>2749.94</v>
      </c>
      <c r="Q2909" s="42">
        <f>OfficeForms.Table[[#This Row],[ INFORMEDEPAGO ]]*0.3</f>
        <v>2851.4100000000003</v>
      </c>
      <c r="R2909" s="12">
        <f>(IF(O2909&lt;4172.98,0,MIN(O2909*0.3,O2909-4172.98)))-P2909</f>
        <v>101.47000000000025</v>
      </c>
      <c r="S2909" s="78">
        <v>46447</v>
      </c>
      <c r="T2909" s="1"/>
      <c r="V2909" s="1"/>
      <c r="X2909" s="101">
        <v>2</v>
      </c>
    </row>
    <row r="2910" spans="1:24" hidden="1">
      <c r="A2910">
        <v>1317</v>
      </c>
      <c r="B2910" s="2">
        <v>46239.874108796299</v>
      </c>
      <c r="C2910" s="2">
        <v>46239.8768865741</v>
      </c>
      <c r="D2910" s="1" t="s">
        <v>24</v>
      </c>
      <c r="E2910" s="1"/>
      <c r="F2910" s="29">
        <v>46239</v>
      </c>
      <c r="G2910" s="29">
        <v>46239</v>
      </c>
      <c r="H2910" s="1" t="s">
        <v>476</v>
      </c>
      <c r="I2910" s="1" t="s">
        <v>6551</v>
      </c>
      <c r="J2910" s="207" t="s">
        <v>6552</v>
      </c>
      <c r="K2910" s="176" t="s">
        <v>6553</v>
      </c>
      <c r="L2910" s="62">
        <v>23408322</v>
      </c>
      <c r="M2910" s="102">
        <v>5213318288745</v>
      </c>
      <c r="N2910" s="172" t="s">
        <v>74</v>
      </c>
      <c r="O2910" s="91"/>
      <c r="P2910" s="91"/>
      <c r="Q2910" s="42">
        <f>OfficeForms.Table[[#This Row],[ INFORMEDEPAGO ]]*0.3</f>
        <v>0</v>
      </c>
      <c r="R2910" s="12">
        <f>(IF(O2910&lt;4172.98,0,MIN(O2910*0.3,O2910-4172.98)))-P2910</f>
        <v>0</v>
      </c>
      <c r="S2910" s="78"/>
      <c r="T2910" s="1"/>
      <c r="V2910" s="1"/>
      <c r="X2910" s="101">
        <v>1</v>
      </c>
    </row>
    <row r="2911" spans="1:24" hidden="1">
      <c r="A2911">
        <v>1318</v>
      </c>
      <c r="B2911" s="2">
        <v>46240.317488425899</v>
      </c>
      <c r="C2911" s="2">
        <v>46240.382731481499</v>
      </c>
      <c r="D2911" s="1" t="s">
        <v>24</v>
      </c>
      <c r="E2911" s="1"/>
      <c r="F2911" s="29">
        <v>46240</v>
      </c>
      <c r="G2911" s="29">
        <v>46240</v>
      </c>
      <c r="H2911" s="1" t="s">
        <v>1625</v>
      </c>
      <c r="I2911" s="1" t="s">
        <v>6554</v>
      </c>
      <c r="J2911" s="207">
        <v>43765822614</v>
      </c>
      <c r="K2911" s="176" t="s">
        <v>6555</v>
      </c>
      <c r="L2911" s="62">
        <v>2</v>
      </c>
      <c r="M2911" s="102">
        <v>8135962544</v>
      </c>
      <c r="N2911" s="172" t="s">
        <v>37</v>
      </c>
      <c r="O2911" s="91">
        <v>4813.6899999999996</v>
      </c>
      <c r="P2911" s="91">
        <v>617</v>
      </c>
      <c r="Q2911" s="42">
        <f>OfficeForms.Table[[#This Row],[ INFORMEDEPAGO ]]*0.3</f>
        <v>1444.1069999999997</v>
      </c>
      <c r="R2911" s="12">
        <f>(IF(O2911&lt;4172.98,0,MIN(O2911*0.3,O2911-4172.98)))-P2911</f>
        <v>23.710000000000036</v>
      </c>
      <c r="S2911" s="78">
        <v>46478</v>
      </c>
      <c r="T2911" s="1"/>
      <c r="V2911" s="1"/>
      <c r="X2911" s="101">
        <v>2</v>
      </c>
    </row>
    <row r="2912" spans="1:24" hidden="1">
      <c r="A2912">
        <v>1319</v>
      </c>
      <c r="B2912" s="2">
        <v>46240.388449074097</v>
      </c>
      <c r="C2912" s="2">
        <v>46240.389293981498</v>
      </c>
      <c r="D2912" s="1" t="s">
        <v>24</v>
      </c>
      <c r="E2912" s="1"/>
      <c r="F2912" s="29">
        <v>46240</v>
      </c>
      <c r="G2912" s="29">
        <v>46240</v>
      </c>
      <c r="H2912" s="1" t="s">
        <v>1629</v>
      </c>
      <c r="I2912" s="1" t="s">
        <v>6556</v>
      </c>
      <c r="J2912" s="207" t="s">
        <v>6557</v>
      </c>
      <c r="K2912" s="176" t="s">
        <v>6558</v>
      </c>
      <c r="L2912" s="62">
        <v>2</v>
      </c>
      <c r="M2912" s="102">
        <v>3221903101</v>
      </c>
      <c r="N2912" s="172" t="s">
        <v>28</v>
      </c>
      <c r="O2912" s="91">
        <v>10636.54</v>
      </c>
      <c r="P2912" s="91"/>
      <c r="Q2912" s="42">
        <f>OfficeForms.Table[[#This Row],[ INFORMEDEPAGO ]]*0.3</f>
        <v>3190.962</v>
      </c>
      <c r="R2912" s="12">
        <f>(IF(O2912&lt;4172.98,0,MIN(O2912*0.3,O2912-4172.98)))-P2912</f>
        <v>3190.962</v>
      </c>
      <c r="S2912" s="78"/>
      <c r="T2912" s="1"/>
      <c r="V2912" s="1"/>
      <c r="X2912" s="101">
        <v>1</v>
      </c>
    </row>
    <row r="2913" spans="1:24" hidden="1">
      <c r="A2913">
        <v>1320</v>
      </c>
      <c r="B2913" s="2">
        <v>46240.4123958333</v>
      </c>
      <c r="C2913" s="2">
        <v>46240.419328703698</v>
      </c>
      <c r="D2913" s="1" t="s">
        <v>24</v>
      </c>
      <c r="E2913" s="1"/>
      <c r="F2913" s="29">
        <v>46240</v>
      </c>
      <c r="G2913" s="29">
        <v>46239</v>
      </c>
      <c r="H2913" s="1" t="s">
        <v>51</v>
      </c>
      <c r="I2913" s="1" t="s">
        <v>6559</v>
      </c>
      <c r="J2913" s="207">
        <v>39886516853</v>
      </c>
      <c r="K2913" s="176" t="s">
        <v>6560</v>
      </c>
      <c r="L2913" s="62">
        <v>23412844</v>
      </c>
      <c r="M2913" s="102">
        <v>5219903878740</v>
      </c>
      <c r="N2913" s="172" t="s">
        <v>37</v>
      </c>
      <c r="O2913" s="91">
        <v>4813.6899999999996</v>
      </c>
      <c r="P2913" s="91">
        <v>476</v>
      </c>
      <c r="Q2913" s="42">
        <f>OfficeForms.Table[[#This Row],[ INFORMEDEPAGO ]]*0.3</f>
        <v>1444.1069999999997</v>
      </c>
      <c r="R2913" s="12">
        <f>(IF(O2913&lt;4172.98,0,MIN(O2913*0.3,O2913-4172.98)))-P2913</f>
        <v>164.71000000000004</v>
      </c>
      <c r="S2913" s="78">
        <v>46327</v>
      </c>
      <c r="T2913" s="1"/>
      <c r="V2913" s="1"/>
      <c r="X2913" s="101">
        <v>2</v>
      </c>
    </row>
    <row r="2914" spans="1:24" hidden="1">
      <c r="A2914">
        <v>1321</v>
      </c>
      <c r="B2914" s="2">
        <v>46240.421273148197</v>
      </c>
      <c r="C2914" s="2">
        <v>46240.421770833302</v>
      </c>
      <c r="D2914" s="1" t="s">
        <v>24</v>
      </c>
      <c r="E2914" s="1"/>
      <c r="F2914" s="29">
        <v>46240</v>
      </c>
      <c r="G2914" s="29">
        <v>46240</v>
      </c>
      <c r="H2914" s="1" t="s">
        <v>269</v>
      </c>
      <c r="I2914" s="1" t="s">
        <v>6561</v>
      </c>
      <c r="J2914" s="207" t="s">
        <v>6562</v>
      </c>
      <c r="K2914" s="176" t="s">
        <v>6563</v>
      </c>
      <c r="L2914" s="62">
        <v>23412980</v>
      </c>
      <c r="M2914" s="102">
        <v>5214443707879</v>
      </c>
      <c r="N2914" s="172" t="s">
        <v>47</v>
      </c>
      <c r="O2914" s="91">
        <v>7920.51</v>
      </c>
      <c r="P2914" s="91">
        <v>1860.04</v>
      </c>
      <c r="Q2914" s="42">
        <f>OfficeForms.Table[[#This Row],[ INFORMEDEPAGO ]]*0.3</f>
        <v>2376.1529999999998</v>
      </c>
      <c r="R2914" s="12">
        <f>(IF(O2914&lt;4172.98,0,MIN(O2914*0.3,O2914-4172.98)))-P2914</f>
        <v>516.11299999999983</v>
      </c>
      <c r="S2914" s="78">
        <v>46722</v>
      </c>
      <c r="T2914" s="1" t="s">
        <v>178</v>
      </c>
      <c r="V2914" s="1"/>
      <c r="X2914" s="101">
        <v>2</v>
      </c>
    </row>
    <row r="2915" spans="1:24" ht="18" hidden="1" customHeight="1">
      <c r="A2915">
        <v>1322</v>
      </c>
      <c r="B2915" s="2">
        <v>46240.4376388889</v>
      </c>
      <c r="C2915" s="2">
        <v>46240.438877314802</v>
      </c>
      <c r="D2915" s="1" t="s">
        <v>24</v>
      </c>
      <c r="E2915" s="1"/>
      <c r="F2915" s="29">
        <v>46240</v>
      </c>
      <c r="G2915" s="29">
        <v>46265</v>
      </c>
      <c r="H2915" s="1" t="s">
        <v>5033</v>
      </c>
      <c r="I2915" s="1" t="s">
        <v>6564</v>
      </c>
      <c r="J2915" s="207"/>
      <c r="K2915" s="176" t="s">
        <v>6565</v>
      </c>
      <c r="L2915" s="62">
        <v>23265498</v>
      </c>
      <c r="M2915" s="102">
        <v>5214271953998</v>
      </c>
      <c r="N2915" s="172" t="s">
        <v>28</v>
      </c>
      <c r="O2915" s="91">
        <f>18295.27+879</f>
        <v>19174.27</v>
      </c>
      <c r="P2915" s="91">
        <v>879</v>
      </c>
      <c r="Q2915" s="42">
        <f>OfficeForms.Table[[#This Row],[ INFORMEDEPAGO ]]*0.3</f>
        <v>5752.2809999999999</v>
      </c>
      <c r="R2915" s="12">
        <f>(IF(O2915&lt;4172.98,0,MIN(O2915*0.3,O2915-4172.98)))-P2915</f>
        <v>4873.2809999999999</v>
      </c>
      <c r="S2915" s="78"/>
      <c r="T2915" s="1"/>
      <c r="V2915" s="1"/>
      <c r="X2915" s="101">
        <v>1</v>
      </c>
    </row>
    <row r="2916" spans="1:24" hidden="1">
      <c r="A2916">
        <v>1323</v>
      </c>
      <c r="B2916" s="2">
        <v>46240.442650463003</v>
      </c>
      <c r="C2916" s="2">
        <v>46240.4437384259</v>
      </c>
      <c r="D2916" s="1" t="s">
        <v>24</v>
      </c>
      <c r="E2916" s="1"/>
      <c r="F2916" s="29">
        <v>46240</v>
      </c>
      <c r="G2916" s="29">
        <v>46240</v>
      </c>
      <c r="H2916" s="1" t="s">
        <v>5691</v>
      </c>
      <c r="I2916" s="1"/>
      <c r="J2916" s="207">
        <v>90906408076</v>
      </c>
      <c r="K2916" s="176"/>
      <c r="L2916" s="62">
        <v>23419186</v>
      </c>
      <c r="M2916" s="102">
        <v>4426061728</v>
      </c>
      <c r="N2916" s="172" t="s">
        <v>28</v>
      </c>
      <c r="O2916" s="91">
        <v>9081.52</v>
      </c>
      <c r="P2916" s="91"/>
      <c r="Q2916" s="42">
        <f>OfficeForms.Table[[#This Row],[ INFORMEDEPAGO ]]*0.3</f>
        <v>2724.4560000000001</v>
      </c>
      <c r="R2916" s="12">
        <f>(IF(O2916&lt;4172.98,0,MIN(O2916*0.3,O2916-4172.98)))-P2916</f>
        <v>2724.4560000000001</v>
      </c>
      <c r="S2916" s="78"/>
      <c r="T2916" s="1"/>
      <c r="V2916" s="1"/>
      <c r="X2916" s="101">
        <v>1</v>
      </c>
    </row>
    <row r="2917" spans="1:24" hidden="1">
      <c r="A2917">
        <v>1324</v>
      </c>
      <c r="B2917" s="2">
        <v>46240.443865740701</v>
      </c>
      <c r="C2917" s="2">
        <v>46240.4442361111</v>
      </c>
      <c r="D2917" s="1" t="s">
        <v>24</v>
      </c>
      <c r="E2917" s="1"/>
      <c r="F2917" s="29">
        <v>46240</v>
      </c>
      <c r="G2917" s="29">
        <v>46240</v>
      </c>
      <c r="H2917" s="1" t="s">
        <v>269</v>
      </c>
      <c r="I2917" s="1" t="s">
        <v>6566</v>
      </c>
      <c r="J2917" s="207" t="s">
        <v>6567</v>
      </c>
      <c r="K2917" s="176" t="s">
        <v>6568</v>
      </c>
      <c r="L2917" s="62">
        <v>23412810</v>
      </c>
      <c r="M2917" s="102">
        <v>23412810</v>
      </c>
      <c r="N2917" s="172" t="s">
        <v>106</v>
      </c>
      <c r="O2917" s="91">
        <v>7448.15</v>
      </c>
      <c r="P2917" s="91">
        <v>2153.79</v>
      </c>
      <c r="Q2917" s="42">
        <f>OfficeForms.Table[[#This Row],[ INFORMEDEPAGO ]]*0.3</f>
        <v>2234.4449999999997</v>
      </c>
      <c r="R2917" s="12">
        <f>(IF(O2917&lt;4172.98,0,MIN(O2917*0.3,O2917-4172.98)))-P2917</f>
        <v>80.654999999999745</v>
      </c>
      <c r="S2917" s="78">
        <v>46235</v>
      </c>
      <c r="T2917" s="1"/>
      <c r="V2917" s="1"/>
      <c r="X2917" s="101">
        <v>2</v>
      </c>
    </row>
    <row r="2918" spans="1:24" hidden="1">
      <c r="A2918">
        <v>1325</v>
      </c>
      <c r="B2918" s="2">
        <v>46240.450613425899</v>
      </c>
      <c r="C2918" s="2">
        <v>46240.4523611111</v>
      </c>
      <c r="D2918" s="1" t="s">
        <v>24</v>
      </c>
      <c r="E2918" s="1"/>
      <c r="F2918" s="29">
        <v>46240</v>
      </c>
      <c r="G2918" s="29">
        <v>46240</v>
      </c>
      <c r="H2918" s="1" t="s">
        <v>103</v>
      </c>
      <c r="I2918" s="1"/>
      <c r="J2918" s="207">
        <v>49845906715</v>
      </c>
      <c r="K2918" s="176"/>
      <c r="L2918" s="62">
        <v>1</v>
      </c>
      <c r="M2918" s="102">
        <v>8992250044</v>
      </c>
      <c r="N2918" s="172" t="s">
        <v>28</v>
      </c>
      <c r="O2918" s="91">
        <v>7116.73</v>
      </c>
      <c r="P2918" s="91"/>
      <c r="Q2918" s="42">
        <f>OfficeForms.Table[[#This Row],[ INFORMEDEPAGO ]]*0.3</f>
        <v>2135.0189999999998</v>
      </c>
      <c r="R2918" s="12">
        <f>(IF(O2918&lt;4172.98,0,MIN(O2918*0.3,O2918-4172.98)))-P2918</f>
        <v>2135.0189999999998</v>
      </c>
      <c r="S2918" s="78"/>
      <c r="T2918" s="1"/>
      <c r="V2918" s="1"/>
      <c r="X2918" s="101">
        <v>1</v>
      </c>
    </row>
    <row r="2919" spans="1:24" hidden="1">
      <c r="A2919">
        <v>1326</v>
      </c>
      <c r="B2919" s="2">
        <v>46240.451331018499</v>
      </c>
      <c r="C2919" s="2">
        <v>46240.452685185199</v>
      </c>
      <c r="D2919" s="1" t="s">
        <v>24</v>
      </c>
      <c r="E2919" s="1"/>
      <c r="F2919" s="29">
        <v>46240</v>
      </c>
      <c r="G2919" s="29">
        <v>46240</v>
      </c>
      <c r="H2919" s="1" t="s">
        <v>5691</v>
      </c>
      <c r="I2919" s="1" t="s">
        <v>6569</v>
      </c>
      <c r="J2919" s="207"/>
      <c r="K2919" s="176" t="s">
        <v>6570</v>
      </c>
      <c r="L2919" s="62">
        <v>23422730</v>
      </c>
      <c r="M2919" s="102">
        <v>8125935073</v>
      </c>
      <c r="N2919" s="172" t="s">
        <v>106</v>
      </c>
      <c r="O2919" s="91">
        <v>8995.2999999999993</v>
      </c>
      <c r="P2919" s="91">
        <v>2495.94</v>
      </c>
      <c r="Q2919" s="42">
        <f>OfficeForms.Table[[#This Row],[ INFORMEDEPAGO ]]*0.3</f>
        <v>2698.5899999999997</v>
      </c>
      <c r="R2919" s="12">
        <f>(IF(O2919&lt;4172.98,0,MIN(O2919*0.3,O2919-4172.98)))-P2919</f>
        <v>202.64999999999964</v>
      </c>
      <c r="S2919" s="78">
        <v>46204</v>
      </c>
      <c r="T2919" s="1"/>
      <c r="V2919" s="1"/>
      <c r="X2919" s="101">
        <v>2</v>
      </c>
    </row>
    <row r="2920" spans="1:24" hidden="1">
      <c r="A2920">
        <v>1327</v>
      </c>
      <c r="B2920" s="2">
        <v>46240.452384259297</v>
      </c>
      <c r="C2920" s="2">
        <v>46240.453761574099</v>
      </c>
      <c r="D2920" s="1" t="s">
        <v>24</v>
      </c>
      <c r="E2920" s="1"/>
      <c r="F2920" s="29">
        <v>46240</v>
      </c>
      <c r="G2920" s="29">
        <v>46240</v>
      </c>
      <c r="H2920" s="1" t="s">
        <v>103</v>
      </c>
      <c r="I2920" s="1"/>
      <c r="J2920" s="207" t="s">
        <v>6571</v>
      </c>
      <c r="K2920" s="176"/>
      <c r="L2920" s="62">
        <v>1</v>
      </c>
      <c r="M2920" s="102">
        <v>8948468879</v>
      </c>
      <c r="N2920" s="172" t="s">
        <v>32</v>
      </c>
      <c r="O2920" s="91">
        <v>2951.29</v>
      </c>
      <c r="P2920" s="91"/>
      <c r="Q2920" s="42">
        <f>OfficeForms.Table[[#This Row],[ INFORMEDEPAGO ]]*0.3</f>
        <v>885.38699999999994</v>
      </c>
      <c r="R2920" s="12">
        <f>(IF(O2920&lt;4172.98,0,MIN(O2920*0.3,O2920-4172.98)))-P2920</f>
        <v>0</v>
      </c>
      <c r="S2920" s="78"/>
      <c r="T2920" s="1"/>
      <c r="V2920" s="1"/>
      <c r="X2920" s="101">
        <v>1</v>
      </c>
    </row>
    <row r="2921" spans="1:24" hidden="1">
      <c r="A2921">
        <v>1328</v>
      </c>
      <c r="B2921" s="2">
        <v>46240.454918981501</v>
      </c>
      <c r="C2921" s="2">
        <v>46240.456006944398</v>
      </c>
      <c r="D2921" s="1" t="s">
        <v>24</v>
      </c>
      <c r="E2921" s="1"/>
      <c r="F2921" s="29">
        <v>46240</v>
      </c>
      <c r="G2921" s="29">
        <v>46238</v>
      </c>
      <c r="H2921" s="1" t="s">
        <v>110</v>
      </c>
      <c r="I2921" s="1" t="s">
        <v>6572</v>
      </c>
      <c r="J2921" s="207">
        <v>11725575945</v>
      </c>
      <c r="K2921" s="176" t="s">
        <v>6573</v>
      </c>
      <c r="L2921" s="62">
        <v>23407496</v>
      </c>
      <c r="M2921" s="102">
        <v>5215523551999</v>
      </c>
      <c r="N2921" s="172" t="s">
        <v>37</v>
      </c>
      <c r="O2921" s="91">
        <v>12945.46</v>
      </c>
      <c r="P2921" s="91">
        <v>3880.17</v>
      </c>
      <c r="Q2921" s="42">
        <f>OfficeForms.Table[[#This Row],[ INFORMEDEPAGO ]]*0.3</f>
        <v>3883.6379999999995</v>
      </c>
      <c r="R2921" s="12">
        <f>(IF(O2921&lt;4172.98,0,MIN(O2921*0.3,O2921-4172.98)))-P2921</f>
        <v>3.4679999999993925</v>
      </c>
      <c r="S2921" s="78">
        <v>46296</v>
      </c>
      <c r="T2921" s="1"/>
      <c r="V2921" s="1"/>
      <c r="X2921" s="101">
        <v>2</v>
      </c>
    </row>
    <row r="2922" spans="1:24" hidden="1">
      <c r="A2922">
        <v>1329</v>
      </c>
      <c r="B2922" s="2">
        <v>46240.456064814804</v>
      </c>
      <c r="C2922" s="2">
        <v>46240.457465277803</v>
      </c>
      <c r="D2922" s="1" t="s">
        <v>24</v>
      </c>
      <c r="E2922" s="1"/>
      <c r="F2922" s="29">
        <v>46240</v>
      </c>
      <c r="G2922" s="29">
        <v>46240</v>
      </c>
      <c r="H2922" s="1" t="s">
        <v>110</v>
      </c>
      <c r="I2922" s="1" t="s">
        <v>6574</v>
      </c>
      <c r="J2922" s="207">
        <v>24766101521</v>
      </c>
      <c r="K2922" s="176"/>
      <c r="L2922" s="62">
        <v>23396242</v>
      </c>
      <c r="M2922" s="102">
        <v>5214425104693</v>
      </c>
      <c r="N2922" s="172" t="s">
        <v>37</v>
      </c>
      <c r="O2922" s="91">
        <v>6262.86</v>
      </c>
      <c r="P2922" s="91">
        <v>1811</v>
      </c>
      <c r="Q2922" s="42">
        <f>OfficeForms.Table[[#This Row],[ INFORMEDEPAGO ]]*0.3</f>
        <v>1878.8579999999997</v>
      </c>
      <c r="R2922" s="12">
        <f>(IF(O2922&lt;4172.98,0,MIN(O2922*0.3,O2922-4172.98)))-P2922</f>
        <v>67.85799999999972</v>
      </c>
      <c r="S2922" s="78">
        <v>46478</v>
      </c>
      <c r="T2922" s="1"/>
      <c r="V2922" s="1"/>
      <c r="X2922" s="101">
        <v>2</v>
      </c>
    </row>
    <row r="2923" spans="1:24" hidden="1">
      <c r="A2923">
        <v>1330</v>
      </c>
      <c r="B2923" s="2">
        <v>46240.442326388897</v>
      </c>
      <c r="C2923" s="2">
        <v>46240.458356481497</v>
      </c>
      <c r="D2923" s="1" t="s">
        <v>24</v>
      </c>
      <c r="E2923" s="1"/>
      <c r="F2923" s="29">
        <v>46240</v>
      </c>
      <c r="G2923" s="29">
        <v>46240</v>
      </c>
      <c r="H2923" s="1" t="s">
        <v>1625</v>
      </c>
      <c r="I2923" s="1" t="s">
        <v>6575</v>
      </c>
      <c r="J2923" s="207" t="s">
        <v>6576</v>
      </c>
      <c r="K2923" s="176" t="s">
        <v>6577</v>
      </c>
      <c r="L2923" s="62">
        <v>2</v>
      </c>
      <c r="M2923" s="102">
        <v>5519365082</v>
      </c>
      <c r="N2923" s="172" t="s">
        <v>130</v>
      </c>
      <c r="O2923" s="91">
        <v>20932.82</v>
      </c>
      <c r="P2923" s="91">
        <v>6277.52</v>
      </c>
      <c r="Q2923" s="42">
        <f>OfficeForms.Table[[#This Row],[ INFORMEDEPAGO ]]*0.3</f>
        <v>6279.8459999999995</v>
      </c>
      <c r="R2923" s="12">
        <f>(IF(O2923&lt;4172.98,0,MIN(O2923*0.3,O2923-4172.98)))-P2923</f>
        <v>2.3259999999991123</v>
      </c>
      <c r="S2923" s="78">
        <v>46204</v>
      </c>
      <c r="T2923" s="1"/>
      <c r="V2923" s="1"/>
      <c r="X2923" s="101">
        <v>2</v>
      </c>
    </row>
    <row r="2924" spans="1:24" hidden="1">
      <c r="A2924">
        <v>1331</v>
      </c>
      <c r="B2924" s="2">
        <v>46240.466550925899</v>
      </c>
      <c r="C2924" s="2">
        <v>46240.469409722202</v>
      </c>
      <c r="D2924" s="1" t="s">
        <v>24</v>
      </c>
      <c r="E2924" s="1"/>
      <c r="F2924" s="29">
        <v>46240</v>
      </c>
      <c r="G2924" s="29">
        <v>46240</v>
      </c>
      <c r="H2924" s="1" t="s">
        <v>5691</v>
      </c>
      <c r="I2924" s="1" t="s">
        <v>6578</v>
      </c>
      <c r="J2924" s="207"/>
      <c r="K2924" s="176" t="s">
        <v>6579</v>
      </c>
      <c r="L2924" s="62">
        <v>23420092</v>
      </c>
      <c r="M2924" s="102">
        <v>3222056845</v>
      </c>
      <c r="N2924" s="172" t="s">
        <v>28</v>
      </c>
      <c r="O2924" s="91">
        <v>7135.6</v>
      </c>
      <c r="P2924" s="91"/>
      <c r="Q2924" s="42">
        <f>OfficeForms.Table[[#This Row],[ INFORMEDEPAGO ]]*0.3</f>
        <v>2140.6799999999998</v>
      </c>
      <c r="R2924" s="12">
        <f>(IF(O2924&lt;4172.98,0,MIN(O2924*0.3,O2924-4172.98)))-P2924</f>
        <v>2140.6799999999998</v>
      </c>
      <c r="S2924" s="78"/>
      <c r="T2924" s="1"/>
      <c r="V2924" s="1"/>
      <c r="X2924" s="101">
        <v>1</v>
      </c>
    </row>
    <row r="2925" spans="1:24" hidden="1">
      <c r="A2925">
        <v>1332</v>
      </c>
      <c r="B2925" s="2">
        <v>46240.476724537002</v>
      </c>
      <c r="C2925" s="2">
        <v>46240.477592592601</v>
      </c>
      <c r="D2925" s="1" t="s">
        <v>24</v>
      </c>
      <c r="E2925" s="1"/>
      <c r="F2925" s="29">
        <v>46240</v>
      </c>
      <c r="G2925" s="29">
        <v>46240</v>
      </c>
      <c r="H2925" s="1" t="s">
        <v>5691</v>
      </c>
      <c r="I2925" s="1" t="s">
        <v>6580</v>
      </c>
      <c r="J2925" s="207">
        <v>67907303092</v>
      </c>
      <c r="K2925" s="176"/>
      <c r="L2925" s="62">
        <v>23423534</v>
      </c>
      <c r="M2925" s="102">
        <v>6561577471</v>
      </c>
      <c r="N2925" s="172" t="s">
        <v>32</v>
      </c>
      <c r="O2925" s="91">
        <f>15161.86-10988.87</f>
        <v>4172.99</v>
      </c>
      <c r="P2925" s="91"/>
      <c r="Q2925" s="42">
        <f>OfficeForms.Table[[#This Row],[ INFORMEDEPAGO ]]*0.3</f>
        <v>1251.8969999999999</v>
      </c>
      <c r="R2925" s="12">
        <f>(IF(O2925&lt;4172.98,0,MIN(O2925*0.3,O2925-4172.98)))-P2925</f>
        <v>1.0000000000218279E-2</v>
      </c>
      <c r="S2925" s="78"/>
      <c r="T2925" s="1"/>
      <c r="V2925" s="1"/>
      <c r="X2925" s="101">
        <v>1</v>
      </c>
    </row>
    <row r="2926" spans="1:24" hidden="1">
      <c r="A2926">
        <v>1333</v>
      </c>
      <c r="B2926" s="2">
        <v>46240.483333333301</v>
      </c>
      <c r="C2926" s="2">
        <v>46240.485335648104</v>
      </c>
      <c r="D2926" s="1" t="s">
        <v>24</v>
      </c>
      <c r="E2926" s="1"/>
      <c r="F2926" s="29">
        <v>46240</v>
      </c>
      <c r="G2926" s="29">
        <v>46239</v>
      </c>
      <c r="H2926" s="1" t="s">
        <v>51</v>
      </c>
      <c r="I2926" s="1" t="s">
        <v>6581</v>
      </c>
      <c r="J2926" s="207"/>
      <c r="K2926" s="176" t="s">
        <v>6582</v>
      </c>
      <c r="L2926" s="62">
        <v>23410622</v>
      </c>
      <c r="M2926" s="102">
        <v>5214521277831</v>
      </c>
      <c r="N2926" s="172" t="s">
        <v>74</v>
      </c>
      <c r="O2926" s="91"/>
      <c r="P2926" s="91"/>
      <c r="Q2926" s="42">
        <f>OfficeForms.Table[[#This Row],[ INFORMEDEPAGO ]]*0.3</f>
        <v>0</v>
      </c>
      <c r="R2926" s="12">
        <f>(IF(O2926&lt;4172.98,0,MIN(O2926*0.3,O2926-4172.98)))-P2926</f>
        <v>0</v>
      </c>
      <c r="S2926" s="78"/>
      <c r="T2926" s="1"/>
      <c r="V2926" s="1"/>
      <c r="X2926" s="101">
        <v>1</v>
      </c>
    </row>
    <row r="2927" spans="1:24" hidden="1">
      <c r="A2927">
        <v>1334</v>
      </c>
      <c r="B2927" s="2">
        <v>46240.482615740701</v>
      </c>
      <c r="C2927" s="2">
        <v>46240.486412036997</v>
      </c>
      <c r="D2927" s="1" t="s">
        <v>24</v>
      </c>
      <c r="E2927" s="1"/>
      <c r="F2927" s="29">
        <v>46240</v>
      </c>
      <c r="G2927" s="29">
        <v>46239</v>
      </c>
      <c r="H2927" s="1" t="s">
        <v>26</v>
      </c>
      <c r="I2927" s="1" t="s">
        <v>6583</v>
      </c>
      <c r="J2927" s="207" t="s">
        <v>6584</v>
      </c>
      <c r="K2927" s="176" t="s">
        <v>6585</v>
      </c>
      <c r="L2927" s="62">
        <v>23396248</v>
      </c>
      <c r="M2927" s="102">
        <v>5218447703715</v>
      </c>
      <c r="N2927" s="172" t="s">
        <v>32</v>
      </c>
      <c r="O2927" s="91">
        <v>4332.32</v>
      </c>
      <c r="P2927" s="91">
        <v>848</v>
      </c>
      <c r="Q2927" s="42">
        <f>OfficeForms.Table[[#This Row],[ INFORMEDEPAGO ]]*0.3</f>
        <v>1299.6959999999999</v>
      </c>
      <c r="R2927" s="12">
        <f>(IF(O2927&lt;4172.98,0,MIN(O2927*0.3,O2927-4172.98)))-P2927</f>
        <v>-688.65999999999985</v>
      </c>
      <c r="S2927" s="78"/>
      <c r="T2927" s="1"/>
      <c r="V2927" s="1"/>
      <c r="X2927" s="101">
        <v>1</v>
      </c>
    </row>
    <row r="2928" spans="1:24" hidden="1">
      <c r="A2928">
        <v>1335</v>
      </c>
      <c r="B2928" s="2">
        <v>46240.489467592597</v>
      </c>
      <c r="C2928" s="2">
        <v>46240.491354166697</v>
      </c>
      <c r="D2928" s="1" t="s">
        <v>24</v>
      </c>
      <c r="E2928" s="1"/>
      <c r="F2928" s="29">
        <v>46240</v>
      </c>
      <c r="G2928" s="29">
        <v>46238</v>
      </c>
      <c r="H2928" s="1" t="s">
        <v>110</v>
      </c>
      <c r="I2928" s="1" t="s">
        <v>6586</v>
      </c>
      <c r="J2928" s="207">
        <v>62876526831</v>
      </c>
      <c r="K2928" s="176"/>
      <c r="L2928" s="119">
        <v>23400314</v>
      </c>
      <c r="M2928" s="122">
        <v>5212214281285</v>
      </c>
      <c r="N2928" s="172" t="s">
        <v>37</v>
      </c>
      <c r="O2928" s="91">
        <v>9760.32</v>
      </c>
      <c r="P2928" s="91">
        <v>2823</v>
      </c>
      <c r="Q2928" s="42">
        <f>OfficeForms.Table[[#This Row],[ INFORMEDEPAGO ]]*0.3</f>
        <v>2928.096</v>
      </c>
      <c r="R2928" s="12">
        <f>(IF(O2928&lt;4172.98,0,MIN(O2928*0.3,O2928-4172.98)))-P2928</f>
        <v>105.096</v>
      </c>
      <c r="S2928" s="78">
        <v>46692</v>
      </c>
      <c r="T2928" s="1"/>
      <c r="V2928" s="1"/>
      <c r="X2928" s="101">
        <v>2</v>
      </c>
    </row>
    <row r="2929" spans="1:24" hidden="1">
      <c r="A2929">
        <v>1336</v>
      </c>
      <c r="B2929" s="2">
        <v>46240.491585648197</v>
      </c>
      <c r="C2929" s="2">
        <v>46240.4921412037</v>
      </c>
      <c r="D2929" s="1" t="s">
        <v>24</v>
      </c>
      <c r="E2929" s="1"/>
      <c r="F2929" s="29">
        <v>46240</v>
      </c>
      <c r="G2929" s="29">
        <v>46240</v>
      </c>
      <c r="H2929" s="1" t="s">
        <v>110</v>
      </c>
      <c r="I2929" s="1" t="s">
        <v>6587</v>
      </c>
      <c r="J2929" s="207"/>
      <c r="K2929" s="176" t="s">
        <v>6588</v>
      </c>
      <c r="L2929" s="62">
        <v>23322648</v>
      </c>
      <c r="M2929" s="102">
        <v>5218332362216</v>
      </c>
      <c r="N2929" s="171" t="s">
        <v>37</v>
      </c>
      <c r="O2929" s="91">
        <v>9002.06</v>
      </c>
      <c r="P2929" s="91">
        <v>2604</v>
      </c>
      <c r="Q2929" s="42">
        <f>OfficeForms.Table[[#This Row],[ INFORMEDEPAGO ]]*0.3</f>
        <v>2700.6179999999999</v>
      </c>
      <c r="R2929" s="12">
        <f>(IF(O2929&lt;4172.98,0,MIN(O2929*0.3,O2929-4172.98)))-P2929</f>
        <v>96.617999999999938</v>
      </c>
      <c r="S2929" s="78">
        <v>46631</v>
      </c>
      <c r="T2929" s="1"/>
      <c r="V2929" s="1"/>
      <c r="X2929" s="101">
        <v>2</v>
      </c>
    </row>
    <row r="2930" spans="1:24" hidden="1">
      <c r="A2930">
        <v>1337</v>
      </c>
      <c r="B2930" s="2">
        <v>46240.492210648197</v>
      </c>
      <c r="C2930" s="2">
        <v>46240.504826388897</v>
      </c>
      <c r="D2930" s="1" t="s">
        <v>24</v>
      </c>
      <c r="E2930" s="1"/>
      <c r="F2930" s="29">
        <v>46240</v>
      </c>
      <c r="G2930" s="29">
        <v>46237</v>
      </c>
      <c r="H2930" s="1" t="s">
        <v>110</v>
      </c>
      <c r="I2930" s="1" t="s">
        <v>6589</v>
      </c>
      <c r="J2930" s="207"/>
      <c r="K2930" s="176" t="s">
        <v>6590</v>
      </c>
      <c r="L2930" s="62">
        <v>23334050</v>
      </c>
      <c r="M2930" s="102">
        <v>5215587052227</v>
      </c>
      <c r="N2930" s="172" t="s">
        <v>263</v>
      </c>
      <c r="O2930" s="91">
        <v>25093.83</v>
      </c>
      <c r="P2930" s="91">
        <v>6966.74</v>
      </c>
      <c r="Q2930" s="42">
        <f>OfficeForms.Table[[#This Row],[ INFORMEDEPAGO ]]*0.3</f>
        <v>7528.1490000000003</v>
      </c>
      <c r="R2930" s="12">
        <f>(IF(O2930&lt;4172.98,0,MIN(O2930*0.3,O2930-4172.98)))-P2930</f>
        <v>561.40900000000056</v>
      </c>
      <c r="S2930" s="78">
        <v>45717</v>
      </c>
      <c r="T2930" s="1" t="s">
        <v>192</v>
      </c>
      <c r="V2930" s="1"/>
      <c r="X2930" s="101">
        <v>2</v>
      </c>
    </row>
    <row r="2931" spans="1:24" hidden="1">
      <c r="A2931">
        <v>1338</v>
      </c>
      <c r="B2931" s="2">
        <v>46240.454675925903</v>
      </c>
      <c r="C2931" s="2">
        <v>46240.507349537002</v>
      </c>
      <c r="D2931" s="1" t="s">
        <v>24</v>
      </c>
      <c r="E2931" s="1"/>
      <c r="F2931" s="29">
        <v>46240</v>
      </c>
      <c r="G2931" s="29">
        <v>46239</v>
      </c>
      <c r="H2931" s="1" t="s">
        <v>78</v>
      </c>
      <c r="I2931" s="1" t="s">
        <v>6591</v>
      </c>
      <c r="J2931" s="207">
        <v>65916318705</v>
      </c>
      <c r="K2931" s="176" t="s">
        <v>6592</v>
      </c>
      <c r="L2931" s="62">
        <v>23410120</v>
      </c>
      <c r="M2931" s="102">
        <v>5212293169261</v>
      </c>
      <c r="N2931" s="172" t="s">
        <v>37</v>
      </c>
      <c r="O2931" s="91">
        <v>23860.73</v>
      </c>
      <c r="P2931" s="91">
        <v>7143.15</v>
      </c>
      <c r="Q2931" s="42">
        <f>OfficeForms.Table[[#This Row],[ INFORMEDEPAGO ]]*0.3</f>
        <v>7158.2190000000001</v>
      </c>
      <c r="R2931" s="12">
        <f>(IF(O2931&lt;4172.98,0,MIN(O2931*0.3,O2931-4172.98)))-P2931</f>
        <v>15.069000000000415</v>
      </c>
      <c r="S2931" s="78">
        <v>46935</v>
      </c>
      <c r="T2931" s="1" t="s">
        <v>84</v>
      </c>
      <c r="V2931" s="1"/>
      <c r="X2931" s="101">
        <v>2</v>
      </c>
    </row>
    <row r="2932" spans="1:24" hidden="1">
      <c r="A2932">
        <v>1339</v>
      </c>
      <c r="B2932" s="2">
        <v>46240.454710648097</v>
      </c>
      <c r="C2932" s="2">
        <v>46240.507372685199</v>
      </c>
      <c r="D2932" s="1" t="s">
        <v>24</v>
      </c>
      <c r="E2932" s="1"/>
      <c r="F2932" s="29">
        <v>46240</v>
      </c>
      <c r="G2932" s="29">
        <v>46238</v>
      </c>
      <c r="H2932" s="1" t="s">
        <v>78</v>
      </c>
      <c r="I2932" s="1" t="s">
        <v>6593</v>
      </c>
      <c r="J2932" s="207"/>
      <c r="K2932" s="176" t="s">
        <v>6594</v>
      </c>
      <c r="L2932" s="62">
        <v>23353500</v>
      </c>
      <c r="M2932" s="102">
        <v>5214773043868</v>
      </c>
      <c r="N2932" s="172" t="s">
        <v>263</v>
      </c>
      <c r="O2932" s="91">
        <v>5317.63</v>
      </c>
      <c r="P2932" s="91">
        <v>1336.03</v>
      </c>
      <c r="Q2932" s="42">
        <f>OfficeForms.Table[[#This Row],[ INFORMEDEPAGO ]]*0.3</f>
        <v>1595.289</v>
      </c>
      <c r="R2932" s="12">
        <f>(IF(O2932&lt;4172.98,0,MIN(O2932*0.3,O2932-4172.98)))-P2932</f>
        <v>-191.37999999999943</v>
      </c>
      <c r="S2932" s="78">
        <v>46235</v>
      </c>
      <c r="T2932" s="1" t="s">
        <v>178</v>
      </c>
      <c r="V2932" s="1"/>
      <c r="X2932" s="101">
        <v>2</v>
      </c>
    </row>
    <row r="2933" spans="1:24" hidden="1">
      <c r="A2933">
        <v>1340</v>
      </c>
      <c r="B2933" s="2">
        <v>46240.4929050926</v>
      </c>
      <c r="C2933" s="2">
        <v>46240.5136458333</v>
      </c>
      <c r="D2933" s="1" t="s">
        <v>24</v>
      </c>
      <c r="E2933" s="1"/>
      <c r="F2933" s="29">
        <v>46240</v>
      </c>
      <c r="G2933" s="29">
        <v>46240</v>
      </c>
      <c r="H2933" s="1" t="s">
        <v>78</v>
      </c>
      <c r="I2933" s="1" t="s">
        <v>6595</v>
      </c>
      <c r="J2933" s="207"/>
      <c r="K2933" s="176" t="s">
        <v>6596</v>
      </c>
      <c r="L2933" s="62">
        <v>23418248</v>
      </c>
      <c r="M2933" s="102">
        <v>5215620767693</v>
      </c>
      <c r="N2933" s="172" t="s">
        <v>32</v>
      </c>
      <c r="O2933" s="91">
        <v>2859.93</v>
      </c>
      <c r="P2933" s="91"/>
      <c r="Q2933" s="42">
        <f>OfficeForms.Table[[#This Row],[ INFORMEDEPAGO ]]*0.3</f>
        <v>857.97899999999993</v>
      </c>
      <c r="R2933" s="12">
        <f>(IF(O2933&lt;4172.98,0,MIN(O2933*0.3,O2933-4172.98)))-P2933</f>
        <v>0</v>
      </c>
      <c r="S2933" s="78"/>
      <c r="T2933" s="1"/>
      <c r="V2933" s="1"/>
      <c r="X2933" s="101">
        <v>1</v>
      </c>
    </row>
    <row r="2934" spans="1:24" hidden="1">
      <c r="A2934">
        <v>1341</v>
      </c>
      <c r="B2934" s="2">
        <v>46240.485358796301</v>
      </c>
      <c r="C2934" s="2">
        <v>46240.514085648101</v>
      </c>
      <c r="D2934" s="1" t="s">
        <v>24</v>
      </c>
      <c r="E2934" s="1"/>
      <c r="F2934" s="29">
        <v>46240</v>
      </c>
      <c r="G2934" s="29">
        <v>46239</v>
      </c>
      <c r="H2934" s="1" t="s">
        <v>51</v>
      </c>
      <c r="I2934" s="1" t="s">
        <v>6597</v>
      </c>
      <c r="J2934" s="207"/>
      <c r="K2934" s="176" t="s">
        <v>6598</v>
      </c>
      <c r="L2934" s="62">
        <v>23411706</v>
      </c>
      <c r="M2934" s="102">
        <v>5212212640141</v>
      </c>
      <c r="N2934" s="172" t="s">
        <v>28</v>
      </c>
      <c r="O2934" s="91">
        <v>33183.879999999997</v>
      </c>
      <c r="P2934" s="91"/>
      <c r="Q2934" s="42">
        <f>OfficeForms.Table[[#This Row],[ INFORMEDEPAGO ]]*0.3</f>
        <v>9955.1639999999989</v>
      </c>
      <c r="R2934" s="12">
        <f>(IF(O2934&lt;4172.98,0,MIN(O2934*0.3,O2934-4172.98)))-P2934</f>
        <v>9955.1639999999989</v>
      </c>
      <c r="S2934" s="78"/>
      <c r="T2934" s="1"/>
      <c r="V2934" s="1"/>
      <c r="X2934" s="101">
        <v>1</v>
      </c>
    </row>
    <row r="2935" spans="1:24" hidden="1">
      <c r="A2935">
        <v>1342</v>
      </c>
      <c r="B2935" s="2">
        <v>46240.508587962999</v>
      </c>
      <c r="C2935" s="2">
        <v>46240.526562500003</v>
      </c>
      <c r="D2935" s="1" t="s">
        <v>24</v>
      </c>
      <c r="E2935" s="1"/>
      <c r="F2935" s="29">
        <v>46240</v>
      </c>
      <c r="G2935" s="29">
        <v>46240</v>
      </c>
      <c r="H2935" s="1" t="s">
        <v>110</v>
      </c>
      <c r="I2935" s="1" t="s">
        <v>6599</v>
      </c>
      <c r="J2935" s="207"/>
      <c r="K2935" s="176" t="s">
        <v>6600</v>
      </c>
      <c r="L2935" s="62">
        <v>23424784</v>
      </c>
      <c r="M2935" s="102">
        <v>5215545328701</v>
      </c>
      <c r="N2935" s="172" t="s">
        <v>28</v>
      </c>
      <c r="O2935" s="91">
        <v>47033.56</v>
      </c>
      <c r="P2935" s="91"/>
      <c r="Q2935" s="42">
        <f>OfficeForms.Table[[#This Row],[ INFORMEDEPAGO ]]*0.3</f>
        <v>14110.067999999999</v>
      </c>
      <c r="R2935" s="12">
        <f>(IF(O2935&lt;4172.98,0,MIN(O2935*0.3,O2935-4172.98)))-P2935</f>
        <v>14110.067999999999</v>
      </c>
      <c r="S2935" s="78"/>
      <c r="T2935" s="1"/>
      <c r="V2935" s="1"/>
      <c r="X2935" s="101">
        <v>1</v>
      </c>
    </row>
    <row r="2936" spans="1:24" hidden="1">
      <c r="A2936">
        <v>1343</v>
      </c>
      <c r="B2936" s="2">
        <v>46240.46875</v>
      </c>
      <c r="C2936" s="2">
        <v>46240.544687499998</v>
      </c>
      <c r="D2936" s="1" t="s">
        <v>24</v>
      </c>
      <c r="E2936" s="1"/>
      <c r="F2936" s="29">
        <v>46240</v>
      </c>
      <c r="G2936" s="29">
        <v>46240</v>
      </c>
      <c r="H2936" s="1" t="s">
        <v>5605</v>
      </c>
      <c r="I2936" s="1" t="s">
        <v>6601</v>
      </c>
      <c r="J2936" s="207"/>
      <c r="K2936" s="176" t="s">
        <v>6602</v>
      </c>
      <c r="L2936" s="62">
        <v>23421958</v>
      </c>
      <c r="M2936" s="102">
        <v>5539338673</v>
      </c>
      <c r="N2936" s="172" t="s">
        <v>98</v>
      </c>
      <c r="O2936" s="91"/>
      <c r="P2936" s="91"/>
      <c r="Q2936" s="42">
        <f>OfficeForms.Table[[#This Row],[ INFORMEDEPAGO ]]*0.3</f>
        <v>0</v>
      </c>
      <c r="R2936" s="12">
        <f>(IF(O2936&lt;4172.98,0,MIN(O2936*0.3,O2936-4172.98)))-P2936</f>
        <v>0</v>
      </c>
      <c r="S2936" s="78"/>
      <c r="T2936" s="1"/>
      <c r="V2936" s="1"/>
      <c r="X2936" s="101">
        <v>0</v>
      </c>
    </row>
    <row r="2937" spans="1:24" hidden="1">
      <c r="A2937">
        <v>1344</v>
      </c>
      <c r="B2937" s="2">
        <v>46240.549780092602</v>
      </c>
      <c r="C2937" s="2">
        <v>46240.551192129598</v>
      </c>
      <c r="D2937" s="1" t="s">
        <v>24</v>
      </c>
      <c r="E2937" s="1"/>
      <c r="F2937" s="29">
        <v>46240</v>
      </c>
      <c r="G2937" s="29">
        <v>46240</v>
      </c>
      <c r="H2937" s="1" t="s">
        <v>5691</v>
      </c>
      <c r="I2937" s="1" t="s">
        <v>6603</v>
      </c>
      <c r="J2937" s="207"/>
      <c r="K2937" s="176" t="s">
        <v>6604</v>
      </c>
      <c r="L2937" s="62">
        <v>23425600</v>
      </c>
      <c r="M2937" s="102">
        <v>6692731535</v>
      </c>
      <c r="N2937" s="172" t="s">
        <v>37</v>
      </c>
      <c r="O2937" s="91">
        <v>8793.09</v>
      </c>
      <c r="P2937" s="91">
        <v>2544.0500000000002</v>
      </c>
      <c r="Q2937" s="42">
        <f>OfficeForms.Table[[#This Row],[ INFORMEDEPAGO ]]*0.3</f>
        <v>2637.9270000000001</v>
      </c>
      <c r="R2937" s="12">
        <f>(IF(O2937&lt;4172.98,0,MIN(O2937*0.3,O2937-4172.98)))-P2937</f>
        <v>93.876999999999953</v>
      </c>
      <c r="S2937" s="78">
        <v>46661</v>
      </c>
      <c r="T2937" s="1"/>
      <c r="V2937" s="1"/>
      <c r="X2937" s="101">
        <v>2</v>
      </c>
    </row>
    <row r="2938" spans="1:24" hidden="1">
      <c r="A2938">
        <v>1345</v>
      </c>
      <c r="B2938" s="2">
        <v>46240.5516319444</v>
      </c>
      <c r="C2938" s="2">
        <v>46240.552997685198</v>
      </c>
      <c r="D2938" s="1" t="s">
        <v>24</v>
      </c>
      <c r="E2938" s="1"/>
      <c r="F2938" s="29">
        <v>46240</v>
      </c>
      <c r="G2938" s="29">
        <v>46240</v>
      </c>
      <c r="H2938" s="1" t="s">
        <v>6605</v>
      </c>
      <c r="I2938" s="1" t="s">
        <v>6606</v>
      </c>
      <c r="J2938" s="207">
        <v>43816374300</v>
      </c>
      <c r="K2938" s="176" t="s">
        <v>6345</v>
      </c>
      <c r="L2938" s="62">
        <v>23423470</v>
      </c>
      <c r="M2938" s="102">
        <v>23423470</v>
      </c>
      <c r="N2938" s="172" t="s">
        <v>37</v>
      </c>
      <c r="O2938" s="91">
        <v>7920.51</v>
      </c>
      <c r="P2938" s="91">
        <v>2376.1</v>
      </c>
      <c r="Q2938" s="42">
        <f>OfficeForms.Table[[#This Row],[ INFORMEDEPAGO ]]*0.3</f>
        <v>2376.1529999999998</v>
      </c>
      <c r="R2938" s="12">
        <f>(IF(O2938&lt;4172.98,0,MIN(O2938*0.3,O2938-4172.98)))-P2938</f>
        <v>5.2999999999883585E-2</v>
      </c>
      <c r="S2938" s="78">
        <v>46905</v>
      </c>
      <c r="T2938" s="1"/>
      <c r="V2938" s="1"/>
      <c r="X2938" s="101">
        <v>2</v>
      </c>
    </row>
    <row r="2939" spans="1:24" hidden="1">
      <c r="A2939">
        <v>1346</v>
      </c>
      <c r="B2939" s="2">
        <v>46240.495300925897</v>
      </c>
      <c r="C2939" s="2">
        <v>46240.558564814797</v>
      </c>
      <c r="D2939" s="1" t="s">
        <v>24</v>
      </c>
      <c r="E2939" s="1"/>
      <c r="F2939" s="29">
        <v>46240</v>
      </c>
      <c r="G2939" s="29">
        <v>46240</v>
      </c>
      <c r="H2939" s="1" t="s">
        <v>1625</v>
      </c>
      <c r="I2939" s="1" t="s">
        <v>6607</v>
      </c>
      <c r="J2939" s="207" t="s">
        <v>6608</v>
      </c>
      <c r="K2939" s="176" t="s">
        <v>6609</v>
      </c>
      <c r="L2939" s="62">
        <v>2</v>
      </c>
      <c r="M2939" s="102">
        <v>5511793610</v>
      </c>
      <c r="N2939" s="172" t="s">
        <v>37</v>
      </c>
      <c r="O2939" s="91">
        <v>5677.71</v>
      </c>
      <c r="P2939" s="91"/>
      <c r="Q2939" s="42">
        <f>OfficeForms.Table[[#This Row],[ INFORMEDEPAGO ]]*0.3</f>
        <v>1703.3129999999999</v>
      </c>
      <c r="R2939" s="12">
        <f>(IF(O2939&lt;4172.98,0,MIN(O2939*0.3,O2939-4172.98)))-P2939</f>
        <v>1504.7300000000005</v>
      </c>
      <c r="S2939" s="78">
        <v>46935</v>
      </c>
      <c r="T2939" s="1"/>
      <c r="V2939" s="1"/>
      <c r="X2939" s="101">
        <v>2</v>
      </c>
    </row>
    <row r="2940" spans="1:24" hidden="1">
      <c r="A2940">
        <v>1347</v>
      </c>
      <c r="B2940" s="2">
        <v>46240.558807870402</v>
      </c>
      <c r="C2940" s="2">
        <v>46240.559583333299</v>
      </c>
      <c r="D2940" s="1" t="s">
        <v>24</v>
      </c>
      <c r="E2940" s="1"/>
      <c r="F2940" s="29">
        <v>46240</v>
      </c>
      <c r="G2940" s="29">
        <v>46238</v>
      </c>
      <c r="H2940" s="1" t="s">
        <v>3575</v>
      </c>
      <c r="I2940" s="1" t="s">
        <v>6610</v>
      </c>
      <c r="J2940" s="207">
        <v>65835944995</v>
      </c>
      <c r="K2940" s="176" t="s">
        <v>6611</v>
      </c>
      <c r="L2940" s="62">
        <v>23376080</v>
      </c>
      <c r="M2940" s="102">
        <v>5215520046644</v>
      </c>
      <c r="N2940" s="172" t="s">
        <v>28</v>
      </c>
      <c r="O2940" s="91">
        <v>9277.4</v>
      </c>
      <c r="P2940" s="91"/>
      <c r="Q2940" s="42">
        <f>OfficeForms.Table[[#This Row],[ INFORMEDEPAGO ]]*0.3</f>
        <v>2783.22</v>
      </c>
      <c r="R2940" s="12">
        <f>(IF(O2940&lt;4172.98,0,MIN(O2940*0.3,O2940-4172.98)))-P2940</f>
        <v>2783.22</v>
      </c>
      <c r="S2940" s="78"/>
      <c r="T2940" s="1"/>
      <c r="V2940" s="1"/>
      <c r="X2940" s="101">
        <v>1</v>
      </c>
    </row>
    <row r="2941" spans="1:24" hidden="1">
      <c r="A2941">
        <v>1348</v>
      </c>
      <c r="B2941" s="2">
        <v>46240.566932870403</v>
      </c>
      <c r="C2941" s="2">
        <v>46240.567638888897</v>
      </c>
      <c r="D2941" s="1" t="s">
        <v>24</v>
      </c>
      <c r="E2941" s="1"/>
      <c r="F2941" s="29">
        <v>46240</v>
      </c>
      <c r="G2941" s="29">
        <v>46240</v>
      </c>
      <c r="H2941" s="1" t="s">
        <v>5691</v>
      </c>
      <c r="I2941" s="1" t="s">
        <v>6612</v>
      </c>
      <c r="J2941" s="207"/>
      <c r="K2941" s="176" t="s">
        <v>6613</v>
      </c>
      <c r="L2941" s="62">
        <v>23423436</v>
      </c>
      <c r="M2941" s="102">
        <v>4441601010</v>
      </c>
      <c r="N2941" s="172" t="s">
        <v>37</v>
      </c>
      <c r="O2941" s="91">
        <v>10966.6</v>
      </c>
      <c r="P2941" s="91">
        <v>3289.27</v>
      </c>
      <c r="Q2941" s="42">
        <f>OfficeForms.Table[[#This Row],[ INFORMEDEPAGO ]]*0.3</f>
        <v>3289.98</v>
      </c>
      <c r="R2941" s="12">
        <f>(IF(O2941&lt;4172.98,0,MIN(O2941*0.3,O2941-4172.98)))-P2941</f>
        <v>0.71000000000003638</v>
      </c>
      <c r="S2941" s="78">
        <v>46357</v>
      </c>
      <c r="T2941" s="1"/>
      <c r="V2941" s="1"/>
      <c r="X2941" s="101">
        <v>2</v>
      </c>
    </row>
    <row r="2942" spans="1:24" hidden="1">
      <c r="A2942">
        <v>1349</v>
      </c>
      <c r="B2942" s="2">
        <v>46240.495532407404</v>
      </c>
      <c r="C2942" s="2">
        <v>46240.584259259304</v>
      </c>
      <c r="D2942" s="1" t="s">
        <v>24</v>
      </c>
      <c r="E2942" s="1"/>
      <c r="F2942" s="29">
        <v>46240</v>
      </c>
      <c r="G2942" s="29">
        <v>46240</v>
      </c>
      <c r="H2942" s="1" t="s">
        <v>2908</v>
      </c>
      <c r="I2942" s="1" t="s">
        <v>6614</v>
      </c>
      <c r="J2942" s="207" t="s">
        <v>6615</v>
      </c>
      <c r="K2942" s="176" t="s">
        <v>6616</v>
      </c>
      <c r="L2942" s="62">
        <v>2</v>
      </c>
      <c r="M2942" s="102">
        <v>5215644541528</v>
      </c>
      <c r="N2942" s="172" t="s">
        <v>32</v>
      </c>
      <c r="O2942" s="91">
        <v>4342.43</v>
      </c>
      <c r="P2942" s="91"/>
      <c r="Q2942" s="42">
        <f>OfficeForms.Table[[#This Row],[ INFORMEDEPAGO ]]*0.3</f>
        <v>1302.729</v>
      </c>
      <c r="R2942" s="12">
        <f>(IF(O2942&lt;4172.98,0,MIN(O2942*0.3,O2942-4172.98)))-P2942</f>
        <v>169.45000000000073</v>
      </c>
      <c r="S2942" s="78"/>
      <c r="T2942" s="1"/>
      <c r="V2942" s="1"/>
      <c r="X2942" s="101">
        <v>1</v>
      </c>
    </row>
    <row r="2943" spans="1:24" hidden="1">
      <c r="A2943">
        <v>1350</v>
      </c>
      <c r="B2943" s="2">
        <v>46240.591296296298</v>
      </c>
      <c r="C2943" s="2">
        <v>46240.591932870397</v>
      </c>
      <c r="D2943" s="1" t="s">
        <v>24</v>
      </c>
      <c r="E2943" s="1"/>
      <c r="F2943" s="29">
        <v>46240</v>
      </c>
      <c r="G2943" s="29">
        <v>46240</v>
      </c>
      <c r="H2943" s="1" t="s">
        <v>71</v>
      </c>
      <c r="I2943" s="1" t="s">
        <v>6617</v>
      </c>
      <c r="J2943" s="207" t="s">
        <v>6618</v>
      </c>
      <c r="K2943" s="176"/>
      <c r="L2943" s="62">
        <v>23424352</v>
      </c>
      <c r="M2943" s="102">
        <v>5214521457130</v>
      </c>
      <c r="N2943" s="172" t="s">
        <v>32</v>
      </c>
      <c r="O2943" s="91">
        <v>2726.8</v>
      </c>
      <c r="P2943" s="91">
        <v>657</v>
      </c>
      <c r="Q2943" s="42">
        <f>OfficeForms.Table[[#This Row],[ INFORMEDEPAGO ]]*0.3</f>
        <v>818.04000000000008</v>
      </c>
      <c r="R2943" s="12">
        <f>(IF(O2943&lt;4172.98,0,MIN(O2943*0.3,O2943-4172.98)))-P2943</f>
        <v>-657</v>
      </c>
      <c r="S2943" s="78"/>
      <c r="T2943" s="1"/>
      <c r="V2943" s="1"/>
      <c r="X2943" s="101">
        <v>1</v>
      </c>
    </row>
    <row r="2944" spans="1:24" hidden="1">
      <c r="A2944">
        <v>1351</v>
      </c>
      <c r="B2944" s="2">
        <v>46240.514108796298</v>
      </c>
      <c r="C2944" s="2">
        <v>46240.596990740698</v>
      </c>
      <c r="D2944" s="1" t="s">
        <v>24</v>
      </c>
      <c r="E2944" s="1"/>
      <c r="F2944" s="29">
        <v>46240</v>
      </c>
      <c r="G2944" s="29">
        <v>46239</v>
      </c>
      <c r="H2944" s="1" t="s">
        <v>51</v>
      </c>
      <c r="I2944" s="1" t="s">
        <v>6619</v>
      </c>
      <c r="J2944" s="207"/>
      <c r="K2944" s="176" t="s">
        <v>6620</v>
      </c>
      <c r="L2944" s="62">
        <v>23410928</v>
      </c>
      <c r="M2944" s="102">
        <v>5219221227380</v>
      </c>
      <c r="N2944" s="172" t="s">
        <v>37</v>
      </c>
      <c r="O2944" s="91">
        <v>6262.86</v>
      </c>
      <c r="P2944" s="91">
        <v>1811.98</v>
      </c>
      <c r="Q2944" s="42">
        <f>OfficeForms.Table[[#This Row],[ INFORMEDEPAGO ]]*0.3</f>
        <v>1878.8579999999997</v>
      </c>
      <c r="R2944" s="12">
        <f>(IF(O2944&lt;4172.98,0,MIN(O2944*0.3,O2944-4172.98)))-P2944</f>
        <v>66.877999999999702</v>
      </c>
      <c r="S2944" s="78">
        <v>46327</v>
      </c>
      <c r="T2944" s="1"/>
      <c r="V2944" s="1"/>
      <c r="X2944" s="101">
        <v>2</v>
      </c>
    </row>
    <row r="2945" spans="1:24" hidden="1">
      <c r="A2945">
        <v>1352</v>
      </c>
      <c r="B2945" s="2">
        <v>46240.558587963002</v>
      </c>
      <c r="C2945" s="2">
        <v>46240.597928240699</v>
      </c>
      <c r="D2945" s="1" t="s">
        <v>24</v>
      </c>
      <c r="E2945" s="1"/>
      <c r="F2945" s="29">
        <v>46240</v>
      </c>
      <c r="G2945" s="29">
        <v>46240</v>
      </c>
      <c r="H2945" s="1" t="s">
        <v>1625</v>
      </c>
      <c r="I2945" s="1" t="s">
        <v>6621</v>
      </c>
      <c r="J2945" s="207" t="s">
        <v>6622</v>
      </c>
      <c r="K2945" s="176" t="s">
        <v>6623</v>
      </c>
      <c r="L2945" s="62">
        <v>2</v>
      </c>
      <c r="M2945" s="102">
        <v>4791467026</v>
      </c>
      <c r="N2945" s="172" t="s">
        <v>32</v>
      </c>
      <c r="O2945" s="91">
        <f>4187.57+879</f>
        <v>5066.57</v>
      </c>
      <c r="P2945" s="91">
        <v>879</v>
      </c>
      <c r="Q2945" s="42">
        <f>OfficeForms.Table[[#This Row],[ INFORMEDEPAGO ]]*0.3</f>
        <v>1519.9709999999998</v>
      </c>
      <c r="R2945" s="12">
        <f>(IF(O2945&lt;4172.98,0,MIN(O2945*0.3,O2945-4172.98)))-P2945</f>
        <v>14.590000000000146</v>
      </c>
      <c r="S2945" s="78"/>
      <c r="T2945" s="1"/>
      <c r="V2945" s="1"/>
      <c r="X2945" s="101">
        <v>1</v>
      </c>
    </row>
    <row r="2946" spans="1:24" hidden="1">
      <c r="A2946">
        <v>1353</v>
      </c>
      <c r="B2946" s="2">
        <v>46240.597465277802</v>
      </c>
      <c r="C2946" s="2">
        <v>46240.598298611098</v>
      </c>
      <c r="D2946" s="1" t="s">
        <v>24</v>
      </c>
      <c r="E2946" s="1"/>
      <c r="F2946" s="29">
        <v>46240</v>
      </c>
      <c r="G2946" s="29">
        <v>46240</v>
      </c>
      <c r="H2946" s="1" t="s">
        <v>103</v>
      </c>
      <c r="I2946" s="1"/>
      <c r="J2946" s="207">
        <v>82926502053</v>
      </c>
      <c r="K2946" s="176"/>
      <c r="L2946" s="62">
        <v>1</v>
      </c>
      <c r="M2946" s="102">
        <v>9984931933</v>
      </c>
      <c r="N2946" s="172" t="s">
        <v>98</v>
      </c>
      <c r="O2946" s="91"/>
      <c r="P2946" s="91"/>
      <c r="Q2946" s="42">
        <f>OfficeForms.Table[[#This Row],[ INFORMEDEPAGO ]]*0.3</f>
        <v>0</v>
      </c>
      <c r="R2946" s="12">
        <f>(IF(O2946&lt;4172.98,0,MIN(O2946*0.3,O2946-4172.98)))-P2946</f>
        <v>0</v>
      </c>
      <c r="S2946" s="78"/>
      <c r="T2946" s="1"/>
      <c r="V2946" s="1"/>
      <c r="X2946" s="101">
        <v>0</v>
      </c>
    </row>
    <row r="2947" spans="1:24" hidden="1">
      <c r="A2947">
        <v>1354</v>
      </c>
      <c r="B2947" s="2">
        <v>46240.601666666698</v>
      </c>
      <c r="C2947" s="2">
        <v>46240.602256944403</v>
      </c>
      <c r="D2947" s="1" t="s">
        <v>24</v>
      </c>
      <c r="E2947" s="1"/>
      <c r="F2947" s="29">
        <v>46240</v>
      </c>
      <c r="G2947" s="29">
        <v>46240</v>
      </c>
      <c r="H2947" s="1" t="s">
        <v>71</v>
      </c>
      <c r="I2947" s="1" t="s">
        <v>6624</v>
      </c>
      <c r="J2947" s="207" t="s">
        <v>6625</v>
      </c>
      <c r="K2947" s="176"/>
      <c r="L2947" s="62">
        <v>23427784</v>
      </c>
      <c r="M2947" s="102">
        <v>5218123360620</v>
      </c>
      <c r="N2947" s="172" t="s">
        <v>37</v>
      </c>
      <c r="O2947" s="91">
        <v>9081.52</v>
      </c>
      <c r="P2947" s="91">
        <v>2724.46</v>
      </c>
      <c r="Q2947" s="42">
        <f>OfficeForms.Table[[#This Row],[ INFORMEDEPAGO ]]*0.3</f>
        <v>2724.4560000000001</v>
      </c>
      <c r="R2947" s="12">
        <f>(IF(O2947&lt;4172.98,0,MIN(O2947*0.3,O2947-4172.98)))-P2947</f>
        <v>-3.9999999999054126E-3</v>
      </c>
      <c r="S2947" s="78">
        <v>46874</v>
      </c>
      <c r="T2947" s="1"/>
      <c r="V2947" s="1"/>
      <c r="X2947" s="101">
        <v>2</v>
      </c>
    </row>
    <row r="2948" spans="1:24" hidden="1">
      <c r="A2948">
        <v>1355</v>
      </c>
      <c r="B2948" s="2">
        <v>46240.6034490741</v>
      </c>
      <c r="C2948" s="2">
        <v>46240.604363425897</v>
      </c>
      <c r="D2948" s="1" t="s">
        <v>24</v>
      </c>
      <c r="E2948" s="1"/>
      <c r="F2948" s="29">
        <v>46240</v>
      </c>
      <c r="G2948" s="29">
        <v>46240</v>
      </c>
      <c r="H2948" s="1" t="s">
        <v>5691</v>
      </c>
      <c r="I2948" s="1" t="s">
        <v>6626</v>
      </c>
      <c r="J2948" s="207">
        <v>53826331984</v>
      </c>
      <c r="K2948" s="176"/>
      <c r="L2948" s="62">
        <v>23427836</v>
      </c>
      <c r="M2948" s="102">
        <v>7531245234</v>
      </c>
      <c r="N2948" s="172" t="s">
        <v>37</v>
      </c>
      <c r="O2948" s="91">
        <v>48012.74</v>
      </c>
      <c r="P2948" s="91">
        <v>14401.82</v>
      </c>
      <c r="Q2948" s="42">
        <f>OfficeForms.Table[[#This Row],[ INFORMEDEPAGO ]]*0.3</f>
        <v>14403.821999999998</v>
      </c>
      <c r="R2948" s="12">
        <f>(IF(O2948&lt;4172.98,0,MIN(O2948*0.3,O2948-4172.98)))-P2948</f>
        <v>2.0019999999985885</v>
      </c>
      <c r="S2948" s="78">
        <v>46419</v>
      </c>
      <c r="T2948" s="1"/>
      <c r="V2948" s="1"/>
      <c r="X2948" s="101">
        <v>2</v>
      </c>
    </row>
    <row r="2949" spans="1:24" hidden="1">
      <c r="A2949">
        <v>1356</v>
      </c>
      <c r="B2949" s="2">
        <v>46240.606504629599</v>
      </c>
      <c r="C2949" s="2">
        <v>46240.6086111111</v>
      </c>
      <c r="D2949" s="1" t="s">
        <v>24</v>
      </c>
      <c r="E2949" s="1"/>
      <c r="F2949" s="29">
        <v>46240</v>
      </c>
      <c r="G2949" s="29">
        <v>46232</v>
      </c>
      <c r="H2949" s="1" t="s">
        <v>81</v>
      </c>
      <c r="I2949" s="1" t="s">
        <v>6627</v>
      </c>
      <c r="J2949" s="207"/>
      <c r="K2949" s="176" t="s">
        <v>6628</v>
      </c>
      <c r="L2949" s="62">
        <v>23202184</v>
      </c>
      <c r="M2949" s="102">
        <v>5215535553764</v>
      </c>
      <c r="N2949" s="172" t="s">
        <v>32</v>
      </c>
      <c r="O2949" s="91">
        <v>4315.12</v>
      </c>
      <c r="P2949" s="91"/>
      <c r="Q2949" s="42">
        <f>OfficeForms.Table[[#This Row],[ INFORMEDEPAGO ]]*0.3</f>
        <v>1294.5359999999998</v>
      </c>
      <c r="R2949" s="12">
        <f>(IF(O2949&lt;4172.98,0,MIN(O2949*0.3,O2949-4172.98)))-P2949</f>
        <v>142.14000000000033</v>
      </c>
      <c r="S2949" s="78"/>
      <c r="T2949" s="1"/>
      <c r="V2949" s="1"/>
      <c r="X2949" s="101">
        <v>1</v>
      </c>
    </row>
    <row r="2950" spans="1:24" hidden="1">
      <c r="A2950">
        <v>1357</v>
      </c>
      <c r="B2950" s="2">
        <v>46240.6087037037</v>
      </c>
      <c r="C2950" s="2">
        <v>46240.609270833302</v>
      </c>
      <c r="D2950" s="1" t="s">
        <v>24</v>
      </c>
      <c r="E2950" s="1"/>
      <c r="F2950" s="29">
        <v>46240</v>
      </c>
      <c r="G2950" s="29">
        <v>46240</v>
      </c>
      <c r="H2950" s="1" t="s">
        <v>71</v>
      </c>
      <c r="I2950" s="1" t="s">
        <v>6629</v>
      </c>
      <c r="J2950" s="207" t="s">
        <v>6630</v>
      </c>
      <c r="K2950" s="176"/>
      <c r="L2950" s="62">
        <v>23427626</v>
      </c>
      <c r="M2950" s="102">
        <v>3111097423</v>
      </c>
      <c r="N2950" s="172" t="s">
        <v>37</v>
      </c>
      <c r="O2950" s="91">
        <v>37868.660000000003</v>
      </c>
      <c r="P2950" s="91">
        <v>11359.72</v>
      </c>
      <c r="Q2950" s="42">
        <f>OfficeForms.Table[[#This Row],[ INFORMEDEPAGO ]]*0.3</f>
        <v>11360.598</v>
      </c>
      <c r="R2950" s="12">
        <f>(IF(O2950&lt;4172.98,0,MIN(O2950*0.3,O2950-4172.98)))-P2950</f>
        <v>0.87800000000061118</v>
      </c>
      <c r="S2950" s="78">
        <v>46419</v>
      </c>
      <c r="T2950" s="1"/>
      <c r="V2950" s="1"/>
      <c r="X2950" s="101">
        <v>2</v>
      </c>
    </row>
    <row r="2951" spans="1:24" hidden="1">
      <c r="A2951">
        <v>1358</v>
      </c>
      <c r="B2951" s="2">
        <v>46240.608645833301</v>
      </c>
      <c r="C2951" s="2">
        <v>46240.6102777778</v>
      </c>
      <c r="D2951" s="1" t="s">
        <v>24</v>
      </c>
      <c r="E2951" s="1"/>
      <c r="F2951" s="29">
        <v>46240</v>
      </c>
      <c r="G2951" s="29">
        <v>46233</v>
      </c>
      <c r="H2951" s="1" t="s">
        <v>81</v>
      </c>
      <c r="I2951" s="1" t="s">
        <v>6631</v>
      </c>
      <c r="J2951" s="207"/>
      <c r="K2951" s="176" t="s">
        <v>6632</v>
      </c>
      <c r="L2951" s="62">
        <v>23229690</v>
      </c>
      <c r="M2951" s="102">
        <v>5214773603490</v>
      </c>
      <c r="N2951" s="172" t="s">
        <v>32</v>
      </c>
      <c r="O2951" s="91">
        <f>3064.1+848</f>
        <v>3912.1</v>
      </c>
      <c r="P2951" s="91">
        <v>848</v>
      </c>
      <c r="Q2951" s="42">
        <f>OfficeForms.Table[[#This Row],[ INFORMEDEPAGO ]]*0.3</f>
        <v>1173.6299999999999</v>
      </c>
      <c r="R2951" s="12">
        <f>(IF(O2951&lt;4172.98,0,MIN(O2951*0.3,O2951-4172.98)))-P2951</f>
        <v>-848</v>
      </c>
      <c r="S2951" s="78"/>
      <c r="T2951" s="1"/>
      <c r="V2951" s="1"/>
      <c r="X2951" s="101">
        <v>1</v>
      </c>
    </row>
    <row r="2952" spans="1:24" hidden="1">
      <c r="A2952">
        <v>1359</v>
      </c>
      <c r="B2952" s="2">
        <v>46240.611215277801</v>
      </c>
      <c r="C2952" s="2">
        <v>46240.612037036997</v>
      </c>
      <c r="D2952" s="1" t="s">
        <v>24</v>
      </c>
      <c r="E2952" s="1"/>
      <c r="F2952" s="29">
        <v>46240</v>
      </c>
      <c r="G2952" s="29">
        <v>46240</v>
      </c>
      <c r="H2952" s="1" t="s">
        <v>103</v>
      </c>
      <c r="I2952" s="1" t="s">
        <v>6633</v>
      </c>
      <c r="J2952" s="207">
        <v>71846510916</v>
      </c>
      <c r="K2952" s="176"/>
      <c r="L2952" s="62">
        <v>1</v>
      </c>
      <c r="M2952" s="102">
        <v>9611918568</v>
      </c>
      <c r="N2952" s="172" t="s">
        <v>47</v>
      </c>
      <c r="O2952" s="91">
        <v>9759.42</v>
      </c>
      <c r="P2952" s="91">
        <v>2016.05</v>
      </c>
      <c r="Q2952" s="42">
        <f>OfficeForms.Table[[#This Row],[ INFORMEDEPAGO ]]*0.3</f>
        <v>2927.826</v>
      </c>
      <c r="R2952" s="12">
        <f>(IF(O2952&lt;4172.98,0,MIN(O2952*0.3,O2952-4172.98)))-P2952</f>
        <v>911.77600000000007</v>
      </c>
      <c r="S2952" s="78">
        <v>46661</v>
      </c>
      <c r="T2952" s="1" t="s">
        <v>192</v>
      </c>
      <c r="V2952" s="1"/>
      <c r="X2952" s="101">
        <v>2</v>
      </c>
    </row>
    <row r="2953" spans="1:24" hidden="1">
      <c r="A2953">
        <v>1360</v>
      </c>
      <c r="B2953" s="2">
        <v>46240.597951388903</v>
      </c>
      <c r="C2953" s="2">
        <v>46240.614374999997</v>
      </c>
      <c r="D2953" s="1" t="s">
        <v>24</v>
      </c>
      <c r="E2953" s="1"/>
      <c r="F2953" s="29">
        <v>46240</v>
      </c>
      <c r="G2953" s="29">
        <v>46240</v>
      </c>
      <c r="H2953" s="1" t="s">
        <v>1625</v>
      </c>
      <c r="I2953" s="1" t="s">
        <v>6634</v>
      </c>
      <c r="J2953" s="207">
        <v>17816220762</v>
      </c>
      <c r="K2953" s="176" t="s">
        <v>6635</v>
      </c>
      <c r="L2953" s="62">
        <v>2</v>
      </c>
      <c r="M2953" s="102" t="s">
        <v>6636</v>
      </c>
      <c r="N2953" s="172" t="s">
        <v>263</v>
      </c>
      <c r="O2953" s="91">
        <v>7116.73</v>
      </c>
      <c r="P2953" s="91">
        <v>1781.49</v>
      </c>
      <c r="Q2953" s="42">
        <f>OfficeForms.Table[[#This Row],[ INFORMEDEPAGO ]]*0.3</f>
        <v>2135.0189999999998</v>
      </c>
      <c r="R2953" s="12">
        <f>(IF(O2953&lt;4172.98,0,MIN(O2953*0.3,O2953-4172.98)))-P2953</f>
        <v>353.52899999999977</v>
      </c>
      <c r="S2953" s="74">
        <v>45748</v>
      </c>
      <c r="T2953" s="78" t="s">
        <v>192</v>
      </c>
      <c r="U2953" s="166"/>
      <c r="V2953" s="1"/>
      <c r="X2953" s="101">
        <v>2</v>
      </c>
    </row>
    <row r="2954" spans="1:24" hidden="1">
      <c r="A2954">
        <v>1361</v>
      </c>
      <c r="B2954" s="2">
        <v>46240.6143981481</v>
      </c>
      <c r="C2954" s="2">
        <v>46240.618553240703</v>
      </c>
      <c r="D2954" s="1" t="s">
        <v>24</v>
      </c>
      <c r="E2954" s="1"/>
      <c r="F2954" s="29">
        <v>46240</v>
      </c>
      <c r="G2954" s="29">
        <v>46240</v>
      </c>
      <c r="H2954" s="1" t="s">
        <v>1625</v>
      </c>
      <c r="I2954" s="1" t="s">
        <v>6637</v>
      </c>
      <c r="J2954" s="207">
        <v>54896986590</v>
      </c>
      <c r="K2954" s="176" t="s">
        <v>6579</v>
      </c>
      <c r="L2954" s="62">
        <v>2</v>
      </c>
      <c r="M2954" s="102">
        <v>3222056845</v>
      </c>
      <c r="N2954" s="172" t="s">
        <v>28</v>
      </c>
      <c r="O2954" s="91">
        <v>7135.6</v>
      </c>
      <c r="P2954" s="91"/>
      <c r="Q2954" s="42">
        <f>OfficeForms.Table[[#This Row],[ INFORMEDEPAGO ]]*0.3</f>
        <v>2140.6799999999998</v>
      </c>
      <c r="R2954" s="12">
        <f>(IF(O2954&lt;4172.98,0,MIN(O2954*0.3,O2954-4172.98)))-P2954</f>
        <v>2140.6799999999998</v>
      </c>
      <c r="S2954" s="78"/>
      <c r="T2954" s="1"/>
      <c r="V2954" s="1"/>
      <c r="X2954" s="101">
        <v>1</v>
      </c>
    </row>
    <row r="2955" spans="1:24" hidden="1">
      <c r="A2955">
        <v>1362</v>
      </c>
      <c r="B2955" s="2">
        <v>46240.601087962998</v>
      </c>
      <c r="C2955" s="2">
        <v>46240.6247337963</v>
      </c>
      <c r="D2955" s="1" t="s">
        <v>24</v>
      </c>
      <c r="E2955" s="1"/>
      <c r="F2955" s="29">
        <v>46240</v>
      </c>
      <c r="G2955" s="29">
        <v>46239</v>
      </c>
      <c r="H2955" s="1" t="s">
        <v>269</v>
      </c>
      <c r="I2955" s="1" t="s">
        <v>6638</v>
      </c>
      <c r="J2955" s="207" t="s">
        <v>6639</v>
      </c>
      <c r="K2955" s="176" t="s">
        <v>6640</v>
      </c>
      <c r="L2955" s="62">
        <v>23412494</v>
      </c>
      <c r="M2955" s="102">
        <v>5212297806361</v>
      </c>
      <c r="N2955" s="172" t="s">
        <v>106</v>
      </c>
      <c r="O2955" s="91">
        <v>14096.82</v>
      </c>
      <c r="P2955" s="91">
        <v>4077.54</v>
      </c>
      <c r="Q2955" s="42">
        <f>OfficeForms.Table[[#This Row],[ INFORMEDEPAGO ]]*0.3</f>
        <v>4229.0459999999994</v>
      </c>
      <c r="R2955" s="12">
        <f>(IF(O2955&lt;4172.98,0,MIN(O2955*0.3,O2955-4172.98)))-P2955</f>
        <v>151.5059999999994</v>
      </c>
      <c r="S2955" s="78">
        <v>46174</v>
      </c>
      <c r="T2955" s="1"/>
      <c r="V2955" s="1"/>
      <c r="X2955" s="101">
        <v>2</v>
      </c>
    </row>
    <row r="2956" spans="1:24" hidden="1">
      <c r="A2956">
        <v>1363</v>
      </c>
      <c r="B2956" s="2">
        <v>46240.624976851803</v>
      </c>
      <c r="C2956" s="2">
        <v>46240.627199074101</v>
      </c>
      <c r="D2956" s="1" t="s">
        <v>24</v>
      </c>
      <c r="E2956" s="1"/>
      <c r="F2956" s="29">
        <v>46240</v>
      </c>
      <c r="G2956" s="29">
        <v>46234</v>
      </c>
      <c r="H2956" s="1" t="s">
        <v>269</v>
      </c>
      <c r="I2956" s="1" t="s">
        <v>6641</v>
      </c>
      <c r="J2956" s="175" t="s">
        <v>6642</v>
      </c>
      <c r="K2956" s="176" t="s">
        <v>6643</v>
      </c>
      <c r="L2956" s="62">
        <v>23267596</v>
      </c>
      <c r="M2956" s="102">
        <v>5214448653025</v>
      </c>
      <c r="N2956" s="172" t="s">
        <v>37</v>
      </c>
      <c r="O2956" s="91">
        <v>7920.51</v>
      </c>
      <c r="P2956" s="91">
        <v>2195.5700000000002</v>
      </c>
      <c r="Q2956" s="42">
        <f>OfficeForms.Table[[#This Row],[ INFORMEDEPAGO ]]*0.3</f>
        <v>2376.1529999999998</v>
      </c>
      <c r="R2956" s="12">
        <f>(IF(O2956&lt;4172.98,0,MIN(O2956*0.3,O2956-4172.98)))-P2956</f>
        <v>180.58299999999963</v>
      </c>
      <c r="S2956" s="78">
        <v>46388</v>
      </c>
      <c r="T2956" s="1"/>
      <c r="V2956" s="1"/>
      <c r="X2956" s="101">
        <v>2</v>
      </c>
    </row>
    <row r="2957" spans="1:24" hidden="1">
      <c r="A2957">
        <v>1364</v>
      </c>
      <c r="B2957" s="2">
        <v>46240.6102777778</v>
      </c>
      <c r="C2957" s="2">
        <v>46240.631157407399</v>
      </c>
      <c r="D2957" s="1" t="s">
        <v>24</v>
      </c>
      <c r="E2957" s="1"/>
      <c r="F2957" s="29">
        <v>46240</v>
      </c>
      <c r="G2957" s="29">
        <v>46240</v>
      </c>
      <c r="H2957" s="1" t="s">
        <v>5605</v>
      </c>
      <c r="I2957" s="1" t="s">
        <v>6644</v>
      </c>
      <c r="J2957" s="209" t="s">
        <v>6645</v>
      </c>
      <c r="K2957" s="176"/>
      <c r="L2957" s="62">
        <v>23427692</v>
      </c>
      <c r="M2957" s="102">
        <v>4495429412</v>
      </c>
      <c r="N2957" s="172" t="s">
        <v>47</v>
      </c>
      <c r="O2957" s="91">
        <v>9185.5300000000007</v>
      </c>
      <c r="P2957" s="91">
        <v>2050</v>
      </c>
      <c r="Q2957" s="42">
        <f>OfficeForms.Table[[#This Row],[ INFORMEDEPAGO ]]*0.3</f>
        <v>2755.6590000000001</v>
      </c>
      <c r="R2957" s="12">
        <f t="shared" ref="R2957:R2959" si="0">(IF(O2957&lt;4172.98,0,MIN(O2957*0.3,O2957-4172.98)))-P2957</f>
        <v>705.65900000000011</v>
      </c>
      <c r="S2957" s="78">
        <v>46296</v>
      </c>
      <c r="T2957" s="1"/>
      <c r="V2957" s="1"/>
      <c r="X2957" s="101">
        <v>2</v>
      </c>
    </row>
    <row r="2958" spans="1:24" hidden="1">
      <c r="A2958">
        <v>1365</v>
      </c>
      <c r="B2958" s="2">
        <v>46240.633136574099</v>
      </c>
      <c r="C2958" s="2">
        <v>46240.633599537003</v>
      </c>
      <c r="D2958" s="1" t="s">
        <v>24</v>
      </c>
      <c r="E2958" s="1"/>
      <c r="F2958" s="29">
        <v>46240</v>
      </c>
      <c r="G2958" s="29">
        <v>46240</v>
      </c>
      <c r="H2958" s="1" t="s">
        <v>26</v>
      </c>
      <c r="I2958" s="1" t="s">
        <v>6646</v>
      </c>
      <c r="J2958" s="175">
        <v>13846410176</v>
      </c>
      <c r="K2958" s="176"/>
      <c r="L2958" s="62">
        <v>23428258</v>
      </c>
      <c r="M2958" s="102">
        <v>5217712210473</v>
      </c>
      <c r="N2958" s="172" t="s">
        <v>37</v>
      </c>
      <c r="O2958" s="91">
        <v>9081.52</v>
      </c>
      <c r="P2958" s="91">
        <v>2623.72</v>
      </c>
      <c r="Q2958" s="42">
        <f>OfficeForms.Table[[#This Row],[ INFORMEDEPAGO ]]*0.3</f>
        <v>2724.4560000000001</v>
      </c>
      <c r="R2958" s="12">
        <f t="shared" si="0"/>
        <v>100.73600000000033</v>
      </c>
      <c r="S2958" s="78">
        <v>46419</v>
      </c>
      <c r="T2958" s="1"/>
      <c r="V2958" s="1"/>
      <c r="X2958" s="101">
        <v>2</v>
      </c>
    </row>
    <row r="2959" spans="1:24" hidden="1">
      <c r="A2959">
        <v>1366</v>
      </c>
      <c r="B2959" s="2">
        <v>46240.639398148203</v>
      </c>
      <c r="C2959" s="2">
        <v>46240.642835648097</v>
      </c>
      <c r="D2959" s="1" t="s">
        <v>24</v>
      </c>
      <c r="E2959" s="1"/>
      <c r="F2959" s="29">
        <v>46240</v>
      </c>
      <c r="G2959" s="29">
        <v>46238</v>
      </c>
      <c r="H2959" s="1" t="s">
        <v>160</v>
      </c>
      <c r="I2959" s="1" t="s">
        <v>6647</v>
      </c>
      <c r="J2959" s="175">
        <v>78866415314</v>
      </c>
      <c r="K2959" s="176" t="s">
        <v>6648</v>
      </c>
      <c r="L2959" s="62">
        <v>23367392</v>
      </c>
      <c r="M2959" s="102">
        <v>5219511779936</v>
      </c>
      <c r="N2959" s="172" t="s">
        <v>28</v>
      </c>
      <c r="O2959" s="91">
        <v>10636.34</v>
      </c>
      <c r="P2959" s="91"/>
      <c r="Q2959" s="42">
        <f>OfficeForms.Table[[#This Row],[ INFORMEDEPAGO ]]*0.3</f>
        <v>3190.902</v>
      </c>
      <c r="R2959" s="12">
        <f t="shared" si="0"/>
        <v>3190.902</v>
      </c>
      <c r="S2959" s="78"/>
      <c r="T2959" s="1"/>
      <c r="V2959" s="1"/>
      <c r="X2959" s="101">
        <v>1</v>
      </c>
    </row>
    <row r="2960" spans="1:24" hidden="1">
      <c r="A2960">
        <v>1368</v>
      </c>
      <c r="B2960" s="2">
        <v>46240.649687500001</v>
      </c>
      <c r="C2960" s="2">
        <v>46240.650219907402</v>
      </c>
      <c r="D2960" s="1" t="s">
        <v>24</v>
      </c>
      <c r="E2960" s="1"/>
      <c r="F2960" s="29">
        <v>46240</v>
      </c>
      <c r="G2960" s="29">
        <v>46240</v>
      </c>
      <c r="H2960" s="1" t="s">
        <v>26</v>
      </c>
      <c r="I2960" s="1" t="s">
        <v>6649</v>
      </c>
      <c r="J2960" s="175" t="s">
        <v>6650</v>
      </c>
      <c r="K2960" s="176" t="s">
        <v>6651</v>
      </c>
      <c r="L2960" s="62">
        <v>23426794</v>
      </c>
      <c r="M2960" s="102">
        <v>5215549472369</v>
      </c>
      <c r="N2960" s="172" t="s">
        <v>74</v>
      </c>
      <c r="O2960" s="91"/>
      <c r="P2960" s="91"/>
      <c r="Q2960" s="42">
        <f>OfficeForms.Table[[#This Row],[ INFORMEDEPAGO ]]*0.3</f>
        <v>0</v>
      </c>
      <c r="R2960" s="12">
        <f t="shared" ref="R2960:R2966" si="1">(IF(O2960&lt;4172.98,0,MIN(O2960*0.3,O2960-4172.98)))-P2960</f>
        <v>0</v>
      </c>
      <c r="S2960" s="78"/>
      <c r="T2960" s="1"/>
      <c r="V2960" s="1"/>
      <c r="X2960" s="101">
        <v>1</v>
      </c>
    </row>
    <row r="2961" spans="1:24" hidden="1">
      <c r="A2961">
        <v>1369</v>
      </c>
      <c r="B2961" s="2">
        <v>46240.649861111102</v>
      </c>
      <c r="C2961" s="2">
        <v>46240.651678240698</v>
      </c>
      <c r="D2961" s="1" t="s">
        <v>24</v>
      </c>
      <c r="E2961" s="1"/>
      <c r="F2961" s="29">
        <v>46240</v>
      </c>
      <c r="G2961" s="29">
        <v>46240</v>
      </c>
      <c r="H2961" s="1" t="s">
        <v>107</v>
      </c>
      <c r="I2961" s="1" t="s">
        <v>6652</v>
      </c>
      <c r="J2961" s="175"/>
      <c r="K2961" s="176" t="s">
        <v>6653</v>
      </c>
      <c r="L2961" s="62">
        <v>23427370</v>
      </c>
      <c r="M2961" s="102">
        <v>9625112525</v>
      </c>
      <c r="N2961" s="172" t="s">
        <v>37</v>
      </c>
      <c r="O2961" s="91">
        <v>9760.26</v>
      </c>
      <c r="P2961" s="91">
        <v>2716.5</v>
      </c>
      <c r="Q2961" s="42">
        <f>OfficeForms.Table[[#This Row],[ INFORMEDEPAGO ]]*0.3</f>
        <v>2928.078</v>
      </c>
      <c r="R2961" s="12">
        <f t="shared" si="1"/>
        <v>211.57799999999997</v>
      </c>
      <c r="S2961" s="78">
        <v>46753</v>
      </c>
      <c r="T2961" s="1"/>
      <c r="V2961" s="1"/>
      <c r="X2961" s="101">
        <v>2</v>
      </c>
    </row>
    <row r="2962" spans="1:24" hidden="1">
      <c r="A2962">
        <v>1370</v>
      </c>
      <c r="B2962" s="2">
        <v>46240.654756944401</v>
      </c>
      <c r="C2962" s="2">
        <v>46240.655636574098</v>
      </c>
      <c r="D2962" s="1" t="s">
        <v>24</v>
      </c>
      <c r="E2962" s="1"/>
      <c r="F2962" s="29">
        <v>46240</v>
      </c>
      <c r="G2962" s="29">
        <v>46240</v>
      </c>
      <c r="H2962" s="1" t="s">
        <v>5691</v>
      </c>
      <c r="I2962" s="1" t="s">
        <v>6654</v>
      </c>
      <c r="J2962" s="175"/>
      <c r="K2962" s="176" t="s">
        <v>6655</v>
      </c>
      <c r="L2962" s="62">
        <v>23428196</v>
      </c>
      <c r="M2962" s="102">
        <v>6679956031</v>
      </c>
      <c r="N2962" s="172" t="s">
        <v>37</v>
      </c>
      <c r="O2962" s="91">
        <v>8539.89</v>
      </c>
      <c r="P2962" s="91">
        <v>2445.17</v>
      </c>
      <c r="Q2962" s="42">
        <f>OfficeForms.Table[[#This Row],[ INFORMEDEPAGO ]]*0.3</f>
        <v>2561.9669999999996</v>
      </c>
      <c r="R2962" s="12">
        <f t="shared" si="1"/>
        <v>116.79699999999957</v>
      </c>
      <c r="S2962" s="78">
        <v>46539</v>
      </c>
      <c r="T2962" s="1"/>
      <c r="V2962" s="1"/>
      <c r="X2962" s="101">
        <v>2</v>
      </c>
    </row>
    <row r="2963" spans="1:24" hidden="1">
      <c r="A2963">
        <v>1371</v>
      </c>
      <c r="B2963" s="2">
        <v>46240.656863425902</v>
      </c>
      <c r="C2963" s="2">
        <v>46240.657361111102</v>
      </c>
      <c r="D2963" s="1" t="s">
        <v>24</v>
      </c>
      <c r="E2963" s="1"/>
      <c r="F2963" s="29">
        <v>46240</v>
      </c>
      <c r="G2963" s="29">
        <v>46240</v>
      </c>
      <c r="H2963" s="1" t="s">
        <v>269</v>
      </c>
      <c r="I2963" s="1" t="s">
        <v>6656</v>
      </c>
      <c r="J2963" s="207" t="s">
        <v>6657</v>
      </c>
      <c r="K2963" s="176" t="s">
        <v>6658</v>
      </c>
      <c r="L2963" s="62">
        <v>23429906</v>
      </c>
      <c r="M2963" s="102">
        <v>5216674982076</v>
      </c>
      <c r="N2963" s="172" t="s">
        <v>263</v>
      </c>
      <c r="O2963" s="91">
        <v>6262.86</v>
      </c>
      <c r="P2963" s="91">
        <v>1532.08</v>
      </c>
      <c r="Q2963" s="42">
        <f>OfficeForms.Table[[#This Row],[ INFORMEDEPAGO ]]*0.3</f>
        <v>1878.8579999999997</v>
      </c>
      <c r="R2963" s="12">
        <f t="shared" si="1"/>
        <v>346.77799999999979</v>
      </c>
      <c r="S2963" s="78">
        <v>45566</v>
      </c>
      <c r="T2963" s="1" t="s">
        <v>192</v>
      </c>
      <c r="V2963" s="1"/>
      <c r="X2963" s="101">
        <v>2</v>
      </c>
    </row>
    <row r="2964" spans="1:24" hidden="1">
      <c r="A2964">
        <v>1372</v>
      </c>
      <c r="B2964" s="2">
        <v>46240.658020833303</v>
      </c>
      <c r="C2964" s="2">
        <v>46240.659108796302</v>
      </c>
      <c r="D2964" s="1" t="s">
        <v>24</v>
      </c>
      <c r="E2964" s="1"/>
      <c r="F2964" s="29">
        <v>46240</v>
      </c>
      <c r="G2964" s="29">
        <v>46240</v>
      </c>
      <c r="H2964" s="1" t="s">
        <v>5691</v>
      </c>
      <c r="I2964" s="1" t="s">
        <v>6659</v>
      </c>
      <c r="J2964" s="175"/>
      <c r="K2964" s="176" t="s">
        <v>6660</v>
      </c>
      <c r="L2964" s="62">
        <v>23425286</v>
      </c>
      <c r="M2964" s="102">
        <v>8112778709</v>
      </c>
      <c r="N2964" s="172" t="s">
        <v>37</v>
      </c>
      <c r="O2964" s="91">
        <v>10171.24</v>
      </c>
      <c r="P2964" s="91">
        <v>2941.58</v>
      </c>
      <c r="Q2964" s="42">
        <f>OfficeForms.Table[[#This Row],[ INFORMEDEPAGO ]]*0.3</f>
        <v>3051.3719999999998</v>
      </c>
      <c r="R2964" s="12">
        <f t="shared" si="1"/>
        <v>109.79199999999992</v>
      </c>
      <c r="S2964" s="78">
        <v>46447</v>
      </c>
      <c r="T2964" s="1"/>
      <c r="V2964" s="1"/>
      <c r="X2964" s="101">
        <v>2</v>
      </c>
    </row>
    <row r="2965" spans="1:24" hidden="1">
      <c r="A2965">
        <v>1373</v>
      </c>
      <c r="B2965" s="2">
        <v>46240.659375000003</v>
      </c>
      <c r="C2965" s="2">
        <v>46240.661377314798</v>
      </c>
      <c r="D2965" s="1" t="s">
        <v>24</v>
      </c>
      <c r="E2965" s="1"/>
      <c r="F2965" s="29">
        <v>46240</v>
      </c>
      <c r="G2965" s="29">
        <v>46240</v>
      </c>
      <c r="H2965" s="1" t="s">
        <v>5605</v>
      </c>
      <c r="I2965" s="1" t="s">
        <v>6661</v>
      </c>
      <c r="J2965" s="175">
        <v>52897126497</v>
      </c>
      <c r="K2965" s="176" t="s">
        <v>6662</v>
      </c>
      <c r="L2965" s="62">
        <v>23426414</v>
      </c>
      <c r="M2965" s="102">
        <v>3310113134</v>
      </c>
      <c r="N2965" s="172" t="s">
        <v>37</v>
      </c>
      <c r="O2965" s="91">
        <v>5979.95</v>
      </c>
      <c r="P2965" s="91">
        <v>1782.72</v>
      </c>
      <c r="Q2965" s="42">
        <f>OfficeForms.Table[[#This Row],[ INFORMEDEPAGO ]]*0.3</f>
        <v>1793.9849999999999</v>
      </c>
      <c r="R2965" s="12">
        <f t="shared" si="1"/>
        <v>11.264999999999873</v>
      </c>
      <c r="S2965" s="78">
        <v>46935</v>
      </c>
      <c r="T2965" s="1"/>
      <c r="V2965" s="1"/>
      <c r="X2965" s="101">
        <v>2</v>
      </c>
    </row>
    <row r="2966" spans="1:24" hidden="1">
      <c r="A2966">
        <v>1374</v>
      </c>
      <c r="B2966" s="2">
        <v>46240.664305555598</v>
      </c>
      <c r="C2966" s="2">
        <v>46240.670868055597</v>
      </c>
      <c r="D2966" s="1" t="s">
        <v>24</v>
      </c>
      <c r="E2966" s="1"/>
      <c r="F2966" s="29">
        <v>46240</v>
      </c>
      <c r="G2966" s="29">
        <v>46240</v>
      </c>
      <c r="H2966" s="1" t="s">
        <v>6663</v>
      </c>
      <c r="I2966" s="1" t="s">
        <v>6664</v>
      </c>
      <c r="J2966" s="175">
        <v>65654914582</v>
      </c>
      <c r="K2966" s="176" t="s">
        <v>6665</v>
      </c>
      <c r="L2966" s="62">
        <v>23423424</v>
      </c>
      <c r="M2966" s="102">
        <v>5216651138768</v>
      </c>
      <c r="N2966" s="172" t="s">
        <v>37</v>
      </c>
      <c r="O2966" s="91">
        <v>9190.26</v>
      </c>
      <c r="P2966" s="91">
        <v>2655</v>
      </c>
      <c r="Q2966" s="42">
        <f>OfficeForms.Table[[#This Row],[ INFORMEDEPAGO ]]*0.3</f>
        <v>2757.078</v>
      </c>
      <c r="R2966" s="12">
        <f t="shared" si="1"/>
        <v>102.07799999999997</v>
      </c>
      <c r="S2966" s="78">
        <v>46447</v>
      </c>
      <c r="T2966" s="1"/>
      <c r="V2966" s="1"/>
      <c r="X2966" s="101">
        <v>2</v>
      </c>
    </row>
    <row r="2967" spans="1:24" hidden="1">
      <c r="A2967">
        <v>1375</v>
      </c>
      <c r="B2967" s="2">
        <v>46240.668564814798</v>
      </c>
      <c r="C2967" s="2">
        <v>46240.679178240702</v>
      </c>
      <c r="D2967" s="1" t="s">
        <v>24</v>
      </c>
      <c r="E2967" s="1"/>
      <c r="F2967" s="29">
        <v>46240</v>
      </c>
      <c r="G2967" s="29">
        <v>46239</v>
      </c>
      <c r="H2967" s="1" t="s">
        <v>78</v>
      </c>
      <c r="I2967" s="1" t="s">
        <v>6666</v>
      </c>
      <c r="J2967" s="175" t="s">
        <v>6667</v>
      </c>
      <c r="K2967" s="176" t="s">
        <v>6668</v>
      </c>
      <c r="L2967" s="62">
        <v>23411740</v>
      </c>
      <c r="M2967" s="102">
        <v>5219211244326</v>
      </c>
      <c r="N2967" s="172" t="s">
        <v>28</v>
      </c>
      <c r="O2967" s="91">
        <v>9793.09</v>
      </c>
      <c r="P2967" s="91"/>
      <c r="Q2967" s="42">
        <f>OfficeForms.Table[[#This Row],[ INFORMEDEPAGO ]]*0.3</f>
        <v>2937.9270000000001</v>
      </c>
      <c r="R2967" s="12">
        <f t="shared" ref="R2967:R2973" si="2">(IF(O2967&lt;4172.98,0,MIN(O2967*0.3,O2967-4172.98)))-P2967</f>
        <v>2937.9270000000001</v>
      </c>
      <c r="S2967" s="78"/>
      <c r="T2967" s="1"/>
      <c r="V2967" s="1"/>
      <c r="X2967" s="101">
        <v>1</v>
      </c>
    </row>
    <row r="2968" spans="1:24" hidden="1">
      <c r="A2968">
        <v>1376</v>
      </c>
      <c r="B2968" s="2">
        <v>46240.678726851896</v>
      </c>
      <c r="C2968" s="2">
        <v>46240.680416666699</v>
      </c>
      <c r="D2968" s="1" t="s">
        <v>24</v>
      </c>
      <c r="E2968" s="1"/>
      <c r="F2968" s="29">
        <v>46240</v>
      </c>
      <c r="G2968" s="29">
        <v>46240</v>
      </c>
      <c r="H2968" s="1" t="s">
        <v>3352</v>
      </c>
      <c r="I2968" s="1" t="s">
        <v>6669</v>
      </c>
      <c r="J2968" s="175" t="s">
        <v>6670</v>
      </c>
      <c r="K2968" s="176" t="s">
        <v>6671</v>
      </c>
      <c r="L2968" s="62">
        <v>23430738</v>
      </c>
      <c r="M2968" s="102">
        <v>8131922339</v>
      </c>
      <c r="N2968" s="172" t="s">
        <v>37</v>
      </c>
      <c r="O2968" s="91">
        <v>7210.97</v>
      </c>
      <c r="P2968" s="91">
        <v>2154.9499999999998</v>
      </c>
      <c r="Q2968" s="42">
        <f>OfficeForms.Table[[#This Row],[ INFORMEDEPAGO ]]*0.3</f>
        <v>2163.2910000000002</v>
      </c>
      <c r="R2968" s="12">
        <f t="shared" si="2"/>
        <v>8.3410000000003492</v>
      </c>
      <c r="S2968" s="78">
        <v>46508</v>
      </c>
      <c r="T2968" s="1"/>
      <c r="V2968" s="1"/>
      <c r="X2968" s="101">
        <v>2</v>
      </c>
    </row>
    <row r="2969" spans="1:24" hidden="1">
      <c r="A2969">
        <v>1377</v>
      </c>
      <c r="B2969" s="2">
        <v>46240.679467592599</v>
      </c>
      <c r="C2969" s="2">
        <v>46240.6819328704</v>
      </c>
      <c r="D2969" s="1" t="s">
        <v>24</v>
      </c>
      <c r="E2969" s="1"/>
      <c r="F2969" s="29">
        <v>46240</v>
      </c>
      <c r="G2969" s="29">
        <v>46238</v>
      </c>
      <c r="H2969" s="1" t="s">
        <v>160</v>
      </c>
      <c r="I2969" s="1" t="s">
        <v>6672</v>
      </c>
      <c r="J2969" s="175">
        <v>24826125874</v>
      </c>
      <c r="K2969" s="176" t="s">
        <v>6673</v>
      </c>
      <c r="L2969" s="62">
        <v>23360864</v>
      </c>
      <c r="M2969" s="102">
        <v>5216622297306</v>
      </c>
      <c r="N2969" s="172" t="s">
        <v>28</v>
      </c>
      <c r="O2969" s="91">
        <f>7265.78+848</f>
        <v>8113.78</v>
      </c>
      <c r="P2969" s="91">
        <v>848</v>
      </c>
      <c r="Q2969" s="42">
        <f>OfficeForms.Table[[#This Row],[ INFORMEDEPAGO ]]*0.3</f>
        <v>2434.134</v>
      </c>
      <c r="R2969" s="12">
        <f t="shared" si="2"/>
        <v>1586.134</v>
      </c>
      <c r="S2969" s="78"/>
      <c r="T2969" s="1"/>
      <c r="V2969" s="1"/>
      <c r="X2969" s="101">
        <v>1</v>
      </c>
    </row>
    <row r="2970" spans="1:24" hidden="1">
      <c r="A2970">
        <v>1378</v>
      </c>
      <c r="B2970" s="2">
        <v>46240.680798611102</v>
      </c>
      <c r="C2970" s="2">
        <v>46240.683055555601</v>
      </c>
      <c r="D2970" s="1" t="s">
        <v>24</v>
      </c>
      <c r="E2970" s="1"/>
      <c r="F2970" s="29">
        <v>46240</v>
      </c>
      <c r="G2970" s="29">
        <v>46240</v>
      </c>
      <c r="H2970" s="1" t="s">
        <v>5605</v>
      </c>
      <c r="I2970" s="1" t="s">
        <v>6674</v>
      </c>
      <c r="J2970" s="175"/>
      <c r="K2970" s="176" t="s">
        <v>6675</v>
      </c>
      <c r="L2970" s="62">
        <v>23427018</v>
      </c>
      <c r="M2970" s="102">
        <v>2224814943</v>
      </c>
      <c r="N2970" s="172" t="s">
        <v>37</v>
      </c>
      <c r="O2970" s="91">
        <v>7920.51</v>
      </c>
      <c r="P2970" s="91">
        <v>2266.16</v>
      </c>
      <c r="Q2970" s="42">
        <f>OfficeForms.Table[[#This Row],[ INFORMEDEPAGO ]]*0.3</f>
        <v>2376.1529999999998</v>
      </c>
      <c r="R2970" s="12">
        <f t="shared" si="2"/>
        <v>109.99299999999994</v>
      </c>
      <c r="S2970" s="78">
        <v>46266</v>
      </c>
      <c r="T2970" s="1"/>
      <c r="V2970" s="1"/>
      <c r="X2970" s="101">
        <v>2</v>
      </c>
    </row>
    <row r="2971" spans="1:24" hidden="1">
      <c r="A2971">
        <v>1379</v>
      </c>
      <c r="B2971" s="2">
        <v>46240.682974536998</v>
      </c>
      <c r="C2971" s="2">
        <v>46240.684479166703</v>
      </c>
      <c r="D2971" s="1" t="s">
        <v>24</v>
      </c>
      <c r="E2971" s="1"/>
      <c r="F2971" s="29">
        <v>46240</v>
      </c>
      <c r="G2971" s="29">
        <v>46240</v>
      </c>
      <c r="H2971" s="1" t="s">
        <v>71</v>
      </c>
      <c r="I2971" s="1" t="s">
        <v>6676</v>
      </c>
      <c r="J2971" s="175" t="s">
        <v>6677</v>
      </c>
      <c r="K2971" s="176"/>
      <c r="L2971" s="62">
        <v>23429860</v>
      </c>
      <c r="M2971" s="102">
        <v>8140080523</v>
      </c>
      <c r="N2971" s="172" t="s">
        <v>28</v>
      </c>
      <c r="O2971" s="91">
        <v>9582.4699999999993</v>
      </c>
      <c r="P2971" s="91"/>
      <c r="Q2971" s="42">
        <f>OfficeForms.Table[[#This Row],[ INFORMEDEPAGO ]]*0.3</f>
        <v>2874.7409999999995</v>
      </c>
      <c r="R2971" s="12">
        <f t="shared" si="2"/>
        <v>2874.7409999999995</v>
      </c>
      <c r="S2971" s="78"/>
      <c r="T2971" s="1"/>
      <c r="V2971" s="1"/>
      <c r="X2971" s="101">
        <v>1</v>
      </c>
    </row>
    <row r="2972" spans="1:24" hidden="1">
      <c r="A2972">
        <v>1380</v>
      </c>
      <c r="B2972" s="2">
        <v>46240.684259259302</v>
      </c>
      <c r="C2972" s="2">
        <v>46240.685844907399</v>
      </c>
      <c r="D2972" s="1" t="s">
        <v>24</v>
      </c>
      <c r="E2972" s="1"/>
      <c r="F2972" s="29">
        <v>46240</v>
      </c>
      <c r="G2972" s="29">
        <v>46235</v>
      </c>
      <c r="H2972" s="1" t="s">
        <v>5691</v>
      </c>
      <c r="I2972" s="1" t="s">
        <v>6678</v>
      </c>
      <c r="J2972" s="175"/>
      <c r="K2972" s="176" t="s">
        <v>6679</v>
      </c>
      <c r="L2972" s="62">
        <v>23286080</v>
      </c>
      <c r="M2972" s="102">
        <v>2381223985</v>
      </c>
      <c r="N2972" s="171" t="s">
        <v>28</v>
      </c>
      <c r="O2972" s="91">
        <v>25151.41</v>
      </c>
      <c r="P2972" s="91"/>
      <c r="Q2972" s="42">
        <f>OfficeForms.Table[[#This Row],[ INFORMEDEPAGO ]]*0.3</f>
        <v>7545.4229999999998</v>
      </c>
      <c r="R2972" s="12">
        <f t="shared" si="2"/>
        <v>7545.4229999999998</v>
      </c>
      <c r="S2972" s="78"/>
      <c r="T2972" s="1"/>
      <c r="V2972" s="1"/>
      <c r="X2972" s="101">
        <v>1</v>
      </c>
    </row>
    <row r="2973" spans="1:24" hidden="1">
      <c r="A2973">
        <v>1381</v>
      </c>
      <c r="B2973" s="2">
        <v>46240.597013888902</v>
      </c>
      <c r="C2973" s="2">
        <v>46240.686365740701</v>
      </c>
      <c r="D2973" s="1" t="s">
        <v>24</v>
      </c>
      <c r="E2973" s="1"/>
      <c r="F2973" s="29">
        <v>46240</v>
      </c>
      <c r="G2973" s="29">
        <v>46240</v>
      </c>
      <c r="H2973" s="1" t="s">
        <v>51</v>
      </c>
      <c r="I2973" s="1" t="s">
        <v>6680</v>
      </c>
      <c r="J2973" s="175">
        <v>67865600596</v>
      </c>
      <c r="K2973" s="176" t="s">
        <v>6681</v>
      </c>
      <c r="L2973" s="62">
        <v>23414994</v>
      </c>
      <c r="M2973" s="102">
        <v>5212721304531</v>
      </c>
      <c r="N2973" s="172" t="s">
        <v>28</v>
      </c>
      <c r="O2973" s="91">
        <f>26512.74-10548</f>
        <v>15964.740000000002</v>
      </c>
      <c r="P2973" s="91">
        <v>848</v>
      </c>
      <c r="Q2973" s="42">
        <f>OfficeForms.Table[[#This Row],[ INFORMEDEPAGO ]]*0.3</f>
        <v>4789.4220000000005</v>
      </c>
      <c r="R2973" s="12">
        <f t="shared" si="2"/>
        <v>3941.4220000000005</v>
      </c>
      <c r="S2973" s="78"/>
      <c r="T2973" s="1"/>
      <c r="V2973" s="1"/>
      <c r="X2973" s="101">
        <v>1</v>
      </c>
    </row>
    <row r="2974" spans="1:24" hidden="1">
      <c r="A2974">
        <v>1382</v>
      </c>
      <c r="B2974" s="2">
        <v>46240.687673611101</v>
      </c>
      <c r="C2974" s="2">
        <v>46240.688796296301</v>
      </c>
      <c r="D2974" s="1" t="s">
        <v>24</v>
      </c>
      <c r="E2974" s="1"/>
      <c r="F2974" s="29">
        <v>46240</v>
      </c>
      <c r="G2974" s="29">
        <v>46240</v>
      </c>
      <c r="H2974" s="1" t="s">
        <v>71</v>
      </c>
      <c r="I2974" s="1" t="s">
        <v>6682</v>
      </c>
      <c r="J2974" s="175" t="s">
        <v>6683</v>
      </c>
      <c r="K2974" s="176"/>
      <c r="L2974" s="62">
        <v>23430870</v>
      </c>
      <c r="M2974" s="62">
        <v>23430870</v>
      </c>
      <c r="N2974" s="172" t="s">
        <v>32</v>
      </c>
      <c r="O2974" s="91">
        <v>3855.23</v>
      </c>
      <c r="P2974" s="91"/>
      <c r="Q2974" s="42">
        <f>OfficeForms.Table[[#This Row],[ INFORMEDEPAGO ]]*0.3</f>
        <v>1156.569</v>
      </c>
      <c r="R2974" s="12">
        <f t="shared" ref="R2974:R2978" si="3">(IF(O2974&lt;4172.98,0,MIN(O2974*0.3,O2974-4172.98)))-P2974</f>
        <v>0</v>
      </c>
      <c r="S2974" s="78"/>
      <c r="T2974" s="1"/>
      <c r="V2974" s="1"/>
      <c r="X2974" s="101">
        <v>1</v>
      </c>
    </row>
    <row r="2975" spans="1:24" hidden="1">
      <c r="A2975">
        <v>1383</v>
      </c>
      <c r="B2975" s="2">
        <v>46240.692384259302</v>
      </c>
      <c r="C2975" s="2">
        <v>46240.693506944401</v>
      </c>
      <c r="D2975" s="1" t="s">
        <v>24</v>
      </c>
      <c r="E2975" s="1"/>
      <c r="F2975" s="29">
        <v>46240</v>
      </c>
      <c r="G2975" s="29">
        <v>46240</v>
      </c>
      <c r="H2975" s="1" t="s">
        <v>135</v>
      </c>
      <c r="I2975" s="1" t="s">
        <v>6684</v>
      </c>
      <c r="J2975" s="175" t="s">
        <v>6685</v>
      </c>
      <c r="K2975" s="176" t="s">
        <v>6686</v>
      </c>
      <c r="L2975" s="62">
        <v>22149608</v>
      </c>
      <c r="M2975" s="102">
        <v>5213323535588</v>
      </c>
      <c r="N2975" s="172" t="s">
        <v>37</v>
      </c>
      <c r="O2975" s="91">
        <v>9760.32</v>
      </c>
      <c r="P2975" s="91">
        <v>2823.89</v>
      </c>
      <c r="Q2975" s="42">
        <f>OfficeForms.Table[[#This Row],[ INFORMEDEPAGO ]]*0.3</f>
        <v>2928.096</v>
      </c>
      <c r="R2975" s="12">
        <f t="shared" si="3"/>
        <v>104.20600000000013</v>
      </c>
      <c r="S2975" s="78">
        <v>46569</v>
      </c>
      <c r="T2975" s="1"/>
      <c r="V2975" s="1"/>
      <c r="X2975" s="101">
        <v>2</v>
      </c>
    </row>
    <row r="2976" spans="1:24" hidden="1">
      <c r="A2976">
        <v>1384</v>
      </c>
      <c r="B2976" s="2">
        <v>46240.695023148102</v>
      </c>
      <c r="C2976" s="2">
        <v>46240.696307870399</v>
      </c>
      <c r="D2976" s="1" t="s">
        <v>24</v>
      </c>
      <c r="E2976" s="1"/>
      <c r="F2976" s="29">
        <v>46240</v>
      </c>
      <c r="G2976" s="29">
        <v>46237</v>
      </c>
      <c r="H2976" s="1" t="s">
        <v>3452</v>
      </c>
      <c r="I2976" s="1" t="s">
        <v>6687</v>
      </c>
      <c r="J2976" s="175">
        <v>42856614781</v>
      </c>
      <c r="K2976" s="176"/>
      <c r="L2976" s="62">
        <v>23317316</v>
      </c>
      <c r="M2976" s="102">
        <v>3319279330</v>
      </c>
      <c r="N2976" s="172" t="s">
        <v>74</v>
      </c>
      <c r="O2976" s="91"/>
      <c r="P2976" s="91"/>
      <c r="Q2976" s="42">
        <f>OfficeForms.Table[[#This Row],[ INFORMEDEPAGO ]]*0.3</f>
        <v>0</v>
      </c>
      <c r="R2976" s="12">
        <f t="shared" si="3"/>
        <v>0</v>
      </c>
      <c r="S2976" s="78"/>
      <c r="T2976" s="1"/>
      <c r="V2976" s="1"/>
      <c r="X2976" s="101">
        <v>1</v>
      </c>
    </row>
    <row r="2977" spans="1:24" hidden="1">
      <c r="A2977">
        <v>1385</v>
      </c>
      <c r="B2977" s="2">
        <v>46240.699837963002</v>
      </c>
      <c r="C2977" s="2">
        <v>46240.700682870403</v>
      </c>
      <c r="D2977" s="1" t="s">
        <v>24</v>
      </c>
      <c r="E2977" s="1"/>
      <c r="F2977" s="29">
        <v>46240</v>
      </c>
      <c r="G2977" s="29">
        <v>46240</v>
      </c>
      <c r="H2977" s="1" t="s">
        <v>110</v>
      </c>
      <c r="I2977" s="1" t="s">
        <v>6688</v>
      </c>
      <c r="J2977" s="175">
        <v>81927308379</v>
      </c>
      <c r="K2977" s="176" t="s">
        <v>6689</v>
      </c>
      <c r="L2977" s="62">
        <v>23427276</v>
      </c>
      <c r="M2977" s="102">
        <v>5219381514955</v>
      </c>
      <c r="N2977" s="172" t="s">
        <v>37</v>
      </c>
      <c r="O2977" s="91">
        <v>9454.2199999999993</v>
      </c>
      <c r="P2977" s="91">
        <v>2746.34</v>
      </c>
      <c r="Q2977" s="42">
        <f>OfficeForms.Table[[#This Row],[ INFORMEDEPAGO ]]*0.3</f>
        <v>2836.2659999999996</v>
      </c>
      <c r="R2977" s="12">
        <f t="shared" si="3"/>
        <v>89.925999999999476</v>
      </c>
      <c r="S2977" s="78">
        <v>46813</v>
      </c>
      <c r="T2977" s="1"/>
      <c r="V2977" s="1"/>
      <c r="X2977" s="101">
        <v>2</v>
      </c>
    </row>
    <row r="2978" spans="1:24" hidden="1">
      <c r="A2978">
        <v>1386</v>
      </c>
      <c r="B2978" s="2">
        <v>46240.700254629599</v>
      </c>
      <c r="C2978" s="2">
        <v>46240.702349537001</v>
      </c>
      <c r="D2978" s="1" t="s">
        <v>24</v>
      </c>
      <c r="E2978" s="1"/>
      <c r="F2978" s="29">
        <v>46240</v>
      </c>
      <c r="G2978" s="29">
        <v>46240</v>
      </c>
      <c r="H2978" s="1" t="s">
        <v>5605</v>
      </c>
      <c r="I2978" s="1" t="s">
        <v>6690</v>
      </c>
      <c r="J2978" s="175" t="s">
        <v>6618</v>
      </c>
      <c r="K2978" s="176" t="s">
        <v>6691</v>
      </c>
      <c r="L2978" s="62">
        <v>23424160</v>
      </c>
      <c r="M2978" s="102">
        <v>4521457130</v>
      </c>
      <c r="N2978" s="172" t="s">
        <v>32</v>
      </c>
      <c r="O2978" s="91">
        <v>2726.8</v>
      </c>
      <c r="P2978" s="91">
        <v>657</v>
      </c>
      <c r="Q2978" s="42">
        <f>OfficeForms.Table[[#This Row],[ INFORMEDEPAGO ]]*0.3</f>
        <v>818.04000000000008</v>
      </c>
      <c r="R2978" s="12">
        <f t="shared" si="3"/>
        <v>-657</v>
      </c>
      <c r="S2978" s="78"/>
      <c r="T2978" s="1"/>
      <c r="V2978" s="1"/>
      <c r="X2978" s="101">
        <v>1</v>
      </c>
    </row>
    <row r="2979" spans="1:24" hidden="1">
      <c r="A2979">
        <v>1387</v>
      </c>
      <c r="B2979" s="2">
        <v>46240.704050925902</v>
      </c>
      <c r="C2979" s="2">
        <v>46240.705115740697</v>
      </c>
      <c r="D2979" s="1" t="s">
        <v>24</v>
      </c>
      <c r="E2979" s="1"/>
      <c r="F2979" s="29">
        <v>46240</v>
      </c>
      <c r="G2979" s="29">
        <v>46240</v>
      </c>
      <c r="H2979" s="1" t="s">
        <v>1629</v>
      </c>
      <c r="I2979" s="1" t="s">
        <v>6692</v>
      </c>
      <c r="J2979" s="175">
        <v>14836412362</v>
      </c>
      <c r="K2979" s="176" t="s">
        <v>6693</v>
      </c>
      <c r="L2979" s="62">
        <v>2</v>
      </c>
      <c r="M2979" s="102">
        <v>3311431760</v>
      </c>
      <c r="N2979" s="172" t="s">
        <v>37</v>
      </c>
      <c r="O2979" s="91">
        <v>7798.71</v>
      </c>
      <c r="P2979" s="91">
        <v>2249.1</v>
      </c>
      <c r="Q2979" s="42">
        <f>OfficeForms.Table[[#This Row],[ INFORMEDEPAGO ]]*0.3</f>
        <v>2339.6129999999998</v>
      </c>
      <c r="R2979" s="12">
        <f t="shared" ref="R2979:R2983" si="4">(IF(O2979&lt;4172.98,0,MIN(O2979*0.3,O2979-4172.98)))-P2979</f>
        <v>90.51299999999992</v>
      </c>
      <c r="S2979" s="78">
        <v>46631</v>
      </c>
      <c r="T2979" s="1" t="s">
        <v>84</v>
      </c>
      <c r="V2979" s="1"/>
      <c r="X2979" s="101">
        <v>2</v>
      </c>
    </row>
    <row r="2980" spans="1:24" hidden="1">
      <c r="A2980">
        <v>1388</v>
      </c>
      <c r="B2980" s="2">
        <v>46240.705462963</v>
      </c>
      <c r="C2980" s="2">
        <v>46240.707731481503</v>
      </c>
      <c r="D2980" s="1" t="s">
        <v>24</v>
      </c>
      <c r="E2980" s="1"/>
      <c r="F2980" s="29">
        <v>46240</v>
      </c>
      <c r="G2980" s="29">
        <v>46240</v>
      </c>
      <c r="H2980" s="1" t="s">
        <v>78</v>
      </c>
      <c r="I2980" s="1" t="s">
        <v>6694</v>
      </c>
      <c r="J2980" s="175"/>
      <c r="K2980" s="176" t="s">
        <v>6695</v>
      </c>
      <c r="L2980" s="62">
        <v>23430522</v>
      </c>
      <c r="M2980" s="102">
        <v>23430522</v>
      </c>
      <c r="N2980" s="172" t="s">
        <v>37</v>
      </c>
      <c r="O2980" s="91">
        <v>7920.51</v>
      </c>
      <c r="P2980" s="91">
        <v>2291.6</v>
      </c>
      <c r="Q2980" s="42">
        <f>OfficeForms.Table[[#This Row],[ INFORMEDEPAGO ]]*0.3</f>
        <v>2376.1529999999998</v>
      </c>
      <c r="R2980" s="12">
        <f t="shared" si="4"/>
        <v>84.552999999999884</v>
      </c>
      <c r="S2980" s="78">
        <v>46905</v>
      </c>
      <c r="T2980" s="1"/>
      <c r="V2980" s="1"/>
      <c r="X2980" s="101">
        <v>2</v>
      </c>
    </row>
    <row r="2981" spans="1:24" hidden="1">
      <c r="A2981">
        <v>1389</v>
      </c>
      <c r="B2981" s="2">
        <v>46240.721782407403</v>
      </c>
      <c r="C2981" s="2">
        <v>46240.722905092603</v>
      </c>
      <c r="D2981" s="1" t="s">
        <v>24</v>
      </c>
      <c r="E2981" s="1"/>
      <c r="F2981" s="29">
        <v>46240</v>
      </c>
      <c r="G2981" s="29">
        <v>46240</v>
      </c>
      <c r="H2981" s="1" t="s">
        <v>110</v>
      </c>
      <c r="I2981" s="1" t="s">
        <v>6696</v>
      </c>
      <c r="J2981" s="175" t="s">
        <v>6697</v>
      </c>
      <c r="K2981" s="176"/>
      <c r="L2981" s="62">
        <v>23431984</v>
      </c>
      <c r="M2981" s="102">
        <v>5215565390008</v>
      </c>
      <c r="N2981" s="172" t="s">
        <v>37</v>
      </c>
      <c r="O2981" s="91">
        <v>9760.32</v>
      </c>
      <c r="P2981" s="91">
        <v>2823</v>
      </c>
      <c r="Q2981" s="42">
        <f>OfficeForms.Table[[#This Row],[ INFORMEDEPAGO ]]*0.3</f>
        <v>2928.096</v>
      </c>
      <c r="R2981" s="12">
        <f t="shared" si="4"/>
        <v>105.096</v>
      </c>
      <c r="S2981" s="78">
        <v>46753</v>
      </c>
      <c r="T2981" s="1"/>
      <c r="V2981" s="1"/>
      <c r="X2981" s="101">
        <v>2</v>
      </c>
    </row>
    <row r="2982" spans="1:24" hidden="1">
      <c r="A2982">
        <v>1390</v>
      </c>
      <c r="B2982" s="2">
        <v>46240.686388888898</v>
      </c>
      <c r="C2982" s="2">
        <v>46240.723703703698</v>
      </c>
      <c r="D2982" s="1" t="s">
        <v>24</v>
      </c>
      <c r="E2982" s="1"/>
      <c r="F2982" s="29">
        <v>46240</v>
      </c>
      <c r="G2982" s="29">
        <v>46240</v>
      </c>
      <c r="H2982" s="1" t="s">
        <v>51</v>
      </c>
      <c r="I2982" s="1" t="s">
        <v>6698</v>
      </c>
      <c r="J2982" s="175"/>
      <c r="K2982" s="176" t="s">
        <v>6699</v>
      </c>
      <c r="L2982" s="62">
        <v>23431068</v>
      </c>
      <c r="M2982" s="102">
        <v>5212295289717</v>
      </c>
      <c r="N2982" s="172" t="s">
        <v>28</v>
      </c>
      <c r="O2982" s="91">
        <v>10171.24</v>
      </c>
      <c r="P2982" s="91"/>
      <c r="Q2982" s="42">
        <f>OfficeForms.Table[[#This Row],[ INFORMEDEPAGO ]]*0.3</f>
        <v>3051.3719999999998</v>
      </c>
      <c r="R2982" s="12">
        <f t="shared" si="4"/>
        <v>3051.3719999999998</v>
      </c>
      <c r="S2982" s="78"/>
      <c r="T2982" s="1"/>
      <c r="V2982" s="1"/>
      <c r="X2982" s="101">
        <v>1</v>
      </c>
    </row>
    <row r="2983" spans="1:24" hidden="1">
      <c r="A2983">
        <v>1391</v>
      </c>
      <c r="B2983" s="2">
        <v>46240.7238657407</v>
      </c>
      <c r="C2983" s="2">
        <v>46240.725428240701</v>
      </c>
      <c r="D2983" s="1" t="s">
        <v>24</v>
      </c>
      <c r="E2983" s="1"/>
      <c r="F2983" s="29">
        <v>46240</v>
      </c>
      <c r="G2983" s="29">
        <v>46240</v>
      </c>
      <c r="H2983" s="1" t="s">
        <v>110</v>
      </c>
      <c r="I2983" s="1" t="s">
        <v>6700</v>
      </c>
      <c r="J2983" s="175">
        <v>42876730948</v>
      </c>
      <c r="K2983" s="176" t="s">
        <v>6701</v>
      </c>
      <c r="L2983" s="62">
        <v>23427624</v>
      </c>
      <c r="M2983" s="102">
        <v>5215648027182</v>
      </c>
      <c r="N2983" s="172" t="s">
        <v>32</v>
      </c>
      <c r="O2983" s="91">
        <v>3823.19</v>
      </c>
      <c r="P2983" s="91"/>
      <c r="Q2983" s="42">
        <f>OfficeForms.Table[[#This Row],[ INFORMEDEPAGO ]]*0.3</f>
        <v>1146.9569999999999</v>
      </c>
      <c r="R2983" s="12">
        <f t="shared" si="4"/>
        <v>0</v>
      </c>
      <c r="S2983" s="78"/>
      <c r="T2983" s="1"/>
      <c r="V2983" s="1"/>
      <c r="X2983" s="101">
        <v>1</v>
      </c>
    </row>
    <row r="2984" spans="1:24" hidden="1">
      <c r="A2984">
        <v>1392</v>
      </c>
      <c r="B2984" s="2">
        <v>46240.731828703698</v>
      </c>
      <c r="C2984" s="2">
        <v>46240.7328472222</v>
      </c>
      <c r="D2984" s="1" t="s">
        <v>24</v>
      </c>
      <c r="E2984" s="1"/>
      <c r="F2984" s="29">
        <v>46240</v>
      </c>
      <c r="G2984" s="29">
        <v>46240</v>
      </c>
      <c r="H2984" s="1" t="s">
        <v>269</v>
      </c>
      <c r="I2984" s="1" t="s">
        <v>6702</v>
      </c>
      <c r="J2984" s="175" t="s">
        <v>6703</v>
      </c>
      <c r="K2984" s="176" t="s">
        <v>6704</v>
      </c>
      <c r="L2984" s="62">
        <v>23432166</v>
      </c>
      <c r="M2984" s="102">
        <v>23432166</v>
      </c>
      <c r="N2984" s="172" t="s">
        <v>37</v>
      </c>
      <c r="O2984" s="91">
        <v>9081.52</v>
      </c>
      <c r="P2984" s="91">
        <v>2514.46</v>
      </c>
      <c r="Q2984" s="42">
        <f>OfficeForms.Table[[#This Row],[ INFORMEDEPAGO ]]*0.3</f>
        <v>2724.4560000000001</v>
      </c>
      <c r="R2984" s="12">
        <f t="shared" ref="R2984" si="5">(IF(O2984&lt;4172.98,0,MIN(O2984*0.3,O2984-4172.98)))-P2984</f>
        <v>209.99600000000009</v>
      </c>
      <c r="S2984" s="78">
        <v>46388</v>
      </c>
      <c r="T2984" s="1"/>
      <c r="V2984" s="1"/>
      <c r="X2984" s="101">
        <v>2</v>
      </c>
    </row>
    <row r="2985" spans="1:24" hidden="1">
      <c r="A2985">
        <v>1393</v>
      </c>
      <c r="B2985" s="2">
        <v>46240.750555555598</v>
      </c>
      <c r="C2985" s="2">
        <v>46240.751030092601</v>
      </c>
      <c r="D2985" s="1" t="s">
        <v>24</v>
      </c>
      <c r="E2985" s="1"/>
      <c r="F2985" s="29">
        <v>46240</v>
      </c>
      <c r="G2985" s="29">
        <v>46240</v>
      </c>
      <c r="H2985" s="1" t="s">
        <v>110</v>
      </c>
      <c r="I2985" s="1" t="s">
        <v>143</v>
      </c>
      <c r="J2985" s="175"/>
      <c r="K2985" s="176" t="s">
        <v>6705</v>
      </c>
      <c r="L2985" s="62">
        <v>23427870</v>
      </c>
      <c r="M2985" s="102">
        <v>5216462584638</v>
      </c>
      <c r="N2985" s="172" t="s">
        <v>130</v>
      </c>
      <c r="O2985" s="91">
        <v>6460.14</v>
      </c>
      <c r="P2985" s="91">
        <v>1793</v>
      </c>
      <c r="Q2985" s="42">
        <f>OfficeForms.Table[[#This Row],[ INFORMEDEPAGO ]]*0.3</f>
        <v>1938.0419999999999</v>
      </c>
      <c r="R2985" s="12">
        <f t="shared" ref="R2985" si="6">(IF(O2985&lt;4172.98,0,MIN(O2985*0.3,O2985-4172.98)))-P2985</f>
        <v>145.04199999999992</v>
      </c>
      <c r="S2985" s="78">
        <v>46113</v>
      </c>
      <c r="T2985" s="1"/>
      <c r="V2985" s="1"/>
      <c r="X2985" s="101">
        <v>2</v>
      </c>
    </row>
    <row r="2986" spans="1:24" hidden="1">
      <c r="A2986">
        <v>1394</v>
      </c>
      <c r="B2986" s="2">
        <v>46240.760266203702</v>
      </c>
      <c r="C2986" s="2">
        <v>46240.760590277801</v>
      </c>
      <c r="D2986" s="1" t="s">
        <v>24</v>
      </c>
      <c r="E2986" s="1"/>
      <c r="F2986" s="29">
        <v>46240</v>
      </c>
      <c r="G2986" s="29">
        <v>46240</v>
      </c>
      <c r="H2986" s="1" t="s">
        <v>26</v>
      </c>
      <c r="I2986" s="1" t="s">
        <v>6706</v>
      </c>
      <c r="J2986" s="175"/>
      <c r="K2986" s="176" t="s">
        <v>6707</v>
      </c>
      <c r="L2986" s="62">
        <v>23433190</v>
      </c>
      <c r="M2986" s="102">
        <v>5215554513383</v>
      </c>
      <c r="N2986" s="172" t="s">
        <v>28</v>
      </c>
      <c r="O2986" s="91">
        <v>9760.32</v>
      </c>
      <c r="P2986" s="91"/>
      <c r="Q2986" s="42">
        <f>OfficeForms.Table[[#This Row],[ INFORMEDEPAGO ]]*0.3</f>
        <v>2928.096</v>
      </c>
      <c r="R2986" s="12">
        <f t="shared" ref="R2986" si="7">(IF(O2986&lt;4172.98,0,MIN(O2986*0.3,O2986-4172.98)))-P2986</f>
        <v>2928.096</v>
      </c>
      <c r="S2986" s="78"/>
      <c r="T2986" s="1"/>
      <c r="V2986" s="1"/>
      <c r="X2986" s="101">
        <v>1</v>
      </c>
    </row>
    <row r="2987" spans="1:24" hidden="1">
      <c r="A2987">
        <v>1395</v>
      </c>
      <c r="B2987" s="2">
        <v>46240.760462963</v>
      </c>
      <c r="C2987" s="2">
        <v>46240.7648148148</v>
      </c>
      <c r="D2987" s="1" t="s">
        <v>24</v>
      </c>
      <c r="E2987" s="1"/>
      <c r="F2987" s="29">
        <v>46240</v>
      </c>
      <c r="G2987" s="29">
        <v>46240</v>
      </c>
      <c r="H2987" s="1" t="s">
        <v>90</v>
      </c>
      <c r="I2987" s="1" t="s">
        <v>6708</v>
      </c>
      <c r="J2987" s="175">
        <v>4986652323</v>
      </c>
      <c r="K2987" s="176"/>
      <c r="L2987" s="62">
        <v>1</v>
      </c>
      <c r="M2987" s="102">
        <v>8687977666</v>
      </c>
      <c r="N2987" s="172" t="s">
        <v>32</v>
      </c>
      <c r="O2987" s="91">
        <v>3897.4</v>
      </c>
      <c r="P2987" s="91"/>
      <c r="Q2987" s="42">
        <f>OfficeForms.Table[[#This Row],[ INFORMEDEPAGO ]]*0.3</f>
        <v>1169.22</v>
      </c>
      <c r="R2987" s="12">
        <f t="shared" ref="R2987" si="8">(IF(O2987&lt;4172.98,0,MIN(O2987*0.3,O2987-4172.98)))-P2987</f>
        <v>0</v>
      </c>
      <c r="S2987" s="78"/>
      <c r="T2987" s="1"/>
      <c r="V2987" s="1"/>
      <c r="X2987" s="101">
        <v>1</v>
      </c>
    </row>
    <row r="2988" spans="1:24" hidden="1">
      <c r="A2988">
        <v>1396</v>
      </c>
      <c r="B2988" s="2">
        <v>46240.774861111102</v>
      </c>
      <c r="C2988" s="2">
        <v>46240.775613425903</v>
      </c>
      <c r="D2988" s="1" t="s">
        <v>24</v>
      </c>
      <c r="E2988" s="1"/>
      <c r="F2988" s="29">
        <v>46240</v>
      </c>
      <c r="G2988" s="29">
        <v>46236</v>
      </c>
      <c r="H2988" s="1" t="s">
        <v>71</v>
      </c>
      <c r="I2988" s="1" t="s">
        <v>6709</v>
      </c>
      <c r="J2988" s="175" t="s">
        <v>6710</v>
      </c>
      <c r="K2988" s="176"/>
      <c r="L2988" s="62">
        <v>23294420</v>
      </c>
      <c r="M2988" s="102">
        <v>5214251223179</v>
      </c>
      <c r="N2988" s="172" t="s">
        <v>37</v>
      </c>
      <c r="O2988" s="91">
        <v>10371.34</v>
      </c>
      <c r="P2988" s="91">
        <v>3000.68</v>
      </c>
      <c r="Q2988" s="42">
        <f>OfficeForms.Table[[#This Row],[ INFORMEDEPAGO ]]*0.3</f>
        <v>3111.402</v>
      </c>
      <c r="R2988" s="12">
        <f t="shared" ref="R2988" si="9">(IF(O2988&lt;4172.98,0,MIN(O2988*0.3,O2988-4172.98)))-P2988</f>
        <v>110.72200000000021</v>
      </c>
      <c r="S2988" s="78">
        <v>46388</v>
      </c>
      <c r="T2988" s="1"/>
      <c r="V2988" s="1"/>
      <c r="X2988" s="101">
        <v>2</v>
      </c>
    </row>
    <row r="2989" spans="1:24" hidden="1">
      <c r="A2989">
        <v>1397</v>
      </c>
      <c r="B2989" s="2">
        <v>46240.784884259301</v>
      </c>
      <c r="C2989" s="2">
        <v>46240.785219907397</v>
      </c>
      <c r="D2989" s="1" t="s">
        <v>24</v>
      </c>
      <c r="E2989" s="1"/>
      <c r="F2989" s="29">
        <v>46240</v>
      </c>
      <c r="G2989" s="29">
        <v>46240</v>
      </c>
      <c r="H2989" s="1" t="s">
        <v>90</v>
      </c>
      <c r="I2989" s="126"/>
      <c r="J2989" s="175" t="s">
        <v>6711</v>
      </c>
      <c r="K2989" s="176"/>
      <c r="L2989" s="62">
        <v>1</v>
      </c>
      <c r="M2989" s="127" t="s">
        <v>6711</v>
      </c>
      <c r="N2989" s="172" t="s">
        <v>130</v>
      </c>
      <c r="O2989" s="91">
        <v>36122.81</v>
      </c>
      <c r="P2989" s="98">
        <v>10836.84</v>
      </c>
      <c r="Q2989" s="42">
        <f>OfficeForms.Table[[#This Row],[ INFORMEDEPAGO ]]*0.3</f>
        <v>10836.842999999999</v>
      </c>
      <c r="R2989" s="12">
        <f t="shared" ref="R2989" si="10">(IF(O2989&lt;4172.98,0,MIN(O2989*0.3,O2989-4172.98)))-P2989</f>
        <v>2.999999998792191E-3</v>
      </c>
      <c r="S2989" s="78">
        <v>46054</v>
      </c>
      <c r="T2989" s="1"/>
      <c r="V2989" s="1"/>
      <c r="X2989" s="101">
        <v>2</v>
      </c>
    </row>
    <row r="2990" spans="1:24" hidden="1">
      <c r="A2990">
        <v>1398</v>
      </c>
      <c r="B2990" s="2">
        <v>46240.784791666701</v>
      </c>
      <c r="C2990" s="2">
        <v>46240.785509259302</v>
      </c>
      <c r="D2990" s="1" t="s">
        <v>24</v>
      </c>
      <c r="E2990" s="1"/>
      <c r="F2990" s="29">
        <v>46240</v>
      </c>
      <c r="G2990" s="29">
        <v>46240</v>
      </c>
      <c r="H2990" s="1" t="s">
        <v>3007</v>
      </c>
      <c r="I2990" s="126" t="s">
        <v>6712</v>
      </c>
      <c r="J2990" s="175">
        <v>13796500224</v>
      </c>
      <c r="K2990" s="176" t="s">
        <v>5850</v>
      </c>
      <c r="L2990" s="62">
        <v>23433770</v>
      </c>
      <c r="M2990" s="102" t="s">
        <v>6713</v>
      </c>
      <c r="N2990" s="172" t="s">
        <v>1149</v>
      </c>
      <c r="O2990" s="91">
        <v>11029.03</v>
      </c>
      <c r="P2990" s="91"/>
      <c r="Q2990" s="42">
        <f>OfficeForms.Table[[#This Row],[ INFORMEDEPAGO ]]*0.3</f>
        <v>3308.7090000000003</v>
      </c>
      <c r="R2990" s="12">
        <f>(IF(O2990&lt;4172.98,0,MIN(O2990*0.3,O2990-4172.98)))-P2990</f>
        <v>3308.7090000000003</v>
      </c>
      <c r="S2990" s="78"/>
      <c r="T2990" s="1"/>
      <c r="V2990" s="1"/>
      <c r="X2990" s="101">
        <v>1</v>
      </c>
    </row>
    <row r="2991" spans="1:24" hidden="1">
      <c r="A2991">
        <v>1399</v>
      </c>
      <c r="B2991" s="2">
        <v>46241.337222222202</v>
      </c>
      <c r="C2991" s="2">
        <v>46241.3375578704</v>
      </c>
      <c r="D2991" s="1" t="s">
        <v>24</v>
      </c>
      <c r="E2991" s="1"/>
      <c r="F2991" s="29">
        <v>46241</v>
      </c>
      <c r="G2991" s="29">
        <v>46241</v>
      </c>
      <c r="H2991" s="1" t="s">
        <v>90</v>
      </c>
      <c r="I2991" s="126"/>
      <c r="J2991" s="175" t="s">
        <v>6714</v>
      </c>
      <c r="K2991" s="176"/>
      <c r="L2991" s="62">
        <v>1</v>
      </c>
      <c r="M2991" s="105" t="s">
        <v>6714</v>
      </c>
      <c r="N2991" s="172" t="s">
        <v>37</v>
      </c>
      <c r="O2991" s="91">
        <v>6262.86</v>
      </c>
      <c r="P2991" s="91">
        <v>1738</v>
      </c>
      <c r="Q2991" s="42">
        <f>OfficeForms.Table[[#This Row],[ INFORMEDEPAGO ]]*0.3</f>
        <v>1878.8579999999997</v>
      </c>
      <c r="R2991" s="12">
        <f>(IF(O2991&lt;4172.98,0,MIN(O2991*0.3,O2991-4172.98)))-P2991</f>
        <v>140.85799999999972</v>
      </c>
      <c r="S2991" s="78">
        <v>46296</v>
      </c>
      <c r="T2991" s="1"/>
      <c r="V2991" s="1"/>
      <c r="X2991" s="101">
        <v>2</v>
      </c>
    </row>
    <row r="2992" spans="1:24" hidden="1">
      <c r="A2992">
        <v>1400</v>
      </c>
      <c r="B2992" s="2">
        <v>46241.351863425902</v>
      </c>
      <c r="C2992" s="2">
        <v>46241.352592592601</v>
      </c>
      <c r="D2992" s="1" t="s">
        <v>24</v>
      </c>
      <c r="E2992" s="1"/>
      <c r="F2992" s="29">
        <v>46241</v>
      </c>
      <c r="G2992" s="29">
        <v>46241</v>
      </c>
      <c r="H2992" s="1" t="s">
        <v>90</v>
      </c>
      <c r="I2992" s="126"/>
      <c r="J2992" s="175">
        <v>23634413969</v>
      </c>
      <c r="K2992" s="176"/>
      <c r="L2992" s="62">
        <v>1</v>
      </c>
      <c r="M2992" s="30" t="s">
        <v>6715</v>
      </c>
      <c r="N2992" s="172" t="s">
        <v>32</v>
      </c>
      <c r="O2992" s="91">
        <f>14489.18-10548</f>
        <v>3941.1800000000003</v>
      </c>
      <c r="P2992" s="91">
        <v>848</v>
      </c>
      <c r="Q2992" s="42">
        <f>OfficeForms.Table[[#This Row],[ INFORMEDEPAGO ]]*0.3</f>
        <v>1182.354</v>
      </c>
      <c r="R2992" s="12">
        <f t="shared" ref="R2992:R2994" si="11">(IF(O2992&lt;4172.98,0,MIN(O2992*0.3,O2992-4172.98)))-P2992</f>
        <v>-848</v>
      </c>
      <c r="S2992" s="78"/>
      <c r="T2992" s="1"/>
      <c r="V2992" s="1"/>
      <c r="X2992" s="101">
        <v>1</v>
      </c>
    </row>
    <row r="2993" spans="1:24" hidden="1">
      <c r="A2993">
        <v>1401</v>
      </c>
      <c r="B2993" s="2">
        <v>46241.370590277802</v>
      </c>
      <c r="C2993" s="2">
        <v>46241.372106481504</v>
      </c>
      <c r="D2993" s="1" t="s">
        <v>24</v>
      </c>
      <c r="E2993" s="1"/>
      <c r="F2993" s="29">
        <v>46241</v>
      </c>
      <c r="G2993" s="29">
        <v>46240</v>
      </c>
      <c r="H2993" s="1" t="s">
        <v>5691</v>
      </c>
      <c r="I2993" s="126" t="s">
        <v>6716</v>
      </c>
      <c r="J2993" s="175"/>
      <c r="K2993" s="176" t="s">
        <v>6717</v>
      </c>
      <c r="L2993" s="62">
        <v>23420820</v>
      </c>
      <c r="M2993" s="30">
        <v>9981075118</v>
      </c>
      <c r="N2993" s="172" t="s">
        <v>98</v>
      </c>
      <c r="O2993" s="91"/>
      <c r="P2993" s="91"/>
      <c r="Q2993" s="42">
        <f>OfficeForms.Table[[#This Row],[ INFORMEDEPAGO ]]*0.3</f>
        <v>0</v>
      </c>
      <c r="R2993" s="12">
        <f t="shared" si="11"/>
        <v>0</v>
      </c>
      <c r="S2993" s="78"/>
      <c r="T2993" s="1"/>
      <c r="V2993" s="1"/>
      <c r="X2993" s="101">
        <v>0</v>
      </c>
    </row>
    <row r="2994" spans="1:24" hidden="1">
      <c r="A2994">
        <v>1402</v>
      </c>
      <c r="B2994" s="2">
        <v>46241.370555555601</v>
      </c>
      <c r="C2994" s="2">
        <v>46241.373981481498</v>
      </c>
      <c r="D2994" s="1" t="s">
        <v>24</v>
      </c>
      <c r="E2994" s="1"/>
      <c r="F2994" s="29">
        <v>46241</v>
      </c>
      <c r="G2994" s="29">
        <v>46240</v>
      </c>
      <c r="H2994" s="1" t="s">
        <v>6663</v>
      </c>
      <c r="I2994" s="126" t="s">
        <v>6718</v>
      </c>
      <c r="J2994" s="175">
        <v>37785934152</v>
      </c>
      <c r="K2994" s="176" t="s">
        <v>6719</v>
      </c>
      <c r="L2994" s="62">
        <v>23421948</v>
      </c>
      <c r="M2994" s="30">
        <v>5218781119233</v>
      </c>
      <c r="N2994" s="172" t="s">
        <v>37</v>
      </c>
      <c r="O2994" s="91">
        <v>4813.6899999999996</v>
      </c>
      <c r="P2994" s="91">
        <v>616.53</v>
      </c>
      <c r="Q2994" s="42">
        <f>OfficeForms.Table[[#This Row],[ INFORMEDEPAGO ]]*0.3</f>
        <v>1444.1069999999997</v>
      </c>
      <c r="R2994" s="12">
        <f t="shared" si="11"/>
        <v>24.180000000000064</v>
      </c>
      <c r="S2994" s="78">
        <v>46419</v>
      </c>
      <c r="T2994" s="1"/>
      <c r="V2994" s="1"/>
      <c r="X2994" s="101">
        <v>2</v>
      </c>
    </row>
    <row r="2995" spans="1:24" hidden="1">
      <c r="A2995">
        <v>1403</v>
      </c>
      <c r="B2995" s="2">
        <v>46241.3965046296</v>
      </c>
      <c r="C2995" s="2">
        <v>46241.397152777798</v>
      </c>
      <c r="D2995" s="1" t="s">
        <v>24</v>
      </c>
      <c r="E2995" s="1"/>
      <c r="F2995" s="29">
        <v>46241</v>
      </c>
      <c r="G2995" s="29">
        <v>46240</v>
      </c>
      <c r="H2995" s="1" t="s">
        <v>3007</v>
      </c>
      <c r="I2995" s="126" t="s">
        <v>6720</v>
      </c>
      <c r="J2995" s="175">
        <v>65815838977</v>
      </c>
      <c r="K2995" s="176" t="s">
        <v>6721</v>
      </c>
      <c r="L2995" s="62">
        <v>23432572</v>
      </c>
      <c r="M2995" s="30">
        <v>6641763733</v>
      </c>
      <c r="N2995" s="172" t="s">
        <v>37</v>
      </c>
      <c r="O2995" s="91">
        <v>9697.32</v>
      </c>
      <c r="P2995" s="91">
        <v>2690.05</v>
      </c>
      <c r="Q2995" s="42">
        <f>OfficeForms.Table[[#This Row],[ INFORMEDEPAGO ]]*0.3</f>
        <v>2909.1959999999999</v>
      </c>
      <c r="R2995" s="12">
        <f t="shared" ref="R2995:R2999" si="12">(IF(O2995&lt;4172.98,0,MIN(O2995*0.3,O2995-4172.98)))-P2995</f>
        <v>219.14599999999973</v>
      </c>
      <c r="S2995" s="78">
        <v>46419</v>
      </c>
      <c r="T2995" s="1"/>
      <c r="V2995" s="1"/>
      <c r="X2995" s="101">
        <v>2</v>
      </c>
    </row>
    <row r="2996" spans="1:24" hidden="1">
      <c r="A2996">
        <v>1404</v>
      </c>
      <c r="B2996" s="2">
        <v>46241.394953703697</v>
      </c>
      <c r="C2996" s="2">
        <v>46241.402812499997</v>
      </c>
      <c r="D2996" s="1" t="s">
        <v>24</v>
      </c>
      <c r="E2996" s="1"/>
      <c r="F2996" s="29">
        <v>46241</v>
      </c>
      <c r="G2996" s="29">
        <v>46240</v>
      </c>
      <c r="H2996" s="1" t="s">
        <v>51</v>
      </c>
      <c r="I2996" s="126" t="s">
        <v>6722</v>
      </c>
      <c r="J2996" s="175"/>
      <c r="K2996" s="176" t="s">
        <v>6723</v>
      </c>
      <c r="L2996" s="62">
        <v>23434692</v>
      </c>
      <c r="M2996" s="30">
        <v>5218120067956</v>
      </c>
      <c r="N2996" s="172" t="s">
        <v>106</v>
      </c>
      <c r="O2996" s="91">
        <v>11079.2</v>
      </c>
      <c r="P2996" s="91">
        <v>2998.65</v>
      </c>
      <c r="Q2996" s="42">
        <f>OfficeForms.Table[[#This Row],[ INFORMEDEPAGO ]]*0.3</f>
        <v>3323.76</v>
      </c>
      <c r="R2996" s="12">
        <f t="shared" si="12"/>
        <v>325.11000000000013</v>
      </c>
      <c r="S2996" s="78">
        <v>46082</v>
      </c>
      <c r="T2996" s="1"/>
      <c r="V2996" s="1"/>
      <c r="X2996" s="101">
        <v>2</v>
      </c>
    </row>
    <row r="2997" spans="1:24" hidden="1">
      <c r="A2997">
        <v>1405</v>
      </c>
      <c r="B2997" s="2">
        <v>46241.380138888897</v>
      </c>
      <c r="C2997" s="2">
        <v>46241.407708333303</v>
      </c>
      <c r="D2997" s="1" t="s">
        <v>24</v>
      </c>
      <c r="E2997" s="1"/>
      <c r="F2997" s="29">
        <v>46241</v>
      </c>
      <c r="G2997" s="29">
        <v>46236</v>
      </c>
      <c r="H2997" s="1" t="s">
        <v>3572</v>
      </c>
      <c r="I2997" s="126" t="s">
        <v>6724</v>
      </c>
      <c r="J2997" s="175">
        <v>41907013512</v>
      </c>
      <c r="K2997" s="176" t="s">
        <v>6725</v>
      </c>
      <c r="L2997" s="62">
        <v>23295316</v>
      </c>
      <c r="M2997" s="30">
        <v>5213334694439</v>
      </c>
      <c r="N2997" s="172" t="s">
        <v>263</v>
      </c>
      <c r="O2997" s="91">
        <v>6883.36</v>
      </c>
      <c r="P2997" s="91">
        <v>1820.02</v>
      </c>
      <c r="Q2997" s="42">
        <f>OfficeForms.Table[[#This Row],[ INFORMEDEPAGO ]]*0.3</f>
        <v>2065.0079999999998</v>
      </c>
      <c r="R2997" s="12">
        <f t="shared" si="12"/>
        <v>244.98799999999983</v>
      </c>
      <c r="S2997" s="78">
        <v>46204</v>
      </c>
      <c r="T2997" s="1" t="s">
        <v>192</v>
      </c>
      <c r="V2997" s="1"/>
      <c r="X2997" s="101">
        <v>2</v>
      </c>
    </row>
    <row r="2998" spans="1:24" hidden="1">
      <c r="A2998">
        <v>1406</v>
      </c>
      <c r="B2998" s="2">
        <v>46241.400150463</v>
      </c>
      <c r="C2998" s="2">
        <v>46241.410092592603</v>
      </c>
      <c r="D2998" s="1" t="s">
        <v>24</v>
      </c>
      <c r="E2998" s="1"/>
      <c r="F2998" s="29">
        <v>46241</v>
      </c>
      <c r="G2998" s="29">
        <v>46240</v>
      </c>
      <c r="H2998" s="1" t="s">
        <v>3007</v>
      </c>
      <c r="I2998" s="126" t="s">
        <v>6726</v>
      </c>
      <c r="J2998" s="175" t="s">
        <v>6727</v>
      </c>
      <c r="K2998" s="176"/>
      <c r="L2998" s="62">
        <v>23432218</v>
      </c>
      <c r="M2998" s="30">
        <v>3310906874</v>
      </c>
      <c r="N2998" s="172" t="s">
        <v>37</v>
      </c>
      <c r="O2998" s="91">
        <v>9760.32</v>
      </c>
      <c r="P2998" s="91">
        <v>2823.89</v>
      </c>
      <c r="Q2998" s="42">
        <f>OfficeForms.Table[[#This Row],[ INFORMEDEPAGO ]]*0.3</f>
        <v>2928.096</v>
      </c>
      <c r="R2998" s="12">
        <f t="shared" si="12"/>
        <v>104.20600000000013</v>
      </c>
      <c r="S2998" s="78">
        <v>46539</v>
      </c>
      <c r="T2998" s="1"/>
      <c r="V2998" s="1"/>
      <c r="X2998" s="101">
        <v>2</v>
      </c>
    </row>
    <row r="2999" spans="1:24" hidden="1">
      <c r="A2999">
        <v>1407</v>
      </c>
      <c r="B2999" s="2">
        <v>46241.413449074098</v>
      </c>
      <c r="C2999" s="2">
        <v>46241.415416666699</v>
      </c>
      <c r="D2999" s="1" t="s">
        <v>24</v>
      </c>
      <c r="E2999" s="1"/>
      <c r="F2999" s="29">
        <v>46241</v>
      </c>
      <c r="G2999" s="29">
        <v>46236</v>
      </c>
      <c r="H2999" s="1" t="s">
        <v>3572</v>
      </c>
      <c r="I2999" s="126" t="s">
        <v>6728</v>
      </c>
      <c r="J2999" s="175">
        <v>12826463262</v>
      </c>
      <c r="K2999" s="176"/>
      <c r="L2999" s="62">
        <v>23297778</v>
      </c>
      <c r="M2999" s="30">
        <v>5214613411013</v>
      </c>
      <c r="N2999" s="172" t="s">
        <v>37</v>
      </c>
      <c r="O2999" s="91">
        <v>20412.68</v>
      </c>
      <c r="P2999" s="91">
        <v>6123.8</v>
      </c>
      <c r="Q2999" s="42">
        <f>OfficeForms.Table[[#This Row],[ INFORMEDEPAGO ]]*0.3</f>
        <v>6123.8040000000001</v>
      </c>
      <c r="R2999" s="12">
        <f t="shared" si="12"/>
        <v>3.9999999999054126E-3</v>
      </c>
      <c r="S2999" s="78">
        <v>46600</v>
      </c>
      <c r="T2999" s="1"/>
      <c r="V2999" s="1"/>
      <c r="X2999" s="101">
        <v>2</v>
      </c>
    </row>
    <row r="3000" spans="1:24" hidden="1">
      <c r="A3000">
        <v>1408</v>
      </c>
      <c r="B3000" s="2">
        <v>46241.4211574074</v>
      </c>
      <c r="C3000" s="2">
        <v>46241.424062500002</v>
      </c>
      <c r="D3000" s="1" t="s">
        <v>24</v>
      </c>
      <c r="E3000" s="1"/>
      <c r="F3000" s="29">
        <v>46241</v>
      </c>
      <c r="G3000" s="29">
        <v>46241</v>
      </c>
      <c r="H3000" s="1" t="s">
        <v>2908</v>
      </c>
      <c r="I3000" s="126" t="s">
        <v>6729</v>
      </c>
      <c r="J3000" s="175" t="s">
        <v>6730</v>
      </c>
      <c r="K3000" s="176" t="s">
        <v>6731</v>
      </c>
      <c r="L3000" s="62">
        <v>2</v>
      </c>
      <c r="M3000" s="30">
        <v>5218116537351</v>
      </c>
      <c r="N3000" s="172" t="s">
        <v>37</v>
      </c>
      <c r="O3000" s="91">
        <v>7128.48</v>
      </c>
      <c r="P3000" s="91">
        <v>2138.54</v>
      </c>
      <c r="Q3000" s="42">
        <f>OfficeForms.Table[[#This Row],[ INFORMEDEPAGO ]]*0.3</f>
        <v>2138.5439999999999</v>
      </c>
      <c r="R3000" s="12">
        <f t="shared" ref="R3000" si="13">(IF(O3000&lt;4172.98,0,MIN(O3000*0.3,O3000-4172.98)))-P3000</f>
        <v>3.9999999999054126E-3</v>
      </c>
      <c r="S3000" s="78">
        <v>46844</v>
      </c>
      <c r="T3000" s="1"/>
      <c r="V3000" s="1"/>
      <c r="X3000" s="101">
        <v>2</v>
      </c>
    </row>
    <row r="3001" spans="1:24" hidden="1">
      <c r="A3001">
        <v>1409</v>
      </c>
      <c r="B3001" s="2">
        <v>46241.442638888897</v>
      </c>
      <c r="C3001" s="2">
        <v>46241.443726851903</v>
      </c>
      <c r="D3001" s="1" t="s">
        <v>24</v>
      </c>
      <c r="E3001" s="1"/>
      <c r="F3001" s="29">
        <v>46241</v>
      </c>
      <c r="G3001" s="29">
        <v>46240</v>
      </c>
      <c r="H3001" s="1" t="s">
        <v>110</v>
      </c>
      <c r="I3001" s="126" t="s">
        <v>6732</v>
      </c>
      <c r="J3001" s="175"/>
      <c r="K3001" s="176" t="s">
        <v>6733</v>
      </c>
      <c r="L3001" s="62">
        <v>23433210</v>
      </c>
      <c r="M3001" s="30">
        <v>5212299297887</v>
      </c>
      <c r="N3001" s="172" t="s">
        <v>28</v>
      </c>
      <c r="O3001" s="91">
        <v>22327.66</v>
      </c>
      <c r="P3001" s="91"/>
      <c r="Q3001" s="42">
        <f>OfficeForms.Table[[#This Row],[ INFORMEDEPAGO ]]*0.3</f>
        <v>6698.2979999999998</v>
      </c>
      <c r="R3001" s="12">
        <f t="shared" ref="R3001:R3002" si="14">(IF(O3001&lt;4172.98,0,MIN(O3001*0.3,O3001-4172.98)))-P3001</f>
        <v>6698.2979999999998</v>
      </c>
      <c r="S3001" s="78"/>
      <c r="T3001" s="1"/>
      <c r="V3001" s="1"/>
      <c r="X3001" s="101">
        <v>1</v>
      </c>
    </row>
    <row r="3002" spans="1:24" hidden="1">
      <c r="A3002">
        <v>1410</v>
      </c>
      <c r="B3002" s="2">
        <v>46241.446087962999</v>
      </c>
      <c r="C3002" s="2">
        <v>46241.447349536997</v>
      </c>
      <c r="D3002" s="1" t="s">
        <v>24</v>
      </c>
      <c r="E3002" s="1"/>
      <c r="F3002" s="29">
        <v>46241</v>
      </c>
      <c r="G3002" s="29">
        <v>46241</v>
      </c>
      <c r="H3002" s="1" t="s">
        <v>269</v>
      </c>
      <c r="I3002" s="126" t="s">
        <v>6734</v>
      </c>
      <c r="J3002" s="207" t="s">
        <v>6735</v>
      </c>
      <c r="K3002" s="176" t="s">
        <v>6736</v>
      </c>
      <c r="L3002" s="62">
        <v>23449412</v>
      </c>
      <c r="M3002" s="30">
        <v>5213330362318</v>
      </c>
      <c r="N3002" s="172" t="s">
        <v>32</v>
      </c>
      <c r="O3002" s="91">
        <f>4212.1+879</f>
        <v>5091.1000000000004</v>
      </c>
      <c r="P3002" s="91">
        <v>879</v>
      </c>
      <c r="Q3002" s="42">
        <f>OfficeForms.Table[[#This Row],[ INFORMEDEPAGO ]]*0.3</f>
        <v>1527.3300000000002</v>
      </c>
      <c r="R3002" s="12">
        <f t="shared" si="14"/>
        <v>39.1200000000008</v>
      </c>
      <c r="S3002" s="78"/>
      <c r="T3002" s="1"/>
      <c r="V3002" s="1"/>
      <c r="X3002" s="101">
        <v>1</v>
      </c>
    </row>
    <row r="3003" spans="1:24" hidden="1">
      <c r="A3003">
        <v>1411</v>
      </c>
      <c r="B3003" s="2">
        <v>46241.449004629598</v>
      </c>
      <c r="C3003" s="2">
        <v>46241.449571759302</v>
      </c>
      <c r="D3003" s="1" t="s">
        <v>24</v>
      </c>
      <c r="E3003" s="1"/>
      <c r="F3003" s="29">
        <v>46241</v>
      </c>
      <c r="G3003" s="29">
        <v>46240</v>
      </c>
      <c r="H3003" s="1" t="s">
        <v>110</v>
      </c>
      <c r="I3003" s="126" t="s">
        <v>6737</v>
      </c>
      <c r="J3003" s="207">
        <v>78705010771</v>
      </c>
      <c r="K3003" s="176"/>
      <c r="L3003" s="62">
        <v>23429674</v>
      </c>
      <c r="M3003" s="30">
        <v>5219711596684</v>
      </c>
      <c r="N3003" s="172" t="s">
        <v>130</v>
      </c>
      <c r="O3003" s="91">
        <v>5406.58</v>
      </c>
      <c r="P3003" s="91">
        <v>1074.3399999999999</v>
      </c>
      <c r="Q3003" s="42">
        <f>OfficeForms.Table[[#This Row],[ INFORMEDEPAGO ]]*0.3</f>
        <v>1621.9739999999999</v>
      </c>
      <c r="R3003" s="12">
        <f t="shared" ref="R3003:R3005" si="15">(IF(O3003&lt;4172.98,0,MIN(O3003*0.3,O3003-4172.98)))-P3003</f>
        <v>159.26000000000045</v>
      </c>
      <c r="S3003" s="78">
        <v>45717</v>
      </c>
      <c r="T3003" s="1"/>
      <c r="V3003" s="1"/>
      <c r="X3003" s="101">
        <v>2</v>
      </c>
    </row>
    <row r="3004" spans="1:24" hidden="1">
      <c r="A3004">
        <v>1412</v>
      </c>
      <c r="B3004" s="2">
        <v>46241.452060185198</v>
      </c>
      <c r="C3004" s="2">
        <v>46241.453958333303</v>
      </c>
      <c r="D3004" s="1" t="s">
        <v>24</v>
      </c>
      <c r="E3004" s="1"/>
      <c r="F3004" s="29">
        <v>46241</v>
      </c>
      <c r="G3004" s="29">
        <v>46240</v>
      </c>
      <c r="H3004" s="1" t="s">
        <v>107</v>
      </c>
      <c r="I3004" s="126" t="s">
        <v>6738</v>
      </c>
      <c r="J3004" s="207">
        <v>83816031113</v>
      </c>
      <c r="K3004" s="176"/>
      <c r="L3004" s="62">
        <v>23425970</v>
      </c>
      <c r="M3004" s="30">
        <v>9381047915</v>
      </c>
      <c r="N3004" s="172" t="s">
        <v>37</v>
      </c>
      <c r="O3004" s="91">
        <v>5617.63</v>
      </c>
      <c r="P3004" s="91">
        <v>1443.43</v>
      </c>
      <c r="Q3004" s="42">
        <f>OfficeForms.Table[[#This Row],[ INFORMEDEPAGO ]]*0.3</f>
        <v>1685.289</v>
      </c>
      <c r="R3004" s="12">
        <f t="shared" si="15"/>
        <v>1.220000000000482</v>
      </c>
      <c r="S3004" s="78">
        <v>46692</v>
      </c>
      <c r="T3004" s="1" t="s">
        <v>259</v>
      </c>
      <c r="V3004" s="1"/>
      <c r="X3004" s="101">
        <v>2</v>
      </c>
    </row>
    <row r="3005" spans="1:24" hidden="1">
      <c r="A3005">
        <v>1413</v>
      </c>
      <c r="B3005" s="2">
        <v>46241.454328703701</v>
      </c>
      <c r="C3005" s="2">
        <v>46241.459502314799</v>
      </c>
      <c r="D3005" s="1" t="s">
        <v>24</v>
      </c>
      <c r="E3005" s="1"/>
      <c r="F3005" s="29">
        <v>46241</v>
      </c>
      <c r="G3005" s="29">
        <v>46239</v>
      </c>
      <c r="H3005" s="1" t="s">
        <v>78</v>
      </c>
      <c r="I3005" s="126" t="s">
        <v>6739</v>
      </c>
      <c r="J3005" s="208" t="s">
        <v>6740</v>
      </c>
      <c r="K3005" s="176" t="s">
        <v>6741</v>
      </c>
      <c r="L3005" s="62">
        <v>23411010</v>
      </c>
      <c r="M3005" s="30">
        <v>23111010</v>
      </c>
      <c r="N3005" s="172" t="s">
        <v>106</v>
      </c>
      <c r="O3005" s="91">
        <v>7621.29</v>
      </c>
      <c r="P3005" s="91">
        <v>2114.94</v>
      </c>
      <c r="Q3005" s="42">
        <f>OfficeForms.Table[[#This Row],[ INFORMEDEPAGO ]]*0.3</f>
        <v>2286.3869999999997</v>
      </c>
      <c r="R3005" s="12">
        <f t="shared" si="15"/>
        <v>171.44699999999966</v>
      </c>
      <c r="S3005" s="78">
        <v>46143</v>
      </c>
      <c r="T3005" s="1"/>
      <c r="V3005" s="1"/>
      <c r="X3005" s="101">
        <v>2</v>
      </c>
    </row>
    <row r="3006" spans="1:24" hidden="1">
      <c r="A3006">
        <v>1414</v>
      </c>
      <c r="B3006" s="2">
        <v>46241.459548611099</v>
      </c>
      <c r="C3006" s="2">
        <v>46241.461990740703</v>
      </c>
      <c r="D3006" s="1" t="s">
        <v>24</v>
      </c>
      <c r="E3006" s="1"/>
      <c r="F3006" s="29">
        <v>46241</v>
      </c>
      <c r="G3006" s="29">
        <v>46236</v>
      </c>
      <c r="H3006" s="1" t="s">
        <v>78</v>
      </c>
      <c r="I3006" s="126" t="s">
        <v>6742</v>
      </c>
      <c r="J3006" s="207">
        <v>67775913543</v>
      </c>
      <c r="K3006" s="176" t="s">
        <v>6743</v>
      </c>
      <c r="L3006" s="62">
        <v>23300546</v>
      </c>
      <c r="M3006" s="30">
        <v>5219934030401</v>
      </c>
      <c r="N3006" s="172" t="s">
        <v>28</v>
      </c>
      <c r="O3006" s="91">
        <v>5617.63</v>
      </c>
      <c r="P3006" s="91"/>
      <c r="Q3006" s="42">
        <f>OfficeForms.Table[[#This Row],[ INFORMEDEPAGO ]]*0.3</f>
        <v>1685.289</v>
      </c>
      <c r="R3006" s="12">
        <f t="shared" ref="R3006" si="16">(IF(O3006&lt;4172.98,0,MIN(O3006*0.3,O3006-4172.98)))-P3006</f>
        <v>1444.6500000000005</v>
      </c>
      <c r="S3006" s="78"/>
      <c r="T3006" s="1"/>
      <c r="V3006" s="1"/>
      <c r="X3006" s="101">
        <v>1</v>
      </c>
    </row>
    <row r="3007" spans="1:24" hidden="1">
      <c r="A3007">
        <v>1415</v>
      </c>
      <c r="B3007" s="2">
        <v>46241.4686111111</v>
      </c>
      <c r="C3007" s="2">
        <v>46241.470555555599</v>
      </c>
      <c r="D3007" s="1" t="s">
        <v>24</v>
      </c>
      <c r="E3007" s="1"/>
      <c r="F3007" s="29">
        <v>46241</v>
      </c>
      <c r="G3007" s="29">
        <v>46240</v>
      </c>
      <c r="H3007" s="1" t="s">
        <v>5605</v>
      </c>
      <c r="I3007" s="126" t="s">
        <v>6744</v>
      </c>
      <c r="J3007" s="207">
        <v>31977515989</v>
      </c>
      <c r="K3007" s="176" t="s">
        <v>6745</v>
      </c>
      <c r="L3007" s="62">
        <v>23419272</v>
      </c>
      <c r="M3007" s="30">
        <v>8712776807</v>
      </c>
      <c r="N3007" s="172" t="s">
        <v>98</v>
      </c>
      <c r="O3007" s="91"/>
      <c r="P3007" s="91"/>
      <c r="Q3007" s="42">
        <f>OfficeForms.Table[[#This Row],[ INFORMEDEPAGO ]]*0.3</f>
        <v>0</v>
      </c>
      <c r="R3007" s="12">
        <f t="shared" ref="R3007:R3011" si="17">(IF(O3007&lt;4172.98,0,MIN(O3007*0.3,O3007-4172.98)))-P3007</f>
        <v>0</v>
      </c>
      <c r="S3007" s="78"/>
      <c r="T3007" s="1"/>
      <c r="V3007" s="1"/>
      <c r="X3007" s="101">
        <v>0</v>
      </c>
    </row>
    <row r="3008" spans="1:24" hidden="1">
      <c r="A3008">
        <v>1416</v>
      </c>
      <c r="B3008" s="2">
        <v>46241.4770601852</v>
      </c>
      <c r="C3008" s="2">
        <v>46241.4785416667</v>
      </c>
      <c r="D3008" s="1" t="s">
        <v>24</v>
      </c>
      <c r="E3008" s="1"/>
      <c r="F3008" s="29">
        <v>46241</v>
      </c>
      <c r="G3008" s="29">
        <v>46241</v>
      </c>
      <c r="H3008" s="1" t="s">
        <v>90</v>
      </c>
      <c r="I3008" s="126"/>
      <c r="J3008" s="207">
        <v>67846530201</v>
      </c>
      <c r="K3008" s="176"/>
      <c r="L3008" s="62">
        <v>1</v>
      </c>
      <c r="M3008" s="30">
        <v>2282556628</v>
      </c>
      <c r="N3008" s="172" t="s">
        <v>32</v>
      </c>
      <c r="O3008" s="91">
        <v>3908.19</v>
      </c>
      <c r="P3008" s="91"/>
      <c r="Q3008" s="42">
        <f>OfficeForms.Table[[#This Row],[ INFORMEDEPAGO ]]*0.3</f>
        <v>1172.4569999999999</v>
      </c>
      <c r="R3008" s="12">
        <f t="shared" si="17"/>
        <v>0</v>
      </c>
      <c r="S3008" s="78"/>
      <c r="T3008" s="1"/>
      <c r="V3008" s="1"/>
      <c r="X3008" s="101">
        <v>1</v>
      </c>
    </row>
    <row r="3009" spans="1:24" hidden="1">
      <c r="A3009">
        <v>1417</v>
      </c>
      <c r="B3009" s="2">
        <v>46241.402824074103</v>
      </c>
      <c r="C3009" s="2">
        <v>46241.479131944398</v>
      </c>
      <c r="D3009" s="1" t="s">
        <v>24</v>
      </c>
      <c r="E3009" s="1"/>
      <c r="F3009" s="29">
        <v>46241</v>
      </c>
      <c r="G3009" s="29">
        <v>46240</v>
      </c>
      <c r="H3009" s="1" t="s">
        <v>51</v>
      </c>
      <c r="I3009" s="126" t="s">
        <v>6746</v>
      </c>
      <c r="J3009" s="207">
        <v>11745742467</v>
      </c>
      <c r="K3009" s="176" t="s">
        <v>6747</v>
      </c>
      <c r="L3009" s="62">
        <v>23439524</v>
      </c>
      <c r="M3009" s="30">
        <v>5215566929560</v>
      </c>
      <c r="N3009" s="172" t="s">
        <v>37</v>
      </c>
      <c r="O3009" s="91">
        <v>29509.62</v>
      </c>
      <c r="P3009" s="91">
        <v>8852.89</v>
      </c>
      <c r="Q3009" s="42">
        <f>OfficeForms.Table[[#This Row],[ INFORMEDEPAGO ]]*0.3</f>
        <v>8852.8859999999986</v>
      </c>
      <c r="R3009" s="12">
        <f t="shared" si="17"/>
        <v>-4.0000000008149073E-3</v>
      </c>
      <c r="S3009" s="78">
        <v>46569</v>
      </c>
      <c r="T3009" s="1" t="s">
        <v>192</v>
      </c>
      <c r="V3009" s="1"/>
      <c r="X3009" s="101">
        <v>2</v>
      </c>
    </row>
    <row r="3010" spans="1:24" hidden="1">
      <c r="A3010">
        <v>1418</v>
      </c>
      <c r="B3010" s="2">
        <v>46241.479143518503</v>
      </c>
      <c r="C3010" s="2">
        <v>46241.484259259298</v>
      </c>
      <c r="D3010" s="1" t="s">
        <v>24</v>
      </c>
      <c r="E3010" s="1"/>
      <c r="F3010" s="29">
        <v>46241</v>
      </c>
      <c r="G3010" s="29">
        <v>46240</v>
      </c>
      <c r="H3010" s="1" t="s">
        <v>51</v>
      </c>
      <c r="I3010" s="126" t="s">
        <v>6748</v>
      </c>
      <c r="J3010" s="207" t="s">
        <v>6749</v>
      </c>
      <c r="K3010" s="176" t="s">
        <v>6750</v>
      </c>
      <c r="L3010" s="62">
        <v>23435328</v>
      </c>
      <c r="M3010" s="30">
        <v>5216181693022</v>
      </c>
      <c r="N3010" s="172" t="s">
        <v>28</v>
      </c>
      <c r="O3010" s="91">
        <v>15408.12</v>
      </c>
      <c r="P3010" s="91"/>
      <c r="Q3010" s="42">
        <f>OfficeForms.Table[[#This Row],[ INFORMEDEPAGO ]]*0.3</f>
        <v>4622.4359999999997</v>
      </c>
      <c r="R3010" s="12">
        <f t="shared" si="17"/>
        <v>4622.4359999999997</v>
      </c>
      <c r="S3010" s="78"/>
      <c r="T3010" s="1"/>
      <c r="V3010" s="1"/>
      <c r="X3010" s="101">
        <v>1</v>
      </c>
    </row>
    <row r="3011" spans="1:24" hidden="1">
      <c r="A3011">
        <v>1419</v>
      </c>
      <c r="B3011" s="2">
        <v>46241.489513888897</v>
      </c>
      <c r="C3011" s="2">
        <v>46241.4901157407</v>
      </c>
      <c r="D3011" s="1" t="s">
        <v>24</v>
      </c>
      <c r="E3011" s="1"/>
      <c r="F3011" s="29">
        <v>46241</v>
      </c>
      <c r="G3011" s="29">
        <v>46241</v>
      </c>
      <c r="H3011" s="1" t="s">
        <v>1625</v>
      </c>
      <c r="I3011" s="126" t="s">
        <v>6751</v>
      </c>
      <c r="J3011" s="207">
        <v>43765505896</v>
      </c>
      <c r="K3011" s="176" t="s">
        <v>6752</v>
      </c>
      <c r="L3011" s="62">
        <v>2</v>
      </c>
      <c r="M3011" s="30">
        <v>8143677898</v>
      </c>
      <c r="N3011" s="172" t="s">
        <v>37</v>
      </c>
      <c r="O3011" s="91">
        <v>8784.2900000000009</v>
      </c>
      <c r="P3011" s="91">
        <v>2540.13</v>
      </c>
      <c r="Q3011" s="42">
        <f>OfficeForms.Table[[#This Row],[ INFORMEDEPAGO ]]*0.3</f>
        <v>2635.2870000000003</v>
      </c>
      <c r="R3011" s="12">
        <f t="shared" si="17"/>
        <v>95.157000000000153</v>
      </c>
      <c r="S3011" s="78">
        <v>46631</v>
      </c>
      <c r="T3011" s="1"/>
      <c r="V3011" s="1"/>
      <c r="X3011" s="101">
        <v>2</v>
      </c>
    </row>
    <row r="3012" spans="1:24" hidden="1">
      <c r="A3012">
        <v>1420</v>
      </c>
      <c r="B3012" s="2">
        <v>46241.484259259298</v>
      </c>
      <c r="C3012" s="2">
        <v>46241.499560185199</v>
      </c>
      <c r="D3012" s="1" t="s">
        <v>24</v>
      </c>
      <c r="E3012" s="1"/>
      <c r="F3012" s="29">
        <v>46241</v>
      </c>
      <c r="G3012" s="29">
        <v>46240</v>
      </c>
      <c r="H3012" s="1" t="s">
        <v>51</v>
      </c>
      <c r="I3012" s="126" t="s">
        <v>6753</v>
      </c>
      <c r="J3012" s="207"/>
      <c r="K3012" s="176" t="s">
        <v>6754</v>
      </c>
      <c r="L3012" s="62">
        <v>23435204</v>
      </c>
      <c r="M3012" s="30">
        <v>5216563530444</v>
      </c>
      <c r="N3012" s="172" t="s">
        <v>37</v>
      </c>
      <c r="O3012" s="91">
        <v>9760.32</v>
      </c>
      <c r="P3012" s="91">
        <v>2913.38</v>
      </c>
      <c r="Q3012" s="42">
        <f>OfficeForms.Table[[#This Row],[ INFORMEDEPAGO ]]*0.3</f>
        <v>2928.096</v>
      </c>
      <c r="R3012" s="12">
        <f t="shared" ref="R3012:R3013" si="18">(IF(O3012&lt;4172.98,0,MIN(O3012*0.3,O3012-4172.98)))-P3012</f>
        <v>14.715999999999894</v>
      </c>
      <c r="S3012" s="78">
        <v>46784</v>
      </c>
      <c r="T3012" s="1" t="s">
        <v>192</v>
      </c>
      <c r="V3012" s="1"/>
      <c r="X3012" s="101">
        <v>2</v>
      </c>
    </row>
    <row r="3013" spans="1:24" hidden="1">
      <c r="A3013">
        <v>1421</v>
      </c>
      <c r="B3013" s="2">
        <v>46241.501053240703</v>
      </c>
      <c r="C3013" s="2">
        <v>46241.501805555599</v>
      </c>
      <c r="D3013" s="1" t="s">
        <v>24</v>
      </c>
      <c r="E3013" s="1"/>
      <c r="F3013" s="29">
        <v>46241</v>
      </c>
      <c r="G3013" s="29">
        <v>46234</v>
      </c>
      <c r="H3013" s="1" t="s">
        <v>71</v>
      </c>
      <c r="I3013" s="126" t="s">
        <v>6755</v>
      </c>
      <c r="J3013" s="207"/>
      <c r="K3013" s="176" t="s">
        <v>6756</v>
      </c>
      <c r="L3013" s="62">
        <v>23265594</v>
      </c>
      <c r="M3013" s="30">
        <v>19728362616</v>
      </c>
      <c r="N3013" s="172" t="s">
        <v>98</v>
      </c>
      <c r="O3013" s="91"/>
      <c r="P3013" s="91"/>
      <c r="Q3013" s="42">
        <f>OfficeForms.Table[[#This Row],[ INFORMEDEPAGO ]]*0.3</f>
        <v>0</v>
      </c>
      <c r="R3013" s="12">
        <f t="shared" si="18"/>
        <v>0</v>
      </c>
      <c r="S3013" s="78"/>
      <c r="T3013" s="1"/>
      <c r="V3013" s="1"/>
      <c r="X3013" s="101">
        <v>0</v>
      </c>
    </row>
    <row r="3014" spans="1:24" hidden="1">
      <c r="A3014">
        <v>1422</v>
      </c>
      <c r="B3014" s="2">
        <v>46241.499571759297</v>
      </c>
      <c r="C3014" s="2">
        <v>46241.512407407397</v>
      </c>
      <c r="D3014" s="1" t="s">
        <v>24</v>
      </c>
      <c r="E3014" s="1"/>
      <c r="F3014" s="29">
        <v>46241</v>
      </c>
      <c r="G3014" s="29">
        <v>46241</v>
      </c>
      <c r="H3014" s="1" t="s">
        <v>51</v>
      </c>
      <c r="I3014" s="126" t="s">
        <v>6757</v>
      </c>
      <c r="J3014" s="207"/>
      <c r="K3014" s="176" t="s">
        <v>6758</v>
      </c>
      <c r="L3014" s="62">
        <v>23445870</v>
      </c>
      <c r="M3014" s="30">
        <v>5213531033137</v>
      </c>
      <c r="N3014" s="172" t="s">
        <v>32</v>
      </c>
      <c r="O3014" s="91">
        <v>3939.75</v>
      </c>
      <c r="P3014" s="91"/>
      <c r="Q3014" s="42">
        <f>OfficeForms.Table[[#This Row],[ INFORMEDEPAGO ]]*0.3</f>
        <v>1181.925</v>
      </c>
      <c r="R3014" s="12">
        <f>(IF(O3014&lt;4172.98,0,MIN(O3014*0.3,O3014-4172.98)))-P3014</f>
        <v>0</v>
      </c>
      <c r="S3014" s="78"/>
      <c r="T3014" s="1"/>
      <c r="V3014" s="1"/>
      <c r="X3014" s="101">
        <v>1</v>
      </c>
    </row>
    <row r="3015" spans="1:24" hidden="1">
      <c r="A3015">
        <v>1423</v>
      </c>
      <c r="B3015" s="2">
        <v>46241.522407407399</v>
      </c>
      <c r="C3015" s="2">
        <v>46241.522881944402</v>
      </c>
      <c r="D3015" s="1" t="s">
        <v>24</v>
      </c>
      <c r="E3015" s="1"/>
      <c r="F3015" s="29">
        <v>46241</v>
      </c>
      <c r="G3015" s="29">
        <v>46237</v>
      </c>
      <c r="H3015" s="1" t="s">
        <v>110</v>
      </c>
      <c r="I3015" s="126" t="s">
        <v>6759</v>
      </c>
      <c r="J3015" s="207"/>
      <c r="K3015" s="176" t="s">
        <v>6760</v>
      </c>
      <c r="L3015" s="62">
        <v>23333774</v>
      </c>
      <c r="M3015" s="30">
        <v>5214851118865</v>
      </c>
      <c r="N3015" s="172" t="s">
        <v>74</v>
      </c>
      <c r="O3015" s="91"/>
      <c r="P3015" s="91"/>
      <c r="Q3015" s="42">
        <f>OfficeForms.Table[[#This Row],[ INFORMEDEPAGO ]]*0.3</f>
        <v>0</v>
      </c>
      <c r="R3015" s="12">
        <f>(IF(O3015&lt;4172.98,0,MIN(O3015*0.3,O3015-4172.98)))-P3015</f>
        <v>0</v>
      </c>
      <c r="S3015" s="78"/>
      <c r="T3015" s="1"/>
      <c r="V3015" s="1"/>
      <c r="X3015" s="101">
        <v>1</v>
      </c>
    </row>
    <row r="3016" spans="1:24" hidden="1">
      <c r="A3016">
        <v>1424</v>
      </c>
      <c r="B3016" s="2">
        <v>46241.5213657407</v>
      </c>
      <c r="C3016" s="2">
        <v>46241.5231712963</v>
      </c>
      <c r="D3016" s="1" t="s">
        <v>24</v>
      </c>
      <c r="E3016" s="1"/>
      <c r="F3016" s="29">
        <v>46241</v>
      </c>
      <c r="G3016" s="29">
        <v>46222</v>
      </c>
      <c r="H3016" s="1" t="s">
        <v>71</v>
      </c>
      <c r="I3016" s="126" t="s">
        <v>6761</v>
      </c>
      <c r="J3016" s="207"/>
      <c r="K3016" s="176" t="s">
        <v>6762</v>
      </c>
      <c r="L3016" s="62">
        <v>22839572</v>
      </c>
      <c r="M3016" s="30">
        <v>5219931277999</v>
      </c>
      <c r="N3016" s="172" t="s">
        <v>263</v>
      </c>
      <c r="O3016" s="91">
        <v>5617.63</v>
      </c>
      <c r="P3016" s="91">
        <v>1317.3</v>
      </c>
      <c r="Q3016" s="42">
        <f>OfficeForms.Table[[#This Row],[ INFORMEDEPAGO ]]*0.3</f>
        <v>1685.289</v>
      </c>
      <c r="R3016" s="12">
        <f>(IF(O3016&lt;4172.98,0,MIN(O3016*0.3,O3016-4172.98)))-P3016</f>
        <v>127.35000000000059</v>
      </c>
      <c r="S3016" s="78">
        <v>46174</v>
      </c>
      <c r="T3016" s="1" t="s">
        <v>192</v>
      </c>
      <c r="V3016" s="1"/>
      <c r="X3016" s="101">
        <v>2</v>
      </c>
    </row>
    <row r="3017" spans="1:24" hidden="1">
      <c r="A3017">
        <v>1425</v>
      </c>
      <c r="B3017" s="2">
        <v>46241.512418981503</v>
      </c>
      <c r="C3017" s="2">
        <v>46241.5243402778</v>
      </c>
      <c r="D3017" s="1" t="s">
        <v>24</v>
      </c>
      <c r="E3017" s="1"/>
      <c r="F3017" s="29">
        <v>46241</v>
      </c>
      <c r="G3017" s="29">
        <v>46240</v>
      </c>
      <c r="H3017" s="1" t="s">
        <v>51</v>
      </c>
      <c r="I3017" s="126" t="s">
        <v>6763</v>
      </c>
      <c r="J3017" s="207" t="s">
        <v>6764</v>
      </c>
      <c r="K3017" s="176" t="s">
        <v>6765</v>
      </c>
      <c r="L3017" s="62">
        <v>23435700</v>
      </c>
      <c r="M3017" s="30">
        <v>5216624104959</v>
      </c>
      <c r="N3017" s="172" t="s">
        <v>37</v>
      </c>
      <c r="O3017" s="91">
        <v>7920.51</v>
      </c>
      <c r="P3017" s="91">
        <v>2291</v>
      </c>
      <c r="Q3017" s="42">
        <f>OfficeForms.Table[[#This Row],[ INFORMEDEPAGO ]]*0.3</f>
        <v>2376.1529999999998</v>
      </c>
      <c r="R3017" s="12">
        <f>(IF(O3017&lt;4172.98,0,MIN(O3017*0.3,O3017-4172.98)))-P3017</f>
        <v>85.152999999999793</v>
      </c>
      <c r="S3017" s="78">
        <v>46722</v>
      </c>
      <c r="T3017" s="1"/>
      <c r="V3017" s="1"/>
      <c r="X3017" s="101">
        <v>2</v>
      </c>
    </row>
    <row r="3018" spans="1:24" hidden="1">
      <c r="A3018">
        <v>1426</v>
      </c>
      <c r="B3018" s="2">
        <v>46241.524050925902</v>
      </c>
      <c r="C3018" s="2">
        <v>46241.527986111098</v>
      </c>
      <c r="D3018" s="1" t="s">
        <v>24</v>
      </c>
      <c r="E3018" s="1"/>
      <c r="F3018" s="29">
        <v>46241</v>
      </c>
      <c r="G3018" s="29">
        <v>46240</v>
      </c>
      <c r="H3018" s="1" t="s">
        <v>78</v>
      </c>
      <c r="I3018" s="126" t="s">
        <v>6766</v>
      </c>
      <c r="J3018" s="207">
        <v>65705010489</v>
      </c>
      <c r="K3018" s="176" t="s">
        <v>6767</v>
      </c>
      <c r="L3018" s="62">
        <v>23433384</v>
      </c>
      <c r="M3018" s="30">
        <v>5212292168364</v>
      </c>
      <c r="N3018" s="172" t="s">
        <v>28</v>
      </c>
      <c r="O3018" s="91">
        <v>26874.31</v>
      </c>
      <c r="P3018" s="91">
        <v>6336.67</v>
      </c>
      <c r="Q3018" s="42">
        <f>OfficeForms.Table[[#This Row],[ INFORMEDEPAGO ]]*0.3</f>
        <v>8062.2929999999997</v>
      </c>
      <c r="R3018" s="12">
        <f>(IF(O3018&lt;4172.98,0,MIN(O3018*0.3,O3018-4172.98)))-P3018</f>
        <v>1725.6229999999996</v>
      </c>
      <c r="S3018" s="78">
        <v>46874</v>
      </c>
      <c r="T3018" s="1"/>
      <c r="V3018" s="1"/>
      <c r="X3018" s="101">
        <v>2</v>
      </c>
    </row>
    <row r="3019" spans="1:24" hidden="1">
      <c r="A3019">
        <v>1427</v>
      </c>
      <c r="B3019" s="2">
        <v>46241.585821759298</v>
      </c>
      <c r="C3019" s="2">
        <v>46241.5866087963</v>
      </c>
      <c r="D3019" s="1" t="s">
        <v>24</v>
      </c>
      <c r="E3019" s="1"/>
      <c r="F3019" s="29">
        <v>46241</v>
      </c>
      <c r="G3019" s="29">
        <v>46241</v>
      </c>
      <c r="H3019" s="1" t="s">
        <v>1629</v>
      </c>
      <c r="I3019" s="126" t="s">
        <v>6768</v>
      </c>
      <c r="J3019" s="207" t="s">
        <v>6769</v>
      </c>
      <c r="K3019" s="176" t="s">
        <v>6770</v>
      </c>
      <c r="L3019" s="62">
        <v>2</v>
      </c>
      <c r="M3019" s="30" t="s">
        <v>6771</v>
      </c>
      <c r="N3019" s="172" t="s">
        <v>28</v>
      </c>
      <c r="O3019" s="91">
        <v>7920.51</v>
      </c>
      <c r="P3019" s="91">
        <v>879</v>
      </c>
      <c r="Q3019" s="42">
        <f>OfficeForms.Table[[#This Row],[ INFORMEDEPAGO ]]*0.3</f>
        <v>2376.1529999999998</v>
      </c>
      <c r="R3019" s="12">
        <f t="shared" ref="R3019:R3022" si="19">(IF(O3019&lt;4172.98,0,MIN(O3019*0.3,O3019-4172.98)))-P3019</f>
        <v>1497.1529999999998</v>
      </c>
      <c r="S3019" s="78"/>
      <c r="T3019" s="1"/>
      <c r="V3019" s="1"/>
      <c r="X3019" s="101">
        <v>1</v>
      </c>
    </row>
    <row r="3020" spans="1:24" hidden="1">
      <c r="A3020">
        <v>1428</v>
      </c>
      <c r="B3020" s="2">
        <v>46241.588506944398</v>
      </c>
      <c r="C3020" s="2">
        <v>46241.590358796297</v>
      </c>
      <c r="D3020" s="1" t="s">
        <v>24</v>
      </c>
      <c r="E3020" s="1"/>
      <c r="F3020" s="29">
        <v>46241</v>
      </c>
      <c r="G3020" s="29">
        <v>46248</v>
      </c>
      <c r="H3020" s="1" t="s">
        <v>103</v>
      </c>
      <c r="I3020" s="126" t="s">
        <v>6772</v>
      </c>
      <c r="J3020" s="207">
        <v>32806429422</v>
      </c>
      <c r="K3020" s="176" t="s">
        <v>6773</v>
      </c>
      <c r="L3020" s="62">
        <v>1</v>
      </c>
      <c r="M3020" s="30">
        <v>4291105523</v>
      </c>
      <c r="N3020" s="172" t="s">
        <v>37</v>
      </c>
      <c r="O3020" s="91">
        <v>9081.51</v>
      </c>
      <c r="P3020" s="91">
        <v>2724.45</v>
      </c>
      <c r="Q3020" s="42">
        <f>OfficeForms.Table[[#This Row],[ INFORMEDEPAGO ]]*0.3</f>
        <v>2724.453</v>
      </c>
      <c r="R3020" s="12">
        <f t="shared" si="19"/>
        <v>3.0000000001564331E-3</v>
      </c>
      <c r="S3020" s="78">
        <v>46844</v>
      </c>
      <c r="T3020" s="1"/>
      <c r="V3020" s="1"/>
      <c r="X3020" s="101">
        <v>2</v>
      </c>
    </row>
    <row r="3021" spans="1:24" hidden="1">
      <c r="A3021">
        <v>1429</v>
      </c>
      <c r="B3021" s="2">
        <v>46241.590416666702</v>
      </c>
      <c r="C3021" s="2">
        <v>46241.592592592599</v>
      </c>
      <c r="D3021" s="1" t="s">
        <v>24</v>
      </c>
      <c r="E3021" s="1"/>
      <c r="F3021" s="29">
        <v>46241</v>
      </c>
      <c r="G3021" s="29">
        <v>46241</v>
      </c>
      <c r="H3021" s="1" t="s">
        <v>103</v>
      </c>
      <c r="I3021" s="126" t="s">
        <v>6774</v>
      </c>
      <c r="J3021" s="207">
        <v>366492375</v>
      </c>
      <c r="K3021" s="176" t="s">
        <v>6775</v>
      </c>
      <c r="L3021" s="62">
        <v>1</v>
      </c>
      <c r="M3021" s="30">
        <v>8182032357</v>
      </c>
      <c r="N3021" s="172" t="s">
        <v>32</v>
      </c>
      <c r="O3021" s="91">
        <v>4253.6499999999996</v>
      </c>
      <c r="P3021" s="91"/>
      <c r="Q3021" s="42">
        <f>OfficeForms.Table[[#This Row],[ INFORMEDEPAGO ]]*0.3</f>
        <v>1276.0949999999998</v>
      </c>
      <c r="R3021" s="12">
        <f t="shared" si="19"/>
        <v>80.670000000000073</v>
      </c>
      <c r="S3021" s="78"/>
      <c r="T3021" s="1"/>
      <c r="V3021" s="1"/>
      <c r="X3021" s="101">
        <v>1</v>
      </c>
    </row>
    <row r="3022" spans="1:24" hidden="1">
      <c r="A3022">
        <v>1430</v>
      </c>
      <c r="B3022" s="2">
        <v>46241.599872685198</v>
      </c>
      <c r="C3022" s="2">
        <v>46241.601226851897</v>
      </c>
      <c r="D3022" s="1" t="s">
        <v>24</v>
      </c>
      <c r="E3022" s="1"/>
      <c r="F3022" s="29">
        <v>46241</v>
      </c>
      <c r="G3022" s="29">
        <v>46232</v>
      </c>
      <c r="H3022" s="1" t="s">
        <v>3572</v>
      </c>
      <c r="I3022" s="126" t="s">
        <v>6776</v>
      </c>
      <c r="J3022" s="207">
        <v>14806302684</v>
      </c>
      <c r="K3022" s="176" t="s">
        <v>6777</v>
      </c>
      <c r="L3022" s="62">
        <v>23210272</v>
      </c>
      <c r="M3022" s="30">
        <v>5214428202114</v>
      </c>
      <c r="N3022" s="172" t="s">
        <v>32</v>
      </c>
      <c r="O3022" s="91">
        <f>2627.21+879</f>
        <v>3506.21</v>
      </c>
      <c r="P3022" s="91">
        <v>879</v>
      </c>
      <c r="Q3022" s="42">
        <f>OfficeForms.Table[[#This Row],[ INFORMEDEPAGO ]]*0.3</f>
        <v>1051.8630000000001</v>
      </c>
      <c r="R3022" s="12">
        <f t="shared" si="19"/>
        <v>-879</v>
      </c>
      <c r="S3022" s="78"/>
      <c r="T3022" s="1"/>
      <c r="V3022" s="1"/>
      <c r="X3022" s="101">
        <v>1</v>
      </c>
    </row>
    <row r="3023" spans="1:24" hidden="1">
      <c r="A3023">
        <v>1431</v>
      </c>
      <c r="B3023" s="2">
        <v>46241.524386574099</v>
      </c>
      <c r="C3023" s="2">
        <v>46241.608796296299</v>
      </c>
      <c r="D3023" s="1" t="s">
        <v>24</v>
      </c>
      <c r="E3023" s="1"/>
      <c r="F3023" s="29">
        <v>46241</v>
      </c>
      <c r="G3023" s="29">
        <v>46241</v>
      </c>
      <c r="H3023" s="1" t="s">
        <v>51</v>
      </c>
      <c r="I3023" s="126" t="s">
        <v>6778</v>
      </c>
      <c r="J3023" s="207">
        <v>23786100489</v>
      </c>
      <c r="K3023" s="176" t="s">
        <v>6779</v>
      </c>
      <c r="L3023" s="62">
        <v>23409944</v>
      </c>
      <c r="M3023" s="30">
        <v>23409944</v>
      </c>
      <c r="N3023" s="172" t="s">
        <v>37</v>
      </c>
      <c r="O3023" s="91">
        <v>9081.52</v>
      </c>
      <c r="P3023" s="91">
        <v>2515.2199999999998</v>
      </c>
      <c r="Q3023" s="42">
        <f>OfficeForms.Table[[#This Row],[ INFORMEDEPAGO ]]*0.3</f>
        <v>2724.4560000000001</v>
      </c>
      <c r="R3023" s="12">
        <f t="shared" ref="R3023:R3024" si="20">(IF(O3023&lt;4172.98,0,MIN(O3023*0.3,O3023-4172.98)))-P3023</f>
        <v>209.23600000000033</v>
      </c>
      <c r="S3023" s="78">
        <v>46296</v>
      </c>
      <c r="T3023" s="1"/>
      <c r="V3023" s="1"/>
      <c r="X3023" s="101">
        <v>2</v>
      </c>
    </row>
    <row r="3024" spans="1:24" hidden="1">
      <c r="A3024">
        <v>1432</v>
      </c>
      <c r="B3024" s="2">
        <v>46241.606956018499</v>
      </c>
      <c r="C3024" s="2">
        <v>46241.609710648103</v>
      </c>
      <c r="D3024" s="1" t="s">
        <v>24</v>
      </c>
      <c r="E3024" s="1"/>
      <c r="F3024" s="29">
        <v>46241</v>
      </c>
      <c r="G3024" s="29">
        <v>46241</v>
      </c>
      <c r="H3024" s="1" t="s">
        <v>2908</v>
      </c>
      <c r="I3024" s="126" t="s">
        <v>6780</v>
      </c>
      <c r="J3024" s="207" t="s">
        <v>6781</v>
      </c>
      <c r="K3024" s="176" t="s">
        <v>6782</v>
      </c>
      <c r="L3024" s="62">
        <v>2</v>
      </c>
      <c r="M3024" s="30">
        <v>5213326666536</v>
      </c>
      <c r="N3024" s="172" t="s">
        <v>37</v>
      </c>
      <c r="O3024" s="91">
        <v>15276.7</v>
      </c>
      <c r="P3024" s="91">
        <v>4405.6099999999997</v>
      </c>
      <c r="Q3024" s="42">
        <f>OfficeForms.Table[[#This Row],[ INFORMEDEPAGO ]]*0.3</f>
        <v>4583.01</v>
      </c>
      <c r="R3024" s="12">
        <f t="shared" si="20"/>
        <v>177.40000000000055</v>
      </c>
      <c r="S3024" s="78">
        <v>46266</v>
      </c>
      <c r="T3024" s="1"/>
      <c r="V3024" s="1"/>
      <c r="X3024" s="101">
        <v>2</v>
      </c>
    </row>
    <row r="3025" spans="1:24" hidden="1">
      <c r="A3025">
        <v>1433</v>
      </c>
      <c r="B3025" s="2">
        <v>46241.496226851901</v>
      </c>
      <c r="C3025" s="2">
        <v>46241.617986111101</v>
      </c>
      <c r="D3025" s="1" t="s">
        <v>24</v>
      </c>
      <c r="E3025" s="1"/>
      <c r="F3025" s="29">
        <v>46241</v>
      </c>
      <c r="G3025" s="29">
        <v>46235</v>
      </c>
      <c r="H3025" s="1" t="s">
        <v>269</v>
      </c>
      <c r="I3025" s="126" t="s">
        <v>6783</v>
      </c>
      <c r="J3025" s="207" t="s">
        <v>6784</v>
      </c>
      <c r="K3025" s="176" t="s">
        <v>6785</v>
      </c>
      <c r="L3025" s="62">
        <v>23276046</v>
      </c>
      <c r="M3025" s="30">
        <v>5214621413329</v>
      </c>
      <c r="N3025" s="172" t="s">
        <v>98</v>
      </c>
      <c r="O3025" s="91">
        <v>23913.360000000001</v>
      </c>
      <c r="P3025" s="91"/>
      <c r="Q3025" s="42">
        <f>OfficeForms.Table[[#This Row],[ INFORMEDEPAGO ]]*0.3</f>
        <v>7174.0079999999998</v>
      </c>
      <c r="R3025" s="12">
        <f t="shared" ref="R3025:R3026" si="21">(IF(O3025&lt;4172.98,0,MIN(O3025*0.3,O3025-4172.98)))-P3025</f>
        <v>7174.0079999999998</v>
      </c>
      <c r="S3025" s="78"/>
      <c r="T3025" s="1"/>
      <c r="V3025" s="1"/>
      <c r="X3025" s="101">
        <v>0</v>
      </c>
    </row>
    <row r="3026" spans="1:24" hidden="1">
      <c r="A3026">
        <v>1434</v>
      </c>
      <c r="B3026" s="2">
        <v>46241.618182870399</v>
      </c>
      <c r="C3026" s="2">
        <v>46241.618784722203</v>
      </c>
      <c r="D3026" s="1" t="s">
        <v>24</v>
      </c>
      <c r="E3026" s="1"/>
      <c r="F3026" s="29">
        <v>46241</v>
      </c>
      <c r="G3026" s="29">
        <v>46240</v>
      </c>
      <c r="H3026" s="1" t="s">
        <v>269</v>
      </c>
      <c r="I3026" s="126" t="s">
        <v>6786</v>
      </c>
      <c r="J3026" s="207"/>
      <c r="K3026" s="176" t="s">
        <v>6787</v>
      </c>
      <c r="L3026" s="62">
        <v>23434434</v>
      </c>
      <c r="M3026" s="30">
        <v>5218441980835</v>
      </c>
      <c r="N3026" s="172" t="s">
        <v>28</v>
      </c>
      <c r="O3026" s="91">
        <v>5617.63</v>
      </c>
      <c r="P3026" s="91"/>
      <c r="Q3026" s="42">
        <f>OfficeForms.Table[[#This Row],[ INFORMEDEPAGO ]]*0.3</f>
        <v>1685.289</v>
      </c>
      <c r="R3026" s="12">
        <f t="shared" si="21"/>
        <v>1444.6500000000005</v>
      </c>
      <c r="S3026" s="78"/>
      <c r="T3026" s="1"/>
      <c r="V3026" s="1"/>
      <c r="X3026" s="101">
        <v>1</v>
      </c>
    </row>
    <row r="3027" spans="1:24" hidden="1">
      <c r="A3027">
        <v>1435</v>
      </c>
      <c r="B3027" s="2">
        <v>46241.622002314798</v>
      </c>
      <c r="C3027" s="2">
        <v>46241.622893518499</v>
      </c>
      <c r="D3027" s="1" t="s">
        <v>24</v>
      </c>
      <c r="E3027" s="1"/>
      <c r="F3027" s="29">
        <v>46241</v>
      </c>
      <c r="G3027" s="29">
        <v>46222</v>
      </c>
      <c r="H3027" s="1" t="s">
        <v>71</v>
      </c>
      <c r="I3027" s="126" t="s">
        <v>6788</v>
      </c>
      <c r="J3027" s="207" t="s">
        <v>6789</v>
      </c>
      <c r="K3027" s="176"/>
      <c r="L3027" s="62">
        <v>22833088</v>
      </c>
      <c r="M3027" s="30">
        <v>5218261690772</v>
      </c>
      <c r="N3027" s="172" t="s">
        <v>74</v>
      </c>
      <c r="O3027" s="91"/>
      <c r="P3027" s="91"/>
      <c r="Q3027" s="42">
        <f>OfficeForms.Table[[#This Row],[ INFORMEDEPAGO ]]*0.3</f>
        <v>0</v>
      </c>
      <c r="R3027" s="12">
        <f t="shared" ref="R3027:R3028" si="22">(IF(O3027&lt;4172.98,0,MIN(O3027*0.3,O3027-4172.98)))-P3027</f>
        <v>0</v>
      </c>
      <c r="S3027" s="78"/>
      <c r="T3027" s="1"/>
      <c r="V3027" s="1"/>
      <c r="X3027" s="101">
        <v>1</v>
      </c>
    </row>
    <row r="3028" spans="1:24" hidden="1">
      <c r="A3028">
        <v>1436</v>
      </c>
      <c r="B3028" s="2">
        <v>46241.608819444402</v>
      </c>
      <c r="C3028" s="2">
        <v>46241.627407407403</v>
      </c>
      <c r="D3028" s="1" t="s">
        <v>24</v>
      </c>
      <c r="E3028" s="1"/>
      <c r="F3028" s="29">
        <v>46241</v>
      </c>
      <c r="G3028" s="29">
        <v>46240</v>
      </c>
      <c r="H3028" s="1" t="s">
        <v>51</v>
      </c>
      <c r="I3028" s="126" t="s">
        <v>6790</v>
      </c>
      <c r="J3028" s="207"/>
      <c r="K3028" s="176" t="s">
        <v>6791</v>
      </c>
      <c r="L3028" s="62">
        <v>23435078</v>
      </c>
      <c r="M3028" s="30">
        <v>5214442147814</v>
      </c>
      <c r="N3028" s="172" t="s">
        <v>235</v>
      </c>
      <c r="O3028" s="91"/>
      <c r="P3028" s="91"/>
      <c r="Q3028" s="42">
        <f>OfficeForms.Table[[#This Row],[ INFORMEDEPAGO ]]*0.3</f>
        <v>0</v>
      </c>
      <c r="R3028" s="12">
        <f t="shared" si="22"/>
        <v>0</v>
      </c>
      <c r="S3028" s="78"/>
      <c r="T3028" s="1"/>
      <c r="V3028" s="1"/>
      <c r="X3028" s="101">
        <v>1</v>
      </c>
    </row>
    <row r="3029" spans="1:24" hidden="1">
      <c r="A3029">
        <v>1437</v>
      </c>
      <c r="B3029" s="2">
        <v>46241.628483796303</v>
      </c>
      <c r="C3029" s="2">
        <v>46241.629675925898</v>
      </c>
      <c r="D3029" s="1" t="s">
        <v>24</v>
      </c>
      <c r="E3029" s="1"/>
      <c r="F3029" s="29">
        <v>46241</v>
      </c>
      <c r="G3029" s="29">
        <v>46240</v>
      </c>
      <c r="H3029" s="1" t="s">
        <v>5605</v>
      </c>
      <c r="I3029" s="126" t="s">
        <v>6792</v>
      </c>
      <c r="J3029" s="207"/>
      <c r="K3029" s="176" t="s">
        <v>6793</v>
      </c>
      <c r="L3029" s="62">
        <v>23428236</v>
      </c>
      <c r="M3029" s="30">
        <v>6671364022</v>
      </c>
      <c r="N3029" s="172" t="s">
        <v>32</v>
      </c>
      <c r="O3029" s="91">
        <f>3151.13+848</f>
        <v>3999.13</v>
      </c>
      <c r="P3029" s="91">
        <v>848</v>
      </c>
      <c r="Q3029" s="42">
        <f>OfficeForms.Table[[#This Row],[ INFORMEDEPAGO ]]*0.3</f>
        <v>1199.739</v>
      </c>
      <c r="R3029" s="12">
        <f t="shared" ref="R3029:R3031" si="23">(IF(O3029&lt;4172.98,0,MIN(O3029*0.3,O3029-4172.98)))-P3029</f>
        <v>-848</v>
      </c>
      <c r="S3029" s="78"/>
      <c r="T3029" s="1"/>
      <c r="V3029" s="1"/>
      <c r="X3029" s="101">
        <v>1</v>
      </c>
    </row>
    <row r="3030" spans="1:24" hidden="1">
      <c r="A3030">
        <v>1438</v>
      </c>
      <c r="B3030" s="2">
        <v>46241.490138888897</v>
      </c>
      <c r="C3030" s="2">
        <v>46241.630462963003</v>
      </c>
      <c r="D3030" s="1" t="s">
        <v>24</v>
      </c>
      <c r="E3030" s="1"/>
      <c r="F3030" s="29">
        <v>46241</v>
      </c>
      <c r="G3030" s="29">
        <v>46241</v>
      </c>
      <c r="H3030" s="1" t="s">
        <v>1625</v>
      </c>
      <c r="I3030" s="126" t="s">
        <v>6794</v>
      </c>
      <c r="J3030" s="207" t="s">
        <v>6795</v>
      </c>
      <c r="K3030" s="176" t="s">
        <v>6796</v>
      </c>
      <c r="L3030" s="62">
        <v>2</v>
      </c>
      <c r="M3030" s="30">
        <v>5636705608</v>
      </c>
      <c r="N3030" s="172" t="s">
        <v>37</v>
      </c>
      <c r="O3030" s="91">
        <v>30033.93</v>
      </c>
      <c r="P3030" s="91">
        <v>9009.5400000000009</v>
      </c>
      <c r="Q3030" s="42">
        <f>OfficeForms.Table[[#This Row],[ INFORMEDEPAGO ]]*0.3</f>
        <v>9010.1790000000001</v>
      </c>
      <c r="R3030" s="12">
        <f t="shared" si="23"/>
        <v>0.6389999999992142</v>
      </c>
      <c r="S3030" s="78">
        <v>46600</v>
      </c>
      <c r="T3030" s="1"/>
      <c r="V3030" s="1"/>
      <c r="X3030" s="101">
        <v>2</v>
      </c>
    </row>
    <row r="3031" spans="1:24" hidden="1">
      <c r="A3031">
        <v>1439</v>
      </c>
      <c r="B3031" s="2">
        <v>46241.624618055597</v>
      </c>
      <c r="C3031" s="2">
        <v>46241.6322685185</v>
      </c>
      <c r="D3031" s="1" t="s">
        <v>24</v>
      </c>
      <c r="E3031" s="1"/>
      <c r="F3031" s="29">
        <v>46241</v>
      </c>
      <c r="G3031" s="29">
        <v>46241</v>
      </c>
      <c r="H3031" s="1" t="s">
        <v>2908</v>
      </c>
      <c r="I3031" s="126" t="s">
        <v>6797</v>
      </c>
      <c r="J3031" s="207">
        <v>62806217162</v>
      </c>
      <c r="K3031" s="176" t="s">
        <v>6798</v>
      </c>
      <c r="L3031" s="62">
        <v>2</v>
      </c>
      <c r="M3031" s="30">
        <v>5212223465510</v>
      </c>
      <c r="N3031" s="172" t="s">
        <v>37</v>
      </c>
      <c r="O3031" s="91">
        <v>27875.55</v>
      </c>
      <c r="P3031" s="91">
        <v>8363.2099999999991</v>
      </c>
      <c r="Q3031" s="42">
        <f>OfficeForms.Table[[#This Row],[ INFORMEDEPAGO ]]*0.3</f>
        <v>8362.6649999999991</v>
      </c>
      <c r="R3031" s="12">
        <f t="shared" si="23"/>
        <v>-0.54500000000007276</v>
      </c>
      <c r="S3031" s="78">
        <v>46357</v>
      </c>
      <c r="T3031" s="1"/>
      <c r="V3031" s="1"/>
      <c r="X3031" s="101">
        <v>2</v>
      </c>
    </row>
    <row r="3032" spans="1:24" hidden="1">
      <c r="A3032">
        <v>1440</v>
      </c>
      <c r="B3032" s="2">
        <v>46241.639675925901</v>
      </c>
      <c r="C3032" s="2">
        <v>46241.640914351898</v>
      </c>
      <c r="D3032" s="1" t="s">
        <v>24</v>
      </c>
      <c r="E3032" s="1"/>
      <c r="F3032" s="29">
        <v>46241</v>
      </c>
      <c r="G3032" s="29">
        <v>46241</v>
      </c>
      <c r="H3032" s="1" t="s">
        <v>71</v>
      </c>
      <c r="I3032" s="126" t="s">
        <v>6799</v>
      </c>
      <c r="J3032" s="207"/>
      <c r="K3032" s="176" t="s">
        <v>6800</v>
      </c>
      <c r="L3032" s="62">
        <v>23456508</v>
      </c>
      <c r="M3032" s="30">
        <v>5217341566584</v>
      </c>
      <c r="N3032" s="172" t="s">
        <v>98</v>
      </c>
      <c r="O3032" s="91"/>
      <c r="P3032" s="91"/>
      <c r="Q3032" s="42">
        <f>OfficeForms.Table[[#This Row],[ INFORMEDEPAGO ]]*0.3</f>
        <v>0</v>
      </c>
      <c r="R3032" s="12">
        <f t="shared" ref="R3032" si="24">(IF(O3032&lt;4172.98,0,MIN(O3032*0.3,O3032-4172.98)))-P3032</f>
        <v>0</v>
      </c>
      <c r="S3032" s="78"/>
      <c r="T3032" s="1"/>
      <c r="V3032" s="1"/>
      <c r="X3032" s="101">
        <v>0</v>
      </c>
    </row>
    <row r="3033" spans="1:24" hidden="1">
      <c r="A3033">
        <v>1442</v>
      </c>
      <c r="B3033" s="2">
        <v>46241.648807870399</v>
      </c>
      <c r="C3033" s="2">
        <v>46241.649629629603</v>
      </c>
      <c r="D3033" s="1" t="s">
        <v>24</v>
      </c>
      <c r="E3033" s="1"/>
      <c r="F3033" s="29">
        <v>46241</v>
      </c>
      <c r="G3033" s="29">
        <v>46241</v>
      </c>
      <c r="H3033" s="1" t="s">
        <v>1629</v>
      </c>
      <c r="I3033" s="126" t="s">
        <v>6801</v>
      </c>
      <c r="J3033" s="207">
        <v>20886100930</v>
      </c>
      <c r="K3033" s="176" t="s">
        <v>6802</v>
      </c>
      <c r="L3033" s="62">
        <v>2</v>
      </c>
      <c r="M3033" s="30" t="s">
        <v>6803</v>
      </c>
      <c r="N3033" s="172" t="s">
        <v>263</v>
      </c>
      <c r="O3033" s="91">
        <v>30255.48</v>
      </c>
      <c r="P3033" s="91">
        <v>9060.4699999999993</v>
      </c>
      <c r="Q3033" s="42">
        <f>OfficeForms.Table[[#This Row],[ INFORMEDEPAGO ]]*0.3</f>
        <v>9076.6440000000002</v>
      </c>
      <c r="R3033" s="12">
        <f t="shared" ref="R3033" si="25">(IF(O3033&lt;4172.98,0,MIN(O3033*0.3,O3033-4172.98)))-P3033</f>
        <v>16.174000000000888</v>
      </c>
      <c r="S3033" s="78">
        <v>46235</v>
      </c>
      <c r="T3033" s="1" t="s">
        <v>192</v>
      </c>
      <c r="V3033" s="1"/>
      <c r="X3033" s="101">
        <v>2</v>
      </c>
    </row>
    <row r="3034" spans="1:24" hidden="1">
      <c r="A3034">
        <v>1443</v>
      </c>
      <c r="B3034" s="2">
        <v>46241.651458333297</v>
      </c>
      <c r="C3034" s="2">
        <v>46241.652002314797</v>
      </c>
      <c r="D3034" s="1" t="s">
        <v>24</v>
      </c>
      <c r="E3034" s="1"/>
      <c r="F3034" s="29">
        <v>46241</v>
      </c>
      <c r="G3034" s="29">
        <v>46241</v>
      </c>
      <c r="H3034" s="1" t="s">
        <v>103</v>
      </c>
      <c r="I3034" s="126" t="s">
        <v>6804</v>
      </c>
      <c r="J3034" s="207"/>
      <c r="K3034" s="176" t="s">
        <v>6805</v>
      </c>
      <c r="L3034" s="62">
        <v>1</v>
      </c>
      <c r="M3034" s="30">
        <v>9987565520</v>
      </c>
      <c r="N3034" s="172" t="s">
        <v>32</v>
      </c>
      <c r="O3034" s="91">
        <v>4481.3900000000003</v>
      </c>
      <c r="P3034" s="91">
        <v>251.76</v>
      </c>
      <c r="Q3034" s="42">
        <f>OfficeForms.Table[[#This Row],[ INFORMEDEPAGO ]]*0.3</f>
        <v>1344.4170000000001</v>
      </c>
      <c r="R3034" s="12">
        <f t="shared" ref="R3034" si="26">(IF(O3034&lt;4172.98,0,MIN(O3034*0.3,O3034-4172.98)))-P3034</f>
        <v>56.650000000000773</v>
      </c>
      <c r="S3034" s="78"/>
      <c r="T3034" s="1"/>
      <c r="V3034" s="1"/>
      <c r="X3034" s="101">
        <v>1</v>
      </c>
    </row>
    <row r="3035" spans="1:24" hidden="1">
      <c r="A3035">
        <v>1444</v>
      </c>
      <c r="B3035" s="2">
        <v>46241.627418981501</v>
      </c>
      <c r="C3035" s="2">
        <v>46241.661435185197</v>
      </c>
      <c r="D3035" s="1" t="s">
        <v>24</v>
      </c>
      <c r="E3035" s="1"/>
      <c r="F3035" s="29">
        <v>46241</v>
      </c>
      <c r="G3035" s="29">
        <v>46241</v>
      </c>
      <c r="H3035" s="1" t="s">
        <v>51</v>
      </c>
      <c r="I3035" s="126" t="s">
        <v>6806</v>
      </c>
      <c r="J3035" s="207"/>
      <c r="K3035" s="176" t="s">
        <v>6807</v>
      </c>
      <c r="L3035" s="62">
        <v>23448286</v>
      </c>
      <c r="M3035" s="30">
        <v>5219512212415</v>
      </c>
      <c r="N3035" s="172" t="s">
        <v>37</v>
      </c>
      <c r="O3035" s="91">
        <v>10636.54</v>
      </c>
      <c r="P3035" s="91">
        <v>3190.96</v>
      </c>
      <c r="Q3035" s="42">
        <f>OfficeForms.Table[[#This Row],[ INFORMEDEPAGO ]]*0.3</f>
        <v>3190.962</v>
      </c>
      <c r="R3035" s="12">
        <f t="shared" ref="R3035" si="27">(IF(O3035&lt;4172.98,0,MIN(O3035*0.3,O3035-4172.98)))-P3035</f>
        <v>1.9999999999527063E-3</v>
      </c>
      <c r="S3035" s="78">
        <v>46874</v>
      </c>
      <c r="T3035" s="1"/>
      <c r="V3035" s="1"/>
      <c r="X3035" s="101">
        <v>2</v>
      </c>
    </row>
    <row r="3036" spans="1:24" hidden="1">
      <c r="A3036">
        <v>1445</v>
      </c>
      <c r="B3036" s="2">
        <v>46241.661446759303</v>
      </c>
      <c r="C3036" s="2">
        <v>46241.666840277801</v>
      </c>
      <c r="D3036" s="1" t="s">
        <v>24</v>
      </c>
      <c r="E3036" s="1"/>
      <c r="F3036" s="29">
        <v>46241</v>
      </c>
      <c r="G3036" s="29">
        <v>46241</v>
      </c>
      <c r="H3036" s="1" t="s">
        <v>51</v>
      </c>
      <c r="I3036" s="126" t="s">
        <v>6808</v>
      </c>
      <c r="J3036" s="207"/>
      <c r="K3036" s="176" t="s">
        <v>6809</v>
      </c>
      <c r="L3036" s="62">
        <v>23448922</v>
      </c>
      <c r="M3036" s="30">
        <v>5218993412253</v>
      </c>
      <c r="N3036" s="172" t="s">
        <v>32</v>
      </c>
      <c r="O3036" s="91">
        <v>4342.43</v>
      </c>
      <c r="P3036" s="91"/>
      <c r="Q3036" s="42">
        <f>OfficeForms.Table[[#This Row],[ INFORMEDEPAGO ]]*0.3</f>
        <v>1302.729</v>
      </c>
      <c r="R3036" s="12">
        <f t="shared" ref="R3036" si="28">(IF(O3036&lt;4172.98,0,MIN(O3036*0.3,O3036-4172.98)))-P3036</f>
        <v>169.45000000000073</v>
      </c>
      <c r="S3036" s="78"/>
      <c r="T3036" s="1"/>
      <c r="V3036" s="1"/>
      <c r="X3036" s="101">
        <v>1</v>
      </c>
    </row>
    <row r="3037" spans="1:24" hidden="1">
      <c r="A3037">
        <v>1446</v>
      </c>
      <c r="B3037" s="2">
        <v>46241.6653240741</v>
      </c>
      <c r="C3037" s="2">
        <v>46241.668553240699</v>
      </c>
      <c r="D3037" s="1" t="s">
        <v>24</v>
      </c>
      <c r="E3037" s="1"/>
      <c r="F3037" s="29">
        <v>46241</v>
      </c>
      <c r="G3037" s="29">
        <v>46240</v>
      </c>
      <c r="H3037" s="1" t="s">
        <v>78</v>
      </c>
      <c r="I3037" s="126" t="s">
        <v>6810</v>
      </c>
      <c r="J3037" s="207">
        <v>24785807660</v>
      </c>
      <c r="K3037" s="176" t="s">
        <v>6811</v>
      </c>
      <c r="L3037" s="62">
        <v>23436050</v>
      </c>
      <c r="M3037" s="30">
        <v>5216691960022</v>
      </c>
      <c r="N3037" s="172" t="s">
        <v>106</v>
      </c>
      <c r="O3037" s="91">
        <v>19606.330000000002</v>
      </c>
      <c r="P3037" s="91">
        <v>4551.87</v>
      </c>
      <c r="Q3037" s="42">
        <f>OfficeForms.Table[[#This Row],[ INFORMEDEPAGO ]]*0.3</f>
        <v>5881.8990000000003</v>
      </c>
      <c r="R3037" s="12">
        <f t="shared" ref="R3037:R3040" si="29">(IF(O3037&lt;4172.98,0,MIN(O3037*0.3,O3037-4172.98)))-P3037</f>
        <v>1330.0290000000005</v>
      </c>
      <c r="S3037" s="78">
        <v>46235</v>
      </c>
      <c r="T3037" s="1"/>
      <c r="V3037" s="1"/>
      <c r="X3037" s="101">
        <v>2</v>
      </c>
    </row>
    <row r="3038" spans="1:24" hidden="1">
      <c r="A3038">
        <v>1447</v>
      </c>
      <c r="B3038" s="2">
        <v>46241.663101851896</v>
      </c>
      <c r="C3038" s="2">
        <v>46241.668680555602</v>
      </c>
      <c r="D3038" s="1" t="s">
        <v>24</v>
      </c>
      <c r="E3038" s="1"/>
      <c r="F3038" s="29">
        <v>46241</v>
      </c>
      <c r="G3038" s="29">
        <v>46241</v>
      </c>
      <c r="H3038" s="1" t="s">
        <v>78</v>
      </c>
      <c r="I3038" s="126" t="s">
        <v>6812</v>
      </c>
      <c r="J3038" s="207">
        <v>41836606057</v>
      </c>
      <c r="K3038" s="176" t="s">
        <v>6813</v>
      </c>
      <c r="L3038" s="62">
        <v>23447402</v>
      </c>
      <c r="M3038" s="30">
        <v>5214444188276</v>
      </c>
      <c r="N3038" s="172" t="s">
        <v>37</v>
      </c>
      <c r="O3038" s="91">
        <v>10636.54</v>
      </c>
      <c r="P3038" s="91">
        <v>3190.63</v>
      </c>
      <c r="Q3038" s="42">
        <f>OfficeForms.Table[[#This Row],[ INFORMEDEPAGO ]]*0.3</f>
        <v>3190.962</v>
      </c>
      <c r="R3038" s="12">
        <f t="shared" si="29"/>
        <v>0.33199999999987995</v>
      </c>
      <c r="S3038" s="78">
        <v>46935</v>
      </c>
      <c r="T3038" s="1" t="s">
        <v>259</v>
      </c>
      <c r="V3038" s="1"/>
      <c r="X3038" s="101">
        <v>2</v>
      </c>
    </row>
    <row r="3039" spans="1:24" hidden="1">
      <c r="A3039">
        <v>1448</v>
      </c>
      <c r="B3039" s="2">
        <v>46241.663124999999</v>
      </c>
      <c r="C3039" s="2">
        <v>46241.668993055602</v>
      </c>
      <c r="D3039" s="1" t="s">
        <v>24</v>
      </c>
      <c r="E3039" s="1"/>
      <c r="F3039" s="29">
        <v>46241</v>
      </c>
      <c r="G3039" s="29">
        <v>46241</v>
      </c>
      <c r="H3039" s="1" t="s">
        <v>78</v>
      </c>
      <c r="I3039" s="126" t="s">
        <v>6814</v>
      </c>
      <c r="J3039" s="207">
        <v>32886980302</v>
      </c>
      <c r="K3039" s="176" t="s">
        <v>6815</v>
      </c>
      <c r="L3039" s="62">
        <v>23453614</v>
      </c>
      <c r="M3039" s="30">
        <v>5218446699339</v>
      </c>
      <c r="N3039" s="172" t="s">
        <v>37</v>
      </c>
      <c r="O3039" s="91">
        <v>9081.49</v>
      </c>
      <c r="P3039" s="91">
        <v>2617.0100000000002</v>
      </c>
      <c r="Q3039" s="42">
        <f>OfficeForms.Table[[#This Row],[ INFORMEDEPAGO ]]*0.3</f>
        <v>2724.4469999999997</v>
      </c>
      <c r="R3039" s="12">
        <f t="shared" si="29"/>
        <v>107.43699999999944</v>
      </c>
      <c r="S3039" s="78">
        <v>46478</v>
      </c>
      <c r="T3039" s="1" t="s">
        <v>259</v>
      </c>
      <c r="V3039" s="1"/>
      <c r="X3039" s="101">
        <v>2</v>
      </c>
    </row>
    <row r="3040" spans="1:24" hidden="1">
      <c r="A3040">
        <v>1449</v>
      </c>
      <c r="B3040" s="2">
        <v>46241.669513888897</v>
      </c>
      <c r="C3040" s="2">
        <v>46241.670185185198</v>
      </c>
      <c r="D3040" s="1" t="s">
        <v>24</v>
      </c>
      <c r="E3040" s="1"/>
      <c r="F3040" s="29">
        <v>46241</v>
      </c>
      <c r="G3040" s="29">
        <v>46241</v>
      </c>
      <c r="H3040" s="1" t="s">
        <v>71</v>
      </c>
      <c r="I3040" s="126" t="s">
        <v>6816</v>
      </c>
      <c r="J3040" s="207" t="s">
        <v>6817</v>
      </c>
      <c r="K3040" s="176"/>
      <c r="L3040" s="62">
        <v>23458484</v>
      </c>
      <c r="M3040" s="30">
        <v>5218114852631</v>
      </c>
      <c r="N3040" s="172" t="s">
        <v>28</v>
      </c>
      <c r="O3040" s="91">
        <v>19941.810000000001</v>
      </c>
      <c r="P3040" s="91"/>
      <c r="Q3040" s="42">
        <f>OfficeForms.Table[[#This Row],[ INFORMEDEPAGO ]]*0.3</f>
        <v>5982.5430000000006</v>
      </c>
      <c r="R3040" s="12">
        <f t="shared" si="29"/>
        <v>5982.5430000000006</v>
      </c>
      <c r="S3040" s="78"/>
      <c r="T3040" s="1"/>
      <c r="V3040" s="1"/>
      <c r="X3040" s="101">
        <v>1</v>
      </c>
    </row>
    <row r="3041" spans="1:24" hidden="1">
      <c r="A3041">
        <v>1450</v>
      </c>
      <c r="B3041" s="2">
        <v>46241.688634259299</v>
      </c>
      <c r="C3041" s="2">
        <v>46241.690520833297</v>
      </c>
      <c r="D3041" s="1" t="s">
        <v>24</v>
      </c>
      <c r="E3041" s="1"/>
      <c r="F3041" s="29">
        <v>46241</v>
      </c>
      <c r="G3041" s="29">
        <v>46241</v>
      </c>
      <c r="H3041" s="1" t="s">
        <v>476</v>
      </c>
      <c r="I3041" s="126" t="s">
        <v>6818</v>
      </c>
      <c r="J3041" s="207"/>
      <c r="K3041" s="176" t="s">
        <v>6819</v>
      </c>
      <c r="L3041" s="62">
        <v>23458774</v>
      </c>
      <c r="M3041" s="30">
        <v>5215547202472</v>
      </c>
      <c r="N3041" s="172" t="s">
        <v>28</v>
      </c>
      <c r="O3041" s="91">
        <v>9760.32</v>
      </c>
      <c r="P3041" s="91"/>
      <c r="Q3041" s="42">
        <f>OfficeForms.Table[[#This Row],[ INFORMEDEPAGO ]]*0.3</f>
        <v>2928.096</v>
      </c>
      <c r="R3041" s="12">
        <f t="shared" ref="R3041:R3042" si="30">(IF(O3041&lt;4172.98,0,MIN(O3041*0.3,O3041-4172.98)))-P3041</f>
        <v>2928.096</v>
      </c>
      <c r="S3041" s="78"/>
      <c r="T3041" s="1"/>
      <c r="V3041" s="1"/>
      <c r="X3041" s="101">
        <v>1</v>
      </c>
    </row>
    <row r="3042" spans="1:24" hidden="1">
      <c r="A3042">
        <v>1451</v>
      </c>
      <c r="B3042" s="2">
        <v>46241.692129629599</v>
      </c>
      <c r="C3042" s="2">
        <v>46241.696469907401</v>
      </c>
      <c r="D3042" s="1" t="s">
        <v>24</v>
      </c>
      <c r="E3042" s="1"/>
      <c r="F3042" s="29">
        <v>46241</v>
      </c>
      <c r="G3042" s="29">
        <v>46241</v>
      </c>
      <c r="H3042" s="1" t="s">
        <v>78</v>
      </c>
      <c r="I3042" s="126" t="s">
        <v>6820</v>
      </c>
      <c r="J3042" s="207">
        <v>96906512296</v>
      </c>
      <c r="K3042" s="176" t="s">
        <v>6821</v>
      </c>
      <c r="L3042" s="62">
        <v>23446792</v>
      </c>
      <c r="M3042" s="30">
        <v>5215648592755</v>
      </c>
      <c r="N3042" s="172" t="s">
        <v>235</v>
      </c>
      <c r="O3042" s="91"/>
      <c r="P3042" s="91"/>
      <c r="Q3042" s="42">
        <f>OfficeForms.Table[[#This Row],[ INFORMEDEPAGO ]]*0.3</f>
        <v>0</v>
      </c>
      <c r="R3042" s="12">
        <f t="shared" si="30"/>
        <v>0</v>
      </c>
      <c r="S3042" s="78"/>
      <c r="T3042" s="1"/>
      <c r="V3042" s="1"/>
      <c r="X3042" s="101">
        <v>1</v>
      </c>
    </row>
    <row r="3043" spans="1:24" hidden="1">
      <c r="A3043">
        <v>1453</v>
      </c>
      <c r="B3043" s="2">
        <v>46241.7044328704</v>
      </c>
      <c r="C3043" s="2">
        <v>46241.708391203698</v>
      </c>
      <c r="D3043" s="1" t="s">
        <v>24</v>
      </c>
      <c r="E3043" s="1"/>
      <c r="F3043" s="29">
        <v>46241</v>
      </c>
      <c r="G3043" s="29">
        <v>46241</v>
      </c>
      <c r="H3043" s="1" t="s">
        <v>110</v>
      </c>
      <c r="I3043" s="126" t="s">
        <v>6822</v>
      </c>
      <c r="J3043" s="207">
        <v>78916903129</v>
      </c>
      <c r="K3043" s="176"/>
      <c r="L3043" s="62">
        <v>23374278</v>
      </c>
      <c r="M3043" s="30">
        <v>5219531140146</v>
      </c>
      <c r="N3043" s="172" t="s">
        <v>98</v>
      </c>
      <c r="O3043" s="91"/>
      <c r="P3043" s="91"/>
      <c r="Q3043" s="42">
        <f>OfficeForms.Table[[#This Row],[ INFORMEDEPAGO ]]*0.3</f>
        <v>0</v>
      </c>
      <c r="R3043" s="12">
        <f>(IF(O3043&lt;4172.98,0,MIN(O3043*0.3,O3043-4172.98)))-P3043</f>
        <v>0</v>
      </c>
      <c r="S3043" s="78"/>
      <c r="T3043" s="1"/>
      <c r="V3043" s="1"/>
      <c r="X3043" s="101">
        <v>0</v>
      </c>
    </row>
    <row r="3044" spans="1:24" hidden="1">
      <c r="A3044">
        <v>1454</v>
      </c>
      <c r="B3044" s="2">
        <v>46241.717326388898</v>
      </c>
      <c r="C3044" s="2">
        <v>46241.717812499999</v>
      </c>
      <c r="D3044" s="1" t="s">
        <v>24</v>
      </c>
      <c r="E3044" s="1"/>
      <c r="F3044" s="29">
        <v>46241</v>
      </c>
      <c r="G3044" s="29">
        <v>46241</v>
      </c>
      <c r="H3044" s="1" t="s">
        <v>269</v>
      </c>
      <c r="I3044" s="126" t="s">
        <v>6823</v>
      </c>
      <c r="J3044" s="207"/>
      <c r="K3044" s="176" t="s">
        <v>6824</v>
      </c>
      <c r="L3044" s="62">
        <v>23454080</v>
      </c>
      <c r="M3044" s="30">
        <v>5219211295665</v>
      </c>
      <c r="N3044" s="172" t="s">
        <v>32</v>
      </c>
      <c r="O3044" s="91">
        <v>4342.43</v>
      </c>
      <c r="P3044" s="91"/>
      <c r="Q3044" s="42">
        <f>OfficeForms.Table[[#This Row],[ INFORMEDEPAGO ]]*0.3</f>
        <v>1302.729</v>
      </c>
      <c r="R3044" s="12">
        <f>(IF(O3044&lt;4172.98,0,MIN(O3044*0.3,O3044-4172.98)))-P3044</f>
        <v>169.45000000000073</v>
      </c>
      <c r="S3044" s="78"/>
      <c r="T3044" s="1"/>
      <c r="V3044" s="1"/>
      <c r="X3044" s="101">
        <v>1</v>
      </c>
    </row>
    <row r="3045" spans="1:24" hidden="1">
      <c r="A3045">
        <v>1455</v>
      </c>
      <c r="B3045" s="2">
        <v>46241.721828703703</v>
      </c>
      <c r="C3045" s="2">
        <v>46241.722303240698</v>
      </c>
      <c r="D3045" s="1" t="s">
        <v>24</v>
      </c>
      <c r="E3045" s="1"/>
      <c r="F3045" s="29">
        <v>46241</v>
      </c>
      <c r="G3045" s="29">
        <v>46241</v>
      </c>
      <c r="H3045" s="1" t="s">
        <v>71</v>
      </c>
      <c r="I3045" s="126" t="s">
        <v>6825</v>
      </c>
      <c r="J3045" s="207" t="s">
        <v>6826</v>
      </c>
      <c r="K3045" s="176"/>
      <c r="L3045" s="62">
        <v>23458922</v>
      </c>
      <c r="M3045" s="30">
        <v>5217713225069</v>
      </c>
      <c r="N3045" s="172" t="s">
        <v>28</v>
      </c>
      <c r="O3045" s="91">
        <f>21627.63-10991.09</f>
        <v>10636.54</v>
      </c>
      <c r="P3045" s="91"/>
      <c r="Q3045" s="42">
        <f>OfficeForms.Table[[#This Row],[ INFORMEDEPAGO ]]*0.3</f>
        <v>3190.962</v>
      </c>
      <c r="R3045" s="12">
        <f>(IF(O3045&lt;4172.98,0,MIN(O3045*0.3,O3045-4172.98)))-P3045</f>
        <v>3190.962</v>
      </c>
      <c r="S3045" s="78"/>
      <c r="T3045" s="1"/>
      <c r="V3045" s="1"/>
      <c r="X3045" s="101">
        <v>1</v>
      </c>
    </row>
    <row r="3046" spans="1:24" hidden="1">
      <c r="A3046">
        <v>1456</v>
      </c>
      <c r="B3046" s="2">
        <v>46241.722349536998</v>
      </c>
      <c r="C3046" s="2">
        <v>46241.723356481503</v>
      </c>
      <c r="D3046" s="1" t="s">
        <v>24</v>
      </c>
      <c r="E3046" s="1"/>
      <c r="F3046" s="29">
        <v>46241</v>
      </c>
      <c r="G3046" s="29">
        <v>46233</v>
      </c>
      <c r="H3046" s="1" t="s">
        <v>3575</v>
      </c>
      <c r="I3046" s="126" t="s">
        <v>6827</v>
      </c>
      <c r="J3046" s="207">
        <v>33846738376</v>
      </c>
      <c r="K3046" s="176" t="s">
        <v>6828</v>
      </c>
      <c r="L3046" s="62">
        <v>23235692</v>
      </c>
      <c r="M3046" s="30">
        <v>5216562141753</v>
      </c>
      <c r="N3046" s="172" t="s">
        <v>37</v>
      </c>
      <c r="O3046" s="91">
        <v>7128.48</v>
      </c>
      <c r="P3046" s="91">
        <v>2060.92</v>
      </c>
      <c r="Q3046" s="42">
        <f>OfficeForms.Table[[#This Row],[ INFORMEDEPAGO ]]*0.3</f>
        <v>2138.5439999999999</v>
      </c>
      <c r="R3046" s="12">
        <f>(IF(O3046&lt;4172.98,0,MIN(O3046*0.3,O3046-4172.98)))-P3046</f>
        <v>77.623999999999796</v>
      </c>
      <c r="S3046" s="78">
        <v>46722</v>
      </c>
      <c r="T3046" s="1" t="s">
        <v>178</v>
      </c>
      <c r="V3046" s="1"/>
      <c r="X3046" s="101">
        <v>2</v>
      </c>
    </row>
    <row r="3047" spans="1:24" hidden="1">
      <c r="A3047">
        <v>1457</v>
      </c>
      <c r="B3047" s="2">
        <v>46241.6306944444</v>
      </c>
      <c r="C3047" s="2">
        <v>46241.724050925899</v>
      </c>
      <c r="D3047" s="1" t="s">
        <v>24</v>
      </c>
      <c r="E3047" s="1"/>
      <c r="F3047" s="29">
        <v>46241</v>
      </c>
      <c r="G3047" s="29">
        <v>46241</v>
      </c>
      <c r="H3047" s="1" t="s">
        <v>1625</v>
      </c>
      <c r="I3047" s="126" t="s">
        <v>6829</v>
      </c>
      <c r="J3047" s="207">
        <v>43836578658</v>
      </c>
      <c r="K3047" s="176" t="s">
        <v>6830</v>
      </c>
      <c r="L3047" s="62">
        <v>2</v>
      </c>
      <c r="M3047" s="30" t="s">
        <v>6831</v>
      </c>
      <c r="N3047" s="172" t="s">
        <v>28</v>
      </c>
      <c r="O3047" s="91">
        <f>8881.32+879</f>
        <v>9760.32</v>
      </c>
      <c r="P3047" s="91"/>
      <c r="Q3047" s="42">
        <f>OfficeForms.Table[[#This Row],[ INFORMEDEPAGO ]]*0.3</f>
        <v>2928.096</v>
      </c>
      <c r="R3047" s="12">
        <f>(IF(O3047&lt;4172.98,0,MIN(O3047*0.3,O3047-4172.98)))-P3047</f>
        <v>2928.096</v>
      </c>
      <c r="S3047" s="78"/>
      <c r="T3047" s="1"/>
      <c r="V3047" s="1"/>
      <c r="X3047" s="101">
        <v>1</v>
      </c>
    </row>
    <row r="3048" spans="1:24" hidden="1">
      <c r="A3048">
        <v>1458</v>
      </c>
      <c r="B3048" s="2">
        <v>46241.724432870396</v>
      </c>
      <c r="C3048" s="2">
        <v>46241.726817129602</v>
      </c>
      <c r="D3048" s="1" t="s">
        <v>24</v>
      </c>
      <c r="E3048" s="1"/>
      <c r="F3048" s="29">
        <v>46241</v>
      </c>
      <c r="G3048" s="29">
        <v>46241</v>
      </c>
      <c r="H3048" s="1" t="s">
        <v>110</v>
      </c>
      <c r="I3048" s="126" t="s">
        <v>2754</v>
      </c>
      <c r="J3048" s="207"/>
      <c r="K3048" s="176" t="s">
        <v>6832</v>
      </c>
      <c r="L3048" s="62">
        <v>23428638</v>
      </c>
      <c r="M3048" s="30">
        <v>5212841122714</v>
      </c>
      <c r="N3048" s="172" t="s">
        <v>37</v>
      </c>
      <c r="O3048" s="91">
        <v>9760.32</v>
      </c>
      <c r="P3048" s="91">
        <v>2823.89</v>
      </c>
      <c r="Q3048" s="42">
        <f>OfficeForms.Table[[#This Row],[ INFORMEDEPAGO ]]*0.3</f>
        <v>2928.096</v>
      </c>
      <c r="R3048" s="12">
        <f t="shared" ref="R3048:R3049" si="31">(IF(O3048&lt;4172.98,0,MIN(O3048*0.3,O3048-4172.98)))-P3048</f>
        <v>104.20600000000013</v>
      </c>
      <c r="S3048" s="78">
        <v>46722</v>
      </c>
      <c r="T3048" s="1" t="s">
        <v>192</v>
      </c>
      <c r="V3048" s="1"/>
      <c r="X3048" s="101">
        <v>2</v>
      </c>
    </row>
    <row r="3049" spans="1:24" hidden="1">
      <c r="A3049">
        <v>1459</v>
      </c>
      <c r="B3049" s="2">
        <v>46241.7260648148</v>
      </c>
      <c r="C3049" s="2">
        <v>46241.727812500001</v>
      </c>
      <c r="D3049" s="1" t="s">
        <v>24</v>
      </c>
      <c r="E3049" s="1"/>
      <c r="F3049" s="29">
        <v>46241</v>
      </c>
      <c r="G3049" s="29">
        <v>46241</v>
      </c>
      <c r="H3049" s="1" t="s">
        <v>71</v>
      </c>
      <c r="I3049" s="126" t="s">
        <v>6833</v>
      </c>
      <c r="J3049" s="207"/>
      <c r="K3049" s="176" t="s">
        <v>6834</v>
      </c>
      <c r="L3049" s="62">
        <v>23460048</v>
      </c>
      <c r="M3049" s="30">
        <v>8112030693</v>
      </c>
      <c r="N3049" s="172" t="s">
        <v>235</v>
      </c>
      <c r="O3049" s="91"/>
      <c r="P3049" s="91"/>
      <c r="Q3049" s="42">
        <f>OfficeForms.Table[[#This Row],[ INFORMEDEPAGO ]]*0.3</f>
        <v>0</v>
      </c>
      <c r="R3049" s="12">
        <f t="shared" si="31"/>
        <v>0</v>
      </c>
      <c r="S3049" s="78"/>
      <c r="T3049" s="1"/>
      <c r="V3049" s="1"/>
      <c r="X3049" s="101">
        <v>1</v>
      </c>
    </row>
    <row r="3050" spans="1:24" hidden="1">
      <c r="A3050">
        <v>1460</v>
      </c>
      <c r="B3050" s="2">
        <v>46241.7355439815</v>
      </c>
      <c r="C3050" s="2">
        <v>46241.736122685201</v>
      </c>
      <c r="D3050" s="1" t="s">
        <v>24</v>
      </c>
      <c r="E3050" s="1"/>
      <c r="F3050" s="29">
        <v>46241</v>
      </c>
      <c r="G3050" s="29">
        <v>46241</v>
      </c>
      <c r="H3050" s="1" t="s">
        <v>71</v>
      </c>
      <c r="I3050" s="126" t="s">
        <v>6835</v>
      </c>
      <c r="J3050" s="207" t="s">
        <v>6836</v>
      </c>
      <c r="K3050" s="176"/>
      <c r="L3050" s="62">
        <v>23459094</v>
      </c>
      <c r="M3050" s="30">
        <v>5216311105834</v>
      </c>
      <c r="N3050" s="172" t="s">
        <v>98</v>
      </c>
      <c r="O3050" s="91"/>
      <c r="P3050" s="91"/>
      <c r="Q3050" s="42">
        <f>OfficeForms.Table[[#This Row],[ INFORMEDEPAGO ]]*0.3</f>
        <v>0</v>
      </c>
      <c r="R3050" s="12">
        <f t="shared" ref="R3050:R3051" si="32">(IF(O3050&lt;4172.98,0,MIN(O3050*0.3,O3050-4172.98)))-P3050</f>
        <v>0</v>
      </c>
      <c r="S3050" s="78"/>
      <c r="T3050" s="1"/>
      <c r="V3050" s="1"/>
      <c r="X3050" s="101">
        <v>0</v>
      </c>
    </row>
    <row r="3051" spans="1:24" hidden="1">
      <c r="A3051">
        <v>1461</v>
      </c>
      <c r="B3051" s="2">
        <v>46241.731134259302</v>
      </c>
      <c r="C3051" s="2">
        <v>46241.738599536999</v>
      </c>
      <c r="D3051" s="1" t="s">
        <v>24</v>
      </c>
      <c r="E3051" s="1"/>
      <c r="F3051" s="29">
        <v>46241</v>
      </c>
      <c r="G3051" s="29">
        <v>46241</v>
      </c>
      <c r="H3051" s="1" t="s">
        <v>78</v>
      </c>
      <c r="I3051" s="126" t="s">
        <v>6837</v>
      </c>
      <c r="J3051" s="207"/>
      <c r="K3051" s="176" t="s">
        <v>6838</v>
      </c>
      <c r="L3051" s="62">
        <v>23449740</v>
      </c>
      <c r="M3051" s="30">
        <v>5218134156368</v>
      </c>
      <c r="N3051" s="172" t="s">
        <v>37</v>
      </c>
      <c r="O3051" s="91">
        <v>10171.24</v>
      </c>
      <c r="P3051" s="91">
        <v>2843.36</v>
      </c>
      <c r="Q3051" s="42">
        <f>OfficeForms.Table[[#This Row],[ INFORMEDEPAGO ]]*0.3</f>
        <v>3051.3719999999998</v>
      </c>
      <c r="R3051" s="12">
        <f t="shared" si="32"/>
        <v>208.01199999999972</v>
      </c>
      <c r="S3051" s="78">
        <v>46539</v>
      </c>
      <c r="T3051" s="1"/>
      <c r="V3051" s="1"/>
      <c r="X3051" s="101">
        <v>2</v>
      </c>
    </row>
    <row r="3052" spans="1:24" hidden="1">
      <c r="A3052">
        <v>1462</v>
      </c>
      <c r="B3052" s="2">
        <v>46241.738634259302</v>
      </c>
      <c r="C3052" s="2">
        <v>46241.743738425903</v>
      </c>
      <c r="D3052" s="1" t="s">
        <v>24</v>
      </c>
      <c r="E3052" s="1"/>
      <c r="F3052" s="29">
        <v>46241</v>
      </c>
      <c r="G3052" s="29">
        <v>46240</v>
      </c>
      <c r="H3052" s="1" t="s">
        <v>78</v>
      </c>
      <c r="I3052" s="126" t="s">
        <v>6839</v>
      </c>
      <c r="J3052" s="175" t="s">
        <v>6840</v>
      </c>
      <c r="K3052" s="171" t="s">
        <v>6841</v>
      </c>
      <c r="L3052" s="62">
        <v>23435926</v>
      </c>
      <c r="M3052" s="30">
        <v>23435926</v>
      </c>
      <c r="N3052" s="172" t="s">
        <v>37</v>
      </c>
      <c r="O3052" s="91">
        <v>9198.42</v>
      </c>
      <c r="P3052" s="91">
        <v>2648.19</v>
      </c>
      <c r="Q3052" s="42">
        <f>OfficeForms.Table[[#This Row],[ INFORMEDEPAGO ]]*0.3</f>
        <v>2759.5259999999998</v>
      </c>
      <c r="R3052" s="12">
        <f t="shared" ref="R3052" si="33">(IF(O3052&lt;4172.98,0,MIN(O3052*0.3,O3052-4172.98)))-P3052</f>
        <v>111.33599999999979</v>
      </c>
      <c r="S3052" s="78">
        <v>46600</v>
      </c>
      <c r="T3052" s="1"/>
      <c r="V3052" s="1"/>
      <c r="X3052" s="101">
        <v>2</v>
      </c>
    </row>
    <row r="3053" spans="1:24" hidden="1">
      <c r="A3053">
        <v>1463</v>
      </c>
      <c r="B3053" s="2">
        <v>46241.726840277799</v>
      </c>
      <c r="C3053" s="2">
        <v>46241.746736111098</v>
      </c>
      <c r="D3053" s="1" t="s">
        <v>24</v>
      </c>
      <c r="E3053" s="1"/>
      <c r="F3053" s="29">
        <v>46241</v>
      </c>
      <c r="G3053" s="29">
        <v>46241</v>
      </c>
      <c r="H3053" s="1" t="s">
        <v>110</v>
      </c>
      <c r="I3053" s="126" t="s">
        <v>6842</v>
      </c>
      <c r="J3053" s="175">
        <v>11796005244</v>
      </c>
      <c r="K3053" s="171"/>
      <c r="L3053" s="62">
        <v>23456194</v>
      </c>
      <c r="M3053" s="30">
        <v>5215521113393</v>
      </c>
      <c r="N3053" s="172" t="s">
        <v>37</v>
      </c>
      <c r="O3053" s="91">
        <v>7116.73</v>
      </c>
      <c r="P3053" s="91">
        <v>2059.04</v>
      </c>
      <c r="Q3053" s="42">
        <f>OfficeForms.Table[[#This Row],[ INFORMEDEPAGO ]]*0.3</f>
        <v>2135.0189999999998</v>
      </c>
      <c r="R3053" s="12">
        <f t="shared" ref="R3053" si="34">(IF(O3053&lt;4172.98,0,MIN(O3053*0.3,O3053-4172.98)))-P3053</f>
        <v>75.978999999999814</v>
      </c>
      <c r="S3053" s="78">
        <v>46508</v>
      </c>
      <c r="T3053" s="1"/>
      <c r="V3053" s="1"/>
      <c r="X3053" s="101">
        <v>2</v>
      </c>
    </row>
    <row r="3054" spans="1:24" hidden="1">
      <c r="A3054">
        <v>1464</v>
      </c>
      <c r="B3054" s="2">
        <v>46241.747766203698</v>
      </c>
      <c r="C3054" s="2">
        <v>46241.749085648102</v>
      </c>
      <c r="D3054" s="1" t="s">
        <v>24</v>
      </c>
      <c r="E3054" s="1"/>
      <c r="F3054" s="29">
        <v>46241</v>
      </c>
      <c r="G3054" s="29">
        <v>46241</v>
      </c>
      <c r="H3054" s="1" t="s">
        <v>476</v>
      </c>
      <c r="I3054" s="126" t="s">
        <v>6843</v>
      </c>
      <c r="J3054" s="175"/>
      <c r="K3054" s="171" t="s">
        <v>6844</v>
      </c>
      <c r="L3054" s="62">
        <v>23459946</v>
      </c>
      <c r="M3054" s="30">
        <v>5212283601868</v>
      </c>
      <c r="N3054" s="172" t="s">
        <v>37</v>
      </c>
      <c r="O3054" s="91">
        <v>6380.19</v>
      </c>
      <c r="P3054" s="91">
        <v>1835.27</v>
      </c>
      <c r="Q3054" s="42">
        <f>OfficeForms.Table[[#This Row],[ INFORMEDEPAGO ]]*0.3</f>
        <v>1914.0569999999998</v>
      </c>
      <c r="R3054" s="12">
        <f t="shared" ref="R3054" si="35">(IF(O3054&lt;4172.98,0,MIN(O3054*0.3,O3054-4172.98)))-P3054</f>
        <v>78.786999999999807</v>
      </c>
      <c r="S3054" s="78">
        <v>46539</v>
      </c>
      <c r="T3054" s="1" t="s">
        <v>84</v>
      </c>
      <c r="V3054" s="1"/>
      <c r="X3054" s="101">
        <v>2</v>
      </c>
    </row>
    <row r="3055" spans="1:24" hidden="1">
      <c r="A3055">
        <v>1465</v>
      </c>
      <c r="B3055" s="2">
        <v>46241.754548611098</v>
      </c>
      <c r="C3055" s="2">
        <v>46241.755046296297</v>
      </c>
      <c r="D3055" s="1" t="s">
        <v>24</v>
      </c>
      <c r="E3055" s="1"/>
      <c r="F3055" s="29">
        <v>46241</v>
      </c>
      <c r="G3055" s="29">
        <v>46241</v>
      </c>
      <c r="H3055" s="1" t="s">
        <v>110</v>
      </c>
      <c r="I3055" s="126" t="s">
        <v>6845</v>
      </c>
      <c r="J3055" s="175">
        <v>25947642184</v>
      </c>
      <c r="K3055" s="171"/>
      <c r="L3055" s="62">
        <v>23460044</v>
      </c>
      <c r="M3055" s="30">
        <v>5216647610662</v>
      </c>
      <c r="N3055" s="172" t="s">
        <v>28</v>
      </c>
      <c r="O3055" s="91">
        <v>9936.06</v>
      </c>
      <c r="P3055" s="91"/>
      <c r="Q3055" s="42">
        <f>OfficeForms.Table[[#This Row],[ INFORMEDEPAGO ]]*0.3</f>
        <v>2980.8179999999998</v>
      </c>
      <c r="R3055" s="12">
        <f t="shared" ref="R3055" si="36">(IF(O3055&lt;4172.98,0,MIN(O3055*0.3,O3055-4172.98)))-P3055</f>
        <v>2980.8179999999998</v>
      </c>
      <c r="S3055" s="78"/>
      <c r="T3055" s="1"/>
      <c r="V3055" s="1"/>
      <c r="X3055" s="101">
        <v>1</v>
      </c>
    </row>
    <row r="3056" spans="1:24" hidden="1">
      <c r="A3056">
        <v>1466</v>
      </c>
      <c r="B3056" s="2">
        <v>46241.770960648202</v>
      </c>
      <c r="C3056" s="2">
        <v>46241.772048611099</v>
      </c>
      <c r="D3056" s="1" t="s">
        <v>24</v>
      </c>
      <c r="E3056" s="1"/>
      <c r="F3056" s="29">
        <v>46241</v>
      </c>
      <c r="G3056" s="29">
        <v>46241</v>
      </c>
      <c r="H3056" s="1" t="s">
        <v>476</v>
      </c>
      <c r="I3056" s="126" t="s">
        <v>6846</v>
      </c>
      <c r="J3056" s="175">
        <v>43836426361</v>
      </c>
      <c r="K3056" s="171"/>
      <c r="L3056" s="62">
        <v>23460162</v>
      </c>
      <c r="M3056" s="30">
        <v>5218118498565</v>
      </c>
      <c r="N3056" s="172" t="s">
        <v>106</v>
      </c>
      <c r="O3056" s="91">
        <v>9081.52</v>
      </c>
      <c r="P3056" s="91">
        <v>2521</v>
      </c>
      <c r="Q3056" s="42">
        <f>OfficeForms.Table[[#This Row],[ INFORMEDEPAGO ]]*0.3</f>
        <v>2724.4560000000001</v>
      </c>
      <c r="R3056" s="12">
        <f t="shared" ref="R3056" si="37">(IF(O3056&lt;4172.98,0,MIN(O3056*0.3,O3056-4172.98)))-P3056</f>
        <v>203.45600000000013</v>
      </c>
      <c r="S3056" s="78">
        <v>46235</v>
      </c>
      <c r="T3056" s="1"/>
      <c r="V3056" s="1"/>
      <c r="X3056" s="101">
        <v>2</v>
      </c>
    </row>
    <row r="3057" spans="1:24" hidden="1">
      <c r="A3057">
        <v>1467</v>
      </c>
      <c r="B3057" s="2">
        <v>46241.777233796303</v>
      </c>
      <c r="C3057" s="2">
        <v>46241.778368055602</v>
      </c>
      <c r="D3057" s="1" t="s">
        <v>24</v>
      </c>
      <c r="E3057" s="1"/>
      <c r="F3057" s="29">
        <v>46241</v>
      </c>
      <c r="G3057" s="29">
        <v>46241</v>
      </c>
      <c r="H3057" s="1" t="s">
        <v>71</v>
      </c>
      <c r="I3057" s="126" t="s">
        <v>6847</v>
      </c>
      <c r="J3057" s="175"/>
      <c r="K3057" s="171" t="s">
        <v>6848</v>
      </c>
      <c r="L3057" s="62">
        <v>23461266</v>
      </c>
      <c r="M3057" s="30">
        <v>5216867270315</v>
      </c>
      <c r="N3057" s="172" t="s">
        <v>37</v>
      </c>
      <c r="O3057" s="91">
        <v>9081.52</v>
      </c>
      <c r="P3057" s="91">
        <v>2624.37</v>
      </c>
      <c r="Q3057" s="42">
        <f>OfficeForms.Table[[#This Row],[ INFORMEDEPAGO ]]*0.3</f>
        <v>2724.4560000000001</v>
      </c>
      <c r="R3057" s="12">
        <f t="shared" ref="R3057" si="38">(IF(O3057&lt;4172.98,0,MIN(O3057*0.3,O3057-4172.98)))-P3057</f>
        <v>100.08600000000024</v>
      </c>
      <c r="S3057" s="78">
        <v>46357</v>
      </c>
      <c r="T3057" s="1"/>
      <c r="V3057" s="1"/>
      <c r="X3057" s="101">
        <v>2</v>
      </c>
    </row>
    <row r="3058" spans="1:24" hidden="1">
      <c r="A3058">
        <v>1468</v>
      </c>
      <c r="B3058" s="2">
        <v>46241.786122685196</v>
      </c>
      <c r="C3058" s="2">
        <v>46241.787037037</v>
      </c>
      <c r="D3058" s="1" t="s">
        <v>24</v>
      </c>
      <c r="E3058" s="1"/>
      <c r="F3058" s="29">
        <v>46241</v>
      </c>
      <c r="G3058" s="29">
        <v>46241</v>
      </c>
      <c r="H3058" s="1" t="s">
        <v>90</v>
      </c>
      <c r="I3058" s="126" t="s">
        <v>6849</v>
      </c>
      <c r="J3058" s="175"/>
      <c r="K3058" s="171" t="s">
        <v>6850</v>
      </c>
      <c r="L3058" s="62">
        <v>1</v>
      </c>
      <c r="M3058" s="30">
        <v>6241777873</v>
      </c>
      <c r="N3058" s="172" t="s">
        <v>32</v>
      </c>
      <c r="O3058" s="91">
        <v>3818.93</v>
      </c>
      <c r="P3058" s="91">
        <v>848</v>
      </c>
      <c r="Q3058" s="42">
        <f>OfficeForms.Table[[#This Row],[ INFORMEDEPAGO ]]*0.3</f>
        <v>1145.6789999999999</v>
      </c>
      <c r="R3058" s="12">
        <f>(IF(O3058&lt;4172.98,0,MIN(O3058*0.3,O3058-4172.98)))-P3058</f>
        <v>-848</v>
      </c>
      <c r="S3058" s="78"/>
      <c r="T3058" s="1"/>
      <c r="V3058" s="1"/>
      <c r="X3058" s="101">
        <v>1</v>
      </c>
    </row>
    <row r="3059" spans="1:24" hidden="1">
      <c r="A3059">
        <v>1469</v>
      </c>
      <c r="B3059" s="2">
        <v>46241.7889699074</v>
      </c>
      <c r="C3059" s="2">
        <v>46241.790266203701</v>
      </c>
      <c r="D3059" s="1" t="s">
        <v>24</v>
      </c>
      <c r="E3059" s="1"/>
      <c r="F3059" s="29">
        <v>46241</v>
      </c>
      <c r="G3059" s="29">
        <v>46241</v>
      </c>
      <c r="H3059" s="1" t="s">
        <v>110</v>
      </c>
      <c r="I3059" s="126" t="s">
        <v>6851</v>
      </c>
      <c r="J3059" s="175">
        <v>49734705525</v>
      </c>
      <c r="K3059" s="171"/>
      <c r="L3059" s="62">
        <v>23461178</v>
      </c>
      <c r="M3059" s="30">
        <v>5217838323209</v>
      </c>
      <c r="N3059" s="172" t="s">
        <v>37</v>
      </c>
      <c r="O3059" s="91">
        <v>19134.95</v>
      </c>
      <c r="P3059" s="91">
        <v>5729.15</v>
      </c>
      <c r="Q3059" s="42">
        <f>OfficeForms.Table[[#This Row],[ INFORMEDEPAGO ]]*0.3</f>
        <v>5740.4849999999997</v>
      </c>
      <c r="R3059" s="12">
        <f>(IF(O3059&lt;4172.98,0,MIN(O3059*0.3,O3059-4172.98)))-P3059</f>
        <v>11.335000000000036</v>
      </c>
      <c r="S3059" s="78">
        <v>46539</v>
      </c>
      <c r="T3059" s="1" t="s">
        <v>259</v>
      </c>
      <c r="V3059" s="1"/>
      <c r="X3059" s="101">
        <v>2</v>
      </c>
    </row>
    <row r="3060" spans="1:24" hidden="1">
      <c r="A3060">
        <v>1470</v>
      </c>
      <c r="B3060" s="2">
        <v>46241.882986111101</v>
      </c>
      <c r="C3060" s="2">
        <v>46241.883993055599</v>
      </c>
      <c r="D3060" s="1" t="s">
        <v>24</v>
      </c>
      <c r="E3060" s="1"/>
      <c r="F3060" s="29">
        <v>46241</v>
      </c>
      <c r="G3060" s="29">
        <v>46241</v>
      </c>
      <c r="H3060" s="1" t="s">
        <v>5691</v>
      </c>
      <c r="I3060" s="126" t="s">
        <v>6852</v>
      </c>
      <c r="J3060" s="175">
        <v>43755765476</v>
      </c>
      <c r="K3060" s="171"/>
      <c r="L3060" s="62">
        <v>23459940</v>
      </c>
      <c r="M3060" s="30">
        <v>8129070609</v>
      </c>
      <c r="N3060" s="172" t="s">
        <v>106</v>
      </c>
      <c r="O3060" s="91">
        <v>5055.87</v>
      </c>
      <c r="P3060" s="91">
        <v>1200.9100000000001</v>
      </c>
      <c r="Q3060" s="42">
        <f>OfficeForms.Table[[#This Row],[ INFORMEDEPAGO ]]*0.3</f>
        <v>1516.761</v>
      </c>
      <c r="R3060" s="12">
        <f>(IF(O3060&lt;4172.98,0,MIN(O3060*0.3,O3060-4172.98)))-P3060</f>
        <v>-318.01999999999975</v>
      </c>
      <c r="S3060" s="78">
        <v>46235</v>
      </c>
      <c r="T3060" s="1"/>
      <c r="V3060" s="1"/>
      <c r="X3060" s="101">
        <v>2</v>
      </c>
    </row>
    <row r="3061" spans="1:24" hidden="1">
      <c r="A3061">
        <v>1471</v>
      </c>
      <c r="B3061" s="2">
        <v>46242.367627314801</v>
      </c>
      <c r="C3061" s="2">
        <v>46242.3702430556</v>
      </c>
      <c r="D3061" s="1" t="s">
        <v>24</v>
      </c>
      <c r="E3061" s="1"/>
      <c r="F3061" s="29">
        <v>46242</v>
      </c>
      <c r="G3061" s="29">
        <v>46230</v>
      </c>
      <c r="H3061" s="1" t="s">
        <v>3575</v>
      </c>
      <c r="I3061" s="126" t="s">
        <v>6853</v>
      </c>
      <c r="J3061" s="175"/>
      <c r="K3061" s="171" t="s">
        <v>6854</v>
      </c>
      <c r="L3061" s="62">
        <v>23149828</v>
      </c>
      <c r="M3061" s="30">
        <v>5216653936254</v>
      </c>
      <c r="N3061" s="172" t="s">
        <v>130</v>
      </c>
      <c r="O3061" s="91">
        <v>7920.51</v>
      </c>
      <c r="P3061" s="91">
        <v>2290.89</v>
      </c>
      <c r="Q3061" s="42">
        <f>OfficeForms.Table[[#This Row],[ INFORMEDEPAGO ]]*0.3</f>
        <v>2376.1529999999998</v>
      </c>
      <c r="R3061" s="12">
        <f>(IF(O3061&lt;4172.98,0,MIN(O3061*0.3,O3061-4172.98)))-P3061</f>
        <v>85.26299999999992</v>
      </c>
      <c r="S3061" s="78">
        <v>46113</v>
      </c>
      <c r="T3061" s="1" t="s">
        <v>6855</v>
      </c>
      <c r="V3061" s="1"/>
      <c r="X3061" s="101">
        <v>2</v>
      </c>
    </row>
    <row r="3062" spans="1:24" hidden="1">
      <c r="A3062">
        <v>1472</v>
      </c>
      <c r="B3062" s="2">
        <v>46242.388182870403</v>
      </c>
      <c r="C3062" s="2">
        <v>46242.3917013889</v>
      </c>
      <c r="D3062" s="1" t="s">
        <v>24</v>
      </c>
      <c r="E3062" s="1"/>
      <c r="F3062" s="29">
        <v>46242</v>
      </c>
      <c r="G3062" s="29">
        <v>46241</v>
      </c>
      <c r="H3062" s="1" t="s">
        <v>51</v>
      </c>
      <c r="I3062" s="126" t="s">
        <v>6856</v>
      </c>
      <c r="J3062" s="175">
        <v>4375593802</v>
      </c>
      <c r="K3062" s="171" t="s">
        <v>6857</v>
      </c>
      <c r="L3062" s="62">
        <v>23464020</v>
      </c>
      <c r="M3062" s="30">
        <v>5218128732968</v>
      </c>
      <c r="N3062" s="172" t="s">
        <v>28</v>
      </c>
      <c r="O3062" s="91">
        <v>11645.27</v>
      </c>
      <c r="P3062" s="91">
        <v>879</v>
      </c>
      <c r="Q3062" s="42">
        <f>OfficeForms.Table[[#This Row],[ INFORMEDEPAGO ]]*0.3</f>
        <v>3493.5810000000001</v>
      </c>
      <c r="R3062" s="12">
        <f t="shared" ref="R3062:R3063" si="39">(IF(O3062&lt;4172.98,0,MIN(O3062*0.3,O3062-4172.98)))-P3062</f>
        <v>2614.5810000000001</v>
      </c>
      <c r="S3062" s="78"/>
      <c r="T3062" s="1"/>
      <c r="V3062" s="1"/>
      <c r="X3062" s="101">
        <v>1</v>
      </c>
    </row>
    <row r="3063" spans="1:24" hidden="1">
      <c r="A3063">
        <v>1474</v>
      </c>
      <c r="B3063" s="2">
        <v>46242.402025463001</v>
      </c>
      <c r="C3063" s="2">
        <v>46242.402650463002</v>
      </c>
      <c r="D3063" s="1" t="s">
        <v>24</v>
      </c>
      <c r="E3063" s="1"/>
      <c r="F3063" s="29">
        <v>46242</v>
      </c>
      <c r="G3063" s="29">
        <v>46242</v>
      </c>
      <c r="H3063" s="1" t="s">
        <v>269</v>
      </c>
      <c r="I3063" s="126" t="s">
        <v>6858</v>
      </c>
      <c r="J3063" s="175" t="s">
        <v>6859</v>
      </c>
      <c r="K3063" s="171" t="s">
        <v>6860</v>
      </c>
      <c r="L3063" s="62">
        <v>23465308</v>
      </c>
      <c r="M3063" s="30">
        <v>5214181347046</v>
      </c>
      <c r="N3063" s="172" t="s">
        <v>37</v>
      </c>
      <c r="O3063" s="91">
        <v>10636.54</v>
      </c>
      <c r="P3063" s="91">
        <v>3190.96</v>
      </c>
      <c r="Q3063" s="42">
        <f>OfficeForms.Table[[#This Row],[ INFORMEDEPAGO ]]*0.3</f>
        <v>3190.962</v>
      </c>
      <c r="R3063" s="12">
        <f t="shared" si="39"/>
        <v>1.9999999999527063E-3</v>
      </c>
      <c r="S3063" s="78">
        <v>46935</v>
      </c>
      <c r="T3063" s="1"/>
      <c r="V3063" s="1"/>
      <c r="X3063" s="101">
        <v>2</v>
      </c>
    </row>
    <row r="3064" spans="1:24" hidden="1">
      <c r="A3064">
        <v>1475</v>
      </c>
      <c r="B3064" s="2">
        <v>46242.419560185197</v>
      </c>
      <c r="C3064" s="2">
        <v>46242.420138888898</v>
      </c>
      <c r="D3064" s="1" t="s">
        <v>24</v>
      </c>
      <c r="E3064" s="1"/>
      <c r="F3064" s="29">
        <v>46242</v>
      </c>
      <c r="G3064" s="29">
        <v>46242</v>
      </c>
      <c r="H3064" s="1" t="s">
        <v>3352</v>
      </c>
      <c r="I3064" s="126" t="s">
        <v>6861</v>
      </c>
      <c r="J3064" s="175">
        <v>81846704765</v>
      </c>
      <c r="K3064" s="171"/>
      <c r="L3064" s="62">
        <v>23469944</v>
      </c>
      <c r="M3064" s="30">
        <v>6221223669</v>
      </c>
      <c r="N3064" s="172" t="s">
        <v>74</v>
      </c>
      <c r="O3064" s="91"/>
      <c r="P3064" s="91"/>
      <c r="Q3064" s="42">
        <f>OfficeForms.Table[[#This Row],[ INFORMEDEPAGO ]]*0.3</f>
        <v>0</v>
      </c>
      <c r="R3064" s="12">
        <f>(IF(O3064&lt;4172.98,0,MIN(O3064*0.3,O3064-4172.98)))-P3064</f>
        <v>0</v>
      </c>
      <c r="S3064" s="78"/>
      <c r="T3064" s="1"/>
      <c r="V3064" s="1"/>
      <c r="X3064" s="101">
        <v>1</v>
      </c>
    </row>
    <row r="3065" spans="1:24" hidden="1">
      <c r="A3065">
        <v>1476</v>
      </c>
      <c r="B3065" s="2">
        <v>46242.432731481502</v>
      </c>
      <c r="C3065" s="2">
        <v>46242.435231481497</v>
      </c>
      <c r="D3065" s="1" t="s">
        <v>24</v>
      </c>
      <c r="E3065" s="1"/>
      <c r="F3065" s="29">
        <v>46242</v>
      </c>
      <c r="G3065" s="29">
        <v>46238</v>
      </c>
      <c r="H3065" s="1" t="s">
        <v>78</v>
      </c>
      <c r="I3065" s="126" t="s">
        <v>6862</v>
      </c>
      <c r="J3065" s="175"/>
      <c r="K3065" s="171" t="s">
        <v>6863</v>
      </c>
      <c r="L3065" s="62">
        <v>23356568</v>
      </c>
      <c r="M3065" s="30">
        <v>5214432248623</v>
      </c>
      <c r="N3065" s="172" t="s">
        <v>263</v>
      </c>
      <c r="O3065" s="91">
        <v>4813.6899999999996</v>
      </c>
      <c r="P3065" s="91">
        <v>480.95</v>
      </c>
      <c r="Q3065" s="42">
        <f>OfficeForms.Table[[#This Row],[ INFORMEDEPAGO ]]*0.3</f>
        <v>1444.1069999999997</v>
      </c>
      <c r="R3065" s="12">
        <f>(IF(O3065&lt;4172.98,0,MIN(O3065*0.3,O3065-4172.98)))-P3065</f>
        <v>159.76000000000005</v>
      </c>
      <c r="S3065" s="78">
        <v>45292</v>
      </c>
      <c r="T3065" s="1"/>
      <c r="V3065" s="1"/>
      <c r="X3065" s="101">
        <v>2</v>
      </c>
    </row>
    <row r="3066" spans="1:24" hidden="1">
      <c r="A3066">
        <v>1477</v>
      </c>
      <c r="B3066" s="2">
        <v>46242.445300925901</v>
      </c>
      <c r="C3066" s="2">
        <v>46242.446087962999</v>
      </c>
      <c r="D3066" s="1" t="s">
        <v>24</v>
      </c>
      <c r="E3066" s="1"/>
      <c r="F3066" s="29">
        <v>46242</v>
      </c>
      <c r="G3066" s="29">
        <v>46241</v>
      </c>
      <c r="H3066" s="1" t="s">
        <v>269</v>
      </c>
      <c r="I3066" s="126" t="s">
        <v>6864</v>
      </c>
      <c r="J3066" s="175"/>
      <c r="K3066" s="171" t="s">
        <v>6865</v>
      </c>
      <c r="L3066" s="62">
        <v>23463708</v>
      </c>
      <c r="M3066" s="30">
        <v>5215518230931</v>
      </c>
      <c r="N3066" s="172" t="s">
        <v>37</v>
      </c>
      <c r="O3066" s="91">
        <v>11368.26</v>
      </c>
      <c r="P3066" s="91">
        <v>3286.27</v>
      </c>
      <c r="Q3066" s="42">
        <f>OfficeForms.Table[[#This Row],[ INFORMEDEPAGO ]]*0.3</f>
        <v>3410.4780000000001</v>
      </c>
      <c r="R3066" s="12">
        <f>(IF(O3066&lt;4172.98,0,MIN(O3066*0.3,O3066-4172.98)))-P3066</f>
        <v>124.20800000000008</v>
      </c>
      <c r="S3066" s="78">
        <v>46266</v>
      </c>
      <c r="T3066" s="1"/>
      <c r="V3066" s="1"/>
      <c r="X3066" s="101">
        <v>2</v>
      </c>
    </row>
    <row r="3067" spans="1:24" hidden="1">
      <c r="A3067">
        <v>1478</v>
      </c>
      <c r="B3067" s="2">
        <v>46242.337638888901</v>
      </c>
      <c r="C3067" s="2">
        <v>46242.458611111098</v>
      </c>
      <c r="D3067" s="1" t="s">
        <v>24</v>
      </c>
      <c r="E3067" s="1"/>
      <c r="F3067" s="29">
        <v>46242</v>
      </c>
      <c r="G3067" s="29">
        <v>46239</v>
      </c>
      <c r="H3067" s="1" t="s">
        <v>3572</v>
      </c>
      <c r="I3067" s="126" t="s">
        <v>6866</v>
      </c>
      <c r="J3067" s="175">
        <v>33844802273</v>
      </c>
      <c r="K3067" s="171" t="s">
        <v>6867</v>
      </c>
      <c r="L3067" s="62">
        <v>23403966</v>
      </c>
      <c r="M3067" s="30">
        <v>5216624266015</v>
      </c>
      <c r="N3067" s="172" t="s">
        <v>28</v>
      </c>
      <c r="O3067" s="91">
        <v>6422.04</v>
      </c>
      <c r="P3067" s="91"/>
      <c r="Q3067" s="42">
        <f>OfficeForms.Table[[#This Row],[ INFORMEDEPAGO ]]*0.3</f>
        <v>1926.6119999999999</v>
      </c>
      <c r="R3067" s="12">
        <f>(IF(O3067&lt;4172.98,0,MIN(O3067*0.3,O3067-4172.98)))-P3067</f>
        <v>1926.6119999999999</v>
      </c>
      <c r="S3067" s="78"/>
      <c r="T3067" s="1"/>
      <c r="V3067" s="1"/>
      <c r="X3067" s="101">
        <v>1</v>
      </c>
    </row>
    <row r="3068" spans="1:24" hidden="1">
      <c r="A3068">
        <v>1479</v>
      </c>
      <c r="B3068" s="2">
        <v>46242.4458101852</v>
      </c>
      <c r="C3068" s="2">
        <v>46242.465231481503</v>
      </c>
      <c r="D3068" s="1" t="s">
        <v>24</v>
      </c>
      <c r="E3068" s="1"/>
      <c r="F3068" s="29">
        <v>46242</v>
      </c>
      <c r="G3068" s="29">
        <v>46241</v>
      </c>
      <c r="H3068" s="1" t="s">
        <v>476</v>
      </c>
      <c r="I3068" s="126" t="s">
        <v>6868</v>
      </c>
      <c r="J3068" s="175" t="s">
        <v>6869</v>
      </c>
      <c r="K3068" s="171" t="s">
        <v>6870</v>
      </c>
      <c r="L3068" s="62">
        <v>23455620</v>
      </c>
      <c r="M3068" s="30">
        <v>5218672221041</v>
      </c>
      <c r="N3068" s="172" t="s">
        <v>28</v>
      </c>
      <c r="O3068" s="91">
        <v>8624.2199999999993</v>
      </c>
      <c r="P3068" s="91"/>
      <c r="Q3068" s="42">
        <f>OfficeForms.Table[[#This Row],[ INFORMEDEPAGO ]]*0.3</f>
        <v>2587.2659999999996</v>
      </c>
      <c r="R3068" s="12">
        <f>(IF(O3068&lt;4172.98,0,MIN(O3068*0.3,O3068-4172.98)))-P3068</f>
        <v>2587.2659999999996</v>
      </c>
      <c r="S3068" s="78"/>
      <c r="T3068" s="1"/>
      <c r="V3068" s="1"/>
      <c r="X3068" s="101">
        <v>1</v>
      </c>
    </row>
    <row r="3069" spans="1:24" hidden="1">
      <c r="A3069">
        <v>1480</v>
      </c>
      <c r="B3069" s="2">
        <v>46242.391759259299</v>
      </c>
      <c r="C3069" s="2">
        <v>46242.4866203704</v>
      </c>
      <c r="D3069" s="1" t="s">
        <v>24</v>
      </c>
      <c r="E3069" s="1"/>
      <c r="F3069" s="29">
        <v>46242</v>
      </c>
      <c r="G3069" s="29">
        <v>46226</v>
      </c>
      <c r="H3069" s="1" t="s">
        <v>51</v>
      </c>
      <c r="I3069" s="126" t="s">
        <v>6871</v>
      </c>
      <c r="J3069" s="175"/>
      <c r="K3069" s="171" t="s">
        <v>6872</v>
      </c>
      <c r="L3069" s="62">
        <v>23037468</v>
      </c>
      <c r="M3069" s="30">
        <v>5217207160172</v>
      </c>
      <c r="N3069" s="172" t="s">
        <v>47</v>
      </c>
      <c r="O3069" s="91">
        <v>9081.52</v>
      </c>
      <c r="P3069" s="91">
        <v>1777.73</v>
      </c>
      <c r="Q3069" s="42">
        <f>OfficeForms.Table[[#This Row],[ INFORMEDEPAGO ]]*0.3</f>
        <v>2724.4560000000001</v>
      </c>
      <c r="R3069" s="12">
        <f t="shared" ref="R3069:R3070" si="40">(IF(O3069&lt;4172.98,0,MIN(O3069*0.3,O3069-4172.98)))-P3069</f>
        <v>946.72600000000011</v>
      </c>
      <c r="S3069" s="78">
        <v>46600</v>
      </c>
      <c r="T3069" s="1"/>
      <c r="V3069" s="1"/>
      <c r="X3069" s="101">
        <v>2</v>
      </c>
    </row>
    <row r="3070" spans="1:24" hidden="1">
      <c r="A3070">
        <v>1481</v>
      </c>
      <c r="B3070" s="2">
        <v>46242.420162037</v>
      </c>
      <c r="C3070" s="2">
        <v>46242.493379629603</v>
      </c>
      <c r="D3070" s="1" t="s">
        <v>24</v>
      </c>
      <c r="E3070" s="1"/>
      <c r="F3070" s="29">
        <v>46242</v>
      </c>
      <c r="G3070" s="29">
        <v>46242</v>
      </c>
      <c r="H3070" s="1" t="s">
        <v>3352</v>
      </c>
      <c r="I3070" s="126" t="s">
        <v>6873</v>
      </c>
      <c r="J3070" s="175">
        <v>11735594351</v>
      </c>
      <c r="K3070" s="171" t="s">
        <v>6874</v>
      </c>
      <c r="L3070" s="62">
        <v>23469298</v>
      </c>
      <c r="M3070" s="30">
        <v>9515472453</v>
      </c>
      <c r="N3070" s="172" t="s">
        <v>47</v>
      </c>
      <c r="O3070" s="91">
        <f>5724.21+879</f>
        <v>6603.21</v>
      </c>
      <c r="P3070" s="91">
        <v>879</v>
      </c>
      <c r="Q3070" s="42">
        <f>OfficeForms.Table[[#This Row],[ INFORMEDEPAGO ]]*0.3</f>
        <v>1980.963</v>
      </c>
      <c r="R3070" s="12">
        <f t="shared" si="40"/>
        <v>1101.963</v>
      </c>
      <c r="S3070" s="78"/>
      <c r="T3070" s="1"/>
      <c r="V3070" s="1"/>
      <c r="X3070" s="101">
        <v>1</v>
      </c>
    </row>
    <row r="3071" spans="1:24" hidden="1">
      <c r="A3071">
        <v>1482</v>
      </c>
      <c r="B3071" s="2">
        <v>46242.491967592599</v>
      </c>
      <c r="C3071" s="2">
        <v>46242.493703703702</v>
      </c>
      <c r="D3071" s="1" t="s">
        <v>24</v>
      </c>
      <c r="E3071" s="1"/>
      <c r="F3071" s="29">
        <v>46242</v>
      </c>
      <c r="G3071" s="29">
        <v>46240</v>
      </c>
      <c r="H3071" s="1" t="s">
        <v>5691</v>
      </c>
      <c r="I3071" s="126" t="s">
        <v>6875</v>
      </c>
      <c r="J3071" s="175"/>
      <c r="K3071" s="171" t="s">
        <v>6876</v>
      </c>
      <c r="L3071" s="62">
        <v>23460024</v>
      </c>
      <c r="M3071" s="30">
        <v>9531625281</v>
      </c>
      <c r="N3071" s="172" t="s">
        <v>28</v>
      </c>
      <c r="O3071" s="91">
        <v>6262.86</v>
      </c>
      <c r="P3071" s="91"/>
      <c r="Q3071" s="42">
        <f>OfficeForms.Table[[#This Row],[ INFORMEDEPAGO ]]*0.3</f>
        <v>1878.8579999999997</v>
      </c>
      <c r="R3071" s="12">
        <f t="shared" ref="R3071" si="41">(IF(O3071&lt;4172.98,0,MIN(O3071*0.3,O3071-4172.98)))-P3071</f>
        <v>1878.8579999999997</v>
      </c>
      <c r="S3071" s="78"/>
      <c r="T3071" s="1"/>
      <c r="V3071" s="1"/>
      <c r="X3071" s="101">
        <v>1</v>
      </c>
    </row>
    <row r="3072" spans="1:24" hidden="1">
      <c r="A3072">
        <v>1483</v>
      </c>
      <c r="B3072" s="2">
        <v>46242.485428240703</v>
      </c>
      <c r="C3072" s="2">
        <v>46242.498310185198</v>
      </c>
      <c r="D3072" s="1" t="s">
        <v>24</v>
      </c>
      <c r="E3072" s="1"/>
      <c r="F3072" s="29">
        <v>46242</v>
      </c>
      <c r="G3072" s="29">
        <v>46242</v>
      </c>
      <c r="H3072" s="1" t="s">
        <v>78</v>
      </c>
      <c r="I3072" s="126" t="s">
        <v>6877</v>
      </c>
      <c r="J3072" s="175">
        <v>24896664588</v>
      </c>
      <c r="K3072" s="171" t="s">
        <v>6878</v>
      </c>
      <c r="L3072" s="62">
        <v>23471942</v>
      </c>
      <c r="M3072" s="30">
        <v>5216311828966</v>
      </c>
      <c r="N3072" s="172" t="s">
        <v>28</v>
      </c>
      <c r="O3072" s="91">
        <v>9760.32</v>
      </c>
      <c r="P3072" s="91"/>
      <c r="Q3072" s="42">
        <f>OfficeForms.Table[[#This Row],[ INFORMEDEPAGO ]]*0.3</f>
        <v>2928.096</v>
      </c>
      <c r="R3072" s="12">
        <f t="shared" ref="R3072:R3073" si="42">(IF(O3072&lt;4172.98,0,MIN(O3072*0.3,O3072-4172.98)))-P3072</f>
        <v>2928.096</v>
      </c>
      <c r="S3072" s="78"/>
      <c r="T3072" s="1"/>
      <c r="V3072" s="1"/>
      <c r="X3072" s="101">
        <v>1</v>
      </c>
    </row>
    <row r="3073" spans="1:24" hidden="1">
      <c r="A3073">
        <v>1484</v>
      </c>
      <c r="B3073" s="2">
        <v>46242.499120370398</v>
      </c>
      <c r="C3073" s="2">
        <v>46242.499675925901</v>
      </c>
      <c r="D3073" s="1" t="s">
        <v>24</v>
      </c>
      <c r="E3073" s="1"/>
      <c r="F3073" s="29">
        <v>46242</v>
      </c>
      <c r="G3073" s="29">
        <v>46235</v>
      </c>
      <c r="H3073" s="1" t="s">
        <v>26</v>
      </c>
      <c r="I3073" s="126" t="s">
        <v>6879</v>
      </c>
      <c r="J3073" s="175">
        <v>24765821087</v>
      </c>
      <c r="K3073" s="171" t="s">
        <v>6880</v>
      </c>
      <c r="L3073" s="62">
        <v>23282646</v>
      </c>
      <c r="M3073" s="30">
        <v>5216631197724</v>
      </c>
      <c r="N3073" s="172" t="s">
        <v>106</v>
      </c>
      <c r="O3073" s="91">
        <v>5055.87</v>
      </c>
      <c r="P3073" s="91">
        <v>1203</v>
      </c>
      <c r="Q3073" s="42">
        <f>OfficeForms.Table[[#This Row],[ INFORMEDEPAGO ]]*0.3</f>
        <v>1516.761</v>
      </c>
      <c r="R3073" s="12">
        <f t="shared" si="42"/>
        <v>-320.10999999999967</v>
      </c>
      <c r="S3073" s="78">
        <v>46235</v>
      </c>
      <c r="T3073" s="1"/>
      <c r="V3073" s="1"/>
      <c r="X3073" s="101">
        <v>2</v>
      </c>
    </row>
    <row r="3074" spans="1:24" hidden="1">
      <c r="A3074">
        <v>1485</v>
      </c>
      <c r="B3074" s="2">
        <v>46242.486643518503</v>
      </c>
      <c r="C3074" s="2">
        <v>46242.504918981504</v>
      </c>
      <c r="D3074" s="1" t="s">
        <v>24</v>
      </c>
      <c r="E3074" s="1"/>
      <c r="F3074" s="29">
        <v>46242</v>
      </c>
      <c r="G3074" s="29">
        <v>46227</v>
      </c>
      <c r="H3074" s="1" t="s">
        <v>51</v>
      </c>
      <c r="I3074" s="126" t="s">
        <v>6881</v>
      </c>
      <c r="J3074" s="175"/>
      <c r="K3074" s="171" t="s">
        <v>6882</v>
      </c>
      <c r="L3074" s="62">
        <v>23089552</v>
      </c>
      <c r="M3074" s="30">
        <v>5217531287855</v>
      </c>
      <c r="N3074" s="172" t="s">
        <v>28</v>
      </c>
      <c r="O3074" s="91">
        <f>7072.51+848</f>
        <v>7920.51</v>
      </c>
      <c r="P3074" s="91">
        <v>848</v>
      </c>
      <c r="Q3074" s="42">
        <f>OfficeForms.Table[[#This Row],[ INFORMEDEPAGO ]]*0.3</f>
        <v>2376.1529999999998</v>
      </c>
      <c r="R3074" s="12">
        <f t="shared" ref="R3074:R3077" si="43">(IF(O3074&lt;4172.98,0,MIN(O3074*0.3,O3074-4172.98)))-P3074</f>
        <v>1528.1529999999998</v>
      </c>
      <c r="S3074" s="78"/>
      <c r="T3074" s="1"/>
      <c r="V3074" s="1"/>
      <c r="X3074" s="101">
        <v>1</v>
      </c>
    </row>
    <row r="3075" spans="1:24" hidden="1">
      <c r="A3075">
        <v>1486</v>
      </c>
      <c r="B3075" s="2">
        <v>46242.485393518502</v>
      </c>
      <c r="C3075" s="2">
        <v>46242.5059259259</v>
      </c>
      <c r="D3075" s="1" t="s">
        <v>24</v>
      </c>
      <c r="E3075" s="1"/>
      <c r="F3075" s="29">
        <v>46242</v>
      </c>
      <c r="G3075" s="29">
        <v>46241</v>
      </c>
      <c r="H3075" s="1" t="s">
        <v>78</v>
      </c>
      <c r="I3075" s="126" t="s">
        <v>6883</v>
      </c>
      <c r="J3075" s="175">
        <v>63846401741</v>
      </c>
      <c r="K3075" s="171" t="s">
        <v>6884</v>
      </c>
      <c r="L3075" s="62">
        <v>23455144</v>
      </c>
      <c r="M3075" s="30">
        <v>5215512351916</v>
      </c>
      <c r="N3075" s="172" t="s">
        <v>37</v>
      </c>
      <c r="O3075" s="91">
        <v>9081.52</v>
      </c>
      <c r="P3075" s="91">
        <v>2626.81</v>
      </c>
      <c r="Q3075" s="42">
        <f>OfficeForms.Table[[#This Row],[ INFORMEDEPAGO ]]*0.3</f>
        <v>2724.4560000000001</v>
      </c>
      <c r="R3075" s="12">
        <f t="shared" si="43"/>
        <v>97.646000000000186</v>
      </c>
      <c r="S3075" s="78">
        <v>46722</v>
      </c>
      <c r="T3075" s="1"/>
      <c r="V3075" s="1"/>
      <c r="X3075" s="101">
        <v>2</v>
      </c>
    </row>
    <row r="3076" spans="1:24" hidden="1">
      <c r="A3076">
        <v>1487</v>
      </c>
      <c r="B3076" s="2">
        <v>46242.505081018498</v>
      </c>
      <c r="C3076" s="2">
        <v>46242.506041666697</v>
      </c>
      <c r="D3076" s="1" t="s">
        <v>24</v>
      </c>
      <c r="E3076" s="1"/>
      <c r="F3076" s="29">
        <v>46242</v>
      </c>
      <c r="G3076" s="29">
        <v>46242</v>
      </c>
      <c r="H3076" s="1" t="s">
        <v>3007</v>
      </c>
      <c r="I3076" s="126" t="s">
        <v>6885</v>
      </c>
      <c r="J3076" s="175"/>
      <c r="K3076" s="171" t="s">
        <v>6886</v>
      </c>
      <c r="L3076" s="62">
        <v>23472646</v>
      </c>
      <c r="M3076" s="30">
        <v>5548173178</v>
      </c>
      <c r="N3076" s="172" t="s">
        <v>37</v>
      </c>
      <c r="O3076" s="91">
        <v>17500.7</v>
      </c>
      <c r="P3076" s="91">
        <v>5248.98</v>
      </c>
      <c r="Q3076" s="42">
        <f>OfficeForms.Table[[#This Row],[ INFORMEDEPAGO ]]*0.3</f>
        <v>5250.21</v>
      </c>
      <c r="R3076" s="12">
        <f t="shared" si="43"/>
        <v>1.2300000000004729</v>
      </c>
      <c r="S3076" s="78"/>
      <c r="T3076" s="1"/>
      <c r="V3076" s="1"/>
      <c r="X3076" s="101">
        <v>1</v>
      </c>
    </row>
    <row r="3077" spans="1:24" hidden="1">
      <c r="A3077">
        <v>1488</v>
      </c>
      <c r="B3077" s="2">
        <v>46242.485416666699</v>
      </c>
      <c r="C3077" s="2">
        <v>46242.510208333297</v>
      </c>
      <c r="D3077" s="1" t="s">
        <v>24</v>
      </c>
      <c r="E3077" s="1"/>
      <c r="F3077" s="29">
        <v>46242</v>
      </c>
      <c r="G3077" s="29">
        <v>46241</v>
      </c>
      <c r="H3077" s="1" t="s">
        <v>78</v>
      </c>
      <c r="I3077" s="126" t="s">
        <v>6887</v>
      </c>
      <c r="J3077" s="175">
        <v>33896456838</v>
      </c>
      <c r="K3077" s="171" t="s">
        <v>6888</v>
      </c>
      <c r="L3077" s="62">
        <v>23463774</v>
      </c>
      <c r="M3077" s="30">
        <v>5216261085232</v>
      </c>
      <c r="N3077" s="172" t="s">
        <v>37</v>
      </c>
      <c r="O3077" s="91">
        <v>9760.32</v>
      </c>
      <c r="P3077" s="91">
        <v>2927.47</v>
      </c>
      <c r="Q3077" s="42">
        <f>OfficeForms.Table[[#This Row],[ INFORMEDEPAGO ]]*0.3</f>
        <v>2928.096</v>
      </c>
      <c r="R3077" s="12">
        <f t="shared" si="43"/>
        <v>0.62600000000020373</v>
      </c>
      <c r="S3077" s="78">
        <v>46844</v>
      </c>
      <c r="T3077" s="1"/>
      <c r="V3077" s="1"/>
      <c r="X3077" s="101">
        <v>2</v>
      </c>
    </row>
    <row r="3078" spans="1:24" hidden="1">
      <c r="A3078">
        <v>1489</v>
      </c>
      <c r="B3078" s="2">
        <v>46242.4934027778</v>
      </c>
      <c r="C3078" s="2">
        <v>46242.520891203698</v>
      </c>
      <c r="D3078" s="1" t="s">
        <v>24</v>
      </c>
      <c r="E3078" s="1"/>
      <c r="F3078" s="29">
        <v>46242</v>
      </c>
      <c r="G3078" s="29">
        <v>46242</v>
      </c>
      <c r="H3078" s="1" t="s">
        <v>3352</v>
      </c>
      <c r="I3078" s="126" t="s">
        <v>6889</v>
      </c>
      <c r="J3078" s="175">
        <v>65826303896</v>
      </c>
      <c r="K3078" s="171"/>
      <c r="L3078" s="62">
        <v>23473342</v>
      </c>
      <c r="M3078" s="30">
        <v>2292120961</v>
      </c>
      <c r="N3078" s="172" t="s">
        <v>37</v>
      </c>
      <c r="O3078" s="91">
        <v>24943.94</v>
      </c>
      <c r="P3078" s="91">
        <f>271.62+7210</f>
        <v>7481.62</v>
      </c>
      <c r="Q3078" s="42">
        <f>OfficeForms.Table[[#This Row],[ INFORMEDEPAGO ]]*0.3</f>
        <v>7483.1819999999989</v>
      </c>
      <c r="R3078" s="12">
        <f t="shared" ref="R3078:R3080" si="44">(IF(O3078&lt;4172.98,0,MIN(O3078*0.3,O3078-4172.98)))-P3078</f>
        <v>1.5619999999989886</v>
      </c>
      <c r="S3078" s="78">
        <v>46419</v>
      </c>
      <c r="T3078" s="1"/>
      <c r="V3078" s="1"/>
      <c r="X3078" s="101">
        <v>2</v>
      </c>
    </row>
    <row r="3079" spans="1:24" hidden="1">
      <c r="A3079">
        <v>1490</v>
      </c>
      <c r="B3079" s="2">
        <v>46242.504930555602</v>
      </c>
      <c r="C3079" s="2">
        <v>46242.522800925901</v>
      </c>
      <c r="D3079" s="1" t="s">
        <v>24</v>
      </c>
      <c r="E3079" s="1"/>
      <c r="F3079" s="29">
        <v>46242</v>
      </c>
      <c r="G3079" s="29">
        <v>46228</v>
      </c>
      <c r="H3079" s="1" t="s">
        <v>51</v>
      </c>
      <c r="I3079" s="126" t="s">
        <v>6890</v>
      </c>
      <c r="J3079" s="175"/>
      <c r="K3079" s="171" t="s">
        <v>6891</v>
      </c>
      <c r="L3079" s="62">
        <v>23104724</v>
      </c>
      <c r="M3079" s="30">
        <v>5215535817056</v>
      </c>
      <c r="N3079" s="172" t="s">
        <v>37</v>
      </c>
      <c r="O3079" s="91">
        <v>5617.63</v>
      </c>
      <c r="P3079" s="91">
        <v>1393.24</v>
      </c>
      <c r="Q3079" s="42">
        <f>OfficeForms.Table[[#This Row],[ INFORMEDEPAGO ]]*0.3</f>
        <v>1685.289</v>
      </c>
      <c r="R3079" s="12">
        <f t="shared" si="44"/>
        <v>51.410000000000537</v>
      </c>
      <c r="S3079" s="78">
        <v>46419</v>
      </c>
      <c r="T3079" s="1"/>
      <c r="V3079" s="1"/>
      <c r="X3079" s="101">
        <v>2</v>
      </c>
    </row>
    <row r="3080" spans="1:24" hidden="1">
      <c r="A3080">
        <v>1491</v>
      </c>
      <c r="B3080" s="2">
        <v>46242.518773148098</v>
      </c>
      <c r="C3080" s="2">
        <v>46242.524270833303</v>
      </c>
      <c r="D3080" s="1" t="s">
        <v>24</v>
      </c>
      <c r="E3080" s="1"/>
      <c r="F3080" s="29">
        <v>46242</v>
      </c>
      <c r="G3080" s="29">
        <v>46242</v>
      </c>
      <c r="H3080" s="1" t="s">
        <v>269</v>
      </c>
      <c r="I3080" s="126" t="s">
        <v>6892</v>
      </c>
      <c r="J3080" s="207" t="s">
        <v>6893</v>
      </c>
      <c r="K3080" s="171" t="s">
        <v>6894</v>
      </c>
      <c r="L3080" s="155">
        <v>23472872</v>
      </c>
      <c r="M3080" s="30">
        <v>5212871204145</v>
      </c>
      <c r="N3080" s="172" t="s">
        <v>130</v>
      </c>
      <c r="O3080" s="91">
        <v>60788.89</v>
      </c>
      <c r="P3080" s="91">
        <v>18236.310000000001</v>
      </c>
      <c r="Q3080" s="42">
        <f>OfficeForms.Table[[#This Row],[ INFORMEDEPAGO ]]*0.3</f>
        <v>18236.666999999998</v>
      </c>
      <c r="R3080" s="12">
        <f t="shared" si="44"/>
        <v>0.35699999999633292</v>
      </c>
      <c r="S3080" s="78">
        <v>46600</v>
      </c>
      <c r="T3080" s="1"/>
      <c r="V3080" s="1"/>
      <c r="X3080" s="101">
        <v>2</v>
      </c>
    </row>
    <row r="3081" spans="1:24" hidden="1">
      <c r="A3081">
        <v>1492</v>
      </c>
      <c r="B3081" s="2">
        <v>46242.579722222203</v>
      </c>
      <c r="C3081" s="2">
        <v>46242.580995370401</v>
      </c>
      <c r="D3081" s="1" t="s">
        <v>24</v>
      </c>
      <c r="E3081" s="1"/>
      <c r="F3081" s="29">
        <v>46242</v>
      </c>
      <c r="G3081" s="29">
        <v>46242</v>
      </c>
      <c r="H3081" s="1" t="s">
        <v>5605</v>
      </c>
      <c r="I3081" s="126" t="s">
        <v>6895</v>
      </c>
      <c r="J3081" s="207"/>
      <c r="K3081" s="171" t="s">
        <v>6896</v>
      </c>
      <c r="L3081" s="62">
        <v>23474698</v>
      </c>
      <c r="M3081" s="30">
        <v>9614711690</v>
      </c>
      <c r="N3081" s="172" t="s">
        <v>47</v>
      </c>
      <c r="O3081" s="91">
        <v>4813.6899999999996</v>
      </c>
      <c r="P3081" s="91"/>
      <c r="Q3081" s="42">
        <f>OfficeForms.Table[[#This Row],[ INFORMEDEPAGO ]]*0.3</f>
        <v>1444.1069999999997</v>
      </c>
      <c r="R3081" s="12">
        <f t="shared" ref="R3081:R3115" si="45">(IF(O3081&lt;4172.98,0,MIN(O3081*0.3,O3081-4172.98)))-P3081</f>
        <v>640.71</v>
      </c>
      <c r="S3081" s="78"/>
      <c r="T3081" s="1"/>
      <c r="V3081" s="1"/>
      <c r="X3081" s="101">
        <v>1</v>
      </c>
    </row>
    <row r="3082" spans="1:24" hidden="1">
      <c r="A3082">
        <v>1493</v>
      </c>
      <c r="B3082" s="2">
        <v>46242.522824074098</v>
      </c>
      <c r="C3082" s="2">
        <v>46242.591331018499</v>
      </c>
      <c r="D3082" s="1" t="s">
        <v>24</v>
      </c>
      <c r="E3082" s="1"/>
      <c r="F3082" s="29">
        <v>46242</v>
      </c>
      <c r="G3082" s="29">
        <v>46242</v>
      </c>
      <c r="H3082" s="1" t="s">
        <v>51</v>
      </c>
      <c r="I3082" s="126" t="s">
        <v>6897</v>
      </c>
      <c r="J3082" s="207" t="s">
        <v>6898</v>
      </c>
      <c r="K3082" s="171" t="s">
        <v>6899</v>
      </c>
      <c r="L3082" s="62">
        <v>23473736</v>
      </c>
      <c r="M3082" s="30">
        <v>5212281162476</v>
      </c>
      <c r="N3082" s="172" t="s">
        <v>106</v>
      </c>
      <c r="O3082" s="91">
        <v>5642.22</v>
      </c>
      <c r="P3082" s="91">
        <v>1294.17</v>
      </c>
      <c r="Q3082" s="42">
        <f>OfficeForms.Table[[#This Row],[ INFORMEDEPAGO ]]*0.3</f>
        <v>1692.6659999999999</v>
      </c>
      <c r="R3082" s="12">
        <f t="shared" si="45"/>
        <v>175.07000000000062</v>
      </c>
      <c r="S3082" s="78">
        <v>45809</v>
      </c>
      <c r="T3082" s="1"/>
      <c r="V3082" s="1"/>
      <c r="X3082" s="101">
        <v>2</v>
      </c>
    </row>
    <row r="3083" spans="1:24" hidden="1">
      <c r="A3083">
        <v>1494</v>
      </c>
      <c r="B3083" s="2">
        <v>46242.589953703697</v>
      </c>
      <c r="C3083" s="2">
        <v>46242.5937037037</v>
      </c>
      <c r="D3083" s="1" t="s">
        <v>24</v>
      </c>
      <c r="E3083" s="1"/>
      <c r="F3083" s="29">
        <v>46242</v>
      </c>
      <c r="G3083" s="29">
        <v>46242</v>
      </c>
      <c r="H3083" s="1" t="s">
        <v>5605</v>
      </c>
      <c r="I3083" s="126" t="s">
        <v>6900</v>
      </c>
      <c r="J3083" s="207"/>
      <c r="K3083" s="171" t="s">
        <v>6901</v>
      </c>
      <c r="L3083" s="62">
        <v>23474094</v>
      </c>
      <c r="M3083" s="30">
        <v>23474094</v>
      </c>
      <c r="N3083" s="172" t="s">
        <v>37</v>
      </c>
      <c r="O3083" s="91">
        <v>10636.54</v>
      </c>
      <c r="P3083" s="91">
        <v>3189.2</v>
      </c>
      <c r="Q3083" s="42">
        <f>OfficeForms.Table[[#This Row],[ INFORMEDEPAGO ]]*0.3</f>
        <v>3190.962</v>
      </c>
      <c r="R3083" s="12">
        <f t="shared" si="45"/>
        <v>1.762000000000171</v>
      </c>
      <c r="S3083" s="78">
        <v>46935</v>
      </c>
      <c r="T3083" s="1" t="s">
        <v>192</v>
      </c>
      <c r="V3083" s="1"/>
      <c r="X3083" s="101">
        <v>2</v>
      </c>
    </row>
    <row r="3084" spans="1:24" hidden="1">
      <c r="A3084">
        <v>1496</v>
      </c>
      <c r="B3084" s="2">
        <v>46242.591342592597</v>
      </c>
      <c r="C3084" s="2">
        <v>46242.605219907397</v>
      </c>
      <c r="D3084" s="1" t="s">
        <v>24</v>
      </c>
      <c r="E3084" s="1"/>
      <c r="F3084" s="29">
        <v>46242</v>
      </c>
      <c r="G3084" s="29">
        <v>46242</v>
      </c>
      <c r="H3084" s="1" t="s">
        <v>51</v>
      </c>
      <c r="I3084" s="126" t="s">
        <v>6902</v>
      </c>
      <c r="J3084" s="207"/>
      <c r="K3084" s="171" t="s">
        <v>6903</v>
      </c>
      <c r="L3084" s="62">
        <v>23467834</v>
      </c>
      <c r="M3084" s="30">
        <v>5219902913566</v>
      </c>
      <c r="N3084" s="172" t="s">
        <v>37</v>
      </c>
      <c r="O3084" s="91">
        <v>4813.6899999999996</v>
      </c>
      <c r="P3084" s="91">
        <v>616.53</v>
      </c>
      <c r="Q3084" s="42">
        <f>OfficeForms.Table[[#This Row],[ INFORMEDEPAGO ]]*0.3</f>
        <v>1444.1069999999997</v>
      </c>
      <c r="R3084" s="12">
        <f t="shared" si="45"/>
        <v>24.180000000000064</v>
      </c>
      <c r="S3084" s="78">
        <v>46508</v>
      </c>
      <c r="T3084" s="1"/>
      <c r="V3084" s="1"/>
      <c r="X3084" s="101">
        <v>2</v>
      </c>
    </row>
    <row r="3085" spans="1:24" hidden="1">
      <c r="A3085">
        <v>1497</v>
      </c>
      <c r="B3085" s="2">
        <v>46242.589490740698</v>
      </c>
      <c r="C3085" s="2">
        <v>46242.612939814797</v>
      </c>
      <c r="D3085" s="1" t="s">
        <v>24</v>
      </c>
      <c r="E3085" s="1"/>
      <c r="F3085" s="29">
        <v>46242</v>
      </c>
      <c r="G3085" s="29">
        <v>46236</v>
      </c>
      <c r="H3085" s="1" t="s">
        <v>3572</v>
      </c>
      <c r="I3085" s="126" t="s">
        <v>6280</v>
      </c>
      <c r="J3085" s="207" t="s">
        <v>6904</v>
      </c>
      <c r="K3085" s="171" t="s">
        <v>6905</v>
      </c>
      <c r="L3085" s="62">
        <v>23295146</v>
      </c>
      <c r="M3085" s="30">
        <v>5214421685627</v>
      </c>
      <c r="N3085" s="172" t="s">
        <v>106</v>
      </c>
      <c r="O3085" s="91">
        <v>43264.06</v>
      </c>
      <c r="P3085" s="91">
        <v>11532.91</v>
      </c>
      <c r="Q3085" s="42">
        <f>OfficeForms.Table[[#This Row],[ INFORMEDEPAGO ]]*0.3</f>
        <v>12979.217999999999</v>
      </c>
      <c r="R3085" s="12">
        <f t="shared" si="45"/>
        <v>1446.3079999999991</v>
      </c>
      <c r="S3085" s="78"/>
      <c r="T3085" s="1"/>
      <c r="V3085" s="1"/>
      <c r="X3085" s="101">
        <v>1</v>
      </c>
    </row>
    <row r="3086" spans="1:24" hidden="1">
      <c r="A3086">
        <v>1498</v>
      </c>
      <c r="B3086" s="2">
        <v>46242.628877314797</v>
      </c>
      <c r="C3086" s="2">
        <v>46242.630219907398</v>
      </c>
      <c r="D3086" s="1" t="s">
        <v>24</v>
      </c>
      <c r="E3086" s="1"/>
      <c r="F3086" s="29">
        <v>46242</v>
      </c>
      <c r="G3086" s="29">
        <v>46235</v>
      </c>
      <c r="H3086" s="1" t="s">
        <v>71</v>
      </c>
      <c r="I3086" s="126" t="s">
        <v>6906</v>
      </c>
      <c r="J3086" s="207"/>
      <c r="K3086" s="187" t="s">
        <v>6907</v>
      </c>
      <c r="L3086" s="62">
        <v>23475762</v>
      </c>
      <c r="M3086" s="30">
        <v>5219131116178</v>
      </c>
      <c r="N3086" s="172" t="s">
        <v>32</v>
      </c>
      <c r="O3086" s="91">
        <f>2904.67+879</f>
        <v>3783.67</v>
      </c>
      <c r="P3086" s="91">
        <v>879</v>
      </c>
      <c r="Q3086" s="42">
        <f>OfficeForms.Table[[#This Row],[ INFORMEDEPAGO ]]*0.3</f>
        <v>1135.1009999999999</v>
      </c>
      <c r="R3086" s="12">
        <f t="shared" si="45"/>
        <v>-879</v>
      </c>
      <c r="S3086" s="78"/>
      <c r="T3086" s="1"/>
      <c r="V3086" s="1"/>
      <c r="X3086" s="101">
        <v>1</v>
      </c>
    </row>
    <row r="3087" spans="1:24" hidden="1">
      <c r="A3087">
        <v>1499</v>
      </c>
      <c r="B3087" s="2">
        <v>46242.630266203698</v>
      </c>
      <c r="C3087" s="2">
        <v>46242.6313310185</v>
      </c>
      <c r="D3087" s="1" t="s">
        <v>24</v>
      </c>
      <c r="E3087" s="1"/>
      <c r="F3087" s="29">
        <v>46242</v>
      </c>
      <c r="G3087" s="29">
        <v>46241</v>
      </c>
      <c r="H3087" s="1" t="s">
        <v>5691</v>
      </c>
      <c r="I3087" s="126" t="s">
        <v>6908</v>
      </c>
      <c r="J3087" s="207"/>
      <c r="K3087" s="171" t="s">
        <v>6909</v>
      </c>
      <c r="L3087" s="62">
        <v>23474750</v>
      </c>
      <c r="M3087" s="30">
        <v>2851157207</v>
      </c>
      <c r="N3087" s="172" t="s">
        <v>98</v>
      </c>
      <c r="O3087" s="91"/>
      <c r="P3087" s="91"/>
      <c r="Q3087" s="42">
        <f>OfficeForms.Table[[#This Row],[ INFORMEDEPAGO ]]*0.3</f>
        <v>0</v>
      </c>
      <c r="R3087" s="12">
        <f t="shared" si="45"/>
        <v>0</v>
      </c>
      <c r="S3087" s="78"/>
      <c r="T3087" s="1"/>
      <c r="V3087" s="1"/>
      <c r="X3087" s="101">
        <v>0</v>
      </c>
    </row>
    <row r="3088" spans="1:24" hidden="1">
      <c r="A3088">
        <v>1500</v>
      </c>
      <c r="B3088" s="2">
        <v>46242.634560185201</v>
      </c>
      <c r="C3088" s="2">
        <v>46242.635787036997</v>
      </c>
      <c r="D3088" s="1" t="s">
        <v>24</v>
      </c>
      <c r="E3088" s="1"/>
      <c r="F3088" s="29">
        <v>46242</v>
      </c>
      <c r="G3088" s="29">
        <v>46242</v>
      </c>
      <c r="H3088" s="1" t="s">
        <v>5605</v>
      </c>
      <c r="I3088" s="126" t="s">
        <v>6910</v>
      </c>
      <c r="J3088" s="207"/>
      <c r="K3088" s="171" t="s">
        <v>6911</v>
      </c>
      <c r="L3088" s="62">
        <v>23475860</v>
      </c>
      <c r="M3088" s="30">
        <v>5571166346</v>
      </c>
      <c r="N3088" s="172" t="s">
        <v>37</v>
      </c>
      <c r="O3088" s="91">
        <v>9081.52</v>
      </c>
      <c r="P3088" s="91">
        <v>2754.46</v>
      </c>
      <c r="Q3088" s="42">
        <f>OfficeForms.Table[[#This Row],[ INFORMEDEPAGO ]]*0.3</f>
        <v>2724.4560000000001</v>
      </c>
      <c r="R3088" s="12">
        <f t="shared" si="45"/>
        <v>-30.003999999999905</v>
      </c>
      <c r="S3088" s="78">
        <v>46388</v>
      </c>
      <c r="T3088" s="1"/>
      <c r="V3088" s="1"/>
      <c r="X3088" s="101">
        <v>2</v>
      </c>
    </row>
    <row r="3089" spans="1:24" hidden="1">
      <c r="A3089">
        <v>1501</v>
      </c>
      <c r="B3089" s="2">
        <v>46242.6434143519</v>
      </c>
      <c r="C3089" s="2">
        <v>46242.644004629597</v>
      </c>
      <c r="D3089" s="1" t="s">
        <v>24</v>
      </c>
      <c r="E3089" s="1"/>
      <c r="F3089" s="29">
        <v>46242</v>
      </c>
      <c r="G3089" s="29">
        <v>46241</v>
      </c>
      <c r="H3089" s="1" t="s">
        <v>269</v>
      </c>
      <c r="I3089" s="126" t="s">
        <v>6912</v>
      </c>
      <c r="J3089" s="207" t="s">
        <v>6913</v>
      </c>
      <c r="K3089" s="171" t="s">
        <v>6914</v>
      </c>
      <c r="L3089" s="62">
        <v>23450772</v>
      </c>
      <c r="M3089" s="30">
        <v>5218713582632</v>
      </c>
      <c r="N3089" s="172" t="s">
        <v>106</v>
      </c>
      <c r="O3089" s="91">
        <v>24889.29</v>
      </c>
      <c r="P3089" s="91">
        <v>7198.5</v>
      </c>
      <c r="Q3089" s="42">
        <f>OfficeForms.Table[[#This Row],[ INFORMEDEPAGO ]]*0.3</f>
        <v>7466.7870000000003</v>
      </c>
      <c r="R3089" s="12">
        <f t="shared" si="45"/>
        <v>268.28700000000026</v>
      </c>
      <c r="S3089" s="78">
        <v>46204</v>
      </c>
      <c r="T3089" s="1"/>
      <c r="V3089" s="1"/>
      <c r="X3089" s="101">
        <v>2</v>
      </c>
    </row>
    <row r="3090" spans="1:24" hidden="1">
      <c r="A3090">
        <v>1502</v>
      </c>
      <c r="B3090" s="2">
        <v>46242.647615740701</v>
      </c>
      <c r="C3090" s="2">
        <v>46242.649178240703</v>
      </c>
      <c r="D3090" s="1" t="s">
        <v>24</v>
      </c>
      <c r="E3090" s="1"/>
      <c r="F3090" s="29">
        <v>46242</v>
      </c>
      <c r="G3090" s="29">
        <v>46242</v>
      </c>
      <c r="H3090" s="1" t="s">
        <v>269</v>
      </c>
      <c r="I3090" s="126" t="s">
        <v>6915</v>
      </c>
      <c r="J3090" s="207" t="s">
        <v>6916</v>
      </c>
      <c r="K3090" s="171" t="s">
        <v>6917</v>
      </c>
      <c r="L3090" s="62">
        <v>22786636</v>
      </c>
      <c r="M3090" s="30">
        <v>5215513578840</v>
      </c>
      <c r="N3090" s="172" t="s">
        <v>32</v>
      </c>
      <c r="O3090" s="91">
        <v>4035.69</v>
      </c>
      <c r="P3090" s="91"/>
      <c r="Q3090" s="42">
        <f>OfficeForms.Table[[#This Row],[ INFORMEDEPAGO ]]*0.3</f>
        <v>1210.7069999999999</v>
      </c>
      <c r="R3090" s="12">
        <f t="shared" si="45"/>
        <v>0</v>
      </c>
      <c r="S3090" s="78"/>
      <c r="T3090" s="1"/>
      <c r="V3090" s="1"/>
      <c r="X3090" s="101">
        <v>1</v>
      </c>
    </row>
    <row r="3091" spans="1:24" hidden="1">
      <c r="A3091">
        <v>1503</v>
      </c>
      <c r="B3091" s="2">
        <v>46242.653923611098</v>
      </c>
      <c r="C3091" s="2">
        <v>46242.655208333301</v>
      </c>
      <c r="D3091" s="1" t="s">
        <v>24</v>
      </c>
      <c r="E3091" s="1"/>
      <c r="F3091" s="29">
        <v>46242</v>
      </c>
      <c r="G3091" s="29">
        <v>46242</v>
      </c>
      <c r="H3091" s="1" t="s">
        <v>3007</v>
      </c>
      <c r="I3091" s="126" t="s">
        <v>6918</v>
      </c>
      <c r="J3091" s="207"/>
      <c r="K3091" s="171" t="s">
        <v>6919</v>
      </c>
      <c r="L3091" s="62">
        <v>23475244</v>
      </c>
      <c r="M3091" s="30">
        <v>4773510547</v>
      </c>
      <c r="N3091" s="172" t="s">
        <v>235</v>
      </c>
      <c r="O3091" s="91"/>
      <c r="P3091" s="91"/>
      <c r="Q3091" s="42">
        <f>OfficeForms.Table[[#This Row],[ INFORMEDEPAGO ]]*0.3</f>
        <v>0</v>
      </c>
      <c r="R3091" s="12">
        <f t="shared" si="45"/>
        <v>0</v>
      </c>
      <c r="S3091" s="78"/>
      <c r="T3091" s="1"/>
      <c r="V3091" s="1"/>
      <c r="X3091" s="101">
        <v>1</v>
      </c>
    </row>
    <row r="3092" spans="1:24" hidden="1">
      <c r="A3092">
        <v>1504</v>
      </c>
      <c r="B3092" s="2">
        <v>46242.605243055601</v>
      </c>
      <c r="C3092" s="2">
        <v>46242.662187499998</v>
      </c>
      <c r="D3092" s="1" t="s">
        <v>24</v>
      </c>
      <c r="E3092" s="1"/>
      <c r="F3092" s="29">
        <v>46242</v>
      </c>
      <c r="G3092" s="29">
        <v>46242</v>
      </c>
      <c r="H3092" s="1" t="s">
        <v>51</v>
      </c>
      <c r="I3092" s="126" t="s">
        <v>6920</v>
      </c>
      <c r="J3092" s="207">
        <v>53704710101</v>
      </c>
      <c r="K3092" s="171" t="s">
        <v>6921</v>
      </c>
      <c r="L3092" s="62">
        <v>23474480</v>
      </c>
      <c r="M3092" s="30">
        <v>5213541253361</v>
      </c>
      <c r="N3092" s="172" t="s">
        <v>74</v>
      </c>
      <c r="O3092" s="91"/>
      <c r="P3092" s="91"/>
      <c r="Q3092" s="42">
        <f>OfficeForms.Table[[#This Row],[ INFORMEDEPAGO ]]*0.3</f>
        <v>0</v>
      </c>
      <c r="R3092" s="12">
        <f t="shared" si="45"/>
        <v>0</v>
      </c>
      <c r="S3092" s="78"/>
      <c r="T3092" s="1"/>
      <c r="V3092" s="1"/>
      <c r="X3092" s="101">
        <v>1</v>
      </c>
    </row>
    <row r="3093" spans="1:24" hidden="1">
      <c r="A3093">
        <v>1505</v>
      </c>
      <c r="B3093" s="2">
        <v>46242.662384259304</v>
      </c>
      <c r="C3093" s="2">
        <v>46242.6641087963</v>
      </c>
      <c r="D3093" s="1" t="s">
        <v>24</v>
      </c>
      <c r="E3093" s="1"/>
      <c r="F3093" s="29">
        <v>46242</v>
      </c>
      <c r="G3093" s="29">
        <v>46242</v>
      </c>
      <c r="H3093" s="1" t="s">
        <v>71</v>
      </c>
      <c r="I3093" s="126" t="s">
        <v>6922</v>
      </c>
      <c r="J3093" s="207"/>
      <c r="K3093" s="171" t="s">
        <v>6923</v>
      </c>
      <c r="L3093" s="62">
        <v>23476428</v>
      </c>
      <c r="M3093" s="30">
        <v>5218444274791</v>
      </c>
      <c r="N3093" s="172" t="s">
        <v>37</v>
      </c>
      <c r="O3093" s="91">
        <v>9760.32</v>
      </c>
      <c r="P3093" s="91">
        <v>2916.17</v>
      </c>
      <c r="Q3093" s="42">
        <f>OfficeForms.Table[[#This Row],[ INFORMEDEPAGO ]]*0.3</f>
        <v>2928.096</v>
      </c>
      <c r="R3093" s="12">
        <f t="shared" si="45"/>
        <v>11.925999999999931</v>
      </c>
      <c r="S3093" s="78">
        <v>46874</v>
      </c>
      <c r="T3093" s="1" t="s">
        <v>84</v>
      </c>
      <c r="V3093" s="1"/>
      <c r="X3093" s="101">
        <v>2</v>
      </c>
    </row>
    <row r="3094" spans="1:24" hidden="1">
      <c r="A3094">
        <v>1506</v>
      </c>
      <c r="B3094" s="2">
        <v>46242.662210648203</v>
      </c>
      <c r="C3094" s="2">
        <v>46242.668865740699</v>
      </c>
      <c r="D3094" s="1" t="s">
        <v>24</v>
      </c>
      <c r="E3094" s="1"/>
      <c r="F3094" s="29">
        <v>46242</v>
      </c>
      <c r="G3094" s="29">
        <v>46242</v>
      </c>
      <c r="H3094" s="1" t="s">
        <v>51</v>
      </c>
      <c r="I3094" s="126" t="s">
        <v>6924</v>
      </c>
      <c r="J3094" s="207"/>
      <c r="K3094" s="171" t="s">
        <v>6925</v>
      </c>
      <c r="L3094" s="62">
        <v>23467716</v>
      </c>
      <c r="M3094" s="30">
        <v>5214922648073</v>
      </c>
      <c r="N3094" s="172" t="s">
        <v>47</v>
      </c>
      <c r="O3094" s="91">
        <v>9051.89</v>
      </c>
      <c r="P3094" s="91">
        <v>2282.12</v>
      </c>
      <c r="Q3094" s="42">
        <f>OfficeForms.Table[[#This Row],[ INFORMEDEPAGO ]]*0.3</f>
        <v>2715.5669999999996</v>
      </c>
      <c r="R3094" s="12">
        <f t="shared" si="45"/>
        <v>433.44699999999966</v>
      </c>
      <c r="S3094" s="78">
        <v>46419</v>
      </c>
      <c r="T3094" s="1"/>
      <c r="V3094" s="1"/>
      <c r="X3094" s="101">
        <v>2</v>
      </c>
    </row>
    <row r="3095" spans="1:24" hidden="1">
      <c r="A3095">
        <v>1507</v>
      </c>
      <c r="B3095" s="2">
        <v>46242.666215277801</v>
      </c>
      <c r="C3095" s="2">
        <v>46242.672337962998</v>
      </c>
      <c r="D3095" s="1" t="s">
        <v>24</v>
      </c>
      <c r="E3095" s="1"/>
      <c r="F3095" s="29">
        <v>46242</v>
      </c>
      <c r="G3095" s="29">
        <v>46239</v>
      </c>
      <c r="H3095" s="1" t="s">
        <v>78</v>
      </c>
      <c r="I3095" s="126" t="s">
        <v>6926</v>
      </c>
      <c r="J3095" s="207" t="s">
        <v>6927</v>
      </c>
      <c r="K3095" s="171" t="s">
        <v>6928</v>
      </c>
      <c r="L3095" s="62">
        <v>23381776</v>
      </c>
      <c r="M3095" s="30">
        <v>23381776</v>
      </c>
      <c r="N3095" s="172" t="s">
        <v>37</v>
      </c>
      <c r="O3095" s="91">
        <v>12185.45</v>
      </c>
      <c r="P3095" s="91">
        <v>3524.54</v>
      </c>
      <c r="Q3095" s="42">
        <f>OfficeForms.Table[[#This Row],[ INFORMEDEPAGO ]]*0.3</f>
        <v>3655.6350000000002</v>
      </c>
      <c r="R3095" s="12">
        <f t="shared" si="45"/>
        <v>131.09500000000025</v>
      </c>
      <c r="S3095" s="78">
        <v>46478</v>
      </c>
      <c r="T3095" s="1"/>
      <c r="V3095" s="1"/>
      <c r="X3095" s="101">
        <v>2</v>
      </c>
    </row>
    <row r="3096" spans="1:24" hidden="1">
      <c r="A3096">
        <v>1508</v>
      </c>
      <c r="B3096" s="2">
        <v>46242.703506944403</v>
      </c>
      <c r="C3096" s="2">
        <v>46242.704166666699</v>
      </c>
      <c r="D3096" s="1" t="s">
        <v>24</v>
      </c>
      <c r="E3096" s="1"/>
      <c r="F3096" s="29">
        <v>46242</v>
      </c>
      <c r="G3096" s="29">
        <v>46242</v>
      </c>
      <c r="H3096" s="1" t="s">
        <v>269</v>
      </c>
      <c r="I3096" s="126" t="s">
        <v>6929</v>
      </c>
      <c r="J3096" s="207" t="s">
        <v>6930</v>
      </c>
      <c r="K3096" s="171" t="s">
        <v>6931</v>
      </c>
      <c r="L3096" s="62">
        <v>23462820</v>
      </c>
      <c r="M3096" s="30">
        <v>5216562966619</v>
      </c>
      <c r="N3096" s="172" t="s">
        <v>28</v>
      </c>
      <c r="O3096" s="91">
        <v>8784.2999999999993</v>
      </c>
      <c r="P3096" s="91">
        <v>848</v>
      </c>
      <c r="Q3096" s="42">
        <f>OfficeForms.Table[[#This Row],[ INFORMEDEPAGO ]]*0.3</f>
        <v>2635.2899999999995</v>
      </c>
      <c r="R3096" s="12">
        <f t="shared" si="45"/>
        <v>1787.2899999999995</v>
      </c>
      <c r="S3096" s="78"/>
      <c r="T3096" s="1"/>
      <c r="V3096" s="1"/>
      <c r="X3096" s="101">
        <v>1</v>
      </c>
    </row>
    <row r="3097" spans="1:24" hidden="1">
      <c r="A3097">
        <v>1509</v>
      </c>
      <c r="B3097" s="2">
        <v>46242.718240740702</v>
      </c>
      <c r="C3097" s="2">
        <v>46242.719131944403</v>
      </c>
      <c r="D3097" s="1" t="s">
        <v>24</v>
      </c>
      <c r="E3097" s="1"/>
      <c r="F3097" s="29">
        <v>46242</v>
      </c>
      <c r="G3097" s="29">
        <v>46242</v>
      </c>
      <c r="H3097" s="1" t="s">
        <v>269</v>
      </c>
      <c r="I3097" s="126" t="s">
        <v>6932</v>
      </c>
      <c r="J3097" s="207" t="s">
        <v>6933</v>
      </c>
      <c r="K3097" s="171" t="s">
        <v>6934</v>
      </c>
      <c r="L3097" s="62">
        <v>23471436</v>
      </c>
      <c r="M3097" s="30">
        <v>5215628157081</v>
      </c>
      <c r="N3097" s="172" t="s">
        <v>37</v>
      </c>
      <c r="O3097" s="91">
        <v>9760.32</v>
      </c>
      <c r="P3097" s="91">
        <v>2928.1</v>
      </c>
      <c r="Q3097" s="42">
        <f>OfficeForms.Table[[#This Row],[ INFORMEDEPAGO ]]*0.3</f>
        <v>2928.096</v>
      </c>
      <c r="R3097" s="12">
        <f t="shared" si="45"/>
        <v>-3.9999999999054126E-3</v>
      </c>
      <c r="S3097" s="78">
        <v>46784</v>
      </c>
      <c r="T3097" s="1"/>
      <c r="V3097" s="1"/>
      <c r="X3097" s="101">
        <v>2</v>
      </c>
    </row>
    <row r="3098" spans="1:24" hidden="1">
      <c r="A3098">
        <v>1510</v>
      </c>
      <c r="B3098" s="2">
        <v>46242.730601851901</v>
      </c>
      <c r="C3098" s="2">
        <v>46242.731574074103</v>
      </c>
      <c r="D3098" s="1" t="s">
        <v>24</v>
      </c>
      <c r="E3098" s="1"/>
      <c r="F3098" s="29">
        <v>46242</v>
      </c>
      <c r="G3098" s="29">
        <v>46242</v>
      </c>
      <c r="H3098" s="1" t="s">
        <v>476</v>
      </c>
      <c r="I3098" s="126" t="s">
        <v>6935</v>
      </c>
      <c r="J3098" s="207"/>
      <c r="K3098" s="171" t="s">
        <v>6936</v>
      </c>
      <c r="L3098" s="62">
        <v>23477102</v>
      </c>
      <c r="M3098" s="30">
        <v>5215537394932</v>
      </c>
      <c r="N3098" s="172" t="s">
        <v>37</v>
      </c>
      <c r="O3098" s="91">
        <v>37772.26</v>
      </c>
      <c r="P3098" s="91">
        <v>11329.23</v>
      </c>
      <c r="Q3098" s="42">
        <f>OfficeForms.Table[[#This Row],[ INFORMEDEPAGO ]]*0.3</f>
        <v>11331.678</v>
      </c>
      <c r="R3098" s="12">
        <f t="shared" si="45"/>
        <v>2.4480000000003201</v>
      </c>
      <c r="S3098" s="78">
        <v>46478</v>
      </c>
      <c r="T3098" s="1"/>
      <c r="V3098" s="1"/>
      <c r="X3098" s="101">
        <v>2</v>
      </c>
    </row>
    <row r="3099" spans="1:24" hidden="1">
      <c r="A3099">
        <v>1511</v>
      </c>
      <c r="B3099" s="2">
        <v>46242.735150462999</v>
      </c>
      <c r="C3099" s="2">
        <v>46242.735752314802</v>
      </c>
      <c r="D3099" s="1" t="s">
        <v>24</v>
      </c>
      <c r="E3099" s="1"/>
      <c r="F3099" s="29">
        <v>46242</v>
      </c>
      <c r="G3099" s="29">
        <v>46235</v>
      </c>
      <c r="H3099" s="1" t="s">
        <v>269</v>
      </c>
      <c r="I3099" s="126" t="s">
        <v>6937</v>
      </c>
      <c r="J3099" s="207" t="s">
        <v>6938</v>
      </c>
      <c r="K3099" s="171" t="s">
        <v>6939</v>
      </c>
      <c r="L3099" s="62">
        <v>23279634</v>
      </c>
      <c r="M3099" s="30">
        <v>5213314650171</v>
      </c>
      <c r="N3099" s="172" t="s">
        <v>37</v>
      </c>
      <c r="O3099" s="91">
        <v>8654.75</v>
      </c>
      <c r="P3099" s="91">
        <v>2300.5</v>
      </c>
      <c r="Q3099" s="42">
        <f>OfficeForms.Table[[#This Row],[ INFORMEDEPAGO ]]*0.3</f>
        <v>2596.4249999999997</v>
      </c>
      <c r="R3099" s="12">
        <f t="shared" si="45"/>
        <v>295.92499999999973</v>
      </c>
      <c r="S3099" s="78">
        <v>46508</v>
      </c>
      <c r="T3099" s="1"/>
      <c r="V3099" s="1"/>
      <c r="X3099" s="101">
        <v>2</v>
      </c>
    </row>
    <row r="3100" spans="1:24" hidden="1">
      <c r="A3100">
        <v>1512</v>
      </c>
      <c r="B3100" s="2">
        <v>46242.7524305556</v>
      </c>
      <c r="C3100" s="2">
        <v>46242.752858796302</v>
      </c>
      <c r="D3100" s="1" t="s">
        <v>24</v>
      </c>
      <c r="E3100" s="1"/>
      <c r="F3100" s="29">
        <v>46242</v>
      </c>
      <c r="G3100" s="29">
        <v>46242</v>
      </c>
      <c r="H3100" s="1" t="s">
        <v>3007</v>
      </c>
      <c r="I3100" s="126" t="s">
        <v>6940</v>
      </c>
      <c r="J3100" s="207">
        <v>23825810510</v>
      </c>
      <c r="K3100" s="171"/>
      <c r="L3100" s="62">
        <v>23478144</v>
      </c>
      <c r="M3100" s="30">
        <v>6681252796</v>
      </c>
      <c r="N3100" s="172" t="s">
        <v>28</v>
      </c>
      <c r="O3100" s="91">
        <f>36341.2+848</f>
        <v>37189.199999999997</v>
      </c>
      <c r="P3100" s="91">
        <v>848</v>
      </c>
      <c r="Q3100" s="42">
        <f>OfficeForms.Table[[#This Row],[ INFORMEDEPAGO ]]*0.3</f>
        <v>11156.759999999998</v>
      </c>
      <c r="R3100" s="12">
        <f t="shared" si="45"/>
        <v>10308.759999999998</v>
      </c>
      <c r="S3100" s="78"/>
      <c r="T3100" s="1"/>
      <c r="V3100" s="1"/>
      <c r="X3100" s="101">
        <v>1</v>
      </c>
    </row>
    <row r="3101" spans="1:24" hidden="1">
      <c r="A3101">
        <v>1514</v>
      </c>
      <c r="B3101" s="2">
        <v>46243.368888888901</v>
      </c>
      <c r="C3101" s="2">
        <v>46243.371493055602</v>
      </c>
      <c r="D3101" s="1" t="s">
        <v>24</v>
      </c>
      <c r="E3101" s="1"/>
      <c r="F3101" s="29">
        <v>46243</v>
      </c>
      <c r="G3101" s="29">
        <v>46240</v>
      </c>
      <c r="H3101" s="1" t="s">
        <v>5691</v>
      </c>
      <c r="I3101" s="126" t="s">
        <v>6941</v>
      </c>
      <c r="J3101" s="207"/>
      <c r="K3101" s="171" t="s">
        <v>6942</v>
      </c>
      <c r="L3101" s="62">
        <v>23425064</v>
      </c>
      <c r="M3101" s="30">
        <v>2221153362</v>
      </c>
      <c r="N3101" s="172" t="s">
        <v>37</v>
      </c>
      <c r="O3101" s="91">
        <v>8663.08</v>
      </c>
      <c r="P3101" s="91">
        <v>2596.38</v>
      </c>
      <c r="Q3101" s="42">
        <f>OfficeForms.Table[[#This Row],[ INFORMEDEPAGO ]]*0.3</f>
        <v>2598.924</v>
      </c>
      <c r="R3101" s="12">
        <f t="shared" si="45"/>
        <v>2.543999999999869</v>
      </c>
      <c r="S3101" s="78">
        <v>46935</v>
      </c>
      <c r="T3101" s="1"/>
      <c r="V3101" s="1"/>
      <c r="X3101" s="101">
        <v>2</v>
      </c>
    </row>
    <row r="3102" spans="1:24" hidden="1">
      <c r="A3102">
        <v>1515</v>
      </c>
      <c r="B3102" s="2">
        <v>46243.392372685201</v>
      </c>
      <c r="C3102" s="2">
        <v>46243.393553240698</v>
      </c>
      <c r="D3102" s="1" t="s">
        <v>24</v>
      </c>
      <c r="E3102" s="1"/>
      <c r="F3102" s="29">
        <v>46243</v>
      </c>
      <c r="G3102" s="29">
        <v>46242</v>
      </c>
      <c r="H3102" s="1" t="s">
        <v>5691</v>
      </c>
      <c r="I3102" s="126" t="s">
        <v>6943</v>
      </c>
      <c r="J3102" s="207"/>
      <c r="K3102" s="171" t="s">
        <v>6944</v>
      </c>
      <c r="L3102" s="62">
        <v>23476804</v>
      </c>
      <c r="M3102" s="30">
        <v>9212033942</v>
      </c>
      <c r="N3102" s="172" t="s">
        <v>98</v>
      </c>
      <c r="O3102" s="91"/>
      <c r="P3102" s="91"/>
      <c r="Q3102" s="42">
        <f>OfficeForms.Table[[#This Row],[ INFORMEDEPAGO ]]*0.3</f>
        <v>0</v>
      </c>
      <c r="R3102" s="12">
        <f t="shared" ref="R3102" si="46">(IF(O3102&lt;4172.98,0,MIN(O3102*0.3,O3102-4172.98)))-P3102</f>
        <v>0</v>
      </c>
      <c r="S3102" s="78"/>
      <c r="T3102" s="1"/>
      <c r="V3102" s="1"/>
      <c r="X3102" s="101">
        <v>0</v>
      </c>
    </row>
    <row r="3103" spans="1:24" hidden="1">
      <c r="A3103">
        <v>1516</v>
      </c>
      <c r="B3103" s="2">
        <v>46243.400185185201</v>
      </c>
      <c r="C3103" s="2">
        <v>46243.401354166701</v>
      </c>
      <c r="D3103" s="1" t="s">
        <v>24</v>
      </c>
      <c r="E3103" s="1"/>
      <c r="F3103" s="29">
        <v>46243</v>
      </c>
      <c r="G3103" s="29">
        <v>46243</v>
      </c>
      <c r="H3103" s="1" t="s">
        <v>5691</v>
      </c>
      <c r="I3103" s="126" t="s">
        <v>6945</v>
      </c>
      <c r="J3103" s="207"/>
      <c r="K3103" s="171" t="s">
        <v>6946</v>
      </c>
      <c r="L3103" s="62">
        <v>23484840</v>
      </c>
      <c r="M3103" s="30">
        <v>5554537019</v>
      </c>
      <c r="N3103" s="172" t="s">
        <v>32</v>
      </c>
      <c r="O3103" s="91">
        <f>3494.43+848</f>
        <v>4342.43</v>
      </c>
      <c r="P3103" s="91">
        <v>848</v>
      </c>
      <c r="Q3103" s="42">
        <f>OfficeForms.Table[[#This Row],[ INFORMEDEPAGO ]]*0.3</f>
        <v>1302.729</v>
      </c>
      <c r="R3103" s="12">
        <f t="shared" si="45"/>
        <v>-678.54999999999927</v>
      </c>
      <c r="S3103" s="78"/>
      <c r="T3103" s="1"/>
      <c r="V3103" s="1"/>
      <c r="X3103" s="101">
        <v>1</v>
      </c>
    </row>
    <row r="3104" spans="1:24" hidden="1">
      <c r="A3104">
        <v>1517</v>
      </c>
      <c r="B3104" s="2">
        <v>46243.420081018499</v>
      </c>
      <c r="C3104" s="2">
        <v>46243.4217361111</v>
      </c>
      <c r="D3104" s="1" t="s">
        <v>24</v>
      </c>
      <c r="E3104" s="1"/>
      <c r="F3104" s="29">
        <v>46243</v>
      </c>
      <c r="G3104" s="29">
        <v>46243</v>
      </c>
      <c r="H3104" s="1" t="s">
        <v>110</v>
      </c>
      <c r="I3104" s="126" t="s">
        <v>6947</v>
      </c>
      <c r="J3104" s="207"/>
      <c r="K3104" s="171" t="s">
        <v>6948</v>
      </c>
      <c r="L3104" s="62">
        <v>23485454</v>
      </c>
      <c r="M3104" s="30">
        <v>5218683093269</v>
      </c>
      <c r="N3104" s="172" t="s">
        <v>37</v>
      </c>
      <c r="O3104" s="91">
        <v>34283.35</v>
      </c>
      <c r="P3104" s="91">
        <v>10282.530000000001</v>
      </c>
      <c r="Q3104" s="42">
        <f>OfficeForms.Table[[#This Row],[ INFORMEDEPAGO ]]*0.3</f>
        <v>10285.004999999999</v>
      </c>
      <c r="R3104" s="12">
        <f t="shared" si="45"/>
        <v>2.4749999999985448</v>
      </c>
      <c r="S3104" s="78">
        <v>46600</v>
      </c>
      <c r="T3104" s="1"/>
      <c r="V3104" s="1"/>
      <c r="X3104" s="101">
        <v>2</v>
      </c>
    </row>
    <row r="3105" spans="1:24" hidden="1">
      <c r="A3105">
        <v>1518</v>
      </c>
      <c r="B3105" s="2">
        <v>46243.445740740703</v>
      </c>
      <c r="C3105" s="2">
        <v>46243.446863425903</v>
      </c>
      <c r="D3105" s="1" t="s">
        <v>24</v>
      </c>
      <c r="E3105" s="1"/>
      <c r="F3105" s="29">
        <v>46243</v>
      </c>
      <c r="G3105" s="29">
        <v>46243</v>
      </c>
      <c r="H3105" s="1" t="s">
        <v>5605</v>
      </c>
      <c r="I3105" s="126" t="s">
        <v>6949</v>
      </c>
      <c r="J3105" s="207">
        <v>2182600359</v>
      </c>
      <c r="K3105" s="171" t="s">
        <v>6950</v>
      </c>
      <c r="L3105" s="62">
        <v>23486310</v>
      </c>
      <c r="M3105" s="30">
        <v>6643184580</v>
      </c>
      <c r="N3105" s="172" t="s">
        <v>98</v>
      </c>
      <c r="O3105" s="91"/>
      <c r="P3105" s="91"/>
      <c r="Q3105" s="42">
        <f>OfficeForms.Table[[#This Row],[ INFORMEDEPAGO ]]*0.3</f>
        <v>0</v>
      </c>
      <c r="R3105" s="12">
        <f t="shared" si="45"/>
        <v>0</v>
      </c>
      <c r="S3105" s="78"/>
      <c r="T3105" s="1"/>
      <c r="V3105" s="1"/>
      <c r="X3105" s="101">
        <v>0</v>
      </c>
    </row>
    <row r="3106" spans="1:24" hidden="1">
      <c r="A3106">
        <v>1519</v>
      </c>
      <c r="B3106" s="2">
        <v>46243.440578703703</v>
      </c>
      <c r="C3106" s="2">
        <v>46243.447164351797</v>
      </c>
      <c r="D3106" s="1" t="s">
        <v>24</v>
      </c>
      <c r="E3106" s="1"/>
      <c r="F3106" s="29">
        <v>46243</v>
      </c>
      <c r="G3106" s="29">
        <v>46240</v>
      </c>
      <c r="H3106" s="1" t="s">
        <v>110</v>
      </c>
      <c r="I3106" s="126" t="s">
        <v>6951</v>
      </c>
      <c r="J3106" s="207">
        <v>1624307904</v>
      </c>
      <c r="K3106" s="171" t="s">
        <v>6952</v>
      </c>
      <c r="L3106" s="62">
        <v>23460862</v>
      </c>
      <c r="M3106" s="30">
        <v>5215524115387</v>
      </c>
      <c r="N3106" s="172" t="s">
        <v>74</v>
      </c>
      <c r="O3106" s="91"/>
      <c r="P3106" s="91"/>
      <c r="Q3106" s="42">
        <f>OfficeForms.Table[[#This Row],[ INFORMEDEPAGO ]]*0.3</f>
        <v>0</v>
      </c>
      <c r="R3106" s="12">
        <f t="shared" si="45"/>
        <v>0</v>
      </c>
      <c r="S3106" s="78"/>
      <c r="T3106" s="1"/>
      <c r="V3106" s="1"/>
      <c r="X3106" s="101">
        <v>1</v>
      </c>
    </row>
    <row r="3107" spans="1:24" hidden="1">
      <c r="A3107">
        <v>1520</v>
      </c>
      <c r="B3107" s="2">
        <v>46243.4469791667</v>
      </c>
      <c r="C3107" s="2">
        <v>46243.448078703703</v>
      </c>
      <c r="D3107" s="1" t="s">
        <v>24</v>
      </c>
      <c r="E3107" s="1"/>
      <c r="F3107" s="29">
        <v>46243</v>
      </c>
      <c r="G3107" s="29">
        <v>46241</v>
      </c>
      <c r="H3107" s="1" t="s">
        <v>5691</v>
      </c>
      <c r="I3107" s="126" t="s">
        <v>6953</v>
      </c>
      <c r="J3107" s="207">
        <v>49846732300</v>
      </c>
      <c r="K3107" s="171" t="s">
        <v>6954</v>
      </c>
      <c r="L3107" s="62">
        <v>23456680</v>
      </c>
      <c r="M3107" s="30">
        <v>8332854040</v>
      </c>
      <c r="N3107" s="172" t="s">
        <v>37</v>
      </c>
      <c r="O3107" s="91">
        <v>7967.29</v>
      </c>
      <c r="P3107" s="91">
        <v>2390</v>
      </c>
      <c r="Q3107" s="42">
        <f>OfficeForms.Table[[#This Row],[ INFORMEDEPAGO ]]*0.3</f>
        <v>2390.1869999999999</v>
      </c>
      <c r="R3107" s="12">
        <f t="shared" si="45"/>
        <v>0.18699999999989814</v>
      </c>
      <c r="S3107" s="78">
        <v>46813</v>
      </c>
      <c r="T3107" s="1"/>
      <c r="V3107" s="1"/>
      <c r="X3107" s="101">
        <v>2</v>
      </c>
    </row>
    <row r="3108" spans="1:24" hidden="1">
      <c r="A3108">
        <v>1521</v>
      </c>
      <c r="B3108" s="2">
        <v>46243.448182870401</v>
      </c>
      <c r="C3108" s="2">
        <v>46243.448668981502</v>
      </c>
      <c r="D3108" s="1" t="s">
        <v>24</v>
      </c>
      <c r="E3108" s="1"/>
      <c r="F3108" s="29">
        <v>46243</v>
      </c>
      <c r="G3108" s="29">
        <v>46243</v>
      </c>
      <c r="H3108" s="1" t="s">
        <v>26</v>
      </c>
      <c r="I3108" s="126" t="s">
        <v>6955</v>
      </c>
      <c r="J3108" s="207"/>
      <c r="K3108" s="171" t="s">
        <v>6956</v>
      </c>
      <c r="L3108" s="62">
        <v>23485426</v>
      </c>
      <c r="M3108" s="30">
        <v>5216621697525</v>
      </c>
      <c r="N3108" s="172" t="s">
        <v>106</v>
      </c>
      <c r="O3108" s="91">
        <v>9081.52</v>
      </c>
      <c r="P3108" s="91">
        <v>2521.33</v>
      </c>
      <c r="Q3108" s="42">
        <f>OfficeForms.Table[[#This Row],[ INFORMEDEPAGO ]]*0.3</f>
        <v>2724.4560000000001</v>
      </c>
      <c r="R3108" s="12">
        <f t="shared" si="45"/>
        <v>203.1260000000002</v>
      </c>
      <c r="S3108" s="78">
        <v>46204</v>
      </c>
      <c r="T3108" s="1"/>
      <c r="V3108" s="1"/>
      <c r="X3108" s="101">
        <v>2</v>
      </c>
    </row>
    <row r="3109" spans="1:24" hidden="1">
      <c r="A3109">
        <v>1522</v>
      </c>
      <c r="B3109" s="2">
        <v>46243.335092592599</v>
      </c>
      <c r="C3109" s="2">
        <v>46243.449641203697</v>
      </c>
      <c r="D3109" s="1" t="s">
        <v>24</v>
      </c>
      <c r="E3109" s="1"/>
      <c r="F3109" s="29">
        <v>46243</v>
      </c>
      <c r="G3109" s="29">
        <v>46243</v>
      </c>
      <c r="H3109" s="1" t="s">
        <v>71</v>
      </c>
      <c r="I3109" s="126" t="s">
        <v>6957</v>
      </c>
      <c r="J3109" s="207"/>
      <c r="K3109" s="171" t="s">
        <v>6958</v>
      </c>
      <c r="L3109" s="62">
        <v>23485672</v>
      </c>
      <c r="M3109" s="30">
        <v>5213343835253</v>
      </c>
      <c r="N3109" s="172" t="s">
        <v>28</v>
      </c>
      <c r="O3109" s="91">
        <v>9081.52</v>
      </c>
      <c r="P3109" s="91"/>
      <c r="Q3109" s="42">
        <f>OfficeForms.Table[[#This Row],[ INFORMEDEPAGO ]]*0.3</f>
        <v>2724.4560000000001</v>
      </c>
      <c r="R3109" s="12">
        <f t="shared" si="45"/>
        <v>2724.4560000000001</v>
      </c>
      <c r="S3109" s="78"/>
      <c r="T3109" s="1"/>
      <c r="V3109" s="1"/>
      <c r="X3109" s="101">
        <v>1</v>
      </c>
    </row>
    <row r="3110" spans="1:24" hidden="1">
      <c r="A3110">
        <v>1523</v>
      </c>
      <c r="B3110" s="2">
        <v>46243.455694444398</v>
      </c>
      <c r="C3110" s="2">
        <v>46243.456469907404</v>
      </c>
      <c r="D3110" s="1" t="s">
        <v>24</v>
      </c>
      <c r="E3110" s="1"/>
      <c r="F3110" s="29">
        <v>46243</v>
      </c>
      <c r="G3110" s="29">
        <v>46243</v>
      </c>
      <c r="H3110" s="1" t="s">
        <v>5691</v>
      </c>
      <c r="I3110" s="126" t="s">
        <v>6959</v>
      </c>
      <c r="J3110" s="207"/>
      <c r="K3110" s="171" t="s">
        <v>6960</v>
      </c>
      <c r="L3110" s="62">
        <v>23483520</v>
      </c>
      <c r="M3110" s="30">
        <v>5669170909</v>
      </c>
      <c r="N3110" s="172" t="s">
        <v>98</v>
      </c>
      <c r="O3110" s="91"/>
      <c r="P3110" s="91"/>
      <c r="Q3110" s="42">
        <f>OfficeForms.Table[[#This Row],[ INFORMEDEPAGO ]]*0.3</f>
        <v>0</v>
      </c>
      <c r="R3110" s="12">
        <f t="shared" si="45"/>
        <v>0</v>
      </c>
      <c r="S3110" s="78"/>
      <c r="T3110" s="1"/>
      <c r="V3110" s="1"/>
      <c r="X3110" s="101">
        <v>0</v>
      </c>
    </row>
    <row r="3111" spans="1:24" hidden="1">
      <c r="A3111">
        <v>1524</v>
      </c>
      <c r="B3111" s="2">
        <v>46243.340069444399</v>
      </c>
      <c r="C3111" s="2">
        <v>46243.463460648098</v>
      </c>
      <c r="D3111" s="1" t="s">
        <v>24</v>
      </c>
      <c r="E3111" s="1"/>
      <c r="F3111" s="29">
        <v>46243</v>
      </c>
      <c r="G3111" s="29">
        <v>46243</v>
      </c>
      <c r="H3111" s="1" t="s">
        <v>3572</v>
      </c>
      <c r="I3111" s="126" t="s">
        <v>6961</v>
      </c>
      <c r="J3111" s="207">
        <v>31806412602</v>
      </c>
      <c r="K3111" s="171" t="s">
        <v>6961</v>
      </c>
      <c r="L3111" s="62">
        <v>23484448</v>
      </c>
      <c r="M3111" s="30">
        <v>5218441427263</v>
      </c>
      <c r="N3111" s="172" t="s">
        <v>28</v>
      </c>
      <c r="O3111" s="91">
        <v>11833</v>
      </c>
      <c r="P3111" s="91"/>
      <c r="Q3111" s="42">
        <f>OfficeForms.Table[[#This Row],[ INFORMEDEPAGO ]]*0.3</f>
        <v>3549.9</v>
      </c>
      <c r="R3111" s="12">
        <f t="shared" si="45"/>
        <v>3549.9</v>
      </c>
      <c r="S3111" s="78">
        <v>46478</v>
      </c>
      <c r="T3111" s="1"/>
      <c r="V3111" s="1"/>
      <c r="X3111" s="101">
        <v>2</v>
      </c>
    </row>
    <row r="3112" spans="1:24" hidden="1">
      <c r="A3112">
        <v>1525</v>
      </c>
      <c r="B3112" s="2">
        <v>46243.463888888902</v>
      </c>
      <c r="C3112" s="2">
        <v>46243.491863425901</v>
      </c>
      <c r="D3112" s="1" t="s">
        <v>24</v>
      </c>
      <c r="E3112" s="1"/>
      <c r="F3112" s="29">
        <v>46243</v>
      </c>
      <c r="G3112" s="29">
        <v>46242</v>
      </c>
      <c r="H3112" s="1" t="s">
        <v>3572</v>
      </c>
      <c r="I3112" s="126" t="s">
        <v>6962</v>
      </c>
      <c r="J3112" s="207">
        <v>23583714441</v>
      </c>
      <c r="K3112" s="171" t="s">
        <v>6963</v>
      </c>
      <c r="L3112" s="62">
        <v>23480850</v>
      </c>
      <c r="M3112" s="30">
        <v>5213331181803</v>
      </c>
      <c r="N3112" s="172" t="s">
        <v>130</v>
      </c>
      <c r="O3112" s="91">
        <v>6893.27</v>
      </c>
      <c r="P3112" s="91">
        <f>1827.26-743.32</f>
        <v>1083.94</v>
      </c>
      <c r="Q3112" s="42">
        <f>OfficeForms.Table[[#This Row],[ INFORMEDEPAGO ]]*0.3</f>
        <v>2067.9810000000002</v>
      </c>
      <c r="R3112" s="12">
        <f t="shared" si="45"/>
        <v>984.04100000000017</v>
      </c>
      <c r="S3112" s="78">
        <v>45839</v>
      </c>
      <c r="T3112" s="1"/>
      <c r="V3112" s="1"/>
      <c r="X3112" s="101">
        <v>2</v>
      </c>
    </row>
    <row r="3113" spans="1:24" hidden="1">
      <c r="A3113">
        <v>1526</v>
      </c>
      <c r="B3113" s="2">
        <v>46243.498252314799</v>
      </c>
      <c r="C3113" s="2">
        <v>46243.499363425901</v>
      </c>
      <c r="D3113" s="1" t="s">
        <v>24</v>
      </c>
      <c r="E3113" s="1"/>
      <c r="F3113" s="29">
        <v>46243</v>
      </c>
      <c r="G3113" s="29">
        <v>46243</v>
      </c>
      <c r="H3113" s="1" t="s">
        <v>71</v>
      </c>
      <c r="I3113" s="126" t="s">
        <v>6964</v>
      </c>
      <c r="J3113" s="207"/>
      <c r="K3113" s="171" t="s">
        <v>6965</v>
      </c>
      <c r="L3113" s="62">
        <v>23487352</v>
      </c>
      <c r="M3113" s="30">
        <v>5212871622811</v>
      </c>
      <c r="N3113" s="172" t="s">
        <v>28</v>
      </c>
      <c r="O3113" s="91">
        <v>10636.54</v>
      </c>
      <c r="P3113" s="91"/>
      <c r="Q3113" s="42">
        <f>OfficeForms.Table[[#This Row],[ INFORMEDEPAGO ]]*0.3</f>
        <v>3190.962</v>
      </c>
      <c r="R3113" s="12">
        <f t="shared" si="45"/>
        <v>3190.962</v>
      </c>
      <c r="S3113" s="78"/>
      <c r="T3113" s="1"/>
      <c r="V3113" s="1"/>
      <c r="X3113" s="101">
        <v>1</v>
      </c>
    </row>
    <row r="3114" spans="1:24" hidden="1">
      <c r="A3114">
        <v>1527</v>
      </c>
      <c r="B3114" s="2">
        <v>46243.506701388898</v>
      </c>
      <c r="C3114" s="2">
        <v>46243.507280092599</v>
      </c>
      <c r="D3114" s="1" t="s">
        <v>24</v>
      </c>
      <c r="E3114" s="1"/>
      <c r="F3114" s="29">
        <v>46243</v>
      </c>
      <c r="G3114" s="29">
        <v>46241</v>
      </c>
      <c r="H3114" s="1" t="s">
        <v>5691</v>
      </c>
      <c r="I3114" s="126" t="s">
        <v>6966</v>
      </c>
      <c r="J3114" s="207"/>
      <c r="K3114" s="171" t="s">
        <v>6967</v>
      </c>
      <c r="L3114" s="62">
        <v>23460102</v>
      </c>
      <c r="M3114" s="30">
        <v>9932580821</v>
      </c>
      <c r="N3114" s="172" t="s">
        <v>28</v>
      </c>
      <c r="O3114" s="91">
        <v>7920.51</v>
      </c>
      <c r="P3114" s="91"/>
      <c r="Q3114" s="42">
        <f>OfficeForms.Table[[#This Row],[ INFORMEDEPAGO ]]*0.3</f>
        <v>2376.1529999999998</v>
      </c>
      <c r="R3114" s="12">
        <f t="shared" si="45"/>
        <v>2376.1529999999998</v>
      </c>
      <c r="S3114" s="78"/>
      <c r="T3114" s="1"/>
      <c r="V3114" s="1"/>
      <c r="X3114" s="101">
        <v>1</v>
      </c>
    </row>
    <row r="3115" spans="1:24" hidden="1">
      <c r="A3115">
        <v>1528</v>
      </c>
      <c r="B3115" s="2">
        <v>46243.515509259298</v>
      </c>
      <c r="C3115" s="2">
        <v>46243.5169328704</v>
      </c>
      <c r="D3115" s="1" t="s">
        <v>24</v>
      </c>
      <c r="E3115" s="1"/>
      <c r="F3115" s="29">
        <v>46243</v>
      </c>
      <c r="G3115" s="29">
        <v>46243</v>
      </c>
      <c r="H3115" s="1" t="s">
        <v>3572</v>
      </c>
      <c r="I3115" s="126" t="s">
        <v>6968</v>
      </c>
      <c r="J3115" s="207">
        <v>24886554807</v>
      </c>
      <c r="K3115" s="171"/>
      <c r="L3115" s="62">
        <v>23486948</v>
      </c>
      <c r="M3115" s="30">
        <v>5216312483486</v>
      </c>
      <c r="N3115" s="172" t="s">
        <v>37</v>
      </c>
      <c r="O3115" s="91">
        <v>11029.02</v>
      </c>
      <c r="P3115" s="91">
        <f>879+2429.71</f>
        <v>3308.71</v>
      </c>
      <c r="Q3115" s="42">
        <f>OfficeForms.Table[[#This Row],[ INFORMEDEPAGO ]]*0.3</f>
        <v>3308.7060000000001</v>
      </c>
      <c r="R3115" s="12">
        <f t="shared" si="45"/>
        <v>-3.9999999999054126E-3</v>
      </c>
      <c r="S3115" s="78">
        <v>46966</v>
      </c>
      <c r="T3115" s="1"/>
      <c r="V3115" s="1"/>
      <c r="X3115" s="101">
        <v>2</v>
      </c>
    </row>
    <row r="3116" spans="1:24" hidden="1">
      <c r="A3116">
        <v>1529</v>
      </c>
      <c r="B3116" s="2">
        <v>46243.557280092602</v>
      </c>
      <c r="C3116" s="2">
        <v>46243.558055555601</v>
      </c>
      <c r="D3116" s="1" t="s">
        <v>24</v>
      </c>
      <c r="E3116" s="1"/>
      <c r="F3116" s="29">
        <v>46243</v>
      </c>
      <c r="G3116" s="29">
        <v>46242</v>
      </c>
      <c r="H3116" s="1" t="s">
        <v>71</v>
      </c>
      <c r="I3116" s="126" t="s">
        <v>6969</v>
      </c>
      <c r="J3116" s="207"/>
      <c r="K3116" s="171" t="s">
        <v>6970</v>
      </c>
      <c r="L3116" s="62">
        <v>23478070</v>
      </c>
      <c r="M3116" s="30">
        <v>5215554089704</v>
      </c>
      <c r="N3116" s="172" t="s">
        <v>28</v>
      </c>
      <c r="O3116" s="91">
        <v>27090</v>
      </c>
      <c r="P3116" s="91">
        <v>1842</v>
      </c>
      <c r="Q3116" s="42">
        <f>OfficeForms.Table[[#This Row],[ INFORMEDEPAGO ]]*0.3</f>
        <v>8127</v>
      </c>
      <c r="R3116" s="12">
        <f t="shared" ref="R3116:R3121" si="47">(IF(O3116&lt;4172.98,0,MIN(O3116*0.3,O3116-4172.98)))-P3116</f>
        <v>6285</v>
      </c>
      <c r="S3116" s="78"/>
      <c r="T3116" s="1"/>
      <c r="V3116" s="1"/>
      <c r="X3116" s="101">
        <v>1</v>
      </c>
    </row>
    <row r="3117" spans="1:24" hidden="1">
      <c r="A3117">
        <v>1530</v>
      </c>
      <c r="B3117" s="2">
        <v>46243.578136574099</v>
      </c>
      <c r="C3117" s="2">
        <v>46243.579050925902</v>
      </c>
      <c r="D3117" s="1" t="s">
        <v>24</v>
      </c>
      <c r="E3117" s="1"/>
      <c r="F3117" s="29">
        <v>46243</v>
      </c>
      <c r="G3117" s="29">
        <v>46243</v>
      </c>
      <c r="H3117" s="1" t="s">
        <v>5605</v>
      </c>
      <c r="I3117" s="126" t="s">
        <v>6971</v>
      </c>
      <c r="J3117" s="207"/>
      <c r="K3117" s="171" t="s">
        <v>6972</v>
      </c>
      <c r="L3117" s="62">
        <v>23485828</v>
      </c>
      <c r="M3117" s="30">
        <v>3781855195</v>
      </c>
      <c r="N3117" s="172" t="s">
        <v>32</v>
      </c>
      <c r="O3117" s="91">
        <v>4441.95</v>
      </c>
      <c r="P3117" s="91">
        <v>196.05</v>
      </c>
      <c r="Q3117" s="42">
        <f>OfficeForms.Table[[#This Row],[ INFORMEDEPAGO ]]*0.3</f>
        <v>1332.5849999999998</v>
      </c>
      <c r="R3117" s="12">
        <f t="shared" si="47"/>
        <v>72.920000000000243</v>
      </c>
      <c r="S3117" s="78"/>
      <c r="T3117" s="1"/>
      <c r="V3117" s="1"/>
      <c r="X3117" s="101">
        <v>1</v>
      </c>
    </row>
    <row r="3118" spans="1:24" hidden="1">
      <c r="A3118">
        <v>1531</v>
      </c>
      <c r="B3118" s="2">
        <v>46243.582453703697</v>
      </c>
      <c r="C3118" s="2">
        <v>46243.5860300926</v>
      </c>
      <c r="D3118" s="1" t="s">
        <v>24</v>
      </c>
      <c r="E3118" s="1"/>
      <c r="F3118" s="29">
        <v>46243</v>
      </c>
      <c r="G3118" s="29">
        <v>46243</v>
      </c>
      <c r="H3118" s="1" t="s">
        <v>5033</v>
      </c>
      <c r="I3118" s="126" t="s">
        <v>6973</v>
      </c>
      <c r="J3118" s="207">
        <v>65816420940</v>
      </c>
      <c r="K3118" s="171"/>
      <c r="L3118" s="62">
        <v>23483262</v>
      </c>
      <c r="M3118" s="30">
        <v>7734172747</v>
      </c>
      <c r="N3118" s="172" t="s">
        <v>37</v>
      </c>
      <c r="O3118" s="91">
        <f>6832.22+1428.1+1500</f>
        <v>9760.32</v>
      </c>
      <c r="P3118" s="91">
        <f>1500+1428.1</f>
        <v>2928.1</v>
      </c>
      <c r="Q3118" s="42">
        <f>OfficeForms.Table[[#This Row],[ INFORMEDEPAGO ]]*0.3</f>
        <v>2928.096</v>
      </c>
      <c r="R3118" s="12">
        <f t="shared" si="47"/>
        <v>-3.9999999999054126E-3</v>
      </c>
      <c r="S3118" s="78">
        <v>46813</v>
      </c>
      <c r="T3118" s="1"/>
      <c r="V3118" s="1"/>
      <c r="X3118" s="101">
        <v>2</v>
      </c>
    </row>
    <row r="3119" spans="1:24" hidden="1">
      <c r="A3119">
        <v>1532</v>
      </c>
      <c r="B3119" s="2">
        <v>46243.587696759299</v>
      </c>
      <c r="C3119" s="2">
        <v>46243.589490740698</v>
      </c>
      <c r="D3119" s="1" t="s">
        <v>24</v>
      </c>
      <c r="E3119" s="1"/>
      <c r="F3119" s="29">
        <v>46243</v>
      </c>
      <c r="G3119" s="29">
        <v>46243</v>
      </c>
      <c r="H3119" s="1" t="s">
        <v>5605</v>
      </c>
      <c r="I3119" s="126" t="s">
        <v>6974</v>
      </c>
      <c r="J3119" s="207">
        <v>84856502780</v>
      </c>
      <c r="K3119" s="171"/>
      <c r="L3119" s="62">
        <v>23487668</v>
      </c>
      <c r="M3119" s="30">
        <v>9991694377</v>
      </c>
      <c r="N3119" s="172" t="s">
        <v>47</v>
      </c>
      <c r="O3119" s="91">
        <v>9760.32</v>
      </c>
      <c r="P3119" s="91">
        <v>2608.5700000000002</v>
      </c>
      <c r="Q3119" s="42">
        <f>OfficeForms.Table[[#This Row],[ INFORMEDEPAGO ]]*0.3</f>
        <v>2928.096</v>
      </c>
      <c r="R3119" s="12">
        <f t="shared" si="47"/>
        <v>319.52599999999984</v>
      </c>
      <c r="S3119" s="78">
        <v>46661</v>
      </c>
      <c r="T3119" s="1"/>
      <c r="V3119" s="1"/>
      <c r="X3119" s="101">
        <v>2</v>
      </c>
    </row>
    <row r="3120" spans="1:24" hidden="1">
      <c r="A3120">
        <v>1533</v>
      </c>
      <c r="B3120" s="2">
        <v>46243.600092592598</v>
      </c>
      <c r="C3120" s="2">
        <v>46243.600567129601</v>
      </c>
      <c r="D3120" s="1" t="s">
        <v>24</v>
      </c>
      <c r="E3120" s="1"/>
      <c r="F3120" s="29">
        <v>46243</v>
      </c>
      <c r="G3120" s="29">
        <v>46243</v>
      </c>
      <c r="H3120" s="1" t="s">
        <v>103</v>
      </c>
      <c r="I3120" s="126" t="s">
        <v>219</v>
      </c>
      <c r="J3120" s="207">
        <v>43886657998</v>
      </c>
      <c r="K3120" s="171"/>
      <c r="L3120" s="62">
        <v>1</v>
      </c>
      <c r="M3120" s="30">
        <v>8312823214</v>
      </c>
      <c r="N3120" s="172" t="s">
        <v>37</v>
      </c>
      <c r="O3120" s="91">
        <v>6366.25</v>
      </c>
      <c r="P3120" s="91">
        <f>404+1469.23</f>
        <v>1873.23</v>
      </c>
      <c r="Q3120" s="42">
        <f>OfficeForms.Table[[#This Row],[ INFORMEDEPAGO ]]*0.3</f>
        <v>1909.875</v>
      </c>
      <c r="R3120" s="12">
        <f t="shared" si="47"/>
        <v>36.644999999999982</v>
      </c>
      <c r="S3120" s="78">
        <v>46419</v>
      </c>
      <c r="T3120" s="1"/>
      <c r="V3120" s="1"/>
      <c r="X3120" s="101">
        <v>2</v>
      </c>
    </row>
    <row r="3121" spans="1:24" hidden="1">
      <c r="A3121">
        <v>1534</v>
      </c>
      <c r="B3121" s="2">
        <v>46243.603020833303</v>
      </c>
      <c r="C3121" s="2">
        <v>46243.603726851899</v>
      </c>
      <c r="D3121" s="1" t="s">
        <v>24</v>
      </c>
      <c r="E3121" s="1"/>
      <c r="F3121" s="29">
        <v>46243</v>
      </c>
      <c r="G3121" s="29">
        <v>46243</v>
      </c>
      <c r="H3121" s="1" t="s">
        <v>5691</v>
      </c>
      <c r="I3121" s="126" t="s">
        <v>6975</v>
      </c>
      <c r="J3121" s="207"/>
      <c r="K3121" s="171" t="s">
        <v>6976</v>
      </c>
      <c r="L3121" s="62">
        <v>23487774</v>
      </c>
      <c r="M3121" s="30">
        <v>5562877047</v>
      </c>
      <c r="N3121" s="172" t="s">
        <v>37</v>
      </c>
      <c r="O3121" s="91">
        <f>17194.96+259.46+2180+448+4477</f>
        <v>24559.42</v>
      </c>
      <c r="P3121" s="91">
        <f>259.46+2180+448+4477</f>
        <v>7364.46</v>
      </c>
      <c r="Q3121" s="42">
        <f>OfficeForms.Table[[#This Row],[ INFORMEDEPAGO ]]*0.3</f>
        <v>7367.8259999999991</v>
      </c>
      <c r="R3121" s="12">
        <f t="shared" si="47"/>
        <v>3.365999999999076</v>
      </c>
      <c r="S3121" s="78">
        <v>46478</v>
      </c>
      <c r="T3121" s="1" t="s">
        <v>6855</v>
      </c>
      <c r="V3121" s="1"/>
      <c r="X3121" s="101">
        <v>2</v>
      </c>
    </row>
    <row r="3122" spans="1:24" hidden="1">
      <c r="A3122">
        <v>1535</v>
      </c>
      <c r="B3122" s="2">
        <v>46243.605659722198</v>
      </c>
      <c r="C3122" s="2">
        <v>46243.6069907407</v>
      </c>
      <c r="D3122" s="1" t="s">
        <v>24</v>
      </c>
      <c r="E3122" s="1"/>
      <c r="F3122" s="29">
        <v>46243</v>
      </c>
      <c r="G3122" s="29">
        <v>46243</v>
      </c>
      <c r="H3122" s="1" t="s">
        <v>476</v>
      </c>
      <c r="I3122" s="126" t="s">
        <v>6977</v>
      </c>
      <c r="J3122" s="207">
        <v>43976808089</v>
      </c>
      <c r="K3122" s="171"/>
      <c r="L3122" s="62">
        <v>23489792</v>
      </c>
      <c r="M3122" s="30">
        <v>5218149598318</v>
      </c>
      <c r="N3122" s="172" t="s">
        <v>28</v>
      </c>
      <c r="O3122" s="91">
        <f>20484.06-10548</f>
        <v>9936.0600000000013</v>
      </c>
      <c r="P3122" s="91">
        <v>848</v>
      </c>
      <c r="Q3122" s="42">
        <f>OfficeForms.Table[[#This Row],[ INFORMEDEPAGO ]]*0.3</f>
        <v>2980.8180000000002</v>
      </c>
      <c r="R3122" s="12">
        <f t="shared" ref="R3122:R3137" si="48">(IF(O3122&lt;4172.98,0,MIN(O3122*0.3,O3122-4172.98)))-P3122</f>
        <v>2132.8180000000002</v>
      </c>
      <c r="S3122" s="78"/>
      <c r="T3122" s="1"/>
      <c r="V3122" s="1"/>
      <c r="X3122" s="101">
        <v>1</v>
      </c>
    </row>
    <row r="3123" spans="1:24" hidden="1">
      <c r="A3123">
        <v>1536</v>
      </c>
      <c r="B3123" s="2">
        <v>46243.605543981503</v>
      </c>
      <c r="C3123" s="2">
        <v>46243.608819444402</v>
      </c>
      <c r="D3123" s="1" t="s">
        <v>24</v>
      </c>
      <c r="E3123" s="1"/>
      <c r="F3123" s="29">
        <v>46243</v>
      </c>
      <c r="G3123" s="29">
        <v>46243</v>
      </c>
      <c r="H3123" s="1" t="s">
        <v>110</v>
      </c>
      <c r="I3123" s="126" t="s">
        <v>6978</v>
      </c>
      <c r="J3123" s="207"/>
      <c r="K3123" s="171" t="s">
        <v>6979</v>
      </c>
      <c r="L3123" s="62">
        <v>23484960</v>
      </c>
      <c r="M3123" s="30">
        <v>5218991557787</v>
      </c>
      <c r="N3123" s="172" t="s">
        <v>98</v>
      </c>
      <c r="O3123" s="91"/>
      <c r="P3123" s="91"/>
      <c r="Q3123" s="42">
        <f>OfficeForms.Table[[#This Row],[ INFORMEDEPAGO ]]*0.3</f>
        <v>0</v>
      </c>
      <c r="R3123" s="12">
        <f t="shared" si="48"/>
        <v>0</v>
      </c>
      <c r="S3123" s="78"/>
      <c r="T3123" s="1"/>
      <c r="V3123" s="1"/>
      <c r="X3123" s="101">
        <v>0</v>
      </c>
    </row>
    <row r="3124" spans="1:24" hidden="1">
      <c r="A3124">
        <v>1537</v>
      </c>
      <c r="B3124" s="2">
        <v>46243.611423611103</v>
      </c>
      <c r="C3124" s="2">
        <v>46243.612928240698</v>
      </c>
      <c r="D3124" s="1" t="s">
        <v>24</v>
      </c>
      <c r="E3124" s="1"/>
      <c r="F3124" s="29">
        <v>46243</v>
      </c>
      <c r="G3124" s="29">
        <v>46243</v>
      </c>
      <c r="H3124" s="1" t="s">
        <v>110</v>
      </c>
      <c r="I3124" s="126" t="s">
        <v>6980</v>
      </c>
      <c r="J3124" s="207">
        <v>15785704659</v>
      </c>
      <c r="K3124" s="171"/>
      <c r="L3124" s="62">
        <v>23479242</v>
      </c>
      <c r="M3124" s="30">
        <v>5218771265641</v>
      </c>
      <c r="N3124" s="172" t="s">
        <v>106</v>
      </c>
      <c r="O3124" s="91">
        <v>19054.55</v>
      </c>
      <c r="P3124" s="91">
        <v>3680.8</v>
      </c>
      <c r="Q3124" s="42">
        <f>OfficeForms.Table[[#This Row],[ INFORMEDEPAGO ]]*0.3</f>
        <v>5716.3649999999998</v>
      </c>
      <c r="R3124" s="12">
        <f t="shared" si="48"/>
        <v>2035.5649999999996</v>
      </c>
      <c r="S3124" s="78">
        <v>46082</v>
      </c>
      <c r="T3124" s="1"/>
      <c r="V3124" s="1"/>
      <c r="X3124" s="101">
        <v>2</v>
      </c>
    </row>
    <row r="3125" spans="1:24" hidden="1">
      <c r="A3125">
        <v>1538</v>
      </c>
      <c r="B3125" s="2">
        <v>46243.612962963001</v>
      </c>
      <c r="C3125" s="2">
        <v>46243.614027777803</v>
      </c>
      <c r="D3125" s="1" t="s">
        <v>24</v>
      </c>
      <c r="E3125" s="1"/>
      <c r="F3125" s="29">
        <v>46243</v>
      </c>
      <c r="G3125" s="29">
        <v>46243</v>
      </c>
      <c r="H3125" s="1" t="s">
        <v>26</v>
      </c>
      <c r="I3125" s="126" t="s">
        <v>6981</v>
      </c>
      <c r="J3125" s="207" t="s">
        <v>6982</v>
      </c>
      <c r="K3125" s="171" t="s">
        <v>6983</v>
      </c>
      <c r="L3125" s="62">
        <v>23483792</v>
      </c>
      <c r="M3125" s="30">
        <v>5217822222992</v>
      </c>
      <c r="N3125" s="172" t="s">
        <v>106</v>
      </c>
      <c r="O3125" s="91">
        <v>17053.439999999999</v>
      </c>
      <c r="P3125" s="91">
        <v>4523.21</v>
      </c>
      <c r="Q3125" s="42">
        <f>OfficeForms.Table[[#This Row],[ INFORMEDEPAGO ]]*0.3</f>
        <v>5116.0319999999992</v>
      </c>
      <c r="R3125" s="12">
        <f t="shared" si="48"/>
        <v>592.82199999999921</v>
      </c>
      <c r="S3125" s="78">
        <v>45901</v>
      </c>
      <c r="T3125" s="1"/>
      <c r="V3125" s="1"/>
      <c r="X3125" s="101">
        <v>2</v>
      </c>
    </row>
    <row r="3126" spans="1:24" hidden="1">
      <c r="A3126">
        <v>1539</v>
      </c>
      <c r="B3126" s="2">
        <v>46243.516979166699</v>
      </c>
      <c r="C3126" s="2">
        <v>46243.620312500003</v>
      </c>
      <c r="D3126" s="1" t="s">
        <v>24</v>
      </c>
      <c r="E3126" s="1"/>
      <c r="F3126" s="29">
        <v>46243</v>
      </c>
      <c r="G3126" s="29">
        <v>46243</v>
      </c>
      <c r="H3126" s="1" t="s">
        <v>3572</v>
      </c>
      <c r="I3126" s="126" t="s">
        <v>6984</v>
      </c>
      <c r="J3126" s="208" t="s">
        <v>6985</v>
      </c>
      <c r="K3126" s="171"/>
      <c r="L3126" s="62">
        <v>23489600</v>
      </c>
      <c r="M3126" s="30">
        <v>5216641981920</v>
      </c>
      <c r="N3126" s="172" t="s">
        <v>37</v>
      </c>
      <c r="O3126" s="91">
        <v>5617.63</v>
      </c>
      <c r="P3126" s="91">
        <v>1336.95</v>
      </c>
      <c r="Q3126" s="42">
        <f>OfficeForms.Table[[#This Row],[ INFORMEDEPAGO ]]*0.3</f>
        <v>1685.289</v>
      </c>
      <c r="R3126" s="12">
        <f t="shared" ref="R3126" si="49">(IF(O3126&lt;4172.98,0,MIN(O3126*0.3,O3126-4172.98)))-P3126</f>
        <v>107.7000000000005</v>
      </c>
      <c r="S3126" s="78">
        <v>46388</v>
      </c>
      <c r="T3126" s="1"/>
      <c r="V3126" s="1"/>
      <c r="X3126" s="101">
        <v>2</v>
      </c>
    </row>
    <row r="3127" spans="1:24" hidden="1">
      <c r="A3127">
        <v>1540</v>
      </c>
      <c r="B3127" s="2">
        <v>46243.619490740697</v>
      </c>
      <c r="C3127" s="2">
        <v>46243.621747685203</v>
      </c>
      <c r="D3127" s="1" t="s">
        <v>24</v>
      </c>
      <c r="E3127" s="1"/>
      <c r="F3127" s="29">
        <v>46243</v>
      </c>
      <c r="G3127" s="29">
        <v>46243</v>
      </c>
      <c r="H3127" s="1" t="s">
        <v>26</v>
      </c>
      <c r="I3127" s="126" t="s">
        <v>6986</v>
      </c>
      <c r="J3127" s="207" t="s">
        <v>6987</v>
      </c>
      <c r="K3127" s="171" t="s">
        <v>6988</v>
      </c>
      <c r="L3127" s="62">
        <v>23490180</v>
      </c>
      <c r="M3127" s="30">
        <v>5213345112148</v>
      </c>
      <c r="N3127" s="172" t="s">
        <v>37</v>
      </c>
      <c r="O3127" s="91">
        <v>10626.54</v>
      </c>
      <c r="P3127" s="91">
        <v>3189</v>
      </c>
      <c r="Q3127" s="42">
        <f>OfficeForms.Table[[#This Row],[ INFORMEDEPAGO ]]*0.3</f>
        <v>3187.962</v>
      </c>
      <c r="R3127" s="12">
        <f t="shared" si="48"/>
        <v>-1.0380000000000109</v>
      </c>
      <c r="S3127" s="78">
        <v>46905</v>
      </c>
      <c r="T3127" s="1"/>
      <c r="V3127" s="1"/>
      <c r="X3127" s="101">
        <v>2</v>
      </c>
    </row>
    <row r="3128" spans="1:24" hidden="1">
      <c r="A3128">
        <v>1541</v>
      </c>
      <c r="B3128" s="2">
        <v>46243.4283796296</v>
      </c>
      <c r="C3128" s="2">
        <v>46243.644016203703</v>
      </c>
      <c r="D3128" s="1" t="s">
        <v>24</v>
      </c>
      <c r="E3128" s="1"/>
      <c r="F3128" s="29">
        <v>46243</v>
      </c>
      <c r="G3128" s="29">
        <v>46243</v>
      </c>
      <c r="H3128" s="1" t="s">
        <v>1625</v>
      </c>
      <c r="I3128" s="126" t="s">
        <v>6989</v>
      </c>
      <c r="J3128" s="207" t="s">
        <v>6990</v>
      </c>
      <c r="K3128" s="171" t="s">
        <v>6991</v>
      </c>
      <c r="L3128" s="62">
        <v>2</v>
      </c>
      <c r="M3128" s="30">
        <v>3334986090</v>
      </c>
      <c r="N3128" s="172" t="s">
        <v>32</v>
      </c>
      <c r="O3128" s="91">
        <f>3007.42+848</f>
        <v>3855.42</v>
      </c>
      <c r="P3128" s="91">
        <v>848</v>
      </c>
      <c r="Q3128" s="42">
        <f>OfficeForms.Table[[#This Row],[ INFORMEDEPAGO ]]*0.3</f>
        <v>1156.626</v>
      </c>
      <c r="R3128" s="12">
        <f t="shared" si="48"/>
        <v>-848</v>
      </c>
      <c r="S3128" s="78"/>
      <c r="T3128" s="1"/>
      <c r="V3128" s="1"/>
      <c r="X3128" s="101">
        <v>1</v>
      </c>
    </row>
    <row r="3129" spans="1:24" hidden="1">
      <c r="A3129">
        <v>1543</v>
      </c>
      <c r="B3129" s="2">
        <v>46243.658263888901</v>
      </c>
      <c r="C3129" s="2">
        <v>46243.659016203703</v>
      </c>
      <c r="D3129" s="1" t="s">
        <v>24</v>
      </c>
      <c r="E3129" s="1"/>
      <c r="F3129" s="29">
        <v>46243</v>
      </c>
      <c r="G3129" s="29">
        <v>46242</v>
      </c>
      <c r="H3129" s="1" t="s">
        <v>71</v>
      </c>
      <c r="I3129" s="126" t="s">
        <v>6992</v>
      </c>
      <c r="J3129" s="207"/>
      <c r="K3129" s="171" t="s">
        <v>6993</v>
      </c>
      <c r="L3129" s="62">
        <v>23479866</v>
      </c>
      <c r="M3129" s="30">
        <v>5216688618062</v>
      </c>
      <c r="N3129" s="172" t="s">
        <v>32</v>
      </c>
      <c r="O3129" s="91">
        <v>3078.69</v>
      </c>
      <c r="P3129" s="91">
        <v>742</v>
      </c>
      <c r="Q3129" s="42">
        <f>OfficeForms.Table[[#This Row],[ INFORMEDEPAGO ]]*0.3</f>
        <v>923.60699999999997</v>
      </c>
      <c r="R3129" s="12">
        <f t="shared" si="48"/>
        <v>-742</v>
      </c>
      <c r="S3129" s="78"/>
      <c r="T3129" s="1"/>
      <c r="V3129" s="1"/>
      <c r="X3129" s="101">
        <v>1</v>
      </c>
    </row>
    <row r="3130" spans="1:24" hidden="1">
      <c r="A3130">
        <v>1544</v>
      </c>
      <c r="B3130" s="2">
        <v>46243.6801388889</v>
      </c>
      <c r="C3130" s="2">
        <v>46243.682337963</v>
      </c>
      <c r="D3130" s="1" t="s">
        <v>24</v>
      </c>
      <c r="E3130" s="1"/>
      <c r="F3130" s="29">
        <v>46243</v>
      </c>
      <c r="G3130" s="29">
        <v>46243</v>
      </c>
      <c r="H3130" s="1" t="s">
        <v>5691</v>
      </c>
      <c r="I3130" s="126" t="s">
        <v>6994</v>
      </c>
      <c r="J3130" s="207"/>
      <c r="K3130" s="171" t="s">
        <v>6995</v>
      </c>
      <c r="L3130" s="62">
        <v>23487104</v>
      </c>
      <c r="M3130" s="30">
        <v>8994200500</v>
      </c>
      <c r="N3130" s="172" t="s">
        <v>28</v>
      </c>
      <c r="O3130" s="91">
        <f>22336.74-11700.2</f>
        <v>10636.54</v>
      </c>
      <c r="P3130" s="91"/>
      <c r="Q3130" s="42">
        <f>OfficeForms.Table[[#This Row],[ INFORMEDEPAGO ]]*0.3</f>
        <v>3190.962</v>
      </c>
      <c r="R3130" s="12">
        <f t="shared" si="48"/>
        <v>3190.962</v>
      </c>
      <c r="S3130" s="78"/>
      <c r="T3130" s="1"/>
      <c r="V3130" s="1"/>
      <c r="X3130" s="101">
        <v>1</v>
      </c>
    </row>
    <row r="3131" spans="1:24" hidden="1">
      <c r="A3131">
        <v>1545</v>
      </c>
      <c r="B3131" s="2">
        <v>46243.620474536998</v>
      </c>
      <c r="C3131" s="2">
        <v>46243.685590277797</v>
      </c>
      <c r="D3131" s="1" t="s">
        <v>24</v>
      </c>
      <c r="E3131" s="1"/>
      <c r="F3131" s="29">
        <v>46243</v>
      </c>
      <c r="G3131" s="29">
        <v>46242</v>
      </c>
      <c r="H3131" s="1" t="s">
        <v>3572</v>
      </c>
      <c r="I3131" s="126" t="s">
        <v>6996</v>
      </c>
      <c r="J3131" s="207"/>
      <c r="K3131" s="171" t="s">
        <v>6997</v>
      </c>
      <c r="L3131" s="62">
        <v>23480002</v>
      </c>
      <c r="M3131" s="30">
        <v>5215528843730</v>
      </c>
      <c r="N3131" s="172" t="s">
        <v>37</v>
      </c>
      <c r="O3131" s="91">
        <v>11947.36</v>
      </c>
      <c r="P3131" s="91">
        <v>3456.06</v>
      </c>
      <c r="Q3131" s="42">
        <f>OfficeForms.Table[[#This Row],[ INFORMEDEPAGO ]]*0.3</f>
        <v>3584.2080000000001</v>
      </c>
      <c r="R3131" s="12">
        <f t="shared" si="48"/>
        <v>128.14800000000014</v>
      </c>
      <c r="S3131" s="78">
        <v>46661</v>
      </c>
      <c r="T3131" s="1"/>
      <c r="V3131" s="1"/>
      <c r="X3131" s="101">
        <v>2</v>
      </c>
    </row>
    <row r="3132" spans="1:24" hidden="1">
      <c r="A3132">
        <v>1546</v>
      </c>
      <c r="B3132" s="2">
        <v>46243.692118055602</v>
      </c>
      <c r="C3132" s="2">
        <v>46243.694016203699</v>
      </c>
      <c r="D3132" s="1" t="s">
        <v>24</v>
      </c>
      <c r="E3132" s="1"/>
      <c r="F3132" s="29">
        <v>46243</v>
      </c>
      <c r="G3132" s="29">
        <v>46242</v>
      </c>
      <c r="H3132" s="1" t="s">
        <v>26</v>
      </c>
      <c r="I3132" s="126" t="s">
        <v>6998</v>
      </c>
      <c r="J3132" s="207" t="s">
        <v>6999</v>
      </c>
      <c r="K3132" s="171"/>
      <c r="L3132" s="62">
        <v>23479236</v>
      </c>
      <c r="M3132" s="30">
        <v>5215541430784</v>
      </c>
      <c r="N3132" s="172" t="s">
        <v>28</v>
      </c>
      <c r="O3132" s="91">
        <v>65910.100000000006</v>
      </c>
      <c r="P3132" s="91"/>
      <c r="Q3132" s="42">
        <f>OfficeForms.Table[[#This Row],[ INFORMEDEPAGO ]]*0.3</f>
        <v>19773.030000000002</v>
      </c>
      <c r="R3132" s="12">
        <f t="shared" si="48"/>
        <v>19773.030000000002</v>
      </c>
      <c r="S3132" s="78"/>
      <c r="T3132" s="1"/>
      <c r="V3132" s="1"/>
      <c r="X3132" s="101">
        <v>1</v>
      </c>
    </row>
    <row r="3133" spans="1:24" hidden="1">
      <c r="A3133">
        <v>1547</v>
      </c>
      <c r="B3133" s="2">
        <v>46243.700659722199</v>
      </c>
      <c r="C3133" s="2">
        <v>46243.7020023148</v>
      </c>
      <c r="D3133" s="1" t="s">
        <v>24</v>
      </c>
      <c r="E3133" s="1"/>
      <c r="F3133" s="29">
        <v>46243</v>
      </c>
      <c r="G3133" s="29">
        <v>46243</v>
      </c>
      <c r="H3133" s="1" t="s">
        <v>107</v>
      </c>
      <c r="I3133" s="126"/>
      <c r="J3133" s="207"/>
      <c r="K3133" s="171" t="s">
        <v>7000</v>
      </c>
      <c r="L3133" s="62">
        <v>23486478</v>
      </c>
      <c r="M3133" s="30">
        <v>8110352287</v>
      </c>
      <c r="N3133" s="172" t="s">
        <v>130</v>
      </c>
      <c r="O3133" s="91">
        <v>19256.38</v>
      </c>
      <c r="P3133" s="91">
        <v>5776.86</v>
      </c>
      <c r="Q3133" s="42">
        <f>OfficeForms.Table[[#This Row],[ INFORMEDEPAGO ]]*0.3</f>
        <v>5776.9139999999998</v>
      </c>
      <c r="R3133" s="12">
        <f t="shared" si="48"/>
        <v>5.4000000000087311E-2</v>
      </c>
      <c r="S3133" s="78">
        <v>46204</v>
      </c>
      <c r="T3133" s="1"/>
      <c r="V3133" s="162"/>
      <c r="W3133" s="167"/>
      <c r="X3133" s="101">
        <v>2</v>
      </c>
    </row>
    <row r="3134" spans="1:24" hidden="1">
      <c r="A3134">
        <v>1548</v>
      </c>
      <c r="B3134" s="2">
        <v>46243.870532407404</v>
      </c>
      <c r="C3134" s="2">
        <v>46243.874756944402</v>
      </c>
      <c r="D3134" s="1" t="s">
        <v>24</v>
      </c>
      <c r="E3134" s="1"/>
      <c r="F3134" s="29">
        <v>46243</v>
      </c>
      <c r="G3134" s="29">
        <v>46243</v>
      </c>
      <c r="H3134" s="1" t="s">
        <v>1625</v>
      </c>
      <c r="I3134" s="126" t="s">
        <v>7001</v>
      </c>
      <c r="J3134" s="207">
        <v>75806219228</v>
      </c>
      <c r="K3134" s="171" t="s">
        <v>7002</v>
      </c>
      <c r="L3134" s="62">
        <v>2</v>
      </c>
      <c r="M3134" s="30">
        <v>5542844916</v>
      </c>
      <c r="N3134" s="172" t="s">
        <v>37</v>
      </c>
      <c r="O3134" s="91">
        <v>7731.75</v>
      </c>
      <c r="P3134" s="91">
        <v>2100</v>
      </c>
      <c r="Q3134" s="42">
        <f>OfficeForms.Table[[#This Row],[ INFORMEDEPAGO ]]*0.3</f>
        <v>2319.5250000000001</v>
      </c>
      <c r="R3134" s="12">
        <f t="shared" si="48"/>
        <v>219.52500000000009</v>
      </c>
      <c r="S3134" s="78">
        <v>46539</v>
      </c>
      <c r="T3134" s="1"/>
      <c r="V3134" s="1"/>
      <c r="X3134" s="101">
        <v>2</v>
      </c>
    </row>
    <row r="3135" spans="1:24" hidden="1">
      <c r="A3135">
        <v>1549</v>
      </c>
      <c r="B3135" s="2">
        <v>46244.336817129602</v>
      </c>
      <c r="C3135" s="2">
        <v>46244.339131944398</v>
      </c>
      <c r="D3135" s="1" t="s">
        <v>24</v>
      </c>
      <c r="E3135" s="1"/>
      <c r="F3135" s="29">
        <v>46244</v>
      </c>
      <c r="G3135" s="29">
        <v>46244</v>
      </c>
      <c r="H3135" s="1" t="s">
        <v>1629</v>
      </c>
      <c r="I3135" s="126" t="s">
        <v>7003</v>
      </c>
      <c r="J3135" s="207">
        <v>2227044837</v>
      </c>
      <c r="K3135" s="171" t="s">
        <v>7004</v>
      </c>
      <c r="L3135" s="62">
        <v>2</v>
      </c>
      <c r="M3135" s="30" t="s">
        <v>7005</v>
      </c>
      <c r="N3135" s="172" t="s">
        <v>98</v>
      </c>
      <c r="O3135" s="91"/>
      <c r="P3135" s="91"/>
      <c r="Q3135" s="42">
        <f>OfficeForms.Table[[#This Row],[ INFORMEDEPAGO ]]*0.3</f>
        <v>0</v>
      </c>
      <c r="R3135" s="12">
        <f t="shared" si="48"/>
        <v>0</v>
      </c>
      <c r="S3135" s="78"/>
      <c r="T3135" s="1"/>
      <c r="V3135" s="1"/>
      <c r="X3135" s="101">
        <v>0</v>
      </c>
    </row>
    <row r="3136" spans="1:24" hidden="1">
      <c r="A3136">
        <v>1550</v>
      </c>
      <c r="B3136" s="2">
        <v>46244.341944444401</v>
      </c>
      <c r="C3136" s="2">
        <v>46244.342824074098</v>
      </c>
      <c r="D3136" s="1" t="s">
        <v>24</v>
      </c>
      <c r="E3136" s="1"/>
      <c r="F3136" s="29">
        <v>46244</v>
      </c>
      <c r="G3136" s="29">
        <v>46244</v>
      </c>
      <c r="H3136" s="1" t="s">
        <v>1629</v>
      </c>
      <c r="I3136" s="126" t="s">
        <v>7006</v>
      </c>
      <c r="J3136" s="207">
        <v>11745569357</v>
      </c>
      <c r="K3136" s="171" t="s">
        <v>1936</v>
      </c>
      <c r="L3136" s="62">
        <v>2</v>
      </c>
      <c r="M3136" s="30">
        <v>5521031652</v>
      </c>
      <c r="N3136" s="172" t="s">
        <v>28</v>
      </c>
      <c r="O3136" s="91">
        <v>9081.52</v>
      </c>
      <c r="P3136" s="91"/>
      <c r="Q3136" s="42">
        <f>OfficeForms.Table[[#This Row],[ INFORMEDEPAGO ]]*0.3</f>
        <v>2724.4560000000001</v>
      </c>
      <c r="R3136" s="12">
        <f t="shared" si="48"/>
        <v>2724.4560000000001</v>
      </c>
      <c r="S3136" s="78"/>
      <c r="T3136" s="1"/>
      <c r="V3136" s="1"/>
      <c r="X3136" s="101">
        <v>1</v>
      </c>
    </row>
    <row r="3137" spans="1:24" hidden="1">
      <c r="A3137">
        <v>1551</v>
      </c>
      <c r="B3137" s="2">
        <v>46244.344502314802</v>
      </c>
      <c r="C3137" s="2">
        <v>46244.346782407403</v>
      </c>
      <c r="D3137" s="1" t="s">
        <v>24</v>
      </c>
      <c r="E3137" s="1"/>
      <c r="F3137" s="29">
        <v>46244</v>
      </c>
      <c r="G3137" s="29">
        <v>46244</v>
      </c>
      <c r="H3137" s="1" t="s">
        <v>2908</v>
      </c>
      <c r="I3137" s="126" t="s">
        <v>7007</v>
      </c>
      <c r="J3137" s="207">
        <v>51825901401</v>
      </c>
      <c r="K3137" s="171" t="s">
        <v>7008</v>
      </c>
      <c r="L3137" s="62">
        <v>2</v>
      </c>
      <c r="M3137" s="30">
        <v>14494955563</v>
      </c>
      <c r="N3137" s="172" t="s">
        <v>37</v>
      </c>
      <c r="O3137" s="91">
        <v>29081.25</v>
      </c>
      <c r="P3137" s="91">
        <v>8724.3799999999992</v>
      </c>
      <c r="Q3137" s="42">
        <f>OfficeForms.Table[[#This Row],[ INFORMEDEPAGO ]]*0.3</f>
        <v>8724.375</v>
      </c>
      <c r="R3137" s="12">
        <f t="shared" si="48"/>
        <v>-4.9999999991996447E-3</v>
      </c>
      <c r="S3137" s="78">
        <v>46539</v>
      </c>
      <c r="T3137" s="1"/>
      <c r="V3137" s="1"/>
      <c r="X3137" s="101">
        <v>2</v>
      </c>
    </row>
    <row r="3138" spans="1:24" hidden="1">
      <c r="A3138">
        <v>1552</v>
      </c>
      <c r="B3138" s="2">
        <v>46244.315208333297</v>
      </c>
      <c r="C3138" s="2">
        <v>46244.365104166704</v>
      </c>
      <c r="D3138" s="1" t="s">
        <v>24</v>
      </c>
      <c r="E3138" s="1"/>
      <c r="F3138" s="29">
        <v>46244</v>
      </c>
      <c r="G3138" s="29">
        <v>46244</v>
      </c>
      <c r="H3138" s="1" t="s">
        <v>1625</v>
      </c>
      <c r="I3138" s="126" t="s">
        <v>7009</v>
      </c>
      <c r="J3138" s="207">
        <v>43765846555</v>
      </c>
      <c r="K3138" s="171" t="s">
        <v>7010</v>
      </c>
      <c r="L3138" s="62">
        <v>2</v>
      </c>
      <c r="M3138" s="30">
        <v>8123333653</v>
      </c>
      <c r="N3138" s="172" t="s">
        <v>37</v>
      </c>
      <c r="O3138" s="91">
        <v>8689.9599999999991</v>
      </c>
      <c r="P3138" s="91">
        <v>2359.2800000000002</v>
      </c>
      <c r="Q3138" s="42">
        <f>OfficeForms.Table[[#This Row],[ INFORMEDEPAGO ]]*0.3</f>
        <v>2606.9879999999998</v>
      </c>
      <c r="R3138" s="12">
        <f t="shared" ref="R3138:R3143" si="50">(IF(O3138&lt;4172.98,0,MIN(O3138*0.3,O3138-4172.98)))-P3138</f>
        <v>247.70799999999963</v>
      </c>
      <c r="S3138" s="78">
        <v>46631</v>
      </c>
      <c r="T3138" s="1"/>
      <c r="V3138" s="1"/>
      <c r="X3138" s="101">
        <v>2</v>
      </c>
    </row>
    <row r="3139" spans="1:24" hidden="1">
      <c r="A3139">
        <v>1553</v>
      </c>
      <c r="B3139" s="2">
        <v>46244.371342592603</v>
      </c>
      <c r="C3139" s="2">
        <v>46244.372187499997</v>
      </c>
      <c r="D3139" s="1" t="s">
        <v>24</v>
      </c>
      <c r="E3139" s="1"/>
      <c r="F3139" s="29">
        <v>46244</v>
      </c>
      <c r="G3139" s="29">
        <v>46244</v>
      </c>
      <c r="H3139" s="1" t="s">
        <v>1629</v>
      </c>
      <c r="I3139" s="126" t="s">
        <v>7011</v>
      </c>
      <c r="J3139" s="207" t="s">
        <v>7012</v>
      </c>
      <c r="K3139" s="171" t="s">
        <v>7013</v>
      </c>
      <c r="L3139" s="62">
        <v>2</v>
      </c>
      <c r="M3139" s="30" t="s">
        <v>7014</v>
      </c>
      <c r="N3139" s="172" t="s">
        <v>106</v>
      </c>
      <c r="O3139" s="91">
        <v>9504.7000000000007</v>
      </c>
      <c r="P3139" s="91">
        <v>2638.84</v>
      </c>
      <c r="Q3139" s="42">
        <f>OfficeForms.Table[[#This Row],[ INFORMEDEPAGO ]]*0.3</f>
        <v>2851.4100000000003</v>
      </c>
      <c r="R3139" s="12">
        <f t="shared" si="50"/>
        <v>212.57000000000016</v>
      </c>
      <c r="S3139" s="78">
        <v>46204</v>
      </c>
      <c r="T3139" s="1"/>
      <c r="V3139" s="1"/>
      <c r="X3139" s="101">
        <v>2</v>
      </c>
    </row>
    <row r="3140" spans="1:24" hidden="1">
      <c r="A3140">
        <v>1554</v>
      </c>
      <c r="B3140" s="2">
        <v>46244.374444444402</v>
      </c>
      <c r="C3140" s="2">
        <v>46244.376655092601</v>
      </c>
      <c r="D3140" s="1" t="s">
        <v>24</v>
      </c>
      <c r="E3140" s="1"/>
      <c r="F3140" s="29">
        <v>46244</v>
      </c>
      <c r="G3140" s="29">
        <v>46243</v>
      </c>
      <c r="H3140" s="1" t="s">
        <v>5033</v>
      </c>
      <c r="I3140" s="126" t="s">
        <v>7015</v>
      </c>
      <c r="J3140" s="207"/>
      <c r="K3140" s="171" t="s">
        <v>7016</v>
      </c>
      <c r="L3140" s="62">
        <v>23490418</v>
      </c>
      <c r="M3140" s="30">
        <v>9981965680</v>
      </c>
      <c r="N3140" s="172" t="s">
        <v>37</v>
      </c>
      <c r="O3140" s="91">
        <v>6262.86</v>
      </c>
      <c r="P3140" s="91">
        <v>1809.19</v>
      </c>
      <c r="Q3140" s="42">
        <f>OfficeForms.Table[[#This Row],[ INFORMEDEPAGO ]]*0.3</f>
        <v>1878.8579999999997</v>
      </c>
      <c r="R3140" s="12">
        <f t="shared" si="50"/>
        <v>69.667999999999665</v>
      </c>
      <c r="S3140" s="78">
        <v>46569</v>
      </c>
      <c r="T3140" s="1" t="s">
        <v>259</v>
      </c>
      <c r="V3140" s="1"/>
      <c r="X3140" s="101">
        <v>2</v>
      </c>
    </row>
    <row r="3141" spans="1:24" hidden="1">
      <c r="A3141">
        <v>1555</v>
      </c>
      <c r="B3141" s="2">
        <v>46244.365034722199</v>
      </c>
      <c r="C3141" s="2">
        <v>46244.3769791667</v>
      </c>
      <c r="D3141" s="1" t="s">
        <v>24</v>
      </c>
      <c r="E3141" s="1"/>
      <c r="F3141" s="29">
        <v>46244</v>
      </c>
      <c r="G3141" s="29">
        <v>46244</v>
      </c>
      <c r="H3141" s="1" t="s">
        <v>2908</v>
      </c>
      <c r="I3141" s="126" t="s">
        <v>7017</v>
      </c>
      <c r="J3141" s="207" t="s">
        <v>7018</v>
      </c>
      <c r="K3141" s="171" t="s">
        <v>7019</v>
      </c>
      <c r="L3141" s="62">
        <v>2</v>
      </c>
      <c r="M3141" s="30">
        <v>15561460168</v>
      </c>
      <c r="N3141" s="172" t="s">
        <v>37</v>
      </c>
      <c r="O3141" s="91">
        <v>34983.43</v>
      </c>
      <c r="P3141" s="91">
        <v>10495.03</v>
      </c>
      <c r="Q3141" s="42">
        <f>OfficeForms.Table[[#This Row],[ INFORMEDEPAGO ]]*0.3</f>
        <v>10495.029</v>
      </c>
      <c r="R3141" s="12">
        <f t="shared" si="50"/>
        <v>-1.0000000002037268E-3</v>
      </c>
      <c r="S3141" s="78">
        <v>46478</v>
      </c>
      <c r="T3141" s="1" t="s">
        <v>84</v>
      </c>
      <c r="V3141" s="1"/>
      <c r="X3141" s="101">
        <v>2</v>
      </c>
    </row>
    <row r="3142" spans="1:24" hidden="1">
      <c r="A3142">
        <v>1556</v>
      </c>
      <c r="B3142" s="2">
        <v>46244.365173611099</v>
      </c>
      <c r="C3142" s="2">
        <v>46244.377349536997</v>
      </c>
      <c r="D3142" s="1" t="s">
        <v>24</v>
      </c>
      <c r="E3142" s="1"/>
      <c r="F3142" s="29">
        <v>46244</v>
      </c>
      <c r="G3142" s="29">
        <v>46244</v>
      </c>
      <c r="H3142" s="1" t="s">
        <v>1625</v>
      </c>
      <c r="I3142" s="126" t="s">
        <v>7020</v>
      </c>
      <c r="J3142" s="207">
        <v>4376562079</v>
      </c>
      <c r="K3142" s="171" t="s">
        <v>7021</v>
      </c>
      <c r="L3142" s="62">
        <v>2</v>
      </c>
      <c r="M3142" s="30" t="s">
        <v>7022</v>
      </c>
      <c r="N3142" s="172" t="s">
        <v>37</v>
      </c>
      <c r="O3142" s="91">
        <v>9760.32</v>
      </c>
      <c r="P3142" s="91">
        <v>2822.98</v>
      </c>
      <c r="Q3142" s="42">
        <f>OfficeForms.Table[[#This Row],[ INFORMEDEPAGO ]]*0.3</f>
        <v>2928.096</v>
      </c>
      <c r="R3142" s="12">
        <f t="shared" si="50"/>
        <v>105.11599999999999</v>
      </c>
      <c r="S3142" s="78">
        <v>46692</v>
      </c>
      <c r="T3142" s="1"/>
      <c r="V3142" s="1"/>
      <c r="X3142" s="101">
        <v>2</v>
      </c>
    </row>
    <row r="3143" spans="1:24" hidden="1">
      <c r="A3143">
        <v>1557</v>
      </c>
      <c r="B3143" s="2">
        <v>46244.378587963001</v>
      </c>
      <c r="C3143" s="2">
        <v>46244.379571759302</v>
      </c>
      <c r="D3143" s="1" t="s">
        <v>24</v>
      </c>
      <c r="E3143" s="1"/>
      <c r="F3143" s="29">
        <v>46244</v>
      </c>
      <c r="G3143" s="29">
        <v>46243</v>
      </c>
      <c r="H3143" s="1" t="s">
        <v>5033</v>
      </c>
      <c r="I3143" s="126" t="s">
        <v>7023</v>
      </c>
      <c r="J3143" s="207"/>
      <c r="K3143" s="171" t="s">
        <v>7024</v>
      </c>
      <c r="L3143" s="62">
        <v>23491194</v>
      </c>
      <c r="M3143" s="30">
        <v>3231014391</v>
      </c>
      <c r="N3143" s="172" t="s">
        <v>74</v>
      </c>
      <c r="O3143" s="91"/>
      <c r="P3143" s="91"/>
      <c r="Q3143" s="42">
        <f>OfficeForms.Table[[#This Row],[ INFORMEDEPAGO ]]*0.3</f>
        <v>0</v>
      </c>
      <c r="R3143" s="12">
        <f t="shared" si="50"/>
        <v>0</v>
      </c>
      <c r="S3143" s="78"/>
      <c r="T3143" s="1"/>
      <c r="V3143" s="1"/>
      <c r="X3143" s="101">
        <v>1</v>
      </c>
    </row>
    <row r="3144" spans="1:24" hidden="1">
      <c r="A3144">
        <v>1558</v>
      </c>
      <c r="B3144" s="2">
        <v>46244.3875694444</v>
      </c>
      <c r="C3144" s="2">
        <v>46244.388900462996</v>
      </c>
      <c r="D3144" s="1" t="s">
        <v>24</v>
      </c>
      <c r="E3144" s="1"/>
      <c r="F3144" s="29">
        <v>46244</v>
      </c>
      <c r="G3144" s="29">
        <v>46243</v>
      </c>
      <c r="H3144" s="1" t="s">
        <v>5605</v>
      </c>
      <c r="I3144" s="126" t="s">
        <v>7025</v>
      </c>
      <c r="J3144" s="207"/>
      <c r="K3144" s="171" t="s">
        <v>7026</v>
      </c>
      <c r="L3144" s="62">
        <v>23493012</v>
      </c>
      <c r="M3144" s="30">
        <v>4447021138</v>
      </c>
      <c r="N3144" s="172" t="s">
        <v>74</v>
      </c>
      <c r="O3144" s="91"/>
      <c r="P3144" s="91"/>
      <c r="Q3144" s="42">
        <f>OfficeForms.Table[[#This Row],[ INFORMEDEPAGO ]]*0.3</f>
        <v>0</v>
      </c>
      <c r="R3144" s="12">
        <f t="shared" ref="R3144:R3146" si="51">(IF(O3144&lt;4172.98,0,MIN(O3144*0.3,O3144-4172.98)))-P3144</f>
        <v>0</v>
      </c>
      <c r="S3144" s="78"/>
      <c r="T3144" s="1"/>
      <c r="V3144" s="1"/>
      <c r="X3144" s="101">
        <v>1</v>
      </c>
    </row>
    <row r="3145" spans="1:24" hidden="1">
      <c r="A3145">
        <v>1560</v>
      </c>
      <c r="B3145" s="2">
        <v>46244.395347222198</v>
      </c>
      <c r="C3145" s="2">
        <v>46244.396111111098</v>
      </c>
      <c r="D3145" s="1" t="s">
        <v>24</v>
      </c>
      <c r="E3145" s="1"/>
      <c r="F3145" s="29">
        <v>46244</v>
      </c>
      <c r="G3145" s="29">
        <v>46244</v>
      </c>
      <c r="H3145" s="1" t="s">
        <v>90</v>
      </c>
      <c r="I3145" s="126"/>
      <c r="J3145" s="207">
        <v>10795976629</v>
      </c>
      <c r="K3145" s="171"/>
      <c r="L3145" s="62">
        <v>1</v>
      </c>
      <c r="M3145" s="30" t="s">
        <v>7027</v>
      </c>
      <c r="N3145" s="172" t="s">
        <v>37</v>
      </c>
      <c r="O3145" s="91">
        <v>14283.59</v>
      </c>
      <c r="P3145" s="91">
        <v>4281.79</v>
      </c>
      <c r="Q3145" s="42">
        <f>OfficeForms.Table[[#This Row],[ INFORMEDEPAGO ]]*0.3</f>
        <v>4285.0770000000002</v>
      </c>
      <c r="R3145" s="12">
        <f t="shared" si="51"/>
        <v>3.2870000000002619</v>
      </c>
      <c r="S3145" s="78">
        <v>46478</v>
      </c>
      <c r="T3145" s="1"/>
      <c r="V3145" s="1"/>
      <c r="X3145" s="101">
        <v>2</v>
      </c>
    </row>
    <row r="3146" spans="1:24" hidden="1">
      <c r="A3146">
        <v>1559</v>
      </c>
      <c r="B3146" s="2">
        <v>46244.348182870403</v>
      </c>
      <c r="C3146" s="2">
        <v>46244.395868055602</v>
      </c>
      <c r="D3146" s="1" t="s">
        <v>24</v>
      </c>
      <c r="E3146" s="1"/>
      <c r="F3146" s="29">
        <v>46244</v>
      </c>
      <c r="G3146" s="29">
        <v>46242</v>
      </c>
      <c r="H3146" s="1" t="s">
        <v>6605</v>
      </c>
      <c r="I3146" s="126" t="s">
        <v>7028</v>
      </c>
      <c r="J3146" s="207">
        <v>84775903929</v>
      </c>
      <c r="K3146" s="171" t="s">
        <v>7029</v>
      </c>
      <c r="L3146" s="62">
        <v>23478078</v>
      </c>
      <c r="M3146" s="30">
        <v>9831302318</v>
      </c>
      <c r="N3146" s="172" t="s">
        <v>32</v>
      </c>
      <c r="O3146" s="91">
        <v>3635.53</v>
      </c>
      <c r="P3146" s="91"/>
      <c r="Q3146" s="42">
        <f>OfficeForms.Table[[#This Row],[ INFORMEDEPAGO ]]*0.3</f>
        <v>1090.6590000000001</v>
      </c>
      <c r="R3146" s="12">
        <f t="shared" si="51"/>
        <v>0</v>
      </c>
      <c r="S3146" s="78"/>
      <c r="T3146" s="1"/>
      <c r="V3146" s="1"/>
      <c r="X3146" s="101">
        <v>1</v>
      </c>
    </row>
    <row r="3147" spans="1:24" hidden="1">
      <c r="A3147">
        <v>1561</v>
      </c>
      <c r="B3147" s="2">
        <v>46244.406875000001</v>
      </c>
      <c r="C3147" s="2">
        <v>46244.407951388901</v>
      </c>
      <c r="D3147" s="1" t="s">
        <v>24</v>
      </c>
      <c r="E3147" s="1"/>
      <c r="F3147" s="29">
        <v>46244</v>
      </c>
      <c r="G3147" s="29">
        <v>46244</v>
      </c>
      <c r="H3147" s="1" t="s">
        <v>1629</v>
      </c>
      <c r="I3147" s="126" t="s">
        <v>163</v>
      </c>
      <c r="J3147" s="207">
        <v>32816517943</v>
      </c>
      <c r="K3147" s="171" t="s">
        <v>164</v>
      </c>
      <c r="L3147" s="62">
        <v>2</v>
      </c>
      <c r="M3147" s="30">
        <v>8662124223</v>
      </c>
      <c r="N3147" s="172" t="s">
        <v>37</v>
      </c>
      <c r="O3147" s="91">
        <v>9760.32</v>
      </c>
      <c r="P3147" s="91">
        <v>2819.54</v>
      </c>
      <c r="Q3147" s="42">
        <f>OfficeForms.Table[[#This Row],[ INFORMEDEPAGO ]]*0.3</f>
        <v>2928.096</v>
      </c>
      <c r="R3147" s="12">
        <f>(IF(O3147&lt;4172.98,0,MIN(O3147*0.3,O3147-4172.98)))-P3147</f>
        <v>108.55600000000004</v>
      </c>
      <c r="S3147" s="78">
        <v>46692</v>
      </c>
      <c r="T3147" s="1"/>
      <c r="V3147" s="1"/>
      <c r="X3147" s="101">
        <v>2</v>
      </c>
    </row>
    <row r="3148" spans="1:24" hidden="1">
      <c r="A3148">
        <v>1562</v>
      </c>
      <c r="B3148" s="2">
        <v>46242.798194444404</v>
      </c>
      <c r="C3148" s="2">
        <v>46244.408449074101</v>
      </c>
      <c r="D3148" s="1" t="s">
        <v>24</v>
      </c>
      <c r="E3148" s="1"/>
      <c r="F3148" s="29">
        <v>46244</v>
      </c>
      <c r="G3148" s="29">
        <v>46242</v>
      </c>
      <c r="H3148" s="1" t="s">
        <v>3352</v>
      </c>
      <c r="I3148" s="126" t="s">
        <v>7030</v>
      </c>
      <c r="J3148" s="207"/>
      <c r="K3148" s="171" t="s">
        <v>7031</v>
      </c>
      <c r="L3148" s="62">
        <v>23478196</v>
      </c>
      <c r="M3148" s="30">
        <v>6561212401</v>
      </c>
      <c r="N3148" s="172" t="s">
        <v>74</v>
      </c>
      <c r="O3148" s="91"/>
      <c r="P3148" s="91"/>
      <c r="Q3148" s="42">
        <f>OfficeForms.Table[[#This Row],[ INFORMEDEPAGO ]]*0.3</f>
        <v>0</v>
      </c>
      <c r="R3148" s="12">
        <f>(IF(O3148&lt;4172.98,0,MIN(O3148*0.3,O3148-4172.98)))-P3148</f>
        <v>0</v>
      </c>
      <c r="S3148" s="78"/>
      <c r="T3148" s="1"/>
      <c r="V3148" s="1"/>
      <c r="X3148" s="101">
        <v>1</v>
      </c>
    </row>
    <row r="3149" spans="1:24" hidden="1">
      <c r="A3149">
        <v>1563</v>
      </c>
      <c r="B3149" s="2">
        <v>46244.3773842593</v>
      </c>
      <c r="C3149" s="2">
        <v>46244.419918981497</v>
      </c>
      <c r="D3149" s="1" t="s">
        <v>24</v>
      </c>
      <c r="E3149" s="1"/>
      <c r="F3149" s="29">
        <v>46244</v>
      </c>
      <c r="G3149" s="29">
        <v>46244</v>
      </c>
      <c r="H3149" s="1" t="s">
        <v>1625</v>
      </c>
      <c r="I3149" s="126" t="s">
        <v>7032</v>
      </c>
      <c r="J3149" s="207">
        <v>62957700354</v>
      </c>
      <c r="K3149" s="171" t="s">
        <v>7033</v>
      </c>
      <c r="L3149" s="62">
        <v>2</v>
      </c>
      <c r="M3149" s="30">
        <v>5638828594</v>
      </c>
      <c r="N3149" s="172" t="s">
        <v>32</v>
      </c>
      <c r="O3149" s="91">
        <v>3759.51</v>
      </c>
      <c r="P3149" s="91">
        <v>848</v>
      </c>
      <c r="Q3149" s="42">
        <f>OfficeForms.Table[[#This Row],[ INFORMEDEPAGO ]]*0.3</f>
        <v>1127.8530000000001</v>
      </c>
      <c r="R3149" s="12">
        <f>(IF(O3149&lt;4172.98,0,MIN(O3149*0.3,O3149-4172.98)))-P3149</f>
        <v>-848</v>
      </c>
      <c r="S3149" s="78"/>
      <c r="T3149" s="1"/>
      <c r="V3149" s="1"/>
      <c r="X3149" s="101">
        <v>1</v>
      </c>
    </row>
    <row r="3150" spans="1:24" hidden="1">
      <c r="A3150">
        <v>1564</v>
      </c>
      <c r="B3150" s="2">
        <v>46244.431134259299</v>
      </c>
      <c r="C3150" s="2">
        <v>46244.431701388901</v>
      </c>
      <c r="D3150" s="1" t="s">
        <v>24</v>
      </c>
      <c r="E3150" s="1"/>
      <c r="F3150" s="29">
        <v>46244</v>
      </c>
      <c r="G3150" s="29">
        <v>46230</v>
      </c>
      <c r="H3150" s="1" t="s">
        <v>3007</v>
      </c>
      <c r="I3150" s="126" t="s">
        <v>7034</v>
      </c>
      <c r="J3150" s="207"/>
      <c r="K3150" s="171" t="s">
        <v>7035</v>
      </c>
      <c r="L3150" s="62">
        <v>23159854</v>
      </c>
      <c r="M3150" s="30">
        <v>5576649903</v>
      </c>
      <c r="N3150" s="172" t="s">
        <v>235</v>
      </c>
      <c r="O3150" s="91"/>
      <c r="P3150" s="91"/>
      <c r="Q3150" s="42">
        <f>OfficeForms.Table[[#This Row],[ INFORMEDEPAGO ]]*0.3</f>
        <v>0</v>
      </c>
      <c r="R3150" s="12">
        <f t="shared" ref="R3150:R3157" si="52">(IF(O3150&lt;4172.98,0,MIN(O3150*0.3,O3150-4172.98)))-P3150</f>
        <v>0</v>
      </c>
      <c r="S3150" s="78"/>
      <c r="T3150" s="1"/>
      <c r="V3150" s="1"/>
      <c r="X3150" s="101">
        <v>1</v>
      </c>
    </row>
    <row r="3151" spans="1:24" hidden="1">
      <c r="A3151">
        <v>1565</v>
      </c>
      <c r="B3151" s="2">
        <v>46244.438344907401</v>
      </c>
      <c r="C3151" s="2">
        <v>46244.440393518496</v>
      </c>
      <c r="D3151" s="1" t="s">
        <v>24</v>
      </c>
      <c r="E3151" s="1"/>
      <c r="F3151" s="29">
        <v>46244</v>
      </c>
      <c r="G3151" s="29">
        <v>46243</v>
      </c>
      <c r="H3151" s="1" t="s">
        <v>110</v>
      </c>
      <c r="I3151" s="126" t="s">
        <v>7036</v>
      </c>
      <c r="J3151" s="207">
        <v>33805709574</v>
      </c>
      <c r="K3151" s="171"/>
      <c r="L3151" s="62">
        <v>23490276</v>
      </c>
      <c r="M3151" s="30">
        <v>5216395493293</v>
      </c>
      <c r="N3151" s="172" t="s">
        <v>32</v>
      </c>
      <c r="O3151" s="91">
        <v>4199.87</v>
      </c>
      <c r="P3151" s="91"/>
      <c r="Q3151" s="42">
        <f>OfficeForms.Table[[#This Row],[ INFORMEDEPAGO ]]*0.3</f>
        <v>1259.961</v>
      </c>
      <c r="R3151" s="12">
        <f t="shared" si="52"/>
        <v>26.890000000000327</v>
      </c>
      <c r="S3151" s="78"/>
      <c r="T3151" s="1"/>
      <c r="V3151" s="1"/>
      <c r="X3151" s="101">
        <v>1</v>
      </c>
    </row>
    <row r="3152" spans="1:24" hidden="1">
      <c r="A3152">
        <v>1566</v>
      </c>
      <c r="B3152" s="2">
        <v>46244.388124999998</v>
      </c>
      <c r="C3152" s="2">
        <v>46244.448472222197</v>
      </c>
      <c r="D3152" s="1" t="s">
        <v>24</v>
      </c>
      <c r="E3152" s="1"/>
      <c r="F3152" s="29">
        <v>46244</v>
      </c>
      <c r="G3152" s="29">
        <v>46244</v>
      </c>
      <c r="H3152" s="1" t="s">
        <v>2908</v>
      </c>
      <c r="I3152" s="126" t="s">
        <v>7037</v>
      </c>
      <c r="J3152" s="207" t="s">
        <v>7038</v>
      </c>
      <c r="K3152" s="171" t="s">
        <v>7039</v>
      </c>
      <c r="L3152" s="62">
        <v>2</v>
      </c>
      <c r="M3152" s="30">
        <v>8445299531</v>
      </c>
      <c r="N3152" s="172" t="s">
        <v>37</v>
      </c>
      <c r="O3152" s="91">
        <v>9081.52</v>
      </c>
      <c r="P3152" s="91">
        <v>2626.52</v>
      </c>
      <c r="Q3152" s="42">
        <f>OfficeForms.Table[[#This Row],[ INFORMEDEPAGO ]]*0.3</f>
        <v>2724.4560000000001</v>
      </c>
      <c r="R3152" s="12">
        <f t="shared" si="52"/>
        <v>97.936000000000149</v>
      </c>
      <c r="S3152" s="78">
        <v>46419</v>
      </c>
      <c r="T3152" s="1"/>
      <c r="V3152" s="1"/>
      <c r="X3152" s="101">
        <v>2</v>
      </c>
    </row>
    <row r="3153" spans="1:24" hidden="1">
      <c r="A3153">
        <v>1567</v>
      </c>
      <c r="B3153" s="2">
        <v>46244.420034722199</v>
      </c>
      <c r="C3153" s="2">
        <v>46244.451469907399</v>
      </c>
      <c r="D3153" s="1" t="s">
        <v>24</v>
      </c>
      <c r="E3153" s="1"/>
      <c r="F3153" s="29">
        <v>46244</v>
      </c>
      <c r="G3153" s="29">
        <v>46244</v>
      </c>
      <c r="H3153" s="1" t="s">
        <v>1625</v>
      </c>
      <c r="I3153" s="126" t="s">
        <v>7037</v>
      </c>
      <c r="J3153" s="207">
        <v>32826475967</v>
      </c>
      <c r="K3153" s="171" t="s">
        <v>7039</v>
      </c>
      <c r="L3153" s="62">
        <v>2</v>
      </c>
      <c r="M3153" s="30">
        <v>8445299531</v>
      </c>
      <c r="N3153" s="172" t="s">
        <v>37</v>
      </c>
      <c r="O3153" s="91">
        <v>9081.52</v>
      </c>
      <c r="P3153" s="91">
        <v>2626.52</v>
      </c>
      <c r="Q3153" s="42">
        <f>OfficeForms.Table[[#This Row],[ INFORMEDEPAGO ]]*0.3</f>
        <v>2724.4560000000001</v>
      </c>
      <c r="R3153" s="12">
        <f t="shared" ref="R3153" si="53">(IF(O3153&lt;4172.98,0,MIN(O3153*0.3,O3153-4172.98)))-P3153</f>
        <v>97.936000000000149</v>
      </c>
      <c r="S3153" s="78">
        <v>46419</v>
      </c>
      <c r="T3153" s="1"/>
      <c r="V3153" s="1"/>
      <c r="X3153" s="101">
        <v>2</v>
      </c>
    </row>
    <row r="3154" spans="1:24" hidden="1">
      <c r="A3154">
        <v>1568</v>
      </c>
      <c r="B3154" s="2">
        <v>46244.451539351903</v>
      </c>
      <c r="C3154" s="2">
        <v>46244.452037037001</v>
      </c>
      <c r="D3154" s="1" t="s">
        <v>24</v>
      </c>
      <c r="E3154" s="1"/>
      <c r="F3154" s="29">
        <v>46244</v>
      </c>
      <c r="G3154" s="29">
        <v>46244</v>
      </c>
      <c r="H3154" s="1" t="s">
        <v>269</v>
      </c>
      <c r="I3154" s="126" t="s">
        <v>7040</v>
      </c>
      <c r="J3154" s="207"/>
      <c r="K3154" s="171" t="s">
        <v>7041</v>
      </c>
      <c r="L3154" s="62">
        <v>23497654</v>
      </c>
      <c r="M3154" s="30">
        <v>5215585496465</v>
      </c>
      <c r="N3154" s="172" t="s">
        <v>37</v>
      </c>
      <c r="O3154" s="91">
        <v>25500.62</v>
      </c>
      <c r="P3154" s="91">
        <v>7377.48</v>
      </c>
      <c r="Q3154" s="42">
        <f>OfficeForms.Table[[#This Row],[ INFORMEDEPAGO ]]*0.3</f>
        <v>7650.1859999999997</v>
      </c>
      <c r="R3154" s="12">
        <f t="shared" si="52"/>
        <v>272.70600000000013</v>
      </c>
      <c r="S3154" s="78">
        <v>46388</v>
      </c>
      <c r="T3154" s="1" t="s">
        <v>259</v>
      </c>
      <c r="V3154" s="1"/>
      <c r="X3154" s="101">
        <v>2</v>
      </c>
    </row>
    <row r="3155" spans="1:24" hidden="1">
      <c r="A3155">
        <v>1569</v>
      </c>
      <c r="B3155" s="2">
        <v>46244.4515046296</v>
      </c>
      <c r="C3155" s="2">
        <v>46244.455185185201</v>
      </c>
      <c r="D3155" s="1" t="s">
        <v>24</v>
      </c>
      <c r="E3155" s="1"/>
      <c r="F3155" s="29">
        <v>46244</v>
      </c>
      <c r="G3155" s="29">
        <v>46244</v>
      </c>
      <c r="H3155" s="1" t="s">
        <v>1625</v>
      </c>
      <c r="I3155" s="126" t="s">
        <v>7042</v>
      </c>
      <c r="J3155" s="207" t="s">
        <v>7043</v>
      </c>
      <c r="K3155" s="171" t="s">
        <v>7044</v>
      </c>
      <c r="L3155" s="62">
        <v>2</v>
      </c>
      <c r="M3155" s="30">
        <v>5575031167</v>
      </c>
      <c r="N3155" s="172" t="s">
        <v>37</v>
      </c>
      <c r="O3155" s="91">
        <v>9551.2099999999991</v>
      </c>
      <c r="P3155" s="91">
        <v>2865.99</v>
      </c>
      <c r="Q3155" s="42">
        <f>OfficeForms.Table[[#This Row],[ INFORMEDEPAGO ]]*0.3</f>
        <v>2865.3629999999998</v>
      </c>
      <c r="R3155" s="12">
        <f t="shared" si="52"/>
        <v>-0.62699999999995271</v>
      </c>
      <c r="S3155" s="78">
        <v>46753</v>
      </c>
      <c r="T3155" s="1" t="s">
        <v>259</v>
      </c>
      <c r="V3155" s="1"/>
      <c r="X3155" s="101">
        <v>2</v>
      </c>
    </row>
    <row r="3156" spans="1:24" hidden="1">
      <c r="A3156">
        <v>1570</v>
      </c>
      <c r="B3156" s="2">
        <v>46244.455694444398</v>
      </c>
      <c r="C3156" s="2">
        <v>46244.456157407403</v>
      </c>
      <c r="D3156" s="1" t="s">
        <v>24</v>
      </c>
      <c r="E3156" s="1"/>
      <c r="F3156" s="29">
        <v>46244</v>
      </c>
      <c r="G3156" s="29">
        <v>46244</v>
      </c>
      <c r="H3156" s="1" t="s">
        <v>26</v>
      </c>
      <c r="I3156" s="126" t="s">
        <v>7045</v>
      </c>
      <c r="J3156" s="207" t="s">
        <v>7046</v>
      </c>
      <c r="K3156" s="171"/>
      <c r="L3156" s="62">
        <v>23493052</v>
      </c>
      <c r="M3156" s="30">
        <v>5216145357756</v>
      </c>
      <c r="N3156" s="172" t="s">
        <v>106</v>
      </c>
      <c r="O3156" s="91">
        <v>7920.51</v>
      </c>
      <c r="P3156" s="91">
        <v>2084.7199999999998</v>
      </c>
      <c r="Q3156" s="42">
        <f>OfficeForms.Table[[#This Row],[ INFORMEDEPAGO ]]*0.3</f>
        <v>2376.1529999999998</v>
      </c>
      <c r="R3156" s="12">
        <f t="shared" si="52"/>
        <v>291.43299999999999</v>
      </c>
      <c r="S3156" s="78">
        <v>45931</v>
      </c>
      <c r="T3156" s="1"/>
      <c r="V3156" s="1"/>
      <c r="X3156" s="101">
        <v>2</v>
      </c>
    </row>
    <row r="3157" spans="1:24" hidden="1">
      <c r="A3157">
        <v>1571</v>
      </c>
      <c r="B3157" s="2">
        <v>46244.456018518496</v>
      </c>
      <c r="C3157" s="2">
        <v>46244.457118055601</v>
      </c>
      <c r="D3157" s="1" t="s">
        <v>24</v>
      </c>
      <c r="E3157" s="1"/>
      <c r="F3157" s="29">
        <v>46244</v>
      </c>
      <c r="G3157" s="29">
        <v>46244</v>
      </c>
      <c r="H3157" s="1" t="s">
        <v>1629</v>
      </c>
      <c r="I3157" s="126" t="s">
        <v>7047</v>
      </c>
      <c r="J3157" s="207">
        <v>53795903052</v>
      </c>
      <c r="K3157" s="171" t="s">
        <v>7048</v>
      </c>
      <c r="L3157" s="62">
        <v>2</v>
      </c>
      <c r="M3157" s="30">
        <v>6641117353</v>
      </c>
      <c r="N3157" s="172" t="s">
        <v>28</v>
      </c>
      <c r="O3157" s="91">
        <v>15786.45</v>
      </c>
      <c r="P3157" s="91"/>
      <c r="Q3157" s="42">
        <f>OfficeForms.Table[[#This Row],[ INFORMEDEPAGO ]]*0.3</f>
        <v>4735.9350000000004</v>
      </c>
      <c r="R3157" s="12">
        <f t="shared" si="52"/>
        <v>4735.9350000000004</v>
      </c>
      <c r="S3157" s="78"/>
      <c r="T3157" s="1"/>
      <c r="V3157" s="1"/>
      <c r="X3157" s="101">
        <v>1</v>
      </c>
    </row>
    <row r="3158" spans="1:24" hidden="1">
      <c r="A3158">
        <v>1572</v>
      </c>
      <c r="B3158" s="2">
        <v>46244.4612962963</v>
      </c>
      <c r="C3158" s="2">
        <v>46244.461817129602</v>
      </c>
      <c r="D3158" s="1" t="s">
        <v>24</v>
      </c>
      <c r="E3158" s="1"/>
      <c r="F3158" s="29">
        <v>46244</v>
      </c>
      <c r="G3158" s="29">
        <v>46241</v>
      </c>
      <c r="H3158" s="1" t="s">
        <v>269</v>
      </c>
      <c r="I3158" s="126" t="s">
        <v>7049</v>
      </c>
      <c r="J3158" s="207"/>
      <c r="K3158" s="171" t="s">
        <v>7050</v>
      </c>
      <c r="L3158" s="62">
        <v>23462508</v>
      </c>
      <c r="M3158" s="30">
        <v>5215635317400</v>
      </c>
      <c r="N3158" s="172" t="s">
        <v>28</v>
      </c>
      <c r="O3158" s="91">
        <v>9760.32</v>
      </c>
      <c r="P3158" s="91"/>
      <c r="Q3158" s="42">
        <f>OfficeForms.Table[[#This Row],[ INFORMEDEPAGO ]]*0.3</f>
        <v>2928.096</v>
      </c>
      <c r="R3158" s="12">
        <f t="shared" ref="R3158:R3160" si="54">(IF(O3158&lt;4172.98,0,MIN(O3158*0.3,O3158-4172.98)))-P3158</f>
        <v>2928.096</v>
      </c>
      <c r="S3158" s="78"/>
      <c r="T3158" s="1"/>
      <c r="V3158" s="1"/>
      <c r="X3158" s="101">
        <v>1</v>
      </c>
    </row>
    <row r="3159" spans="1:24" hidden="1">
      <c r="A3159">
        <v>1573</v>
      </c>
      <c r="B3159" s="2">
        <v>46244.467465277798</v>
      </c>
      <c r="C3159" s="2">
        <v>46244.468159722201</v>
      </c>
      <c r="D3159" s="1" t="s">
        <v>24</v>
      </c>
      <c r="E3159" s="1"/>
      <c r="F3159" s="29">
        <v>46244</v>
      </c>
      <c r="G3159" s="29">
        <v>46244</v>
      </c>
      <c r="H3159" s="1" t="s">
        <v>269</v>
      </c>
      <c r="I3159" s="126" t="s">
        <v>7051</v>
      </c>
      <c r="J3159" s="207" t="s">
        <v>7052</v>
      </c>
      <c r="K3159" s="171" t="s">
        <v>7053</v>
      </c>
      <c r="L3159" s="62">
        <v>23504580</v>
      </c>
      <c r="M3159" s="30">
        <v>5218781081504</v>
      </c>
      <c r="N3159" s="172" t="s">
        <v>37</v>
      </c>
      <c r="O3159" s="91">
        <v>23192.12</v>
      </c>
      <c r="P3159" s="91">
        <v>6957.61</v>
      </c>
      <c r="Q3159" s="42">
        <f>OfficeForms.Table[[#This Row],[ INFORMEDEPAGO ]]*0.3</f>
        <v>6957.6359999999995</v>
      </c>
      <c r="R3159" s="12">
        <f t="shared" si="54"/>
        <v>2.5999999999839929E-2</v>
      </c>
      <c r="S3159" s="78">
        <v>46296</v>
      </c>
      <c r="T3159" s="1"/>
      <c r="V3159" s="1"/>
      <c r="X3159" s="101">
        <v>2</v>
      </c>
    </row>
    <row r="3160" spans="1:24" hidden="1">
      <c r="A3160">
        <v>1574</v>
      </c>
      <c r="B3160" s="2">
        <v>46244.463657407403</v>
      </c>
      <c r="C3160" s="2">
        <v>46244.469085648103</v>
      </c>
      <c r="D3160" s="1" t="s">
        <v>24</v>
      </c>
      <c r="E3160" s="1"/>
      <c r="F3160" s="29">
        <v>46244</v>
      </c>
      <c r="G3160" s="29">
        <v>46240</v>
      </c>
      <c r="H3160" s="1" t="s">
        <v>78</v>
      </c>
      <c r="I3160" s="126" t="s">
        <v>7054</v>
      </c>
      <c r="J3160" s="207">
        <v>11675076209</v>
      </c>
      <c r="K3160" s="171" t="s">
        <v>7055</v>
      </c>
      <c r="L3160" s="62">
        <v>23435174</v>
      </c>
      <c r="M3160" s="30">
        <v>5215611449736</v>
      </c>
      <c r="N3160" s="172" t="s">
        <v>32</v>
      </c>
      <c r="O3160" s="91">
        <f>2987.25+879</f>
        <v>3866.25</v>
      </c>
      <c r="P3160" s="91">
        <v>879</v>
      </c>
      <c r="Q3160" s="42">
        <f>OfficeForms.Table[[#This Row],[ INFORMEDEPAGO ]]*0.3</f>
        <v>1159.875</v>
      </c>
      <c r="R3160" s="12">
        <f t="shared" si="54"/>
        <v>-879</v>
      </c>
      <c r="S3160" s="78"/>
      <c r="T3160" s="1"/>
      <c r="V3160" s="1"/>
      <c r="X3160" s="101">
        <v>1</v>
      </c>
    </row>
    <row r="3161" spans="1:24" hidden="1">
      <c r="A3161">
        <v>1575</v>
      </c>
      <c r="B3161" s="2">
        <v>46244.473726851902</v>
      </c>
      <c r="C3161" s="2">
        <v>46244.4772800926</v>
      </c>
      <c r="D3161" s="1" t="s">
        <v>24</v>
      </c>
      <c r="E3161" s="1"/>
      <c r="F3161" s="29">
        <v>46244</v>
      </c>
      <c r="G3161" s="29">
        <v>46243</v>
      </c>
      <c r="H3161" s="1" t="s">
        <v>51</v>
      </c>
      <c r="I3161" s="126" t="s">
        <v>7056</v>
      </c>
      <c r="J3161" s="207"/>
      <c r="K3161" s="171" t="s">
        <v>7057</v>
      </c>
      <c r="L3161" s="62">
        <v>23495600</v>
      </c>
      <c r="M3161" s="30">
        <v>5217771526627</v>
      </c>
      <c r="N3161" s="172" t="s">
        <v>32</v>
      </c>
      <c r="O3161" s="91">
        <f>3351.87+848</f>
        <v>4199.87</v>
      </c>
      <c r="P3161" s="91">
        <v>848</v>
      </c>
      <c r="Q3161" s="42">
        <f>OfficeForms.Table[[#This Row],[ INFORMEDEPAGO ]]*0.3</f>
        <v>1259.961</v>
      </c>
      <c r="R3161" s="12">
        <f t="shared" ref="R3161:R3163" si="55">(IF(O3161&lt;4172.98,0,MIN(O3161*0.3,O3161-4172.98)))-P3161</f>
        <v>-821.10999999999967</v>
      </c>
      <c r="S3161" s="78"/>
      <c r="T3161" s="1"/>
      <c r="V3161" s="1"/>
      <c r="X3161" s="101">
        <v>1</v>
      </c>
    </row>
    <row r="3162" spans="1:24" hidden="1">
      <c r="A3162">
        <v>1576</v>
      </c>
      <c r="B3162" s="2">
        <v>46244.475231481498</v>
      </c>
      <c r="C3162" s="2">
        <v>46244.479016203702</v>
      </c>
      <c r="D3162" s="1" t="s">
        <v>24</v>
      </c>
      <c r="E3162" s="1"/>
      <c r="F3162" s="29">
        <v>46244</v>
      </c>
      <c r="G3162" s="29">
        <v>46244</v>
      </c>
      <c r="H3162" s="1" t="s">
        <v>78</v>
      </c>
      <c r="I3162" s="126" t="s">
        <v>7058</v>
      </c>
      <c r="J3162" s="207">
        <v>75806238343</v>
      </c>
      <c r="K3162" s="171" t="s">
        <v>7059</v>
      </c>
      <c r="L3162" s="62">
        <v>23498224</v>
      </c>
      <c r="M3162" s="30">
        <v>5215543693837</v>
      </c>
      <c r="N3162" s="172" t="s">
        <v>37</v>
      </c>
      <c r="O3162" s="91">
        <v>4866.88</v>
      </c>
      <c r="P3162" s="91">
        <v>692.99</v>
      </c>
      <c r="Q3162" s="42">
        <f>OfficeForms.Table[[#This Row],[ INFORMEDEPAGO ]]*0.3</f>
        <v>1460.0640000000001</v>
      </c>
      <c r="R3162" s="12">
        <f t="shared" si="55"/>
        <v>0.9100000000005366</v>
      </c>
      <c r="S3162" s="78">
        <v>46874</v>
      </c>
      <c r="T3162" s="1"/>
      <c r="V3162" s="1"/>
      <c r="X3162" s="101">
        <v>2</v>
      </c>
    </row>
    <row r="3163" spans="1:24" hidden="1">
      <c r="A3163">
        <v>1577</v>
      </c>
      <c r="B3163" s="2">
        <v>46244.481006944399</v>
      </c>
      <c r="C3163" s="2">
        <v>46244.481712963003</v>
      </c>
      <c r="D3163" s="1" t="s">
        <v>24</v>
      </c>
      <c r="E3163" s="1"/>
      <c r="F3163" s="29">
        <v>46244</v>
      </c>
      <c r="G3163" s="29">
        <v>46244</v>
      </c>
      <c r="H3163" s="1" t="s">
        <v>269</v>
      </c>
      <c r="I3163" s="126" t="s">
        <v>7060</v>
      </c>
      <c r="J3163" s="207" t="s">
        <v>7061</v>
      </c>
      <c r="K3163" s="171" t="s">
        <v>7062</v>
      </c>
      <c r="L3163" s="62">
        <v>23503014</v>
      </c>
      <c r="M3163" s="30">
        <v>5215636128453</v>
      </c>
      <c r="N3163" s="172" t="s">
        <v>37</v>
      </c>
      <c r="O3163" s="91">
        <v>9760.32</v>
      </c>
      <c r="P3163" s="91">
        <v>2823.8</v>
      </c>
      <c r="Q3163" s="42">
        <f>OfficeForms.Table[[#This Row],[ INFORMEDEPAGO ]]*0.3</f>
        <v>2928.096</v>
      </c>
      <c r="R3163" s="12">
        <f t="shared" si="55"/>
        <v>104.29599999999982</v>
      </c>
      <c r="S3163" s="78">
        <v>46661</v>
      </c>
      <c r="T3163" s="1"/>
      <c r="V3163" s="1"/>
      <c r="X3163" s="101">
        <v>2</v>
      </c>
    </row>
    <row r="3164" spans="1:24" hidden="1">
      <c r="A3164">
        <v>1578</v>
      </c>
      <c r="B3164" s="2">
        <v>46244.4594560185</v>
      </c>
      <c r="C3164" s="2">
        <v>46244.485717592601</v>
      </c>
      <c r="D3164" s="1" t="s">
        <v>24</v>
      </c>
      <c r="E3164" s="1"/>
      <c r="F3164" s="29">
        <v>46244</v>
      </c>
      <c r="G3164" s="29">
        <v>46244</v>
      </c>
      <c r="H3164" s="1" t="s">
        <v>1629</v>
      </c>
      <c r="I3164" s="126" t="s">
        <v>7063</v>
      </c>
      <c r="J3164" s="207" t="s">
        <v>7064</v>
      </c>
      <c r="K3164" s="171"/>
      <c r="L3164" s="62">
        <v>2</v>
      </c>
      <c r="M3164" s="30">
        <v>3334513904</v>
      </c>
      <c r="N3164" s="172" t="s">
        <v>37</v>
      </c>
      <c r="O3164" s="51">
        <v>6405.06</v>
      </c>
      <c r="P3164" s="91">
        <v>1921.52</v>
      </c>
      <c r="Q3164" s="42">
        <f>OfficeForms.Table[[#This Row],[ INFORMEDEPAGO ]]*0.3</f>
        <v>1921.518</v>
      </c>
      <c r="R3164" s="12">
        <f t="shared" ref="R3164" si="56">(IF(O3164&lt;4172.98,0,MIN(O3164*0.3,O3164-4172.98)))-P3164</f>
        <v>-1.9999999999527063E-3</v>
      </c>
      <c r="S3164" s="78">
        <v>46813</v>
      </c>
      <c r="T3164" s="1"/>
      <c r="V3164" s="1"/>
      <c r="X3164" s="101">
        <v>2</v>
      </c>
    </row>
    <row r="3165" spans="1:24" hidden="1">
      <c r="A3165">
        <v>1579</v>
      </c>
      <c r="B3165" s="2">
        <v>46244.477291666699</v>
      </c>
      <c r="C3165" s="2">
        <v>46244.498090277797</v>
      </c>
      <c r="D3165" s="1" t="s">
        <v>24</v>
      </c>
      <c r="E3165" s="1"/>
      <c r="F3165" s="29">
        <v>46244</v>
      </c>
      <c r="G3165" s="29">
        <v>46244</v>
      </c>
      <c r="H3165" s="1" t="s">
        <v>51</v>
      </c>
      <c r="I3165" s="126" t="s">
        <v>7065</v>
      </c>
      <c r="J3165" s="207"/>
      <c r="K3165" s="171" t="s">
        <v>7066</v>
      </c>
      <c r="L3165" s="62">
        <v>23498166</v>
      </c>
      <c r="M3165" s="30">
        <v>5215628030663</v>
      </c>
      <c r="N3165" s="172" t="s">
        <v>28</v>
      </c>
      <c r="O3165" s="51">
        <v>12261.82</v>
      </c>
      <c r="P3165" s="91"/>
      <c r="Q3165" s="42">
        <f>OfficeForms.Table[[#This Row],[ INFORMEDEPAGO ]]*0.3</f>
        <v>3678.5459999999998</v>
      </c>
      <c r="R3165" s="12">
        <f t="shared" ref="R3165:R3166" si="57">(IF(O3165&lt;4172.98,0,MIN(O3165*0.3,O3165-4172.98)))-P3165</f>
        <v>3678.5459999999998</v>
      </c>
      <c r="S3165" s="78"/>
      <c r="T3165" s="1"/>
      <c r="V3165" s="1"/>
      <c r="X3165" s="101">
        <v>1</v>
      </c>
    </row>
    <row r="3166" spans="1:24" hidden="1">
      <c r="A3166">
        <v>1580</v>
      </c>
      <c r="B3166" s="2">
        <v>46244.491712962998</v>
      </c>
      <c r="C3166" s="2">
        <v>46244.4996412037</v>
      </c>
      <c r="D3166" s="1" t="s">
        <v>24</v>
      </c>
      <c r="E3166" s="1"/>
      <c r="F3166" s="29">
        <v>46244</v>
      </c>
      <c r="G3166" s="29">
        <v>46244</v>
      </c>
      <c r="H3166" s="1" t="s">
        <v>78</v>
      </c>
      <c r="I3166" s="126" t="s">
        <v>7067</v>
      </c>
      <c r="J3166" s="207">
        <v>82896606405</v>
      </c>
      <c r="K3166" s="171" t="s">
        <v>7068</v>
      </c>
      <c r="L3166" s="62">
        <v>23500546</v>
      </c>
      <c r="M3166" s="30">
        <v>5219982019099</v>
      </c>
      <c r="N3166" s="172" t="s">
        <v>37</v>
      </c>
      <c r="O3166" s="51">
        <v>5260.79</v>
      </c>
      <c r="P3166" s="91">
        <v>1049.0899999999999</v>
      </c>
      <c r="Q3166" s="42">
        <f>OfficeForms.Table[[#This Row],[ INFORMEDEPAGO ]]*0.3</f>
        <v>1578.2369999999999</v>
      </c>
      <c r="R3166" s="12">
        <f t="shared" si="57"/>
        <v>38.720000000000482</v>
      </c>
      <c r="S3166" s="78">
        <v>46478</v>
      </c>
      <c r="T3166" s="1"/>
      <c r="V3166" s="1"/>
      <c r="X3166" s="101">
        <v>2</v>
      </c>
    </row>
    <row r="3167" spans="1:24" hidden="1">
      <c r="A3167">
        <v>1581</v>
      </c>
      <c r="B3167" s="2">
        <v>46244.507175925901</v>
      </c>
      <c r="C3167" s="2">
        <v>46244.507893518501</v>
      </c>
      <c r="D3167" s="1" t="s">
        <v>24</v>
      </c>
      <c r="E3167" s="1"/>
      <c r="F3167" s="29">
        <v>46244</v>
      </c>
      <c r="G3167" s="29">
        <v>46244</v>
      </c>
      <c r="H3167" s="1" t="s">
        <v>1629</v>
      </c>
      <c r="I3167" s="126" t="s">
        <v>7069</v>
      </c>
      <c r="J3167" s="207">
        <v>21936315288</v>
      </c>
      <c r="K3167" s="171" t="s">
        <v>7070</v>
      </c>
      <c r="L3167" s="62">
        <v>2</v>
      </c>
      <c r="M3167" s="30">
        <v>3921277337</v>
      </c>
      <c r="N3167" s="172" t="s">
        <v>37</v>
      </c>
      <c r="O3167" s="51">
        <v>7920.51</v>
      </c>
      <c r="P3167" s="91">
        <v>2289.25</v>
      </c>
      <c r="Q3167" s="42">
        <f>OfficeForms.Table[[#This Row],[ INFORMEDEPAGO ]]*0.3</f>
        <v>2376.1529999999998</v>
      </c>
      <c r="R3167" s="12">
        <f t="shared" ref="R3167" si="58">(IF(O3167&lt;4172.98,0,MIN(O3167*0.3,O3167-4172.98)))-P3167</f>
        <v>86.902999999999793</v>
      </c>
      <c r="S3167" s="78">
        <v>46722</v>
      </c>
      <c r="T3167" s="1"/>
      <c r="V3167" s="1"/>
      <c r="X3167" s="101">
        <v>2</v>
      </c>
    </row>
    <row r="3168" spans="1:24" hidden="1">
      <c r="A3168">
        <v>1582</v>
      </c>
      <c r="B3168" s="2">
        <v>46244.499664351897</v>
      </c>
      <c r="C3168" s="2">
        <v>46244.510752314804</v>
      </c>
      <c r="D3168" s="1" t="s">
        <v>24</v>
      </c>
      <c r="E3168" s="1"/>
      <c r="F3168" s="29">
        <v>46244</v>
      </c>
      <c r="G3168" s="29">
        <v>46244</v>
      </c>
      <c r="H3168" s="1" t="s">
        <v>103</v>
      </c>
      <c r="I3168" s="126"/>
      <c r="J3168" s="207" t="s">
        <v>7071</v>
      </c>
      <c r="K3168" s="171"/>
      <c r="L3168" s="62">
        <v>1</v>
      </c>
      <c r="M3168" s="30">
        <v>8688396629</v>
      </c>
      <c r="N3168" s="172" t="s">
        <v>37</v>
      </c>
      <c r="O3168" s="52">
        <v>8784.2900000000009</v>
      </c>
      <c r="P3168" s="52">
        <v>2538</v>
      </c>
      <c r="Q3168" s="42">
        <f>OfficeForms.Table[[#This Row],[ INFORMEDEPAGO ]]*0.3</f>
        <v>2635.2870000000003</v>
      </c>
      <c r="R3168" s="12">
        <f t="shared" ref="R3168:R3169" si="59">(IF(O3168&lt;4172.98,0,MIN(O3168*0.3,O3168-4172.98)))-P3168</f>
        <v>97.287000000000262</v>
      </c>
      <c r="S3168" s="78">
        <v>46631</v>
      </c>
      <c r="T3168" s="1"/>
      <c r="V3168" s="1"/>
      <c r="X3168" s="101">
        <v>2</v>
      </c>
    </row>
    <row r="3169" spans="1:24" hidden="1">
      <c r="A3169">
        <v>1583</v>
      </c>
      <c r="B3169" s="2">
        <v>46244.511134259301</v>
      </c>
      <c r="C3169" s="2">
        <v>46244.511886574102</v>
      </c>
      <c r="D3169" s="1" t="s">
        <v>24</v>
      </c>
      <c r="E3169" s="1"/>
      <c r="F3169" s="29">
        <v>46244</v>
      </c>
      <c r="G3169" s="29">
        <v>46244</v>
      </c>
      <c r="H3169" s="1" t="s">
        <v>103</v>
      </c>
      <c r="I3169" s="126"/>
      <c r="J3169" s="207" t="s">
        <v>7072</v>
      </c>
      <c r="K3169" s="171"/>
      <c r="L3169" s="62">
        <v>1</v>
      </c>
      <c r="M3169" s="30">
        <v>8338512965</v>
      </c>
      <c r="N3169" s="172" t="s">
        <v>37</v>
      </c>
      <c r="O3169" s="52">
        <v>8018.98</v>
      </c>
      <c r="P3169" s="52">
        <v>2389.85</v>
      </c>
      <c r="Q3169" s="42">
        <f>OfficeForms.Table[[#This Row],[ INFORMEDEPAGO ]]*0.3</f>
        <v>2405.694</v>
      </c>
      <c r="R3169" s="12">
        <f t="shared" si="59"/>
        <v>15.844000000000051</v>
      </c>
      <c r="S3169" s="78">
        <v>46631</v>
      </c>
      <c r="T3169" s="1"/>
      <c r="V3169" s="1"/>
      <c r="X3169" s="101">
        <v>2</v>
      </c>
    </row>
    <row r="3170" spans="1:24" hidden="1">
      <c r="A3170">
        <v>1584</v>
      </c>
      <c r="B3170" s="2">
        <v>46244.511446759301</v>
      </c>
      <c r="C3170" s="2">
        <v>46244.512372685203</v>
      </c>
      <c r="D3170" s="1" t="s">
        <v>24</v>
      </c>
      <c r="E3170" s="1"/>
      <c r="F3170" s="29">
        <v>46244</v>
      </c>
      <c r="G3170" s="29">
        <v>46243</v>
      </c>
      <c r="H3170" s="1" t="s">
        <v>269</v>
      </c>
      <c r="I3170" s="126" t="s">
        <v>7073</v>
      </c>
      <c r="J3170" s="207" t="s">
        <v>7074</v>
      </c>
      <c r="K3170" s="171" t="s">
        <v>7075</v>
      </c>
      <c r="L3170" s="62">
        <v>23496962</v>
      </c>
      <c r="M3170" s="30">
        <v>5212481016346</v>
      </c>
      <c r="N3170" s="172" t="s">
        <v>28</v>
      </c>
      <c r="O3170" s="51">
        <v>10636.54</v>
      </c>
      <c r="Q3170" s="42">
        <f>OfficeForms.Table[[#This Row],[ INFORMEDEPAGO ]]*0.3</f>
        <v>3190.962</v>
      </c>
      <c r="R3170" s="12">
        <f t="shared" ref="R3170" si="60">(IF(O3170&lt;4172.98,0,MIN(O3170*0.3,O3170-4172.98)))-P3170</f>
        <v>3190.962</v>
      </c>
      <c r="S3170" s="78"/>
      <c r="T3170" s="1"/>
      <c r="V3170" s="1"/>
      <c r="X3170" s="101">
        <v>1</v>
      </c>
    </row>
    <row r="3171" spans="1:24" hidden="1">
      <c r="A3171">
        <v>1585</v>
      </c>
      <c r="B3171" s="2">
        <v>46244.498101851903</v>
      </c>
      <c r="C3171" s="2">
        <v>46244.5168402778</v>
      </c>
      <c r="D3171" s="1" t="s">
        <v>24</v>
      </c>
      <c r="E3171" s="1"/>
      <c r="F3171" s="29">
        <v>46244</v>
      </c>
      <c r="G3171" s="29">
        <v>46244</v>
      </c>
      <c r="H3171" s="1" t="s">
        <v>51</v>
      </c>
      <c r="I3171" s="126" t="s">
        <v>7076</v>
      </c>
      <c r="J3171" s="207"/>
      <c r="K3171" s="171" t="s">
        <v>7077</v>
      </c>
      <c r="L3171" s="62">
        <v>23506198</v>
      </c>
      <c r="M3171" s="30">
        <v>5216751154493</v>
      </c>
      <c r="N3171" s="172" t="s">
        <v>32</v>
      </c>
      <c r="O3171" s="52">
        <v>3961.31</v>
      </c>
      <c r="P3171" s="52">
        <v>848</v>
      </c>
      <c r="Q3171" s="42">
        <f>OfficeForms.Table[[#This Row],[ INFORMEDEPAGO ]]*0.3</f>
        <v>1188.393</v>
      </c>
      <c r="R3171" s="12">
        <f>(IF(O3171&lt;4172.98,0,MIN(O3171*0.3,O3171-4172.98)))-P3171</f>
        <v>-848</v>
      </c>
      <c r="S3171" s="78"/>
      <c r="T3171" s="1"/>
      <c r="V3171" s="1"/>
      <c r="X3171" s="101">
        <v>1</v>
      </c>
    </row>
    <row r="3172" spans="1:24" hidden="1">
      <c r="A3172">
        <v>1586</v>
      </c>
      <c r="B3172" s="2">
        <v>46244.519490740699</v>
      </c>
      <c r="C3172" s="2">
        <v>46244.521828703699</v>
      </c>
      <c r="D3172" s="1" t="s">
        <v>24</v>
      </c>
      <c r="E3172" s="1"/>
      <c r="F3172" s="29">
        <v>46244</v>
      </c>
      <c r="G3172" s="29">
        <v>46243</v>
      </c>
      <c r="H3172" s="1" t="s">
        <v>78</v>
      </c>
      <c r="I3172" s="126" t="s">
        <v>7078</v>
      </c>
      <c r="J3172" s="207">
        <v>14806225109</v>
      </c>
      <c r="K3172" s="171" t="s">
        <v>7079</v>
      </c>
      <c r="L3172" s="62">
        <v>23497118</v>
      </c>
      <c r="M3172" s="30">
        <v>5214481505108</v>
      </c>
      <c r="N3172" s="172" t="s">
        <v>37</v>
      </c>
      <c r="O3172" s="52">
        <v>7920.51</v>
      </c>
      <c r="P3172" s="52">
        <v>2376.15</v>
      </c>
      <c r="Q3172" s="42">
        <f>OfficeForms.Table[[#This Row],[ INFORMEDEPAGO ]]*0.3</f>
        <v>2376.1529999999998</v>
      </c>
      <c r="R3172" s="12">
        <f>(IF(O3172&lt;4172.98,0,MIN(O3172*0.3,O3172-4172.98)))-P3172</f>
        <v>2.9999999997016857E-3</v>
      </c>
      <c r="S3172" s="78">
        <v>46905</v>
      </c>
      <c r="T3172" s="1"/>
      <c r="V3172" s="1"/>
      <c r="X3172" s="101">
        <v>2</v>
      </c>
    </row>
    <row r="3173" spans="1:24" hidden="1">
      <c r="A3173">
        <v>1587</v>
      </c>
      <c r="B3173" s="2">
        <v>46244.522349537001</v>
      </c>
      <c r="C3173" s="2">
        <v>46244.523009259297</v>
      </c>
      <c r="D3173" s="1" t="s">
        <v>24</v>
      </c>
      <c r="E3173" s="1"/>
      <c r="F3173" s="29">
        <v>46244</v>
      </c>
      <c r="G3173" s="29">
        <v>46244</v>
      </c>
      <c r="H3173" s="1" t="s">
        <v>103</v>
      </c>
      <c r="I3173" s="126" t="s">
        <v>7080</v>
      </c>
      <c r="J3173" s="207">
        <v>49796012497</v>
      </c>
      <c r="K3173" s="171" t="s">
        <v>7081</v>
      </c>
      <c r="L3173" s="62">
        <v>1</v>
      </c>
      <c r="M3173" s="30">
        <v>8331019285</v>
      </c>
      <c r="N3173" s="172" t="s">
        <v>47</v>
      </c>
      <c r="O3173" s="52">
        <v>5617.63</v>
      </c>
      <c r="P3173" s="52">
        <v>848</v>
      </c>
      <c r="Q3173" s="42">
        <f>OfficeForms.Table[[#This Row],[ INFORMEDEPAGO ]]*0.3</f>
        <v>1685.289</v>
      </c>
      <c r="R3173" s="12">
        <f t="shared" ref="R3173:R3175" si="61">(IF(O3173&lt;4172.98,0,MIN(O3173*0.3,O3173-4172.98)))-P3173</f>
        <v>596.65000000000055</v>
      </c>
      <c r="S3173" s="78"/>
      <c r="T3173" s="1"/>
      <c r="V3173" s="1"/>
      <c r="X3173" s="101">
        <v>1</v>
      </c>
    </row>
    <row r="3174" spans="1:24" hidden="1">
      <c r="A3174">
        <v>1588</v>
      </c>
      <c r="B3174" s="2">
        <v>46244.516863425903</v>
      </c>
      <c r="C3174" s="2">
        <v>46244.525543981501</v>
      </c>
      <c r="D3174" s="1" t="s">
        <v>24</v>
      </c>
      <c r="E3174" s="1"/>
      <c r="F3174" s="29">
        <v>46244</v>
      </c>
      <c r="G3174" s="29">
        <v>46244</v>
      </c>
      <c r="H3174" s="1" t="s">
        <v>51</v>
      </c>
      <c r="I3174" s="126" t="s">
        <v>7082</v>
      </c>
      <c r="J3174" s="207"/>
      <c r="K3174" s="171" t="s">
        <v>7083</v>
      </c>
      <c r="L3174" s="62">
        <v>23508298</v>
      </c>
      <c r="M3174" s="30">
        <v>5215637087928</v>
      </c>
      <c r="N3174" s="172" t="s">
        <v>32</v>
      </c>
      <c r="O3174" s="51">
        <v>4199.87</v>
      </c>
      <c r="P3174" s="91"/>
      <c r="Q3174" s="42">
        <f>OfficeForms.Table[[#This Row],[ INFORMEDEPAGO ]]*0.3</f>
        <v>1259.961</v>
      </c>
      <c r="R3174" s="12">
        <f t="shared" si="61"/>
        <v>26.890000000000327</v>
      </c>
      <c r="S3174" s="78"/>
      <c r="T3174" s="1"/>
      <c r="V3174" s="1"/>
      <c r="X3174" s="101">
        <v>1</v>
      </c>
    </row>
    <row r="3175" spans="1:24" hidden="1">
      <c r="A3175">
        <v>1589</v>
      </c>
      <c r="B3175" s="2">
        <v>46244.4552430556</v>
      </c>
      <c r="C3175" s="2">
        <v>46244.5285069444</v>
      </c>
      <c r="D3175" s="1" t="s">
        <v>24</v>
      </c>
      <c r="E3175" s="1"/>
      <c r="F3175" s="29">
        <v>46244</v>
      </c>
      <c r="G3175" s="29">
        <v>46244</v>
      </c>
      <c r="H3175" s="1" t="s">
        <v>1625</v>
      </c>
      <c r="I3175" s="126" t="s">
        <v>7084</v>
      </c>
      <c r="J3175" s="207">
        <v>51916202982</v>
      </c>
      <c r="K3175" s="171" t="s">
        <v>7085</v>
      </c>
      <c r="L3175" s="62">
        <v>2</v>
      </c>
      <c r="M3175" s="30">
        <v>3414305888</v>
      </c>
      <c r="N3175" s="172" t="s">
        <v>37</v>
      </c>
      <c r="O3175" s="43">
        <v>7116.73</v>
      </c>
      <c r="P3175" s="43">
        <v>2134.96</v>
      </c>
      <c r="Q3175" s="42">
        <f>OfficeForms.Table[[#This Row],[ INFORMEDEPAGO ]]*0.3</f>
        <v>2135.0189999999998</v>
      </c>
      <c r="R3175" s="12">
        <f t="shared" si="61"/>
        <v>5.8999999999741704E-2</v>
      </c>
      <c r="S3175" s="78">
        <v>46539</v>
      </c>
      <c r="T3175" s="1"/>
      <c r="V3175" s="1"/>
      <c r="X3175" s="101">
        <v>2</v>
      </c>
    </row>
    <row r="3176" spans="1:24" hidden="1">
      <c r="A3176">
        <v>1590</v>
      </c>
      <c r="B3176" s="2">
        <v>46244.528530092597</v>
      </c>
      <c r="C3176" s="2">
        <v>46244.5312962963</v>
      </c>
      <c r="D3176" s="1" t="s">
        <v>24</v>
      </c>
      <c r="E3176" s="1"/>
      <c r="F3176" s="29">
        <v>46244</v>
      </c>
      <c r="G3176" s="29">
        <v>46244</v>
      </c>
      <c r="H3176" s="1" t="s">
        <v>1625</v>
      </c>
      <c r="I3176" s="126" t="s">
        <v>7086</v>
      </c>
      <c r="J3176" s="207">
        <v>40836300083</v>
      </c>
      <c r="K3176" s="171" t="s">
        <v>7087</v>
      </c>
      <c r="L3176" s="62">
        <v>2</v>
      </c>
      <c r="M3176" s="30">
        <v>5525622857</v>
      </c>
      <c r="N3176" s="170" t="s">
        <v>37</v>
      </c>
      <c r="O3176" s="49">
        <v>9081.52</v>
      </c>
      <c r="P3176" s="96">
        <v>2625</v>
      </c>
      <c r="Q3176" s="42">
        <f>OfficeForms.Table[[#This Row],[ INFORMEDEPAGO ]]*0.3</f>
        <v>2724.4560000000001</v>
      </c>
      <c r="R3176" s="12">
        <f>(IF(O3176&lt;4172.98,0,MIN(O3176*0.3,O3176-4172.98)))-P3176</f>
        <v>99.456000000000131</v>
      </c>
      <c r="S3176" s="73">
        <v>46296</v>
      </c>
      <c r="T3176" s="1"/>
      <c r="V3176" s="1"/>
      <c r="X3176" s="101">
        <v>2</v>
      </c>
    </row>
    <row r="3177" spans="1:24" hidden="1">
      <c r="A3177">
        <v>1591</v>
      </c>
      <c r="B3177" s="2">
        <v>46244.448726851901</v>
      </c>
      <c r="C3177" s="2">
        <v>46244.532141203701</v>
      </c>
      <c r="D3177" s="1" t="s">
        <v>24</v>
      </c>
      <c r="E3177" s="1"/>
      <c r="F3177" s="29">
        <v>46244</v>
      </c>
      <c r="G3177" s="29">
        <v>46244</v>
      </c>
      <c r="H3177" s="1" t="s">
        <v>2908</v>
      </c>
      <c r="I3177" s="126" t="s">
        <v>7088</v>
      </c>
      <c r="J3177" s="207">
        <v>32725419660</v>
      </c>
      <c r="K3177" s="171" t="s">
        <v>7089</v>
      </c>
      <c r="L3177" s="62">
        <v>2</v>
      </c>
      <c r="M3177" s="30">
        <v>8442891494</v>
      </c>
      <c r="N3177" s="172" t="s">
        <v>37</v>
      </c>
      <c r="O3177" s="51">
        <v>29527.24</v>
      </c>
      <c r="P3177" s="91">
        <v>8857.36</v>
      </c>
      <c r="Q3177" s="42">
        <f>OfficeForms.Table[[#This Row],[ INFORMEDEPAGO ]]*0.3</f>
        <v>8858.1720000000005</v>
      </c>
      <c r="R3177" s="12">
        <f>(IF(O3177&lt;4172.98,0,MIN(O3177*0.3,O3177-4172.98)))-P3177</f>
        <v>0.81199999999989814</v>
      </c>
      <c r="S3177" s="78">
        <v>46357</v>
      </c>
      <c r="T3177" s="1"/>
      <c r="V3177" s="1"/>
      <c r="X3177" s="101">
        <v>2</v>
      </c>
    </row>
    <row r="3178" spans="1:24" hidden="1">
      <c r="A3178">
        <v>1592</v>
      </c>
      <c r="B3178" s="2">
        <v>46244.530162037001</v>
      </c>
      <c r="C3178" s="2">
        <v>46244.532766203702</v>
      </c>
      <c r="D3178" s="1" t="s">
        <v>24</v>
      </c>
      <c r="E3178" s="1"/>
      <c r="F3178" s="29">
        <v>46244</v>
      </c>
      <c r="G3178" s="29">
        <v>46243</v>
      </c>
      <c r="H3178" s="1" t="s">
        <v>78</v>
      </c>
      <c r="I3178" s="126" t="s">
        <v>7090</v>
      </c>
      <c r="J3178" s="207" t="s">
        <v>7091</v>
      </c>
      <c r="K3178" s="171" t="s">
        <v>7092</v>
      </c>
      <c r="L3178" s="62">
        <v>23496002</v>
      </c>
      <c r="M3178" s="30">
        <v>5212223546965</v>
      </c>
      <c r="N3178" s="172" t="s">
        <v>37</v>
      </c>
      <c r="O3178" s="51">
        <v>17190.5</v>
      </c>
      <c r="P3178" s="91">
        <v>4967.53</v>
      </c>
      <c r="Q3178" s="42">
        <f>OfficeForms.Table[[#This Row],[ INFORMEDEPAGO ]]*0.3</f>
        <v>5157.1499999999996</v>
      </c>
      <c r="R3178" s="12">
        <f>(IF(O3178&lt;4172.98,0,MIN(O3178*0.3,O3178-4172.98)))-P3178</f>
        <v>189.61999999999989</v>
      </c>
      <c r="S3178" s="78">
        <v>46753</v>
      </c>
      <c r="T3178" s="1"/>
      <c r="V3178" s="1"/>
      <c r="X3178" s="101">
        <v>2</v>
      </c>
    </row>
    <row r="3179" spans="1:24" hidden="1">
      <c r="A3179">
        <v>1593</v>
      </c>
      <c r="B3179" s="2">
        <v>46244.534120370401</v>
      </c>
      <c r="C3179" s="2">
        <v>46244.535150463002</v>
      </c>
      <c r="D3179" s="1" t="s">
        <v>24</v>
      </c>
      <c r="E3179" s="1"/>
      <c r="F3179" s="29">
        <v>46244</v>
      </c>
      <c r="G3179" s="29">
        <v>46244</v>
      </c>
      <c r="H3179" s="1" t="s">
        <v>103</v>
      </c>
      <c r="I3179" s="126"/>
      <c r="J3179" s="208" t="s">
        <v>7093</v>
      </c>
      <c r="K3179" s="171"/>
      <c r="L3179" s="62">
        <v>1</v>
      </c>
      <c r="M3179" s="158">
        <v>4694909708</v>
      </c>
      <c r="N3179" s="172" t="s">
        <v>37</v>
      </c>
      <c r="O3179" s="51">
        <v>12756.44</v>
      </c>
      <c r="P3179" s="91">
        <v>3826.93</v>
      </c>
      <c r="Q3179" s="42">
        <f>OfficeForms.Table[[#This Row],[ INFORMEDEPAGO ]]*0.3</f>
        <v>3826.9319999999998</v>
      </c>
      <c r="R3179" s="12">
        <f>(IF(O3179&lt;4172.98,0,MIN(O3179*0.3,O3179-4172.98)))-P3179</f>
        <v>1.9999999999527063E-3</v>
      </c>
      <c r="S3179" s="78">
        <v>46874</v>
      </c>
      <c r="T3179" s="1"/>
      <c r="V3179" s="1"/>
      <c r="X3179" s="101">
        <v>2</v>
      </c>
    </row>
    <row r="3180" spans="1:24" hidden="1">
      <c r="A3180">
        <v>1594</v>
      </c>
      <c r="B3180" s="2">
        <v>46244.537881944401</v>
      </c>
      <c r="C3180" s="2">
        <v>46244.541909722197</v>
      </c>
      <c r="D3180" s="1" t="s">
        <v>24</v>
      </c>
      <c r="E3180" s="1"/>
      <c r="F3180" s="29">
        <v>46244</v>
      </c>
      <c r="G3180" s="29">
        <v>46205</v>
      </c>
      <c r="H3180" s="1" t="s">
        <v>78</v>
      </c>
      <c r="I3180" s="126" t="s">
        <v>7094</v>
      </c>
      <c r="J3180" s="207" t="s">
        <v>7095</v>
      </c>
      <c r="K3180" s="171" t="s">
        <v>7096</v>
      </c>
      <c r="L3180" s="62">
        <v>22256014</v>
      </c>
      <c r="M3180" s="159">
        <v>5215581951978</v>
      </c>
      <c r="N3180" s="172" t="s">
        <v>37</v>
      </c>
      <c r="O3180" s="51">
        <v>8173.07</v>
      </c>
      <c r="P3180" s="91">
        <v>2450.92</v>
      </c>
      <c r="Q3180" s="42">
        <f>OfficeForms.Table[[#This Row],[ INFORMEDEPAGO ]]*0.3</f>
        <v>2451.9209999999998</v>
      </c>
      <c r="R3180" s="12">
        <f>(IF(O3180&lt;4172.98,0,MIN(O3180*0.3,O3180-4172.98)))-P3180</f>
        <v>1.000999999999749</v>
      </c>
      <c r="S3180" s="78">
        <v>46447</v>
      </c>
      <c r="T3180" s="1" t="s">
        <v>178</v>
      </c>
      <c r="V3180" s="1"/>
      <c r="X3180" s="101">
        <v>2</v>
      </c>
    </row>
    <row r="3181" spans="1:24" hidden="1">
      <c r="A3181">
        <v>1595</v>
      </c>
      <c r="B3181" s="2">
        <v>46244.420509259297</v>
      </c>
      <c r="C3181" s="2">
        <v>46244.543599536999</v>
      </c>
      <c r="D3181" s="1" t="s">
        <v>24</v>
      </c>
      <c r="E3181" s="1"/>
      <c r="F3181" s="29">
        <v>46244</v>
      </c>
      <c r="G3181" s="29">
        <v>46244</v>
      </c>
      <c r="H3181" s="1" t="s">
        <v>71</v>
      </c>
      <c r="I3181" s="126" t="s">
        <v>7097</v>
      </c>
      <c r="J3181" s="208" t="s">
        <v>7098</v>
      </c>
      <c r="K3181" s="187" t="s">
        <v>7099</v>
      </c>
      <c r="L3181" s="62">
        <v>23514158</v>
      </c>
      <c r="M3181" s="159">
        <v>5216692393684</v>
      </c>
      <c r="N3181" s="172" t="s">
        <v>106</v>
      </c>
      <c r="O3181" s="51">
        <v>15258.51</v>
      </c>
      <c r="P3181" s="91">
        <v>4405.66</v>
      </c>
      <c r="Q3181" s="42">
        <f>OfficeForms.Table[[#This Row],[ INFORMEDEPAGO ]]*0.3</f>
        <v>4577.5529999999999</v>
      </c>
      <c r="R3181" s="12">
        <f>(IF(O3181&lt;4172.98,0,MIN(O3181*0.3,O3181-4172.98)))-P3181</f>
        <v>171.89300000000003</v>
      </c>
      <c r="S3181" s="78">
        <v>46082</v>
      </c>
      <c r="T3181" s="1"/>
      <c r="V3181" s="1"/>
      <c r="X3181" s="101">
        <v>2</v>
      </c>
    </row>
    <row r="3182" spans="1:24" hidden="1">
      <c r="A3182">
        <v>1596</v>
      </c>
      <c r="B3182" s="2">
        <v>46244.546840277799</v>
      </c>
      <c r="C3182" s="2">
        <v>46244.547430555598</v>
      </c>
      <c r="D3182" s="1" t="s">
        <v>24</v>
      </c>
      <c r="E3182" s="1"/>
      <c r="F3182" s="29">
        <v>46244</v>
      </c>
      <c r="G3182" s="29">
        <v>46242</v>
      </c>
      <c r="H3182" s="1" t="s">
        <v>5033</v>
      </c>
      <c r="I3182" s="126" t="s">
        <v>7100</v>
      </c>
      <c r="J3182" s="207"/>
      <c r="K3182" s="171" t="s">
        <v>7101</v>
      </c>
      <c r="L3182" s="62">
        <v>23478654</v>
      </c>
      <c r="M3182" s="159">
        <v>5218343075914</v>
      </c>
      <c r="N3182" s="172" t="s">
        <v>74</v>
      </c>
      <c r="P3182" s="91"/>
      <c r="Q3182" s="42">
        <f>OfficeForms.Table[[#This Row],[ INFORMEDEPAGO ]]*0.3</f>
        <v>0</v>
      </c>
      <c r="R3182" s="12">
        <f>(IF(O3182&lt;4172.98,0,MIN(O3182*0.3,O3182-4172.98)))-P3182</f>
        <v>0</v>
      </c>
      <c r="S3182" s="78"/>
      <c r="T3182" s="1"/>
      <c r="V3182" s="1"/>
      <c r="X3182" s="101">
        <v>1</v>
      </c>
    </row>
    <row r="3183" spans="1:24" hidden="1">
      <c r="A3183">
        <v>1597</v>
      </c>
      <c r="B3183" s="2">
        <v>46244.548344907402</v>
      </c>
      <c r="C3183" s="2">
        <v>46244.548888888901</v>
      </c>
      <c r="D3183" s="1" t="s">
        <v>24</v>
      </c>
      <c r="E3183" s="1"/>
      <c r="F3183" s="29">
        <v>46244</v>
      </c>
      <c r="G3183" s="29">
        <v>46244</v>
      </c>
      <c r="H3183" s="1" t="s">
        <v>3352</v>
      </c>
      <c r="I3183" s="126" t="s">
        <v>7102</v>
      </c>
      <c r="J3183" s="207">
        <v>65816252566</v>
      </c>
      <c r="K3183" s="171" t="s">
        <v>7103</v>
      </c>
      <c r="L3183" s="62">
        <v>23514450</v>
      </c>
      <c r="M3183" s="159">
        <v>5510616868</v>
      </c>
      <c r="N3183" s="172" t="s">
        <v>98</v>
      </c>
      <c r="P3183" s="91"/>
      <c r="Q3183" s="42">
        <f>OfficeForms.Table[[#This Row],[ INFORMEDEPAGO ]]*0.3</f>
        <v>0</v>
      </c>
      <c r="R3183" s="12">
        <f t="shared" ref="R3183:R3185" si="62">(IF(O3183&lt;4172.98,0,MIN(O3183*0.3,O3183-4172.98)))-P3183</f>
        <v>0</v>
      </c>
      <c r="S3183" s="78"/>
      <c r="T3183" s="1"/>
      <c r="V3183" s="1"/>
      <c r="X3183" s="101">
        <v>0</v>
      </c>
    </row>
    <row r="3184" spans="1:24" hidden="1">
      <c r="A3184">
        <v>1598</v>
      </c>
      <c r="B3184" s="2">
        <v>46244.551377314798</v>
      </c>
      <c r="C3184" s="2">
        <v>46244.552534722199</v>
      </c>
      <c r="D3184" s="1" t="s">
        <v>24</v>
      </c>
      <c r="E3184" s="1"/>
      <c r="F3184" s="29">
        <v>46244</v>
      </c>
      <c r="G3184" s="29">
        <v>46244</v>
      </c>
      <c r="H3184" s="1" t="s">
        <v>1629</v>
      </c>
      <c r="I3184" s="126" t="s">
        <v>7104</v>
      </c>
      <c r="J3184" s="207" t="s">
        <v>7105</v>
      </c>
      <c r="K3184" s="171" t="s">
        <v>7106</v>
      </c>
      <c r="L3184" s="62">
        <v>2</v>
      </c>
      <c r="M3184" s="159">
        <v>5534664732</v>
      </c>
      <c r="N3184" s="172" t="s">
        <v>37</v>
      </c>
      <c r="O3184" s="51">
        <v>7920.51</v>
      </c>
      <c r="P3184" s="91">
        <v>2266.89</v>
      </c>
      <c r="Q3184" s="42">
        <f>OfficeForms.Table[[#This Row],[ INFORMEDEPAGO ]]*0.3</f>
        <v>2376.1529999999998</v>
      </c>
      <c r="R3184" s="12">
        <f t="shared" si="62"/>
        <v>109.26299999999992</v>
      </c>
      <c r="S3184" s="78">
        <v>46844</v>
      </c>
      <c r="T3184" s="1"/>
      <c r="V3184" s="1"/>
      <c r="X3184" s="101">
        <v>2</v>
      </c>
    </row>
    <row r="3185" spans="1:24" hidden="1">
      <c r="A3185">
        <v>1599</v>
      </c>
      <c r="B3185" s="2">
        <v>46244.554479166698</v>
      </c>
      <c r="C3185" s="2">
        <v>46244.5552314815</v>
      </c>
      <c r="D3185" s="1" t="s">
        <v>24</v>
      </c>
      <c r="E3185" s="1"/>
      <c r="F3185" s="29">
        <v>46244</v>
      </c>
      <c r="G3185" s="29">
        <v>46243</v>
      </c>
      <c r="H3185" s="1" t="s">
        <v>107</v>
      </c>
      <c r="I3185" s="126"/>
      <c r="J3185" s="207"/>
      <c r="K3185" s="171" t="s">
        <v>7107</v>
      </c>
      <c r="L3185" s="62">
        <v>23488302</v>
      </c>
      <c r="M3185" s="159">
        <v>9984941259</v>
      </c>
      <c r="N3185" s="172" t="s">
        <v>106</v>
      </c>
      <c r="O3185" s="51">
        <v>22690.32</v>
      </c>
      <c r="P3185" s="91">
        <v>6564.85</v>
      </c>
      <c r="Q3185" s="42">
        <f>OfficeForms.Table[[#This Row],[ INFORMEDEPAGO ]]*0.3</f>
        <v>6807.0959999999995</v>
      </c>
      <c r="R3185" s="12">
        <f t="shared" si="62"/>
        <v>242.24599999999919</v>
      </c>
      <c r="S3185" s="78">
        <v>46235</v>
      </c>
      <c r="T3185" s="1"/>
      <c r="V3185" s="1"/>
      <c r="X3185" s="101">
        <v>2</v>
      </c>
    </row>
    <row r="3186" spans="1:24" hidden="1">
      <c r="A3186">
        <v>1600</v>
      </c>
      <c r="B3186" s="2">
        <v>46244.548923611103</v>
      </c>
      <c r="C3186" s="2">
        <v>46244.570347222201</v>
      </c>
      <c r="D3186" s="1" t="s">
        <v>24</v>
      </c>
      <c r="E3186" s="1"/>
      <c r="F3186" s="29">
        <v>46244</v>
      </c>
      <c r="G3186" s="29">
        <v>46244</v>
      </c>
      <c r="H3186" s="1" t="s">
        <v>3352</v>
      </c>
      <c r="I3186" s="126" t="s">
        <v>7108</v>
      </c>
      <c r="J3186" s="207"/>
      <c r="K3186" s="171" t="s">
        <v>7109</v>
      </c>
      <c r="L3186" s="62">
        <v>23515284</v>
      </c>
      <c r="M3186" s="159">
        <v>9817517684</v>
      </c>
      <c r="N3186" s="172" t="s">
        <v>37</v>
      </c>
      <c r="O3186" s="51">
        <v>7116.73</v>
      </c>
      <c r="P3186" s="91">
        <v>2059</v>
      </c>
      <c r="Q3186" s="42">
        <f>OfficeForms.Table[[#This Row],[ INFORMEDEPAGO ]]*0.3</f>
        <v>2135.0189999999998</v>
      </c>
      <c r="R3186" s="12">
        <f t="shared" ref="R3186:R3189" si="63">(IF(O3186&lt;4172.98,0,MIN(O3186*0.3,O3186-4172.98)))-P3186</f>
        <v>76.018999999999778</v>
      </c>
      <c r="S3186" s="78">
        <v>46692</v>
      </c>
      <c r="T3186" s="1"/>
      <c r="V3186" s="1"/>
      <c r="X3186" s="101">
        <v>2</v>
      </c>
    </row>
    <row r="3187" spans="1:24" hidden="1">
      <c r="A3187">
        <v>1601</v>
      </c>
      <c r="B3187" s="2">
        <v>46244.5703587963</v>
      </c>
      <c r="C3187" s="2">
        <v>46244.572337963</v>
      </c>
      <c r="D3187" s="1" t="s">
        <v>24</v>
      </c>
      <c r="E3187" s="1"/>
      <c r="F3187" s="29">
        <v>46244</v>
      </c>
      <c r="G3187" s="29">
        <v>46244</v>
      </c>
      <c r="H3187" s="1" t="s">
        <v>3352</v>
      </c>
      <c r="I3187" s="126" t="s">
        <v>7110</v>
      </c>
      <c r="J3187" s="207">
        <v>65846304021</v>
      </c>
      <c r="K3187" s="171" t="s">
        <v>7111</v>
      </c>
      <c r="L3187" s="62">
        <v>23473050</v>
      </c>
      <c r="M3187" s="159">
        <v>2299136136</v>
      </c>
      <c r="N3187" s="172" t="s">
        <v>47</v>
      </c>
      <c r="O3187" s="51">
        <v>7398.95</v>
      </c>
      <c r="P3187" s="91">
        <v>1538.01</v>
      </c>
      <c r="Q3187" s="42">
        <f>OfficeForms.Table[[#This Row],[ INFORMEDEPAGO ]]*0.3</f>
        <v>2219.6849999999999</v>
      </c>
      <c r="R3187" s="12">
        <f t="shared" si="63"/>
        <v>681.67499999999995</v>
      </c>
      <c r="S3187" s="78">
        <v>46722</v>
      </c>
      <c r="T3187" s="1"/>
      <c r="V3187" s="1"/>
      <c r="X3187" s="101">
        <v>2</v>
      </c>
    </row>
    <row r="3188" spans="1:24" hidden="1">
      <c r="A3188">
        <v>1602</v>
      </c>
      <c r="B3188" s="2">
        <v>46244.572210648097</v>
      </c>
      <c r="C3188" s="2">
        <v>46244.572708333297</v>
      </c>
      <c r="D3188" s="1" t="s">
        <v>24</v>
      </c>
      <c r="E3188" s="1"/>
      <c r="F3188" s="29">
        <v>46244</v>
      </c>
      <c r="G3188" s="29">
        <v>46244</v>
      </c>
      <c r="H3188" s="1" t="s">
        <v>5033</v>
      </c>
      <c r="I3188" s="126" t="s">
        <v>7112</v>
      </c>
      <c r="J3188" s="207"/>
      <c r="K3188" s="171" t="s">
        <v>7113</v>
      </c>
      <c r="L3188" s="62">
        <v>23515168</v>
      </c>
      <c r="M3188" s="159">
        <v>5216311919834</v>
      </c>
      <c r="N3188" s="172" t="s">
        <v>37</v>
      </c>
      <c r="O3188" s="51">
        <v>9081.52</v>
      </c>
      <c r="P3188" s="91">
        <v>2627.5</v>
      </c>
      <c r="Q3188" s="42">
        <f>OfficeForms.Table[[#This Row],[ INFORMEDEPAGO ]]*0.3</f>
        <v>2724.4560000000001</v>
      </c>
      <c r="R3188" s="12">
        <f t="shared" si="63"/>
        <v>96.956000000000131</v>
      </c>
      <c r="S3188" s="78">
        <v>46508</v>
      </c>
      <c r="T3188" s="1"/>
      <c r="V3188" s="1"/>
      <c r="X3188" s="101">
        <v>2</v>
      </c>
    </row>
    <row r="3189" spans="1:24" hidden="1">
      <c r="A3189">
        <v>1603</v>
      </c>
      <c r="B3189" s="2">
        <v>46244.573773148099</v>
      </c>
      <c r="C3189" s="2">
        <v>46244.574293981503</v>
      </c>
      <c r="D3189" s="1" t="s">
        <v>24</v>
      </c>
      <c r="E3189" s="1"/>
      <c r="F3189" s="29">
        <v>46244</v>
      </c>
      <c r="G3189" s="29">
        <v>46244</v>
      </c>
      <c r="H3189" s="1" t="s">
        <v>5033</v>
      </c>
      <c r="I3189" s="126" t="s">
        <v>7114</v>
      </c>
      <c r="J3189" s="207"/>
      <c r="K3189" s="171" t="s">
        <v>7115</v>
      </c>
      <c r="L3189" s="62">
        <v>23514284</v>
      </c>
      <c r="M3189" s="159">
        <v>5215540252206</v>
      </c>
      <c r="N3189" s="172" t="s">
        <v>37</v>
      </c>
      <c r="O3189" s="51">
        <v>9760.32</v>
      </c>
      <c r="P3189" s="91">
        <v>2823.89</v>
      </c>
      <c r="Q3189" s="42">
        <f>OfficeForms.Table[[#This Row],[ INFORMEDEPAGO ]]*0.3</f>
        <v>2928.096</v>
      </c>
      <c r="R3189" s="12">
        <f t="shared" si="63"/>
        <v>104.20600000000013</v>
      </c>
      <c r="S3189" s="78">
        <v>46539</v>
      </c>
      <c r="T3189" s="1"/>
      <c r="V3189" s="1"/>
      <c r="X3189" s="101">
        <v>2</v>
      </c>
    </row>
    <row r="3190" spans="1:24" hidden="1">
      <c r="A3190">
        <v>1604</v>
      </c>
      <c r="B3190" s="2">
        <v>46244.583472222199</v>
      </c>
      <c r="C3190" s="2">
        <v>46244.584027777797</v>
      </c>
      <c r="D3190" s="1" t="s">
        <v>24</v>
      </c>
      <c r="E3190" s="1"/>
      <c r="F3190" s="29">
        <v>46244</v>
      </c>
      <c r="G3190" s="29">
        <v>46244</v>
      </c>
      <c r="H3190" s="1" t="s">
        <v>269</v>
      </c>
      <c r="I3190" s="126" t="s">
        <v>7116</v>
      </c>
      <c r="J3190" s="175" t="s">
        <v>7117</v>
      </c>
      <c r="K3190" s="171" t="s">
        <v>7118</v>
      </c>
      <c r="L3190" s="62">
        <v>23507640</v>
      </c>
      <c r="M3190" s="30">
        <v>5216671367652</v>
      </c>
      <c r="N3190" s="172" t="s">
        <v>106</v>
      </c>
      <c r="O3190" s="51">
        <v>18781.59</v>
      </c>
      <c r="P3190" s="91">
        <v>5633</v>
      </c>
      <c r="Q3190" s="42">
        <f>OfficeForms.Table[[#This Row],[ INFORMEDEPAGO ]]*0.3</f>
        <v>5634.4769999999999</v>
      </c>
      <c r="R3190" s="12">
        <f t="shared" ref="R3190:R3192" si="64">(IF(O3190&lt;4172.98,0,MIN(O3190*0.3,O3190-4172.98)))-P3190</f>
        <v>1.4769999999998618</v>
      </c>
      <c r="S3190" s="78">
        <v>46235</v>
      </c>
      <c r="T3190" s="1"/>
      <c r="V3190" s="1"/>
      <c r="X3190" s="101">
        <v>2</v>
      </c>
    </row>
    <row r="3191" spans="1:24" hidden="1">
      <c r="A3191">
        <v>1605</v>
      </c>
      <c r="B3191" s="2">
        <v>46244.584895833301</v>
      </c>
      <c r="C3191" s="2">
        <v>46244.586180555598</v>
      </c>
      <c r="D3191" s="1" t="s">
        <v>24</v>
      </c>
      <c r="E3191" s="1"/>
      <c r="F3191" s="29">
        <v>46244</v>
      </c>
      <c r="G3191" s="29">
        <v>46244</v>
      </c>
      <c r="H3191" s="1" t="s">
        <v>90</v>
      </c>
      <c r="I3191" s="126" t="s">
        <v>7119</v>
      </c>
      <c r="J3191" s="175">
        <v>33796317049</v>
      </c>
      <c r="K3191" s="171" t="s">
        <v>7120</v>
      </c>
      <c r="L3191" s="62">
        <v>1</v>
      </c>
      <c r="M3191" s="30">
        <v>6143386498</v>
      </c>
      <c r="N3191" s="172" t="s">
        <v>28</v>
      </c>
      <c r="O3191" s="51">
        <v>7920.51</v>
      </c>
      <c r="P3191" s="91">
        <v>1095.3900000000001</v>
      </c>
      <c r="Q3191" s="42">
        <f>OfficeForms.Table[[#This Row],[ INFORMEDEPAGO ]]*0.3</f>
        <v>2376.1529999999998</v>
      </c>
      <c r="R3191" s="12">
        <f t="shared" si="64"/>
        <v>1280.7629999999997</v>
      </c>
      <c r="S3191" s="78">
        <v>46266</v>
      </c>
      <c r="T3191" s="1"/>
      <c r="V3191" s="1"/>
      <c r="X3191" s="101">
        <v>2</v>
      </c>
    </row>
    <row r="3192" spans="1:24" hidden="1">
      <c r="A3192">
        <v>1606</v>
      </c>
      <c r="B3192" s="2">
        <v>46244.585868055598</v>
      </c>
      <c r="C3192" s="2">
        <v>46244.586597222202</v>
      </c>
      <c r="D3192" s="1" t="s">
        <v>24</v>
      </c>
      <c r="E3192" s="1"/>
      <c r="F3192" s="29">
        <v>46244</v>
      </c>
      <c r="G3192" s="29">
        <v>46244</v>
      </c>
      <c r="H3192" s="1" t="s">
        <v>269</v>
      </c>
      <c r="I3192" s="126" t="s">
        <v>7121</v>
      </c>
      <c r="J3192" s="175" t="s">
        <v>7122</v>
      </c>
      <c r="K3192" s="171" t="s">
        <v>7123</v>
      </c>
      <c r="L3192" s="62">
        <v>23497322</v>
      </c>
      <c r="M3192" s="30">
        <v>5214426031760</v>
      </c>
      <c r="N3192" s="172" t="s">
        <v>47</v>
      </c>
      <c r="O3192" s="51">
        <v>6172.33</v>
      </c>
      <c r="P3192" s="91">
        <v>722.68</v>
      </c>
      <c r="Q3192" s="42">
        <f>OfficeForms.Table[[#This Row],[ INFORMEDEPAGO ]]*0.3</f>
        <v>1851.6989999999998</v>
      </c>
      <c r="R3192" s="12">
        <f t="shared" si="64"/>
        <v>1129.0189999999998</v>
      </c>
      <c r="S3192" s="78">
        <v>46174</v>
      </c>
      <c r="T3192" s="1"/>
      <c r="V3192" s="1"/>
      <c r="X3192" s="101">
        <v>2</v>
      </c>
    </row>
    <row r="3193" spans="1:24" hidden="1">
      <c r="A3193">
        <v>1607</v>
      </c>
      <c r="B3193" s="2">
        <v>46244.589097222197</v>
      </c>
      <c r="C3193" s="2">
        <v>46244.589849536998</v>
      </c>
      <c r="D3193" s="1" t="s">
        <v>24</v>
      </c>
      <c r="E3193" s="1"/>
      <c r="F3193" s="29">
        <v>46244</v>
      </c>
      <c r="G3193" s="29">
        <v>46244</v>
      </c>
      <c r="H3193" s="1" t="s">
        <v>1629</v>
      </c>
      <c r="I3193" s="126" t="s">
        <v>7124</v>
      </c>
      <c r="J3193" s="175">
        <v>3897322016</v>
      </c>
      <c r="K3193" s="171" t="s">
        <v>7125</v>
      </c>
      <c r="L3193" s="62">
        <v>2</v>
      </c>
      <c r="M3193" s="30" t="s">
        <v>7126</v>
      </c>
      <c r="N3193" s="172" t="s">
        <v>37</v>
      </c>
      <c r="O3193" s="51">
        <v>14143.62</v>
      </c>
      <c r="P3193" s="91">
        <v>4242.49</v>
      </c>
      <c r="Q3193" s="42">
        <f>OfficeForms.Table[[#This Row],[ INFORMEDEPAGO ]]*0.3</f>
        <v>4243.0860000000002</v>
      </c>
      <c r="R3193" s="12">
        <f>(IF(O3193&lt;4172.98,0,MIN(O3193*0.3,O3193-4172.98)))-P3193</f>
        <v>0.59600000000045839</v>
      </c>
      <c r="S3193" s="78">
        <v>46692</v>
      </c>
      <c r="T3193" s="1"/>
      <c r="V3193" s="1"/>
      <c r="X3193" s="101">
        <v>2</v>
      </c>
    </row>
    <row r="3194" spans="1:24" hidden="1">
      <c r="A3194">
        <v>1608</v>
      </c>
      <c r="B3194" s="2">
        <v>46244.3444212963</v>
      </c>
      <c r="C3194" s="2">
        <v>46244.604004629597</v>
      </c>
      <c r="D3194" s="1" t="s">
        <v>24</v>
      </c>
      <c r="E3194" s="1"/>
      <c r="F3194" s="29">
        <v>46244</v>
      </c>
      <c r="G3194" s="29">
        <v>46244</v>
      </c>
      <c r="H3194" s="1" t="s">
        <v>3572</v>
      </c>
      <c r="I3194" s="126" t="s">
        <v>7127</v>
      </c>
      <c r="J3194" s="175" t="s">
        <v>7128</v>
      </c>
      <c r="K3194" s="171"/>
      <c r="L3194" s="62">
        <v>23515712</v>
      </c>
      <c r="M3194" s="30">
        <v>5217361186477</v>
      </c>
      <c r="N3194" s="172" t="s">
        <v>37</v>
      </c>
      <c r="O3194" s="51">
        <v>5617.63</v>
      </c>
      <c r="P3194" s="91">
        <v>1393.24</v>
      </c>
      <c r="Q3194" s="42">
        <f>OfficeForms.Table[[#This Row],[ INFORMEDEPAGO ]]*0.3</f>
        <v>1685.289</v>
      </c>
      <c r="R3194" s="12">
        <f>(IF(O3194&lt;4172.98,0,MIN(O3194*0.3,O3194-4172.98)))-P3194</f>
        <v>51.410000000000537</v>
      </c>
      <c r="S3194" s="78">
        <v>46539</v>
      </c>
      <c r="T3194" s="1"/>
      <c r="V3194" s="1"/>
      <c r="X3194" s="101">
        <v>2</v>
      </c>
    </row>
    <row r="3195" spans="1:24" hidden="1">
      <c r="A3195">
        <v>1609</v>
      </c>
      <c r="B3195" s="2">
        <v>46244.6085185185</v>
      </c>
      <c r="C3195" s="2">
        <v>46244.609201388899</v>
      </c>
      <c r="D3195" s="1" t="s">
        <v>24</v>
      </c>
      <c r="E3195" s="1"/>
      <c r="F3195" s="29">
        <v>46244</v>
      </c>
      <c r="G3195" s="29">
        <v>46214</v>
      </c>
      <c r="H3195" s="1" t="s">
        <v>71</v>
      </c>
      <c r="I3195" s="126" t="s">
        <v>7129</v>
      </c>
      <c r="J3195" s="209" t="s">
        <v>7130</v>
      </c>
      <c r="K3195" s="171"/>
      <c r="L3195" s="62">
        <v>22561984</v>
      </c>
      <c r="M3195" s="30">
        <v>5215551557405</v>
      </c>
      <c r="N3195" s="172" t="s">
        <v>47</v>
      </c>
      <c r="O3195" s="51">
        <v>10981.51</v>
      </c>
      <c r="P3195" s="91">
        <v>2361.73</v>
      </c>
      <c r="Q3195" s="42">
        <f>OfficeForms.Table[[#This Row],[ INFORMEDEPAGO ]]*0.3</f>
        <v>3294.453</v>
      </c>
      <c r="R3195" s="12">
        <f>(IF(O3195&lt;4172.98,0,MIN(O3195*0.3,O3195-4172.98)))-P3195</f>
        <v>932.72299999999996</v>
      </c>
      <c r="S3195" s="78">
        <v>46508</v>
      </c>
      <c r="T3195" s="1" t="s">
        <v>192</v>
      </c>
      <c r="V3195" s="1"/>
      <c r="X3195" s="101">
        <v>2</v>
      </c>
    </row>
    <row r="3196" spans="1:24" hidden="1">
      <c r="A3196">
        <v>1610</v>
      </c>
      <c r="B3196" s="2">
        <v>46244.609004629601</v>
      </c>
      <c r="C3196" s="2">
        <v>46244.6092824074</v>
      </c>
      <c r="D3196" s="1" t="s">
        <v>24</v>
      </c>
      <c r="E3196" s="1"/>
      <c r="F3196" s="29">
        <v>46244</v>
      </c>
      <c r="G3196" s="29">
        <v>46244</v>
      </c>
      <c r="H3196" s="1" t="s">
        <v>90</v>
      </c>
      <c r="I3196" s="126"/>
      <c r="J3196" s="175" t="s">
        <v>7131</v>
      </c>
      <c r="K3196" s="171"/>
      <c r="L3196" s="62">
        <v>1</v>
      </c>
      <c r="M3196" s="105" t="s">
        <v>7131</v>
      </c>
      <c r="N3196" s="172" t="s">
        <v>37</v>
      </c>
      <c r="O3196" s="51">
        <v>5556.48</v>
      </c>
      <c r="P3196" s="91">
        <v>1604.22</v>
      </c>
      <c r="Q3196" s="42">
        <f>OfficeForms.Table[[#This Row],[ INFORMEDEPAGO ]]*0.3</f>
        <v>1666.9439999999997</v>
      </c>
      <c r="R3196" s="12">
        <f>(IF(O3196&lt;4172.98,0,MIN(O3196*0.3,O3196-4172.98)))-P3196</f>
        <v>-220.72000000000003</v>
      </c>
      <c r="S3196" s="78">
        <v>46539</v>
      </c>
      <c r="T3196" s="1"/>
      <c r="V3196" s="1"/>
      <c r="X3196" s="101">
        <v>2</v>
      </c>
    </row>
    <row r="3197" spans="1:24" hidden="1">
      <c r="A3197">
        <v>1611</v>
      </c>
      <c r="B3197" s="2">
        <v>46244.572361111103</v>
      </c>
      <c r="C3197" s="2">
        <v>46244.6152083333</v>
      </c>
      <c r="D3197" s="1" t="s">
        <v>24</v>
      </c>
      <c r="E3197" s="1"/>
      <c r="F3197" s="29">
        <v>46244</v>
      </c>
      <c r="G3197" s="29">
        <v>46244</v>
      </c>
      <c r="H3197" s="1" t="s">
        <v>3352</v>
      </c>
      <c r="I3197" s="126" t="s">
        <v>7132</v>
      </c>
      <c r="J3197" s="175" t="s">
        <v>7133</v>
      </c>
      <c r="K3197" s="171" t="s">
        <v>7134</v>
      </c>
      <c r="L3197" s="62">
        <v>23516100</v>
      </c>
      <c r="M3197" s="105">
        <v>9981632295</v>
      </c>
      <c r="N3197" s="172" t="s">
        <v>37</v>
      </c>
      <c r="O3197" s="51">
        <v>8368.16</v>
      </c>
      <c r="P3197" s="91">
        <v>2420.8000000000002</v>
      </c>
      <c r="Q3197" s="42">
        <f>OfficeForms.Table[[#This Row],[ INFORMEDEPAGO ]]*0.3</f>
        <v>2510.4479999999999</v>
      </c>
      <c r="R3197" s="12">
        <f>(IF(O3197&lt;4172.98,0,MIN(O3197*0.3,O3197-4172.98)))-P3197</f>
        <v>89.647999999999683</v>
      </c>
      <c r="S3197" s="78">
        <v>46478</v>
      </c>
      <c r="T3197" s="1" t="s">
        <v>259</v>
      </c>
      <c r="V3197" s="1"/>
      <c r="X3197" s="101">
        <v>2</v>
      </c>
    </row>
    <row r="3198" spans="1:24" hidden="1">
      <c r="A3198">
        <v>1612</v>
      </c>
      <c r="B3198" s="2">
        <v>46244.619224536997</v>
      </c>
      <c r="C3198" s="2">
        <v>46244.620057870401</v>
      </c>
      <c r="D3198" s="1" t="s">
        <v>24</v>
      </c>
      <c r="E3198" s="1"/>
      <c r="F3198" s="29">
        <v>46244</v>
      </c>
      <c r="G3198" s="29">
        <v>46244</v>
      </c>
      <c r="H3198" s="1" t="s">
        <v>103</v>
      </c>
      <c r="I3198" s="126" t="s">
        <v>7135</v>
      </c>
      <c r="J3198" s="175"/>
      <c r="K3198" s="171" t="s">
        <v>7136</v>
      </c>
      <c r="L3198" s="62">
        <v>1</v>
      </c>
      <c r="M3198" s="30">
        <v>8120085367</v>
      </c>
      <c r="N3198" s="172" t="s">
        <v>32</v>
      </c>
      <c r="O3198" s="51">
        <v>3900.89</v>
      </c>
      <c r="P3198" s="91"/>
      <c r="Q3198" s="42">
        <f>OfficeForms.Table[[#This Row],[ INFORMEDEPAGO ]]*0.3</f>
        <v>1170.2669999999998</v>
      </c>
      <c r="R3198" s="12">
        <f>(IF(O3198&lt;4172.98,0,MIN(O3198*0.3,O3198-4172.98)))-P3198</f>
        <v>0</v>
      </c>
      <c r="S3198" s="78"/>
      <c r="T3198" s="1"/>
      <c r="V3198" s="1"/>
      <c r="X3198" s="101">
        <v>1</v>
      </c>
    </row>
    <row r="3199" spans="1:24" hidden="1">
      <c r="A3199">
        <v>1613</v>
      </c>
      <c r="B3199" s="2">
        <v>46244.624942129602</v>
      </c>
      <c r="C3199" s="2">
        <v>46244.625729166699</v>
      </c>
      <c r="D3199" s="1" t="s">
        <v>24</v>
      </c>
      <c r="E3199" s="1"/>
      <c r="F3199" s="29">
        <v>46244</v>
      </c>
      <c r="G3199" s="29">
        <v>46220</v>
      </c>
      <c r="H3199" s="1" t="s">
        <v>269</v>
      </c>
      <c r="I3199" s="126" t="s">
        <v>2316</v>
      </c>
      <c r="J3199" s="175" t="s">
        <v>7137</v>
      </c>
      <c r="K3199" s="171" t="s">
        <v>2317</v>
      </c>
      <c r="L3199" s="62">
        <v>22785624</v>
      </c>
      <c r="M3199" s="30">
        <v>5216861983175</v>
      </c>
      <c r="N3199" s="172" t="s">
        <v>47</v>
      </c>
      <c r="O3199" s="51">
        <v>8793.09</v>
      </c>
      <c r="P3199" s="91">
        <v>1676.75</v>
      </c>
      <c r="Q3199" s="42">
        <f>OfficeForms.Table[[#This Row],[ INFORMEDEPAGO ]]*0.3</f>
        <v>2637.9270000000001</v>
      </c>
      <c r="R3199" s="12">
        <f>(IF(O3199&lt;4172.98,0,MIN(O3199*0.3,O3199-4172.98)))-P3199</f>
        <v>961.17700000000013</v>
      </c>
      <c r="S3199" s="78">
        <v>46569</v>
      </c>
      <c r="T3199" s="1"/>
      <c r="V3199" s="1"/>
      <c r="X3199" s="101">
        <v>2</v>
      </c>
    </row>
    <row r="3200" spans="1:24" hidden="1">
      <c r="A3200">
        <v>1614</v>
      </c>
      <c r="B3200" s="2">
        <v>46244.6259027778</v>
      </c>
      <c r="C3200" s="2">
        <v>46244.626562500001</v>
      </c>
      <c r="D3200" s="1" t="s">
        <v>24</v>
      </c>
      <c r="E3200" s="1"/>
      <c r="F3200" s="29">
        <v>46244</v>
      </c>
      <c r="G3200" s="29">
        <v>46241</v>
      </c>
      <c r="H3200" s="1" t="s">
        <v>5691</v>
      </c>
      <c r="I3200" s="126" t="s">
        <v>7138</v>
      </c>
      <c r="J3200" s="207"/>
      <c r="K3200" s="171" t="s">
        <v>5545</v>
      </c>
      <c r="L3200" s="62">
        <v>23461568</v>
      </c>
      <c r="M3200" s="30">
        <v>4731039344</v>
      </c>
      <c r="N3200" s="172" t="s">
        <v>47</v>
      </c>
      <c r="O3200" s="51">
        <v>5260.8</v>
      </c>
      <c r="Q3200" s="42">
        <f>OfficeForms.Table[[#This Row],[ INFORMEDEPAGO ]]*0.3</f>
        <v>1578.24</v>
      </c>
      <c r="R3200" s="12">
        <f>(IF(O3200&lt;4172.98,0,MIN(O3200*0.3,O3200-4172.98)))-P3200</f>
        <v>1087.8200000000006</v>
      </c>
      <c r="S3200" s="78"/>
      <c r="T3200" s="1"/>
      <c r="V3200" s="1"/>
      <c r="X3200" s="101">
        <v>1</v>
      </c>
    </row>
    <row r="3201" spans="1:24" hidden="1">
      <c r="A3201">
        <v>1615</v>
      </c>
      <c r="B3201" s="2">
        <v>46244.627754629597</v>
      </c>
      <c r="C3201" s="2">
        <v>46244.628368055601</v>
      </c>
      <c r="D3201" s="1" t="s">
        <v>24</v>
      </c>
      <c r="E3201" s="1"/>
      <c r="F3201" s="29">
        <v>46244</v>
      </c>
      <c r="G3201" s="29">
        <v>46244</v>
      </c>
      <c r="H3201" s="1" t="s">
        <v>3007</v>
      </c>
      <c r="I3201" s="126" t="s">
        <v>7139</v>
      </c>
      <c r="J3201" s="207">
        <v>24796027910</v>
      </c>
      <c r="K3201" s="171" t="s">
        <v>7140</v>
      </c>
      <c r="L3201" s="62">
        <v>23516842</v>
      </c>
      <c r="M3201" s="30">
        <v>6623267017</v>
      </c>
      <c r="N3201" s="172" t="s">
        <v>37</v>
      </c>
      <c r="O3201" s="51">
        <v>9081.52</v>
      </c>
      <c r="P3201" s="91">
        <v>2521.35</v>
      </c>
      <c r="Q3201" s="42">
        <f>OfficeForms.Table[[#This Row],[ INFORMEDEPAGO ]]*0.3</f>
        <v>2724.4560000000001</v>
      </c>
      <c r="R3201" s="12">
        <f>(IF(O3201&lt;4172.98,0,MIN(O3201*0.3,O3201-4172.98)))-P3201</f>
        <v>203.10600000000022</v>
      </c>
      <c r="S3201" s="78">
        <v>46327</v>
      </c>
      <c r="T3201" s="1"/>
      <c r="V3201" s="1"/>
      <c r="X3201" s="101">
        <v>2</v>
      </c>
    </row>
    <row r="3202" spans="1:24" hidden="1">
      <c r="A3202">
        <v>1616</v>
      </c>
      <c r="B3202" s="2">
        <v>46244.605231481502</v>
      </c>
      <c r="C3202" s="2">
        <v>46244.631631944401</v>
      </c>
      <c r="D3202" s="1" t="s">
        <v>24</v>
      </c>
      <c r="E3202" s="1"/>
      <c r="F3202" s="29">
        <v>46244</v>
      </c>
      <c r="G3202" s="29">
        <v>46244</v>
      </c>
      <c r="H3202" s="1" t="s">
        <v>6605</v>
      </c>
      <c r="I3202" s="126" t="s">
        <v>7141</v>
      </c>
      <c r="J3202" s="207">
        <v>21826425197</v>
      </c>
      <c r="K3202" s="171" t="s">
        <v>7142</v>
      </c>
      <c r="L3202" s="62">
        <v>23517332</v>
      </c>
      <c r="M3202" s="30">
        <v>6862453106</v>
      </c>
      <c r="N3202" s="172" t="s">
        <v>28</v>
      </c>
      <c r="O3202" s="51">
        <v>25206.78</v>
      </c>
      <c r="P3202" s="91">
        <v>879</v>
      </c>
      <c r="Q3202" s="42">
        <f>OfficeForms.Table[[#This Row],[ INFORMEDEPAGO ]]*0.3</f>
        <v>7562.0339999999997</v>
      </c>
      <c r="R3202" s="12">
        <f>(IF(O3202&lt;4172.98,0,MIN(O3202*0.3,O3202-4172.98)))-P3202</f>
        <v>6683.0339999999997</v>
      </c>
      <c r="S3202" s="78"/>
      <c r="T3202" s="1"/>
      <c r="V3202" s="1"/>
      <c r="X3202" s="101">
        <v>1</v>
      </c>
    </row>
    <row r="3203" spans="1:24" hidden="1">
      <c r="A3203">
        <v>1617</v>
      </c>
      <c r="B3203" s="2">
        <v>46244.611875000002</v>
      </c>
      <c r="C3203" s="2">
        <v>46244.632847222201</v>
      </c>
      <c r="D3203" s="1" t="s">
        <v>24</v>
      </c>
      <c r="E3203" s="1"/>
      <c r="F3203" s="29">
        <v>46244</v>
      </c>
      <c r="G3203" s="29">
        <v>46244</v>
      </c>
      <c r="H3203" s="1" t="s">
        <v>3572</v>
      </c>
      <c r="I3203" s="126" t="s">
        <v>7143</v>
      </c>
      <c r="J3203" s="207">
        <v>62704915032</v>
      </c>
      <c r="K3203" s="171"/>
      <c r="L3203" s="62">
        <v>23517914</v>
      </c>
      <c r="M3203" s="30">
        <v>5212216503963</v>
      </c>
      <c r="N3203" s="172" t="s">
        <v>28</v>
      </c>
      <c r="O3203" s="51">
        <v>5904.42</v>
      </c>
      <c r="P3203" s="91"/>
      <c r="Q3203" s="42">
        <f>OfficeForms.Table[[#This Row],[ INFORMEDEPAGO ]]*0.3</f>
        <v>1771.326</v>
      </c>
      <c r="R3203" s="12">
        <f>(IF(O3203&lt;4172.98,0,MIN(O3203*0.3,O3203-4172.98)))-P3203</f>
        <v>1731.4400000000005</v>
      </c>
      <c r="S3203" s="78"/>
      <c r="T3203" s="1"/>
      <c r="V3203" s="1"/>
      <c r="X3203" s="101">
        <v>1</v>
      </c>
    </row>
    <row r="3204" spans="1:24" hidden="1">
      <c r="A3204">
        <v>1618</v>
      </c>
      <c r="B3204" s="2">
        <v>46244.623460648101</v>
      </c>
      <c r="C3204" s="2">
        <v>46244.643553240698</v>
      </c>
      <c r="D3204" s="1" t="s">
        <v>24</v>
      </c>
      <c r="E3204" s="1"/>
      <c r="F3204" s="29">
        <v>46244</v>
      </c>
      <c r="G3204" s="29">
        <v>46244</v>
      </c>
      <c r="H3204" s="1" t="s">
        <v>78</v>
      </c>
      <c r="I3204" s="126" t="s">
        <v>7144</v>
      </c>
      <c r="J3204" s="207">
        <v>43806321725</v>
      </c>
      <c r="K3204" s="171" t="s">
        <v>7145</v>
      </c>
      <c r="L3204" s="62">
        <v>23509530</v>
      </c>
      <c r="M3204" s="30">
        <v>5218129299535</v>
      </c>
      <c r="N3204" s="172" t="s">
        <v>37</v>
      </c>
      <c r="O3204" s="51">
        <v>7890.51</v>
      </c>
      <c r="P3204" s="91">
        <v>2375</v>
      </c>
      <c r="Q3204" s="42">
        <f>OfficeForms.Table[[#This Row],[ INFORMEDEPAGO ]]*0.3</f>
        <v>2367.1529999999998</v>
      </c>
      <c r="R3204" s="12">
        <f>(IF(O3204&lt;4172.98,0,MIN(O3204*0.3,O3204-4172.98)))-P3204</f>
        <v>-7.8470000000002074</v>
      </c>
      <c r="S3204" s="78">
        <v>46874</v>
      </c>
      <c r="T3204" s="1"/>
      <c r="V3204" s="1"/>
      <c r="X3204" s="101">
        <v>2</v>
      </c>
    </row>
    <row r="3205" spans="1:24" hidden="1">
      <c r="A3205">
        <v>1619</v>
      </c>
      <c r="B3205" s="2">
        <v>46244.648923611101</v>
      </c>
      <c r="C3205" s="2">
        <v>46244.649375000001</v>
      </c>
      <c r="D3205" s="1" t="s">
        <v>24</v>
      </c>
      <c r="E3205" s="1"/>
      <c r="F3205" s="29">
        <v>46244</v>
      </c>
      <c r="G3205" s="29">
        <v>46244</v>
      </c>
      <c r="H3205" s="1" t="s">
        <v>269</v>
      </c>
      <c r="I3205" s="126" t="s">
        <v>7146</v>
      </c>
      <c r="J3205" s="207"/>
      <c r="K3205" s="171" t="s">
        <v>7147</v>
      </c>
      <c r="L3205" s="62">
        <v>23505086</v>
      </c>
      <c r="M3205" s="30">
        <v>5219511030797</v>
      </c>
      <c r="N3205" s="172" t="s">
        <v>28</v>
      </c>
      <c r="O3205" s="51">
        <v>5617.63</v>
      </c>
      <c r="P3205" s="91"/>
      <c r="Q3205" s="42">
        <f>OfficeForms.Table[[#This Row],[ INFORMEDEPAGO ]]*0.3</f>
        <v>1685.289</v>
      </c>
      <c r="R3205" s="12">
        <f>(IF(O3205&lt;4172.98,0,MIN(O3205*0.3,O3205-4172.98)))-P3205</f>
        <v>1444.6500000000005</v>
      </c>
      <c r="S3205" s="78"/>
      <c r="T3205" s="1"/>
      <c r="V3205" s="1"/>
      <c r="X3205" s="101">
        <v>1</v>
      </c>
    </row>
    <row r="3206" spans="1:24" hidden="1">
      <c r="A3206">
        <v>1620</v>
      </c>
      <c r="B3206" s="2">
        <v>46244.647256944401</v>
      </c>
      <c r="C3206" s="2">
        <v>46244.651388888902</v>
      </c>
      <c r="D3206" s="1" t="s">
        <v>24</v>
      </c>
      <c r="E3206" s="1"/>
      <c r="F3206" s="29">
        <v>46244</v>
      </c>
      <c r="G3206" s="29">
        <v>46243</v>
      </c>
      <c r="H3206" s="1" t="s">
        <v>78</v>
      </c>
      <c r="I3206" s="126" t="s">
        <v>7148</v>
      </c>
      <c r="J3206" s="207" t="s">
        <v>7149</v>
      </c>
      <c r="K3206" s="171" t="s">
        <v>7150</v>
      </c>
      <c r="L3206" s="62">
        <v>23495788</v>
      </c>
      <c r="M3206" s="30">
        <v>5215651953424</v>
      </c>
      <c r="N3206" s="172" t="s">
        <v>28</v>
      </c>
      <c r="O3206" s="51">
        <v>27563.040000000001</v>
      </c>
      <c r="P3206" s="91">
        <v>2916.08</v>
      </c>
      <c r="Q3206" s="42">
        <f>OfficeForms.Table[[#This Row],[ INFORMEDEPAGO ]]*0.3</f>
        <v>8268.9120000000003</v>
      </c>
      <c r="R3206" s="12">
        <f>(IF(O3206&lt;4172.98,0,MIN(O3206*0.3,O3206-4172.98)))-P3206</f>
        <v>5352.8320000000003</v>
      </c>
      <c r="S3206" s="78">
        <v>46874</v>
      </c>
      <c r="T3206" s="1"/>
      <c r="V3206" s="1"/>
      <c r="X3206" s="101">
        <v>2</v>
      </c>
    </row>
    <row r="3207" spans="1:24" hidden="1">
      <c r="A3207">
        <v>1621</v>
      </c>
      <c r="B3207" s="2">
        <v>46244.651412036997</v>
      </c>
      <c r="C3207" s="2">
        <v>46244.6534606481</v>
      </c>
      <c r="D3207" s="1" t="s">
        <v>24</v>
      </c>
      <c r="E3207" s="1"/>
      <c r="F3207" s="29">
        <v>46244</v>
      </c>
      <c r="G3207" s="29">
        <v>46244</v>
      </c>
      <c r="H3207" s="1" t="s">
        <v>78</v>
      </c>
      <c r="I3207" s="126" t="s">
        <v>7151</v>
      </c>
      <c r="J3207" s="207" t="s">
        <v>7152</v>
      </c>
      <c r="K3207" s="171" t="s">
        <v>7153</v>
      </c>
      <c r="L3207" s="62">
        <v>23507206</v>
      </c>
      <c r="M3207" s="30">
        <v>5215543685910</v>
      </c>
      <c r="N3207" s="172" t="s">
        <v>47</v>
      </c>
      <c r="O3207" s="51">
        <v>4924.91</v>
      </c>
      <c r="P3207" s="91"/>
      <c r="Q3207" s="42">
        <f>OfficeForms.Table[[#This Row],[ INFORMEDEPAGO ]]*0.3</f>
        <v>1477.473</v>
      </c>
      <c r="R3207" s="12">
        <f>(IF(O3207&lt;4172.98,0,MIN(O3207*0.3,O3207-4172.98)))-P3207</f>
        <v>751.93000000000029</v>
      </c>
      <c r="S3207" s="78"/>
      <c r="T3207" s="1"/>
      <c r="V3207" s="1"/>
      <c r="X3207" s="101">
        <v>1</v>
      </c>
    </row>
    <row r="3208" spans="1:24" hidden="1">
      <c r="A3208">
        <v>1622</v>
      </c>
      <c r="B3208" s="2">
        <v>46244.605277777802</v>
      </c>
      <c r="C3208" s="2">
        <v>46244.656643518501</v>
      </c>
      <c r="D3208" s="1" t="s">
        <v>24</v>
      </c>
      <c r="E3208" s="1"/>
      <c r="F3208" s="29">
        <v>46244</v>
      </c>
      <c r="G3208" s="29">
        <v>46244</v>
      </c>
      <c r="H3208" s="1" t="s">
        <v>476</v>
      </c>
      <c r="I3208" s="126" t="s">
        <v>7154</v>
      </c>
      <c r="J3208" s="207"/>
      <c r="K3208" s="171" t="s">
        <v>7155</v>
      </c>
      <c r="L3208" s="62">
        <v>23511530</v>
      </c>
      <c r="M3208" s="30">
        <v>5218712428393</v>
      </c>
      <c r="N3208" s="172" t="s">
        <v>28</v>
      </c>
      <c r="O3208" s="51">
        <v>9081.52</v>
      </c>
      <c r="P3208" s="91"/>
      <c r="Q3208" s="42">
        <f>OfficeForms.Table[[#This Row],[ INFORMEDEPAGO ]]*0.3</f>
        <v>2724.4560000000001</v>
      </c>
      <c r="R3208" s="12">
        <f>(IF(O3208&lt;4172.98,0,MIN(O3208*0.3,O3208-4172.98)))-P3208</f>
        <v>2724.4560000000001</v>
      </c>
      <c r="S3208" s="78"/>
      <c r="T3208" s="1"/>
      <c r="V3208" s="1"/>
      <c r="X3208" s="101">
        <v>1</v>
      </c>
    </row>
    <row r="3209" spans="1:24" hidden="1">
      <c r="A3209">
        <v>1623</v>
      </c>
      <c r="B3209" s="2">
        <v>46244.663715277798</v>
      </c>
      <c r="C3209" s="2">
        <v>46244.665347222202</v>
      </c>
      <c r="D3209" s="1" t="s">
        <v>24</v>
      </c>
      <c r="E3209" s="1"/>
      <c r="F3209" s="29">
        <v>46244</v>
      </c>
      <c r="G3209" s="29">
        <v>46244</v>
      </c>
      <c r="H3209" s="1" t="s">
        <v>5605</v>
      </c>
      <c r="I3209" s="126" t="s">
        <v>7156</v>
      </c>
      <c r="J3209" s="207"/>
      <c r="K3209" s="171" t="s">
        <v>7157</v>
      </c>
      <c r="L3209" s="62">
        <v>23483420</v>
      </c>
      <c r="M3209" s="30">
        <v>9381198998</v>
      </c>
      <c r="N3209" s="172" t="s">
        <v>32</v>
      </c>
      <c r="O3209" s="51">
        <f>3400.46+848</f>
        <v>4248.46</v>
      </c>
      <c r="P3209" s="91">
        <v>848</v>
      </c>
      <c r="Q3209" s="42">
        <f>OfficeForms.Table[[#This Row],[ INFORMEDEPAGO ]]*0.3</f>
        <v>1274.538</v>
      </c>
      <c r="R3209" s="12">
        <f t="shared" ref="R3209:R3211" si="65">(IF(O3209&lt;4172.98,0,MIN(O3209*0.3,O3209-4172.98)))-P3209</f>
        <v>-772.51999999999953</v>
      </c>
      <c r="S3209" s="78"/>
      <c r="T3209" s="1"/>
      <c r="V3209" s="1"/>
      <c r="X3209" s="101">
        <v>1</v>
      </c>
    </row>
    <row r="3210" spans="1:24" hidden="1">
      <c r="A3210">
        <v>1624</v>
      </c>
      <c r="B3210" s="2">
        <v>46244.664490740703</v>
      </c>
      <c r="C3210" s="2">
        <v>46244.666956018496</v>
      </c>
      <c r="D3210" s="1" t="s">
        <v>24</v>
      </c>
      <c r="E3210" s="1"/>
      <c r="F3210" s="29">
        <v>46244</v>
      </c>
      <c r="G3210" s="29">
        <v>46244</v>
      </c>
      <c r="H3210" s="1" t="s">
        <v>110</v>
      </c>
      <c r="I3210" s="126" t="s">
        <v>7158</v>
      </c>
      <c r="J3210" s="207">
        <v>60947607192</v>
      </c>
      <c r="K3210" s="171" t="s">
        <v>7159</v>
      </c>
      <c r="L3210" s="62">
        <v>23517776</v>
      </c>
      <c r="M3210" s="30">
        <v>5218714642814</v>
      </c>
      <c r="N3210" s="172" t="s">
        <v>37</v>
      </c>
      <c r="O3210" s="51">
        <v>6405.06</v>
      </c>
      <c r="P3210" s="91">
        <v>1836.8</v>
      </c>
      <c r="Q3210" s="42">
        <f>OfficeForms.Table[[#This Row],[ INFORMEDEPAGO ]]*0.3</f>
        <v>1921.518</v>
      </c>
      <c r="R3210" s="12">
        <f t="shared" si="65"/>
        <v>84.718000000000075</v>
      </c>
      <c r="S3210" s="78">
        <v>46753</v>
      </c>
      <c r="T3210" s="1" t="s">
        <v>178</v>
      </c>
      <c r="V3210" s="1"/>
      <c r="X3210" s="101">
        <v>2</v>
      </c>
    </row>
    <row r="3211" spans="1:24" hidden="1">
      <c r="A3211">
        <v>1625</v>
      </c>
      <c r="B3211" s="2">
        <v>46244.667083333297</v>
      </c>
      <c r="C3211" s="2">
        <v>46244.667962963002</v>
      </c>
      <c r="D3211" s="1" t="s">
        <v>24</v>
      </c>
      <c r="E3211" s="1"/>
      <c r="F3211" s="29">
        <v>46244</v>
      </c>
      <c r="G3211" s="29">
        <v>46244</v>
      </c>
      <c r="H3211" s="1" t="s">
        <v>110</v>
      </c>
      <c r="I3211" s="126" t="s">
        <v>7160</v>
      </c>
      <c r="J3211" s="207">
        <v>67746407525</v>
      </c>
      <c r="K3211" s="171" t="s">
        <v>7161</v>
      </c>
      <c r="L3211" s="62">
        <v>23518072</v>
      </c>
      <c r="M3211" s="30">
        <v>5212721873197</v>
      </c>
      <c r="N3211" s="172" t="s">
        <v>28</v>
      </c>
      <c r="O3211" s="51">
        <v>9081.51</v>
      </c>
      <c r="P3211" s="91"/>
      <c r="Q3211" s="42">
        <f>OfficeForms.Table[[#This Row],[ INFORMEDEPAGO ]]*0.3</f>
        <v>2724.453</v>
      </c>
      <c r="R3211" s="12">
        <f t="shared" si="65"/>
        <v>2724.453</v>
      </c>
      <c r="S3211" s="78"/>
      <c r="T3211" s="1"/>
      <c r="V3211" s="1"/>
      <c r="X3211" s="101">
        <v>1</v>
      </c>
    </row>
    <row r="3212" spans="1:24" hidden="1">
      <c r="A3212">
        <v>1626</v>
      </c>
      <c r="B3212" s="2">
        <v>46244.664502314801</v>
      </c>
      <c r="C3212" s="2">
        <v>46244.6741203704</v>
      </c>
      <c r="D3212" s="1" t="s">
        <v>24</v>
      </c>
      <c r="E3212" s="1"/>
      <c r="F3212" s="29">
        <v>46244</v>
      </c>
      <c r="G3212" s="29">
        <v>46244</v>
      </c>
      <c r="H3212" s="1" t="s">
        <v>3572</v>
      </c>
      <c r="I3212" s="126" t="s">
        <v>7162</v>
      </c>
      <c r="J3212" s="207">
        <v>24795711373</v>
      </c>
      <c r="K3212" s="171" t="s">
        <v>7163</v>
      </c>
      <c r="L3212" s="62">
        <v>23519006</v>
      </c>
      <c r="M3212" s="30">
        <v>5216622005028</v>
      </c>
      <c r="N3212" s="172" t="s">
        <v>32</v>
      </c>
      <c r="O3212" s="51">
        <v>3977.03</v>
      </c>
      <c r="P3212" s="91">
        <v>848</v>
      </c>
      <c r="Q3212" s="42">
        <f>OfficeForms.Table[[#This Row],[ INFORMEDEPAGO ]]*0.3</f>
        <v>1193.1089999999999</v>
      </c>
      <c r="R3212" s="12">
        <f t="shared" ref="R3212:R3214" si="66">(IF(O3212&lt;4172.98,0,MIN(O3212*0.3,O3212-4172.98)))-P3212</f>
        <v>-848</v>
      </c>
      <c r="S3212" s="78"/>
      <c r="T3212" s="1"/>
      <c r="V3212" s="1"/>
      <c r="X3212" s="101">
        <v>1</v>
      </c>
    </row>
    <row r="3213" spans="1:24" hidden="1">
      <c r="A3213">
        <v>1627</v>
      </c>
      <c r="B3213" s="2">
        <v>46244.676284722198</v>
      </c>
      <c r="C3213" s="2">
        <v>46244.676967592597</v>
      </c>
      <c r="D3213" s="1" t="s">
        <v>24</v>
      </c>
      <c r="E3213" s="1"/>
      <c r="F3213" s="29">
        <v>46244</v>
      </c>
      <c r="G3213" s="29">
        <v>46244</v>
      </c>
      <c r="H3213" s="1" t="s">
        <v>71</v>
      </c>
      <c r="I3213" s="126" t="s">
        <v>7164</v>
      </c>
      <c r="J3213" s="207"/>
      <c r="K3213" s="171" t="s">
        <v>7165</v>
      </c>
      <c r="L3213" s="62">
        <v>23518214</v>
      </c>
      <c r="M3213" s="30">
        <v>3321325248</v>
      </c>
      <c r="N3213" s="172" t="s">
        <v>37</v>
      </c>
      <c r="O3213" s="51">
        <v>6262.86</v>
      </c>
      <c r="P3213" s="91">
        <v>1811.75</v>
      </c>
      <c r="Q3213" s="42">
        <f>OfficeForms.Table[[#This Row],[ INFORMEDEPAGO ]]*0.3</f>
        <v>1878.8579999999997</v>
      </c>
      <c r="R3213" s="12">
        <f t="shared" si="66"/>
        <v>67.10799999999972</v>
      </c>
      <c r="S3213" s="78">
        <v>46327</v>
      </c>
      <c r="T3213" s="1"/>
      <c r="V3213" s="1"/>
      <c r="X3213" s="101">
        <v>2</v>
      </c>
    </row>
    <row r="3214" spans="1:24" hidden="1">
      <c r="A3214">
        <v>1628</v>
      </c>
      <c r="B3214" s="2">
        <v>46244.677893518499</v>
      </c>
      <c r="C3214" s="2">
        <v>46244.678414351903</v>
      </c>
      <c r="D3214" s="1" t="s">
        <v>24</v>
      </c>
      <c r="E3214" s="1"/>
      <c r="F3214" s="29">
        <v>46244</v>
      </c>
      <c r="G3214" s="29">
        <v>46244</v>
      </c>
      <c r="H3214" s="1" t="s">
        <v>1625</v>
      </c>
      <c r="I3214" s="126" t="s">
        <v>7166</v>
      </c>
      <c r="J3214" s="207">
        <v>64816131029</v>
      </c>
      <c r="K3214" s="171" t="s">
        <v>7167</v>
      </c>
      <c r="L3214" s="62">
        <v>2</v>
      </c>
      <c r="M3214" s="30">
        <v>5577561288</v>
      </c>
      <c r="N3214" s="172" t="s">
        <v>74</v>
      </c>
      <c r="P3214" s="91"/>
      <c r="Q3214" s="42">
        <f>OfficeForms.Table[[#This Row],[ INFORMEDEPAGO ]]*0.3</f>
        <v>0</v>
      </c>
      <c r="R3214" s="12">
        <f t="shared" si="66"/>
        <v>0</v>
      </c>
      <c r="S3214" s="78"/>
      <c r="T3214" s="1"/>
      <c r="V3214" s="1"/>
      <c r="X3214" s="101">
        <v>1</v>
      </c>
    </row>
    <row r="3215" spans="1:24" hidden="1">
      <c r="A3215">
        <v>1629</v>
      </c>
      <c r="B3215" s="2">
        <v>46244.682002314803</v>
      </c>
      <c r="C3215" s="2">
        <v>46244.682858796303</v>
      </c>
      <c r="D3215" s="1" t="s">
        <v>24</v>
      </c>
      <c r="E3215" s="1"/>
      <c r="F3215" s="29">
        <v>46244</v>
      </c>
      <c r="G3215" s="29">
        <v>46242</v>
      </c>
      <c r="H3215" s="1" t="s">
        <v>5033</v>
      </c>
      <c r="I3215" s="126" t="s">
        <v>7168</v>
      </c>
      <c r="J3215" s="207"/>
      <c r="K3215" s="171" t="s">
        <v>7169</v>
      </c>
      <c r="L3215" s="62">
        <v>23480872</v>
      </c>
      <c r="M3215" s="30">
        <v>5214171209853</v>
      </c>
      <c r="N3215" s="172" t="s">
        <v>28</v>
      </c>
      <c r="O3215" s="51">
        <v>8539.89</v>
      </c>
      <c r="P3215" s="91"/>
      <c r="Q3215" s="42">
        <f>OfficeForms.Table[[#This Row],[ INFORMEDEPAGO ]]*0.3</f>
        <v>2561.9669999999996</v>
      </c>
      <c r="R3215" s="12">
        <f t="shared" ref="R3215:R3217" si="67">(IF(O3215&lt;4172.98,0,MIN(O3215*0.3,O3215-4172.98)))-P3215</f>
        <v>2561.9669999999996</v>
      </c>
      <c r="S3215" s="78"/>
      <c r="T3215" s="1"/>
      <c r="V3215" s="1"/>
      <c r="X3215" s="101">
        <v>1</v>
      </c>
    </row>
    <row r="3216" spans="1:24" hidden="1">
      <c r="A3216">
        <v>1630</v>
      </c>
      <c r="B3216" s="2">
        <v>46244.681192129603</v>
      </c>
      <c r="C3216" s="2">
        <v>46244.683553240699</v>
      </c>
      <c r="D3216" s="1" t="s">
        <v>24</v>
      </c>
      <c r="E3216" s="1"/>
      <c r="F3216" s="29">
        <v>46244</v>
      </c>
      <c r="G3216" s="29">
        <v>46244</v>
      </c>
      <c r="H3216" s="1" t="s">
        <v>78</v>
      </c>
      <c r="I3216" s="126" t="s">
        <v>7170</v>
      </c>
      <c r="J3216" s="207"/>
      <c r="K3216" s="171" t="s">
        <v>7171</v>
      </c>
      <c r="L3216" s="62">
        <v>23505618</v>
      </c>
      <c r="M3216" s="30" t="s">
        <v>7172</v>
      </c>
      <c r="N3216" s="172" t="s">
        <v>37</v>
      </c>
      <c r="O3216" s="51">
        <v>9421.18</v>
      </c>
      <c r="P3216" s="91">
        <v>2823.33</v>
      </c>
      <c r="Q3216" s="42">
        <f>OfficeForms.Table[[#This Row],[ INFORMEDEPAGO ]]*0.3</f>
        <v>2826.3539999999998</v>
      </c>
      <c r="R3216" s="12">
        <f t="shared" si="67"/>
        <v>3.0239999999998872</v>
      </c>
      <c r="S3216" s="78">
        <v>46327</v>
      </c>
      <c r="T3216" s="1"/>
      <c r="V3216" s="1"/>
      <c r="X3216" s="101">
        <v>2</v>
      </c>
    </row>
    <row r="3217" spans="1:24" hidden="1">
      <c r="A3217">
        <v>1631</v>
      </c>
      <c r="B3217" s="2">
        <v>46244.678437499999</v>
      </c>
      <c r="C3217" s="2">
        <v>46244.683564814797</v>
      </c>
      <c r="D3217" s="1" t="s">
        <v>24</v>
      </c>
      <c r="E3217" s="1"/>
      <c r="F3217" s="29">
        <v>46244</v>
      </c>
      <c r="G3217" s="29">
        <v>46244</v>
      </c>
      <c r="H3217" s="1" t="s">
        <v>1625</v>
      </c>
      <c r="I3217" s="126" t="s">
        <v>7173</v>
      </c>
      <c r="J3217" s="207">
        <v>14937624105</v>
      </c>
      <c r="K3217" s="171" t="s">
        <v>7174</v>
      </c>
      <c r="L3217" s="62">
        <v>2</v>
      </c>
      <c r="M3217" s="30">
        <v>3339529192</v>
      </c>
      <c r="N3217" s="172" t="s">
        <v>74</v>
      </c>
      <c r="P3217" s="91"/>
      <c r="Q3217" s="42">
        <f>OfficeForms.Table[[#This Row],[ INFORMEDEPAGO ]]*0.3</f>
        <v>0</v>
      </c>
      <c r="R3217" s="12">
        <f t="shared" si="67"/>
        <v>0</v>
      </c>
      <c r="S3217" s="78"/>
      <c r="T3217" s="1"/>
      <c r="V3217" s="1"/>
      <c r="X3217" s="101">
        <v>1</v>
      </c>
    </row>
    <row r="3218" spans="1:24" hidden="1">
      <c r="A3218">
        <v>1632</v>
      </c>
      <c r="B3218" s="2">
        <v>46244.615231481497</v>
      </c>
      <c r="C3218" s="2">
        <v>46244.688692129603</v>
      </c>
      <c r="D3218" s="1" t="s">
        <v>24</v>
      </c>
      <c r="E3218" s="1"/>
      <c r="F3218" s="29">
        <v>46244</v>
      </c>
      <c r="G3218" s="29">
        <v>46244</v>
      </c>
      <c r="H3218" s="1" t="s">
        <v>3352</v>
      </c>
      <c r="I3218" s="126" t="s">
        <v>7175</v>
      </c>
      <c r="J3218" s="207">
        <v>49816446469</v>
      </c>
      <c r="K3218" s="171"/>
      <c r="L3218" s="62">
        <v>23519906</v>
      </c>
      <c r="M3218" s="30">
        <v>8331823900</v>
      </c>
      <c r="N3218" s="172" t="s">
        <v>74</v>
      </c>
      <c r="P3218" s="91"/>
      <c r="Q3218" s="42">
        <f>OfficeForms.Table[[#This Row],[ INFORMEDEPAGO ]]*0.3</f>
        <v>0</v>
      </c>
      <c r="R3218" s="12">
        <f>(IF(O3218&lt;4172.98,0,MIN(O3218*0.3,O3218-4172.98)))-P3218</f>
        <v>0</v>
      </c>
      <c r="S3218" s="78"/>
      <c r="T3218" s="1"/>
      <c r="V3218" s="1"/>
      <c r="X3218" s="101">
        <v>1</v>
      </c>
    </row>
    <row r="3219" spans="1:24" hidden="1">
      <c r="A3219">
        <v>1633</v>
      </c>
      <c r="B3219" s="2">
        <v>46244.687939814801</v>
      </c>
      <c r="C3219" s="2">
        <v>46244.689004629603</v>
      </c>
      <c r="D3219" s="1" t="s">
        <v>24</v>
      </c>
      <c r="E3219" s="1"/>
      <c r="F3219" s="29">
        <v>46244</v>
      </c>
      <c r="G3219" s="29">
        <v>46243</v>
      </c>
      <c r="H3219" s="1" t="s">
        <v>5033</v>
      </c>
      <c r="I3219" s="126" t="s">
        <v>7176</v>
      </c>
      <c r="J3219" s="207"/>
      <c r="K3219" s="171" t="s">
        <v>7177</v>
      </c>
      <c r="L3219" s="62">
        <v>23484598</v>
      </c>
      <c r="M3219" s="30">
        <v>5218717978800</v>
      </c>
      <c r="N3219" s="172" t="s">
        <v>47</v>
      </c>
      <c r="O3219" s="51">
        <v>6262.86</v>
      </c>
      <c r="P3219" s="91">
        <v>848</v>
      </c>
      <c r="Q3219" s="42">
        <f>OfficeForms.Table[[#This Row],[ INFORMEDEPAGO ]]*0.3</f>
        <v>1878.8579999999997</v>
      </c>
      <c r="R3219" s="12">
        <f>(IF(O3219&lt;4172.98,0,MIN(O3219*0.3,O3219-4172.98)))-P3219</f>
        <v>1030.8579999999997</v>
      </c>
      <c r="S3219" s="78"/>
      <c r="T3219" s="1"/>
      <c r="V3219" s="1"/>
      <c r="X3219" s="101">
        <v>1</v>
      </c>
    </row>
    <row r="3220" spans="1:24" hidden="1">
      <c r="A3220">
        <v>1634</v>
      </c>
      <c r="B3220" s="2">
        <v>46244.688321759299</v>
      </c>
      <c r="C3220" s="2">
        <v>46244.690335648098</v>
      </c>
      <c r="D3220" s="1" t="s">
        <v>24</v>
      </c>
      <c r="E3220" s="1"/>
      <c r="F3220" s="29">
        <v>46244</v>
      </c>
      <c r="G3220" s="29">
        <v>46244</v>
      </c>
      <c r="H3220" s="1" t="s">
        <v>71</v>
      </c>
      <c r="I3220" s="126" t="s">
        <v>7178</v>
      </c>
      <c r="J3220" s="207" t="s">
        <v>7179</v>
      </c>
      <c r="K3220" s="171" t="s">
        <v>7180</v>
      </c>
      <c r="L3220" s="62">
        <v>23510734</v>
      </c>
      <c r="M3220" s="30">
        <v>8661509709</v>
      </c>
      <c r="N3220" s="172" t="s">
        <v>32</v>
      </c>
      <c r="O3220" s="51">
        <v>3599.26</v>
      </c>
      <c r="P3220" s="91">
        <v>879</v>
      </c>
      <c r="Q3220" s="42">
        <f>OfficeForms.Table[[#This Row],[ INFORMEDEPAGO ]]*0.3</f>
        <v>1079.778</v>
      </c>
      <c r="R3220" s="12">
        <f>(IF(O3220&lt;4172.98,0,MIN(O3220*0.3,O3220-4172.98)))-P3220</f>
        <v>-879</v>
      </c>
      <c r="S3220" s="78"/>
      <c r="T3220" s="1"/>
      <c r="V3220" s="1"/>
      <c r="X3220" s="101">
        <v>1</v>
      </c>
    </row>
    <row r="3221" spans="1:24" hidden="1">
      <c r="A3221">
        <v>1635</v>
      </c>
      <c r="B3221" s="2">
        <v>46244.525625000002</v>
      </c>
      <c r="C3221" s="2">
        <v>46244.6937847222</v>
      </c>
      <c r="D3221" s="1" t="s">
        <v>24</v>
      </c>
      <c r="E3221" s="1"/>
      <c r="F3221" s="29">
        <v>46244</v>
      </c>
      <c r="G3221" s="29">
        <v>46244</v>
      </c>
      <c r="H3221" s="1" t="s">
        <v>51</v>
      </c>
      <c r="I3221" s="126" t="s">
        <v>7181</v>
      </c>
      <c r="J3221" s="207">
        <v>49846439229</v>
      </c>
      <c r="K3221" s="171" t="s">
        <v>7182</v>
      </c>
      <c r="L3221" s="62">
        <v>23509316</v>
      </c>
      <c r="M3221" s="30">
        <v>5218991262740</v>
      </c>
      <c r="N3221" s="172" t="s">
        <v>37</v>
      </c>
      <c r="O3221" s="51">
        <v>19821.45</v>
      </c>
      <c r="P3221" s="91">
        <v>5723.32</v>
      </c>
      <c r="Q3221" s="42">
        <f>OfficeForms.Table[[#This Row],[ INFORMEDEPAGO ]]*0.3</f>
        <v>5946.4350000000004</v>
      </c>
      <c r="R3221" s="12">
        <f>(IF(O3221&lt;4172.98,0,MIN(O3221*0.3,O3221-4172.98)))-P3221</f>
        <v>223.11500000000069</v>
      </c>
      <c r="S3221" s="78">
        <v>46966</v>
      </c>
      <c r="T3221" s="1" t="s">
        <v>192</v>
      </c>
      <c r="V3221" s="1"/>
      <c r="X3221" s="101">
        <v>2</v>
      </c>
    </row>
    <row r="3222" spans="1:24" hidden="1">
      <c r="A3222">
        <v>1636</v>
      </c>
      <c r="B3222" s="2">
        <v>46244.6974305556</v>
      </c>
      <c r="C3222" s="2">
        <v>46244.7015972222</v>
      </c>
      <c r="D3222" s="1" t="s">
        <v>24</v>
      </c>
      <c r="E3222" s="1"/>
      <c r="F3222" s="29">
        <v>46244</v>
      </c>
      <c r="G3222" s="29">
        <v>46244</v>
      </c>
      <c r="H3222" s="1" t="s">
        <v>78</v>
      </c>
      <c r="I3222" s="126" t="s">
        <v>7183</v>
      </c>
      <c r="J3222" s="207" t="s">
        <v>7184</v>
      </c>
      <c r="K3222" s="171" t="s">
        <v>7185</v>
      </c>
      <c r="L3222" s="62">
        <v>23507564</v>
      </c>
      <c r="M3222" s="30">
        <v>5215538039028</v>
      </c>
      <c r="N3222" s="172" t="s">
        <v>37</v>
      </c>
      <c r="O3222" s="51">
        <v>7890.51</v>
      </c>
      <c r="P3222" s="91">
        <v>2374.17</v>
      </c>
      <c r="Q3222" s="42">
        <f>OfficeForms.Table[[#This Row],[ INFORMEDEPAGO ]]*0.3</f>
        <v>2367.1529999999998</v>
      </c>
      <c r="R3222" s="12">
        <f>(IF(O3222&lt;4172.98,0,MIN(O3222*0.3,O3222-4172.98)))-P3222</f>
        <v>-7.0170000000002801</v>
      </c>
      <c r="S3222" s="78">
        <v>46722</v>
      </c>
      <c r="T3222" s="1"/>
      <c r="V3222" s="1"/>
      <c r="X3222" s="101">
        <v>2</v>
      </c>
    </row>
    <row r="3223" spans="1:24" hidden="1">
      <c r="A3223">
        <v>1637</v>
      </c>
      <c r="B3223" s="2">
        <v>46243.600636574098</v>
      </c>
      <c r="C3223" s="2">
        <v>46244.710023148102</v>
      </c>
      <c r="D3223" s="1" t="s">
        <v>24</v>
      </c>
      <c r="E3223" s="1"/>
      <c r="F3223" s="29">
        <v>46244</v>
      </c>
      <c r="G3223" s="29">
        <v>46243</v>
      </c>
      <c r="H3223" s="1" t="s">
        <v>103</v>
      </c>
      <c r="I3223" s="126" t="s">
        <v>219</v>
      </c>
      <c r="J3223" s="207" t="s">
        <v>7186</v>
      </c>
      <c r="K3223" s="171"/>
      <c r="L3223" s="62">
        <v>1</v>
      </c>
      <c r="M3223" s="30">
        <v>6449973333</v>
      </c>
      <c r="N3223" s="172" t="s">
        <v>74</v>
      </c>
      <c r="P3223" s="91"/>
      <c r="Q3223" s="42">
        <f>OfficeForms.Table[[#This Row],[ INFORMEDEPAGO ]]*0.3</f>
        <v>0</v>
      </c>
      <c r="R3223" s="12">
        <f t="shared" ref="R3223:R3224" si="68">(IF(O3223&lt;4172.98,0,MIN(O3223*0.3,O3223-4172.98)))-P3223</f>
        <v>0</v>
      </c>
      <c r="S3223" s="78"/>
      <c r="T3223" s="1"/>
      <c r="V3223" s="1"/>
      <c r="X3223" s="101">
        <v>1</v>
      </c>
    </row>
    <row r="3224" spans="1:24" hidden="1">
      <c r="A3224">
        <v>1638</v>
      </c>
      <c r="B3224" s="2">
        <v>46244.688969907402</v>
      </c>
      <c r="C3224" s="2">
        <v>46244.711493055598</v>
      </c>
      <c r="D3224" s="1" t="s">
        <v>24</v>
      </c>
      <c r="E3224" s="1"/>
      <c r="F3224" s="29">
        <v>46244</v>
      </c>
      <c r="G3224" s="29">
        <v>46244</v>
      </c>
      <c r="H3224" s="1" t="s">
        <v>26</v>
      </c>
      <c r="I3224" s="126" t="s">
        <v>7187</v>
      </c>
      <c r="J3224" s="207">
        <v>24957827355</v>
      </c>
      <c r="K3224" s="171" t="s">
        <v>7188</v>
      </c>
      <c r="L3224" s="62">
        <v>23520476</v>
      </c>
      <c r="M3224" s="30">
        <v>5216444800392</v>
      </c>
      <c r="N3224" s="172" t="s">
        <v>98</v>
      </c>
      <c r="P3224" s="91"/>
      <c r="Q3224" s="42">
        <f>OfficeForms.Table[[#This Row],[ INFORMEDEPAGO ]]*0.3</f>
        <v>0</v>
      </c>
      <c r="R3224" s="12">
        <f t="shared" si="68"/>
        <v>0</v>
      </c>
      <c r="S3224" s="78"/>
      <c r="T3224" s="1"/>
      <c r="V3224" s="1"/>
      <c r="X3224" s="101">
        <v>0</v>
      </c>
    </row>
    <row r="3225" spans="1:24" hidden="1">
      <c r="A3225">
        <v>1639</v>
      </c>
      <c r="B3225" s="2">
        <v>46244.717824074098</v>
      </c>
      <c r="C3225" s="2">
        <v>46244.720428240696</v>
      </c>
      <c r="D3225" s="1" t="s">
        <v>24</v>
      </c>
      <c r="E3225" s="1"/>
      <c r="F3225" s="29">
        <v>46244</v>
      </c>
      <c r="G3225" s="29">
        <v>46244</v>
      </c>
      <c r="H3225" s="1" t="s">
        <v>51</v>
      </c>
      <c r="I3225" s="126" t="s">
        <v>7189</v>
      </c>
      <c r="J3225" s="207">
        <v>1376610146</v>
      </c>
      <c r="K3225" s="171" t="s">
        <v>7190</v>
      </c>
      <c r="L3225" s="62">
        <v>23507880</v>
      </c>
      <c r="M3225" s="30">
        <v>23507880</v>
      </c>
      <c r="N3225" s="172" t="s">
        <v>37</v>
      </c>
      <c r="O3225" s="51">
        <v>6261.98</v>
      </c>
      <c r="P3225" s="91">
        <v>1877.58</v>
      </c>
      <c r="Q3225" s="42">
        <f>OfficeForms.Table[[#This Row],[ INFORMEDEPAGO ]]*0.3</f>
        <v>1878.5939999999998</v>
      </c>
      <c r="R3225" s="12">
        <f t="shared" ref="R3225:R3226" si="69">(IF(O3225&lt;4172.98,0,MIN(O3225*0.3,O3225-4172.98)))-P3225</f>
        <v>1.0139999999998963</v>
      </c>
      <c r="S3225" s="78">
        <v>46266</v>
      </c>
      <c r="T3225" s="1"/>
      <c r="V3225" s="1"/>
      <c r="X3225" s="101">
        <v>2</v>
      </c>
    </row>
    <row r="3226" spans="1:24" hidden="1">
      <c r="A3226">
        <v>1640</v>
      </c>
      <c r="B3226" s="2">
        <v>46244.710729166698</v>
      </c>
      <c r="C3226" s="2">
        <v>46244.7211342593</v>
      </c>
      <c r="D3226" s="1" t="s">
        <v>24</v>
      </c>
      <c r="E3226" s="1"/>
      <c r="F3226" s="29">
        <v>46244</v>
      </c>
      <c r="G3226" s="29">
        <v>46236</v>
      </c>
      <c r="H3226" s="1" t="s">
        <v>78</v>
      </c>
      <c r="I3226" s="126" t="s">
        <v>367</v>
      </c>
      <c r="J3226" s="207">
        <v>4385656631</v>
      </c>
      <c r="K3226" s="171" t="s">
        <v>368</v>
      </c>
      <c r="L3226" s="62">
        <v>22256036</v>
      </c>
      <c r="M3226" s="30">
        <v>5218130521398</v>
      </c>
      <c r="N3226" s="172" t="s">
        <v>37</v>
      </c>
      <c r="O3226" s="51">
        <v>10283.969999999999</v>
      </c>
      <c r="P3226" s="91">
        <v>2968</v>
      </c>
      <c r="Q3226" s="42">
        <f>OfficeForms.Table[[#This Row],[ INFORMEDEPAGO ]]*0.3</f>
        <v>3085.1909999999998</v>
      </c>
      <c r="R3226" s="12">
        <f t="shared" si="69"/>
        <v>117.1909999999998</v>
      </c>
      <c r="S3226" s="78">
        <v>46631</v>
      </c>
      <c r="T3226" s="1"/>
      <c r="V3226" s="1"/>
      <c r="X3226" s="101">
        <v>2</v>
      </c>
    </row>
    <row r="3227" spans="1:24" hidden="1">
      <c r="A3227">
        <v>1641</v>
      </c>
      <c r="B3227" s="2">
        <v>46244.720462963</v>
      </c>
      <c r="C3227" s="2">
        <v>46244.727037037002</v>
      </c>
      <c r="D3227" s="1" t="s">
        <v>24</v>
      </c>
      <c r="E3227" s="1"/>
      <c r="F3227" s="29">
        <v>46244</v>
      </c>
      <c r="G3227" s="29">
        <v>46244</v>
      </c>
      <c r="H3227" s="1" t="s">
        <v>51</v>
      </c>
      <c r="I3227" s="126" t="s">
        <v>7191</v>
      </c>
      <c r="J3227" s="207">
        <v>84624711036</v>
      </c>
      <c r="K3227" s="171" t="s">
        <v>7192</v>
      </c>
      <c r="L3227" s="62">
        <v>23503654</v>
      </c>
      <c r="M3227" s="30">
        <v>5219992430942</v>
      </c>
      <c r="N3227" s="172" t="s">
        <v>37</v>
      </c>
      <c r="O3227" s="51">
        <v>8173.37</v>
      </c>
      <c r="P3227" s="91">
        <v>2268.5300000000002</v>
      </c>
      <c r="Q3227" s="42">
        <f>OfficeForms.Table[[#This Row],[ INFORMEDEPAGO ]]*0.3</f>
        <v>2452.011</v>
      </c>
      <c r="R3227" s="12">
        <f t="shared" ref="R3227:R3228" si="70">(IF(O3227&lt;4172.98,0,MIN(O3227*0.3,O3227-4172.98)))-P3227</f>
        <v>183.48099999999977</v>
      </c>
      <c r="S3227" s="78">
        <v>46388</v>
      </c>
      <c r="T3227" s="1" t="s">
        <v>192</v>
      </c>
      <c r="V3227" s="1"/>
      <c r="X3227" s="101">
        <v>2</v>
      </c>
    </row>
    <row r="3228" spans="1:24" hidden="1">
      <c r="A3228">
        <v>1642</v>
      </c>
      <c r="B3228" s="2">
        <v>46244.683587963002</v>
      </c>
      <c r="C3228" s="2">
        <v>46244.729340277801</v>
      </c>
      <c r="D3228" s="1" t="s">
        <v>24</v>
      </c>
      <c r="E3228" s="1"/>
      <c r="F3228" s="29">
        <v>46244</v>
      </c>
      <c r="G3228" s="29">
        <v>46244</v>
      </c>
      <c r="H3228" s="1" t="s">
        <v>1625</v>
      </c>
      <c r="I3228" s="126" t="s">
        <v>7193</v>
      </c>
      <c r="J3228" s="207">
        <v>10846447430</v>
      </c>
      <c r="K3228" s="171" t="s">
        <v>7194</v>
      </c>
      <c r="L3228" s="62">
        <v>2</v>
      </c>
      <c r="M3228" s="30">
        <v>5611792091</v>
      </c>
      <c r="N3228" s="172" t="s">
        <v>37</v>
      </c>
      <c r="O3228" s="51">
        <v>9081.52</v>
      </c>
      <c r="P3228" s="91">
        <v>2724.46</v>
      </c>
      <c r="Q3228" s="42">
        <f>OfficeForms.Table[[#This Row],[ INFORMEDEPAGO ]]*0.3</f>
        <v>2724.4560000000001</v>
      </c>
      <c r="R3228" s="12">
        <f t="shared" si="70"/>
        <v>-3.9999999999054126E-3</v>
      </c>
      <c r="S3228" s="78">
        <v>46753</v>
      </c>
      <c r="T3228" s="1" t="s">
        <v>84</v>
      </c>
      <c r="V3228" s="1"/>
      <c r="X3228" s="101">
        <v>2</v>
      </c>
    </row>
    <row r="3229" spans="1:24" hidden="1">
      <c r="A3229">
        <v>1643</v>
      </c>
      <c r="B3229" s="2">
        <v>46244.737638888902</v>
      </c>
      <c r="C3229" s="2">
        <v>46244.7393981481</v>
      </c>
      <c r="D3229" s="1" t="s">
        <v>24</v>
      </c>
      <c r="E3229" s="1"/>
      <c r="F3229" s="29">
        <v>46244</v>
      </c>
      <c r="G3229" s="29">
        <v>46244</v>
      </c>
      <c r="H3229" s="1" t="s">
        <v>269</v>
      </c>
      <c r="I3229" s="126" t="s">
        <v>7195</v>
      </c>
      <c r="J3229" s="175" t="s">
        <v>7196</v>
      </c>
      <c r="K3229" s="171" t="s">
        <v>7197</v>
      </c>
      <c r="L3229" s="62">
        <v>23507912</v>
      </c>
      <c r="M3229" s="30">
        <v>5218661128650</v>
      </c>
      <c r="N3229" s="172" t="s">
        <v>32</v>
      </c>
      <c r="O3229" s="51">
        <v>3914.69</v>
      </c>
      <c r="P3229" s="91"/>
      <c r="Q3229" s="42">
        <f>OfficeForms.Table[[#This Row],[ INFORMEDEPAGO ]]*0.3</f>
        <v>1174.4069999999999</v>
      </c>
      <c r="R3229" s="12">
        <f>(IF(O3229&lt;4172.98,0,MIN(O3229*0.3,O3229-4172.98)))-P3229</f>
        <v>0</v>
      </c>
      <c r="S3229" s="78"/>
      <c r="T3229" s="1"/>
      <c r="V3229" s="1"/>
      <c r="X3229" s="101">
        <v>1</v>
      </c>
    </row>
    <row r="3230" spans="1:24" hidden="1">
      <c r="A3230">
        <v>1644</v>
      </c>
      <c r="B3230" s="2">
        <v>46244.729583333297</v>
      </c>
      <c r="C3230" s="2">
        <v>46244.748090277797</v>
      </c>
      <c r="D3230" s="1" t="s">
        <v>24</v>
      </c>
      <c r="E3230" s="1"/>
      <c r="F3230" s="29">
        <v>46244</v>
      </c>
      <c r="G3230" s="29">
        <v>46244</v>
      </c>
      <c r="H3230" s="1" t="s">
        <v>1625</v>
      </c>
      <c r="I3230" s="126" t="s">
        <v>7198</v>
      </c>
      <c r="J3230" s="175" t="s">
        <v>7199</v>
      </c>
      <c r="K3230" s="171" t="s">
        <v>7200</v>
      </c>
      <c r="L3230" s="62">
        <v>2</v>
      </c>
      <c r="M3230" s="30">
        <v>5515012093</v>
      </c>
      <c r="N3230" s="172" t="s">
        <v>37</v>
      </c>
      <c r="O3230" s="51">
        <v>9760.32</v>
      </c>
      <c r="P3230" s="91">
        <v>2928.1</v>
      </c>
      <c r="Q3230" s="42">
        <f>OfficeForms.Table[[#This Row],[ INFORMEDEPAGO ]]*0.3</f>
        <v>2928.096</v>
      </c>
      <c r="R3230" s="12">
        <f>(IF(O3230&lt;4172.98,0,MIN(O3230*0.3,O3230-4172.98)))-P3230</f>
        <v>-3.9999999999054126E-3</v>
      </c>
      <c r="S3230" s="78">
        <v>46844</v>
      </c>
      <c r="T3230" s="1"/>
      <c r="V3230" s="1"/>
      <c r="X3230" s="101">
        <v>2</v>
      </c>
    </row>
    <row r="3231" spans="1:24" hidden="1">
      <c r="A3231">
        <v>1645</v>
      </c>
      <c r="B3231" s="2">
        <v>46244.767314814802</v>
      </c>
      <c r="C3231" s="2">
        <v>46244.768449074101</v>
      </c>
      <c r="D3231" s="1" t="s">
        <v>24</v>
      </c>
      <c r="E3231" s="1"/>
      <c r="F3231" s="29">
        <v>46244</v>
      </c>
      <c r="G3231" s="29">
        <v>46244</v>
      </c>
      <c r="H3231" s="1" t="s">
        <v>90</v>
      </c>
      <c r="I3231" s="126" t="s">
        <v>7201</v>
      </c>
      <c r="J3231" s="175">
        <v>24633613807</v>
      </c>
      <c r="K3231" s="171"/>
      <c r="L3231" s="62">
        <v>1</v>
      </c>
      <c r="M3231" s="105">
        <v>24633613807</v>
      </c>
      <c r="N3231" s="172" t="s">
        <v>37</v>
      </c>
      <c r="O3231" s="51">
        <v>5077.9799999999996</v>
      </c>
      <c r="P3231" s="91">
        <v>1322</v>
      </c>
      <c r="Q3231" s="42">
        <f>OfficeForms.Table[[#This Row],[ INFORMEDEPAGO ]]*0.3</f>
        <v>1523.3939999999998</v>
      </c>
      <c r="R3231" s="12">
        <f>(IF(O3231&lt;4172.98,0,MIN(O3231*0.3,O3231-4172.98)))-P3231</f>
        <v>-417</v>
      </c>
      <c r="S3231" s="78">
        <v>46784</v>
      </c>
      <c r="T3231" s="1"/>
      <c r="V3231" s="1"/>
      <c r="X3231" s="101">
        <v>2</v>
      </c>
    </row>
    <row r="3232" spans="1:24" hidden="1">
      <c r="A3232">
        <v>1646</v>
      </c>
      <c r="B3232" s="2">
        <v>46244.787951388898</v>
      </c>
      <c r="C3232" s="2">
        <v>46244.788692129601</v>
      </c>
      <c r="D3232" s="1" t="s">
        <v>24</v>
      </c>
      <c r="E3232" s="1"/>
      <c r="F3232" s="29">
        <v>46244</v>
      </c>
      <c r="G3232" s="29">
        <v>46244</v>
      </c>
      <c r="H3232" s="1" t="s">
        <v>26</v>
      </c>
      <c r="I3232" s="126" t="s">
        <v>7202</v>
      </c>
      <c r="J3232" s="175" t="s">
        <v>7203</v>
      </c>
      <c r="K3232" s="171" t="s">
        <v>7204</v>
      </c>
      <c r="L3232" s="62">
        <v>23523750</v>
      </c>
      <c r="M3232" s="30">
        <v>5217227852352</v>
      </c>
      <c r="N3232" s="172" t="s">
        <v>130</v>
      </c>
      <c r="O3232" s="51">
        <v>39324.42</v>
      </c>
      <c r="P3232" s="91">
        <v>11377.41</v>
      </c>
      <c r="Q3232" s="42">
        <f>OfficeForms.Table[[#This Row],[ INFORMEDEPAGO ]]*0.3</f>
        <v>11797.325999999999</v>
      </c>
      <c r="R3232" s="12">
        <f>(IF(O3232&lt;4172.98,0,MIN(O3232*0.3,O3232-4172.98)))-P3232</f>
        <v>419.91599999999926</v>
      </c>
      <c r="S3232" s="78">
        <v>46082</v>
      </c>
      <c r="T3232" s="1"/>
      <c r="V3232" s="1"/>
      <c r="X3232" s="101">
        <v>2</v>
      </c>
    </row>
    <row r="3233" spans="1:24" hidden="1">
      <c r="A3233">
        <v>1647</v>
      </c>
      <c r="B3233" s="2">
        <v>46244.789814814802</v>
      </c>
      <c r="C3233" s="2">
        <v>46244.790335648097</v>
      </c>
      <c r="D3233" s="1" t="s">
        <v>24</v>
      </c>
      <c r="E3233" s="1"/>
      <c r="F3233" s="29">
        <v>46244</v>
      </c>
      <c r="G3233" s="29">
        <v>46244</v>
      </c>
      <c r="H3233" s="1" t="s">
        <v>26</v>
      </c>
      <c r="I3233" s="126" t="s">
        <v>7205</v>
      </c>
      <c r="J3233" s="175"/>
      <c r="K3233" s="171" t="s">
        <v>7206</v>
      </c>
      <c r="L3233" s="62">
        <v>23521162</v>
      </c>
      <c r="M3233" s="30">
        <v>5214622567233</v>
      </c>
      <c r="N3233" s="172" t="s">
        <v>37</v>
      </c>
      <c r="O3233" s="51">
        <v>6411.47</v>
      </c>
      <c r="P3233" s="91">
        <v>1846.61</v>
      </c>
      <c r="Q3233" s="42">
        <f>OfficeForms.Table[[#This Row],[ INFORMEDEPAGO ]]*0.3</f>
        <v>1923.441</v>
      </c>
      <c r="R3233" s="12">
        <f>(IF(O3233&lt;4172.98,0,MIN(O3233*0.3,O3233-4172.98)))-P3233</f>
        <v>76.831000000000131</v>
      </c>
      <c r="S3233" s="78">
        <v>46722</v>
      </c>
      <c r="T3233" s="1"/>
      <c r="V3233" s="1"/>
      <c r="X3233" s="101">
        <v>2</v>
      </c>
    </row>
    <row r="3234" spans="1:24" hidden="1">
      <c r="A3234">
        <v>1648</v>
      </c>
      <c r="B3234" s="2">
        <v>46244.792314814797</v>
      </c>
      <c r="C3234" s="2">
        <v>46244.794062499997</v>
      </c>
      <c r="D3234" s="1" t="s">
        <v>24</v>
      </c>
      <c r="E3234" s="1"/>
      <c r="F3234" s="29">
        <v>46244</v>
      </c>
      <c r="G3234" s="29">
        <v>46244</v>
      </c>
      <c r="H3234" s="1" t="s">
        <v>110</v>
      </c>
      <c r="I3234" s="126" t="s">
        <v>7207</v>
      </c>
      <c r="J3234" s="175"/>
      <c r="K3234" s="171" t="s">
        <v>7208</v>
      </c>
      <c r="L3234" s="62">
        <v>23408570</v>
      </c>
      <c r="M3234" s="30">
        <v>5218682327285</v>
      </c>
      <c r="N3234" s="172" t="s">
        <v>37</v>
      </c>
      <c r="O3234" s="51">
        <f>6225.97+543+707+1415</f>
        <v>8890.9700000000012</v>
      </c>
      <c r="P3234" s="91">
        <f>543+707+1415</f>
        <v>2665</v>
      </c>
      <c r="Q3234" s="42">
        <f>OfficeForms.Table[[#This Row],[ INFORMEDEPAGO ]]*0.3</f>
        <v>2667.2910000000002</v>
      </c>
      <c r="R3234" s="12">
        <f>(IF(O3234&lt;4172.98,0,MIN(O3234*0.3,O3234-4172.98)))-P3234</f>
        <v>2.2910000000001673</v>
      </c>
      <c r="S3234" s="78">
        <v>46784</v>
      </c>
      <c r="T3234" s="1" t="s">
        <v>7209</v>
      </c>
      <c r="V3234" s="1"/>
      <c r="X3234" s="101">
        <v>2</v>
      </c>
    </row>
    <row r="3235" spans="1:24" hidden="1">
      <c r="A3235">
        <v>1649</v>
      </c>
      <c r="B3235" s="2">
        <v>46244.8053587963</v>
      </c>
      <c r="C3235" s="2">
        <v>46244.805601851898</v>
      </c>
      <c r="D3235" s="1" t="s">
        <v>24</v>
      </c>
      <c r="E3235" s="1"/>
      <c r="F3235" s="29">
        <v>46244</v>
      </c>
      <c r="G3235" s="29">
        <v>46244</v>
      </c>
      <c r="H3235" s="1" t="s">
        <v>90</v>
      </c>
      <c r="I3235" s="126"/>
      <c r="J3235" s="175">
        <v>32866915450</v>
      </c>
      <c r="K3235" s="171"/>
      <c r="L3235" s="62">
        <v>1</v>
      </c>
      <c r="M3235" s="105">
        <v>32866915450</v>
      </c>
      <c r="N3235" s="172" t="s">
        <v>37</v>
      </c>
      <c r="O3235" s="51">
        <v>9760.33</v>
      </c>
      <c r="P3235" s="91">
        <v>2878.85</v>
      </c>
      <c r="Q3235" s="42">
        <f>OfficeForms.Table[[#This Row],[ INFORMEDEPAGO ]]*0.3</f>
        <v>2928.0989999999997</v>
      </c>
      <c r="R3235" s="12">
        <f t="shared" ref="R3235:R3236" si="71">(IF(O3235&lt;4172.98,0,MIN(O3235*0.3,O3235-4172.98)))-P3235</f>
        <v>49.248999999999796</v>
      </c>
      <c r="S3235" s="78">
        <v>46784</v>
      </c>
      <c r="T3235" s="1" t="s">
        <v>84</v>
      </c>
      <c r="V3235" s="1"/>
      <c r="X3235" s="101">
        <v>2</v>
      </c>
    </row>
    <row r="3236" spans="1:24" hidden="1">
      <c r="A3236">
        <v>1650</v>
      </c>
      <c r="B3236" s="2">
        <v>46245.321782407402</v>
      </c>
      <c r="C3236" s="2">
        <v>46245.3440625</v>
      </c>
      <c r="D3236" s="1" t="s">
        <v>24</v>
      </c>
      <c r="E3236" s="1"/>
      <c r="F3236" s="29">
        <v>46245</v>
      </c>
      <c r="G3236" s="29">
        <v>46245</v>
      </c>
      <c r="H3236" s="1" t="s">
        <v>1625</v>
      </c>
      <c r="I3236" s="126" t="s">
        <v>7210</v>
      </c>
      <c r="J3236" s="175" t="s">
        <v>7211</v>
      </c>
      <c r="K3236" s="171" t="s">
        <v>7212</v>
      </c>
      <c r="L3236" s="62">
        <v>2</v>
      </c>
      <c r="M3236" s="30">
        <v>3331581095</v>
      </c>
      <c r="N3236" s="172" t="s">
        <v>32</v>
      </c>
      <c r="O3236" s="51">
        <v>3882.85</v>
      </c>
      <c r="P3236" s="91"/>
      <c r="Q3236" s="42">
        <f>OfficeForms.Table[[#This Row],[ INFORMEDEPAGO ]]*0.3</f>
        <v>1164.855</v>
      </c>
      <c r="R3236" s="12">
        <f t="shared" si="71"/>
        <v>0</v>
      </c>
      <c r="S3236" s="78"/>
      <c r="T3236" s="1"/>
      <c r="V3236" s="1"/>
      <c r="X3236" s="101">
        <v>1</v>
      </c>
    </row>
    <row r="3237" spans="1:24" hidden="1">
      <c r="A3237">
        <v>1651</v>
      </c>
      <c r="B3237" s="2">
        <v>46245.382118055597</v>
      </c>
      <c r="C3237" s="2">
        <v>46245.384918981501</v>
      </c>
      <c r="D3237" s="1" t="s">
        <v>24</v>
      </c>
      <c r="E3237" s="1"/>
      <c r="F3237" s="29">
        <v>46245</v>
      </c>
      <c r="G3237" s="29">
        <v>46244</v>
      </c>
      <c r="H3237" s="1" t="s">
        <v>3572</v>
      </c>
      <c r="I3237" s="126" t="s">
        <v>7213</v>
      </c>
      <c r="J3237" s="175">
        <v>43815807490</v>
      </c>
      <c r="K3237" s="171"/>
      <c r="L3237" s="62">
        <v>23519770</v>
      </c>
      <c r="M3237" s="30">
        <v>6441162536</v>
      </c>
      <c r="N3237" s="172" t="s">
        <v>37</v>
      </c>
      <c r="O3237" s="51">
        <v>35134.86</v>
      </c>
      <c r="P3237" s="91">
        <v>10539</v>
      </c>
      <c r="Q3237" s="42">
        <f>OfficeForms.Table[[#This Row],[ INFORMEDEPAGO ]]*0.3</f>
        <v>10540.458000000001</v>
      </c>
      <c r="R3237" s="12">
        <f t="shared" ref="R3237:R3241" si="72">(IF(O3237&lt;4172.98,0,MIN(O3237*0.3,O3237-4172.98)))-P3237</f>
        <v>1.4580000000005384</v>
      </c>
      <c r="S3237" s="78">
        <v>46844</v>
      </c>
      <c r="T3237" s="1"/>
      <c r="V3237" s="1"/>
      <c r="X3237" s="101">
        <v>2</v>
      </c>
    </row>
    <row r="3238" spans="1:24" hidden="1">
      <c r="A3238">
        <v>1652</v>
      </c>
      <c r="B3238" s="2">
        <v>46245.391990740703</v>
      </c>
      <c r="C3238" s="2">
        <v>46245.393310185202</v>
      </c>
      <c r="D3238" s="1" t="s">
        <v>24</v>
      </c>
      <c r="E3238" s="1"/>
      <c r="F3238" s="29">
        <v>46245</v>
      </c>
      <c r="G3238" s="29">
        <v>46244</v>
      </c>
      <c r="H3238" s="1" t="s">
        <v>269</v>
      </c>
      <c r="I3238" s="126" t="s">
        <v>7214</v>
      </c>
      <c r="J3238" s="175"/>
      <c r="K3238" s="171" t="s">
        <v>7215</v>
      </c>
      <c r="L3238" s="62">
        <v>23493934</v>
      </c>
      <c r="M3238" s="30">
        <v>5219983377505</v>
      </c>
      <c r="N3238" s="172" t="s">
        <v>32</v>
      </c>
      <c r="O3238" s="51">
        <f>3009.7+848</f>
        <v>3857.7</v>
      </c>
      <c r="P3238" s="91">
        <v>848</v>
      </c>
      <c r="Q3238" s="42">
        <f>OfficeForms.Table[[#This Row],[ INFORMEDEPAGO ]]*0.3</f>
        <v>1157.31</v>
      </c>
      <c r="R3238" s="12">
        <f t="shared" si="72"/>
        <v>-848</v>
      </c>
      <c r="S3238" s="78"/>
      <c r="T3238" s="1"/>
      <c r="V3238" s="1"/>
      <c r="X3238" s="101">
        <v>1</v>
      </c>
    </row>
    <row r="3239" spans="1:24" hidden="1">
      <c r="A3239">
        <v>1653</v>
      </c>
      <c r="B3239" s="2">
        <v>46245.401643518497</v>
      </c>
      <c r="C3239" s="2">
        <v>46245.403333333299</v>
      </c>
      <c r="D3239" s="1" t="s">
        <v>24</v>
      </c>
      <c r="E3239" s="1"/>
      <c r="F3239" s="29">
        <v>46245</v>
      </c>
      <c r="G3239" s="29">
        <v>46244</v>
      </c>
      <c r="H3239" s="1" t="s">
        <v>51</v>
      </c>
      <c r="I3239" s="126" t="s">
        <v>7216</v>
      </c>
      <c r="J3239" s="175">
        <v>62916306616</v>
      </c>
      <c r="K3239" s="171" t="s">
        <v>7217</v>
      </c>
      <c r="L3239" s="62">
        <v>23528978</v>
      </c>
      <c r="M3239" s="30">
        <v>5212226561598</v>
      </c>
      <c r="N3239" s="172" t="s">
        <v>74</v>
      </c>
      <c r="P3239" s="91"/>
      <c r="Q3239" s="42">
        <f>OfficeForms.Table[[#This Row],[ INFORMEDEPAGO ]]*0.3</f>
        <v>0</v>
      </c>
      <c r="R3239" s="12">
        <f t="shared" si="72"/>
        <v>0</v>
      </c>
      <c r="S3239" s="78"/>
      <c r="T3239" s="1"/>
      <c r="V3239" s="1"/>
      <c r="X3239" s="101">
        <v>1</v>
      </c>
    </row>
    <row r="3240" spans="1:24" hidden="1">
      <c r="A3240">
        <v>1654</v>
      </c>
      <c r="B3240" s="2">
        <v>46245.403124999997</v>
      </c>
      <c r="C3240" s="2">
        <v>46245.405011574097</v>
      </c>
      <c r="D3240" s="1" t="s">
        <v>24</v>
      </c>
      <c r="E3240" s="1"/>
      <c r="F3240" s="29">
        <v>46245</v>
      </c>
      <c r="G3240" s="29">
        <v>46245</v>
      </c>
      <c r="H3240" s="1" t="s">
        <v>90</v>
      </c>
      <c r="I3240" s="126"/>
      <c r="J3240" s="175">
        <v>75018445793</v>
      </c>
      <c r="K3240" s="171"/>
      <c r="L3240" s="62">
        <v>1</v>
      </c>
      <c r="M3240" s="30">
        <v>3317170475</v>
      </c>
      <c r="N3240" s="172" t="s">
        <v>235</v>
      </c>
      <c r="P3240" s="91"/>
      <c r="Q3240" s="42">
        <f>OfficeForms.Table[[#This Row],[ INFORMEDEPAGO ]]*0.3</f>
        <v>0</v>
      </c>
      <c r="R3240" s="12">
        <f t="shared" si="72"/>
        <v>0</v>
      </c>
      <c r="S3240" s="78"/>
      <c r="T3240" s="1"/>
      <c r="V3240" s="1"/>
      <c r="X3240" s="101">
        <v>1</v>
      </c>
    </row>
    <row r="3241" spans="1:24" hidden="1">
      <c r="A3241">
        <v>1655</v>
      </c>
      <c r="B3241" s="2">
        <v>46245.404212963003</v>
      </c>
      <c r="C3241" s="2">
        <v>46245.405740740702</v>
      </c>
      <c r="D3241" s="1" t="s">
        <v>24</v>
      </c>
      <c r="E3241" s="1"/>
      <c r="F3241" s="29">
        <v>46245</v>
      </c>
      <c r="G3241" s="29">
        <v>46245</v>
      </c>
      <c r="H3241" s="1" t="s">
        <v>269</v>
      </c>
      <c r="I3241" s="126" t="s">
        <v>7218</v>
      </c>
      <c r="J3241" s="175" t="s">
        <v>7219</v>
      </c>
      <c r="K3241" s="171" t="s">
        <v>7220</v>
      </c>
      <c r="L3241" s="62">
        <v>23536582</v>
      </c>
      <c r="M3241" s="30">
        <v>5215586121328</v>
      </c>
      <c r="N3241" s="172" t="s">
        <v>37</v>
      </c>
      <c r="O3241" s="51">
        <v>32039.86</v>
      </c>
      <c r="P3241" s="91">
        <v>9606.0400000000009</v>
      </c>
      <c r="Q3241" s="42">
        <f>OfficeForms.Table[[#This Row],[ INFORMEDEPAGO ]]*0.3</f>
        <v>9611.9580000000005</v>
      </c>
      <c r="R3241" s="12">
        <f t="shared" si="72"/>
        <v>5.9179999999996653</v>
      </c>
      <c r="S3241" s="78">
        <v>46905</v>
      </c>
      <c r="T3241" s="1"/>
      <c r="V3241" s="1"/>
      <c r="X3241" s="101">
        <v>2</v>
      </c>
    </row>
    <row r="3242" spans="1:24" hidden="1">
      <c r="A3242">
        <v>1656</v>
      </c>
      <c r="B3242" s="2">
        <v>46245.418738425898</v>
      </c>
      <c r="C3242" s="2">
        <v>46245.419560185197</v>
      </c>
      <c r="D3242" s="1" t="s">
        <v>24</v>
      </c>
      <c r="E3242" s="1"/>
      <c r="F3242" s="29">
        <v>46245</v>
      </c>
      <c r="G3242" s="29">
        <v>46244</v>
      </c>
      <c r="H3242" s="1" t="s">
        <v>5033</v>
      </c>
      <c r="I3242" s="126" t="s">
        <v>7221</v>
      </c>
      <c r="J3242" s="175"/>
      <c r="K3242" s="171" t="s">
        <v>7222</v>
      </c>
      <c r="L3242" s="62">
        <v>23521624</v>
      </c>
      <c r="M3242" s="30">
        <v>5218721098371</v>
      </c>
      <c r="N3242" s="172" t="s">
        <v>28</v>
      </c>
      <c r="O3242" s="51">
        <v>6262.86</v>
      </c>
      <c r="P3242" s="91"/>
      <c r="Q3242" s="42">
        <f>OfficeForms.Table[[#This Row],[ INFORMEDEPAGO ]]*0.3</f>
        <v>1878.8579999999997</v>
      </c>
      <c r="R3242" s="12">
        <f t="shared" ref="R3242:R3244" si="73">(IF(O3242&lt;4172.98,0,MIN(O3242*0.3,O3242-4172.98)))-P3242</f>
        <v>1878.8579999999997</v>
      </c>
      <c r="S3242" s="78"/>
      <c r="T3242" s="1"/>
      <c r="V3242" s="1"/>
      <c r="X3242" s="101">
        <v>1</v>
      </c>
    </row>
    <row r="3243" spans="1:24" hidden="1">
      <c r="A3243">
        <v>1657</v>
      </c>
      <c r="B3243" s="2">
        <v>46245.419201388897</v>
      </c>
      <c r="C3243" s="2">
        <v>46245.4198958333</v>
      </c>
      <c r="D3243" s="1" t="s">
        <v>24</v>
      </c>
      <c r="E3243" s="1"/>
      <c r="F3243" s="29">
        <v>46245</v>
      </c>
      <c r="G3243" s="29">
        <v>46245</v>
      </c>
      <c r="H3243" s="1" t="s">
        <v>269</v>
      </c>
      <c r="I3243" s="126" t="s">
        <v>7223</v>
      </c>
      <c r="J3243" s="175"/>
      <c r="K3243" s="171" t="s">
        <v>7224</v>
      </c>
      <c r="L3243" s="62">
        <v>23538362</v>
      </c>
      <c r="M3243" s="30">
        <v>5215519788933</v>
      </c>
      <c r="N3243" s="172" t="s">
        <v>28</v>
      </c>
      <c r="O3243" s="51">
        <v>9053.3799999999992</v>
      </c>
      <c r="P3243" s="91"/>
      <c r="Q3243" s="42">
        <f>OfficeForms.Table[[#This Row],[ INFORMEDEPAGO ]]*0.3</f>
        <v>2716.0139999999997</v>
      </c>
      <c r="R3243" s="12">
        <f t="shared" si="73"/>
        <v>2716.0139999999997</v>
      </c>
      <c r="S3243" s="78"/>
      <c r="T3243" s="1"/>
      <c r="V3243" s="1"/>
      <c r="X3243" s="101">
        <v>1</v>
      </c>
    </row>
    <row r="3244" spans="1:24" hidden="1">
      <c r="A3244">
        <v>1658</v>
      </c>
      <c r="B3244" s="2">
        <v>46245.425972222198</v>
      </c>
      <c r="C3244" s="2">
        <v>46245.427245370403</v>
      </c>
      <c r="D3244" s="1" t="s">
        <v>24</v>
      </c>
      <c r="E3244" s="1"/>
      <c r="F3244" s="29">
        <v>46245</v>
      </c>
      <c r="G3244" s="29">
        <v>46245</v>
      </c>
      <c r="H3244" s="1" t="s">
        <v>5605</v>
      </c>
      <c r="I3244" s="126" t="s">
        <v>7225</v>
      </c>
      <c r="J3244" s="209">
        <v>32805800458</v>
      </c>
      <c r="K3244" s="171" t="s">
        <v>7226</v>
      </c>
      <c r="L3244" s="62">
        <v>23473234</v>
      </c>
      <c r="M3244" s="30">
        <v>6561122455</v>
      </c>
      <c r="N3244" s="172" t="s">
        <v>98</v>
      </c>
      <c r="P3244" s="91"/>
      <c r="Q3244" s="42">
        <f>OfficeForms.Table[[#This Row],[ INFORMEDEPAGO ]]*0.3</f>
        <v>0</v>
      </c>
      <c r="R3244" s="12">
        <f t="shared" si="73"/>
        <v>0</v>
      </c>
      <c r="S3244" s="78"/>
      <c r="T3244" s="1"/>
      <c r="V3244" s="1"/>
      <c r="X3244" s="101">
        <v>0</v>
      </c>
    </row>
    <row r="3245" spans="1:24" hidden="1">
      <c r="A3245">
        <v>1659</v>
      </c>
      <c r="B3245" s="2">
        <v>46245.438726851797</v>
      </c>
      <c r="C3245" s="2">
        <v>46245.440000000002</v>
      </c>
      <c r="D3245" s="1" t="s">
        <v>24</v>
      </c>
      <c r="E3245" s="1"/>
      <c r="F3245" s="29">
        <v>46245</v>
      </c>
      <c r="G3245" s="29">
        <v>46245</v>
      </c>
      <c r="H3245" s="1" t="s">
        <v>269</v>
      </c>
      <c r="I3245" s="126" t="s">
        <v>7227</v>
      </c>
      <c r="J3245" s="175" t="s">
        <v>7228</v>
      </c>
      <c r="K3245" s="171" t="s">
        <v>7229</v>
      </c>
      <c r="L3245" s="62">
        <v>23537532</v>
      </c>
      <c r="M3245" s="30">
        <v>5216961021990</v>
      </c>
      <c r="N3245" s="172" t="s">
        <v>28</v>
      </c>
      <c r="O3245" s="51">
        <v>9760.32</v>
      </c>
      <c r="P3245" s="91">
        <v>900.61</v>
      </c>
      <c r="Q3245" s="42">
        <f>OfficeForms.Table[[#This Row],[ INFORMEDEPAGO ]]*0.3</f>
        <v>2928.096</v>
      </c>
      <c r="R3245" s="12">
        <f t="shared" ref="R3245" si="74">(IF(O3245&lt;4172.98,0,MIN(O3245*0.3,O3245-4172.98)))-P3245</f>
        <v>2027.4859999999999</v>
      </c>
      <c r="S3245" s="78">
        <v>46661</v>
      </c>
      <c r="T3245" s="1"/>
      <c r="V3245" s="1"/>
      <c r="X3245" s="101">
        <v>2</v>
      </c>
    </row>
    <row r="3246" spans="1:24" hidden="1">
      <c r="A3246">
        <v>1660</v>
      </c>
      <c r="B3246" s="2">
        <v>46245.449108796303</v>
      </c>
      <c r="C3246" s="2">
        <v>46245.449710648099</v>
      </c>
      <c r="D3246" s="1" t="s">
        <v>24</v>
      </c>
      <c r="E3246" s="1"/>
      <c r="F3246" s="29">
        <v>46245</v>
      </c>
      <c r="G3246" s="29">
        <v>46245</v>
      </c>
      <c r="H3246" s="1" t="s">
        <v>269</v>
      </c>
      <c r="I3246" s="126" t="s">
        <v>7230</v>
      </c>
      <c r="J3246" s="175" t="s">
        <v>7231</v>
      </c>
      <c r="K3246" s="171" t="s">
        <v>7232</v>
      </c>
      <c r="L3246" s="62">
        <v>23539016</v>
      </c>
      <c r="M3246" s="30">
        <v>5214192044600</v>
      </c>
      <c r="N3246" s="172" t="s">
        <v>37</v>
      </c>
      <c r="O3246" s="51">
        <v>25164.38</v>
      </c>
      <c r="P3246" s="91">
        <v>7533.41</v>
      </c>
      <c r="Q3246" s="42">
        <f>OfficeForms.Table[[#This Row],[ INFORMEDEPAGO ]]*0.3</f>
        <v>7549.3140000000003</v>
      </c>
      <c r="R3246" s="12">
        <f t="shared" ref="R3246" si="75">(IF(O3246&lt;4172.98,0,MIN(O3246*0.3,O3246-4172.98)))-P3246</f>
        <v>15.904000000000451</v>
      </c>
      <c r="S3246" s="78">
        <v>46874</v>
      </c>
      <c r="T3246" s="1" t="s">
        <v>192</v>
      </c>
      <c r="V3246" s="1"/>
      <c r="X3246" s="101">
        <v>2</v>
      </c>
    </row>
    <row r="3247" spans="1:24" hidden="1">
      <c r="A3247">
        <v>1661</v>
      </c>
      <c r="B3247" s="2">
        <v>46245.341747685197</v>
      </c>
      <c r="C3247" s="2">
        <v>46245.452164351896</v>
      </c>
      <c r="D3247" s="1" t="s">
        <v>24</v>
      </c>
      <c r="E3247" s="1"/>
      <c r="F3247" s="29">
        <v>46245</v>
      </c>
      <c r="G3247" s="29">
        <v>46245</v>
      </c>
      <c r="H3247" s="1" t="s">
        <v>1629</v>
      </c>
      <c r="I3247" s="126" t="s">
        <v>7233</v>
      </c>
      <c r="J3247" s="175">
        <v>32783800686</v>
      </c>
      <c r="K3247" s="171" t="s">
        <v>5052</v>
      </c>
      <c r="L3247" s="62">
        <v>2</v>
      </c>
      <c r="M3247" s="30" t="s">
        <v>7234</v>
      </c>
      <c r="N3247" s="171" t="s">
        <v>130</v>
      </c>
      <c r="O3247" s="52">
        <v>4554.84</v>
      </c>
      <c r="P3247" s="99">
        <v>654.4</v>
      </c>
      <c r="Q3247" s="42">
        <f>OfficeForms.Table[[#This Row],[ INFORMEDEPAGO ]]*0.3</f>
        <v>1366.452</v>
      </c>
      <c r="R3247" s="12">
        <f>(IF(O3247&lt;4172.98,0,MIN(O3247*0.3,O3247-4172.98)))-P3247</f>
        <v>-272.5399999999994</v>
      </c>
      <c r="S3247" s="78">
        <v>45658</v>
      </c>
      <c r="T3247" s="1"/>
      <c r="V3247" s="1"/>
      <c r="X3247" s="101">
        <v>0</v>
      </c>
    </row>
    <row r="3248" spans="1:24" hidden="1">
      <c r="A3248">
        <v>1662</v>
      </c>
      <c r="B3248" s="2">
        <v>46245.403356481504</v>
      </c>
      <c r="C3248" s="2">
        <v>46245.456782407397</v>
      </c>
      <c r="D3248" s="1" t="s">
        <v>24</v>
      </c>
      <c r="E3248" s="1"/>
      <c r="F3248" s="29">
        <v>46245</v>
      </c>
      <c r="G3248" s="29">
        <v>46245</v>
      </c>
      <c r="H3248" s="1" t="s">
        <v>51</v>
      </c>
      <c r="I3248" s="126" t="s">
        <v>7235</v>
      </c>
      <c r="J3248" s="175">
        <v>43826580706</v>
      </c>
      <c r="K3248" s="171" t="s">
        <v>7236</v>
      </c>
      <c r="L3248" s="62">
        <v>23532722</v>
      </c>
      <c r="M3248" s="30">
        <v>5218114689310</v>
      </c>
      <c r="N3248" s="171" t="s">
        <v>28</v>
      </c>
      <c r="O3248" s="67">
        <f>89329.01-67181.32</f>
        <v>22147.689999999988</v>
      </c>
      <c r="P3248" s="99"/>
      <c r="Q3248" s="42">
        <f>OfficeForms.Table[[#This Row],[ INFORMEDEPAGO ]]*0.3</f>
        <v>6644.3069999999962</v>
      </c>
      <c r="R3248" s="12">
        <f t="shared" ref="R3248:R3249" si="76">(IF(O3248&lt;4172.98,0,MIN(O3248*0.3,O3248-4172.98)))-P3248</f>
        <v>6644.3069999999962</v>
      </c>
      <c r="S3248" s="78"/>
      <c r="T3248" s="1"/>
      <c r="V3248" s="1"/>
      <c r="X3248" s="101">
        <v>1</v>
      </c>
    </row>
    <row r="3249" spans="1:24" hidden="1">
      <c r="A3249">
        <v>1663</v>
      </c>
      <c r="B3249" s="2">
        <v>46245.463715277801</v>
      </c>
      <c r="C3249" s="2">
        <v>46245.464363425897</v>
      </c>
      <c r="D3249" s="1" t="s">
        <v>24</v>
      </c>
      <c r="E3249" s="1"/>
      <c r="F3249" s="29">
        <v>46245</v>
      </c>
      <c r="G3249" s="29">
        <v>46243</v>
      </c>
      <c r="H3249" s="1" t="s">
        <v>269</v>
      </c>
      <c r="I3249" s="126" t="s">
        <v>7237</v>
      </c>
      <c r="J3249" s="175" t="s">
        <v>7238</v>
      </c>
      <c r="K3249" s="171" t="s">
        <v>7239</v>
      </c>
      <c r="L3249" s="62">
        <v>23494264</v>
      </c>
      <c r="M3249" s="30">
        <v>5215554547500</v>
      </c>
      <c r="N3249" s="171" t="s">
        <v>28</v>
      </c>
      <c r="O3249" s="67">
        <f>235721.69-197078.79</f>
        <v>38642.899999999994</v>
      </c>
      <c r="P3249" s="99"/>
      <c r="Q3249" s="42">
        <f>OfficeForms.Table[[#This Row],[ INFORMEDEPAGO ]]*0.3</f>
        <v>11592.869999999997</v>
      </c>
      <c r="R3249" s="12">
        <f t="shared" si="76"/>
        <v>11592.869999999997</v>
      </c>
      <c r="S3249" s="78"/>
      <c r="T3249" s="1"/>
      <c r="V3249" s="1"/>
      <c r="X3249" s="101">
        <v>1</v>
      </c>
    </row>
    <row r="3250" spans="1:24" hidden="1">
      <c r="A3250">
        <v>1664</v>
      </c>
      <c r="B3250" s="2">
        <v>46245.344097222202</v>
      </c>
      <c r="C3250" s="2">
        <v>46245.4695601852</v>
      </c>
      <c r="D3250" s="1" t="s">
        <v>24</v>
      </c>
      <c r="E3250" s="1"/>
      <c r="F3250" s="29">
        <v>46245</v>
      </c>
      <c r="G3250" s="29">
        <v>46245</v>
      </c>
      <c r="H3250" s="1" t="s">
        <v>1625</v>
      </c>
      <c r="I3250" s="126" t="s">
        <v>7240</v>
      </c>
      <c r="J3250" s="175">
        <v>14785907719</v>
      </c>
      <c r="K3250" s="171" t="s">
        <v>7241</v>
      </c>
      <c r="L3250" s="62">
        <v>2</v>
      </c>
      <c r="M3250" s="30">
        <v>2351015703</v>
      </c>
      <c r="N3250" s="171" t="s">
        <v>37</v>
      </c>
      <c r="O3250" s="67">
        <v>10303.709999999999</v>
      </c>
      <c r="P3250" s="99">
        <v>2980.11</v>
      </c>
      <c r="Q3250" s="42">
        <f>OfficeForms.Table[[#This Row],[ INFORMEDEPAGO ]]*0.3</f>
        <v>3091.1129999999998</v>
      </c>
      <c r="R3250" s="12">
        <f t="shared" ref="R3250" si="77">(IF(O3250&lt;4172.98,0,MIN(O3250*0.3,O3250-4172.98)))-P3250</f>
        <v>111.0029999999997</v>
      </c>
      <c r="S3250" s="78">
        <v>46631</v>
      </c>
      <c r="T3250" s="1"/>
      <c r="V3250" s="1"/>
      <c r="X3250" s="101">
        <v>2</v>
      </c>
    </row>
    <row r="3251" spans="1:24" hidden="1">
      <c r="A3251">
        <v>1665</v>
      </c>
      <c r="B3251" s="2">
        <v>46245.476273148102</v>
      </c>
      <c r="C3251" s="2">
        <v>46245.476840277799</v>
      </c>
      <c r="D3251" s="1" t="s">
        <v>24</v>
      </c>
      <c r="E3251" s="1"/>
      <c r="F3251" s="29">
        <v>46245</v>
      </c>
      <c r="G3251" s="29">
        <v>46244</v>
      </c>
      <c r="H3251" s="1" t="s">
        <v>269</v>
      </c>
      <c r="I3251" s="126" t="s">
        <v>7242</v>
      </c>
      <c r="J3251" s="175" t="s">
        <v>7243</v>
      </c>
      <c r="K3251" s="171" t="s">
        <v>7244</v>
      </c>
      <c r="L3251" s="62">
        <v>23528678</v>
      </c>
      <c r="M3251" s="30">
        <v>5219983143731</v>
      </c>
      <c r="N3251" s="171" t="s">
        <v>28</v>
      </c>
      <c r="O3251" s="67">
        <v>11134.24</v>
      </c>
      <c r="P3251" s="99"/>
      <c r="Q3251" s="42">
        <f>OfficeForms.Table[[#This Row],[ INFORMEDEPAGO ]]*0.3</f>
        <v>3340.2719999999999</v>
      </c>
      <c r="R3251" s="12">
        <f t="shared" ref="R3251" si="78">(IF(O3251&lt;4172.98,0,MIN(O3251*0.3,O3251-4172.98)))-P3251</f>
        <v>3340.2719999999999</v>
      </c>
      <c r="S3251" s="78"/>
      <c r="T3251" s="1"/>
      <c r="V3251" s="1"/>
      <c r="X3251" s="101">
        <v>1</v>
      </c>
    </row>
    <row r="3252" spans="1:24" hidden="1">
      <c r="A3252">
        <v>1666</v>
      </c>
      <c r="B3252" s="2">
        <v>46245.452256944402</v>
      </c>
      <c r="C3252" s="2">
        <v>46245.482118055603</v>
      </c>
      <c r="D3252" s="1" t="s">
        <v>24</v>
      </c>
      <c r="E3252" s="1"/>
      <c r="F3252" s="29">
        <v>46245</v>
      </c>
      <c r="G3252" s="29">
        <v>46245</v>
      </c>
      <c r="H3252" s="1" t="s">
        <v>1629</v>
      </c>
      <c r="I3252" s="126" t="s">
        <v>7245</v>
      </c>
      <c r="J3252" s="175">
        <v>23806208726</v>
      </c>
      <c r="K3252" s="171" t="s">
        <v>7246</v>
      </c>
      <c r="L3252" s="62">
        <v>2</v>
      </c>
      <c r="M3252" s="30">
        <v>5560961399</v>
      </c>
      <c r="N3252" s="171" t="s">
        <v>37</v>
      </c>
      <c r="O3252" s="67">
        <v>31761.21</v>
      </c>
      <c r="P3252" s="99">
        <f>8649.21+879.03</f>
        <v>9528.24</v>
      </c>
      <c r="Q3252" s="42">
        <f>OfficeForms.Table[[#This Row],[ INFORMEDEPAGO ]]*0.3</f>
        <v>9528.3629999999994</v>
      </c>
      <c r="R3252" s="12">
        <f t="shared" ref="R3252" si="79">(IF(O3252&lt;4172.98,0,MIN(O3252*0.3,O3252-4172.98)))-P3252</f>
        <v>0.12299999999959255</v>
      </c>
      <c r="S3252" s="78">
        <v>46631</v>
      </c>
      <c r="T3252" s="1"/>
      <c r="V3252" s="1"/>
      <c r="X3252" s="101">
        <v>2</v>
      </c>
    </row>
    <row r="3253" spans="1:24" hidden="1">
      <c r="A3253">
        <v>1667</v>
      </c>
      <c r="B3253" s="2">
        <v>46245.483668981498</v>
      </c>
      <c r="C3253" s="2">
        <v>46245.484976851803</v>
      </c>
      <c r="D3253" s="1" t="s">
        <v>24</v>
      </c>
      <c r="E3253" s="1"/>
      <c r="F3253" s="29">
        <v>46245</v>
      </c>
      <c r="G3253" s="29">
        <v>46244</v>
      </c>
      <c r="H3253" s="1" t="s">
        <v>5033</v>
      </c>
      <c r="I3253" s="126" t="s">
        <v>7247</v>
      </c>
      <c r="J3253" s="175"/>
      <c r="K3253" s="171" t="s">
        <v>7248</v>
      </c>
      <c r="L3253" s="62">
        <v>23519798</v>
      </c>
      <c r="M3253" s="30">
        <v>5214772894263</v>
      </c>
      <c r="N3253" s="171" t="s">
        <v>28</v>
      </c>
      <c r="O3253" s="50">
        <v>12578.22</v>
      </c>
      <c r="P3253" s="97"/>
      <c r="Q3253" s="42">
        <f>OfficeForms.Table[[#This Row],[ INFORMEDEPAGO ]]*0.3</f>
        <v>3773.4659999999994</v>
      </c>
      <c r="R3253" s="12">
        <f t="shared" ref="R3253:R3259" si="80">(IF(O3253&lt;4172.98,0,MIN(O3253*0.3,O3253-4172.98)))-P3253</f>
        <v>3773.4659999999994</v>
      </c>
      <c r="S3253" s="78"/>
      <c r="T3253" s="1"/>
      <c r="V3253" s="1"/>
      <c r="X3253" s="101">
        <v>1</v>
      </c>
    </row>
    <row r="3254" spans="1:24" hidden="1">
      <c r="A3254">
        <v>1668</v>
      </c>
      <c r="B3254" s="2">
        <v>46245.485266203701</v>
      </c>
      <c r="C3254" s="2">
        <v>46245.486296296302</v>
      </c>
      <c r="D3254" s="1" t="s">
        <v>24</v>
      </c>
      <c r="E3254" s="1"/>
      <c r="F3254" s="29">
        <v>46245</v>
      </c>
      <c r="G3254" s="29">
        <v>46245</v>
      </c>
      <c r="H3254" s="1" t="s">
        <v>269</v>
      </c>
      <c r="I3254" s="126" t="s">
        <v>7249</v>
      </c>
      <c r="J3254" s="175"/>
      <c r="K3254" s="171" t="s">
        <v>7250</v>
      </c>
      <c r="L3254" s="62">
        <v>23540000</v>
      </c>
      <c r="M3254" s="30">
        <v>5213314456376</v>
      </c>
      <c r="N3254" s="171" t="s">
        <v>28</v>
      </c>
      <c r="O3254" s="50">
        <v>31060.29</v>
      </c>
      <c r="P3254" s="97">
        <v>2518.9899999999998</v>
      </c>
      <c r="Q3254" s="42">
        <f>OfficeForms.Table[[#This Row],[ INFORMEDEPAGO ]]*0.3</f>
        <v>9318.0869999999995</v>
      </c>
      <c r="R3254" s="12">
        <f t="shared" si="80"/>
        <v>6799.0969999999998</v>
      </c>
      <c r="S3254" s="78">
        <v>46600</v>
      </c>
      <c r="T3254" s="1" t="s">
        <v>84</v>
      </c>
      <c r="V3254" s="1"/>
      <c r="X3254" s="101">
        <v>2</v>
      </c>
    </row>
    <row r="3255" spans="1:24" hidden="1">
      <c r="A3255">
        <v>1669</v>
      </c>
      <c r="B3255" s="2">
        <v>46245.456793981502</v>
      </c>
      <c r="C3255" s="2">
        <v>46245.486828703702</v>
      </c>
      <c r="D3255" s="1" t="s">
        <v>24</v>
      </c>
      <c r="E3255" s="1"/>
      <c r="F3255" s="29">
        <v>46245</v>
      </c>
      <c r="G3255" s="29">
        <v>46244</v>
      </c>
      <c r="H3255" s="1" t="s">
        <v>51</v>
      </c>
      <c r="I3255" s="126" t="s">
        <v>7251</v>
      </c>
      <c r="J3255" s="175"/>
      <c r="K3255" s="171" t="s">
        <v>7252</v>
      </c>
      <c r="L3255" s="62">
        <v>23528794</v>
      </c>
      <c r="M3255" s="30">
        <v>521872026142</v>
      </c>
      <c r="N3255" s="171" t="s">
        <v>263</v>
      </c>
      <c r="O3255" s="50">
        <v>4813.6899999999996</v>
      </c>
      <c r="P3255" s="97">
        <v>748.85</v>
      </c>
      <c r="Q3255" s="42">
        <f>OfficeForms.Table[[#This Row],[ INFORMEDEPAGO ]]*0.3</f>
        <v>1444.1069999999997</v>
      </c>
      <c r="R3255" s="12">
        <f t="shared" si="80"/>
        <v>-108.13999999999999</v>
      </c>
      <c r="S3255" s="78">
        <v>45323</v>
      </c>
      <c r="T3255" s="1" t="s">
        <v>178</v>
      </c>
      <c r="V3255" s="1"/>
      <c r="X3255" s="101">
        <v>2</v>
      </c>
    </row>
    <row r="3256" spans="1:24" hidden="1">
      <c r="A3256">
        <v>1670</v>
      </c>
      <c r="B3256" s="2">
        <v>46245.469583333303</v>
      </c>
      <c r="C3256" s="2">
        <v>46245.490335648203</v>
      </c>
      <c r="D3256" s="1" t="s">
        <v>24</v>
      </c>
      <c r="E3256" s="1"/>
      <c r="F3256" s="29">
        <v>46245</v>
      </c>
      <c r="G3256" s="29">
        <v>46245</v>
      </c>
      <c r="H3256" s="1" t="s">
        <v>1625</v>
      </c>
      <c r="I3256" s="126" t="s">
        <v>7253</v>
      </c>
      <c r="J3256" s="175">
        <v>43937531077</v>
      </c>
      <c r="K3256" s="171" t="s">
        <v>7254</v>
      </c>
      <c r="L3256" s="62">
        <v>2</v>
      </c>
      <c r="M3256" s="30">
        <v>8123798212</v>
      </c>
      <c r="N3256" s="171" t="s">
        <v>37</v>
      </c>
      <c r="O3256" s="50">
        <v>7294.73</v>
      </c>
      <c r="P3256" s="97">
        <v>2107.19</v>
      </c>
      <c r="Q3256" s="42">
        <f>OfficeForms.Table[[#This Row],[ INFORMEDEPAGO ]]*0.3</f>
        <v>2188.4189999999999</v>
      </c>
      <c r="R3256" s="12">
        <f t="shared" si="80"/>
        <v>81.228999999999814</v>
      </c>
      <c r="S3256" s="78">
        <v>46631</v>
      </c>
      <c r="T3256" s="1"/>
      <c r="V3256" s="1"/>
      <c r="X3256" s="101">
        <v>2</v>
      </c>
    </row>
    <row r="3257" spans="1:24" hidden="1">
      <c r="A3257">
        <v>1671</v>
      </c>
      <c r="B3257" s="2">
        <v>46245.490451388898</v>
      </c>
      <c r="C3257" s="2">
        <v>46245.491122685198</v>
      </c>
      <c r="D3257" s="1" t="s">
        <v>24</v>
      </c>
      <c r="E3257" s="1"/>
      <c r="F3257" s="29">
        <v>46245</v>
      </c>
      <c r="G3257" s="29">
        <v>46245</v>
      </c>
      <c r="H3257" s="1" t="s">
        <v>1629</v>
      </c>
      <c r="I3257" s="126" t="s">
        <v>7255</v>
      </c>
      <c r="J3257" s="175">
        <v>43796152114</v>
      </c>
      <c r="K3257" s="171" t="s">
        <v>7256</v>
      </c>
      <c r="L3257" s="62">
        <v>2</v>
      </c>
      <c r="M3257" s="30" t="s">
        <v>7257</v>
      </c>
      <c r="N3257" s="171" t="s">
        <v>37</v>
      </c>
      <c r="O3257" s="50">
        <v>7920.51</v>
      </c>
      <c r="P3257" s="97">
        <v>2288.5</v>
      </c>
      <c r="Q3257" s="42">
        <f>OfficeForms.Table[[#This Row],[ INFORMEDEPAGO ]]*0.3</f>
        <v>2376.1529999999998</v>
      </c>
      <c r="R3257" s="12">
        <f t="shared" si="80"/>
        <v>87.652999999999793</v>
      </c>
      <c r="S3257" s="78">
        <v>46722</v>
      </c>
      <c r="T3257" s="1"/>
      <c r="V3257" s="1"/>
      <c r="X3257" s="101">
        <v>2</v>
      </c>
    </row>
    <row r="3258" spans="1:24" hidden="1">
      <c r="A3258">
        <v>1672</v>
      </c>
      <c r="B3258" s="2">
        <v>46245.488749999997</v>
      </c>
      <c r="C3258" s="2">
        <v>46245.491851851897</v>
      </c>
      <c r="D3258" s="1" t="s">
        <v>24</v>
      </c>
      <c r="E3258" s="1"/>
      <c r="F3258" s="29">
        <v>46245</v>
      </c>
      <c r="G3258" s="29">
        <v>46242</v>
      </c>
      <c r="H3258" s="1" t="s">
        <v>78</v>
      </c>
      <c r="I3258" s="126" t="s">
        <v>7258</v>
      </c>
      <c r="J3258" s="175">
        <v>51867012356</v>
      </c>
      <c r="K3258" s="171" t="s">
        <v>7259</v>
      </c>
      <c r="L3258" s="62">
        <v>23467590</v>
      </c>
      <c r="M3258" s="30">
        <v>5216144711527</v>
      </c>
      <c r="N3258" s="171" t="s">
        <v>32</v>
      </c>
      <c r="O3258" s="50">
        <f>3114.64+848</f>
        <v>3962.64</v>
      </c>
      <c r="P3258" s="97">
        <v>848</v>
      </c>
      <c r="Q3258" s="42">
        <f>OfficeForms.Table[[#This Row],[ INFORMEDEPAGO ]]*0.3</f>
        <v>1188.7919999999999</v>
      </c>
      <c r="R3258" s="12">
        <f t="shared" si="80"/>
        <v>-848</v>
      </c>
      <c r="S3258" s="78"/>
      <c r="T3258" s="1"/>
      <c r="V3258" s="1"/>
      <c r="X3258" s="101">
        <v>1</v>
      </c>
    </row>
    <row r="3259" spans="1:24" hidden="1">
      <c r="A3259">
        <v>1673</v>
      </c>
      <c r="B3259" s="2">
        <v>46245.486840277801</v>
      </c>
      <c r="C3259" s="2">
        <v>46245.494780092602</v>
      </c>
      <c r="D3259" s="1" t="s">
        <v>24</v>
      </c>
      <c r="E3259" s="1"/>
      <c r="F3259" s="29">
        <v>46245</v>
      </c>
      <c r="G3259" s="29">
        <v>46232</v>
      </c>
      <c r="H3259" s="1" t="s">
        <v>51</v>
      </c>
      <c r="I3259" s="126" t="s">
        <v>7260</v>
      </c>
      <c r="J3259" s="175">
        <v>62907376610</v>
      </c>
      <c r="K3259" s="171" t="s">
        <v>7261</v>
      </c>
      <c r="L3259" s="62">
        <v>23217040</v>
      </c>
      <c r="M3259" s="30">
        <v>5212224459139</v>
      </c>
      <c r="N3259" s="171" t="s">
        <v>98</v>
      </c>
      <c r="O3259" s="50"/>
      <c r="P3259" s="97"/>
      <c r="Q3259" s="42">
        <f>OfficeForms.Table[[#This Row],[ INFORMEDEPAGO ]]*0.3</f>
        <v>0</v>
      </c>
      <c r="R3259" s="12">
        <f t="shared" si="80"/>
        <v>0</v>
      </c>
      <c r="S3259" s="78"/>
      <c r="T3259" s="1"/>
      <c r="V3259" s="1"/>
      <c r="X3259" s="101">
        <v>0</v>
      </c>
    </row>
    <row r="3260" spans="1:24" hidden="1">
      <c r="A3260">
        <v>1674</v>
      </c>
      <c r="B3260" s="2">
        <v>46245.494791666701</v>
      </c>
      <c r="C3260" s="2">
        <v>46245.504861111098</v>
      </c>
      <c r="D3260" s="1" t="s">
        <v>24</v>
      </c>
      <c r="E3260" s="1"/>
      <c r="F3260" s="29">
        <v>46245</v>
      </c>
      <c r="G3260" s="29">
        <v>46245</v>
      </c>
      <c r="H3260" s="1" t="s">
        <v>51</v>
      </c>
      <c r="I3260" s="126" t="s">
        <v>7262</v>
      </c>
      <c r="J3260" s="175"/>
      <c r="K3260" s="171" t="s">
        <v>7263</v>
      </c>
      <c r="L3260" s="62">
        <v>23536536</v>
      </c>
      <c r="M3260" s="30">
        <v>5217206261528</v>
      </c>
      <c r="N3260" s="171" t="s">
        <v>37</v>
      </c>
      <c r="O3260" s="50">
        <v>9760.32</v>
      </c>
      <c r="P3260" s="97">
        <v>2911.22</v>
      </c>
      <c r="Q3260" s="42">
        <f>OfficeForms.Table[[#This Row],[ INFORMEDEPAGO ]]*0.3</f>
        <v>2928.096</v>
      </c>
      <c r="R3260" s="12">
        <f t="shared" ref="R3260" si="81">(IF(O3260&lt;4172.98,0,MIN(O3260*0.3,O3260-4172.98)))-P3260</f>
        <v>16.876000000000204</v>
      </c>
      <c r="S3260" s="78">
        <v>46692</v>
      </c>
      <c r="T3260" s="1"/>
      <c r="V3260" s="1"/>
      <c r="X3260" s="101">
        <v>2</v>
      </c>
    </row>
    <row r="3261" spans="1:24" hidden="1">
      <c r="A3261">
        <v>1675</v>
      </c>
      <c r="B3261" s="2">
        <v>46245.516770833303</v>
      </c>
      <c r="C3261" s="2">
        <v>46245.519467592603</v>
      </c>
      <c r="D3261" s="1" t="s">
        <v>24</v>
      </c>
      <c r="E3261" s="1"/>
      <c r="F3261" s="29">
        <v>46245</v>
      </c>
      <c r="G3261" s="29">
        <v>46245</v>
      </c>
      <c r="H3261" s="1" t="s">
        <v>78</v>
      </c>
      <c r="I3261" s="126" t="s">
        <v>7264</v>
      </c>
      <c r="J3261" s="175" t="s">
        <v>7265</v>
      </c>
      <c r="K3261" s="171" t="s">
        <v>7266</v>
      </c>
      <c r="L3261" s="62">
        <v>23539690</v>
      </c>
      <c r="M3261" s="30">
        <v>5215549275038</v>
      </c>
      <c r="N3261" s="171" t="s">
        <v>37</v>
      </c>
      <c r="O3261" s="50">
        <v>6422.04</v>
      </c>
      <c r="P3261" s="97">
        <v>1782.99</v>
      </c>
      <c r="Q3261" s="42">
        <f>OfficeForms.Table[[#This Row],[ INFORMEDEPAGO ]]*0.3</f>
        <v>1926.6119999999999</v>
      </c>
      <c r="R3261" s="12">
        <f t="shared" ref="R3261" si="82">(IF(O3261&lt;4172.98,0,MIN(O3261*0.3,O3261-4172.98)))-P3261</f>
        <v>143.62199999999984</v>
      </c>
      <c r="S3261" s="78">
        <v>46327</v>
      </c>
      <c r="T3261" s="1"/>
      <c r="V3261" s="1"/>
      <c r="X3261" s="101">
        <v>2</v>
      </c>
    </row>
    <row r="3262" spans="1:24" hidden="1">
      <c r="A3262">
        <v>1676</v>
      </c>
      <c r="B3262" s="2">
        <v>46245.522199074097</v>
      </c>
      <c r="C3262" s="2">
        <v>46245.525046296301</v>
      </c>
      <c r="D3262" s="1" t="s">
        <v>24</v>
      </c>
      <c r="E3262" s="1"/>
      <c r="F3262" s="29">
        <v>46245</v>
      </c>
      <c r="G3262" s="29">
        <v>46244</v>
      </c>
      <c r="H3262" s="1" t="s">
        <v>78</v>
      </c>
      <c r="I3262" s="126" t="s">
        <v>7267</v>
      </c>
      <c r="J3262" s="175" t="s">
        <v>7268</v>
      </c>
      <c r="K3262" s="171" t="s">
        <v>7269</v>
      </c>
      <c r="L3262" s="62">
        <v>23505280</v>
      </c>
      <c r="M3262" s="30">
        <v>5215537363040</v>
      </c>
      <c r="N3262" s="171" t="s">
        <v>37</v>
      </c>
      <c r="O3262" s="50">
        <v>10636.54</v>
      </c>
      <c r="P3262" s="97">
        <v>3188.97</v>
      </c>
      <c r="Q3262" s="42">
        <f>OfficeForms.Table[[#This Row],[ INFORMEDEPAGO ]]*0.3</f>
        <v>3190.962</v>
      </c>
      <c r="R3262" s="12">
        <f t="shared" ref="R3262:R3263" si="83">(IF(O3262&lt;4172.98,0,MIN(O3262*0.3,O3262-4172.98)))-P3262</f>
        <v>1.9920000000001892</v>
      </c>
      <c r="S3262" s="78">
        <v>46844</v>
      </c>
      <c r="T3262" s="1"/>
      <c r="V3262" s="1"/>
      <c r="X3262" s="101">
        <v>2</v>
      </c>
    </row>
    <row r="3263" spans="1:24" hidden="1">
      <c r="A3263">
        <v>1677</v>
      </c>
      <c r="B3263" s="2">
        <v>46245.527349536998</v>
      </c>
      <c r="C3263" s="2">
        <v>46245.527731481503</v>
      </c>
      <c r="D3263" s="1" t="s">
        <v>24</v>
      </c>
      <c r="E3263" s="1"/>
      <c r="F3263" s="29">
        <v>46245</v>
      </c>
      <c r="G3263" s="29">
        <v>46245</v>
      </c>
      <c r="H3263" s="1" t="s">
        <v>103</v>
      </c>
      <c r="I3263" s="126" t="s">
        <v>7270</v>
      </c>
      <c r="J3263" s="175"/>
      <c r="K3263" s="171" t="s">
        <v>7271</v>
      </c>
      <c r="L3263" s="62">
        <v>1</v>
      </c>
      <c r="M3263" s="30">
        <v>4402336077</v>
      </c>
      <c r="N3263" s="171" t="s">
        <v>28</v>
      </c>
      <c r="O3263" s="50">
        <f>7072.51+848</f>
        <v>7920.51</v>
      </c>
      <c r="P3263" s="97">
        <v>848</v>
      </c>
      <c r="Q3263" s="42">
        <f>OfficeForms.Table[[#This Row],[ INFORMEDEPAGO ]]*0.3</f>
        <v>2376.1529999999998</v>
      </c>
      <c r="R3263" s="12">
        <f t="shared" si="83"/>
        <v>1528.1529999999998</v>
      </c>
      <c r="S3263" s="78"/>
      <c r="T3263" s="1"/>
      <c r="V3263" s="1"/>
      <c r="X3263" s="101">
        <v>1</v>
      </c>
    </row>
    <row r="3264" spans="1:24" hidden="1">
      <c r="A3264">
        <v>1678</v>
      </c>
      <c r="B3264" s="2">
        <v>46245.526527777802</v>
      </c>
      <c r="C3264" s="2">
        <v>46245.529571759304</v>
      </c>
      <c r="D3264" s="1" t="s">
        <v>24</v>
      </c>
      <c r="E3264" s="1"/>
      <c r="F3264" s="29">
        <v>46245</v>
      </c>
      <c r="G3264" s="29">
        <v>46244</v>
      </c>
      <c r="H3264" s="1" t="s">
        <v>78</v>
      </c>
      <c r="I3264" s="126" t="s">
        <v>7272</v>
      </c>
      <c r="J3264" s="175" t="s">
        <v>7273</v>
      </c>
      <c r="K3264" s="171" t="s">
        <v>7274</v>
      </c>
      <c r="L3264" s="62">
        <v>23525574</v>
      </c>
      <c r="M3264" s="30">
        <v>5215533934740</v>
      </c>
      <c r="N3264" s="171" t="s">
        <v>28</v>
      </c>
      <c r="O3264" s="50">
        <v>5870.18</v>
      </c>
      <c r="P3264" s="97"/>
      <c r="Q3264" s="42">
        <f>OfficeForms.Table[[#This Row],[ INFORMEDEPAGO ]]*0.3</f>
        <v>1761.0540000000001</v>
      </c>
      <c r="R3264" s="12">
        <f t="shared" ref="R3264" si="84">(IF(O3264&lt;4172.98,0,MIN(O3264*0.3,O3264-4172.98)))-P3264</f>
        <v>1697.2000000000007</v>
      </c>
      <c r="S3264" s="78"/>
      <c r="T3264" s="1"/>
      <c r="V3264" s="1"/>
      <c r="X3264" s="101">
        <v>1</v>
      </c>
    </row>
    <row r="3265" spans="1:24" hidden="1">
      <c r="A3265">
        <v>1679</v>
      </c>
      <c r="B3265" s="2">
        <v>46245.5483564815</v>
      </c>
      <c r="C3265" s="2">
        <v>46245.5488541667</v>
      </c>
      <c r="D3265" s="1" t="s">
        <v>24</v>
      </c>
      <c r="E3265" s="1"/>
      <c r="F3265" s="29">
        <v>46245</v>
      </c>
      <c r="G3265" s="29">
        <v>46245</v>
      </c>
      <c r="H3265" s="1" t="s">
        <v>103</v>
      </c>
      <c r="I3265" s="126" t="s">
        <v>7275</v>
      </c>
      <c r="J3265" s="175"/>
      <c r="K3265" s="171" t="s">
        <v>7276</v>
      </c>
      <c r="L3265" s="62">
        <v>1</v>
      </c>
      <c r="M3265" s="30">
        <v>8116847900</v>
      </c>
      <c r="N3265" s="171" t="s">
        <v>263</v>
      </c>
      <c r="O3265" s="50">
        <v>28683.45</v>
      </c>
      <c r="P3265" s="97">
        <v>8296.17</v>
      </c>
      <c r="Q3265" s="42">
        <f>OfficeForms.Table[[#This Row],[ INFORMEDEPAGO ]]*0.3</f>
        <v>8605.0349999999999</v>
      </c>
      <c r="R3265" s="12">
        <f t="shared" ref="R3265" si="85">(IF(O3265&lt;4172.98,0,MIN(O3265*0.3,O3265-4172.98)))-P3265</f>
        <v>308.86499999999978</v>
      </c>
      <c r="S3265" s="78">
        <v>45839</v>
      </c>
      <c r="T3265" s="1" t="s">
        <v>5368</v>
      </c>
      <c r="V3265" s="1"/>
      <c r="X3265" s="101">
        <v>2</v>
      </c>
    </row>
    <row r="3266" spans="1:24" hidden="1">
      <c r="A3266">
        <v>1680</v>
      </c>
      <c r="B3266" s="2">
        <v>46245.413124999999</v>
      </c>
      <c r="C3266" s="2">
        <v>46245.560277777797</v>
      </c>
      <c r="D3266" s="1" t="s">
        <v>24</v>
      </c>
      <c r="E3266" s="1"/>
      <c r="F3266" s="29">
        <v>46245</v>
      </c>
      <c r="G3266" s="29">
        <v>46244</v>
      </c>
      <c r="H3266" s="1" t="s">
        <v>476</v>
      </c>
      <c r="I3266" s="126" t="s">
        <v>7277</v>
      </c>
      <c r="J3266" s="175"/>
      <c r="K3266" s="171" t="s">
        <v>7278</v>
      </c>
      <c r="L3266" s="62">
        <v>23524054</v>
      </c>
      <c r="M3266" s="30">
        <v>5218125624007</v>
      </c>
      <c r="N3266" s="171" t="s">
        <v>28</v>
      </c>
      <c r="O3266" s="50">
        <v>5588.95</v>
      </c>
      <c r="P3266" s="97"/>
      <c r="Q3266" s="42">
        <f>OfficeForms.Table[[#This Row],[ INFORMEDEPAGO ]]*0.3</f>
        <v>1676.6849999999999</v>
      </c>
      <c r="R3266" s="12">
        <f>(IF(O3266&lt;4172.98,0,MIN(O3266*0.3,O3266-4172.98)))-P3266</f>
        <v>1415.9700000000003</v>
      </c>
      <c r="S3266" s="78"/>
      <c r="T3266" s="1"/>
      <c r="V3266" s="1"/>
      <c r="X3266" s="101">
        <v>1</v>
      </c>
    </row>
    <row r="3267" spans="1:24" hidden="1">
      <c r="A3267">
        <v>1681</v>
      </c>
      <c r="B3267" s="2">
        <v>46245.561030092598</v>
      </c>
      <c r="C3267" s="2">
        <v>46245.563900462999</v>
      </c>
      <c r="D3267" s="1" t="s">
        <v>24</v>
      </c>
      <c r="E3267" s="1"/>
      <c r="F3267" s="29">
        <v>46245</v>
      </c>
      <c r="G3267" s="29">
        <v>46245</v>
      </c>
      <c r="H3267" s="1" t="s">
        <v>5605</v>
      </c>
      <c r="I3267" s="126" t="s">
        <v>7279</v>
      </c>
      <c r="J3267" s="175"/>
      <c r="K3267" s="171" t="s">
        <v>7280</v>
      </c>
      <c r="L3267" s="62">
        <v>23493500</v>
      </c>
      <c r="M3267" s="30">
        <v>9622559150</v>
      </c>
      <c r="N3267" s="171" t="s">
        <v>98</v>
      </c>
      <c r="O3267" s="50"/>
      <c r="P3267" s="97"/>
      <c r="Q3267" s="42">
        <f>OfficeForms.Table[[#This Row],[ INFORMEDEPAGO ]]*0.3</f>
        <v>0</v>
      </c>
      <c r="R3267" s="12">
        <f>(IF(O3267&lt;4172.98,0,MIN(O3267*0.3,O3267-4172.98)))-P3267</f>
        <v>0</v>
      </c>
      <c r="S3267" s="78"/>
      <c r="T3267" s="1"/>
      <c r="V3267" s="1"/>
      <c r="X3267" s="101">
        <v>0</v>
      </c>
    </row>
    <row r="3268" spans="1:24" hidden="1">
      <c r="A3268">
        <v>1682</v>
      </c>
      <c r="B3268" s="2">
        <v>46245.567974537</v>
      </c>
      <c r="C3268" s="2">
        <v>46245.569108796299</v>
      </c>
      <c r="D3268" s="1" t="s">
        <v>24</v>
      </c>
      <c r="E3268" s="1"/>
      <c r="F3268" s="29">
        <v>46245</v>
      </c>
      <c r="G3268" s="29">
        <v>46245</v>
      </c>
      <c r="H3268" s="1" t="s">
        <v>5605</v>
      </c>
      <c r="I3268" s="126" t="s">
        <v>7281</v>
      </c>
      <c r="J3268" s="175"/>
      <c r="K3268" s="171" t="s">
        <v>7282</v>
      </c>
      <c r="L3268" s="62">
        <v>23544882</v>
      </c>
      <c r="M3268" s="30">
        <v>8662399007</v>
      </c>
      <c r="N3268" s="171" t="s">
        <v>28</v>
      </c>
      <c r="O3268" s="50">
        <v>5617.63</v>
      </c>
      <c r="P3268" s="97"/>
      <c r="Q3268" s="42">
        <f>OfficeForms.Table[[#This Row],[ INFORMEDEPAGO ]]*0.3</f>
        <v>1685.289</v>
      </c>
      <c r="R3268" s="12">
        <f>(IF(O3268&lt;4172.98,0,MIN(O3268*0.3,O3268-4172.98)))-P3268</f>
        <v>1444.6500000000005</v>
      </c>
      <c r="S3268" s="78"/>
      <c r="T3268" s="1"/>
      <c r="V3268" s="1"/>
      <c r="X3268" s="101">
        <v>1</v>
      </c>
    </row>
    <row r="3269" spans="1:24" hidden="1">
      <c r="A3269">
        <v>1683</v>
      </c>
      <c r="B3269" s="2">
        <v>46245.468738425901</v>
      </c>
      <c r="C3269" s="2">
        <v>46245.5707638889</v>
      </c>
      <c r="D3269" s="1" t="s">
        <v>24</v>
      </c>
      <c r="E3269" s="1"/>
      <c r="F3269" s="29">
        <v>46245</v>
      </c>
      <c r="G3269" s="29">
        <v>46245</v>
      </c>
      <c r="H3269" s="1" t="s">
        <v>3007</v>
      </c>
      <c r="I3269" s="126" t="s">
        <v>7283</v>
      </c>
      <c r="J3269" s="175" t="s">
        <v>7284</v>
      </c>
      <c r="K3269" s="171"/>
      <c r="L3269" s="62">
        <v>23543860</v>
      </c>
      <c r="M3269" s="30">
        <v>2228397728</v>
      </c>
      <c r="N3269" s="171" t="s">
        <v>37</v>
      </c>
      <c r="O3269" s="50">
        <v>28861.85</v>
      </c>
      <c r="P3269" s="97">
        <v>8658.32</v>
      </c>
      <c r="Q3269" s="42">
        <f>OfficeForms.Table[[#This Row],[ INFORMEDEPAGO ]]*0.3</f>
        <v>8658.5549999999985</v>
      </c>
      <c r="R3269" s="12">
        <f>(IF(O3269&lt;4172.98,0,MIN(O3269*0.3,O3269-4172.98)))-P3269</f>
        <v>0.23499999999876309</v>
      </c>
      <c r="S3269" s="78">
        <v>46569</v>
      </c>
      <c r="T3269" s="1"/>
      <c r="V3269" s="1"/>
      <c r="X3269" s="101">
        <v>2</v>
      </c>
    </row>
    <row r="3270" spans="1:24" hidden="1">
      <c r="A3270">
        <v>1684</v>
      </c>
      <c r="B3270" s="2">
        <v>46245.373078703698</v>
      </c>
      <c r="C3270" s="2">
        <v>46245.571273148104</v>
      </c>
      <c r="D3270" s="1" t="s">
        <v>24</v>
      </c>
      <c r="E3270" s="1"/>
      <c r="F3270" s="29">
        <v>46245</v>
      </c>
      <c r="G3270" s="29">
        <v>46245</v>
      </c>
      <c r="H3270" s="1" t="s">
        <v>6605</v>
      </c>
      <c r="I3270" s="126" t="s">
        <v>7285</v>
      </c>
      <c r="J3270" s="175">
        <v>43017108036</v>
      </c>
      <c r="K3270" s="171" t="s">
        <v>7286</v>
      </c>
      <c r="L3270" s="62">
        <v>23545116</v>
      </c>
      <c r="M3270" s="30">
        <v>8149833015</v>
      </c>
      <c r="N3270" s="171" t="s">
        <v>74</v>
      </c>
      <c r="O3270" s="50"/>
      <c r="P3270" s="97"/>
      <c r="Q3270" s="42">
        <f>OfficeForms.Table[[#This Row],[ INFORMEDEPAGO ]]*0.3</f>
        <v>0</v>
      </c>
      <c r="R3270" s="12">
        <f>(IF(O3270&lt;4172.98,0,MIN(O3270*0.3,O3270-4172.98)))-P3270</f>
        <v>0</v>
      </c>
      <c r="S3270" s="78"/>
      <c r="T3270" s="1"/>
      <c r="V3270" s="1"/>
      <c r="X3270" s="101">
        <v>1</v>
      </c>
    </row>
    <row r="3271" spans="1:24" hidden="1">
      <c r="A3271">
        <v>1685</v>
      </c>
      <c r="B3271" s="2">
        <v>46245.576805555596</v>
      </c>
      <c r="C3271" s="2">
        <v>46245.577743055597</v>
      </c>
      <c r="D3271" s="1" t="s">
        <v>24</v>
      </c>
      <c r="E3271" s="1"/>
      <c r="F3271" s="29">
        <v>46245</v>
      </c>
      <c r="G3271" s="29">
        <v>46238</v>
      </c>
      <c r="H3271" s="1" t="s">
        <v>110</v>
      </c>
      <c r="I3271" s="126" t="s">
        <v>7287</v>
      </c>
      <c r="J3271" s="175" t="s">
        <v>7288</v>
      </c>
      <c r="K3271" s="171"/>
      <c r="L3271" s="62">
        <v>23376270</v>
      </c>
      <c r="M3271" s="30">
        <v>5214423716101</v>
      </c>
      <c r="N3271" s="171" t="s">
        <v>47</v>
      </c>
      <c r="O3271" s="50">
        <v>11831.43</v>
      </c>
      <c r="P3271" s="97">
        <v>3000</v>
      </c>
      <c r="Q3271" s="42">
        <f>OfficeForms.Table[[#This Row],[ INFORMEDEPAGO ]]*0.3</f>
        <v>3549.4290000000001</v>
      </c>
      <c r="R3271" s="12">
        <f>(IF(O3271&lt;4172.98,0,MIN(O3271*0.3,O3271-4172.98)))-P3271</f>
        <v>549.42900000000009</v>
      </c>
      <c r="S3271" s="78">
        <v>46447</v>
      </c>
      <c r="T3271" s="1"/>
      <c r="V3271" s="1"/>
      <c r="X3271" s="101">
        <v>2</v>
      </c>
    </row>
    <row r="3272" spans="1:24" hidden="1">
      <c r="A3272">
        <v>1687</v>
      </c>
      <c r="B3272" s="2">
        <v>46245.364050925898</v>
      </c>
      <c r="C3272" s="2">
        <v>46245.583402777796</v>
      </c>
      <c r="D3272" s="1" t="s">
        <v>24</v>
      </c>
      <c r="E3272" s="1"/>
      <c r="F3272" s="29">
        <v>46245</v>
      </c>
      <c r="G3272" s="29">
        <v>46245</v>
      </c>
      <c r="H3272" s="1" t="s">
        <v>2908</v>
      </c>
      <c r="I3272" s="126" t="s">
        <v>7289</v>
      </c>
      <c r="J3272" s="175">
        <v>42806272961</v>
      </c>
      <c r="K3272" s="171" t="s">
        <v>7290</v>
      </c>
      <c r="L3272" s="62">
        <v>2</v>
      </c>
      <c r="M3272" s="30">
        <v>5535784192</v>
      </c>
      <c r="N3272" s="171" t="s">
        <v>47</v>
      </c>
      <c r="O3272" s="50">
        <v>7920.51</v>
      </c>
      <c r="P3272" s="97">
        <v>1470.58</v>
      </c>
      <c r="Q3272" s="42">
        <f>OfficeForms.Table[[#This Row],[ INFORMEDEPAGO ]]*0.3</f>
        <v>2376.1529999999998</v>
      </c>
      <c r="R3272" s="12">
        <f>(IF(O3272&lt;4172.98,0,MIN(O3272*0.3,O3272-4172.98)))-P3272</f>
        <v>905.57299999999987</v>
      </c>
      <c r="S3272" s="78">
        <v>46508</v>
      </c>
      <c r="T3272" s="1" t="s">
        <v>259</v>
      </c>
      <c r="V3272" s="1"/>
      <c r="X3272" s="101">
        <v>2</v>
      </c>
    </row>
    <row r="3273" spans="1:24" hidden="1">
      <c r="A3273">
        <v>1688</v>
      </c>
      <c r="B3273" s="2">
        <v>46245.587500000001</v>
      </c>
      <c r="C3273" s="2">
        <v>46245.588854166701</v>
      </c>
      <c r="D3273" s="1" t="s">
        <v>24</v>
      </c>
      <c r="E3273" s="1"/>
      <c r="F3273" s="29">
        <v>46245</v>
      </c>
      <c r="G3273" s="29">
        <v>46245</v>
      </c>
      <c r="H3273" s="1" t="s">
        <v>51</v>
      </c>
      <c r="I3273" s="126" t="s">
        <v>7291</v>
      </c>
      <c r="J3273" s="175">
        <v>65947410679</v>
      </c>
      <c r="K3273" s="171" t="s">
        <v>7292</v>
      </c>
      <c r="L3273" s="62">
        <v>23531678</v>
      </c>
      <c r="M3273" s="30">
        <v>5212283252138</v>
      </c>
      <c r="N3273" s="171" t="s">
        <v>28</v>
      </c>
      <c r="O3273" s="50">
        <v>8672.5</v>
      </c>
      <c r="P3273" s="97"/>
      <c r="Q3273" s="42">
        <f>OfficeForms.Table[[#This Row],[ INFORMEDEPAGO ]]*0.3</f>
        <v>2601.75</v>
      </c>
      <c r="R3273" s="12">
        <f t="shared" ref="R3273:R3277" si="86">(IF(O3273&lt;4172.98,0,MIN(O3273*0.3,O3273-4172.98)))-P3273</f>
        <v>2601.75</v>
      </c>
      <c r="S3273" s="78"/>
      <c r="T3273" s="1"/>
      <c r="V3273" s="1"/>
      <c r="X3273" s="101">
        <v>1</v>
      </c>
    </row>
    <row r="3274" spans="1:24" hidden="1">
      <c r="A3274">
        <v>1689</v>
      </c>
      <c r="B3274" s="2">
        <v>46245.584849537001</v>
      </c>
      <c r="C3274" s="2">
        <v>46245.591956018499</v>
      </c>
      <c r="D3274" s="1" t="s">
        <v>24</v>
      </c>
      <c r="E3274" s="1"/>
      <c r="F3274" s="29">
        <v>46245</v>
      </c>
      <c r="G3274" s="29">
        <v>46244</v>
      </c>
      <c r="H3274" s="1" t="s">
        <v>6605</v>
      </c>
      <c r="I3274" s="126" t="s">
        <v>7293</v>
      </c>
      <c r="J3274" s="175"/>
      <c r="K3274" s="171" t="s">
        <v>7294</v>
      </c>
      <c r="L3274" s="62">
        <v>23518306</v>
      </c>
      <c r="M3274" s="30">
        <v>4871457235</v>
      </c>
      <c r="N3274" s="171" t="s">
        <v>32</v>
      </c>
      <c r="O3274" s="50">
        <f>3463.43+879</f>
        <v>4342.43</v>
      </c>
      <c r="P3274" s="97">
        <v>879</v>
      </c>
      <c r="Q3274" s="42">
        <f>OfficeForms.Table[[#This Row],[ INFORMEDEPAGO ]]*0.3</f>
        <v>1302.729</v>
      </c>
      <c r="R3274" s="12">
        <f t="shared" si="86"/>
        <v>-709.54999999999927</v>
      </c>
      <c r="S3274" s="78"/>
      <c r="T3274" s="1"/>
      <c r="V3274" s="1"/>
      <c r="X3274" s="101">
        <v>1</v>
      </c>
    </row>
    <row r="3275" spans="1:24" hidden="1">
      <c r="A3275">
        <v>1690</v>
      </c>
      <c r="B3275" s="2">
        <v>46245.493125000001</v>
      </c>
      <c r="C3275" s="2">
        <v>46245.595347222203</v>
      </c>
      <c r="D3275" s="1" t="s">
        <v>24</v>
      </c>
      <c r="E3275" s="1"/>
      <c r="F3275" s="29">
        <v>46245</v>
      </c>
      <c r="G3275" s="29">
        <v>46245</v>
      </c>
      <c r="H3275" s="1" t="s">
        <v>1629</v>
      </c>
      <c r="I3275" s="126" t="s">
        <v>7295</v>
      </c>
      <c r="J3275" s="175" t="s">
        <v>7296</v>
      </c>
      <c r="K3275" s="171" t="s">
        <v>7297</v>
      </c>
      <c r="L3275" s="62">
        <v>2</v>
      </c>
      <c r="M3275" s="30">
        <v>3329151999</v>
      </c>
      <c r="N3275" s="171" t="s">
        <v>47</v>
      </c>
      <c r="O3275" s="50">
        <v>7920.51</v>
      </c>
      <c r="P3275" s="97">
        <v>1406.47</v>
      </c>
      <c r="Q3275" s="42">
        <f>OfficeForms.Table[[#This Row],[ INFORMEDEPAGO ]]*0.3</f>
        <v>2376.1529999999998</v>
      </c>
      <c r="R3275" s="12">
        <f t="shared" si="86"/>
        <v>969.68299999999977</v>
      </c>
      <c r="S3275" s="78">
        <v>46722</v>
      </c>
      <c r="T3275" s="1"/>
      <c r="V3275" s="1"/>
      <c r="X3275" s="101">
        <v>2</v>
      </c>
    </row>
    <row r="3276" spans="1:24" hidden="1">
      <c r="A3276">
        <v>1691</v>
      </c>
      <c r="B3276" s="2">
        <v>46245.599861111099</v>
      </c>
      <c r="C3276" s="2">
        <v>46245.600601851896</v>
      </c>
      <c r="D3276" s="1" t="s">
        <v>24</v>
      </c>
      <c r="E3276" s="1"/>
      <c r="F3276" s="29">
        <v>46245</v>
      </c>
      <c r="G3276" s="29">
        <v>46245</v>
      </c>
      <c r="H3276" s="1" t="s">
        <v>269</v>
      </c>
      <c r="I3276" s="126" t="s">
        <v>7298</v>
      </c>
      <c r="J3276" s="175"/>
      <c r="K3276" s="171" t="s">
        <v>7299</v>
      </c>
      <c r="L3276" s="62">
        <v>23538050</v>
      </c>
      <c r="M3276" s="30">
        <v>5214621834087</v>
      </c>
      <c r="N3276" s="171" t="s">
        <v>32</v>
      </c>
      <c r="O3276" s="50">
        <f>4012.79+848</f>
        <v>4860.79</v>
      </c>
      <c r="P3276" s="97">
        <v>848</v>
      </c>
      <c r="Q3276" s="42">
        <f>OfficeForms.Table[[#This Row],[ INFORMEDEPAGO ]]*0.3</f>
        <v>1458.2369999999999</v>
      </c>
      <c r="R3276" s="12">
        <f t="shared" si="86"/>
        <v>-160.1899999999996</v>
      </c>
      <c r="S3276" s="78"/>
      <c r="T3276" s="1"/>
      <c r="V3276" s="1"/>
      <c r="X3276" s="101">
        <v>1</v>
      </c>
    </row>
    <row r="3277" spans="1:24" hidden="1">
      <c r="A3277">
        <v>1692</v>
      </c>
      <c r="B3277" s="2">
        <v>46245.588877314804</v>
      </c>
      <c r="C3277" s="2">
        <v>46245.606909722199</v>
      </c>
      <c r="D3277" s="1" t="s">
        <v>24</v>
      </c>
      <c r="E3277" s="1"/>
      <c r="F3277" s="29">
        <v>46245</v>
      </c>
      <c r="G3277" s="29">
        <v>46245</v>
      </c>
      <c r="H3277" s="1" t="s">
        <v>51</v>
      </c>
      <c r="I3277" s="126" t="s">
        <v>7300</v>
      </c>
      <c r="J3277" s="175"/>
      <c r="K3277" s="171" t="s">
        <v>7301</v>
      </c>
      <c r="L3277" s="62">
        <v>23540188</v>
      </c>
      <c r="M3277" s="30">
        <v>5214273045661</v>
      </c>
      <c r="N3277" s="171" t="s">
        <v>37</v>
      </c>
      <c r="O3277" s="50">
        <v>7116.73</v>
      </c>
      <c r="P3277" s="97">
        <v>2058.1799999999998</v>
      </c>
      <c r="Q3277" s="42">
        <f>OfficeForms.Table[[#This Row],[ INFORMEDEPAGO ]]*0.3</f>
        <v>2135.0189999999998</v>
      </c>
      <c r="R3277" s="12">
        <f t="shared" si="86"/>
        <v>76.838999999999942</v>
      </c>
      <c r="S3277" s="78">
        <v>46569</v>
      </c>
      <c r="T3277" s="1"/>
      <c r="V3277" s="1"/>
      <c r="X3277" s="101">
        <v>2</v>
      </c>
    </row>
    <row r="3278" spans="1:24" hidden="1">
      <c r="A3278">
        <v>1693</v>
      </c>
      <c r="B3278" s="2">
        <v>46244.6887152778</v>
      </c>
      <c r="C3278" s="2">
        <v>46245.622581018499</v>
      </c>
      <c r="D3278" s="1" t="s">
        <v>24</v>
      </c>
      <c r="E3278" s="1"/>
      <c r="F3278" s="29">
        <v>46245</v>
      </c>
      <c r="G3278" s="29">
        <v>46245</v>
      </c>
      <c r="H3278" s="1" t="s">
        <v>3352</v>
      </c>
      <c r="I3278" s="126" t="s">
        <v>7302</v>
      </c>
      <c r="J3278" s="175"/>
      <c r="K3278" s="171" t="s">
        <v>7303</v>
      </c>
      <c r="L3278" s="62">
        <v>23544788</v>
      </c>
      <c r="M3278" s="30">
        <v>8681564786</v>
      </c>
      <c r="N3278" s="171" t="s">
        <v>28</v>
      </c>
      <c r="O3278" s="50">
        <f>21715.47+848</f>
        <v>22563.47</v>
      </c>
      <c r="P3278" s="97">
        <v>848</v>
      </c>
      <c r="Q3278" s="42">
        <f>OfficeForms.Table[[#This Row],[ INFORMEDEPAGO ]]*0.3</f>
        <v>6769.0410000000002</v>
      </c>
      <c r="R3278" s="12">
        <f t="shared" ref="R3278:R3279" si="87">(IF(O3278&lt;4172.98,0,MIN(O3278*0.3,O3278-4172.98)))-P3278</f>
        <v>5921.0410000000002</v>
      </c>
      <c r="S3278" s="78"/>
      <c r="T3278" s="1"/>
      <c r="V3278" s="1"/>
      <c r="X3278" s="101">
        <v>1</v>
      </c>
    </row>
    <row r="3279" spans="1:24" hidden="1">
      <c r="A3279">
        <v>1694</v>
      </c>
      <c r="B3279" s="2">
        <v>46245.4906597222</v>
      </c>
      <c r="C3279" s="2">
        <v>46245.627824074101</v>
      </c>
      <c r="D3279" s="1" t="s">
        <v>24</v>
      </c>
      <c r="E3279" s="1"/>
      <c r="F3279" s="29">
        <v>46245</v>
      </c>
      <c r="G3279" s="29">
        <v>46245</v>
      </c>
      <c r="H3279" s="1" t="s">
        <v>1625</v>
      </c>
      <c r="I3279" s="126" t="s">
        <v>7304</v>
      </c>
      <c r="J3279" s="175">
        <v>11947719404</v>
      </c>
      <c r="K3279" s="171" t="s">
        <v>7305</v>
      </c>
      <c r="L3279" s="62">
        <v>2</v>
      </c>
      <c r="M3279" s="30">
        <v>5565149857</v>
      </c>
      <c r="N3279" s="171" t="s">
        <v>37</v>
      </c>
      <c r="O3279" s="50">
        <v>7135.6</v>
      </c>
      <c r="P3279" s="97">
        <v>2064.4899999999998</v>
      </c>
      <c r="Q3279" s="42">
        <f>OfficeForms.Table[[#This Row],[ INFORMEDEPAGO ]]*0.3</f>
        <v>2140.6799999999998</v>
      </c>
      <c r="R3279" s="12">
        <f t="shared" si="87"/>
        <v>76.190000000000055</v>
      </c>
      <c r="S3279" s="78">
        <v>46419</v>
      </c>
      <c r="T3279" s="1"/>
      <c r="V3279" s="1"/>
      <c r="X3279" s="101">
        <v>2</v>
      </c>
    </row>
    <row r="3280" spans="1:24" hidden="1">
      <c r="A3280">
        <v>1695</v>
      </c>
      <c r="B3280" s="2">
        <v>46245.633819444403</v>
      </c>
      <c r="C3280" s="2">
        <v>46245.634895833296</v>
      </c>
      <c r="D3280" s="1" t="s">
        <v>24</v>
      </c>
      <c r="E3280" s="1"/>
      <c r="F3280" s="29">
        <v>46245</v>
      </c>
      <c r="G3280" s="29">
        <v>46245</v>
      </c>
      <c r="H3280" s="1" t="s">
        <v>5605</v>
      </c>
      <c r="I3280" s="126"/>
      <c r="J3280" s="175">
        <v>11765747396</v>
      </c>
      <c r="K3280" s="171"/>
      <c r="L3280" s="62">
        <v>23547588</v>
      </c>
      <c r="M3280" s="30">
        <v>5568769910</v>
      </c>
      <c r="N3280" s="171" t="s">
        <v>28</v>
      </c>
      <c r="O3280" s="50">
        <f>6484.38+879</f>
        <v>7363.38</v>
      </c>
      <c r="P3280" s="97">
        <v>879</v>
      </c>
      <c r="Q3280" s="42">
        <f>OfficeForms.Table[[#This Row],[ INFORMEDEPAGO ]]*0.3</f>
        <v>2209.0140000000001</v>
      </c>
      <c r="R3280" s="12">
        <f t="shared" ref="R3280:R3281" si="88">(IF(O3280&lt;4172.98,0,MIN(O3280*0.3,O3280-4172.98)))-P3280</f>
        <v>1330.0140000000001</v>
      </c>
      <c r="S3280" s="78"/>
      <c r="T3280" s="1"/>
      <c r="V3280" s="1"/>
      <c r="X3280" s="101">
        <v>1</v>
      </c>
    </row>
    <row r="3281" spans="1:24" hidden="1">
      <c r="A3281">
        <v>1696</v>
      </c>
      <c r="B3281" s="2">
        <v>46245.6342939815</v>
      </c>
      <c r="C3281" s="2">
        <v>46245.635300925896</v>
      </c>
      <c r="D3281" s="1" t="s">
        <v>24</v>
      </c>
      <c r="E3281" s="1"/>
      <c r="F3281" s="29">
        <v>46245</v>
      </c>
      <c r="G3281" s="29">
        <v>46245</v>
      </c>
      <c r="H3281" s="1" t="s">
        <v>5033</v>
      </c>
      <c r="I3281" s="126" t="s">
        <v>7306</v>
      </c>
      <c r="J3281" s="175">
        <v>12876901443</v>
      </c>
      <c r="K3281" s="171"/>
      <c r="L3281" s="62">
        <v>23547496</v>
      </c>
      <c r="M3281" s="30">
        <v>4776739014</v>
      </c>
      <c r="N3281" s="171" t="s">
        <v>74</v>
      </c>
      <c r="O3281" s="50"/>
      <c r="P3281" s="97"/>
      <c r="Q3281" s="42">
        <f>OfficeForms.Table[[#This Row],[ INFORMEDEPAGO ]]*0.3</f>
        <v>0</v>
      </c>
      <c r="R3281" s="12">
        <f t="shared" si="88"/>
        <v>0</v>
      </c>
      <c r="S3281" s="78"/>
      <c r="T3281" s="1"/>
      <c r="V3281" s="1"/>
      <c r="X3281" s="101">
        <v>1</v>
      </c>
    </row>
    <row r="3282" spans="1:24" hidden="1">
      <c r="A3282">
        <v>1697</v>
      </c>
      <c r="B3282" s="2">
        <v>46245.638206018499</v>
      </c>
      <c r="C3282" s="2">
        <v>46245.640208333301</v>
      </c>
      <c r="D3282" s="1" t="s">
        <v>24</v>
      </c>
      <c r="E3282" s="1"/>
      <c r="F3282" s="29">
        <v>46245</v>
      </c>
      <c r="G3282" s="29">
        <v>46245</v>
      </c>
      <c r="H3282" s="1" t="s">
        <v>26</v>
      </c>
      <c r="I3282" s="126" t="s">
        <v>7307</v>
      </c>
      <c r="J3282" s="175" t="s">
        <v>7308</v>
      </c>
      <c r="K3282" s="171"/>
      <c r="L3282" s="62">
        <v>23547118</v>
      </c>
      <c r="M3282" s="30">
        <v>5213111586783</v>
      </c>
      <c r="N3282" s="171" t="s">
        <v>235</v>
      </c>
      <c r="O3282" s="50"/>
      <c r="P3282" s="97"/>
      <c r="Q3282" s="42">
        <f>OfficeForms.Table[[#This Row],[ INFORMEDEPAGO ]]*0.3</f>
        <v>0</v>
      </c>
      <c r="R3282" s="12">
        <f t="shared" ref="R3282:R3283" si="89">(IF(O3282&lt;4172.98,0,MIN(O3282*0.3,O3282-4172.98)))-P3282</f>
        <v>0</v>
      </c>
      <c r="S3282" s="78"/>
      <c r="T3282" s="1"/>
      <c r="V3282" s="1"/>
      <c r="X3282" s="101">
        <v>1</v>
      </c>
    </row>
    <row r="3283" spans="1:24" hidden="1">
      <c r="A3283">
        <v>1698</v>
      </c>
      <c r="B3283" s="2">
        <v>46245.627870370401</v>
      </c>
      <c r="C3283" s="2">
        <v>46245.641145833302</v>
      </c>
      <c r="D3283" s="1" t="s">
        <v>24</v>
      </c>
      <c r="E3283" s="1"/>
      <c r="F3283" s="29">
        <v>46245</v>
      </c>
      <c r="G3283" s="29">
        <v>46245</v>
      </c>
      <c r="H3283" s="1" t="s">
        <v>1625</v>
      </c>
      <c r="I3283" s="126" t="s">
        <v>3957</v>
      </c>
      <c r="J3283" s="175" t="s">
        <v>3958</v>
      </c>
      <c r="K3283" s="171" t="s">
        <v>3959</v>
      </c>
      <c r="L3283" s="62">
        <v>2</v>
      </c>
      <c r="M3283" s="30">
        <v>9841527409</v>
      </c>
      <c r="N3283" s="171" t="s">
        <v>37</v>
      </c>
      <c r="O3283" s="50">
        <v>7363.38</v>
      </c>
      <c r="P3283" s="97">
        <v>2126.75</v>
      </c>
      <c r="Q3283" s="42">
        <f>OfficeForms.Table[[#This Row],[ INFORMEDEPAGO ]]*0.3</f>
        <v>2209.0140000000001</v>
      </c>
      <c r="R3283" s="12">
        <f t="shared" si="89"/>
        <v>82.264000000000124</v>
      </c>
      <c r="S3283" s="78">
        <v>46569</v>
      </c>
      <c r="T3283" s="1" t="s">
        <v>84</v>
      </c>
      <c r="V3283" s="1"/>
      <c r="X3283" s="101">
        <v>2</v>
      </c>
    </row>
    <row r="3284" spans="1:24" hidden="1">
      <c r="A3284">
        <v>1699</v>
      </c>
      <c r="B3284" s="2">
        <v>46245.606967592597</v>
      </c>
      <c r="C3284" s="2">
        <v>46245.6461921296</v>
      </c>
      <c r="D3284" s="1" t="s">
        <v>24</v>
      </c>
      <c r="E3284" s="1"/>
      <c r="F3284" s="29">
        <v>46245</v>
      </c>
      <c r="G3284" s="29">
        <v>46244</v>
      </c>
      <c r="H3284" s="1" t="s">
        <v>51</v>
      </c>
      <c r="I3284" s="126" t="s">
        <v>7309</v>
      </c>
      <c r="J3284" s="175" t="s">
        <v>7310</v>
      </c>
      <c r="K3284" s="171" t="s">
        <v>7311</v>
      </c>
      <c r="L3284" s="62">
        <v>23528886</v>
      </c>
      <c r="M3284" s="30">
        <v>5216673896060</v>
      </c>
      <c r="N3284" s="171" t="s">
        <v>37</v>
      </c>
      <c r="O3284" s="50">
        <v>45294.28</v>
      </c>
      <c r="P3284" s="97">
        <v>13588.09</v>
      </c>
      <c r="Q3284" s="42">
        <f>OfficeForms.Table[[#This Row],[ INFORMEDEPAGO ]]*0.3</f>
        <v>13588.284</v>
      </c>
      <c r="R3284" s="12">
        <f t="shared" ref="R3284:R3286" si="90">(IF(O3284&lt;4172.98,0,MIN(O3284*0.3,O3284-4172.98)))-P3284</f>
        <v>0.19399999999950523</v>
      </c>
      <c r="S3284" s="78">
        <v>46357</v>
      </c>
      <c r="T3284" s="1"/>
      <c r="V3284" s="1"/>
      <c r="X3284" s="101">
        <v>2</v>
      </c>
    </row>
    <row r="3285" spans="1:24" hidden="1">
      <c r="A3285">
        <v>1700</v>
      </c>
      <c r="B3285" s="2">
        <v>46245.647905092599</v>
      </c>
      <c r="C3285" s="2">
        <v>46245.648611111101</v>
      </c>
      <c r="D3285" s="1" t="s">
        <v>24</v>
      </c>
      <c r="E3285" s="1"/>
      <c r="F3285" s="29">
        <v>46245</v>
      </c>
      <c r="G3285" s="29">
        <v>46245</v>
      </c>
      <c r="H3285" s="1" t="s">
        <v>269</v>
      </c>
      <c r="I3285" s="126" t="s">
        <v>7312</v>
      </c>
      <c r="J3285" s="207"/>
      <c r="K3285" s="171" t="s">
        <v>7313</v>
      </c>
      <c r="L3285" s="62">
        <v>23529254</v>
      </c>
      <c r="M3285" s="30">
        <v>5216682337943</v>
      </c>
      <c r="N3285" s="171" t="s">
        <v>37</v>
      </c>
      <c r="O3285" s="50">
        <v>7400.19</v>
      </c>
      <c r="P3285" s="97">
        <v>1984.83</v>
      </c>
      <c r="Q3285" s="42">
        <f>OfficeForms.Table[[#This Row],[ INFORMEDEPAGO ]]*0.3</f>
        <v>2220.0569999999998</v>
      </c>
      <c r="R3285" s="12">
        <f t="shared" si="90"/>
        <v>235.22699999999986</v>
      </c>
      <c r="S3285" s="78">
        <v>46661</v>
      </c>
      <c r="T3285" s="1"/>
      <c r="V3285" s="1"/>
      <c r="X3285" s="101">
        <v>2</v>
      </c>
    </row>
    <row r="3286" spans="1:24" hidden="1">
      <c r="A3286">
        <v>1701</v>
      </c>
      <c r="B3286" s="2">
        <v>46245.641180555598</v>
      </c>
      <c r="C3286" s="2">
        <v>46245.655856481499</v>
      </c>
      <c r="D3286" s="1" t="s">
        <v>24</v>
      </c>
      <c r="E3286" s="1"/>
      <c r="F3286" s="29">
        <v>46245</v>
      </c>
      <c r="G3286" s="29">
        <v>46245</v>
      </c>
      <c r="H3286" s="1" t="s">
        <v>1625</v>
      </c>
      <c r="I3286" s="126" t="s">
        <v>1598</v>
      </c>
      <c r="J3286" s="207" t="s">
        <v>7314</v>
      </c>
      <c r="K3286" s="171" t="s">
        <v>1599</v>
      </c>
      <c r="L3286" s="62">
        <v>2</v>
      </c>
      <c r="M3286" s="30" t="s">
        <v>7315</v>
      </c>
      <c r="N3286" s="171" t="s">
        <v>37</v>
      </c>
      <c r="O3286" s="50">
        <v>9081.52</v>
      </c>
      <c r="P3286" s="97">
        <v>2627.49</v>
      </c>
      <c r="Q3286" s="42">
        <f>OfficeForms.Table[[#This Row],[ INFORMEDEPAGO ]]*0.3</f>
        <v>2724.4560000000001</v>
      </c>
      <c r="R3286" s="12">
        <f t="shared" si="90"/>
        <v>96.966000000000349</v>
      </c>
      <c r="S3286" s="78">
        <v>46539</v>
      </c>
      <c r="T3286" s="1"/>
      <c r="V3286" s="1"/>
      <c r="X3286" s="101">
        <v>2</v>
      </c>
    </row>
    <row r="3287" spans="1:24" hidden="1">
      <c r="A3287">
        <v>1702</v>
      </c>
      <c r="B3287" s="2">
        <v>46245.656099537002</v>
      </c>
      <c r="C3287" s="2">
        <v>46245.658726851798</v>
      </c>
      <c r="D3287" s="1" t="s">
        <v>24</v>
      </c>
      <c r="E3287" s="1"/>
      <c r="F3287" s="29">
        <v>46245</v>
      </c>
      <c r="G3287" s="29">
        <v>46245</v>
      </c>
      <c r="H3287" s="1" t="s">
        <v>476</v>
      </c>
      <c r="I3287" s="126" t="s">
        <v>7316</v>
      </c>
      <c r="J3287" s="207">
        <v>22836100937</v>
      </c>
      <c r="K3287" s="171" t="s">
        <v>7317</v>
      </c>
      <c r="L3287" s="62">
        <v>23548894</v>
      </c>
      <c r="M3287" s="30">
        <v>5216151167114</v>
      </c>
      <c r="N3287" s="171" t="s">
        <v>37</v>
      </c>
      <c r="O3287" s="50">
        <v>10745.59</v>
      </c>
      <c r="P3287" s="97">
        <v>3216.14</v>
      </c>
      <c r="Q3287" s="42">
        <f>OfficeForms.Table[[#This Row],[ INFORMEDEPAGO ]]*0.3</f>
        <v>3223.6770000000001</v>
      </c>
      <c r="R3287" s="12">
        <f t="shared" ref="R3287:R3300" si="91">(IF(O3287&lt;4172.98,0,MIN(O3287*0.3,O3287-4172.98)))-P3287</f>
        <v>7.5370000000002619</v>
      </c>
      <c r="S3287" s="78">
        <v>46844</v>
      </c>
      <c r="T3287" s="1" t="s">
        <v>84</v>
      </c>
      <c r="V3287" s="1"/>
      <c r="X3287" s="101">
        <v>2</v>
      </c>
    </row>
    <row r="3288" spans="1:24" hidden="1">
      <c r="A3288">
        <v>1703</v>
      </c>
      <c r="B3288" s="2">
        <v>46245.658020833303</v>
      </c>
      <c r="C3288" s="2">
        <v>46245.658912036997</v>
      </c>
      <c r="D3288" s="1" t="s">
        <v>24</v>
      </c>
      <c r="E3288" s="1"/>
      <c r="F3288" s="29">
        <v>46245</v>
      </c>
      <c r="G3288" s="29">
        <v>46245</v>
      </c>
      <c r="H3288" s="1" t="s">
        <v>5691</v>
      </c>
      <c r="I3288" s="126" t="s">
        <v>7318</v>
      </c>
      <c r="J3288" s="207"/>
      <c r="K3288" s="171" t="s">
        <v>7319</v>
      </c>
      <c r="L3288" s="62">
        <v>23545786</v>
      </c>
      <c r="M3288" s="30">
        <v>6566062251</v>
      </c>
      <c r="N3288" s="171" t="s">
        <v>37</v>
      </c>
      <c r="O3288" s="50">
        <v>11049.29</v>
      </c>
      <c r="P3288" s="97">
        <v>3187.35</v>
      </c>
      <c r="Q3288" s="42">
        <f>OfficeForms.Table[[#This Row],[ INFORMEDEPAGO ]]*0.3</f>
        <v>3314.7870000000003</v>
      </c>
      <c r="R3288" s="12">
        <f t="shared" si="91"/>
        <v>127.43700000000035</v>
      </c>
      <c r="S3288" s="78">
        <v>46874</v>
      </c>
      <c r="T3288" s="1" t="s">
        <v>259</v>
      </c>
      <c r="V3288" s="1"/>
      <c r="X3288" s="101">
        <v>2</v>
      </c>
    </row>
    <row r="3289" spans="1:24" hidden="1">
      <c r="A3289">
        <v>1704</v>
      </c>
      <c r="B3289" s="2">
        <v>46245.655868055597</v>
      </c>
      <c r="C3289" s="2">
        <v>46245.668599536999</v>
      </c>
      <c r="D3289" s="1" t="s">
        <v>24</v>
      </c>
      <c r="E3289" s="1"/>
      <c r="F3289" s="29">
        <v>46245</v>
      </c>
      <c r="G3289" s="29">
        <v>46245</v>
      </c>
      <c r="H3289" s="1" t="s">
        <v>1625</v>
      </c>
      <c r="I3289" s="126" t="s">
        <v>7320</v>
      </c>
      <c r="J3289" s="207">
        <v>43947860573</v>
      </c>
      <c r="K3289" s="171" t="s">
        <v>7321</v>
      </c>
      <c r="L3289" s="62">
        <v>2</v>
      </c>
      <c r="M3289" s="30">
        <v>8182106957</v>
      </c>
      <c r="N3289" s="171" t="s">
        <v>37</v>
      </c>
      <c r="O3289" s="50">
        <v>10731.19</v>
      </c>
      <c r="P3289" s="97">
        <v>3206.44</v>
      </c>
      <c r="Q3289" s="42">
        <f>OfficeForms.Table[[#This Row],[ INFORMEDEPAGO ]]*0.3</f>
        <v>3219.357</v>
      </c>
      <c r="R3289" s="12">
        <f t="shared" si="91"/>
        <v>12.916999999999916</v>
      </c>
      <c r="S3289" s="78">
        <v>46935</v>
      </c>
      <c r="T3289" s="1" t="s">
        <v>192</v>
      </c>
      <c r="V3289" s="1"/>
      <c r="X3289" s="101">
        <v>2</v>
      </c>
    </row>
    <row r="3290" spans="1:24" hidden="1">
      <c r="A3290">
        <v>1705</v>
      </c>
      <c r="B3290" s="2">
        <v>46245.663009259297</v>
      </c>
      <c r="C3290" s="2">
        <v>46245.668749999997</v>
      </c>
      <c r="D3290" s="1" t="s">
        <v>24</v>
      </c>
      <c r="E3290" s="1"/>
      <c r="F3290" s="29">
        <v>46245</v>
      </c>
      <c r="G3290" s="29">
        <v>46245</v>
      </c>
      <c r="H3290" s="1" t="s">
        <v>78</v>
      </c>
      <c r="I3290" s="126" t="s">
        <v>7322</v>
      </c>
      <c r="J3290" s="207" t="s">
        <v>7323</v>
      </c>
      <c r="K3290" s="171" t="s">
        <v>7324</v>
      </c>
      <c r="L3290" s="62">
        <v>23535838</v>
      </c>
      <c r="M3290" s="30">
        <v>5219983880061</v>
      </c>
      <c r="N3290" s="171" t="s">
        <v>106</v>
      </c>
      <c r="O3290" s="50">
        <v>9760.32</v>
      </c>
      <c r="P3290" s="97"/>
      <c r="Q3290" s="42">
        <f>OfficeForms.Table[[#This Row],[ INFORMEDEPAGO ]]*0.3</f>
        <v>2928.096</v>
      </c>
      <c r="R3290" s="12">
        <f t="shared" si="91"/>
        <v>2928.096</v>
      </c>
      <c r="S3290" s="78"/>
      <c r="T3290" s="1"/>
      <c r="V3290" s="1"/>
      <c r="X3290" s="101">
        <v>1</v>
      </c>
    </row>
    <row r="3291" spans="1:24" hidden="1">
      <c r="A3291">
        <v>1706</v>
      </c>
      <c r="B3291" s="2">
        <v>46245.669270833299</v>
      </c>
      <c r="C3291" s="2">
        <v>46245.6713773148</v>
      </c>
      <c r="D3291" s="1" t="s">
        <v>24</v>
      </c>
      <c r="E3291" s="1"/>
      <c r="F3291" s="29">
        <v>46245</v>
      </c>
      <c r="G3291" s="29">
        <v>46245</v>
      </c>
      <c r="H3291" s="1" t="s">
        <v>1625</v>
      </c>
      <c r="I3291" s="126" t="s">
        <v>7325</v>
      </c>
      <c r="J3291" s="207">
        <v>20957724790</v>
      </c>
      <c r="K3291" s="171" t="s">
        <v>7326</v>
      </c>
      <c r="L3291" s="62">
        <v>2</v>
      </c>
      <c r="M3291" s="30">
        <v>5610313180</v>
      </c>
      <c r="N3291" s="171" t="s">
        <v>37</v>
      </c>
      <c r="O3291" s="50">
        <v>5641.63</v>
      </c>
      <c r="P3291" s="97">
        <v>1413</v>
      </c>
      <c r="Q3291" s="42">
        <f>OfficeForms.Table[[#This Row],[ INFORMEDEPAGO ]]*0.3</f>
        <v>1692.489</v>
      </c>
      <c r="R3291" s="12">
        <f t="shared" si="91"/>
        <v>55.650000000000546</v>
      </c>
      <c r="S3291" s="78">
        <v>46569</v>
      </c>
      <c r="T3291" s="1" t="s">
        <v>192</v>
      </c>
      <c r="V3291" s="1"/>
      <c r="X3291" s="101">
        <v>2</v>
      </c>
    </row>
    <row r="3292" spans="1:24" hidden="1">
      <c r="A3292">
        <v>1707</v>
      </c>
      <c r="B3292" s="2">
        <v>46245.656354166698</v>
      </c>
      <c r="C3292" s="2">
        <v>46245.672071759298</v>
      </c>
      <c r="D3292" s="1" t="s">
        <v>24</v>
      </c>
      <c r="E3292" s="1"/>
      <c r="F3292" s="29">
        <v>46245</v>
      </c>
      <c r="G3292" s="29">
        <v>46244</v>
      </c>
      <c r="H3292" s="1" t="s">
        <v>78</v>
      </c>
      <c r="I3292" s="126" t="s">
        <v>7327</v>
      </c>
      <c r="J3292" s="207">
        <v>21785303823</v>
      </c>
      <c r="K3292" s="171" t="s">
        <v>7328</v>
      </c>
      <c r="L3292" s="62">
        <v>23528754</v>
      </c>
      <c r="M3292" s="30">
        <v>5216862823739</v>
      </c>
      <c r="N3292" s="171" t="s">
        <v>130</v>
      </c>
      <c r="O3292" s="50">
        <v>4342.43</v>
      </c>
      <c r="P3292" s="97">
        <v>356.5</v>
      </c>
      <c r="Q3292" s="42">
        <f>OfficeForms.Table[[#This Row],[ INFORMEDEPAGO ]]*0.3</f>
        <v>1302.729</v>
      </c>
      <c r="R3292" s="12">
        <f t="shared" si="91"/>
        <v>-187.04999999999927</v>
      </c>
      <c r="S3292" s="78">
        <v>45383</v>
      </c>
      <c r="T3292" s="1"/>
      <c r="V3292" s="1"/>
      <c r="X3292" s="101">
        <v>2</v>
      </c>
    </row>
    <row r="3293" spans="1:24" hidden="1">
      <c r="A3293">
        <v>1708</v>
      </c>
      <c r="B3293" s="2">
        <v>46245.671006944402</v>
      </c>
      <c r="C3293" s="2">
        <v>46245.672488425902</v>
      </c>
      <c r="D3293" s="1" t="s">
        <v>24</v>
      </c>
      <c r="E3293" s="1"/>
      <c r="F3293" s="29">
        <v>46245</v>
      </c>
      <c r="G3293" s="29">
        <v>46245</v>
      </c>
      <c r="H3293" s="1" t="s">
        <v>5605</v>
      </c>
      <c r="I3293" s="126" t="s">
        <v>7329</v>
      </c>
      <c r="J3293" s="207"/>
      <c r="K3293" s="171" t="s">
        <v>7330</v>
      </c>
      <c r="L3293" s="62">
        <v>23549328</v>
      </c>
      <c r="M3293" s="30">
        <v>3111390668</v>
      </c>
      <c r="N3293" s="171" t="s">
        <v>98</v>
      </c>
      <c r="O3293" s="50"/>
      <c r="P3293" s="97"/>
      <c r="Q3293" s="42">
        <f>OfficeForms.Table[[#This Row],[ INFORMEDEPAGO ]]*0.3</f>
        <v>0</v>
      </c>
      <c r="R3293" s="12">
        <f t="shared" si="91"/>
        <v>0</v>
      </c>
      <c r="S3293" s="78"/>
      <c r="T3293" s="1"/>
      <c r="V3293" s="1"/>
      <c r="X3293" s="101">
        <v>0</v>
      </c>
    </row>
    <row r="3294" spans="1:24" hidden="1">
      <c r="A3294">
        <v>1709</v>
      </c>
      <c r="B3294" s="2">
        <v>46245.673217592601</v>
      </c>
      <c r="C3294" s="2">
        <v>46245.674085648097</v>
      </c>
      <c r="D3294" s="1" t="s">
        <v>24</v>
      </c>
      <c r="E3294" s="1"/>
      <c r="F3294" s="29">
        <v>46245</v>
      </c>
      <c r="G3294" s="29">
        <v>46245</v>
      </c>
      <c r="H3294" s="1" t="s">
        <v>269</v>
      </c>
      <c r="I3294" s="126" t="s">
        <v>7331</v>
      </c>
      <c r="J3294" s="207"/>
      <c r="K3294" s="171" t="s">
        <v>7332</v>
      </c>
      <c r="L3294" s="62">
        <v>23535106</v>
      </c>
      <c r="M3294" s="30">
        <v>5218721822684</v>
      </c>
      <c r="N3294" s="171" t="s">
        <v>47</v>
      </c>
      <c r="O3294" s="50">
        <v>4813.6899999999996</v>
      </c>
      <c r="P3294" s="97"/>
      <c r="Q3294" s="42">
        <f>OfficeForms.Table[[#This Row],[ INFORMEDEPAGO ]]*0.3</f>
        <v>1444.1069999999997</v>
      </c>
      <c r="R3294" s="12">
        <f t="shared" si="91"/>
        <v>640.71</v>
      </c>
      <c r="S3294" s="78"/>
      <c r="T3294" s="1"/>
      <c r="V3294" s="1"/>
      <c r="X3294" s="101">
        <v>1</v>
      </c>
    </row>
    <row r="3295" spans="1:24" hidden="1">
      <c r="A3295">
        <v>1710</v>
      </c>
      <c r="B3295" s="2">
        <v>46245.677465277797</v>
      </c>
      <c r="C3295" s="2">
        <v>46245.6788773148</v>
      </c>
      <c r="D3295" s="1" t="s">
        <v>24</v>
      </c>
      <c r="E3295" s="1"/>
      <c r="F3295" s="29">
        <v>46245</v>
      </c>
      <c r="G3295" s="29">
        <v>46241</v>
      </c>
      <c r="H3295" s="1" t="s">
        <v>5691</v>
      </c>
      <c r="I3295" s="126" t="s">
        <v>7333</v>
      </c>
      <c r="J3295" s="207"/>
      <c r="K3295" s="171" t="s">
        <v>7334</v>
      </c>
      <c r="L3295" s="62">
        <v>23457912</v>
      </c>
      <c r="M3295" s="30">
        <v>5532372298</v>
      </c>
      <c r="N3295" s="171" t="s">
        <v>98</v>
      </c>
      <c r="O3295" s="50"/>
      <c r="P3295" s="97"/>
      <c r="Q3295" s="42">
        <f>OfficeForms.Table[[#This Row],[ INFORMEDEPAGO ]]*0.3</f>
        <v>0</v>
      </c>
      <c r="R3295" s="12">
        <f t="shared" si="91"/>
        <v>0</v>
      </c>
      <c r="S3295" s="78"/>
      <c r="T3295" s="1"/>
      <c r="V3295" s="1"/>
      <c r="X3295" s="101">
        <v>0</v>
      </c>
    </row>
    <row r="3296" spans="1:24" hidden="1">
      <c r="A3296">
        <v>1711</v>
      </c>
      <c r="B3296" s="2">
        <v>46245.684791666703</v>
      </c>
      <c r="C3296" s="2">
        <v>46245.685937499999</v>
      </c>
      <c r="D3296" s="1" t="s">
        <v>24</v>
      </c>
      <c r="E3296" s="1"/>
      <c r="F3296" s="29">
        <v>46245</v>
      </c>
      <c r="G3296" s="29">
        <v>46245</v>
      </c>
      <c r="H3296" s="1" t="s">
        <v>5605</v>
      </c>
      <c r="I3296" s="126"/>
      <c r="J3296" s="207">
        <v>6779623774</v>
      </c>
      <c r="K3296" s="171"/>
      <c r="L3296" s="62">
        <v>23548510</v>
      </c>
      <c r="M3296" s="30">
        <v>12712134168</v>
      </c>
      <c r="N3296" s="171" t="s">
        <v>47</v>
      </c>
      <c r="O3296" s="50">
        <v>7116.73</v>
      </c>
      <c r="P3296" s="97">
        <v>1028.29</v>
      </c>
      <c r="Q3296" s="42">
        <f>OfficeForms.Table[[#This Row],[ INFORMEDEPAGO ]]*0.3</f>
        <v>2135.0189999999998</v>
      </c>
      <c r="R3296" s="12">
        <f t="shared" si="91"/>
        <v>1106.7289999999998</v>
      </c>
      <c r="S3296" s="78">
        <v>45536</v>
      </c>
      <c r="T3296" s="1"/>
      <c r="V3296" s="1"/>
      <c r="X3296" s="101">
        <v>2</v>
      </c>
    </row>
    <row r="3297" spans="1:24" hidden="1">
      <c r="A3297">
        <v>1712</v>
      </c>
      <c r="B3297" s="2">
        <v>46245.684467592597</v>
      </c>
      <c r="C3297" s="2">
        <v>46245.6860185185</v>
      </c>
      <c r="D3297" s="1" t="s">
        <v>24</v>
      </c>
      <c r="E3297" s="1"/>
      <c r="F3297" s="29">
        <v>46245</v>
      </c>
      <c r="G3297" s="29">
        <v>46245</v>
      </c>
      <c r="H3297" s="1" t="s">
        <v>26</v>
      </c>
      <c r="I3297" s="126" t="s">
        <v>7335</v>
      </c>
      <c r="J3297" s="207">
        <v>25967919199</v>
      </c>
      <c r="K3297" s="171" t="s">
        <v>7336</v>
      </c>
      <c r="L3297" s="62">
        <v>23545154</v>
      </c>
      <c r="M3297" s="30">
        <v>5216632102148</v>
      </c>
      <c r="N3297" s="171" t="s">
        <v>37</v>
      </c>
      <c r="O3297" s="50">
        <v>7135.6</v>
      </c>
      <c r="P3297" s="97">
        <v>2140.6799999999998</v>
      </c>
      <c r="Q3297" s="42">
        <f>OfficeForms.Table[[#This Row],[ INFORMEDEPAGO ]]*0.3</f>
        <v>2140.6799999999998</v>
      </c>
      <c r="R3297" s="12">
        <f t="shared" si="91"/>
        <v>0</v>
      </c>
      <c r="S3297" s="78">
        <v>46935</v>
      </c>
      <c r="T3297" s="1"/>
      <c r="V3297" s="1"/>
      <c r="X3297" s="101">
        <v>2</v>
      </c>
    </row>
    <row r="3298" spans="1:24" hidden="1">
      <c r="A3298">
        <v>1713</v>
      </c>
      <c r="B3298" s="2">
        <v>46245.690173611103</v>
      </c>
      <c r="C3298" s="2">
        <v>46245.700092592597</v>
      </c>
      <c r="D3298" s="1" t="s">
        <v>24</v>
      </c>
      <c r="E3298" s="1"/>
      <c r="F3298" s="29">
        <v>46245</v>
      </c>
      <c r="G3298" s="29">
        <v>46245</v>
      </c>
      <c r="H3298" s="1" t="s">
        <v>78</v>
      </c>
      <c r="I3298" s="126" t="s">
        <v>7337</v>
      </c>
      <c r="J3298" s="208" t="s">
        <v>7338</v>
      </c>
      <c r="K3298" s="171" t="s">
        <v>7339</v>
      </c>
      <c r="L3298" s="62">
        <v>23536704</v>
      </c>
      <c r="M3298" s="30">
        <v>5215666662553</v>
      </c>
      <c r="N3298" s="171" t="s">
        <v>37</v>
      </c>
      <c r="O3298" s="50">
        <v>9036.01</v>
      </c>
      <c r="P3298" s="97">
        <v>2611.94</v>
      </c>
      <c r="Q3298" s="42">
        <f>OfficeForms.Table[[#This Row],[ INFORMEDEPAGO ]]*0.3</f>
        <v>2710.8029999999999</v>
      </c>
      <c r="R3298" s="12">
        <f t="shared" si="91"/>
        <v>98.862999999999829</v>
      </c>
      <c r="S3298" s="78">
        <v>46327</v>
      </c>
      <c r="T3298" s="1" t="s">
        <v>192</v>
      </c>
      <c r="V3298" s="1"/>
      <c r="X3298" s="101">
        <v>2</v>
      </c>
    </row>
    <row r="3299" spans="1:24" hidden="1">
      <c r="A3299">
        <v>1714</v>
      </c>
      <c r="B3299" s="2">
        <v>46245.704270833303</v>
      </c>
      <c r="C3299" s="2">
        <v>46245.7047916667</v>
      </c>
      <c r="D3299" s="1" t="s">
        <v>24</v>
      </c>
      <c r="E3299" s="1"/>
      <c r="F3299" s="29">
        <v>46245</v>
      </c>
      <c r="G3299" s="29">
        <v>46245</v>
      </c>
      <c r="H3299" s="1" t="s">
        <v>3352</v>
      </c>
      <c r="I3299" s="126" t="s">
        <v>7340</v>
      </c>
      <c r="J3299" s="207"/>
      <c r="K3299" s="171" t="s">
        <v>7341</v>
      </c>
      <c r="L3299" s="62">
        <v>23548408</v>
      </c>
      <c r="M3299" s="30">
        <v>9981578634</v>
      </c>
      <c r="N3299" s="171" t="s">
        <v>235</v>
      </c>
      <c r="O3299" s="50"/>
      <c r="P3299" s="97"/>
      <c r="Q3299" s="42">
        <f>OfficeForms.Table[[#This Row],[ INFORMEDEPAGO ]]*0.3</f>
        <v>0</v>
      </c>
      <c r="R3299" s="12">
        <f t="shared" si="91"/>
        <v>0</v>
      </c>
      <c r="S3299" s="78"/>
      <c r="T3299" s="1"/>
      <c r="V3299" s="1"/>
      <c r="X3299" s="101">
        <v>1</v>
      </c>
    </row>
    <row r="3300" spans="1:24" hidden="1">
      <c r="A3300">
        <v>1715</v>
      </c>
      <c r="B3300" s="2">
        <v>46245.703321759298</v>
      </c>
      <c r="C3300" s="2">
        <v>46245.707997685196</v>
      </c>
      <c r="D3300" s="1" t="s">
        <v>24</v>
      </c>
      <c r="E3300" s="1"/>
      <c r="F3300" s="29">
        <v>46245</v>
      </c>
      <c r="G3300" s="29">
        <v>46245</v>
      </c>
      <c r="H3300" s="1" t="s">
        <v>78</v>
      </c>
      <c r="I3300" s="126" t="s">
        <v>7342</v>
      </c>
      <c r="J3300" s="207" t="s">
        <v>7343</v>
      </c>
      <c r="K3300" s="171" t="s">
        <v>7344</v>
      </c>
      <c r="L3300" s="62">
        <v>23529438</v>
      </c>
      <c r="M3300" s="30">
        <v>5212461984266</v>
      </c>
      <c r="N3300" s="171" t="s">
        <v>37</v>
      </c>
      <c r="O3300" s="50">
        <v>9081.52</v>
      </c>
      <c r="P3300" s="97">
        <v>2627</v>
      </c>
      <c r="Q3300" s="42">
        <f>OfficeForms.Table[[#This Row],[ INFORMEDEPAGO ]]*0.3</f>
        <v>2724.4560000000001</v>
      </c>
      <c r="R3300" s="12">
        <f t="shared" si="91"/>
        <v>97.456000000000131</v>
      </c>
      <c r="S3300" s="78">
        <v>46753</v>
      </c>
      <c r="T3300" s="1"/>
      <c r="V3300" s="1"/>
      <c r="X3300" s="101">
        <v>2</v>
      </c>
    </row>
    <row r="3301" spans="1:24" hidden="1">
      <c r="A3301">
        <v>1717</v>
      </c>
      <c r="B3301" s="2">
        <v>46245.668495370403</v>
      </c>
      <c r="C3301" s="2">
        <v>46245.728715277801</v>
      </c>
      <c r="D3301" s="1" t="s">
        <v>24</v>
      </c>
      <c r="E3301" s="1"/>
      <c r="F3301" s="29">
        <v>46245</v>
      </c>
      <c r="G3301" s="29">
        <v>46245</v>
      </c>
      <c r="H3301" s="1" t="s">
        <v>1629</v>
      </c>
      <c r="I3301" s="126" t="s">
        <v>7345</v>
      </c>
      <c r="J3301" s="207" t="s">
        <v>7346</v>
      </c>
      <c r="K3301" s="171" t="s">
        <v>7347</v>
      </c>
      <c r="L3301" s="62">
        <v>2</v>
      </c>
      <c r="M3301" s="30">
        <v>8121792482</v>
      </c>
      <c r="N3301" s="171" t="s">
        <v>130</v>
      </c>
      <c r="O3301" s="50">
        <v>5617.63</v>
      </c>
      <c r="P3301" s="97">
        <v>1171.81</v>
      </c>
      <c r="Q3301" s="42">
        <f>OfficeForms.Table[[#This Row],[ INFORMEDEPAGO ]]*0.3</f>
        <v>1685.289</v>
      </c>
      <c r="R3301" s="12">
        <f>(IF(O3301&lt;4172.98,0,MIN(O3301*0.3,O3301-4172.98)))-P3301</f>
        <v>272.8400000000006</v>
      </c>
      <c r="S3301" s="78">
        <v>45658</v>
      </c>
      <c r="T3301" s="1"/>
      <c r="V3301" s="1"/>
      <c r="X3301" s="101">
        <v>2</v>
      </c>
    </row>
    <row r="3302" spans="1:24" hidden="1">
      <c r="A3302">
        <v>1719</v>
      </c>
      <c r="B3302" s="2">
        <v>46245.646203703698</v>
      </c>
      <c r="C3302" s="2">
        <v>46245.734618055598</v>
      </c>
      <c r="D3302" s="1" t="s">
        <v>24</v>
      </c>
      <c r="E3302" s="1"/>
      <c r="F3302" s="29">
        <v>46245</v>
      </c>
      <c r="G3302" s="29">
        <v>46245</v>
      </c>
      <c r="H3302" s="1" t="s">
        <v>51</v>
      </c>
      <c r="I3302" s="126" t="s">
        <v>7348</v>
      </c>
      <c r="J3302" s="207"/>
      <c r="K3302" s="171" t="s">
        <v>7349</v>
      </c>
      <c r="L3302" s="62">
        <v>23529228</v>
      </c>
      <c r="M3302" s="30">
        <v>5218688407658</v>
      </c>
      <c r="N3302" s="171" t="s">
        <v>37</v>
      </c>
      <c r="O3302" s="50">
        <v>59886.18</v>
      </c>
      <c r="P3302" s="97">
        <v>17963.47</v>
      </c>
      <c r="Q3302" s="42">
        <f>OfficeForms.Table[[#This Row],[ INFORMEDEPAGO ]]*0.3</f>
        <v>17965.853999999999</v>
      </c>
      <c r="R3302" s="12">
        <f t="shared" ref="R3302:R3304" si="92">(IF(O3302&lt;4172.98,0,MIN(O3302*0.3,O3302-4172.98)))-P3302</f>
        <v>2.3839999999981956</v>
      </c>
      <c r="S3302" s="78">
        <v>46539</v>
      </c>
      <c r="T3302" s="1"/>
      <c r="V3302" s="1"/>
      <c r="X3302" s="101">
        <v>2</v>
      </c>
    </row>
    <row r="3303" spans="1:24" hidden="1">
      <c r="A3303">
        <v>1720</v>
      </c>
      <c r="B3303" s="2">
        <v>46245.734722222202</v>
      </c>
      <c r="C3303" s="2">
        <v>46245.735625000001</v>
      </c>
      <c r="D3303" s="1" t="s">
        <v>24</v>
      </c>
      <c r="E3303" s="1"/>
      <c r="F3303" s="29">
        <v>46245</v>
      </c>
      <c r="G3303" s="29">
        <v>46245</v>
      </c>
      <c r="H3303" s="1" t="s">
        <v>476</v>
      </c>
      <c r="I3303" s="126" t="s">
        <v>7350</v>
      </c>
      <c r="J3303" s="207"/>
      <c r="K3303" s="171" t="s">
        <v>7351</v>
      </c>
      <c r="L3303" s="62">
        <v>23549878</v>
      </c>
      <c r="M3303" s="30">
        <v>5212722805028</v>
      </c>
      <c r="N3303" s="171" t="s">
        <v>28</v>
      </c>
      <c r="O3303" s="50">
        <v>61910.73</v>
      </c>
      <c r="P3303" s="97">
        <v>15759.68</v>
      </c>
      <c r="Q3303" s="42">
        <f>OfficeForms.Table[[#This Row],[ INFORMEDEPAGO ]]*0.3</f>
        <v>18573.219000000001</v>
      </c>
      <c r="R3303" s="12">
        <f t="shared" si="92"/>
        <v>2813.5390000000007</v>
      </c>
      <c r="S3303" s="78">
        <v>46539</v>
      </c>
      <c r="T3303" s="1"/>
      <c r="V3303" s="1"/>
      <c r="X3303" s="101">
        <v>2</v>
      </c>
    </row>
    <row r="3304" spans="1:24" hidden="1">
      <c r="A3304">
        <v>1721</v>
      </c>
      <c r="B3304" s="2">
        <v>46245.737592592603</v>
      </c>
      <c r="C3304" s="2">
        <v>46245.738541666702</v>
      </c>
      <c r="D3304" s="1" t="s">
        <v>24</v>
      </c>
      <c r="E3304" s="1"/>
      <c r="F3304" s="29">
        <v>46245</v>
      </c>
      <c r="G3304" s="29">
        <v>46245</v>
      </c>
      <c r="H3304" s="1" t="s">
        <v>1629</v>
      </c>
      <c r="I3304" s="126" t="s">
        <v>7352</v>
      </c>
      <c r="J3304" s="207">
        <v>43765922109</v>
      </c>
      <c r="K3304" s="171" t="s">
        <v>7353</v>
      </c>
      <c r="L3304" s="62">
        <v>2</v>
      </c>
      <c r="M3304" s="30" t="s">
        <v>7354</v>
      </c>
      <c r="N3304" s="171" t="s">
        <v>47</v>
      </c>
      <c r="O3304" s="50">
        <f>4476.54+848</f>
        <v>5324.54</v>
      </c>
      <c r="P3304" s="97">
        <v>848</v>
      </c>
      <c r="Q3304" s="42">
        <f>OfficeForms.Table[[#This Row],[ INFORMEDEPAGO ]]*0.3</f>
        <v>1597.3619999999999</v>
      </c>
      <c r="R3304" s="12">
        <f t="shared" si="92"/>
        <v>303.5600000000004</v>
      </c>
      <c r="S3304" s="78"/>
      <c r="T3304" s="1"/>
      <c r="V3304" s="1"/>
      <c r="X3304" s="101">
        <v>1</v>
      </c>
    </row>
    <row r="3305" spans="1:24" hidden="1">
      <c r="A3305">
        <v>1722</v>
      </c>
      <c r="B3305" s="2">
        <v>46246.317939814799</v>
      </c>
      <c r="C3305" s="2">
        <v>46246.346979166701</v>
      </c>
      <c r="D3305" s="1" t="s">
        <v>24</v>
      </c>
      <c r="E3305" s="1"/>
      <c r="F3305" s="29">
        <v>46246</v>
      </c>
      <c r="G3305" s="29">
        <v>46246</v>
      </c>
      <c r="H3305" s="1" t="s">
        <v>1625</v>
      </c>
      <c r="I3305" s="126" t="s">
        <v>7355</v>
      </c>
      <c r="J3305" s="207">
        <v>43755837234</v>
      </c>
      <c r="K3305" s="171" t="s">
        <v>7356</v>
      </c>
      <c r="L3305" s="62">
        <v>2</v>
      </c>
      <c r="M3305" s="30">
        <v>3319907222</v>
      </c>
      <c r="N3305" s="171" t="s">
        <v>28</v>
      </c>
      <c r="O3305" s="50">
        <v>23163.84</v>
      </c>
      <c r="P3305" s="97">
        <f>6929.88-2425.43</f>
        <v>4504.4500000000007</v>
      </c>
      <c r="Q3305" s="42">
        <f>OfficeForms.Table[[#This Row],[ INFORMEDEPAGO ]]*0.3</f>
        <v>6949.152</v>
      </c>
      <c r="R3305" s="12">
        <f t="shared" ref="R3305:R3310" si="93">(IF(O3305&lt;4172.98,0,MIN(O3305*0.3,O3305-4172.98)))-P3305</f>
        <v>2444.7019999999993</v>
      </c>
      <c r="S3305" s="78">
        <v>46874</v>
      </c>
      <c r="T3305" s="1"/>
      <c r="V3305" s="1"/>
      <c r="X3305" s="101">
        <v>2</v>
      </c>
    </row>
    <row r="3306" spans="1:24" hidden="1">
      <c r="A3306">
        <v>1723</v>
      </c>
      <c r="B3306" s="2">
        <v>46246.357187499998</v>
      </c>
      <c r="C3306" s="2">
        <v>46246.357789351903</v>
      </c>
      <c r="D3306" s="1" t="s">
        <v>24</v>
      </c>
      <c r="E3306" s="1"/>
      <c r="F3306" s="29">
        <v>46246</v>
      </c>
      <c r="G3306" s="29">
        <v>46246</v>
      </c>
      <c r="H3306" s="1" t="s">
        <v>1629</v>
      </c>
      <c r="I3306" s="126" t="s">
        <v>7357</v>
      </c>
      <c r="J3306" s="207">
        <v>11796274874</v>
      </c>
      <c r="K3306" s="171" t="s">
        <v>7358</v>
      </c>
      <c r="L3306" s="62">
        <v>2</v>
      </c>
      <c r="M3306" s="30">
        <v>5513326232</v>
      </c>
      <c r="N3306" s="171" t="s">
        <v>37</v>
      </c>
      <c r="O3306" s="50">
        <v>8288.52</v>
      </c>
      <c r="P3306" s="97">
        <v>2250.66</v>
      </c>
      <c r="Q3306" s="42">
        <f>OfficeForms.Table[[#This Row],[ INFORMEDEPAGO ]]*0.3</f>
        <v>2486.556</v>
      </c>
      <c r="R3306" s="12">
        <f t="shared" si="93"/>
        <v>235.89600000000019</v>
      </c>
      <c r="S3306" s="78">
        <v>46447</v>
      </c>
      <c r="T3306" s="1"/>
      <c r="V3306" s="1"/>
      <c r="X3306" s="101">
        <v>2</v>
      </c>
    </row>
    <row r="3307" spans="1:24" hidden="1">
      <c r="A3307">
        <v>1724</v>
      </c>
      <c r="B3307" s="2">
        <v>46246.357835648101</v>
      </c>
      <c r="C3307" s="2">
        <v>46246.370081018496</v>
      </c>
      <c r="D3307" s="1" t="s">
        <v>24</v>
      </c>
      <c r="E3307" s="1"/>
      <c r="F3307" s="29">
        <v>46246</v>
      </c>
      <c r="G3307" s="29">
        <v>46246</v>
      </c>
      <c r="H3307" s="1" t="s">
        <v>1629</v>
      </c>
      <c r="I3307" s="126" t="s">
        <v>7359</v>
      </c>
      <c r="J3307" s="207">
        <v>17806017368</v>
      </c>
      <c r="K3307" s="171" t="s">
        <v>7360</v>
      </c>
      <c r="L3307" s="62">
        <v>2</v>
      </c>
      <c r="M3307" s="30">
        <v>5513211067</v>
      </c>
      <c r="N3307" s="171" t="s">
        <v>37</v>
      </c>
      <c r="O3307" s="50">
        <v>9760.32</v>
      </c>
      <c r="P3307" s="97">
        <v>2823.89</v>
      </c>
      <c r="Q3307" s="42">
        <f>OfficeForms.Table[[#This Row],[ INFORMEDEPAGO ]]*0.3</f>
        <v>2928.096</v>
      </c>
      <c r="R3307" s="12">
        <f t="shared" si="93"/>
        <v>104.20600000000013</v>
      </c>
      <c r="S3307" s="78">
        <v>46722</v>
      </c>
      <c r="T3307" s="1"/>
      <c r="V3307" s="1"/>
      <c r="X3307" s="101">
        <v>2</v>
      </c>
    </row>
    <row r="3308" spans="1:24" hidden="1">
      <c r="A3308">
        <v>1725</v>
      </c>
      <c r="B3308" s="2">
        <v>46246.347094907404</v>
      </c>
      <c r="C3308" s="2">
        <v>46246.374849537002</v>
      </c>
      <c r="D3308" s="1" t="s">
        <v>24</v>
      </c>
      <c r="E3308" s="1"/>
      <c r="F3308" s="29">
        <v>46246</v>
      </c>
      <c r="G3308" s="29">
        <v>46246</v>
      </c>
      <c r="H3308" s="1" t="s">
        <v>1625</v>
      </c>
      <c r="I3308" s="126" t="s">
        <v>7361</v>
      </c>
      <c r="J3308" s="207" t="s">
        <v>7362</v>
      </c>
      <c r="K3308" s="171" t="s">
        <v>6997</v>
      </c>
      <c r="L3308" s="62">
        <v>2</v>
      </c>
      <c r="M3308" s="30">
        <v>5528843730</v>
      </c>
      <c r="N3308" s="171" t="s">
        <v>37</v>
      </c>
      <c r="O3308" s="50">
        <v>11947.36</v>
      </c>
      <c r="P3308" s="97">
        <v>3456.06</v>
      </c>
      <c r="Q3308" s="42">
        <f>OfficeForms.Table[[#This Row],[ INFORMEDEPAGO ]]*0.3</f>
        <v>3584.2080000000001</v>
      </c>
      <c r="R3308" s="12">
        <f t="shared" si="93"/>
        <v>128.14800000000014</v>
      </c>
      <c r="S3308" s="78">
        <v>46661</v>
      </c>
      <c r="T3308" s="1"/>
      <c r="V3308" s="1"/>
      <c r="X3308" s="101">
        <v>2</v>
      </c>
    </row>
    <row r="3309" spans="1:24" hidden="1">
      <c r="A3309">
        <v>1726</v>
      </c>
      <c r="B3309" s="2">
        <v>46246.380092592597</v>
      </c>
      <c r="C3309" s="2">
        <v>46246.3824074074</v>
      </c>
      <c r="D3309" s="1" t="s">
        <v>24</v>
      </c>
      <c r="E3309" s="1"/>
      <c r="F3309" s="29">
        <v>46246</v>
      </c>
      <c r="G3309" s="29">
        <v>46246</v>
      </c>
      <c r="H3309" s="1" t="s">
        <v>1625</v>
      </c>
      <c r="I3309" s="126" t="s">
        <v>7363</v>
      </c>
      <c r="J3309" s="207">
        <v>4886526765</v>
      </c>
      <c r="K3309" s="171" t="s">
        <v>7364</v>
      </c>
      <c r="L3309" s="62">
        <v>2</v>
      </c>
      <c r="M3309" s="30">
        <v>3325816861</v>
      </c>
      <c r="N3309" s="171" t="s">
        <v>37</v>
      </c>
      <c r="O3309" s="50">
        <v>9760.32</v>
      </c>
      <c r="P3309" s="97">
        <v>2823.89</v>
      </c>
      <c r="Q3309" s="42">
        <f>OfficeForms.Table[[#This Row],[ INFORMEDEPAGO ]]*0.3</f>
        <v>2928.096</v>
      </c>
      <c r="R3309" s="12">
        <f t="shared" si="93"/>
        <v>104.20600000000013</v>
      </c>
      <c r="S3309" s="78">
        <v>46753</v>
      </c>
      <c r="T3309" s="1"/>
      <c r="V3309" s="1"/>
      <c r="X3309" s="101">
        <v>2</v>
      </c>
    </row>
    <row r="3310" spans="1:24" hidden="1">
      <c r="A3310">
        <v>1727</v>
      </c>
      <c r="B3310" s="2">
        <v>46246.393263888902</v>
      </c>
      <c r="C3310" s="2">
        <v>46246.393842592603</v>
      </c>
      <c r="D3310" s="1" t="s">
        <v>24</v>
      </c>
      <c r="E3310" s="1"/>
      <c r="F3310" s="29">
        <v>46246</v>
      </c>
      <c r="G3310" s="29">
        <v>46246</v>
      </c>
      <c r="H3310" s="1" t="s">
        <v>1629</v>
      </c>
      <c r="I3310" s="126" t="s">
        <v>7365</v>
      </c>
      <c r="J3310" s="207" t="s">
        <v>7366</v>
      </c>
      <c r="K3310" s="171" t="s">
        <v>7367</v>
      </c>
      <c r="L3310" s="62">
        <v>2</v>
      </c>
      <c r="M3310" s="30">
        <v>5516538006</v>
      </c>
      <c r="N3310" s="171" t="s">
        <v>37</v>
      </c>
      <c r="O3310" s="50">
        <v>11756.72</v>
      </c>
      <c r="P3310" s="97">
        <v>3402.08</v>
      </c>
      <c r="Q3310" s="42">
        <f>OfficeForms.Table[[#This Row],[ INFORMEDEPAGO ]]*0.3</f>
        <v>3527.0159999999996</v>
      </c>
      <c r="R3310" s="12">
        <f t="shared" si="93"/>
        <v>124.93599999999969</v>
      </c>
      <c r="S3310" s="78">
        <v>46569</v>
      </c>
      <c r="T3310" s="1"/>
      <c r="V3310" s="1"/>
      <c r="X3310" s="101">
        <v>2</v>
      </c>
    </row>
    <row r="3311" spans="1:24" hidden="1">
      <c r="A3311">
        <v>1728</v>
      </c>
      <c r="B3311" s="2">
        <v>46246.374872685199</v>
      </c>
      <c r="C3311" s="2">
        <v>46246.400567129604</v>
      </c>
      <c r="D3311" s="1" t="s">
        <v>24</v>
      </c>
      <c r="E3311" s="1"/>
      <c r="F3311" s="29">
        <v>46246</v>
      </c>
      <c r="G3311" s="29">
        <v>46246</v>
      </c>
      <c r="H3311" s="1" t="s">
        <v>1625</v>
      </c>
      <c r="I3311" s="126" t="s">
        <v>7368</v>
      </c>
      <c r="J3311" s="207">
        <v>43885424226</v>
      </c>
      <c r="K3311" s="171" t="s">
        <v>7369</v>
      </c>
      <c r="L3311" s="62">
        <v>2</v>
      </c>
      <c r="M3311" s="30">
        <v>8111975718</v>
      </c>
      <c r="N3311" s="171" t="s">
        <v>37</v>
      </c>
      <c r="O3311" s="50">
        <v>7116.73</v>
      </c>
      <c r="P3311" s="97">
        <v>2134.9699999999998</v>
      </c>
      <c r="Q3311" s="42">
        <f>OfficeForms.Table[[#This Row],[ INFORMEDEPAGO ]]*0.3</f>
        <v>2135.0189999999998</v>
      </c>
      <c r="R3311" s="12">
        <f>(IF(O3311&lt;4172.98,0,MIN(O3311*0.3,O3311-4172.98)))-P3311</f>
        <v>4.8999999999978172E-2</v>
      </c>
      <c r="S3311" s="78">
        <v>46661</v>
      </c>
      <c r="T3311" s="1"/>
      <c r="V3311" s="1"/>
      <c r="X3311" s="101">
        <v>2</v>
      </c>
    </row>
    <row r="3312" spans="1:24" hidden="1">
      <c r="A3312">
        <v>1729</v>
      </c>
      <c r="B3312" s="2">
        <v>46246.397835648197</v>
      </c>
      <c r="C3312" s="2">
        <v>46246.402048611097</v>
      </c>
      <c r="D3312" s="1" t="s">
        <v>24</v>
      </c>
      <c r="E3312" s="1"/>
      <c r="F3312" s="29">
        <v>46246</v>
      </c>
      <c r="G3312" s="29">
        <v>46244</v>
      </c>
      <c r="H3312" s="1" t="s">
        <v>6605</v>
      </c>
      <c r="I3312" s="126" t="s">
        <v>7370</v>
      </c>
      <c r="J3312" s="207"/>
      <c r="K3312" s="171" t="s">
        <v>7371</v>
      </c>
      <c r="L3312" s="62">
        <v>23519158</v>
      </c>
      <c r="M3312" s="30">
        <v>2224393668</v>
      </c>
      <c r="N3312" s="171" t="s">
        <v>28</v>
      </c>
      <c r="O3312" s="50">
        <v>10636.54</v>
      </c>
      <c r="P3312" s="97"/>
      <c r="Q3312" s="42">
        <f>OfficeForms.Table[[#This Row],[ INFORMEDEPAGO ]]*0.3</f>
        <v>3190.962</v>
      </c>
      <c r="R3312" s="12">
        <f>(IF(O3312&lt;4172.98,0,MIN(O3312*0.3,O3312-4172.98)))-P3312</f>
        <v>3190.962</v>
      </c>
      <c r="S3312" s="78"/>
      <c r="T3312" s="1"/>
      <c r="V3312" s="1"/>
      <c r="X3312" s="101">
        <v>1</v>
      </c>
    </row>
    <row r="3313" spans="1:24" hidden="1">
      <c r="A3313">
        <v>1730</v>
      </c>
      <c r="B3313" s="2">
        <v>46246.408645833297</v>
      </c>
      <c r="C3313" s="2">
        <v>46246.410185185203</v>
      </c>
      <c r="D3313" s="1" t="s">
        <v>24</v>
      </c>
      <c r="E3313" s="1"/>
      <c r="F3313" s="29">
        <v>46246</v>
      </c>
      <c r="G3313" s="29">
        <v>46155</v>
      </c>
      <c r="H3313" s="1" t="s">
        <v>269</v>
      </c>
      <c r="I3313" s="126" t="s">
        <v>7372</v>
      </c>
      <c r="J3313" s="175" t="s">
        <v>7373</v>
      </c>
      <c r="K3313" s="171" t="s">
        <v>7374</v>
      </c>
      <c r="L3313" s="62">
        <v>20618364</v>
      </c>
      <c r="M3313" s="30">
        <v>5218341447990</v>
      </c>
      <c r="N3313" s="171" t="s">
        <v>37</v>
      </c>
      <c r="O3313" s="50">
        <v>13125.47</v>
      </c>
      <c r="P3313" s="97">
        <v>4161.83</v>
      </c>
      <c r="Q3313" s="42">
        <f>OfficeForms.Table[[#This Row],[ INFORMEDEPAGO ]]*0.3</f>
        <v>3937.6409999999996</v>
      </c>
      <c r="R3313" s="12">
        <f>(IF(O3313&lt;4172.98,0,MIN(O3313*0.3,O3313-4172.98)))-P3313</f>
        <v>-224.18900000000031</v>
      </c>
      <c r="S3313" s="78">
        <v>46631</v>
      </c>
      <c r="T3313" s="1"/>
      <c r="V3313" s="1"/>
      <c r="X3313" s="101">
        <v>2</v>
      </c>
    </row>
    <row r="3314" spans="1:24" hidden="1">
      <c r="A3314">
        <v>1731</v>
      </c>
      <c r="B3314" s="2">
        <v>46246.402974536999</v>
      </c>
      <c r="C3314" s="2">
        <v>46246.418391203697</v>
      </c>
      <c r="D3314" s="1" t="s">
        <v>24</v>
      </c>
      <c r="E3314" s="1"/>
      <c r="F3314" s="29">
        <v>46246</v>
      </c>
      <c r="G3314" s="29">
        <v>46246</v>
      </c>
      <c r="H3314" s="1" t="s">
        <v>1625</v>
      </c>
      <c r="I3314" s="126" t="s">
        <v>7375</v>
      </c>
      <c r="J3314" s="207">
        <v>32947679562</v>
      </c>
      <c r="K3314" s="171" t="s">
        <v>7376</v>
      </c>
      <c r="L3314" s="62">
        <v>2</v>
      </c>
      <c r="M3314" s="30" t="s">
        <v>7377</v>
      </c>
      <c r="N3314" s="171" t="s">
        <v>32</v>
      </c>
      <c r="O3314" s="50">
        <v>4125.4399999999996</v>
      </c>
      <c r="P3314" s="97"/>
      <c r="Q3314" s="42">
        <f>OfficeForms.Table[[#This Row],[ INFORMEDEPAGO ]]*0.3</f>
        <v>1237.6319999999998</v>
      </c>
      <c r="R3314" s="12">
        <f>(IF(O3314&lt;4172.98,0,MIN(O3314*0.3,O3314-4172.98)))-P3314</f>
        <v>0</v>
      </c>
      <c r="S3314" s="78"/>
      <c r="T3314" s="1"/>
      <c r="V3314" s="1"/>
      <c r="X3314" s="101">
        <v>1</v>
      </c>
    </row>
    <row r="3315" spans="1:24" hidden="1">
      <c r="A3315">
        <v>1732</v>
      </c>
      <c r="B3315" s="2">
        <v>46246.418425925898</v>
      </c>
      <c r="C3315" s="2">
        <v>46246.418900463003</v>
      </c>
      <c r="D3315" s="1" t="s">
        <v>24</v>
      </c>
      <c r="E3315" s="1"/>
      <c r="F3315" s="29">
        <v>46246</v>
      </c>
      <c r="G3315" s="29">
        <v>46246</v>
      </c>
      <c r="H3315" s="1" t="s">
        <v>1625</v>
      </c>
      <c r="I3315" s="126" t="s">
        <v>7378</v>
      </c>
      <c r="J3315" s="207">
        <v>33715103926</v>
      </c>
      <c r="K3315" s="171" t="s">
        <v>7379</v>
      </c>
      <c r="L3315" s="62">
        <v>2</v>
      </c>
      <c r="M3315" s="30">
        <v>6252068073</v>
      </c>
      <c r="N3315" s="171" t="s">
        <v>98</v>
      </c>
      <c r="O3315" s="50"/>
      <c r="P3315" s="97"/>
      <c r="Q3315" s="42">
        <f>OfficeForms.Table[[#This Row],[ INFORMEDEPAGO ]]*0.3</f>
        <v>0</v>
      </c>
      <c r="R3315" s="12">
        <f>(IF(O3315&lt;4172.98,0,MIN(O3315*0.3,O3315-4172.98)))-P3315</f>
        <v>0</v>
      </c>
      <c r="S3315" s="78"/>
      <c r="T3315" s="1"/>
      <c r="V3315" s="1"/>
      <c r="X3315" s="101">
        <v>0</v>
      </c>
    </row>
    <row r="3316" spans="1:24" hidden="1">
      <c r="A3316">
        <v>1733</v>
      </c>
      <c r="B3316" s="2">
        <v>46246.418935185196</v>
      </c>
      <c r="C3316" s="2">
        <v>46246.425358796303</v>
      </c>
      <c r="D3316" s="1" t="s">
        <v>24</v>
      </c>
      <c r="E3316" s="1"/>
      <c r="F3316" s="29">
        <v>46246</v>
      </c>
      <c r="G3316" s="29">
        <v>46246</v>
      </c>
      <c r="H3316" s="1" t="s">
        <v>1625</v>
      </c>
      <c r="I3316" s="126" t="s">
        <v>7380</v>
      </c>
      <c r="J3316" s="207">
        <v>94896403758</v>
      </c>
      <c r="K3316" s="171" t="s">
        <v>7381</v>
      </c>
      <c r="L3316" s="62">
        <v>2</v>
      </c>
      <c r="M3316" s="30">
        <v>5527498556</v>
      </c>
      <c r="N3316" s="171" t="s">
        <v>37</v>
      </c>
      <c r="O3316" s="50">
        <v>9081.52</v>
      </c>
      <c r="P3316" s="97">
        <v>2626.84</v>
      </c>
      <c r="Q3316" s="42">
        <f>OfficeForms.Table[[#This Row],[ INFORMEDEPAGO ]]*0.3</f>
        <v>2724.4560000000001</v>
      </c>
      <c r="R3316" s="12">
        <f>(IF(O3316&lt;4172.98,0,MIN(O3316*0.3,O3316-4172.98)))-P3316</f>
        <v>97.615999999999985</v>
      </c>
      <c r="S3316" s="78">
        <v>46508</v>
      </c>
      <c r="T3316" s="1"/>
      <c r="V3316" s="1"/>
      <c r="X3316" s="101">
        <v>2</v>
      </c>
    </row>
    <row r="3317" spans="1:24" hidden="1">
      <c r="A3317">
        <v>1734</v>
      </c>
      <c r="B3317" s="2">
        <v>46246.411701388897</v>
      </c>
      <c r="C3317" s="2">
        <v>46246.4302314815</v>
      </c>
      <c r="D3317" s="1" t="s">
        <v>24</v>
      </c>
      <c r="E3317" s="1"/>
      <c r="F3317" s="29">
        <v>46246</v>
      </c>
      <c r="G3317" s="29">
        <v>46240</v>
      </c>
      <c r="H3317" s="1" t="s">
        <v>51</v>
      </c>
      <c r="I3317" s="126" t="s">
        <v>7382</v>
      </c>
      <c r="J3317" s="207">
        <v>63856612955</v>
      </c>
      <c r="K3317" s="171" t="s">
        <v>7383</v>
      </c>
      <c r="L3317" s="62">
        <v>23436308</v>
      </c>
      <c r="M3317" s="30">
        <v>5214428355650</v>
      </c>
      <c r="N3317" s="171" t="s">
        <v>28</v>
      </c>
      <c r="O3317" s="50">
        <f>187590.3-142205.55</f>
        <v>45384.75</v>
      </c>
      <c r="P3317" s="97"/>
      <c r="Q3317" s="42">
        <f>OfficeForms.Table[[#This Row],[ INFORMEDEPAGO ]]*0.3</f>
        <v>13615.424999999999</v>
      </c>
      <c r="R3317" s="12">
        <f>(IF(O3317&lt;4172.98,0,MIN(O3317*0.3,O3317-4172.98)))-P3317</f>
        <v>13615.424999999999</v>
      </c>
      <c r="S3317" s="78"/>
      <c r="T3317" s="1"/>
      <c r="V3317" s="1"/>
      <c r="X3317" s="101">
        <v>1</v>
      </c>
    </row>
    <row r="3318" spans="1:24" hidden="1">
      <c r="A3318">
        <v>1735</v>
      </c>
      <c r="B3318" s="2">
        <v>46246.421712962998</v>
      </c>
      <c r="C3318" s="2">
        <v>46246.430347222202</v>
      </c>
      <c r="D3318" s="1" t="s">
        <v>24</v>
      </c>
      <c r="E3318" s="1"/>
      <c r="F3318" s="29">
        <v>46246</v>
      </c>
      <c r="G3318" s="29">
        <v>46245</v>
      </c>
      <c r="H3318" s="1" t="s">
        <v>51</v>
      </c>
      <c r="I3318" s="126" t="s">
        <v>7384</v>
      </c>
      <c r="J3318" s="207">
        <v>6581530708</v>
      </c>
      <c r="K3318" s="171" t="s">
        <v>7385</v>
      </c>
      <c r="L3318" s="62">
        <v>23539190</v>
      </c>
      <c r="M3318" s="30">
        <v>5217822114130</v>
      </c>
      <c r="N3318" s="171" t="s">
        <v>32</v>
      </c>
      <c r="O3318" s="50">
        <v>3881.65</v>
      </c>
      <c r="P3318" s="97"/>
      <c r="Q3318" s="42">
        <f>OfficeForms.Table[[#This Row],[ INFORMEDEPAGO ]]*0.3</f>
        <v>1164.4949999999999</v>
      </c>
      <c r="R3318" s="12">
        <f>(IF(O3318&lt;4172.98,0,MIN(O3318*0.3,O3318-4172.98)))-P3318</f>
        <v>0</v>
      </c>
      <c r="S3318" s="78"/>
      <c r="T3318" s="1"/>
      <c r="V3318" s="1"/>
      <c r="X3318" s="101">
        <v>1</v>
      </c>
    </row>
    <row r="3319" spans="1:24" hidden="1">
      <c r="A3319">
        <v>1736</v>
      </c>
      <c r="B3319" s="2">
        <v>46246.449849536999</v>
      </c>
      <c r="C3319" s="2">
        <v>46246.450636574104</v>
      </c>
      <c r="D3319" s="1" t="s">
        <v>24</v>
      </c>
      <c r="E3319" s="1"/>
      <c r="F3319" s="29">
        <v>46246</v>
      </c>
      <c r="G3319" s="29">
        <v>46246</v>
      </c>
      <c r="H3319" s="1" t="s">
        <v>269</v>
      </c>
      <c r="I3319" s="126" t="s">
        <v>7386</v>
      </c>
      <c r="J3319" s="175" t="s">
        <v>7387</v>
      </c>
      <c r="K3319" s="171" t="s">
        <v>7388</v>
      </c>
      <c r="L3319" s="62">
        <v>23567958</v>
      </c>
      <c r="M3319" s="30">
        <v>5213221163140</v>
      </c>
      <c r="N3319" s="171" t="s">
        <v>37</v>
      </c>
      <c r="O3319" s="50">
        <v>9504.7000000000007</v>
      </c>
      <c r="P3319" s="97">
        <v>2622.26</v>
      </c>
      <c r="Q3319" s="42">
        <f>OfficeForms.Table[[#This Row],[ INFORMEDEPAGO ]]*0.3</f>
        <v>2851.4100000000003</v>
      </c>
      <c r="R3319" s="12">
        <f>(IF(O3319&lt;4172.98,0,MIN(O3319*0.3,O3319-4172.98)))-P3319</f>
        <v>229.15000000000009</v>
      </c>
      <c r="S3319" s="78">
        <v>46508</v>
      </c>
      <c r="T3319" s="1"/>
      <c r="V3319" s="1"/>
      <c r="X3319" s="101">
        <v>2</v>
      </c>
    </row>
    <row r="3320" spans="1:24" hidden="1">
      <c r="A3320">
        <v>1737</v>
      </c>
      <c r="B3320" s="2">
        <v>46246.430254629602</v>
      </c>
      <c r="C3320" s="2">
        <v>46246.4508333333</v>
      </c>
      <c r="D3320" s="1" t="s">
        <v>24</v>
      </c>
      <c r="E3320" s="1"/>
      <c r="F3320" s="29">
        <v>46246</v>
      </c>
      <c r="G3320" s="29">
        <v>46246</v>
      </c>
      <c r="H3320" s="1" t="s">
        <v>51</v>
      </c>
      <c r="I3320" s="126" t="s">
        <v>7389</v>
      </c>
      <c r="J3320" s="207">
        <v>34725401094</v>
      </c>
      <c r="K3320" s="171" t="s">
        <v>7390</v>
      </c>
      <c r="L3320" s="62">
        <v>23568718</v>
      </c>
      <c r="M3320" s="30">
        <v>5214921170859</v>
      </c>
      <c r="N3320" s="171" t="s">
        <v>263</v>
      </c>
      <c r="O3320" s="50">
        <v>10741.17</v>
      </c>
      <c r="P3320" s="97">
        <v>2778.28</v>
      </c>
      <c r="Q3320" s="42">
        <f>OfficeForms.Table[[#This Row],[ INFORMEDEPAGO ]]*0.3</f>
        <v>3222.3510000000001</v>
      </c>
      <c r="R3320" s="12">
        <f>(IF(O3320&lt;4172.98,0,MIN(O3320*0.3,O3320-4172.98)))-P3320</f>
        <v>444.07099999999991</v>
      </c>
      <c r="S3320" s="78">
        <v>46143</v>
      </c>
      <c r="T3320" s="1" t="s">
        <v>192</v>
      </c>
      <c r="V3320" s="1"/>
      <c r="X3320" s="101">
        <v>2</v>
      </c>
    </row>
    <row r="3321" spans="1:24" hidden="1">
      <c r="A3321">
        <v>1738</v>
      </c>
      <c r="B3321" s="2">
        <v>46246.467812499999</v>
      </c>
      <c r="C3321" s="2">
        <v>46246.468692129602</v>
      </c>
      <c r="D3321" s="1" t="s">
        <v>24</v>
      </c>
      <c r="E3321" s="1"/>
      <c r="F3321" s="29">
        <v>46246</v>
      </c>
      <c r="G3321" s="29">
        <v>46246</v>
      </c>
      <c r="H3321" s="1" t="s">
        <v>103</v>
      </c>
      <c r="I3321" s="126" t="s">
        <v>684</v>
      </c>
      <c r="J3321" s="207" t="s">
        <v>7391</v>
      </c>
      <c r="K3321" s="171"/>
      <c r="L3321" s="62">
        <v>1</v>
      </c>
      <c r="M3321" s="30">
        <v>8131034943</v>
      </c>
      <c r="N3321" s="171" t="s">
        <v>32</v>
      </c>
      <c r="O3321" s="50">
        <v>3809.18</v>
      </c>
      <c r="P3321" s="97"/>
      <c r="Q3321" s="42">
        <f>OfficeForms.Table[[#This Row],[ INFORMEDEPAGO ]]*0.3</f>
        <v>1142.7539999999999</v>
      </c>
      <c r="R3321" s="12">
        <f>(IF(O3321&lt;4172.98,0,MIN(O3321*0.3,O3321-4172.98)))-P3321</f>
        <v>0</v>
      </c>
      <c r="S3321" s="78"/>
      <c r="T3321" s="1"/>
      <c r="V3321" s="1"/>
      <c r="X3321" s="101">
        <v>1</v>
      </c>
    </row>
    <row r="3322" spans="1:24" hidden="1">
      <c r="A3322">
        <v>1739</v>
      </c>
      <c r="B3322" s="2">
        <v>46246.469375000001</v>
      </c>
      <c r="C3322" s="2">
        <v>46246.471504629597</v>
      </c>
      <c r="D3322" s="1" t="s">
        <v>24</v>
      </c>
      <c r="E3322" s="1"/>
      <c r="F3322" s="29">
        <v>46246</v>
      </c>
      <c r="G3322" s="29">
        <v>46246</v>
      </c>
      <c r="H3322" s="1" t="s">
        <v>269</v>
      </c>
      <c r="I3322" s="126" t="s">
        <v>7392</v>
      </c>
      <c r="J3322" s="175" t="s">
        <v>7393</v>
      </c>
      <c r="K3322" s="171" t="s">
        <v>7394</v>
      </c>
      <c r="L3322" s="62">
        <v>23568740</v>
      </c>
      <c r="M3322" s="30">
        <v>5216862407129</v>
      </c>
      <c r="N3322" s="171" t="s">
        <v>32</v>
      </c>
      <c r="O3322" s="50">
        <f>2698.06+879</f>
        <v>3577.06</v>
      </c>
      <c r="P3322" s="97">
        <v>879</v>
      </c>
      <c r="Q3322" s="42">
        <f>OfficeForms.Table[[#This Row],[ INFORMEDEPAGO ]]*0.3</f>
        <v>1073.1179999999999</v>
      </c>
      <c r="R3322" s="12">
        <f>(IF(O3322&lt;4172.98,0,MIN(O3322*0.3,O3322-4172.98)))-P3322</f>
        <v>-879</v>
      </c>
      <c r="S3322" s="78"/>
      <c r="T3322" s="1"/>
      <c r="V3322" s="1"/>
      <c r="X3322" s="101">
        <v>1</v>
      </c>
    </row>
    <row r="3323" spans="1:24" hidden="1">
      <c r="A3323">
        <v>1740</v>
      </c>
      <c r="B3323" s="2">
        <v>46246.425567129598</v>
      </c>
      <c r="C3323" s="2">
        <v>46246.489305555602</v>
      </c>
      <c r="D3323" s="1" t="s">
        <v>24</v>
      </c>
      <c r="E3323" s="1"/>
      <c r="F3323" s="29">
        <v>46246</v>
      </c>
      <c r="G3323" s="29">
        <v>46246</v>
      </c>
      <c r="H3323" s="1" t="s">
        <v>1625</v>
      </c>
      <c r="I3323" s="126" t="s">
        <v>7395</v>
      </c>
      <c r="J3323" s="207">
        <v>43796360758</v>
      </c>
      <c r="K3323" s="171" t="s">
        <v>7396</v>
      </c>
      <c r="L3323" s="62">
        <v>2</v>
      </c>
      <c r="M3323" s="30">
        <v>8129236561</v>
      </c>
      <c r="N3323" s="171" t="s">
        <v>37</v>
      </c>
      <c r="O3323" s="50">
        <v>7920.51</v>
      </c>
      <c r="P3323" s="97">
        <v>2375.42</v>
      </c>
      <c r="Q3323" s="42">
        <f>OfficeForms.Table[[#This Row],[ INFORMEDEPAGO ]]*0.3</f>
        <v>2376.1529999999998</v>
      </c>
      <c r="R3323" s="12">
        <f>(IF(O3323&lt;4172.98,0,MIN(O3323*0.3,O3323-4172.98)))-P3323</f>
        <v>0.73299999999971988</v>
      </c>
      <c r="S3323" s="78">
        <v>46753</v>
      </c>
      <c r="T3323" s="1"/>
      <c r="V3323" s="1"/>
      <c r="X3323" s="101">
        <v>2</v>
      </c>
    </row>
    <row r="3324" spans="1:24" hidden="1">
      <c r="A3324">
        <v>1741</v>
      </c>
      <c r="B3324" s="2">
        <v>46246.450844907398</v>
      </c>
      <c r="C3324" s="2">
        <v>46246.491238425901</v>
      </c>
      <c r="D3324" s="1" t="s">
        <v>24</v>
      </c>
      <c r="E3324" s="1"/>
      <c r="F3324" s="29">
        <v>46246</v>
      </c>
      <c r="G3324" s="29">
        <v>46246</v>
      </c>
      <c r="H3324" s="1" t="s">
        <v>51</v>
      </c>
      <c r="I3324" s="126" t="s">
        <v>7397</v>
      </c>
      <c r="J3324" s="207">
        <v>84715300335</v>
      </c>
      <c r="K3324" s="171" t="s">
        <v>7398</v>
      </c>
      <c r="L3324" s="62">
        <v>23569442</v>
      </c>
      <c r="M3324" s="30">
        <v>5219982352865</v>
      </c>
      <c r="N3324" s="171" t="s">
        <v>37</v>
      </c>
      <c r="O3324" s="50">
        <v>5532.28</v>
      </c>
      <c r="P3324" s="97">
        <v>1359.28</v>
      </c>
      <c r="Q3324" s="42">
        <f>OfficeForms.Table[[#This Row],[ INFORMEDEPAGO ]]*0.3</f>
        <v>1659.684</v>
      </c>
      <c r="R3324" s="12">
        <f>(IF(O3324&lt;4172.98,0,MIN(O3324*0.3,O3324-4172.98)))-P3324</f>
        <v>2.0000000000209184E-2</v>
      </c>
      <c r="S3324" s="78">
        <v>46357</v>
      </c>
      <c r="T3324" s="1"/>
      <c r="V3324" s="1"/>
      <c r="X3324" s="101">
        <v>2</v>
      </c>
    </row>
    <row r="3325" spans="1:24" hidden="1">
      <c r="A3325">
        <v>1742</v>
      </c>
      <c r="B3325" s="2">
        <v>46246.491631944402</v>
      </c>
      <c r="C3325" s="2">
        <v>46246.495196759301</v>
      </c>
      <c r="D3325" s="1" t="s">
        <v>24</v>
      </c>
      <c r="E3325" s="1"/>
      <c r="F3325" s="29">
        <v>46246</v>
      </c>
      <c r="G3325" s="29">
        <v>46211</v>
      </c>
      <c r="H3325" s="1" t="s">
        <v>476</v>
      </c>
      <c r="I3325" s="126" t="s">
        <v>7399</v>
      </c>
      <c r="J3325" s="207">
        <v>11826415991</v>
      </c>
      <c r="K3325" s="171" t="s">
        <v>7400</v>
      </c>
      <c r="L3325" s="62">
        <v>22473260</v>
      </c>
      <c r="M3325" s="30">
        <v>5217771366852</v>
      </c>
      <c r="N3325" s="171" t="s">
        <v>28</v>
      </c>
      <c r="O3325" s="50">
        <v>19116.84</v>
      </c>
      <c r="P3325" s="97"/>
      <c r="Q3325" s="42">
        <f>OfficeForms.Table[[#This Row],[ INFORMEDEPAGO ]]*0.3</f>
        <v>5735.0519999999997</v>
      </c>
      <c r="R3325" s="12">
        <f>(IF(O3325&lt;4172.98,0,MIN(O3325*0.3,O3325-4172.98)))-P3325</f>
        <v>5735.0519999999997</v>
      </c>
      <c r="S3325" s="78"/>
      <c r="T3325" s="1"/>
      <c r="V3325" s="1"/>
      <c r="X3325" s="101">
        <v>1</v>
      </c>
    </row>
    <row r="3326" spans="1:24" hidden="1">
      <c r="A3326">
        <v>1743</v>
      </c>
      <c r="B3326" s="2">
        <v>46245.718240740702</v>
      </c>
      <c r="C3326" s="2">
        <v>46246.497465277796</v>
      </c>
      <c r="D3326" s="1" t="s">
        <v>24</v>
      </c>
      <c r="E3326" s="1"/>
      <c r="F3326" s="29">
        <v>46246</v>
      </c>
      <c r="G3326" s="29">
        <v>46245</v>
      </c>
      <c r="H3326" s="1" t="s">
        <v>26</v>
      </c>
      <c r="I3326" s="126" t="s">
        <v>7401</v>
      </c>
      <c r="J3326" s="207" t="s">
        <v>7402</v>
      </c>
      <c r="K3326" s="171"/>
      <c r="L3326" s="62">
        <v>23551290</v>
      </c>
      <c r="M3326" s="30">
        <v>5218991925883</v>
      </c>
      <c r="N3326" s="171" t="s">
        <v>28</v>
      </c>
      <c r="O3326" s="50">
        <f>39000.64-28364.1</f>
        <v>10636.54</v>
      </c>
      <c r="P3326" s="97"/>
      <c r="Q3326" s="42">
        <f>OfficeForms.Table[[#This Row],[ INFORMEDEPAGO ]]*0.3</f>
        <v>3190.962</v>
      </c>
      <c r="R3326" s="12">
        <f>(IF(O3326&lt;4172.98,0,MIN(O3326*0.3,O3326-4172.98)))-P3326</f>
        <v>3190.962</v>
      </c>
      <c r="S3326" s="78"/>
      <c r="T3326" s="1"/>
      <c r="V3326" s="1"/>
      <c r="X3326" s="101">
        <v>1</v>
      </c>
    </row>
    <row r="3327" spans="1:24" hidden="1">
      <c r="A3327">
        <v>1744</v>
      </c>
      <c r="B3327" s="2">
        <v>46246.489328703698</v>
      </c>
      <c r="C3327" s="2">
        <v>46246.5027430556</v>
      </c>
      <c r="D3327" s="1" t="s">
        <v>24</v>
      </c>
      <c r="E3327" s="1"/>
      <c r="F3327" s="29">
        <v>46246</v>
      </c>
      <c r="G3327" s="29">
        <v>46246</v>
      </c>
      <c r="H3327" s="1" t="s">
        <v>1625</v>
      </c>
      <c r="I3327" s="126" t="s">
        <v>7403</v>
      </c>
      <c r="J3327" s="207">
        <v>43816459655</v>
      </c>
      <c r="K3327" s="171" t="s">
        <v>7404</v>
      </c>
      <c r="L3327" s="62">
        <v>2</v>
      </c>
      <c r="M3327" s="30">
        <v>8131365331</v>
      </c>
      <c r="N3327" s="171" t="s">
        <v>37</v>
      </c>
      <c r="O3327" s="50">
        <v>11029.03</v>
      </c>
      <c r="P3327" s="97">
        <v>3306.28</v>
      </c>
      <c r="Q3327" s="42">
        <f>OfficeForms.Table[[#This Row],[ INFORMEDEPAGO ]]*0.3</f>
        <v>3308.7090000000003</v>
      </c>
      <c r="R3327" s="12">
        <f>(IF(O3327&lt;4172.98,0,MIN(O3327*0.3,O3327-4172.98)))-P3327</f>
        <v>2.4290000000000873</v>
      </c>
      <c r="S3327" s="78">
        <v>46813</v>
      </c>
      <c r="T3327" s="1"/>
      <c r="V3327" s="1"/>
      <c r="X3327" s="101">
        <v>2</v>
      </c>
    </row>
    <row r="3328" spans="1:24" hidden="1">
      <c r="A3328">
        <v>1745</v>
      </c>
      <c r="B3328" s="2">
        <v>46246.5022453704</v>
      </c>
      <c r="C3328" s="2">
        <v>46246.503703703696</v>
      </c>
      <c r="D3328" s="1" t="s">
        <v>24</v>
      </c>
      <c r="E3328" s="1"/>
      <c r="F3328" s="29">
        <v>46246</v>
      </c>
      <c r="G3328" s="29">
        <v>46208</v>
      </c>
      <c r="H3328" s="1" t="s">
        <v>26</v>
      </c>
      <c r="I3328" s="126" t="s">
        <v>7405</v>
      </c>
      <c r="J3328" s="207" t="s">
        <v>7406</v>
      </c>
      <c r="K3328" s="171" t="s">
        <v>7407</v>
      </c>
      <c r="L3328" s="119">
        <v>22315416</v>
      </c>
      <c r="M3328" s="30">
        <v>5213329624090</v>
      </c>
      <c r="N3328" s="171" t="s">
        <v>98</v>
      </c>
      <c r="O3328" s="50"/>
      <c r="P3328" s="97"/>
      <c r="Q3328" s="42">
        <f>OfficeForms.Table[[#This Row],[ INFORMEDEPAGO ]]*0.3</f>
        <v>0</v>
      </c>
      <c r="R3328" s="12">
        <f t="shared" ref="R3328:R3329" si="94">(IF(O3328&lt;4172.98,0,MIN(O3328*0.3,O3328-4172.98)))-P3328</f>
        <v>0</v>
      </c>
      <c r="S3328" s="78"/>
      <c r="T3328" s="1"/>
      <c r="V3328" s="1"/>
      <c r="X3328" s="101">
        <v>0</v>
      </c>
    </row>
    <row r="3329" spans="1:24" hidden="1">
      <c r="A3329">
        <v>1746</v>
      </c>
      <c r="B3329" s="2">
        <v>46246.495300925897</v>
      </c>
      <c r="C3329" s="2">
        <v>46246.504537036999</v>
      </c>
      <c r="D3329" s="1" t="s">
        <v>24</v>
      </c>
      <c r="E3329" s="1"/>
      <c r="F3329" s="29">
        <v>46246</v>
      </c>
      <c r="G3329" s="29">
        <v>46244</v>
      </c>
      <c r="H3329" s="1" t="s">
        <v>78</v>
      </c>
      <c r="I3329" s="126" t="s">
        <v>7408</v>
      </c>
      <c r="J3329" s="207">
        <v>11674861742</v>
      </c>
      <c r="K3329" s="171" t="s">
        <v>7409</v>
      </c>
      <c r="L3329" s="62">
        <v>23529016</v>
      </c>
      <c r="M3329" s="30">
        <v>5214481203112</v>
      </c>
      <c r="N3329" s="171" t="s">
        <v>37</v>
      </c>
      <c r="O3329" s="50">
        <v>5679.66</v>
      </c>
      <c r="P3329" s="97">
        <v>1344.54</v>
      </c>
      <c r="Q3329" s="42">
        <f>OfficeForms.Table[[#This Row],[ INFORMEDEPAGO ]]*0.3</f>
        <v>1703.8979999999999</v>
      </c>
      <c r="R3329" s="12">
        <f t="shared" si="94"/>
        <v>162.14000000000033</v>
      </c>
      <c r="S3329" s="78">
        <v>46327</v>
      </c>
      <c r="T3329" s="1"/>
      <c r="V3329" s="1"/>
      <c r="X3329" s="101">
        <v>2</v>
      </c>
    </row>
    <row r="3330" spans="1:24" hidden="1">
      <c r="A3330">
        <v>1747</v>
      </c>
      <c r="B3330" s="2">
        <v>46246.504525463002</v>
      </c>
      <c r="C3330" s="2">
        <v>46246.506782407399</v>
      </c>
      <c r="D3330" s="1" t="s">
        <v>24</v>
      </c>
      <c r="E3330" s="1"/>
      <c r="F3330" s="29">
        <v>46246</v>
      </c>
      <c r="G3330" s="29">
        <v>46245</v>
      </c>
      <c r="H3330" s="1" t="s">
        <v>71</v>
      </c>
      <c r="I3330" s="126" t="s">
        <v>7410</v>
      </c>
      <c r="J3330" s="207"/>
      <c r="K3330" s="171" t="s">
        <v>7411</v>
      </c>
      <c r="L3330" s="62">
        <v>23550658</v>
      </c>
      <c r="M3330" s="30">
        <v>5214521081753</v>
      </c>
      <c r="N3330" s="171" t="s">
        <v>32</v>
      </c>
      <c r="O3330" s="50">
        <f>3830.37+848</f>
        <v>4678.37</v>
      </c>
      <c r="P3330" s="97">
        <v>848</v>
      </c>
      <c r="Q3330" s="42">
        <f>OfficeForms.Table[[#This Row],[ INFORMEDEPAGO ]]*0.3</f>
        <v>1403.511</v>
      </c>
      <c r="R3330" s="12">
        <f t="shared" ref="R3330:R3339" si="95">(IF(O3330&lt;4172.98,0,MIN(O3330*0.3,O3330-4172.98)))-P3330</f>
        <v>-342.60999999999967</v>
      </c>
      <c r="S3330" s="78"/>
      <c r="T3330" s="1"/>
      <c r="V3330" s="1"/>
      <c r="X3330" s="101">
        <v>1</v>
      </c>
    </row>
    <row r="3331" spans="1:24" hidden="1">
      <c r="A3331">
        <v>1748</v>
      </c>
      <c r="B3331" s="2">
        <v>46246.382465277798</v>
      </c>
      <c r="C3331" s="2">
        <v>46246.514374999999</v>
      </c>
      <c r="D3331" s="1" t="s">
        <v>24</v>
      </c>
      <c r="E3331" s="1"/>
      <c r="F3331" s="29">
        <v>46246</v>
      </c>
      <c r="G3331" s="29">
        <v>46246</v>
      </c>
      <c r="H3331" s="1" t="s">
        <v>1625</v>
      </c>
      <c r="I3331" s="126" t="s">
        <v>7412</v>
      </c>
      <c r="J3331" s="207">
        <v>17816127082</v>
      </c>
      <c r="K3331" s="171" t="s">
        <v>7413</v>
      </c>
      <c r="L3331" s="62">
        <v>2</v>
      </c>
      <c r="M3331" s="30">
        <v>5521918138</v>
      </c>
      <c r="N3331" s="171" t="s">
        <v>37</v>
      </c>
      <c r="O3331" s="50">
        <v>7640.52</v>
      </c>
      <c r="P3331" s="97">
        <v>2291.4299999999998</v>
      </c>
      <c r="Q3331" s="42">
        <f>OfficeForms.Table[[#This Row],[ INFORMEDEPAGO ]]*0.3</f>
        <v>2292.1559999999999</v>
      </c>
      <c r="R3331" s="12">
        <f t="shared" si="95"/>
        <v>0.72600000000011278</v>
      </c>
      <c r="S3331" s="78">
        <v>46327</v>
      </c>
      <c r="T3331" s="1"/>
      <c r="V3331" s="1"/>
      <c r="X3331" s="101">
        <v>2</v>
      </c>
    </row>
    <row r="3332" spans="1:24" hidden="1">
      <c r="A3332">
        <v>1749</v>
      </c>
      <c r="B3332" s="2">
        <v>46246.5159375</v>
      </c>
      <c r="C3332" s="2">
        <v>46246.516851851797</v>
      </c>
      <c r="D3332" s="1" t="s">
        <v>24</v>
      </c>
      <c r="E3332" s="1"/>
      <c r="F3332" s="29">
        <v>46246</v>
      </c>
      <c r="G3332" s="29">
        <v>46245</v>
      </c>
      <c r="H3332" s="1" t="s">
        <v>71</v>
      </c>
      <c r="I3332" s="126" t="s">
        <v>7414</v>
      </c>
      <c r="J3332" s="207"/>
      <c r="K3332" s="171" t="s">
        <v>7415</v>
      </c>
      <c r="L3332" s="62">
        <v>23548272</v>
      </c>
      <c r="M3332" s="30">
        <v>5214775511938</v>
      </c>
      <c r="N3332" s="171" t="s">
        <v>28</v>
      </c>
      <c r="O3332" s="50">
        <f>8881.32+879</f>
        <v>9760.32</v>
      </c>
      <c r="P3332" s="97">
        <v>879</v>
      </c>
      <c r="Q3332" s="42">
        <f>OfficeForms.Table[[#This Row],[ INFORMEDEPAGO ]]*0.3</f>
        <v>2928.096</v>
      </c>
      <c r="R3332" s="12">
        <f t="shared" si="95"/>
        <v>2049.096</v>
      </c>
      <c r="S3332" s="78"/>
      <c r="T3332" s="1"/>
      <c r="V3332" s="1"/>
      <c r="X3332" s="101">
        <v>1</v>
      </c>
    </row>
    <row r="3333" spans="1:24" hidden="1">
      <c r="A3333">
        <v>1750</v>
      </c>
      <c r="B3333" s="2">
        <v>46245.704814814802</v>
      </c>
      <c r="C3333" s="2">
        <v>46246.528657407398</v>
      </c>
      <c r="D3333" s="1" t="s">
        <v>24</v>
      </c>
      <c r="E3333" s="1"/>
      <c r="F3333" s="29">
        <v>46246</v>
      </c>
      <c r="G3333" s="29">
        <v>46245</v>
      </c>
      <c r="H3333" s="1" t="s">
        <v>3352</v>
      </c>
      <c r="I3333" s="126" t="s">
        <v>7416</v>
      </c>
      <c r="J3333" s="207"/>
      <c r="K3333" s="171" t="s">
        <v>7417</v>
      </c>
      <c r="L3333" s="62">
        <v>23552266</v>
      </c>
      <c r="M3333" s="30">
        <v>3751301827</v>
      </c>
      <c r="N3333" s="171" t="s">
        <v>98</v>
      </c>
      <c r="O3333" s="50"/>
      <c r="P3333" s="97"/>
      <c r="Q3333" s="42">
        <f>OfficeForms.Table[[#This Row],[ INFORMEDEPAGO ]]*0.3</f>
        <v>0</v>
      </c>
      <c r="R3333" s="12">
        <f t="shared" si="95"/>
        <v>0</v>
      </c>
      <c r="S3333" s="78"/>
      <c r="T3333" s="1"/>
      <c r="V3333" s="1"/>
      <c r="X3333" s="101">
        <v>0</v>
      </c>
    </row>
    <row r="3334" spans="1:24" hidden="1">
      <c r="A3334">
        <v>1751</v>
      </c>
      <c r="B3334" s="2">
        <v>46246.491249999999</v>
      </c>
      <c r="C3334" s="2">
        <v>46246.539432870399</v>
      </c>
      <c r="D3334" s="1" t="s">
        <v>24</v>
      </c>
      <c r="E3334" s="1"/>
      <c r="F3334" s="29">
        <v>46246</v>
      </c>
      <c r="G3334" s="29">
        <v>46246</v>
      </c>
      <c r="H3334" s="1" t="s">
        <v>51</v>
      </c>
      <c r="I3334" s="126" t="s">
        <v>7418</v>
      </c>
      <c r="J3334" s="207">
        <v>24786028803</v>
      </c>
      <c r="K3334" s="171"/>
      <c r="L3334" s="62">
        <v>23567036</v>
      </c>
      <c r="M3334" s="30">
        <v>5216621958265</v>
      </c>
      <c r="N3334" s="171" t="s">
        <v>106</v>
      </c>
      <c r="O3334" s="50">
        <v>5617.63</v>
      </c>
      <c r="P3334" s="97">
        <v>1336.93</v>
      </c>
      <c r="Q3334" s="42">
        <f>OfficeForms.Table[[#This Row],[ INFORMEDEPAGO ]]*0.3</f>
        <v>1685.289</v>
      </c>
      <c r="R3334" s="12">
        <f t="shared" si="95"/>
        <v>107.72000000000048</v>
      </c>
      <c r="S3334" s="78">
        <v>46113</v>
      </c>
      <c r="T3334" s="1"/>
      <c r="V3334" s="1"/>
      <c r="X3334" s="101">
        <v>2</v>
      </c>
    </row>
    <row r="3335" spans="1:24" hidden="1">
      <c r="A3335">
        <v>1752</v>
      </c>
      <c r="B3335" s="2">
        <v>46246.505543981497</v>
      </c>
      <c r="C3335" s="2">
        <v>46246.540625000001</v>
      </c>
      <c r="D3335" s="1" t="s">
        <v>24</v>
      </c>
      <c r="E3335" s="1"/>
      <c r="F3335" s="29">
        <v>46246</v>
      </c>
      <c r="G3335" s="29">
        <v>46246</v>
      </c>
      <c r="H3335" s="1" t="s">
        <v>78</v>
      </c>
      <c r="I3335" s="126" t="s">
        <v>7419</v>
      </c>
      <c r="J3335" s="207">
        <v>32846647140</v>
      </c>
      <c r="K3335" s="171" t="s">
        <v>7420</v>
      </c>
      <c r="L3335" s="62">
        <v>23569418</v>
      </c>
      <c r="M3335" s="30">
        <v>5218787889663</v>
      </c>
      <c r="N3335" s="171" t="s">
        <v>37</v>
      </c>
      <c r="O3335" s="50">
        <v>18121.55</v>
      </c>
      <c r="P3335" s="97">
        <v>5328.35</v>
      </c>
      <c r="Q3335" s="42">
        <f>OfficeForms.Table[[#This Row],[ INFORMEDEPAGO ]]*0.3</f>
        <v>5436.4649999999992</v>
      </c>
      <c r="R3335" s="12">
        <f t="shared" si="95"/>
        <v>108.11499999999887</v>
      </c>
      <c r="S3335" s="78">
        <v>46447</v>
      </c>
      <c r="T3335" s="1"/>
      <c r="V3335" s="1"/>
      <c r="X3335" s="101">
        <v>2</v>
      </c>
    </row>
    <row r="3336" spans="1:24" hidden="1">
      <c r="A3336">
        <v>1753</v>
      </c>
      <c r="B3336" s="2">
        <v>46246.539849537003</v>
      </c>
      <c r="C3336" s="2">
        <v>46246.5406828704</v>
      </c>
      <c r="D3336" s="1" t="s">
        <v>24</v>
      </c>
      <c r="E3336" s="1"/>
      <c r="F3336" s="29">
        <v>46246</v>
      </c>
      <c r="G3336" s="29">
        <v>46246</v>
      </c>
      <c r="H3336" s="1" t="s">
        <v>269</v>
      </c>
      <c r="I3336" s="126" t="s">
        <v>7421</v>
      </c>
      <c r="J3336" s="207"/>
      <c r="K3336" s="171" t="s">
        <v>7422</v>
      </c>
      <c r="L3336" s="62">
        <v>23571420</v>
      </c>
      <c r="M3336" s="30">
        <v>5214426395189</v>
      </c>
      <c r="N3336" s="171" t="s">
        <v>28</v>
      </c>
      <c r="O3336" s="50">
        <v>29936.17</v>
      </c>
      <c r="P3336" s="97">
        <v>6445.43</v>
      </c>
      <c r="Q3336" s="42">
        <f>OfficeForms.Table[[#This Row],[ INFORMEDEPAGO ]]*0.3</f>
        <v>8980.8509999999987</v>
      </c>
      <c r="R3336" s="12">
        <f t="shared" si="95"/>
        <v>2535.4209999999985</v>
      </c>
      <c r="S3336" s="78">
        <v>46357</v>
      </c>
      <c r="T3336" s="1"/>
      <c r="V3336" s="1"/>
      <c r="X3336" s="101">
        <v>2</v>
      </c>
    </row>
    <row r="3337" spans="1:24" hidden="1">
      <c r="A3337">
        <v>1754</v>
      </c>
      <c r="B3337" s="2">
        <v>46246.539444444403</v>
      </c>
      <c r="C3337" s="2">
        <v>46246.542083333297</v>
      </c>
      <c r="D3337" s="1" t="s">
        <v>24</v>
      </c>
      <c r="E3337" s="1"/>
      <c r="F3337" s="29">
        <v>46246</v>
      </c>
      <c r="G3337" s="29">
        <v>46246</v>
      </c>
      <c r="H3337" s="1" t="s">
        <v>51</v>
      </c>
      <c r="I3337" s="126" t="s">
        <v>7423</v>
      </c>
      <c r="J3337" s="175" t="s">
        <v>7424</v>
      </c>
      <c r="K3337" s="171" t="s">
        <v>7425</v>
      </c>
      <c r="L3337" s="62">
        <v>23571278</v>
      </c>
      <c r="M3337" s="30">
        <v>23571278</v>
      </c>
      <c r="N3337" s="171" t="s">
        <v>37</v>
      </c>
      <c r="O3337" s="50">
        <v>5636.59</v>
      </c>
      <c r="P3337" s="97">
        <v>1690.98</v>
      </c>
      <c r="Q3337" s="42">
        <f>OfficeForms.Table[[#This Row],[ INFORMEDEPAGO ]]*0.3</f>
        <v>1690.9770000000001</v>
      </c>
      <c r="R3337" s="12">
        <f t="shared" si="95"/>
        <v>-227.36999999999944</v>
      </c>
      <c r="S3337" s="78">
        <v>46784</v>
      </c>
      <c r="T3337" s="1"/>
      <c r="V3337" s="1"/>
      <c r="X3337" s="101">
        <v>2</v>
      </c>
    </row>
    <row r="3338" spans="1:24" hidden="1">
      <c r="A3338">
        <v>1755</v>
      </c>
      <c r="B3338" s="2">
        <v>46246.536053240699</v>
      </c>
      <c r="C3338" s="2">
        <v>46246.542372685202</v>
      </c>
      <c r="D3338" s="1" t="s">
        <v>24</v>
      </c>
      <c r="E3338" s="1"/>
      <c r="F3338" s="29">
        <v>46246</v>
      </c>
      <c r="G3338" s="29">
        <v>46243</v>
      </c>
      <c r="H3338" s="1" t="s">
        <v>78</v>
      </c>
      <c r="I3338" s="126" t="s">
        <v>7426</v>
      </c>
      <c r="J3338" s="207">
        <v>24906430228</v>
      </c>
      <c r="K3338" s="171" t="s">
        <v>7427</v>
      </c>
      <c r="L3338" s="62">
        <v>23497366</v>
      </c>
      <c r="M3338" s="30">
        <v>5216622290718</v>
      </c>
      <c r="N3338" s="171" t="s">
        <v>28</v>
      </c>
      <c r="O3338" s="50">
        <v>20196.599999999999</v>
      </c>
      <c r="P3338" s="97"/>
      <c r="Q3338" s="42">
        <f>OfficeForms.Table[[#This Row],[ INFORMEDEPAGO ]]*0.3</f>
        <v>6058.98</v>
      </c>
      <c r="R3338" s="12">
        <f t="shared" si="95"/>
        <v>6058.98</v>
      </c>
      <c r="S3338" s="78"/>
      <c r="T3338" s="1"/>
      <c r="V3338" s="1"/>
      <c r="X3338" s="101">
        <v>1</v>
      </c>
    </row>
    <row r="3339" spans="1:24" hidden="1">
      <c r="A3339">
        <v>1756</v>
      </c>
      <c r="B3339" s="2">
        <v>46246.555601851898</v>
      </c>
      <c r="C3339" s="2">
        <v>46246.5568055556</v>
      </c>
      <c r="D3339" s="1" t="s">
        <v>24</v>
      </c>
      <c r="E3339" s="1"/>
      <c r="F3339" s="29">
        <v>46246</v>
      </c>
      <c r="G3339" s="29">
        <v>46246</v>
      </c>
      <c r="H3339" s="1" t="s">
        <v>1625</v>
      </c>
      <c r="I3339" s="126" t="s">
        <v>7428</v>
      </c>
      <c r="J3339" s="207" t="s">
        <v>7429</v>
      </c>
      <c r="K3339" s="171" t="s">
        <v>7430</v>
      </c>
      <c r="L3339" s="62">
        <v>2</v>
      </c>
      <c r="M3339" s="30">
        <v>5542470082</v>
      </c>
      <c r="N3339" s="171" t="s">
        <v>37</v>
      </c>
      <c r="O3339" s="50">
        <v>9514.7000000000007</v>
      </c>
      <c r="P3339" s="97">
        <v>2757.1</v>
      </c>
      <c r="Q3339" s="42">
        <f>OfficeForms.Table[[#This Row],[ INFORMEDEPAGO ]]*0.3</f>
        <v>2854.4100000000003</v>
      </c>
      <c r="R3339" s="12">
        <f t="shared" si="95"/>
        <v>97.3100000000004</v>
      </c>
      <c r="S3339" s="78">
        <v>46692</v>
      </c>
      <c r="T3339" s="1"/>
      <c r="V3339" s="1"/>
      <c r="X3339" s="101">
        <v>2</v>
      </c>
    </row>
    <row r="3340" spans="1:24" hidden="1">
      <c r="A3340">
        <v>1757</v>
      </c>
      <c r="B3340" s="2">
        <v>46246.5871064815</v>
      </c>
      <c r="C3340" s="2">
        <v>46246.588854166701</v>
      </c>
      <c r="D3340" s="1" t="s">
        <v>24</v>
      </c>
      <c r="E3340" s="1"/>
      <c r="F3340" s="29">
        <v>46246</v>
      </c>
      <c r="G3340" s="29">
        <v>46246</v>
      </c>
      <c r="H3340" s="1" t="s">
        <v>1625</v>
      </c>
      <c r="I3340" s="126" t="s">
        <v>7431</v>
      </c>
      <c r="J3340" s="207" t="s">
        <v>7432</v>
      </c>
      <c r="K3340" s="171" t="s">
        <v>7433</v>
      </c>
      <c r="L3340" s="62">
        <v>2</v>
      </c>
      <c r="M3340" s="30">
        <v>5524978169</v>
      </c>
      <c r="N3340" s="171" t="s">
        <v>37</v>
      </c>
      <c r="O3340" s="50">
        <v>7920.51</v>
      </c>
      <c r="P3340" s="97">
        <v>2376.15</v>
      </c>
      <c r="Q3340" s="42">
        <f>OfficeForms.Table[[#This Row],[ INFORMEDEPAGO ]]*0.3</f>
        <v>2376.1529999999998</v>
      </c>
      <c r="R3340" s="12">
        <f t="shared" ref="R3340" si="96">(IF(O3340&lt;4172.98,0,MIN(O3340*0.3,O3340-4172.98)))-P3340</f>
        <v>2.9999999997016857E-3</v>
      </c>
      <c r="S3340" s="78">
        <v>46935</v>
      </c>
      <c r="T3340" s="1"/>
      <c r="V3340" s="1"/>
      <c r="X3340" s="101">
        <v>2</v>
      </c>
    </row>
    <row r="3341" spans="1:24" hidden="1">
      <c r="A3341">
        <v>1758</v>
      </c>
      <c r="B3341" s="2">
        <v>46246.542094907403</v>
      </c>
      <c r="C3341" s="2">
        <v>46246.5965393519</v>
      </c>
      <c r="D3341" s="1" t="s">
        <v>24</v>
      </c>
      <c r="E3341" s="1"/>
      <c r="F3341" s="29">
        <v>46246</v>
      </c>
      <c r="G3341" s="29">
        <v>46246</v>
      </c>
      <c r="H3341" s="1" t="s">
        <v>51</v>
      </c>
      <c r="I3341" s="126" t="s">
        <v>7434</v>
      </c>
      <c r="J3341" s="207"/>
      <c r="K3341" s="171" t="s">
        <v>7435</v>
      </c>
      <c r="L3341" s="62">
        <v>23566042</v>
      </c>
      <c r="M3341" s="30">
        <v>5212222054207</v>
      </c>
      <c r="N3341" s="171" t="s">
        <v>37</v>
      </c>
      <c r="O3341" s="50">
        <v>6530.88</v>
      </c>
      <c r="P3341" s="97">
        <v>1889</v>
      </c>
      <c r="Q3341" s="42">
        <f>OfficeForms.Table[[#This Row],[ INFORMEDEPAGO ]]*0.3</f>
        <v>1959.2639999999999</v>
      </c>
      <c r="R3341" s="12">
        <f t="shared" ref="R3341" si="97">(IF(O3341&lt;4172.98,0,MIN(O3341*0.3,O3341-4172.98)))-P3341</f>
        <v>70.263999999999896</v>
      </c>
      <c r="S3341" s="78">
        <v>46388</v>
      </c>
      <c r="T3341" s="1"/>
      <c r="V3341" s="1"/>
      <c r="X3341" s="101">
        <v>2</v>
      </c>
    </row>
    <row r="3342" spans="1:24" hidden="1">
      <c r="A3342">
        <v>1759</v>
      </c>
      <c r="B3342" s="2">
        <v>46246.595578703702</v>
      </c>
      <c r="C3342" s="2">
        <v>46246.610196759299</v>
      </c>
      <c r="D3342" s="1" t="s">
        <v>24</v>
      </c>
      <c r="E3342" s="1"/>
      <c r="F3342" s="29">
        <v>46246</v>
      </c>
      <c r="G3342" s="29">
        <v>46246</v>
      </c>
      <c r="H3342" s="1" t="s">
        <v>51</v>
      </c>
      <c r="I3342" s="126" t="s">
        <v>7436</v>
      </c>
      <c r="J3342" s="175" t="s">
        <v>7437</v>
      </c>
      <c r="K3342" s="171" t="s">
        <v>7438</v>
      </c>
      <c r="L3342" s="62">
        <v>23571452</v>
      </c>
      <c r="M3342" s="30">
        <v>5212881132214</v>
      </c>
      <c r="N3342" s="171" t="s">
        <v>37</v>
      </c>
      <c r="O3342" s="50">
        <v>12880.16</v>
      </c>
      <c r="P3342" s="97">
        <v>3863.77</v>
      </c>
      <c r="Q3342" s="42">
        <f>OfficeForms.Table[[#This Row],[ INFORMEDEPAGO ]]*0.3</f>
        <v>3864.0479999999998</v>
      </c>
      <c r="R3342" s="12">
        <f t="shared" ref="R3342:R3346" si="98">(IF(O3342&lt;4172.98,0,MIN(O3342*0.3,O3342-4172.98)))-P3342</f>
        <v>0.27799999999979264</v>
      </c>
      <c r="S3342" s="78">
        <v>46419</v>
      </c>
      <c r="T3342" s="1" t="s">
        <v>259</v>
      </c>
      <c r="V3342" s="1"/>
      <c r="X3342" s="101">
        <v>2</v>
      </c>
    </row>
    <row r="3343" spans="1:24" hidden="1">
      <c r="A3343">
        <v>1760</v>
      </c>
      <c r="B3343" s="2">
        <v>46246.5753819444</v>
      </c>
      <c r="C3343" s="2">
        <v>46246.611215277801</v>
      </c>
      <c r="D3343" s="1" t="s">
        <v>24</v>
      </c>
      <c r="E3343" s="1"/>
      <c r="F3343" s="29">
        <v>46246</v>
      </c>
      <c r="G3343" s="29">
        <v>46246</v>
      </c>
      <c r="H3343" s="1" t="s">
        <v>1625</v>
      </c>
      <c r="I3343" s="126" t="s">
        <v>7439</v>
      </c>
      <c r="J3343" s="207" t="s">
        <v>7440</v>
      </c>
      <c r="K3343" s="171" t="s">
        <v>7441</v>
      </c>
      <c r="L3343" s="62">
        <v>2</v>
      </c>
      <c r="M3343" s="30">
        <v>5587469234</v>
      </c>
      <c r="N3343" s="171" t="s">
        <v>37</v>
      </c>
      <c r="O3343" s="50">
        <v>13782.73</v>
      </c>
      <c r="P3343" s="97">
        <v>4039.34</v>
      </c>
      <c r="Q3343" s="42">
        <f>OfficeForms.Table[[#This Row],[ INFORMEDEPAGO ]]*0.3</f>
        <v>4134.8189999999995</v>
      </c>
      <c r="R3343" s="12">
        <f t="shared" si="98"/>
        <v>95.47899999999936</v>
      </c>
      <c r="S3343" s="78">
        <v>46327</v>
      </c>
      <c r="T3343" s="1"/>
      <c r="V3343" s="1"/>
      <c r="X3343" s="101">
        <v>2</v>
      </c>
    </row>
    <row r="3344" spans="1:24" hidden="1">
      <c r="A3344">
        <v>1761</v>
      </c>
      <c r="B3344" s="2">
        <v>46246.586979166699</v>
      </c>
      <c r="C3344" s="2">
        <v>46246.611736111103</v>
      </c>
      <c r="D3344" s="1" t="s">
        <v>24</v>
      </c>
      <c r="E3344" s="1"/>
      <c r="F3344" s="29">
        <v>46246</v>
      </c>
      <c r="G3344" s="29">
        <v>46245</v>
      </c>
      <c r="H3344" s="1" t="s">
        <v>71</v>
      </c>
      <c r="I3344" s="126" t="s">
        <v>7442</v>
      </c>
      <c r="J3344" s="207"/>
      <c r="K3344" s="171" t="s">
        <v>7443</v>
      </c>
      <c r="L3344" s="62">
        <v>23553282</v>
      </c>
      <c r="M3344" s="30">
        <v>5218787850545</v>
      </c>
      <c r="N3344" s="171" t="s">
        <v>98</v>
      </c>
      <c r="O3344" s="50"/>
      <c r="P3344" s="97"/>
      <c r="Q3344" s="42">
        <f>OfficeForms.Table[[#This Row],[ INFORMEDEPAGO ]]*0.3</f>
        <v>0</v>
      </c>
      <c r="R3344" s="12">
        <f t="shared" si="98"/>
        <v>0</v>
      </c>
      <c r="S3344" s="78"/>
      <c r="T3344" s="1"/>
      <c r="V3344" s="1"/>
      <c r="X3344" s="101">
        <v>0</v>
      </c>
    </row>
    <row r="3345" spans="1:24" hidden="1">
      <c r="A3345">
        <v>1762</v>
      </c>
      <c r="B3345" s="2">
        <v>46246.574247685203</v>
      </c>
      <c r="C3345" s="2">
        <v>46246.612453703703</v>
      </c>
      <c r="D3345" s="1" t="s">
        <v>24</v>
      </c>
      <c r="E3345" s="1"/>
      <c r="F3345" s="29">
        <v>46246</v>
      </c>
      <c r="G3345" s="29">
        <v>46246</v>
      </c>
      <c r="H3345" s="1" t="s">
        <v>1629</v>
      </c>
      <c r="I3345" s="126" t="s">
        <v>7444</v>
      </c>
      <c r="J3345" s="207">
        <v>43816484679</v>
      </c>
      <c r="K3345" s="171" t="s">
        <v>3609</v>
      </c>
      <c r="L3345" s="62">
        <v>2</v>
      </c>
      <c r="M3345" s="30" t="s">
        <v>7445</v>
      </c>
      <c r="N3345" s="170" t="s">
        <v>32</v>
      </c>
      <c r="O3345" s="47">
        <v>4035.69</v>
      </c>
      <c r="P3345" s="94"/>
      <c r="Q3345" s="42">
        <f>OfficeForms.Table[[#This Row],[ INFORMEDEPAGO ]]*0.3</f>
        <v>1210.7069999999999</v>
      </c>
      <c r="R3345" s="12">
        <f t="shared" si="98"/>
        <v>0</v>
      </c>
      <c r="S3345" s="78"/>
      <c r="T3345" s="1"/>
      <c r="V3345" s="1"/>
      <c r="X3345" s="101">
        <v>0</v>
      </c>
    </row>
    <row r="3346" spans="1:24" hidden="1">
      <c r="A3346">
        <v>1763</v>
      </c>
      <c r="B3346" s="2">
        <v>46246.613923611098</v>
      </c>
      <c r="C3346" s="2">
        <v>46246.614548611098</v>
      </c>
      <c r="D3346" s="1" t="s">
        <v>24</v>
      </c>
      <c r="E3346" s="1"/>
      <c r="F3346" s="29">
        <v>46246</v>
      </c>
      <c r="G3346" s="29">
        <v>46246</v>
      </c>
      <c r="H3346" s="1" t="s">
        <v>1629</v>
      </c>
      <c r="I3346" s="126" t="s">
        <v>7446</v>
      </c>
      <c r="J3346" s="207">
        <v>54936225017</v>
      </c>
      <c r="K3346" s="171" t="s">
        <v>7447</v>
      </c>
      <c r="L3346" s="62">
        <v>2</v>
      </c>
      <c r="M3346" s="30">
        <v>3338301712</v>
      </c>
      <c r="N3346" s="171" t="s">
        <v>37</v>
      </c>
      <c r="O3346" s="50">
        <v>7920.53</v>
      </c>
      <c r="P3346" s="97">
        <v>2376.16</v>
      </c>
      <c r="Q3346" s="42">
        <f>OfficeForms.Table[[#This Row],[ INFORMEDEPAGO ]]*0.3</f>
        <v>2376.1589999999997</v>
      </c>
      <c r="R3346" s="12">
        <f t="shared" si="98"/>
        <v>-1.0000000002037268E-3</v>
      </c>
      <c r="S3346" s="78">
        <v>46935</v>
      </c>
      <c r="T3346" s="1" t="s">
        <v>5368</v>
      </c>
      <c r="V3346" s="1"/>
      <c r="X3346" s="101">
        <v>2</v>
      </c>
    </row>
    <row r="3347" spans="1:24" hidden="1">
      <c r="A3347">
        <v>1764</v>
      </c>
      <c r="B3347" s="2">
        <v>46246.618229166699</v>
      </c>
      <c r="C3347" s="2">
        <v>46246.625775462999</v>
      </c>
      <c r="D3347" s="1" t="s">
        <v>24</v>
      </c>
      <c r="E3347" s="1"/>
      <c r="F3347" s="29">
        <v>46246</v>
      </c>
      <c r="G3347" s="29">
        <v>46246</v>
      </c>
      <c r="H3347" s="1" t="s">
        <v>78</v>
      </c>
      <c r="I3347" s="126" t="s">
        <v>7448</v>
      </c>
      <c r="J3347" s="208" t="s">
        <v>7449</v>
      </c>
      <c r="K3347" s="171" t="s">
        <v>7450</v>
      </c>
      <c r="L3347" s="62">
        <v>23562404</v>
      </c>
      <c r="M3347" s="30">
        <v>5213334659369</v>
      </c>
      <c r="N3347" s="171" t="s">
        <v>32</v>
      </c>
      <c r="O3347" s="52">
        <v>4633.7</v>
      </c>
      <c r="P3347" s="52">
        <v>848</v>
      </c>
      <c r="Q3347" s="42">
        <f>OfficeForms.Table[[#This Row],[ INFORMEDEPAGO ]]*0.3</f>
        <v>1390.11</v>
      </c>
      <c r="R3347" s="12">
        <f t="shared" ref="R3347:R3349" si="99">(IF(O3347&lt;4172.98,0,MIN(O3347*0.3,O3347-4172.98)))-P3347</f>
        <v>-387.27999999999975</v>
      </c>
      <c r="S3347" s="78"/>
      <c r="T3347" s="1"/>
      <c r="V3347" s="1"/>
      <c r="X3347" s="101">
        <v>1</v>
      </c>
    </row>
    <row r="3348" spans="1:24" hidden="1">
      <c r="A3348">
        <v>1765</v>
      </c>
      <c r="B3348" s="2">
        <v>46246.621539351901</v>
      </c>
      <c r="C3348" s="2">
        <v>46246.625983796301</v>
      </c>
      <c r="D3348" s="1" t="s">
        <v>24</v>
      </c>
      <c r="E3348" s="1"/>
      <c r="F3348" s="29">
        <v>46246</v>
      </c>
      <c r="G3348" s="29">
        <v>46246</v>
      </c>
      <c r="H3348" s="1" t="s">
        <v>78</v>
      </c>
      <c r="I3348" s="126" t="s">
        <v>7451</v>
      </c>
      <c r="J3348" s="207">
        <v>67795308187</v>
      </c>
      <c r="K3348" s="171" t="s">
        <v>7452</v>
      </c>
      <c r="L3348" s="62">
        <v>23570982</v>
      </c>
      <c r="M3348" s="30">
        <v>5212711131296</v>
      </c>
      <c r="N3348" s="171" t="s">
        <v>32</v>
      </c>
      <c r="O3348" s="50">
        <v>3961.31</v>
      </c>
      <c r="P3348" s="97"/>
      <c r="Q3348" s="42">
        <f>OfficeForms.Table[[#This Row],[ INFORMEDEPAGO ]]*0.3</f>
        <v>1188.393</v>
      </c>
      <c r="R3348" s="12">
        <f t="shared" si="99"/>
        <v>0</v>
      </c>
      <c r="S3348" s="78"/>
      <c r="T3348" s="1"/>
      <c r="V3348" s="1"/>
      <c r="X3348" s="101">
        <v>1</v>
      </c>
    </row>
    <row r="3349" spans="1:24" hidden="1">
      <c r="A3349">
        <v>1766</v>
      </c>
      <c r="B3349" s="2">
        <v>46246.629953703698</v>
      </c>
      <c r="C3349" s="2">
        <v>46246.630451388897</v>
      </c>
      <c r="D3349" s="1" t="s">
        <v>24</v>
      </c>
      <c r="E3349" s="1"/>
      <c r="F3349" s="29">
        <v>46246</v>
      </c>
      <c r="G3349" s="29">
        <v>46245</v>
      </c>
      <c r="H3349" s="1" t="s">
        <v>269</v>
      </c>
      <c r="I3349" s="126" t="s">
        <v>7453</v>
      </c>
      <c r="J3349" s="207"/>
      <c r="K3349" s="171" t="s">
        <v>7454</v>
      </c>
      <c r="L3349" s="62">
        <v>23554814</v>
      </c>
      <c r="M3349" s="30">
        <v>5214811064452</v>
      </c>
      <c r="N3349" s="171" t="s">
        <v>32</v>
      </c>
      <c r="O3349" s="50">
        <f>3609.82+879</f>
        <v>4488.82</v>
      </c>
      <c r="P3349" s="97">
        <v>879</v>
      </c>
      <c r="Q3349" s="42">
        <f>OfficeForms.Table[[#This Row],[ INFORMEDEPAGO ]]*0.3</f>
        <v>1346.646</v>
      </c>
      <c r="R3349" s="12">
        <f t="shared" si="99"/>
        <v>-563.15999999999985</v>
      </c>
      <c r="S3349" s="78"/>
      <c r="T3349" s="1"/>
      <c r="V3349" s="1"/>
      <c r="X3349" s="101">
        <v>1</v>
      </c>
    </row>
    <row r="3350" spans="1:24" hidden="1">
      <c r="A3350">
        <v>1767</v>
      </c>
      <c r="B3350" s="2">
        <v>46246.627986111103</v>
      </c>
      <c r="C3350" s="2">
        <v>46246.640613425901</v>
      </c>
      <c r="D3350" s="1" t="s">
        <v>24</v>
      </c>
      <c r="E3350" s="1"/>
      <c r="F3350" s="29">
        <v>46246</v>
      </c>
      <c r="G3350" s="29">
        <v>46246</v>
      </c>
      <c r="H3350" s="1" t="s">
        <v>78</v>
      </c>
      <c r="I3350" s="126" t="s">
        <v>7455</v>
      </c>
      <c r="J3350" s="207">
        <v>21734203934</v>
      </c>
      <c r="K3350" s="171" t="s">
        <v>7456</v>
      </c>
      <c r="L3350" s="62">
        <v>23572800</v>
      </c>
      <c r="M3350" s="30">
        <v>5216461165016</v>
      </c>
      <c r="N3350" s="171" t="s">
        <v>74</v>
      </c>
      <c r="O3350" s="50"/>
      <c r="P3350" s="97"/>
      <c r="Q3350" s="42">
        <f>OfficeForms.Table[[#This Row],[ INFORMEDEPAGO ]]*0.3</f>
        <v>0</v>
      </c>
      <c r="R3350" s="12">
        <f t="shared" ref="R3350:R3353" si="100">(IF(O3350&lt;4172.98,0,MIN(O3350*0.3,O3350-4172.98)))-P3350</f>
        <v>0</v>
      </c>
      <c r="S3350" s="78"/>
      <c r="T3350" s="1"/>
      <c r="V3350" s="1"/>
      <c r="X3350" s="101">
        <v>1</v>
      </c>
    </row>
    <row r="3351" spans="1:24" hidden="1">
      <c r="A3351">
        <v>1768</v>
      </c>
      <c r="B3351" s="2">
        <v>46246.632754629602</v>
      </c>
      <c r="C3351" s="2">
        <v>46246.640879629602</v>
      </c>
      <c r="D3351" s="1" t="s">
        <v>24</v>
      </c>
      <c r="E3351" s="1"/>
      <c r="F3351" s="29">
        <v>46246</v>
      </c>
      <c r="G3351" s="29">
        <v>46246</v>
      </c>
      <c r="H3351" s="1" t="s">
        <v>78</v>
      </c>
      <c r="I3351" s="126" t="s">
        <v>7457</v>
      </c>
      <c r="J3351" s="207">
        <v>84755802919</v>
      </c>
      <c r="K3351" s="171" t="s">
        <v>7458</v>
      </c>
      <c r="L3351" s="62">
        <v>23573096</v>
      </c>
      <c r="M3351" s="30">
        <v>5219991563182</v>
      </c>
      <c r="N3351" s="171" t="s">
        <v>32</v>
      </c>
      <c r="O3351" s="50">
        <f>3655.1+848</f>
        <v>4503.1000000000004</v>
      </c>
      <c r="P3351" s="97">
        <v>848</v>
      </c>
      <c r="Q3351" s="42">
        <f>OfficeForms.Table[[#This Row],[ INFORMEDEPAGO ]]*0.3</f>
        <v>1350.93</v>
      </c>
      <c r="R3351" s="12">
        <f t="shared" si="100"/>
        <v>-517.8799999999992</v>
      </c>
      <c r="S3351" s="78"/>
      <c r="T3351" s="1"/>
      <c r="V3351" s="1"/>
      <c r="X3351" s="101">
        <v>1</v>
      </c>
    </row>
    <row r="3352" spans="1:24" hidden="1">
      <c r="A3352">
        <v>1769</v>
      </c>
      <c r="B3352" s="2">
        <v>46246.596562500003</v>
      </c>
      <c r="C3352" s="2">
        <v>46246.6418402778</v>
      </c>
      <c r="D3352" s="1" t="s">
        <v>24</v>
      </c>
      <c r="E3352" s="1"/>
      <c r="F3352" s="29">
        <v>46246</v>
      </c>
      <c r="G3352" s="29">
        <v>46245</v>
      </c>
      <c r="H3352" s="1" t="s">
        <v>51</v>
      </c>
      <c r="I3352" s="126" t="s">
        <v>7459</v>
      </c>
      <c r="J3352" s="207"/>
      <c r="K3352" s="171" t="s">
        <v>7460</v>
      </c>
      <c r="L3352" s="62">
        <v>23539686</v>
      </c>
      <c r="M3352" s="30">
        <v>5219983955572</v>
      </c>
      <c r="N3352" s="171" t="s">
        <v>106</v>
      </c>
      <c r="O3352" s="50">
        <v>7200.89</v>
      </c>
      <c r="P3352" s="97">
        <v>1922.57</v>
      </c>
      <c r="Q3352" s="42">
        <f>OfficeForms.Table[[#This Row],[ INFORMEDEPAGO ]]*0.3</f>
        <v>2160.2669999999998</v>
      </c>
      <c r="R3352" s="12">
        <f t="shared" si="100"/>
        <v>237.69699999999989</v>
      </c>
      <c r="S3352" s="78">
        <v>46235</v>
      </c>
      <c r="T3352" s="1"/>
      <c r="V3352" s="1"/>
      <c r="X3352" s="101">
        <v>2</v>
      </c>
    </row>
    <row r="3353" spans="1:24" hidden="1">
      <c r="A3353">
        <v>1770</v>
      </c>
      <c r="B3353" s="2">
        <v>46246.611238425903</v>
      </c>
      <c r="C3353" s="2">
        <v>46246.644907407397</v>
      </c>
      <c r="D3353" s="1" t="s">
        <v>24</v>
      </c>
      <c r="E3353" s="1"/>
      <c r="F3353" s="29">
        <v>46246</v>
      </c>
      <c r="G3353" s="29">
        <v>46246</v>
      </c>
      <c r="H3353" s="1" t="s">
        <v>1625</v>
      </c>
      <c r="I3353" s="126" t="s">
        <v>7461</v>
      </c>
      <c r="J3353" s="207">
        <v>75816351706</v>
      </c>
      <c r="K3353" s="171" t="s">
        <v>7462</v>
      </c>
      <c r="L3353" s="62">
        <v>2</v>
      </c>
      <c r="M3353" s="30" t="s">
        <v>7463</v>
      </c>
      <c r="N3353" s="171" t="s">
        <v>37</v>
      </c>
      <c r="O3353" s="50">
        <v>9760.32</v>
      </c>
      <c r="P3353" s="97">
        <v>2927.52</v>
      </c>
      <c r="Q3353" s="42">
        <f>OfficeForms.Table[[#This Row],[ INFORMEDEPAGO ]]*0.3</f>
        <v>2928.096</v>
      </c>
      <c r="R3353" s="12">
        <f t="shared" si="100"/>
        <v>0.57600000000002183</v>
      </c>
      <c r="S3353" s="78">
        <v>46874</v>
      </c>
      <c r="T3353" s="1"/>
      <c r="V3353" s="1"/>
      <c r="X3353" s="101">
        <v>2</v>
      </c>
    </row>
    <row r="3354" spans="1:24" hidden="1">
      <c r="A3354">
        <v>1771</v>
      </c>
      <c r="B3354" s="2">
        <v>46246.6453819444</v>
      </c>
      <c r="C3354" s="2">
        <v>46246.645937499998</v>
      </c>
      <c r="D3354" s="1" t="s">
        <v>24</v>
      </c>
      <c r="E3354" s="1"/>
      <c r="F3354" s="29">
        <v>46246</v>
      </c>
      <c r="G3354" s="29">
        <v>46244</v>
      </c>
      <c r="H3354" s="1" t="s">
        <v>71</v>
      </c>
      <c r="I3354" s="126" t="s">
        <v>7464</v>
      </c>
      <c r="J3354" s="207">
        <v>31735701987</v>
      </c>
      <c r="K3354" s="187" t="s">
        <v>7465</v>
      </c>
      <c r="L3354" s="62">
        <v>23517202</v>
      </c>
      <c r="M3354" s="30">
        <v>6183048716</v>
      </c>
      <c r="N3354" s="171" t="s">
        <v>263</v>
      </c>
      <c r="O3354" s="50">
        <v>17897.150000000001</v>
      </c>
      <c r="P3354" s="97">
        <v>5177.95</v>
      </c>
      <c r="Q3354" s="42">
        <f>OfficeForms.Table[[#This Row],[ INFORMEDEPAGO ]]*0.3</f>
        <v>5369.1450000000004</v>
      </c>
      <c r="R3354" s="12">
        <f>(IF(O3354&lt;4172.98,0,MIN(O3354*0.3,O3354-4172.98)))-P3354</f>
        <v>191.19500000000062</v>
      </c>
      <c r="S3354" s="78">
        <v>45931</v>
      </c>
      <c r="T3354" s="1" t="s">
        <v>5368</v>
      </c>
      <c r="V3354" s="1"/>
      <c r="X3354" s="101">
        <v>2</v>
      </c>
    </row>
    <row r="3355" spans="1:24" hidden="1">
      <c r="A3355">
        <v>1772</v>
      </c>
      <c r="B3355" s="2">
        <v>46246.650335648097</v>
      </c>
      <c r="C3355" s="2">
        <v>46246.651388888902</v>
      </c>
      <c r="D3355" s="1" t="s">
        <v>24</v>
      </c>
      <c r="E3355" s="1"/>
      <c r="F3355" s="29">
        <v>46246</v>
      </c>
      <c r="G3355" s="29">
        <v>46243</v>
      </c>
      <c r="H3355" s="1" t="s">
        <v>5033</v>
      </c>
      <c r="I3355" s="126" t="s">
        <v>7466</v>
      </c>
      <c r="J3355" s="207"/>
      <c r="K3355" s="171" t="s">
        <v>7467</v>
      </c>
      <c r="L3355" s="62">
        <v>23488828</v>
      </c>
      <c r="M3355" s="30">
        <v>5218719476495</v>
      </c>
      <c r="N3355" s="171" t="s">
        <v>28</v>
      </c>
      <c r="O3355" s="50">
        <v>7147.87</v>
      </c>
      <c r="P3355" s="97">
        <v>848</v>
      </c>
      <c r="Q3355" s="42">
        <f>OfficeForms.Table[[#This Row],[ INFORMEDEPAGO ]]*0.3</f>
        <v>2144.3609999999999</v>
      </c>
      <c r="R3355" s="12">
        <f>(IF(O3355&lt;4172.98,0,MIN(O3355*0.3,O3355-4172.98)))-P3355</f>
        <v>1296.3609999999999</v>
      </c>
      <c r="S3355" s="78"/>
      <c r="T3355" s="1"/>
      <c r="V3355" s="1"/>
      <c r="X3355" s="101">
        <v>1</v>
      </c>
    </row>
    <row r="3356" spans="1:24" hidden="1">
      <c r="A3356">
        <v>1773</v>
      </c>
      <c r="B3356" s="2">
        <v>46246.614583333299</v>
      </c>
      <c r="C3356" s="2">
        <v>46246.661157407398</v>
      </c>
      <c r="D3356" s="1" t="s">
        <v>24</v>
      </c>
      <c r="E3356" s="1"/>
      <c r="F3356" s="29">
        <v>46246</v>
      </c>
      <c r="G3356" s="29">
        <v>46246</v>
      </c>
      <c r="H3356" s="1" t="s">
        <v>1629</v>
      </c>
      <c r="I3356" s="126" t="s">
        <v>7468</v>
      </c>
      <c r="J3356" s="207">
        <v>53896302022</v>
      </c>
      <c r="K3356" s="171" t="s">
        <v>7469</v>
      </c>
      <c r="L3356" s="62">
        <v>2</v>
      </c>
      <c r="M3356" s="30" t="s">
        <v>7470</v>
      </c>
      <c r="N3356" s="171" t="s">
        <v>37</v>
      </c>
      <c r="O3356" s="50">
        <v>7920.51</v>
      </c>
      <c r="P3356" s="97">
        <v>2376.0300000000002</v>
      </c>
      <c r="Q3356" s="42">
        <f>OfficeForms.Table[[#This Row],[ INFORMEDEPAGO ]]*0.3</f>
        <v>2376.1529999999998</v>
      </c>
      <c r="R3356" s="12">
        <f>(IF(O3356&lt;4172.98,0,MIN(O3356*0.3,O3356-4172.98)))-P3356</f>
        <v>0.12299999999959255</v>
      </c>
      <c r="S3356" s="78">
        <v>46813</v>
      </c>
      <c r="T3356" s="1"/>
      <c r="V3356" s="1"/>
      <c r="X3356" s="101">
        <v>2</v>
      </c>
    </row>
    <row r="3357" spans="1:24" hidden="1">
      <c r="A3357">
        <v>1774</v>
      </c>
      <c r="B3357" s="2">
        <v>46246.571319444403</v>
      </c>
      <c r="C3357" s="2">
        <v>46246.675937499997</v>
      </c>
      <c r="D3357" s="1" t="s">
        <v>24</v>
      </c>
      <c r="E3357" s="1"/>
      <c r="F3357" s="29">
        <v>46246</v>
      </c>
      <c r="G3357" s="29">
        <v>46246</v>
      </c>
      <c r="H3357" s="1" t="s">
        <v>6605</v>
      </c>
      <c r="I3357" s="126" t="s">
        <v>7471</v>
      </c>
      <c r="J3357" s="207"/>
      <c r="K3357" s="171" t="s">
        <v>7472</v>
      </c>
      <c r="L3357" s="62">
        <v>23575576</v>
      </c>
      <c r="M3357" s="30">
        <v>4443890162</v>
      </c>
      <c r="N3357" s="171" t="s">
        <v>37</v>
      </c>
      <c r="O3357" s="50">
        <v>14074.14</v>
      </c>
      <c r="P3357" s="97">
        <v>4221.5600000000004</v>
      </c>
      <c r="Q3357" s="42">
        <f>OfficeForms.Table[[#This Row],[ INFORMEDEPAGO ]]*0.3</f>
        <v>4222.2419999999993</v>
      </c>
      <c r="R3357" s="12">
        <f>(IF(O3357&lt;4172.98,0,MIN(O3357*0.3,O3357-4172.98)))-P3357</f>
        <v>0.6819999999988795</v>
      </c>
      <c r="S3357" s="78">
        <v>46388</v>
      </c>
      <c r="T3357" s="1"/>
      <c r="V3357" s="1"/>
      <c r="X3357" s="101">
        <v>2</v>
      </c>
    </row>
    <row r="3358" spans="1:24" hidden="1">
      <c r="A3358">
        <v>1775</v>
      </c>
      <c r="B3358" s="2">
        <v>46246.677581018499</v>
      </c>
      <c r="C3358" s="2">
        <v>46246.680266203701</v>
      </c>
      <c r="D3358" s="1" t="s">
        <v>24</v>
      </c>
      <c r="E3358" s="1"/>
      <c r="F3358" s="29">
        <v>46246</v>
      </c>
      <c r="G3358" s="29">
        <v>46246</v>
      </c>
      <c r="H3358" s="1" t="s">
        <v>6605</v>
      </c>
      <c r="I3358" s="126" t="s">
        <v>7472</v>
      </c>
      <c r="J3358" s="207"/>
      <c r="K3358" s="171" t="s">
        <v>7473</v>
      </c>
      <c r="L3358" s="62">
        <v>23575204</v>
      </c>
      <c r="M3358" s="30">
        <v>6878878063</v>
      </c>
      <c r="N3358" s="171" t="s">
        <v>32</v>
      </c>
      <c r="O3358" s="50">
        <f>3494.43+848</f>
        <v>4342.43</v>
      </c>
      <c r="P3358" s="97">
        <v>848</v>
      </c>
      <c r="Q3358" s="42">
        <f>OfficeForms.Table[[#This Row],[ INFORMEDEPAGO ]]*0.3</f>
        <v>1302.729</v>
      </c>
      <c r="R3358" s="12">
        <f t="shared" ref="R3358:R3360" si="101">(IF(O3358&lt;4172.98,0,MIN(O3358*0.3,O3358-4172.98)))-P3358</f>
        <v>-678.54999999999927</v>
      </c>
      <c r="S3358" s="78"/>
      <c r="T3358" s="1"/>
      <c r="V3358" s="1"/>
      <c r="X3358" s="101">
        <v>1</v>
      </c>
    </row>
    <row r="3359" spans="1:24" hidden="1">
      <c r="A3359">
        <v>1776</v>
      </c>
      <c r="B3359" s="2">
        <v>46246.678506944401</v>
      </c>
      <c r="C3359" s="2">
        <v>46246.683287036998</v>
      </c>
      <c r="D3359" s="1" t="s">
        <v>24</v>
      </c>
      <c r="E3359" s="1"/>
      <c r="F3359" s="29">
        <v>46246</v>
      </c>
      <c r="G3359" s="29">
        <v>46246</v>
      </c>
      <c r="H3359" s="1" t="s">
        <v>1625</v>
      </c>
      <c r="I3359" s="126" t="s">
        <v>7474</v>
      </c>
      <c r="J3359" s="207" t="s">
        <v>7475</v>
      </c>
      <c r="K3359" s="171" t="s">
        <v>7476</v>
      </c>
      <c r="L3359" s="62">
        <v>2</v>
      </c>
      <c r="M3359" s="30">
        <v>3320291485</v>
      </c>
      <c r="N3359" s="171" t="s">
        <v>37</v>
      </c>
      <c r="O3359" s="50">
        <v>20568.63</v>
      </c>
      <c r="P3359" s="97">
        <v>6168.86</v>
      </c>
      <c r="Q3359" s="42">
        <f>OfficeForms.Table[[#This Row],[ INFORMEDEPAGO ]]*0.3</f>
        <v>6170.5889999999999</v>
      </c>
      <c r="R3359" s="12">
        <f t="shared" si="101"/>
        <v>1.7290000000002692</v>
      </c>
      <c r="S3359" s="78">
        <v>46419</v>
      </c>
      <c r="T3359" s="1" t="s">
        <v>84</v>
      </c>
      <c r="V3359" s="1"/>
      <c r="X3359" s="101">
        <v>2</v>
      </c>
    </row>
    <row r="3360" spans="1:24" hidden="1">
      <c r="A3360">
        <v>1777</v>
      </c>
      <c r="B3360" s="2">
        <v>46246.679212962998</v>
      </c>
      <c r="C3360" s="2">
        <v>46246.683692129598</v>
      </c>
      <c r="D3360" s="1" t="s">
        <v>24</v>
      </c>
      <c r="E3360" s="1"/>
      <c r="F3360" s="29">
        <v>46246</v>
      </c>
      <c r="G3360" s="29">
        <v>46246</v>
      </c>
      <c r="H3360" s="1" t="s">
        <v>78</v>
      </c>
      <c r="I3360" s="126" t="s">
        <v>7477</v>
      </c>
      <c r="J3360" s="207"/>
      <c r="K3360" s="171" t="s">
        <v>7478</v>
      </c>
      <c r="L3360" s="62">
        <v>23571458</v>
      </c>
      <c r="M3360" s="30">
        <v>5218132440213</v>
      </c>
      <c r="N3360" s="171" t="s">
        <v>37</v>
      </c>
      <c r="O3360" s="50">
        <v>7116.73</v>
      </c>
      <c r="P3360" s="97">
        <v>2123.15</v>
      </c>
      <c r="Q3360" s="42">
        <f>OfficeForms.Table[[#This Row],[ INFORMEDEPAGO ]]*0.3</f>
        <v>2135.0189999999998</v>
      </c>
      <c r="R3360" s="12">
        <f t="shared" si="101"/>
        <v>11.868999999999687</v>
      </c>
      <c r="S3360" s="78">
        <v>46874</v>
      </c>
      <c r="T3360" s="1" t="s">
        <v>84</v>
      </c>
      <c r="V3360" s="1"/>
      <c r="X3360" s="101">
        <v>2</v>
      </c>
    </row>
    <row r="3361" spans="1:24" hidden="1">
      <c r="A3361">
        <v>1778</v>
      </c>
      <c r="B3361" s="2">
        <v>46246.683611111097</v>
      </c>
      <c r="C3361" s="2">
        <v>46246.689768518503</v>
      </c>
      <c r="D3361" s="1" t="s">
        <v>24</v>
      </c>
      <c r="E3361" s="1"/>
      <c r="F3361" s="29">
        <v>46246</v>
      </c>
      <c r="G3361" s="29">
        <v>46246</v>
      </c>
      <c r="H3361" s="1" t="s">
        <v>78</v>
      </c>
      <c r="I3361" s="126" t="s">
        <v>7479</v>
      </c>
      <c r="J3361" s="207">
        <v>32776004890</v>
      </c>
      <c r="K3361" s="171" t="s">
        <v>7480</v>
      </c>
      <c r="L3361" s="62">
        <v>23573934</v>
      </c>
      <c r="M3361" s="30">
        <v>23573934</v>
      </c>
      <c r="N3361" s="171" t="s">
        <v>37</v>
      </c>
      <c r="O3361" s="50">
        <v>9081.52</v>
      </c>
      <c r="P3361" s="97">
        <v>2624.14</v>
      </c>
      <c r="Q3361" s="42">
        <f>OfficeForms.Table[[#This Row],[ INFORMEDEPAGO ]]*0.3</f>
        <v>2724.4560000000001</v>
      </c>
      <c r="R3361" s="12">
        <f t="shared" ref="R3361" si="102">(IF(O3361&lt;4172.98,0,MIN(O3361*0.3,O3361-4172.98)))-P3361</f>
        <v>100.31600000000026</v>
      </c>
      <c r="S3361" s="78">
        <v>46478</v>
      </c>
      <c r="T3361" s="1"/>
      <c r="V3361" s="1"/>
      <c r="X3361" s="101">
        <v>2</v>
      </c>
    </row>
    <row r="3362" spans="1:24" hidden="1">
      <c r="A3362">
        <v>1779</v>
      </c>
      <c r="B3362" s="2">
        <v>46246.697129629603</v>
      </c>
      <c r="C3362" s="2">
        <v>46246.698784722197</v>
      </c>
      <c r="D3362" s="1" t="s">
        <v>24</v>
      </c>
      <c r="E3362" s="1"/>
      <c r="F3362" s="29">
        <v>46246</v>
      </c>
      <c r="G3362" s="29">
        <v>46246</v>
      </c>
      <c r="H3362" s="1" t="s">
        <v>5605</v>
      </c>
      <c r="I3362" s="126" t="s">
        <v>7481</v>
      </c>
      <c r="J3362" s="207"/>
      <c r="K3362" s="171" t="s">
        <v>7482</v>
      </c>
      <c r="L3362" s="62">
        <v>23576776</v>
      </c>
      <c r="M3362" s="30">
        <v>8120519662</v>
      </c>
      <c r="N3362" s="171" t="s">
        <v>32</v>
      </c>
      <c r="O3362" s="50">
        <v>4172.99</v>
      </c>
      <c r="P3362" s="97"/>
      <c r="Q3362" s="42">
        <f>OfficeForms.Table[[#This Row],[ INFORMEDEPAGO ]]*0.3</f>
        <v>1251.8969999999999</v>
      </c>
      <c r="R3362" s="12">
        <f t="shared" ref="R3362:R3365" si="103">(IF(O3362&lt;4172.98,0,MIN(O3362*0.3,O3362-4172.98)))-P3362</f>
        <v>1.0000000000218279E-2</v>
      </c>
      <c r="S3362" s="78"/>
      <c r="T3362" s="1"/>
      <c r="V3362" s="1"/>
      <c r="X3362" s="101">
        <v>1</v>
      </c>
    </row>
    <row r="3363" spans="1:24" hidden="1">
      <c r="A3363">
        <v>1780</v>
      </c>
      <c r="B3363" s="2">
        <v>46246.695335648197</v>
      </c>
      <c r="C3363" s="2">
        <v>46246.700798611098</v>
      </c>
      <c r="D3363" s="1" t="s">
        <v>24</v>
      </c>
      <c r="E3363" s="1"/>
      <c r="F3363" s="29">
        <v>46246</v>
      </c>
      <c r="G3363" s="29">
        <v>46246</v>
      </c>
      <c r="H3363" s="1" t="s">
        <v>78</v>
      </c>
      <c r="I3363" s="126" t="s">
        <v>7483</v>
      </c>
      <c r="J3363" s="207"/>
      <c r="K3363" s="171" t="s">
        <v>7484</v>
      </c>
      <c r="L3363" s="62">
        <v>23566000</v>
      </c>
      <c r="M3363" s="30">
        <v>5212213704142</v>
      </c>
      <c r="N3363" s="171" t="s">
        <v>106</v>
      </c>
      <c r="O3363" s="50">
        <v>5653.38</v>
      </c>
      <c r="P3363" s="97">
        <v>1369.02</v>
      </c>
      <c r="Q3363" s="42">
        <f>OfficeForms.Table[[#This Row],[ INFORMEDEPAGO ]]*0.3</f>
        <v>1696.0139999999999</v>
      </c>
      <c r="R3363" s="12">
        <f t="shared" si="103"/>
        <v>111.38000000000056</v>
      </c>
      <c r="S3363" s="78">
        <v>46204</v>
      </c>
      <c r="T3363" s="1"/>
      <c r="V3363" s="1"/>
      <c r="X3363" s="101">
        <v>2</v>
      </c>
    </row>
    <row r="3364" spans="1:24" hidden="1">
      <c r="A3364">
        <v>1781</v>
      </c>
      <c r="B3364" s="2">
        <v>46246.700462963003</v>
      </c>
      <c r="C3364" s="2">
        <v>46246.701249999998</v>
      </c>
      <c r="D3364" s="1" t="s">
        <v>24</v>
      </c>
      <c r="E3364" s="1"/>
      <c r="F3364" s="29">
        <v>46246</v>
      </c>
      <c r="G3364" s="29">
        <v>46246</v>
      </c>
      <c r="H3364" s="1" t="s">
        <v>1629</v>
      </c>
      <c r="I3364" s="126" t="s">
        <v>7485</v>
      </c>
      <c r="J3364" s="207">
        <v>43806013595</v>
      </c>
      <c r="K3364" s="171" t="s">
        <v>7486</v>
      </c>
      <c r="L3364" s="62">
        <v>2</v>
      </c>
      <c r="M3364" s="30" t="s">
        <v>7487</v>
      </c>
      <c r="N3364" s="171" t="s">
        <v>37</v>
      </c>
      <c r="O3364" s="50">
        <v>5617.63</v>
      </c>
      <c r="P3364" s="97">
        <v>1393</v>
      </c>
      <c r="Q3364" s="42">
        <f>OfficeForms.Table[[#This Row],[ INFORMEDEPAGO ]]*0.3</f>
        <v>1685.289</v>
      </c>
      <c r="R3364" s="12">
        <f t="shared" si="103"/>
        <v>51.650000000000546</v>
      </c>
      <c r="S3364" s="78">
        <v>46447</v>
      </c>
      <c r="T3364" s="1"/>
      <c r="V3364" s="1"/>
      <c r="X3364" s="101">
        <v>2</v>
      </c>
    </row>
    <row r="3365" spans="1:24" hidden="1">
      <c r="A3365">
        <v>1782</v>
      </c>
      <c r="B3365" s="2">
        <v>46246.704502314802</v>
      </c>
      <c r="C3365" s="2">
        <v>46246.706284722197</v>
      </c>
      <c r="D3365" s="1" t="s">
        <v>24</v>
      </c>
      <c r="E3365" s="1"/>
      <c r="F3365" s="29">
        <v>46246</v>
      </c>
      <c r="G3365" s="29">
        <v>46245</v>
      </c>
      <c r="H3365" s="1" t="s">
        <v>5691</v>
      </c>
      <c r="I3365" s="126" t="s">
        <v>7488</v>
      </c>
      <c r="J3365" s="207"/>
      <c r="K3365" s="171" t="s">
        <v>7489</v>
      </c>
      <c r="L3365" s="62">
        <v>23578358</v>
      </c>
      <c r="M3365" s="30">
        <v>19991135033</v>
      </c>
      <c r="N3365" s="171" t="s">
        <v>28</v>
      </c>
      <c r="O3365" s="50">
        <f>79931.58-70171.26</f>
        <v>9760.320000000007</v>
      </c>
      <c r="P3365" s="97"/>
      <c r="Q3365" s="42">
        <f>OfficeForms.Table[[#This Row],[ INFORMEDEPAGO ]]*0.3</f>
        <v>2928.0960000000018</v>
      </c>
      <c r="R3365" s="12">
        <f t="shared" si="103"/>
        <v>2928.0960000000018</v>
      </c>
      <c r="S3365" s="78"/>
      <c r="T3365" s="1"/>
      <c r="V3365" s="1"/>
      <c r="X3365" s="101">
        <v>1</v>
      </c>
    </row>
    <row r="3366" spans="1:24" hidden="1">
      <c r="A3366">
        <v>1783</v>
      </c>
      <c r="B3366" s="2">
        <v>46246.707349536999</v>
      </c>
      <c r="C3366" s="2">
        <v>46246.710497685199</v>
      </c>
      <c r="D3366" s="1" t="s">
        <v>24</v>
      </c>
      <c r="E3366" s="1"/>
      <c r="F3366" s="29">
        <v>46246</v>
      </c>
      <c r="G3366" s="29">
        <v>46237</v>
      </c>
      <c r="H3366" s="1" t="s">
        <v>5691</v>
      </c>
      <c r="I3366" s="126" t="s">
        <v>7490</v>
      </c>
      <c r="J3366" s="207">
        <v>21977112909</v>
      </c>
      <c r="K3366" s="171" t="s">
        <v>7491</v>
      </c>
      <c r="L3366" s="62">
        <v>23330746</v>
      </c>
      <c r="M3366" s="30">
        <v>6538495316</v>
      </c>
      <c r="N3366" s="171" t="s">
        <v>47</v>
      </c>
      <c r="O3366" s="50">
        <v>5055.87</v>
      </c>
      <c r="P3366" s="97"/>
      <c r="Q3366" s="42">
        <f>OfficeForms.Table[[#This Row],[ INFORMEDEPAGO ]]*0.3</f>
        <v>1516.761</v>
      </c>
      <c r="R3366" s="12">
        <f t="shared" ref="R3366:R3367" si="104">(IF(O3366&lt;4172.98,0,MIN(O3366*0.3,O3366-4172.98)))-P3366</f>
        <v>882.89000000000033</v>
      </c>
      <c r="S3366" s="78"/>
      <c r="T3366" s="1"/>
      <c r="V3366" s="1"/>
      <c r="X3366" s="101">
        <v>1</v>
      </c>
    </row>
    <row r="3367" spans="1:24" hidden="1">
      <c r="A3367">
        <v>1784</v>
      </c>
      <c r="B3367" s="2">
        <v>46246.707592592596</v>
      </c>
      <c r="C3367" s="2">
        <v>46246.711423611101</v>
      </c>
      <c r="D3367" s="1" t="s">
        <v>24</v>
      </c>
      <c r="E3367" s="1"/>
      <c r="F3367" s="29">
        <v>46246</v>
      </c>
      <c r="G3367" s="29">
        <v>46246</v>
      </c>
      <c r="H3367" s="1" t="s">
        <v>78</v>
      </c>
      <c r="I3367" s="126" t="s">
        <v>7492</v>
      </c>
      <c r="J3367" s="207"/>
      <c r="K3367" s="171" t="s">
        <v>7493</v>
      </c>
      <c r="L3367" s="62">
        <v>23572218</v>
      </c>
      <c r="M3367" s="30">
        <v>5212213955577</v>
      </c>
      <c r="N3367" s="171" t="s">
        <v>106</v>
      </c>
      <c r="O3367" s="50">
        <v>5617.63</v>
      </c>
      <c r="P3367" s="97">
        <v>1272.8800000000001</v>
      </c>
      <c r="Q3367" s="42">
        <f>OfficeForms.Table[[#This Row],[ INFORMEDEPAGO ]]*0.3</f>
        <v>1685.289</v>
      </c>
      <c r="R3367" s="12">
        <f t="shared" si="104"/>
        <v>171.77000000000044</v>
      </c>
      <c r="S3367" s="78">
        <v>45809</v>
      </c>
      <c r="T3367" s="1"/>
      <c r="V3367" s="1"/>
      <c r="X3367" s="101">
        <v>2</v>
      </c>
    </row>
    <row r="3368" spans="1:24" hidden="1">
      <c r="A3368">
        <v>1785</v>
      </c>
      <c r="B3368" s="2">
        <v>46246.641863425903</v>
      </c>
      <c r="C3368" s="2">
        <v>46246.729641203703</v>
      </c>
      <c r="D3368" s="1" t="s">
        <v>24</v>
      </c>
      <c r="E3368" s="1"/>
      <c r="F3368" s="29">
        <v>46246</v>
      </c>
      <c r="G3368" s="29">
        <v>46246</v>
      </c>
      <c r="H3368" s="1" t="s">
        <v>51</v>
      </c>
      <c r="I3368" s="126" t="s">
        <v>7494</v>
      </c>
      <c r="J3368" s="207" t="s">
        <v>7495</v>
      </c>
      <c r="K3368" s="171"/>
      <c r="L3368" s="62">
        <v>23574028</v>
      </c>
      <c r="M3368" s="30">
        <v>5218110684929</v>
      </c>
      <c r="N3368" s="171" t="s">
        <v>28</v>
      </c>
      <c r="O3368" s="50">
        <v>9081.52</v>
      </c>
      <c r="P3368" s="97"/>
      <c r="Q3368" s="42">
        <f>OfficeForms.Table[[#This Row],[ INFORMEDEPAGO ]]*0.3</f>
        <v>2724.4560000000001</v>
      </c>
      <c r="R3368" s="12">
        <f t="shared" ref="R3368" si="105">(IF(O3368&lt;4172.98,0,MIN(O3368*0.3,O3368-4172.98)))-P3368</f>
        <v>2724.4560000000001</v>
      </c>
      <c r="S3368" s="78"/>
      <c r="T3368" s="1"/>
      <c r="V3368" s="1"/>
      <c r="X3368" s="101">
        <v>1</v>
      </c>
    </row>
    <row r="3369" spans="1:24" hidden="1">
      <c r="A3369">
        <v>1786</v>
      </c>
      <c r="B3369" s="2">
        <v>46246.590972222199</v>
      </c>
      <c r="C3369" s="2">
        <v>46246.753784722197</v>
      </c>
      <c r="D3369" s="1" t="s">
        <v>24</v>
      </c>
      <c r="E3369" s="1"/>
      <c r="F3369" s="29">
        <v>46246</v>
      </c>
      <c r="G3369" s="29">
        <v>46246</v>
      </c>
      <c r="H3369" s="1" t="s">
        <v>476</v>
      </c>
      <c r="I3369" s="126" t="s">
        <v>7496</v>
      </c>
      <c r="J3369" s="207"/>
      <c r="K3369" s="171" t="s">
        <v>7497</v>
      </c>
      <c r="L3369" s="62">
        <v>23580090</v>
      </c>
      <c r="M3369" s="30">
        <v>5212461032102</v>
      </c>
      <c r="N3369" s="171" t="s">
        <v>28</v>
      </c>
      <c r="O3369" s="50">
        <v>33461.160000000003</v>
      </c>
      <c r="P3369" s="97"/>
      <c r="Q3369" s="42">
        <f>OfficeForms.Table[[#This Row],[ INFORMEDEPAGO ]]*0.3</f>
        <v>10038.348</v>
      </c>
      <c r="R3369" s="12">
        <f t="shared" ref="R3369" si="106">(IF(O3369&lt;4172.98,0,MIN(O3369*0.3,O3369-4172.98)))-P3369</f>
        <v>10038.348</v>
      </c>
      <c r="S3369" s="78"/>
      <c r="T3369" s="1"/>
      <c r="V3369" s="1"/>
      <c r="X3369" s="101">
        <v>1</v>
      </c>
    </row>
    <row r="3370" spans="1:24" hidden="1">
      <c r="A3370">
        <v>1787</v>
      </c>
      <c r="B3370" s="2">
        <v>46246.634490740696</v>
      </c>
      <c r="C3370" s="2">
        <v>46246.759236111102</v>
      </c>
      <c r="D3370" s="1" t="s">
        <v>24</v>
      </c>
      <c r="E3370" s="1"/>
      <c r="F3370" s="29">
        <v>46246</v>
      </c>
      <c r="G3370" s="29">
        <v>46245</v>
      </c>
      <c r="H3370" s="1" t="s">
        <v>3007</v>
      </c>
      <c r="I3370" s="126" t="s">
        <v>7498</v>
      </c>
      <c r="J3370" s="207" t="s">
        <v>7499</v>
      </c>
      <c r="K3370" s="171"/>
      <c r="L3370" s="62">
        <v>23547502</v>
      </c>
      <c r="M3370" s="30" t="s">
        <v>7500</v>
      </c>
      <c r="N3370" s="171" t="s">
        <v>130</v>
      </c>
      <c r="O3370" s="52">
        <v>7920.51</v>
      </c>
      <c r="P3370" s="52">
        <v>2375.71</v>
      </c>
      <c r="Q3370" s="42">
        <f>OfficeForms.Table[[#This Row],[ INFORMEDEPAGO ]]*0.3</f>
        <v>2376.1529999999998</v>
      </c>
      <c r="R3370" s="12">
        <f t="shared" ref="R3370" si="107">(IF(O3370&lt;4172.98,0,MIN(O3370*0.3,O3370-4172.98)))-P3370</f>
        <v>0.44299999999975626</v>
      </c>
      <c r="S3370" s="78">
        <v>46235</v>
      </c>
      <c r="T3370" s="1"/>
      <c r="V3370" s="1"/>
      <c r="X3370" s="101">
        <v>2</v>
      </c>
    </row>
    <row r="3371" spans="1:24" hidden="1">
      <c r="A3371">
        <v>1788</v>
      </c>
      <c r="B3371" s="2">
        <v>46246.768252314803</v>
      </c>
      <c r="C3371" s="2">
        <v>46246.769131944398</v>
      </c>
      <c r="D3371" s="1" t="s">
        <v>24</v>
      </c>
      <c r="E3371" s="1"/>
      <c r="F3371" s="29">
        <v>46246</v>
      </c>
      <c r="G3371" s="29">
        <v>46247</v>
      </c>
      <c r="H3371" s="1" t="s">
        <v>5691</v>
      </c>
      <c r="I3371" s="126" t="s">
        <v>7501</v>
      </c>
      <c r="J3371" s="207"/>
      <c r="K3371" s="171" t="s">
        <v>7502</v>
      </c>
      <c r="L3371" s="62">
        <v>23575176</v>
      </c>
      <c r="M3371" s="30">
        <v>6642341515</v>
      </c>
      <c r="N3371" s="171" t="s">
        <v>32</v>
      </c>
      <c r="O3371" s="52">
        <v>4813.6899999999996</v>
      </c>
      <c r="P3371" s="52">
        <v>848</v>
      </c>
      <c r="Q3371" s="42">
        <f>OfficeForms.Table[[#This Row],[ INFORMEDEPAGO ]]*0.3</f>
        <v>1444.1069999999997</v>
      </c>
      <c r="R3371" s="12">
        <f t="shared" ref="R3371" si="108">(IF(O3371&lt;4172.98,0,MIN(O3371*0.3,O3371-4172.98)))-P3371</f>
        <v>-207.28999999999996</v>
      </c>
      <c r="S3371" s="78"/>
      <c r="T3371" s="1"/>
      <c r="V3371" s="1"/>
      <c r="X3371" s="101">
        <v>1</v>
      </c>
    </row>
    <row r="3372" spans="1:24" hidden="1">
      <c r="A3372">
        <v>1789</v>
      </c>
      <c r="B3372" s="2">
        <v>46246.756319444401</v>
      </c>
      <c r="C3372" s="2">
        <v>46246.778773148202</v>
      </c>
      <c r="D3372" s="1" t="s">
        <v>24</v>
      </c>
      <c r="E3372" s="1"/>
      <c r="F3372" s="29">
        <v>46246</v>
      </c>
      <c r="G3372" s="29">
        <v>46246</v>
      </c>
      <c r="H3372" s="1" t="s">
        <v>26</v>
      </c>
      <c r="I3372" s="126" t="s">
        <v>7503</v>
      </c>
      <c r="J3372" s="207" t="s">
        <v>7504</v>
      </c>
      <c r="K3372" s="171" t="s">
        <v>7505</v>
      </c>
      <c r="L3372" s="62">
        <v>23581266</v>
      </c>
      <c r="M3372" s="30">
        <v>5214428110003</v>
      </c>
      <c r="N3372" s="171" t="s">
        <v>28</v>
      </c>
      <c r="O3372" s="50">
        <v>10636.54</v>
      </c>
      <c r="P3372" s="97"/>
      <c r="Q3372" s="42">
        <f>OfficeForms.Table[[#This Row],[ INFORMEDEPAGO ]]*0.3</f>
        <v>3190.962</v>
      </c>
      <c r="R3372" s="12">
        <f t="shared" ref="R3372" si="109">(IF(O3372&lt;4172.98,0,MIN(O3372*0.3,O3372-4172.98)))-P3372</f>
        <v>3190.962</v>
      </c>
      <c r="S3372" s="78"/>
      <c r="T3372" s="1"/>
      <c r="V3372" s="1"/>
      <c r="X3372" s="101">
        <v>1</v>
      </c>
    </row>
    <row r="3373" spans="1:24" hidden="1">
      <c r="A3373">
        <v>1790</v>
      </c>
      <c r="B3373" s="2">
        <v>46246.779513888898</v>
      </c>
      <c r="C3373" s="2">
        <v>46246.7801273148</v>
      </c>
      <c r="D3373" s="1" t="s">
        <v>24</v>
      </c>
      <c r="E3373" s="1"/>
      <c r="F3373" s="29">
        <v>46246</v>
      </c>
      <c r="G3373" s="29">
        <v>46246</v>
      </c>
      <c r="H3373" s="1" t="s">
        <v>5691</v>
      </c>
      <c r="I3373" s="126"/>
      <c r="J3373" s="207">
        <v>55624411991</v>
      </c>
      <c r="K3373" s="171"/>
      <c r="L3373" s="62">
        <v>23575452</v>
      </c>
      <c r="M3373" s="30">
        <v>3344537700</v>
      </c>
      <c r="N3373" s="171" t="s">
        <v>32</v>
      </c>
      <c r="O3373" s="52">
        <v>3941.18</v>
      </c>
      <c r="P3373" s="52">
        <v>879</v>
      </c>
      <c r="Q3373" s="42">
        <f>OfficeForms.Table[[#This Row],[ INFORMEDEPAGO ]]*0.3</f>
        <v>1182.3539999999998</v>
      </c>
      <c r="R3373" s="12">
        <f>(IF(O3373&lt;4172.98,0,MIN(O3373*0.3,O3373-4172.98)))-P3373</f>
        <v>-879</v>
      </c>
      <c r="S3373" s="78"/>
      <c r="T3373" s="1"/>
      <c r="V3373" s="1"/>
      <c r="X3373" s="101">
        <v>1</v>
      </c>
    </row>
    <row r="3374" spans="1:24" hidden="1">
      <c r="A3374">
        <v>1791</v>
      </c>
      <c r="B3374" s="2">
        <v>46246.803761574098</v>
      </c>
      <c r="C3374" s="2">
        <v>46246.804895833302</v>
      </c>
      <c r="D3374" s="1" t="s">
        <v>24</v>
      </c>
      <c r="E3374" s="1"/>
      <c r="F3374" s="29">
        <v>46246</v>
      </c>
      <c r="G3374" s="29">
        <v>46227</v>
      </c>
      <c r="H3374" s="1" t="s">
        <v>3007</v>
      </c>
      <c r="I3374" s="126" t="s">
        <v>7506</v>
      </c>
      <c r="J3374" s="207">
        <v>65936821621</v>
      </c>
      <c r="K3374" s="171"/>
      <c r="L3374" s="62">
        <v>23092342</v>
      </c>
      <c r="M3374" s="30">
        <v>2294112147</v>
      </c>
      <c r="N3374" s="171" t="s">
        <v>47</v>
      </c>
      <c r="O3374" s="67">
        <v>5642.22</v>
      </c>
      <c r="P3374" s="99">
        <v>568.95000000000005</v>
      </c>
      <c r="Q3374" s="42">
        <f>OfficeForms.Table[[#This Row],[ INFORMEDEPAGO ]]*0.3</f>
        <v>1692.6659999999999</v>
      </c>
      <c r="R3374" s="12">
        <f t="shared" ref="R3374:R3376" si="110">(IF(O3374&lt;4172.98,0,MIN(O3374*0.3,O3374-4172.98)))-P3374</f>
        <v>900.29000000000065</v>
      </c>
      <c r="S3374" s="78">
        <v>46508</v>
      </c>
      <c r="T3374" s="1"/>
      <c r="V3374" s="1"/>
      <c r="X3374" s="101">
        <v>2</v>
      </c>
    </row>
    <row r="3375" spans="1:24" hidden="1">
      <c r="A3375">
        <v>1792</v>
      </c>
      <c r="B3375" s="2">
        <v>46246.854664351798</v>
      </c>
      <c r="C3375" s="2">
        <v>46246.8621643519</v>
      </c>
      <c r="D3375" s="1" t="s">
        <v>24</v>
      </c>
      <c r="E3375" s="1"/>
      <c r="F3375" s="29">
        <v>46246</v>
      </c>
      <c r="G3375" s="29">
        <v>46246</v>
      </c>
      <c r="H3375" s="1" t="s">
        <v>1625</v>
      </c>
      <c r="I3375" s="126" t="s">
        <v>7507</v>
      </c>
      <c r="J3375" s="207"/>
      <c r="K3375" s="171" t="s">
        <v>7508</v>
      </c>
      <c r="L3375" s="62">
        <v>2</v>
      </c>
      <c r="M3375" s="30">
        <v>5544712217</v>
      </c>
      <c r="N3375" s="171" t="s">
        <v>28</v>
      </c>
      <c r="O3375" s="67">
        <v>13604.82</v>
      </c>
      <c r="P3375" s="99"/>
      <c r="Q3375" s="42">
        <f>OfficeForms.Table[[#This Row],[ INFORMEDEPAGO ]]*0.3</f>
        <v>4081.4459999999999</v>
      </c>
      <c r="R3375" s="12">
        <f t="shared" si="110"/>
        <v>4081.4459999999999</v>
      </c>
      <c r="S3375" s="78"/>
      <c r="T3375" s="1"/>
      <c r="V3375" s="1"/>
      <c r="X3375" s="101">
        <v>1</v>
      </c>
    </row>
    <row r="3376" spans="1:24" hidden="1">
      <c r="A3376">
        <v>1793</v>
      </c>
      <c r="B3376" s="2">
        <v>46247.348379629599</v>
      </c>
      <c r="C3376" s="2">
        <v>46247.3539930556</v>
      </c>
      <c r="D3376" s="1" t="s">
        <v>24</v>
      </c>
      <c r="E3376" s="1"/>
      <c r="F3376" s="29">
        <v>46247</v>
      </c>
      <c r="G3376" s="29">
        <v>46247</v>
      </c>
      <c r="H3376" s="1" t="s">
        <v>1625</v>
      </c>
      <c r="I3376" s="126" t="s">
        <v>7509</v>
      </c>
      <c r="J3376" s="207">
        <v>6481634207</v>
      </c>
      <c r="K3376" s="171" t="s">
        <v>7510</v>
      </c>
      <c r="L3376" s="62">
        <v>2</v>
      </c>
      <c r="M3376" s="30">
        <v>5510132670</v>
      </c>
      <c r="N3376" s="171" t="s">
        <v>37</v>
      </c>
      <c r="O3376" s="67">
        <v>7920.51</v>
      </c>
      <c r="P3376" s="99">
        <v>2376.59</v>
      </c>
      <c r="Q3376" s="42">
        <f>OfficeForms.Table[[#This Row],[ INFORMEDEPAGO ]]*0.3</f>
        <v>2376.1529999999998</v>
      </c>
      <c r="R3376" s="12">
        <f t="shared" si="110"/>
        <v>-0.43700000000035288</v>
      </c>
      <c r="S3376" s="78">
        <v>46054</v>
      </c>
      <c r="T3376" s="1"/>
      <c r="V3376" s="1"/>
      <c r="X3376" s="101">
        <v>2</v>
      </c>
    </row>
    <row r="3377" spans="1:24" hidden="1">
      <c r="A3377">
        <v>1794</v>
      </c>
      <c r="B3377" s="2">
        <v>46247.366307870398</v>
      </c>
      <c r="C3377" s="2">
        <v>46247.371678240699</v>
      </c>
      <c r="D3377" s="1" t="s">
        <v>24</v>
      </c>
      <c r="E3377" s="1"/>
      <c r="F3377" s="29">
        <v>46247</v>
      </c>
      <c r="G3377" s="29">
        <v>46247</v>
      </c>
      <c r="H3377" s="1" t="s">
        <v>1625</v>
      </c>
      <c r="I3377" s="126" t="s">
        <v>7511</v>
      </c>
      <c r="J3377" s="207" t="s">
        <v>7512</v>
      </c>
      <c r="K3377" s="171" t="s">
        <v>7513</v>
      </c>
      <c r="L3377" s="62">
        <v>2</v>
      </c>
      <c r="M3377" s="30">
        <v>3781140907</v>
      </c>
      <c r="N3377" s="171" t="s">
        <v>263</v>
      </c>
      <c r="O3377" s="67">
        <v>5770.32</v>
      </c>
      <c r="P3377" s="99">
        <v>1601.44</v>
      </c>
      <c r="Q3377" s="42">
        <f>OfficeForms.Table[[#This Row],[ INFORMEDEPAGO ]]*0.3</f>
        <v>1731.0959999999998</v>
      </c>
      <c r="R3377" s="12">
        <f t="shared" ref="R3377" si="111">(IF(O3377&lt;4172.98,0,MIN(O3377*0.3,O3377-4172.98)))-P3377</f>
        <v>-4.0999999999999091</v>
      </c>
      <c r="S3377" s="78">
        <v>46235</v>
      </c>
      <c r="T3377" s="1"/>
      <c r="V3377" s="1"/>
      <c r="X3377" s="101">
        <v>2</v>
      </c>
    </row>
    <row r="3378" spans="1:24" hidden="1">
      <c r="A3378">
        <v>1795</v>
      </c>
      <c r="B3378" s="2">
        <v>46247.328645833302</v>
      </c>
      <c r="C3378" s="2">
        <v>46247.379467592596</v>
      </c>
      <c r="D3378" s="1" t="s">
        <v>24</v>
      </c>
      <c r="E3378" s="1"/>
      <c r="F3378" s="29">
        <v>46247</v>
      </c>
      <c r="G3378" s="29">
        <v>46247</v>
      </c>
      <c r="H3378" s="1" t="s">
        <v>1625</v>
      </c>
      <c r="I3378" s="126" t="s">
        <v>7514</v>
      </c>
      <c r="J3378" s="207">
        <v>64826508927</v>
      </c>
      <c r="K3378" s="171" t="s">
        <v>7515</v>
      </c>
      <c r="L3378" s="62">
        <v>2</v>
      </c>
      <c r="M3378" s="30">
        <v>5669375839</v>
      </c>
      <c r="N3378" s="171" t="s">
        <v>37</v>
      </c>
      <c r="O3378" s="67">
        <v>9760.32</v>
      </c>
      <c r="P3378" s="99">
        <v>2925.93</v>
      </c>
      <c r="Q3378" s="42">
        <f>OfficeForms.Table[[#This Row],[ INFORMEDEPAGO ]]*0.3</f>
        <v>2928.096</v>
      </c>
      <c r="R3378" s="12">
        <f t="shared" ref="R3378:R3387" si="112">(IF(O3378&lt;4172.98,0,MIN(O3378*0.3,O3378-4172.98)))-P3378</f>
        <v>2.1660000000001673</v>
      </c>
      <c r="S3378" s="78">
        <v>46569</v>
      </c>
      <c r="T3378" s="1" t="s">
        <v>7516</v>
      </c>
      <c r="V3378" s="1"/>
      <c r="X3378" s="101">
        <v>2</v>
      </c>
    </row>
    <row r="3379" spans="1:24" hidden="1">
      <c r="A3379">
        <v>1796</v>
      </c>
      <c r="B3379" s="2">
        <v>46246.528668981497</v>
      </c>
      <c r="C3379" s="2">
        <v>46247.379699074103</v>
      </c>
      <c r="D3379" s="1" t="s">
        <v>24</v>
      </c>
      <c r="E3379" s="1"/>
      <c r="F3379" s="29">
        <v>46247</v>
      </c>
      <c r="G3379" s="29">
        <v>46245</v>
      </c>
      <c r="H3379" s="1" t="s">
        <v>3352</v>
      </c>
      <c r="I3379" s="126" t="s">
        <v>7517</v>
      </c>
      <c r="J3379" s="207">
        <v>19846520609</v>
      </c>
      <c r="K3379" s="171"/>
      <c r="L3379" s="62">
        <v>23553026</v>
      </c>
      <c r="M3379" s="30">
        <v>5541034700</v>
      </c>
      <c r="N3379" s="171" t="s">
        <v>37</v>
      </c>
      <c r="O3379" s="67">
        <v>8181.55</v>
      </c>
      <c r="P3379" s="99">
        <v>2367.12</v>
      </c>
      <c r="Q3379" s="42">
        <f>OfficeForms.Table[[#This Row],[ INFORMEDEPAGO ]]*0.3</f>
        <v>2454.4650000000001</v>
      </c>
      <c r="R3379" s="12">
        <f t="shared" si="112"/>
        <v>87.345000000000255</v>
      </c>
      <c r="S3379" s="78">
        <v>46388</v>
      </c>
      <c r="T3379" s="1"/>
      <c r="V3379" s="1"/>
      <c r="X3379" s="101">
        <v>2</v>
      </c>
    </row>
    <row r="3380" spans="1:24" hidden="1">
      <c r="A3380">
        <v>1797</v>
      </c>
      <c r="B3380" s="2">
        <v>46247.371898148202</v>
      </c>
      <c r="C3380" s="2">
        <v>46247.389085648101</v>
      </c>
      <c r="D3380" s="1" t="s">
        <v>24</v>
      </c>
      <c r="E3380" s="1"/>
      <c r="F3380" s="29">
        <v>46247</v>
      </c>
      <c r="G3380" s="29">
        <v>46247</v>
      </c>
      <c r="H3380" s="1" t="s">
        <v>2908</v>
      </c>
      <c r="I3380" s="126" t="s">
        <v>7511</v>
      </c>
      <c r="J3380" s="207" t="s">
        <v>7512</v>
      </c>
      <c r="K3380" s="171" t="s">
        <v>7518</v>
      </c>
      <c r="L3380" s="62">
        <v>2</v>
      </c>
      <c r="M3380" s="30">
        <v>3781140907</v>
      </c>
      <c r="N3380" s="171" t="s">
        <v>263</v>
      </c>
      <c r="O3380" s="67">
        <v>5770.32</v>
      </c>
      <c r="P3380" s="99">
        <v>1601.44</v>
      </c>
      <c r="Q3380" s="42">
        <f>OfficeForms.Table[[#This Row],[ INFORMEDEPAGO ]]*0.3</f>
        <v>1731.0959999999998</v>
      </c>
      <c r="R3380" s="12">
        <f t="shared" si="112"/>
        <v>-4.0999999999999091</v>
      </c>
      <c r="S3380" s="78">
        <v>46235</v>
      </c>
      <c r="T3380" s="1"/>
      <c r="V3380" s="1"/>
      <c r="X3380" s="101">
        <v>2</v>
      </c>
    </row>
    <row r="3381" spans="1:24" hidden="1">
      <c r="A3381">
        <v>1798</v>
      </c>
      <c r="B3381" s="2">
        <v>46247.3898611111</v>
      </c>
      <c r="C3381" s="2">
        <v>46247.391192129602</v>
      </c>
      <c r="D3381" s="1" t="s">
        <v>24</v>
      </c>
      <c r="E3381" s="1"/>
      <c r="F3381" s="29">
        <v>46247</v>
      </c>
      <c r="G3381" s="29">
        <v>46247</v>
      </c>
      <c r="H3381" s="1" t="s">
        <v>1625</v>
      </c>
      <c r="I3381" s="126" t="s">
        <v>7519</v>
      </c>
      <c r="J3381" s="207" t="s">
        <v>7520</v>
      </c>
      <c r="K3381" s="171" t="s">
        <v>7521</v>
      </c>
      <c r="L3381" s="62">
        <v>2</v>
      </c>
      <c r="M3381" s="30">
        <v>3317229513</v>
      </c>
      <c r="N3381" s="171" t="s">
        <v>37</v>
      </c>
      <c r="O3381" s="67">
        <v>24223.67</v>
      </c>
      <c r="P3381" s="99">
        <v>7265.75</v>
      </c>
      <c r="Q3381" s="42">
        <f>OfficeForms.Table[[#This Row],[ INFORMEDEPAGO ]]*0.3</f>
        <v>7267.1009999999997</v>
      </c>
      <c r="R3381" s="12">
        <f t="shared" si="112"/>
        <v>1.350999999999658</v>
      </c>
      <c r="S3381" s="78">
        <v>46784</v>
      </c>
      <c r="T3381" s="1"/>
      <c r="V3381" s="1"/>
      <c r="X3381" s="101">
        <v>2</v>
      </c>
    </row>
    <row r="3382" spans="1:24" hidden="1">
      <c r="A3382">
        <v>1799</v>
      </c>
      <c r="B3382" s="2">
        <v>46247.392592592601</v>
      </c>
      <c r="C3382" s="2">
        <v>46247.393645833297</v>
      </c>
      <c r="D3382" s="1" t="s">
        <v>24</v>
      </c>
      <c r="E3382" s="1"/>
      <c r="F3382" s="29">
        <v>46247</v>
      </c>
      <c r="G3382" s="29">
        <v>46247</v>
      </c>
      <c r="H3382" s="1" t="s">
        <v>1625</v>
      </c>
      <c r="I3382" s="126" t="s">
        <v>7522</v>
      </c>
      <c r="J3382" s="207" t="s">
        <v>7523</v>
      </c>
      <c r="K3382" s="171" t="s">
        <v>7524</v>
      </c>
      <c r="L3382" s="62">
        <v>2</v>
      </c>
      <c r="M3382" s="30">
        <v>8116106760</v>
      </c>
      <c r="N3382" s="171" t="s">
        <v>37</v>
      </c>
      <c r="O3382" s="67">
        <v>5046.1899999999996</v>
      </c>
      <c r="P3382" s="99">
        <v>838.64</v>
      </c>
      <c r="Q3382" s="42">
        <f>OfficeForms.Table[[#This Row],[ INFORMEDEPAGO ]]*0.3</f>
        <v>1513.8569999999997</v>
      </c>
      <c r="R3382" s="12">
        <f t="shared" si="112"/>
        <v>34.57000000000005</v>
      </c>
      <c r="S3382" s="78">
        <v>46692</v>
      </c>
      <c r="T3382" s="1"/>
      <c r="V3382" s="1"/>
      <c r="X3382" s="101">
        <v>2</v>
      </c>
    </row>
    <row r="3383" spans="1:24" hidden="1">
      <c r="A3383">
        <v>1800</v>
      </c>
      <c r="B3383" s="2">
        <v>46247.372847222199</v>
      </c>
      <c r="C3383" s="2">
        <v>46247.393657407403</v>
      </c>
      <c r="D3383" s="1" t="s">
        <v>24</v>
      </c>
      <c r="E3383" s="1"/>
      <c r="F3383" s="29">
        <v>46247</v>
      </c>
      <c r="G3383" s="29">
        <v>46247</v>
      </c>
      <c r="H3383" s="1" t="s">
        <v>1629</v>
      </c>
      <c r="I3383" s="126" t="s">
        <v>7525</v>
      </c>
      <c r="J3383" s="207">
        <v>43796247674</v>
      </c>
      <c r="K3383" s="171" t="s">
        <v>7526</v>
      </c>
      <c r="L3383" s="62">
        <v>2</v>
      </c>
      <c r="M3383" s="30" t="s">
        <v>7527</v>
      </c>
      <c r="N3383" s="171" t="s">
        <v>263</v>
      </c>
      <c r="O3383" s="67">
        <v>7920.5</v>
      </c>
      <c r="P3383" s="99">
        <v>2192.5300000000002</v>
      </c>
      <c r="Q3383" s="42">
        <f>OfficeForms.Table[[#This Row],[ INFORMEDEPAGO ]]*0.3</f>
        <v>2376.15</v>
      </c>
      <c r="R3383" s="12">
        <f t="shared" si="112"/>
        <v>183.61999999999989</v>
      </c>
      <c r="S3383" s="78">
        <v>46113</v>
      </c>
      <c r="T3383" s="1" t="s">
        <v>192</v>
      </c>
      <c r="V3383" s="1"/>
      <c r="X3383" s="101">
        <v>2</v>
      </c>
    </row>
    <row r="3384" spans="1:24" hidden="1">
      <c r="A3384">
        <v>1801</v>
      </c>
      <c r="B3384" s="2">
        <v>46247.394363425898</v>
      </c>
      <c r="C3384" s="2">
        <v>46247.395671296297</v>
      </c>
      <c r="D3384" s="1" t="s">
        <v>24</v>
      </c>
      <c r="E3384" s="1"/>
      <c r="F3384" s="29">
        <v>46247</v>
      </c>
      <c r="G3384" s="29">
        <v>46247</v>
      </c>
      <c r="H3384" s="1" t="s">
        <v>5605</v>
      </c>
      <c r="I3384" s="126" t="s">
        <v>7528</v>
      </c>
      <c r="J3384" s="207"/>
      <c r="K3384" s="171" t="s">
        <v>7529</v>
      </c>
      <c r="L3384" s="62">
        <v>23487084</v>
      </c>
      <c r="M3384" s="30">
        <v>3418799292</v>
      </c>
      <c r="N3384" s="171" t="s">
        <v>47</v>
      </c>
      <c r="O3384" s="67">
        <v>5058.26</v>
      </c>
      <c r="P3384" s="99"/>
      <c r="Q3384" s="42">
        <f>OfficeForms.Table[[#This Row],[ INFORMEDEPAGO ]]*0.3</f>
        <v>1517.4780000000001</v>
      </c>
      <c r="R3384" s="12">
        <f t="shared" si="112"/>
        <v>885.28000000000065</v>
      </c>
      <c r="S3384" s="78"/>
      <c r="T3384" s="1"/>
      <c r="V3384" s="1"/>
      <c r="X3384" s="101">
        <v>1</v>
      </c>
    </row>
    <row r="3385" spans="1:24" hidden="1">
      <c r="A3385">
        <v>1802</v>
      </c>
      <c r="B3385" s="2">
        <v>46247.386261574102</v>
      </c>
      <c r="C3385" s="2">
        <v>46247.4149189815</v>
      </c>
      <c r="D3385" s="1" t="s">
        <v>24</v>
      </c>
      <c r="E3385" s="1"/>
      <c r="F3385" s="29">
        <v>46247</v>
      </c>
      <c r="G3385" s="29">
        <v>46246</v>
      </c>
      <c r="H3385" s="1" t="s">
        <v>51</v>
      </c>
      <c r="I3385" s="126" t="s">
        <v>7530</v>
      </c>
      <c r="J3385" s="207" t="s">
        <v>7429</v>
      </c>
      <c r="K3385" s="171" t="s">
        <v>7430</v>
      </c>
      <c r="L3385" s="62">
        <v>23570992</v>
      </c>
      <c r="M3385" s="30">
        <v>5215542470082</v>
      </c>
      <c r="N3385" s="171" t="s">
        <v>37</v>
      </c>
      <c r="O3385" s="50">
        <v>9514.7000000000007</v>
      </c>
      <c r="P3385" s="97">
        <v>2757.1</v>
      </c>
      <c r="Q3385" s="42">
        <f>OfficeForms.Table[[#This Row],[ INFORMEDEPAGO ]]*0.3</f>
        <v>2854.4100000000003</v>
      </c>
      <c r="R3385" s="12">
        <f t="shared" si="112"/>
        <v>97.3100000000004</v>
      </c>
      <c r="S3385" s="78">
        <v>46692</v>
      </c>
      <c r="T3385" s="1"/>
      <c r="V3385" s="1"/>
      <c r="X3385" s="101">
        <v>2</v>
      </c>
    </row>
    <row r="3386" spans="1:24" hidden="1">
      <c r="A3386">
        <v>1803</v>
      </c>
      <c r="B3386" s="2">
        <v>46247.414259259298</v>
      </c>
      <c r="C3386" s="2">
        <v>46247.415069444403</v>
      </c>
      <c r="D3386" s="1" t="s">
        <v>24</v>
      </c>
      <c r="E3386" s="1"/>
      <c r="F3386" s="29">
        <v>46247</v>
      </c>
      <c r="G3386" s="29">
        <v>46247</v>
      </c>
      <c r="H3386" s="1" t="s">
        <v>1629</v>
      </c>
      <c r="I3386" s="126" t="s">
        <v>7531</v>
      </c>
      <c r="J3386" s="207" t="s">
        <v>7532</v>
      </c>
      <c r="K3386" s="171" t="s">
        <v>7533</v>
      </c>
      <c r="L3386" s="62">
        <v>2</v>
      </c>
      <c r="M3386" s="30" t="s">
        <v>7534</v>
      </c>
      <c r="N3386" s="171" t="s">
        <v>37</v>
      </c>
      <c r="O3386" s="67">
        <v>9081.52</v>
      </c>
      <c r="P3386" s="99">
        <f>2511.2+212</f>
        <v>2723.2</v>
      </c>
      <c r="Q3386" s="42">
        <f>OfficeForms.Table[[#This Row],[ INFORMEDEPAGO ]]*0.3</f>
        <v>2724.4560000000001</v>
      </c>
      <c r="R3386" s="12">
        <f t="shared" si="112"/>
        <v>1.2560000000003129</v>
      </c>
      <c r="S3386" s="78">
        <v>46388</v>
      </c>
      <c r="T3386" s="1"/>
      <c r="V3386" s="1"/>
      <c r="X3386" s="101">
        <v>2</v>
      </c>
    </row>
    <row r="3387" spans="1:24" hidden="1">
      <c r="A3387">
        <v>1804</v>
      </c>
      <c r="B3387" s="2">
        <v>46247.426041666702</v>
      </c>
      <c r="C3387" s="2">
        <v>46247.427094907398</v>
      </c>
      <c r="D3387" s="1" t="s">
        <v>24</v>
      </c>
      <c r="E3387" s="1"/>
      <c r="F3387" s="29">
        <v>46247</v>
      </c>
      <c r="G3387" s="29">
        <v>46245</v>
      </c>
      <c r="H3387" s="1" t="s">
        <v>269</v>
      </c>
      <c r="I3387" s="126" t="s">
        <v>7535</v>
      </c>
      <c r="J3387" s="207" t="s">
        <v>7536</v>
      </c>
      <c r="K3387" s="171" t="s">
        <v>7537</v>
      </c>
      <c r="L3387" s="62">
        <v>23535694</v>
      </c>
      <c r="M3387" s="30">
        <v>5214621760125</v>
      </c>
      <c r="N3387" s="171" t="s">
        <v>28</v>
      </c>
      <c r="O3387" s="67">
        <v>16507.099999999999</v>
      </c>
      <c r="P3387" s="99"/>
      <c r="Q3387" s="42">
        <f>OfficeForms.Table[[#This Row],[ INFORMEDEPAGO ]]*0.3</f>
        <v>4952.1299999999992</v>
      </c>
      <c r="R3387" s="12">
        <f t="shared" si="112"/>
        <v>4952.1299999999992</v>
      </c>
      <c r="S3387" s="78"/>
      <c r="T3387" s="1"/>
      <c r="V3387" s="1"/>
      <c r="X3387" s="101">
        <v>1</v>
      </c>
    </row>
    <row r="3388" spans="1:24" hidden="1">
      <c r="A3388">
        <v>1805</v>
      </c>
      <c r="B3388" s="2">
        <v>46247.414953703701</v>
      </c>
      <c r="C3388" s="2">
        <v>46247.432685185202</v>
      </c>
      <c r="D3388" s="1" t="s">
        <v>24</v>
      </c>
      <c r="E3388" s="1"/>
      <c r="F3388" s="29">
        <v>46247</v>
      </c>
      <c r="G3388" s="29">
        <v>46246</v>
      </c>
      <c r="H3388" s="1" t="s">
        <v>51</v>
      </c>
      <c r="I3388" s="126" t="s">
        <v>7538</v>
      </c>
      <c r="J3388" s="207" t="s">
        <v>7539</v>
      </c>
      <c r="K3388" s="171" t="s">
        <v>7540</v>
      </c>
      <c r="L3388" s="62">
        <v>23583272</v>
      </c>
      <c r="M3388" s="30">
        <v>5214111101114</v>
      </c>
      <c r="N3388" s="171" t="s">
        <v>37</v>
      </c>
      <c r="O3388" s="67">
        <v>7116.73</v>
      </c>
      <c r="P3388" s="99">
        <v>1969.17</v>
      </c>
      <c r="Q3388" s="42">
        <f>OfficeForms.Table[[#This Row],[ INFORMEDEPAGO ]]*0.3</f>
        <v>2135.0189999999998</v>
      </c>
      <c r="R3388" s="12">
        <f t="shared" ref="R3388:R3391" si="113">(IF(O3388&lt;4172.98,0,MIN(O3388*0.3,O3388-4172.98)))-P3388</f>
        <v>165.84899999999971</v>
      </c>
      <c r="S3388" s="78">
        <v>46296</v>
      </c>
      <c r="T3388" s="1"/>
      <c r="V3388" s="1"/>
      <c r="X3388" s="101">
        <v>2</v>
      </c>
    </row>
    <row r="3389" spans="1:24" hidden="1">
      <c r="A3389">
        <v>1806</v>
      </c>
      <c r="B3389" s="2">
        <v>46247.436574074098</v>
      </c>
      <c r="C3389" s="2">
        <v>46247.438831018502</v>
      </c>
      <c r="D3389" s="1" t="s">
        <v>24</v>
      </c>
      <c r="E3389" s="1"/>
      <c r="F3389" s="29">
        <v>46247</v>
      </c>
      <c r="G3389" s="29">
        <v>46247</v>
      </c>
      <c r="H3389" s="1" t="s">
        <v>1629</v>
      </c>
      <c r="I3389" s="126" t="s">
        <v>7541</v>
      </c>
      <c r="J3389" s="207">
        <v>43856786835</v>
      </c>
      <c r="K3389" s="171" t="s">
        <v>7542</v>
      </c>
      <c r="L3389" s="62">
        <v>2</v>
      </c>
      <c r="M3389" s="30" t="s">
        <v>7543</v>
      </c>
      <c r="N3389" s="171" t="s">
        <v>37</v>
      </c>
      <c r="O3389" s="67">
        <v>8422.67</v>
      </c>
      <c r="P3389" s="99">
        <v>2337.59</v>
      </c>
      <c r="Q3389" s="42">
        <f>OfficeForms.Table[[#This Row],[ INFORMEDEPAGO ]]*0.3</f>
        <v>2526.8009999999999</v>
      </c>
      <c r="R3389" s="12">
        <f t="shared" si="113"/>
        <v>189.21099999999979</v>
      </c>
      <c r="S3389" s="78">
        <v>46296</v>
      </c>
      <c r="T3389" s="1"/>
      <c r="V3389" s="1"/>
      <c r="X3389" s="101">
        <v>2</v>
      </c>
    </row>
    <row r="3390" spans="1:24" hidden="1">
      <c r="A3390">
        <v>1807</v>
      </c>
      <c r="B3390" s="2">
        <v>46247.413842592599</v>
      </c>
      <c r="C3390" s="2">
        <v>46247.447407407402</v>
      </c>
      <c r="D3390" s="1" t="s">
        <v>24</v>
      </c>
      <c r="E3390" s="1"/>
      <c r="F3390" s="29">
        <v>46247</v>
      </c>
      <c r="G3390" s="29">
        <v>46247</v>
      </c>
      <c r="H3390" s="1" t="s">
        <v>1625</v>
      </c>
      <c r="I3390" s="126" t="s">
        <v>7544</v>
      </c>
      <c r="J3390" s="207" t="s">
        <v>7545</v>
      </c>
      <c r="K3390" s="171" t="s">
        <v>7546</v>
      </c>
      <c r="L3390" s="62">
        <v>2</v>
      </c>
      <c r="M3390" s="30">
        <v>8441086848</v>
      </c>
      <c r="N3390" s="171" t="s">
        <v>32</v>
      </c>
      <c r="O3390" s="67">
        <v>3879.3</v>
      </c>
      <c r="P3390" s="99"/>
      <c r="Q3390" s="42">
        <f>OfficeForms.Table[[#This Row],[ INFORMEDEPAGO ]]*0.3</f>
        <v>1163.79</v>
      </c>
      <c r="R3390" s="12">
        <f t="shared" si="113"/>
        <v>0</v>
      </c>
      <c r="S3390" s="78"/>
      <c r="T3390" s="1"/>
      <c r="V3390" s="1"/>
      <c r="X3390" s="101">
        <v>1</v>
      </c>
    </row>
    <row r="3391" spans="1:24" hidden="1">
      <c r="A3391">
        <v>1808</v>
      </c>
      <c r="B3391" s="2">
        <v>46247.379502314798</v>
      </c>
      <c r="C3391" s="2">
        <v>46247.449849536999</v>
      </c>
      <c r="D3391" s="1" t="s">
        <v>24</v>
      </c>
      <c r="E3391" s="1"/>
      <c r="F3391" s="29">
        <v>46247</v>
      </c>
      <c r="G3391" s="29">
        <v>46247</v>
      </c>
      <c r="H3391" s="1" t="s">
        <v>1625</v>
      </c>
      <c r="I3391" s="126" t="s">
        <v>7547</v>
      </c>
      <c r="J3391" s="207"/>
      <c r="K3391" s="171" t="s">
        <v>7548</v>
      </c>
      <c r="L3391" s="62">
        <v>2</v>
      </c>
      <c r="M3391" s="30" t="s">
        <v>7549</v>
      </c>
      <c r="N3391" s="171" t="s">
        <v>47</v>
      </c>
      <c r="O3391" s="67">
        <v>7919.64</v>
      </c>
      <c r="P3391" s="99">
        <v>1527</v>
      </c>
      <c r="Q3391" s="42">
        <f>OfficeForms.Table[[#This Row],[ INFORMEDEPAGO ]]*0.3</f>
        <v>2375.8919999999998</v>
      </c>
      <c r="R3391" s="12">
        <f t="shared" si="113"/>
        <v>848.89199999999983</v>
      </c>
      <c r="S3391" s="78"/>
      <c r="T3391" s="1"/>
      <c r="V3391" s="1"/>
      <c r="X3391" s="101">
        <v>1</v>
      </c>
    </row>
    <row r="3392" spans="1:24" hidden="1">
      <c r="A3392">
        <v>1809</v>
      </c>
      <c r="B3392" s="2">
        <v>46247.400763888902</v>
      </c>
      <c r="C3392" s="2">
        <v>46247.458518518499</v>
      </c>
      <c r="D3392" s="1" t="s">
        <v>24</v>
      </c>
      <c r="E3392" s="1"/>
      <c r="F3392" s="29">
        <v>46247</v>
      </c>
      <c r="G3392" s="29">
        <v>46246</v>
      </c>
      <c r="H3392" s="1" t="s">
        <v>78</v>
      </c>
      <c r="I3392" s="126" t="s">
        <v>7550</v>
      </c>
      <c r="J3392" s="207">
        <v>43776011686</v>
      </c>
      <c r="K3392" s="171" t="s">
        <v>7551</v>
      </c>
      <c r="L3392" s="62">
        <v>23584032</v>
      </c>
      <c r="M3392" s="30">
        <v>5216564093415</v>
      </c>
      <c r="N3392" s="171" t="s">
        <v>37</v>
      </c>
      <c r="O3392" s="67">
        <v>9081.52</v>
      </c>
      <c r="P3392" s="99">
        <v>2521.35</v>
      </c>
      <c r="Q3392" s="42">
        <f>OfficeForms.Table[[#This Row],[ INFORMEDEPAGO ]]*0.3</f>
        <v>2724.4560000000001</v>
      </c>
      <c r="R3392" s="12">
        <f t="shared" ref="R3392:R3393" si="114">(IF(O3392&lt;4172.98,0,MIN(O3392*0.3,O3392-4172.98)))-P3392</f>
        <v>203.10600000000022</v>
      </c>
      <c r="S3392" s="78">
        <v>46388</v>
      </c>
      <c r="T3392" s="1"/>
      <c r="V3392" s="1"/>
      <c r="X3392" s="101">
        <v>2</v>
      </c>
    </row>
    <row r="3393" spans="1:24" hidden="1">
      <c r="A3393">
        <v>1810</v>
      </c>
      <c r="B3393" s="2">
        <v>46247.467395833301</v>
      </c>
      <c r="C3393" s="2">
        <v>46247.468020833301</v>
      </c>
      <c r="D3393" s="1" t="s">
        <v>24</v>
      </c>
      <c r="E3393" s="1"/>
      <c r="F3393" s="29">
        <v>46247</v>
      </c>
      <c r="G3393" s="29">
        <v>46247</v>
      </c>
      <c r="H3393" s="1" t="s">
        <v>1629</v>
      </c>
      <c r="I3393" s="126" t="s">
        <v>7552</v>
      </c>
      <c r="J3393" s="207">
        <v>67754800836</v>
      </c>
      <c r="K3393" s="171" t="s">
        <v>7553</v>
      </c>
      <c r="L3393" s="62">
        <v>2</v>
      </c>
      <c r="M3393" s="30" t="s">
        <v>7554</v>
      </c>
      <c r="N3393" s="171" t="s">
        <v>28</v>
      </c>
      <c r="O3393" s="67">
        <v>11029.03</v>
      </c>
      <c r="P3393" s="99"/>
      <c r="Q3393" s="42">
        <f>OfficeForms.Table[[#This Row],[ INFORMEDEPAGO ]]*0.3</f>
        <v>3308.7090000000003</v>
      </c>
      <c r="R3393" s="12">
        <f t="shared" si="114"/>
        <v>3308.7090000000003</v>
      </c>
      <c r="S3393" s="78"/>
      <c r="T3393" s="1"/>
      <c r="V3393" s="1"/>
      <c r="X3393" s="101">
        <v>1</v>
      </c>
    </row>
    <row r="3394" spans="1:24" hidden="1">
      <c r="A3394">
        <v>1812</v>
      </c>
      <c r="B3394" s="2">
        <v>46247.478530092601</v>
      </c>
      <c r="C3394" s="2">
        <v>46247.485150462999</v>
      </c>
      <c r="D3394" s="1" t="s">
        <v>24</v>
      </c>
      <c r="E3394" s="1"/>
      <c r="F3394" s="29">
        <v>46247</v>
      </c>
      <c r="G3394" s="29">
        <v>46247</v>
      </c>
      <c r="H3394" s="1" t="s">
        <v>78</v>
      </c>
      <c r="I3394" s="126" t="s">
        <v>7555</v>
      </c>
      <c r="J3394" s="207">
        <v>53916420192</v>
      </c>
      <c r="K3394" s="171" t="s">
        <v>7556</v>
      </c>
      <c r="L3394" s="62">
        <v>23599712</v>
      </c>
      <c r="M3394" s="30">
        <v>5216484652179</v>
      </c>
      <c r="N3394" s="171" t="s">
        <v>37</v>
      </c>
      <c r="O3394" s="67">
        <v>5617.63</v>
      </c>
      <c r="P3394" s="99">
        <v>1334.63</v>
      </c>
      <c r="Q3394" s="42">
        <f>OfficeForms.Table[[#This Row],[ INFORMEDEPAGO ]]*0.3</f>
        <v>1685.289</v>
      </c>
      <c r="R3394" s="12">
        <f t="shared" ref="R3394" si="115">(IF(O3394&lt;4172.98,0,MIN(O3394*0.3,O3394-4172.98)))-P3394</f>
        <v>110.02000000000044</v>
      </c>
      <c r="S3394" s="78">
        <v>46327</v>
      </c>
      <c r="T3394" s="1" t="s">
        <v>192</v>
      </c>
      <c r="V3394" s="1"/>
      <c r="X3394" s="101">
        <v>2</v>
      </c>
    </row>
    <row r="3395" spans="1:24" hidden="1">
      <c r="A3395">
        <v>1813</v>
      </c>
      <c r="B3395" s="2">
        <v>46247.4846875</v>
      </c>
      <c r="C3395" s="2">
        <v>46247.492245370398</v>
      </c>
      <c r="D3395" s="1" t="s">
        <v>24</v>
      </c>
      <c r="E3395" s="1"/>
      <c r="F3395" s="29">
        <v>46247</v>
      </c>
      <c r="G3395" s="29">
        <v>46247</v>
      </c>
      <c r="H3395" s="1" t="s">
        <v>78</v>
      </c>
      <c r="I3395" s="126" t="s">
        <v>7557</v>
      </c>
      <c r="J3395" s="207">
        <v>21826229466</v>
      </c>
      <c r="K3395" s="171" t="s">
        <v>7558</v>
      </c>
      <c r="L3395" s="62">
        <v>23595680</v>
      </c>
      <c r="M3395" s="30">
        <v>5214442762502</v>
      </c>
      <c r="N3395" s="171" t="s">
        <v>37</v>
      </c>
      <c r="O3395" s="67">
        <v>11675.7</v>
      </c>
      <c r="P3395" s="99">
        <v>3314.8</v>
      </c>
      <c r="Q3395" s="42">
        <f>OfficeForms.Table[[#This Row],[ INFORMEDEPAGO ]]*0.3</f>
        <v>3502.71</v>
      </c>
      <c r="R3395" s="12">
        <f t="shared" ref="R3395:R3396" si="116">(IF(O3395&lt;4172.98,0,MIN(O3395*0.3,O3395-4172.98)))-P3395</f>
        <v>187.90999999999985</v>
      </c>
      <c r="S3395" s="78">
        <v>46266</v>
      </c>
      <c r="T3395" s="1"/>
      <c r="V3395" s="1"/>
      <c r="X3395" s="101">
        <v>2</v>
      </c>
    </row>
    <row r="3396" spans="1:24" hidden="1">
      <c r="A3396">
        <v>1814</v>
      </c>
      <c r="B3396" s="2">
        <v>46247.497499999998</v>
      </c>
      <c r="C3396" s="2">
        <v>46247.497997685197</v>
      </c>
      <c r="D3396" s="1" t="s">
        <v>24</v>
      </c>
      <c r="E3396" s="1"/>
      <c r="F3396" s="29">
        <v>46247</v>
      </c>
      <c r="G3396" s="29">
        <v>46247</v>
      </c>
      <c r="H3396" s="1" t="s">
        <v>71</v>
      </c>
      <c r="I3396" s="126" t="s">
        <v>7559</v>
      </c>
      <c r="J3396" s="207">
        <v>78866605492</v>
      </c>
      <c r="K3396" s="171"/>
      <c r="L3396" s="62">
        <v>23604738</v>
      </c>
      <c r="M3396" s="30">
        <v>5213141631373</v>
      </c>
      <c r="N3396" s="171" t="s">
        <v>37</v>
      </c>
      <c r="O3396" s="67">
        <v>10636.54</v>
      </c>
      <c r="P3396" s="99">
        <v>3190</v>
      </c>
      <c r="Q3396" s="42">
        <f>OfficeForms.Table[[#This Row],[ INFORMEDEPAGO ]]*0.3</f>
        <v>3190.962</v>
      </c>
      <c r="R3396" s="12">
        <f t="shared" si="116"/>
        <v>0.96199999999998909</v>
      </c>
      <c r="S3396" s="78">
        <v>46874</v>
      </c>
      <c r="T3396" s="1"/>
      <c r="V3396" s="1"/>
      <c r="X3396" s="101">
        <v>2</v>
      </c>
    </row>
    <row r="3397" spans="1:24" hidden="1">
      <c r="A3397">
        <v>1815</v>
      </c>
      <c r="B3397" s="2">
        <v>46247.505636574097</v>
      </c>
      <c r="C3397" s="2">
        <v>46247.506296296298</v>
      </c>
      <c r="D3397" s="1" t="s">
        <v>24</v>
      </c>
      <c r="E3397" s="1"/>
      <c r="F3397" s="29">
        <v>46247</v>
      </c>
      <c r="G3397" s="29">
        <v>46247</v>
      </c>
      <c r="H3397" s="1" t="s">
        <v>1629</v>
      </c>
      <c r="I3397" s="126" t="s">
        <v>7560</v>
      </c>
      <c r="J3397" s="207">
        <v>20906602725</v>
      </c>
      <c r="K3397" s="171" t="s">
        <v>7561</v>
      </c>
      <c r="L3397" s="62">
        <v>2</v>
      </c>
      <c r="M3397" s="30" t="s">
        <v>7562</v>
      </c>
      <c r="N3397" s="171" t="s">
        <v>37</v>
      </c>
      <c r="O3397" s="50">
        <v>11011.22</v>
      </c>
      <c r="P3397" s="97">
        <v>3302.71</v>
      </c>
      <c r="Q3397" s="42">
        <f>OfficeForms.Table[[#This Row],[ INFORMEDEPAGO ]]*0.3</f>
        <v>3303.3659999999995</v>
      </c>
      <c r="R3397" s="12">
        <f t="shared" ref="R3397" si="117">(IF(O3397&lt;4172.98,0,MIN(O3397*0.3,O3397-4172.98)))-P3397</f>
        <v>0.65599999999949432</v>
      </c>
      <c r="S3397" s="78">
        <v>46447</v>
      </c>
      <c r="T3397" s="1" t="s">
        <v>259</v>
      </c>
      <c r="V3397" s="1"/>
      <c r="X3397" s="101">
        <v>2</v>
      </c>
    </row>
    <row r="3398" spans="1:24" hidden="1">
      <c r="A3398">
        <v>1816</v>
      </c>
      <c r="B3398" s="2">
        <v>46247.516875000001</v>
      </c>
      <c r="C3398" s="2">
        <v>46247.527731481503</v>
      </c>
      <c r="D3398" s="1" t="s">
        <v>24</v>
      </c>
      <c r="E3398" s="1"/>
      <c r="F3398" s="29">
        <v>46247</v>
      </c>
      <c r="G3398" s="29">
        <v>46246</v>
      </c>
      <c r="H3398" s="1" t="s">
        <v>78</v>
      </c>
      <c r="I3398" s="126" t="s">
        <v>7563</v>
      </c>
      <c r="J3398" s="207">
        <v>62867300576</v>
      </c>
      <c r="K3398" s="171" t="s">
        <v>7564</v>
      </c>
      <c r="L3398" s="62">
        <v>23587188</v>
      </c>
      <c r="M3398" s="30">
        <v>5212224865412</v>
      </c>
      <c r="N3398" s="171" t="s">
        <v>37</v>
      </c>
      <c r="O3398" s="52">
        <v>38843.919999999998</v>
      </c>
      <c r="P3398" s="52">
        <v>11371.17</v>
      </c>
      <c r="Q3398" s="42">
        <f>OfficeForms.Table[[#This Row],[ INFORMEDEPAGO ]]*0.3</f>
        <v>11653.175999999999</v>
      </c>
      <c r="R3398" s="12">
        <f t="shared" ref="R3398" si="118">(IF(O3398&lt;4172.98,0,MIN(O3398*0.3,O3398-4172.98)))-P3398</f>
        <v>282.0059999999994</v>
      </c>
      <c r="S3398" s="78">
        <v>46388</v>
      </c>
      <c r="T3398" s="1"/>
      <c r="V3398" s="1"/>
      <c r="X3398" s="101">
        <v>2</v>
      </c>
    </row>
    <row r="3399" spans="1:24" hidden="1">
      <c r="A3399">
        <v>1817</v>
      </c>
      <c r="B3399" s="2">
        <v>46247.5717939815</v>
      </c>
      <c r="C3399" s="2">
        <v>46247.573020833297</v>
      </c>
      <c r="D3399" s="1" t="s">
        <v>24</v>
      </c>
      <c r="E3399" s="1"/>
      <c r="F3399" s="29">
        <v>46247</v>
      </c>
      <c r="G3399" s="29">
        <v>46247</v>
      </c>
      <c r="H3399" s="1" t="s">
        <v>1625</v>
      </c>
      <c r="I3399" s="126" t="s">
        <v>7565</v>
      </c>
      <c r="J3399" s="207" t="s">
        <v>7566</v>
      </c>
      <c r="K3399" s="171" t="s">
        <v>7567</v>
      </c>
      <c r="L3399" s="62">
        <v>2</v>
      </c>
      <c r="M3399" s="30">
        <v>3310763642</v>
      </c>
      <c r="N3399" s="171" t="s">
        <v>106</v>
      </c>
      <c r="O3399" s="52">
        <v>6262.86</v>
      </c>
      <c r="P3399" s="52">
        <v>1738.79</v>
      </c>
      <c r="Q3399" s="42">
        <f>OfficeForms.Table[[#This Row],[ INFORMEDEPAGO ]]*0.3</f>
        <v>1878.8579999999997</v>
      </c>
      <c r="R3399" s="12">
        <f t="shared" ref="R3399:R3402" si="119">(IF(O3399&lt;4172.98,0,MIN(O3399*0.3,O3399-4172.98)))-P3399</f>
        <v>140.06799999999976</v>
      </c>
      <c r="S3399" s="78">
        <v>45597</v>
      </c>
      <c r="T3399" s="1"/>
      <c r="V3399" s="1"/>
      <c r="X3399" s="101">
        <v>2</v>
      </c>
    </row>
    <row r="3400" spans="1:24" hidden="1">
      <c r="A3400">
        <v>1818</v>
      </c>
      <c r="B3400" s="2">
        <v>46247.584733796299</v>
      </c>
      <c r="C3400" s="2">
        <v>46247.585717592599</v>
      </c>
      <c r="D3400" s="1" t="s">
        <v>24</v>
      </c>
      <c r="E3400" s="1"/>
      <c r="F3400" s="29">
        <v>46247</v>
      </c>
      <c r="G3400" s="29">
        <v>46247</v>
      </c>
      <c r="H3400" s="1" t="s">
        <v>2908</v>
      </c>
      <c r="I3400" s="126" t="s">
        <v>7568</v>
      </c>
      <c r="J3400" s="207" t="s">
        <v>7569</v>
      </c>
      <c r="K3400" s="171" t="s">
        <v>1320</v>
      </c>
      <c r="L3400" s="62">
        <v>2</v>
      </c>
      <c r="M3400" s="30">
        <v>8116932285</v>
      </c>
      <c r="N3400" s="171" t="s">
        <v>32</v>
      </c>
      <c r="O3400" s="67">
        <v>2236.34</v>
      </c>
      <c r="P3400" s="99"/>
      <c r="Q3400" s="42">
        <f>OfficeForms.Table[[#This Row],[ INFORMEDEPAGO ]]*0.3</f>
        <v>670.90200000000004</v>
      </c>
      <c r="R3400" s="12">
        <f t="shared" si="119"/>
        <v>0</v>
      </c>
      <c r="S3400" s="78"/>
      <c r="T3400" s="1"/>
      <c r="V3400" s="1"/>
      <c r="X3400" s="101">
        <v>1</v>
      </c>
    </row>
    <row r="3401" spans="1:24" hidden="1">
      <c r="A3401">
        <v>1819</v>
      </c>
      <c r="B3401" s="2">
        <v>46247.449884259302</v>
      </c>
      <c r="C3401" s="2">
        <v>46247.588136574101</v>
      </c>
      <c r="D3401" s="1" t="s">
        <v>24</v>
      </c>
      <c r="E3401" s="1"/>
      <c r="F3401" s="29">
        <v>46247</v>
      </c>
      <c r="G3401" s="29">
        <v>46247</v>
      </c>
      <c r="H3401" s="1" t="s">
        <v>1625</v>
      </c>
      <c r="I3401" s="126" t="s">
        <v>2923</v>
      </c>
      <c r="J3401" s="207">
        <v>32826433131</v>
      </c>
      <c r="K3401" s="171" t="s">
        <v>2924</v>
      </c>
      <c r="L3401" s="62">
        <v>2</v>
      </c>
      <c r="M3401" s="30">
        <v>8664533844</v>
      </c>
      <c r="N3401" s="170" t="s">
        <v>37</v>
      </c>
      <c r="O3401" s="49">
        <v>9081.52</v>
      </c>
      <c r="P3401" s="96">
        <v>2519.69</v>
      </c>
      <c r="Q3401" s="11">
        <v>2724.46</v>
      </c>
      <c r="R3401" s="12">
        <v>204.77</v>
      </c>
      <c r="S3401" s="71">
        <v>46031</v>
      </c>
      <c r="T3401" s="1"/>
      <c r="V3401" s="1"/>
      <c r="X3401" s="101">
        <v>2</v>
      </c>
    </row>
    <row r="3402" spans="1:24" hidden="1">
      <c r="A3402">
        <v>1820</v>
      </c>
      <c r="B3402" s="2">
        <v>46247.5887268519</v>
      </c>
      <c r="C3402" s="2">
        <v>46247.589699074102</v>
      </c>
      <c r="D3402" s="1" t="s">
        <v>24</v>
      </c>
      <c r="E3402" s="1"/>
      <c r="F3402" s="29">
        <v>46247</v>
      </c>
      <c r="G3402" s="29">
        <v>46247</v>
      </c>
      <c r="H3402" s="1" t="s">
        <v>1625</v>
      </c>
      <c r="I3402" s="126" t="s">
        <v>7570</v>
      </c>
      <c r="J3402" s="207">
        <v>32806379924</v>
      </c>
      <c r="K3402" s="171" t="s">
        <v>7571</v>
      </c>
      <c r="L3402" s="62">
        <v>2</v>
      </c>
      <c r="M3402" s="30">
        <v>8442991397</v>
      </c>
      <c r="N3402" s="171" t="s">
        <v>37</v>
      </c>
      <c r="O3402" s="52">
        <v>4736.3900000000003</v>
      </c>
      <c r="P3402" s="52">
        <v>521.37</v>
      </c>
      <c r="Q3402" s="42">
        <f>OfficeForms.Table[[#This Row],[ INFORMEDEPAGO ]]*0.3</f>
        <v>1420.9170000000001</v>
      </c>
      <c r="R3402" s="12">
        <f t="shared" si="119"/>
        <v>42.040000000000759</v>
      </c>
      <c r="S3402" s="78">
        <v>46357</v>
      </c>
      <c r="T3402" s="1"/>
      <c r="V3402" s="1"/>
      <c r="X3402" s="101">
        <v>2</v>
      </c>
    </row>
    <row r="3403" spans="1:24" hidden="1">
      <c r="A3403">
        <v>1821</v>
      </c>
      <c r="B3403" s="2">
        <v>46247.607662037</v>
      </c>
      <c r="C3403" s="2">
        <v>46247.608865740702</v>
      </c>
      <c r="D3403" s="1" t="s">
        <v>24</v>
      </c>
      <c r="E3403" s="1"/>
      <c r="F3403" s="29">
        <v>46247</v>
      </c>
      <c r="G3403" s="29">
        <v>46247</v>
      </c>
      <c r="H3403" s="1" t="s">
        <v>51</v>
      </c>
      <c r="I3403" s="126" t="s">
        <v>7572</v>
      </c>
      <c r="J3403" s="207" t="s">
        <v>7573</v>
      </c>
      <c r="K3403" s="187" t="s">
        <v>7574</v>
      </c>
      <c r="L3403" s="62">
        <v>23582448</v>
      </c>
      <c r="M3403" s="30">
        <v>5218119929988</v>
      </c>
      <c r="N3403" s="171" t="s">
        <v>98</v>
      </c>
      <c r="O3403" s="50"/>
      <c r="P3403" s="97"/>
      <c r="Q3403" s="42">
        <f>OfficeForms.Table[[#This Row],[ INFORMEDEPAGO ]]*0.3</f>
        <v>0</v>
      </c>
      <c r="R3403" s="12">
        <f t="shared" ref="R3403" si="120">(IF(O3403&lt;4172.98,0,MIN(O3403*0.3,O3403-4172.98)))-P3403</f>
        <v>0</v>
      </c>
      <c r="S3403" s="78"/>
      <c r="T3403" s="1"/>
      <c r="V3403" s="1"/>
      <c r="X3403" s="101">
        <v>0</v>
      </c>
    </row>
    <row r="3404" spans="1:24" hidden="1">
      <c r="A3404">
        <v>1822</v>
      </c>
      <c r="B3404" s="2">
        <v>46247.619375000002</v>
      </c>
      <c r="C3404" s="2">
        <v>46247.621226851901</v>
      </c>
      <c r="D3404" s="1" t="s">
        <v>24</v>
      </c>
      <c r="E3404" s="1"/>
      <c r="F3404" s="29">
        <v>46247</v>
      </c>
      <c r="G3404" s="29">
        <v>46247</v>
      </c>
      <c r="H3404" s="1" t="s">
        <v>107</v>
      </c>
      <c r="I3404" s="126"/>
      <c r="J3404" s="207">
        <v>82796302774</v>
      </c>
      <c r="K3404" s="171"/>
      <c r="L3404" s="62">
        <v>23608718</v>
      </c>
      <c r="M3404" s="30">
        <v>5219871038059</v>
      </c>
      <c r="N3404" s="171" t="s">
        <v>106</v>
      </c>
      <c r="O3404" s="52">
        <v>16348.47</v>
      </c>
      <c r="P3404" s="52">
        <v>4511.09</v>
      </c>
      <c r="Q3404" s="42">
        <f>OfficeForms.Table[[#This Row],[ INFORMEDEPAGO ]]*0.3</f>
        <v>4904.5409999999993</v>
      </c>
      <c r="R3404" s="12">
        <f t="shared" ref="R3404" si="121">(IF(O3404&lt;4172.98,0,MIN(O3404*0.3,O3404-4172.98)))-P3404</f>
        <v>393.45099999999911</v>
      </c>
      <c r="S3404" s="78">
        <v>46235</v>
      </c>
      <c r="T3404" s="1"/>
      <c r="V3404" s="1"/>
      <c r="X3404" s="101">
        <v>2</v>
      </c>
    </row>
    <row r="3405" spans="1:24" hidden="1">
      <c r="A3405">
        <v>1823</v>
      </c>
      <c r="B3405" s="2">
        <v>46247.608888888899</v>
      </c>
      <c r="C3405" s="2">
        <v>46247.6304282407</v>
      </c>
      <c r="D3405" s="1" t="s">
        <v>24</v>
      </c>
      <c r="E3405" s="1"/>
      <c r="F3405" s="29">
        <v>46247</v>
      </c>
      <c r="G3405" s="29">
        <v>46247</v>
      </c>
      <c r="H3405" s="1" t="s">
        <v>51</v>
      </c>
      <c r="I3405" s="126" t="s">
        <v>7575</v>
      </c>
      <c r="J3405" s="207"/>
      <c r="K3405" s="171" t="s">
        <v>7576</v>
      </c>
      <c r="L3405" s="62">
        <v>23600862</v>
      </c>
      <c r="M3405" s="30">
        <v>5214921218327</v>
      </c>
      <c r="N3405" s="171" t="s">
        <v>32</v>
      </c>
      <c r="O3405" s="50">
        <v>4172.99</v>
      </c>
      <c r="P3405" s="97"/>
      <c r="Q3405" s="42">
        <f>OfficeForms.Table[[#This Row],[ INFORMEDEPAGO ]]*0.3</f>
        <v>1251.8969999999999</v>
      </c>
      <c r="R3405" s="12">
        <f t="shared" ref="R3405:R3406" si="122">(IF(O3405&lt;4172.98,0,MIN(O3405*0.3,O3405-4172.98)))-P3405</f>
        <v>1.0000000000218279E-2</v>
      </c>
      <c r="S3405" s="78"/>
      <c r="T3405" s="1"/>
      <c r="V3405" s="1"/>
      <c r="X3405" s="101">
        <v>1</v>
      </c>
    </row>
    <row r="3406" spans="1:24" hidden="1">
      <c r="A3406">
        <v>1824</v>
      </c>
      <c r="B3406" s="2">
        <v>46247.629872685196</v>
      </c>
      <c r="C3406" s="2">
        <v>46247.6305671296</v>
      </c>
      <c r="D3406" s="1" t="s">
        <v>24</v>
      </c>
      <c r="E3406" s="1"/>
      <c r="F3406" s="29">
        <v>46247</v>
      </c>
      <c r="G3406" s="29">
        <v>46247</v>
      </c>
      <c r="H3406" s="1" t="s">
        <v>71</v>
      </c>
      <c r="I3406" s="126" t="s">
        <v>7577</v>
      </c>
      <c r="J3406" s="207"/>
      <c r="K3406" s="171" t="s">
        <v>7578</v>
      </c>
      <c r="L3406" s="62">
        <v>23606318</v>
      </c>
      <c r="M3406" s="30">
        <v>5212881062063</v>
      </c>
      <c r="N3406" s="171" t="s">
        <v>74</v>
      </c>
      <c r="O3406" s="50"/>
      <c r="P3406" s="97"/>
      <c r="Q3406" s="42">
        <f>OfficeForms.Table[[#This Row],[ INFORMEDEPAGO ]]*0.3</f>
        <v>0</v>
      </c>
      <c r="R3406" s="12">
        <f t="shared" si="122"/>
        <v>0</v>
      </c>
      <c r="S3406" s="78"/>
      <c r="T3406" s="1"/>
      <c r="V3406" s="1"/>
      <c r="X3406" s="101">
        <v>1</v>
      </c>
    </row>
    <row r="3407" spans="1:24" hidden="1">
      <c r="A3407">
        <v>1825</v>
      </c>
      <c r="B3407" s="2">
        <v>46247.632592592599</v>
      </c>
      <c r="C3407" s="2">
        <v>46247.633275462998</v>
      </c>
      <c r="D3407" s="1" t="s">
        <v>24</v>
      </c>
      <c r="E3407" s="1"/>
      <c r="F3407" s="29">
        <v>46247</v>
      </c>
      <c r="G3407" s="29">
        <v>46247</v>
      </c>
      <c r="H3407" s="1" t="s">
        <v>110</v>
      </c>
      <c r="I3407" s="126" t="s">
        <v>7579</v>
      </c>
      <c r="J3407" s="207"/>
      <c r="K3407" s="171" t="s">
        <v>7580</v>
      </c>
      <c r="L3407" s="62">
        <v>23609060</v>
      </c>
      <c r="M3407" s="30">
        <v>5218611026550</v>
      </c>
      <c r="N3407" s="171" t="s">
        <v>263</v>
      </c>
      <c r="O3407" s="52">
        <v>15288.48</v>
      </c>
      <c r="P3407" s="52">
        <v>3545.04</v>
      </c>
      <c r="Q3407" s="42">
        <f>OfficeForms.Table[[#This Row],[ INFORMEDEPAGO ]]*0.3</f>
        <v>4586.5439999999999</v>
      </c>
      <c r="R3407" s="12">
        <f t="shared" ref="R3407" si="123">(IF(O3407&lt;4172.98,0,MIN(O3407*0.3,O3407-4172.98)))-P3407</f>
        <v>1041.5039999999999</v>
      </c>
      <c r="S3407" s="78">
        <v>46143</v>
      </c>
      <c r="T3407" s="1" t="s">
        <v>362</v>
      </c>
      <c r="V3407" s="1"/>
      <c r="X3407" s="101">
        <v>2</v>
      </c>
    </row>
    <row r="3408" spans="1:24" hidden="1">
      <c r="A3408">
        <v>1826</v>
      </c>
      <c r="B3408" s="2">
        <v>46247.644849536999</v>
      </c>
      <c r="C3408" s="2">
        <v>46247.645416666703</v>
      </c>
      <c r="D3408" s="1" t="s">
        <v>24</v>
      </c>
      <c r="E3408" s="1"/>
      <c r="F3408" s="29">
        <v>46247</v>
      </c>
      <c r="G3408" s="29">
        <v>46247</v>
      </c>
      <c r="H3408" s="1" t="s">
        <v>71</v>
      </c>
      <c r="I3408" s="126" t="s">
        <v>7581</v>
      </c>
      <c r="J3408" s="207" t="s">
        <v>7582</v>
      </c>
      <c r="K3408" s="171"/>
      <c r="L3408" s="62">
        <v>23609522</v>
      </c>
      <c r="M3408" s="30">
        <v>5218123840584</v>
      </c>
      <c r="N3408" s="171" t="s">
        <v>37</v>
      </c>
      <c r="O3408" s="52">
        <v>4832.78</v>
      </c>
      <c r="P3408" s="52">
        <v>628.62</v>
      </c>
      <c r="Q3408" s="42">
        <f>OfficeForms.Table[[#This Row],[ INFORMEDEPAGO ]]*0.3</f>
        <v>1449.8339999999998</v>
      </c>
      <c r="R3408" s="12">
        <f t="shared" ref="R3408" si="124">(IF(O3408&lt;4172.98,0,MIN(O3408*0.3,O3408-4172.98)))-P3408</f>
        <v>31.180000000000177</v>
      </c>
      <c r="S3408" s="78">
        <v>46722</v>
      </c>
      <c r="T3408" s="1" t="s">
        <v>259</v>
      </c>
      <c r="V3408" s="1"/>
      <c r="X3408" s="101">
        <v>2</v>
      </c>
    </row>
    <row r="3409" spans="1:24" hidden="1">
      <c r="A3409">
        <v>1827</v>
      </c>
      <c r="B3409" s="2">
        <v>46247.630451388897</v>
      </c>
      <c r="C3409" s="2">
        <v>46247.6485300926</v>
      </c>
      <c r="D3409" s="1" t="s">
        <v>24</v>
      </c>
      <c r="E3409" s="1"/>
      <c r="F3409" s="29">
        <v>46247</v>
      </c>
      <c r="G3409" s="29">
        <v>46246</v>
      </c>
      <c r="H3409" s="1" t="s">
        <v>51</v>
      </c>
      <c r="I3409" s="126" t="s">
        <v>7583</v>
      </c>
      <c r="J3409" s="207"/>
      <c r="K3409" s="171" t="s">
        <v>7584</v>
      </c>
      <c r="L3409" s="62">
        <v>23583800</v>
      </c>
      <c r="M3409" s="30">
        <v>5219541292077</v>
      </c>
      <c r="N3409" s="171" t="s">
        <v>37</v>
      </c>
      <c r="O3409" s="52">
        <v>64010.239999999998</v>
      </c>
      <c r="P3409" s="52">
        <v>19163.18</v>
      </c>
      <c r="Q3409" s="42">
        <f>OfficeForms.Table[[#This Row],[ INFORMEDEPAGO ]]*0.3</f>
        <v>19203.072</v>
      </c>
      <c r="R3409" s="12">
        <f t="shared" ref="R3409" si="125">(IF(O3409&lt;4172.98,0,MIN(O3409*0.3,O3409-4172.98)))-P3409</f>
        <v>39.891999999999825</v>
      </c>
      <c r="S3409" s="78">
        <v>46874</v>
      </c>
      <c r="T3409" s="1"/>
      <c r="V3409" s="1"/>
      <c r="X3409" s="101">
        <v>2</v>
      </c>
    </row>
    <row r="3410" spans="1:24" hidden="1">
      <c r="A3410">
        <v>1828</v>
      </c>
      <c r="B3410" s="2">
        <v>46247.656122685199</v>
      </c>
      <c r="C3410" s="2">
        <v>46247.656620370399</v>
      </c>
      <c r="D3410" s="1" t="s">
        <v>24</v>
      </c>
      <c r="E3410" s="1"/>
      <c r="F3410" s="29">
        <v>46247</v>
      </c>
      <c r="G3410" s="29">
        <v>46247</v>
      </c>
      <c r="H3410" s="1" t="s">
        <v>71</v>
      </c>
      <c r="I3410" s="126" t="s">
        <v>7585</v>
      </c>
      <c r="J3410" s="207" t="s">
        <v>7586</v>
      </c>
      <c r="K3410" s="171"/>
      <c r="L3410" s="62">
        <v>23610848</v>
      </c>
      <c r="M3410" s="30">
        <v>5218445045329</v>
      </c>
      <c r="N3410" s="171" t="s">
        <v>28</v>
      </c>
      <c r="O3410" s="50">
        <v>10636.54</v>
      </c>
      <c r="P3410" s="97"/>
      <c r="Q3410" s="42">
        <f>OfficeForms.Table[[#This Row],[ INFORMEDEPAGO ]]*0.3</f>
        <v>3190.962</v>
      </c>
      <c r="R3410" s="12">
        <f t="shared" ref="R3410:R3418" si="126">(IF(O3410&lt;4172.98,0,MIN(O3410*0.3,O3410-4172.98)))-P3410</f>
        <v>3190.962</v>
      </c>
      <c r="S3410" s="78"/>
      <c r="T3410" s="1"/>
      <c r="V3410" s="1"/>
      <c r="X3410" s="101">
        <v>1</v>
      </c>
    </row>
    <row r="3411" spans="1:24" hidden="1">
      <c r="A3411">
        <v>1829</v>
      </c>
      <c r="B3411" s="2">
        <v>46247.653217592597</v>
      </c>
      <c r="C3411" s="2">
        <v>46247.659328703703</v>
      </c>
      <c r="D3411" s="1" t="s">
        <v>24</v>
      </c>
      <c r="E3411" s="1"/>
      <c r="F3411" s="29">
        <v>46247</v>
      </c>
      <c r="G3411" s="29">
        <v>46247</v>
      </c>
      <c r="H3411" s="1" t="s">
        <v>78</v>
      </c>
      <c r="I3411" s="126" t="s">
        <v>7587</v>
      </c>
      <c r="J3411" s="207">
        <v>84836300404</v>
      </c>
      <c r="K3411" s="171" t="s">
        <v>7588</v>
      </c>
      <c r="L3411" s="62">
        <v>23609404</v>
      </c>
      <c r="M3411" s="30">
        <v>5219981361185</v>
      </c>
      <c r="N3411" s="171" t="s">
        <v>28</v>
      </c>
      <c r="O3411" s="50">
        <v>14106.45</v>
      </c>
      <c r="P3411" s="97"/>
      <c r="Q3411" s="42">
        <f>OfficeForms.Table[[#This Row],[ INFORMEDEPAGO ]]*0.3</f>
        <v>4231.9350000000004</v>
      </c>
      <c r="R3411" s="12">
        <f t="shared" si="126"/>
        <v>4231.9350000000004</v>
      </c>
      <c r="S3411" s="78"/>
      <c r="T3411" s="1"/>
      <c r="V3411" s="1"/>
      <c r="X3411" s="101">
        <v>1</v>
      </c>
    </row>
    <row r="3412" spans="1:24" hidden="1">
      <c r="A3412">
        <v>1830</v>
      </c>
      <c r="B3412" s="2">
        <v>46247.659525463001</v>
      </c>
      <c r="C3412" s="2">
        <v>46247.660439814797</v>
      </c>
      <c r="D3412" s="1" t="s">
        <v>24</v>
      </c>
      <c r="E3412" s="1"/>
      <c r="F3412" s="29">
        <v>46247</v>
      </c>
      <c r="G3412" s="29">
        <v>46247</v>
      </c>
      <c r="H3412" s="1" t="s">
        <v>71</v>
      </c>
      <c r="I3412" s="126" t="s">
        <v>7589</v>
      </c>
      <c r="J3412" s="207"/>
      <c r="K3412" s="171" t="s">
        <v>7590</v>
      </c>
      <c r="L3412" s="62">
        <v>23608636</v>
      </c>
      <c r="M3412" s="30">
        <v>5219511619098</v>
      </c>
      <c r="N3412" s="171" t="s">
        <v>37</v>
      </c>
      <c r="O3412" s="52">
        <v>10636.54</v>
      </c>
      <c r="P3412" s="52">
        <v>3189.2</v>
      </c>
      <c r="Q3412" s="42">
        <f>OfficeForms.Table[[#This Row],[ INFORMEDEPAGO ]]*0.3</f>
        <v>3190.962</v>
      </c>
      <c r="R3412" s="12">
        <f t="shared" si="126"/>
        <v>1.762000000000171</v>
      </c>
      <c r="S3412" s="78">
        <v>46874</v>
      </c>
      <c r="T3412" s="1" t="s">
        <v>192</v>
      </c>
      <c r="V3412" s="1"/>
      <c r="X3412" s="101">
        <v>2</v>
      </c>
    </row>
    <row r="3413" spans="1:24" hidden="1">
      <c r="A3413">
        <v>1831</v>
      </c>
      <c r="B3413" s="2">
        <v>46247.659224536997</v>
      </c>
      <c r="C3413" s="2">
        <v>46247.660555555602</v>
      </c>
      <c r="D3413" s="1" t="s">
        <v>24</v>
      </c>
      <c r="E3413" s="1"/>
      <c r="F3413" s="29">
        <v>46247</v>
      </c>
      <c r="G3413" s="29">
        <v>46247</v>
      </c>
      <c r="H3413" s="1" t="s">
        <v>1629</v>
      </c>
      <c r="I3413" s="126" t="s">
        <v>1841</v>
      </c>
      <c r="J3413" s="207" t="s">
        <v>7591</v>
      </c>
      <c r="K3413" s="171" t="s">
        <v>1842</v>
      </c>
      <c r="L3413" s="62">
        <v>2</v>
      </c>
      <c r="M3413" s="30" t="s">
        <v>7592</v>
      </c>
      <c r="N3413" s="171" t="s">
        <v>47</v>
      </c>
      <c r="O3413" s="52">
        <v>7983.6</v>
      </c>
      <c r="P3413" s="52">
        <v>2039.53</v>
      </c>
      <c r="Q3413" s="42">
        <f>OfficeForms.Table[[#This Row],[ INFORMEDEPAGO ]]*0.3</f>
        <v>2395.08</v>
      </c>
      <c r="R3413" s="12">
        <f t="shared" si="126"/>
        <v>355.54999999999995</v>
      </c>
      <c r="S3413" s="78">
        <v>46935</v>
      </c>
      <c r="T3413" s="1" t="s">
        <v>178</v>
      </c>
      <c r="V3413" s="1"/>
      <c r="X3413" s="101">
        <v>2</v>
      </c>
    </row>
    <row r="3414" spans="1:24" hidden="1">
      <c r="A3414">
        <v>1832</v>
      </c>
      <c r="B3414" s="2">
        <v>46247.663784722201</v>
      </c>
      <c r="C3414" s="2">
        <v>46247.666006944397</v>
      </c>
      <c r="D3414" s="1" t="s">
        <v>24</v>
      </c>
      <c r="E3414" s="1"/>
      <c r="F3414" s="29">
        <v>46247</v>
      </c>
      <c r="G3414" s="29">
        <v>46247</v>
      </c>
      <c r="H3414" s="1" t="s">
        <v>1625</v>
      </c>
      <c r="I3414" s="126" t="s">
        <v>7593</v>
      </c>
      <c r="J3414" s="207" t="s">
        <v>7594</v>
      </c>
      <c r="K3414" s="171" t="s">
        <v>7595</v>
      </c>
      <c r="L3414" s="62">
        <v>2</v>
      </c>
      <c r="M3414" s="30">
        <v>9997829274</v>
      </c>
      <c r="N3414" s="171" t="s">
        <v>37</v>
      </c>
      <c r="O3414" s="52">
        <v>34178.29</v>
      </c>
      <c r="P3414" s="52">
        <v>10253.49</v>
      </c>
      <c r="Q3414" s="42">
        <f>OfficeForms.Table[[#This Row],[ INFORMEDEPAGO ]]*0.3</f>
        <v>10253.486999999999</v>
      </c>
      <c r="R3414" s="12">
        <f>(IF(O3414&lt;4172.98,0,MIN(O3414*0.3,O3414-4172.98)))-P3414</f>
        <v>-3.0000000006111804E-3</v>
      </c>
      <c r="S3414" s="78">
        <v>46447</v>
      </c>
      <c r="T3414" s="1"/>
      <c r="V3414" s="1"/>
      <c r="X3414" s="101">
        <v>2</v>
      </c>
    </row>
    <row r="3415" spans="1:24" hidden="1">
      <c r="A3415">
        <v>1833</v>
      </c>
      <c r="B3415" s="2">
        <v>46247.665844907402</v>
      </c>
      <c r="C3415" s="2">
        <v>46247.666469907403</v>
      </c>
      <c r="D3415" s="1" t="s">
        <v>24</v>
      </c>
      <c r="E3415" s="1"/>
      <c r="F3415" s="29">
        <v>46247</v>
      </c>
      <c r="G3415" s="29">
        <v>46247</v>
      </c>
      <c r="H3415" s="1" t="s">
        <v>110</v>
      </c>
      <c r="I3415" s="126" t="s">
        <v>7596</v>
      </c>
      <c r="J3415" s="207">
        <v>53816320278</v>
      </c>
      <c r="K3415" s="171"/>
      <c r="L3415" s="62">
        <v>23611282</v>
      </c>
      <c r="M3415" s="30">
        <v>5213541061042</v>
      </c>
      <c r="N3415" s="171" t="s">
        <v>28</v>
      </c>
      <c r="O3415" s="50">
        <v>29342.57</v>
      </c>
      <c r="P3415" s="97"/>
      <c r="Q3415" s="42">
        <f>OfficeForms.Table[[#This Row],[ INFORMEDEPAGO ]]*0.3</f>
        <v>8802.7709999999988</v>
      </c>
      <c r="R3415" s="12">
        <f t="shared" si="126"/>
        <v>8802.7709999999988</v>
      </c>
      <c r="S3415" s="78"/>
      <c r="T3415" s="1"/>
      <c r="V3415" s="1"/>
      <c r="X3415" s="101">
        <v>1</v>
      </c>
    </row>
    <row r="3416" spans="1:24" hidden="1">
      <c r="A3416">
        <v>1834</v>
      </c>
      <c r="B3416" s="2">
        <v>46247.667129629597</v>
      </c>
      <c r="C3416" s="2">
        <v>46247.668379629598</v>
      </c>
      <c r="D3416" s="1" t="s">
        <v>24</v>
      </c>
      <c r="E3416" s="1"/>
      <c r="F3416" s="29">
        <v>46247</v>
      </c>
      <c r="G3416" s="29">
        <v>46247</v>
      </c>
      <c r="H3416" s="1" t="s">
        <v>71</v>
      </c>
      <c r="I3416" s="126" t="s">
        <v>7597</v>
      </c>
      <c r="J3416" s="207" t="s">
        <v>7598</v>
      </c>
      <c r="K3416" s="171" t="s">
        <v>7599</v>
      </c>
      <c r="L3416" s="62">
        <v>23611378</v>
      </c>
      <c r="M3416" s="30">
        <v>5218124226541</v>
      </c>
      <c r="N3416" s="171" t="s">
        <v>28</v>
      </c>
      <c r="O3416" s="50">
        <v>8784.27</v>
      </c>
      <c r="P3416" s="97">
        <v>879</v>
      </c>
      <c r="Q3416" s="42">
        <f>OfficeForms.Table[[#This Row],[ INFORMEDEPAGO ]]*0.3</f>
        <v>2635.2809999999999</v>
      </c>
      <c r="R3416" s="12">
        <f t="shared" si="126"/>
        <v>1756.2809999999999</v>
      </c>
      <c r="S3416" s="78"/>
      <c r="T3416" s="1"/>
      <c r="V3416" s="1"/>
      <c r="X3416" s="101">
        <v>1</v>
      </c>
    </row>
    <row r="3417" spans="1:24" hidden="1">
      <c r="A3417">
        <v>1835</v>
      </c>
      <c r="B3417" s="2">
        <v>46247.648541666698</v>
      </c>
      <c r="C3417" s="2">
        <v>46247.670879629601</v>
      </c>
      <c r="D3417" s="1" t="s">
        <v>24</v>
      </c>
      <c r="E3417" s="1"/>
      <c r="F3417" s="29">
        <v>46247</v>
      </c>
      <c r="G3417" s="29">
        <v>46247</v>
      </c>
      <c r="H3417" s="1" t="s">
        <v>51</v>
      </c>
      <c r="I3417" s="126" t="s">
        <v>7600</v>
      </c>
      <c r="J3417" s="207" t="s">
        <v>7601</v>
      </c>
      <c r="K3417" s="171" t="s">
        <v>7602</v>
      </c>
      <c r="L3417" s="62">
        <v>23599896</v>
      </c>
      <c r="M3417" s="30">
        <v>5212724421134</v>
      </c>
      <c r="N3417" s="171" t="s">
        <v>32</v>
      </c>
      <c r="O3417" s="50">
        <v>3488.34</v>
      </c>
      <c r="P3417" s="97">
        <v>848</v>
      </c>
      <c r="Q3417" s="42">
        <f>OfficeForms.Table[[#This Row],[ INFORMEDEPAGO ]]*0.3</f>
        <v>1046.502</v>
      </c>
      <c r="R3417" s="12">
        <f t="shared" si="126"/>
        <v>-848</v>
      </c>
      <c r="S3417" s="78"/>
      <c r="T3417" s="1"/>
      <c r="V3417" s="1"/>
      <c r="X3417" s="101">
        <v>1</v>
      </c>
    </row>
    <row r="3418" spans="1:24" hidden="1">
      <c r="A3418">
        <v>1836</v>
      </c>
      <c r="B3418" s="2">
        <v>46247.667824074102</v>
      </c>
      <c r="C3418" s="2">
        <v>46247.671435185199</v>
      </c>
      <c r="D3418" s="1" t="s">
        <v>24</v>
      </c>
      <c r="E3418" s="1"/>
      <c r="F3418" s="29">
        <v>46247</v>
      </c>
      <c r="G3418" s="29">
        <v>46247</v>
      </c>
      <c r="H3418" s="1" t="s">
        <v>5605</v>
      </c>
      <c r="I3418" s="126" t="s">
        <v>7603</v>
      </c>
      <c r="J3418" s="207"/>
      <c r="K3418" s="171" t="s">
        <v>7604</v>
      </c>
      <c r="L3418" s="62">
        <v>23610388</v>
      </c>
      <c r="M3418" s="30">
        <v>3322636458</v>
      </c>
      <c r="N3418" s="171" t="s">
        <v>28</v>
      </c>
      <c r="O3418" s="50">
        <v>45234.49</v>
      </c>
      <c r="P3418" s="97">
        <v>4474.13</v>
      </c>
      <c r="Q3418" s="42">
        <f>OfficeForms.Table[[#This Row],[ INFORMEDEPAGO ]]*0.3</f>
        <v>13570.347</v>
      </c>
      <c r="R3418" s="12">
        <f t="shared" si="126"/>
        <v>9096.2170000000006</v>
      </c>
      <c r="S3418" s="78">
        <v>46419</v>
      </c>
      <c r="T3418" s="1"/>
      <c r="V3418" s="1"/>
      <c r="X3418" s="101">
        <v>2</v>
      </c>
    </row>
    <row r="3419" spans="1:24" hidden="1">
      <c r="A3419">
        <v>1837</v>
      </c>
      <c r="B3419" s="2">
        <v>46247.432708333297</v>
      </c>
      <c r="C3419" s="2">
        <v>46247.672384259298</v>
      </c>
      <c r="D3419" s="1" t="s">
        <v>24</v>
      </c>
      <c r="E3419" s="1"/>
      <c r="F3419" s="29">
        <v>46247</v>
      </c>
      <c r="G3419" s="29">
        <v>46247</v>
      </c>
      <c r="H3419" s="1" t="s">
        <v>51</v>
      </c>
      <c r="I3419" s="126" t="s">
        <v>7605</v>
      </c>
      <c r="J3419" s="207"/>
      <c r="K3419" s="171" t="s">
        <v>7606</v>
      </c>
      <c r="L3419" s="62">
        <v>23602924</v>
      </c>
      <c r="M3419" s="30">
        <v>5218701500564</v>
      </c>
      <c r="N3419" s="171" t="s">
        <v>37</v>
      </c>
      <c r="O3419" s="52">
        <v>9760.32</v>
      </c>
      <c r="P3419" s="52">
        <v>2809.22</v>
      </c>
      <c r="Q3419" s="42">
        <f>OfficeForms.Table[[#This Row],[ INFORMEDEPAGO ]]*0.3</f>
        <v>2928.096</v>
      </c>
      <c r="R3419" s="12">
        <f t="shared" ref="R3419" si="127">(IF(O3419&lt;4172.98,0,MIN(O3419*0.3,O3419-4172.98)))-P3419</f>
        <v>118.8760000000002</v>
      </c>
      <c r="S3419" s="78">
        <v>46722</v>
      </c>
      <c r="T3419" s="1" t="s">
        <v>362</v>
      </c>
      <c r="V3419" s="1"/>
      <c r="X3419" s="101">
        <v>2</v>
      </c>
    </row>
    <row r="3420" spans="1:24" hidden="1">
      <c r="A3420">
        <v>1838</v>
      </c>
      <c r="B3420" s="2">
        <v>46247.6901967593</v>
      </c>
      <c r="C3420" s="2">
        <v>46247.691261574102</v>
      </c>
      <c r="D3420" s="1" t="s">
        <v>24</v>
      </c>
      <c r="E3420" s="1"/>
      <c r="F3420" s="29">
        <v>46247</v>
      </c>
      <c r="G3420" s="29">
        <v>46247</v>
      </c>
      <c r="H3420" s="1" t="s">
        <v>107</v>
      </c>
      <c r="I3420" s="126" t="s">
        <v>7607</v>
      </c>
      <c r="J3420" s="207"/>
      <c r="K3420" s="171" t="s">
        <v>7608</v>
      </c>
      <c r="L3420" s="62">
        <v>23612002</v>
      </c>
      <c r="M3420" s="30">
        <v>5216671886378</v>
      </c>
      <c r="N3420" s="171" t="s">
        <v>47</v>
      </c>
      <c r="O3420" s="52">
        <v>9081.52</v>
      </c>
      <c r="P3420" s="52">
        <v>1795.79</v>
      </c>
      <c r="Q3420" s="42">
        <f>OfficeForms.Table[[#This Row],[ INFORMEDEPAGO ]]*0.3</f>
        <v>2724.4560000000001</v>
      </c>
      <c r="R3420" s="12">
        <f t="shared" ref="R3420" si="128">(IF(O3420&lt;4172.98,0,MIN(O3420*0.3,O3420-4172.98)))-P3420</f>
        <v>928.66600000000017</v>
      </c>
      <c r="S3420" s="78">
        <v>46722</v>
      </c>
      <c r="T3420" s="1"/>
      <c r="V3420" s="1"/>
      <c r="X3420" s="101">
        <v>2</v>
      </c>
    </row>
    <row r="3421" spans="1:24" hidden="1">
      <c r="A3421">
        <v>1839</v>
      </c>
      <c r="B3421" s="2">
        <v>46247.338865740698</v>
      </c>
      <c r="C3421" s="2">
        <v>46247.693356481497</v>
      </c>
      <c r="D3421" s="1" t="s">
        <v>24</v>
      </c>
      <c r="E3421" s="1"/>
      <c r="F3421" s="29">
        <v>46247</v>
      </c>
      <c r="G3421" s="29">
        <v>46247</v>
      </c>
      <c r="H3421" s="1" t="s">
        <v>6605</v>
      </c>
      <c r="I3421" s="126" t="s">
        <v>7609</v>
      </c>
      <c r="J3421" s="207"/>
      <c r="K3421" s="171" t="s">
        <v>7610</v>
      </c>
      <c r="L3421" s="62">
        <v>23611026</v>
      </c>
      <c r="M3421" s="30">
        <v>4423273435</v>
      </c>
      <c r="N3421" s="171" t="s">
        <v>47</v>
      </c>
      <c r="O3421" s="52">
        <v>38171.03</v>
      </c>
      <c r="P3421" s="52">
        <v>10254.42</v>
      </c>
      <c r="Q3421" s="42">
        <f>OfficeForms.Table[[#This Row],[ INFORMEDEPAGO ]]*0.3</f>
        <v>11451.308999999999</v>
      </c>
      <c r="R3421" s="12">
        <f t="shared" ref="R3421:R3422" si="129">(IF(O3421&lt;4172.98,0,MIN(O3421*0.3,O3421-4172.98)))-P3421</f>
        <v>1196.8889999999992</v>
      </c>
      <c r="S3421" s="78">
        <v>46569</v>
      </c>
      <c r="T3421" s="1" t="s">
        <v>259</v>
      </c>
      <c r="V3421" s="1"/>
      <c r="X3421" s="101">
        <v>2</v>
      </c>
    </row>
    <row r="3422" spans="1:24" hidden="1">
      <c r="A3422">
        <v>1840</v>
      </c>
      <c r="B3422" s="2">
        <v>46247.698194444398</v>
      </c>
      <c r="C3422" s="2">
        <v>46247.7000694444</v>
      </c>
      <c r="D3422" s="1" t="s">
        <v>24</v>
      </c>
      <c r="E3422" s="1"/>
      <c r="F3422" s="29">
        <v>46247</v>
      </c>
      <c r="G3422" s="29">
        <v>46246</v>
      </c>
      <c r="H3422" s="1" t="s">
        <v>110</v>
      </c>
      <c r="I3422" s="126" t="s">
        <v>7611</v>
      </c>
      <c r="J3422" s="207">
        <v>21876852167</v>
      </c>
      <c r="K3422" s="171" t="s">
        <v>7612</v>
      </c>
      <c r="L3422" s="62">
        <v>23578580</v>
      </c>
      <c r="M3422" s="30">
        <v>5216658452760</v>
      </c>
      <c r="N3422" s="171" t="s">
        <v>106</v>
      </c>
      <c r="O3422" s="52">
        <v>36979.32</v>
      </c>
      <c r="P3422" s="52">
        <v>11077.78</v>
      </c>
      <c r="Q3422" s="42">
        <f>OfficeForms.Table[[#This Row],[ INFORMEDEPAGO ]]*0.3</f>
        <v>11093.796</v>
      </c>
      <c r="R3422" s="12">
        <f t="shared" si="129"/>
        <v>16.015999999999622</v>
      </c>
      <c r="S3422" s="78">
        <v>45566</v>
      </c>
      <c r="T3422" s="1"/>
      <c r="V3422" s="1"/>
      <c r="X3422" s="101">
        <v>2</v>
      </c>
    </row>
    <row r="3423" spans="1:24" hidden="1">
      <c r="A3423">
        <v>1841</v>
      </c>
      <c r="B3423" s="2">
        <v>46247.711284722202</v>
      </c>
      <c r="C3423" s="2">
        <v>46247.711932870399</v>
      </c>
      <c r="D3423" s="1" t="s">
        <v>24</v>
      </c>
      <c r="E3423" s="1"/>
      <c r="F3423" s="29">
        <v>46247</v>
      </c>
      <c r="G3423" s="29">
        <v>46247</v>
      </c>
      <c r="H3423" s="1" t="s">
        <v>71</v>
      </c>
      <c r="I3423" s="126" t="s">
        <v>7613</v>
      </c>
      <c r="J3423" s="207" t="s">
        <v>7614</v>
      </c>
      <c r="K3423" s="171"/>
      <c r="L3423" s="62">
        <v>23611860</v>
      </c>
      <c r="M3423" s="30">
        <v>5216623277839</v>
      </c>
      <c r="N3423" s="171" t="s">
        <v>28</v>
      </c>
      <c r="O3423" s="50">
        <v>12280.93</v>
      </c>
      <c r="P3423" s="97"/>
      <c r="Q3423" s="42">
        <f>OfficeForms.Table[[#This Row],[ INFORMEDEPAGO ]]*0.3</f>
        <v>3684.279</v>
      </c>
      <c r="R3423" s="12">
        <f t="shared" ref="R3423:R3425" si="130">(IF(O3423&lt;4172.98,0,MIN(O3423*0.3,O3423-4172.98)))-P3423</f>
        <v>3684.279</v>
      </c>
      <c r="S3423" s="78"/>
      <c r="T3423" s="1"/>
      <c r="V3423" s="1"/>
      <c r="X3423" s="101">
        <v>1</v>
      </c>
    </row>
    <row r="3424" spans="1:24" hidden="1">
      <c r="A3424">
        <v>1842</v>
      </c>
      <c r="B3424" s="2">
        <v>46247.711180555598</v>
      </c>
      <c r="C3424" s="2">
        <v>46247.713217592602</v>
      </c>
      <c r="D3424" s="1" t="s">
        <v>24</v>
      </c>
      <c r="E3424" s="1"/>
      <c r="F3424" s="29">
        <v>46247</v>
      </c>
      <c r="G3424" s="29">
        <v>46247</v>
      </c>
      <c r="H3424" s="1" t="s">
        <v>5605</v>
      </c>
      <c r="I3424" s="126" t="s">
        <v>7615</v>
      </c>
      <c r="J3424" s="207"/>
      <c r="K3424" s="171" t="s">
        <v>7616</v>
      </c>
      <c r="L3424" s="62">
        <v>23612062</v>
      </c>
      <c r="M3424" s="30">
        <v>8711388127</v>
      </c>
      <c r="N3424" s="171" t="s">
        <v>37</v>
      </c>
      <c r="O3424" s="52">
        <v>11029.03</v>
      </c>
      <c r="P3424" s="52">
        <v>3291.73</v>
      </c>
      <c r="Q3424" s="42">
        <f>OfficeForms.Table[[#This Row],[ INFORMEDEPAGO ]]*0.3</f>
        <v>3308.7090000000003</v>
      </c>
      <c r="R3424" s="12">
        <f t="shared" si="130"/>
        <v>16.979000000000269</v>
      </c>
      <c r="S3424" s="78">
        <v>46844</v>
      </c>
      <c r="T3424" s="1"/>
      <c r="V3424" s="1"/>
      <c r="X3424" s="101">
        <v>2</v>
      </c>
    </row>
    <row r="3425" spans="1:24" hidden="1">
      <c r="A3425">
        <v>1843</v>
      </c>
      <c r="B3425" s="2">
        <v>46247.697812500002</v>
      </c>
      <c r="C3425" s="2">
        <v>46247.713240740697</v>
      </c>
      <c r="D3425" s="1" t="s">
        <v>24</v>
      </c>
      <c r="E3425" s="1"/>
      <c r="F3425" s="29">
        <v>46247</v>
      </c>
      <c r="G3425" s="29">
        <v>46247</v>
      </c>
      <c r="H3425" s="1" t="s">
        <v>1625</v>
      </c>
      <c r="I3425" s="126" t="s">
        <v>7617</v>
      </c>
      <c r="J3425" s="207" t="s">
        <v>7618</v>
      </c>
      <c r="K3425" s="171" t="s">
        <v>7619</v>
      </c>
      <c r="L3425" s="62">
        <v>2</v>
      </c>
      <c r="M3425" s="30">
        <v>5560989675</v>
      </c>
      <c r="N3425" s="171" t="s">
        <v>106</v>
      </c>
      <c r="O3425" s="52">
        <v>6121.17</v>
      </c>
      <c r="P3425" s="52">
        <v>1835.44</v>
      </c>
      <c r="Q3425" s="42">
        <f>OfficeForms.Table[[#This Row],[ INFORMEDEPAGO ]]*0.3</f>
        <v>1836.3509999999999</v>
      </c>
      <c r="R3425" s="12">
        <f t="shared" si="130"/>
        <v>0.91099999999983083</v>
      </c>
      <c r="S3425" s="78">
        <v>46204</v>
      </c>
      <c r="T3425" s="1"/>
      <c r="V3425" s="1"/>
      <c r="X3425" s="101">
        <v>2</v>
      </c>
    </row>
    <row r="3426" spans="1:24" hidden="1">
      <c r="A3426">
        <v>1844</v>
      </c>
      <c r="B3426" s="2">
        <v>46247.726377314801</v>
      </c>
      <c r="C3426" s="2">
        <v>46247.726863425902</v>
      </c>
      <c r="D3426" s="1" t="s">
        <v>24</v>
      </c>
      <c r="E3426" s="1"/>
      <c r="F3426" s="29">
        <v>46247</v>
      </c>
      <c r="G3426" s="29">
        <v>46246</v>
      </c>
      <c r="H3426" s="1" t="s">
        <v>269</v>
      </c>
      <c r="I3426" s="126" t="s">
        <v>7620</v>
      </c>
      <c r="J3426" s="175" t="s">
        <v>7621</v>
      </c>
      <c r="K3426" s="171" t="s">
        <v>7622</v>
      </c>
      <c r="L3426" s="62">
        <v>23588060</v>
      </c>
      <c r="M3426" s="30">
        <v>5212219944130</v>
      </c>
      <c r="N3426" s="171" t="s">
        <v>37</v>
      </c>
      <c r="O3426" s="52">
        <v>4636.43</v>
      </c>
      <c r="P3426" s="52">
        <v>446.87</v>
      </c>
      <c r="Q3426" s="42">
        <f>OfficeForms.Table[[#This Row],[ INFORMEDEPAGO ]]*0.3</f>
        <v>1390.9290000000001</v>
      </c>
      <c r="R3426" s="12">
        <f t="shared" ref="R3426" si="131">(IF(O3426&lt;4172.98,0,MIN(O3426*0.3,O3426-4172.98)))-P3426</f>
        <v>16.580000000000723</v>
      </c>
      <c r="S3426" s="78">
        <v>46508</v>
      </c>
      <c r="T3426" s="1"/>
      <c r="V3426" s="1"/>
      <c r="X3426" s="101">
        <v>2</v>
      </c>
    </row>
    <row r="3427" spans="1:24" hidden="1">
      <c r="A3427">
        <v>1845</v>
      </c>
      <c r="B3427" s="2">
        <v>46247.736481481501</v>
      </c>
      <c r="C3427" s="2">
        <v>46247.737789351901</v>
      </c>
      <c r="D3427" s="1" t="s">
        <v>24</v>
      </c>
      <c r="E3427" s="1"/>
      <c r="F3427" s="29">
        <v>46247</v>
      </c>
      <c r="G3427" s="29">
        <v>46247</v>
      </c>
      <c r="H3427" s="1" t="s">
        <v>26</v>
      </c>
      <c r="I3427" s="126" t="s">
        <v>7623</v>
      </c>
      <c r="J3427" s="175">
        <v>65725403433</v>
      </c>
      <c r="K3427" s="171"/>
      <c r="L3427" s="62">
        <v>23613382</v>
      </c>
      <c r="M3427" s="30">
        <v>5212294949147</v>
      </c>
      <c r="N3427" s="171" t="s">
        <v>37</v>
      </c>
      <c r="O3427" s="52">
        <v>19463.59</v>
      </c>
      <c r="P3427" s="52">
        <v>5836.66</v>
      </c>
      <c r="Q3427" s="42">
        <f>OfficeForms.Table[[#This Row],[ INFORMEDEPAGO ]]*0.3</f>
        <v>5839.0770000000002</v>
      </c>
      <c r="R3427" s="12">
        <f t="shared" ref="R3427:R3428" si="132">(IF(O3427&lt;4172.98,0,MIN(O3427*0.3,O3427-4172.98)))-P3427</f>
        <v>2.4170000000003711</v>
      </c>
      <c r="S3427" s="78">
        <v>46266</v>
      </c>
      <c r="T3427" s="1"/>
      <c r="V3427" s="1"/>
      <c r="X3427" s="101">
        <v>2</v>
      </c>
    </row>
    <row r="3428" spans="1:24" hidden="1">
      <c r="A3428">
        <v>1846</v>
      </c>
      <c r="B3428" s="2">
        <v>46247.734675925902</v>
      </c>
      <c r="C3428" s="2">
        <v>46247.738993055602</v>
      </c>
      <c r="D3428" s="1" t="s">
        <v>24</v>
      </c>
      <c r="E3428" s="1"/>
      <c r="F3428" s="29">
        <v>46247</v>
      </c>
      <c r="G3428" s="29">
        <v>46246</v>
      </c>
      <c r="H3428" s="1" t="s">
        <v>78</v>
      </c>
      <c r="I3428" s="126" t="s">
        <v>7624</v>
      </c>
      <c r="J3428" s="175"/>
      <c r="K3428" s="171" t="s">
        <v>7625</v>
      </c>
      <c r="L3428" s="62">
        <v>23585314</v>
      </c>
      <c r="M3428" s="30">
        <v>5214777936892</v>
      </c>
      <c r="N3428" s="171" t="s">
        <v>37</v>
      </c>
      <c r="O3428" s="52">
        <v>7116.73</v>
      </c>
      <c r="P3428" s="52">
        <v>2134</v>
      </c>
      <c r="Q3428" s="42">
        <f>OfficeForms.Table[[#This Row],[ INFORMEDEPAGO ]]*0.3</f>
        <v>2135.0189999999998</v>
      </c>
      <c r="R3428" s="12">
        <f t="shared" si="132"/>
        <v>1.0189999999997781</v>
      </c>
      <c r="S3428" s="78">
        <v>46874</v>
      </c>
      <c r="T3428" s="1"/>
      <c r="V3428" s="1"/>
      <c r="X3428" s="101">
        <v>2</v>
      </c>
    </row>
    <row r="3429" spans="1:24" hidden="1">
      <c r="A3429">
        <v>1847</v>
      </c>
      <c r="B3429" s="2">
        <v>46247.748888888898</v>
      </c>
      <c r="C3429" s="2">
        <v>46247.752303240697</v>
      </c>
      <c r="D3429" s="1" t="s">
        <v>24</v>
      </c>
      <c r="E3429" s="1"/>
      <c r="F3429" s="29">
        <v>46247</v>
      </c>
      <c r="G3429" s="29">
        <v>46240</v>
      </c>
      <c r="H3429" s="1" t="s">
        <v>78</v>
      </c>
      <c r="I3429" s="126" t="s">
        <v>7626</v>
      </c>
      <c r="J3429" s="175"/>
      <c r="K3429" s="171" t="s">
        <v>7627</v>
      </c>
      <c r="L3429" s="62">
        <v>23435776</v>
      </c>
      <c r="M3429" s="30">
        <v>5218442586841</v>
      </c>
      <c r="N3429" s="171" t="s">
        <v>32</v>
      </c>
      <c r="O3429" s="52">
        <v>3468.82</v>
      </c>
      <c r="P3429" s="52">
        <v>848</v>
      </c>
      <c r="Q3429" s="42">
        <f>OfficeForms.Table[[#This Row],[ INFORMEDEPAGO ]]*0.3</f>
        <v>1040.646</v>
      </c>
      <c r="R3429" s="12">
        <f t="shared" ref="R3429" si="133">(IF(O3429&lt;4172.98,0,MIN(O3429*0.3,O3429-4172.98)))-P3429</f>
        <v>-848</v>
      </c>
      <c r="S3429" s="78"/>
      <c r="T3429" s="1"/>
      <c r="V3429" s="1"/>
      <c r="X3429" s="101">
        <v>1</v>
      </c>
    </row>
    <row r="3430" spans="1:24" hidden="1">
      <c r="A3430">
        <v>1848</v>
      </c>
      <c r="B3430" s="2">
        <v>46247.767881944397</v>
      </c>
      <c r="C3430" s="2">
        <v>46247.769027777802</v>
      </c>
      <c r="D3430" s="1" t="s">
        <v>24</v>
      </c>
      <c r="E3430" s="1"/>
      <c r="F3430" s="29">
        <v>46247</v>
      </c>
      <c r="G3430" s="29">
        <v>46246</v>
      </c>
      <c r="H3430" s="1" t="s">
        <v>26</v>
      </c>
      <c r="I3430" s="126" t="s">
        <v>7628</v>
      </c>
      <c r="J3430" s="175"/>
      <c r="K3430" s="171" t="s">
        <v>7629</v>
      </c>
      <c r="L3430" s="62">
        <v>23581964</v>
      </c>
      <c r="M3430" s="30">
        <v>5212221363320</v>
      </c>
      <c r="N3430" s="171" t="s">
        <v>32</v>
      </c>
      <c r="O3430" s="50">
        <v>3961.31</v>
      </c>
      <c r="P3430" s="97"/>
      <c r="Q3430" s="42">
        <f>OfficeForms.Table[[#This Row],[ INFORMEDEPAGO ]]*0.3</f>
        <v>1188.393</v>
      </c>
      <c r="R3430" s="12">
        <f t="shared" ref="R3430" si="134">(IF(O3430&lt;4172.98,0,MIN(O3430*0.3,O3430-4172.98)))-P3430</f>
        <v>0</v>
      </c>
      <c r="S3430" s="78"/>
      <c r="T3430" s="1"/>
      <c r="V3430" s="1"/>
      <c r="X3430" s="101">
        <v>1</v>
      </c>
    </row>
    <row r="3431" spans="1:24" hidden="1">
      <c r="A3431">
        <v>1849</v>
      </c>
      <c r="B3431" s="2">
        <v>46247.779282407399</v>
      </c>
      <c r="C3431" s="2">
        <v>46247.7804398148</v>
      </c>
      <c r="D3431" s="1" t="s">
        <v>24</v>
      </c>
      <c r="E3431" s="1"/>
      <c r="F3431" s="29">
        <v>46247</v>
      </c>
      <c r="G3431" s="29">
        <v>46247</v>
      </c>
      <c r="H3431" s="1" t="s">
        <v>26</v>
      </c>
      <c r="I3431" s="126" t="s">
        <v>7630</v>
      </c>
      <c r="J3431" s="175"/>
      <c r="K3431" s="171" t="s">
        <v>7631</v>
      </c>
      <c r="L3431" s="62">
        <v>23614016</v>
      </c>
      <c r="M3431" s="30">
        <v>5213351211784</v>
      </c>
      <c r="N3431" s="171" t="s">
        <v>37</v>
      </c>
      <c r="O3431" s="52">
        <v>9081.52</v>
      </c>
      <c r="P3431" s="52">
        <v>2521.35</v>
      </c>
      <c r="Q3431" s="42">
        <f>OfficeForms.Table[[#This Row],[ INFORMEDEPAGO ]]*0.3</f>
        <v>2724.4560000000001</v>
      </c>
      <c r="R3431" s="12">
        <f t="shared" ref="R3431" si="135">(IF(O3431&lt;4172.98,0,MIN(O3431*0.3,O3431-4172.98)))-P3431</f>
        <v>203.10600000000022</v>
      </c>
      <c r="S3431" s="78">
        <v>46266</v>
      </c>
      <c r="T3431" s="1"/>
      <c r="V3431" s="1"/>
      <c r="X3431" s="101">
        <v>2</v>
      </c>
    </row>
    <row r="3432" spans="1:24" hidden="1">
      <c r="A3432">
        <v>1850</v>
      </c>
      <c r="B3432" s="2">
        <v>46248.323194444398</v>
      </c>
      <c r="C3432" s="2">
        <v>46248.324236111097</v>
      </c>
      <c r="D3432" s="1" t="s">
        <v>24</v>
      </c>
      <c r="E3432" s="1"/>
      <c r="F3432" s="29">
        <v>46248</v>
      </c>
      <c r="G3432" s="29">
        <v>46248</v>
      </c>
      <c r="H3432" s="1" t="s">
        <v>103</v>
      </c>
      <c r="I3432" s="126"/>
      <c r="J3432" s="209" t="s">
        <v>7632</v>
      </c>
      <c r="K3432" s="171"/>
      <c r="L3432" s="62">
        <v>1</v>
      </c>
      <c r="M3432" s="30">
        <v>8941361230</v>
      </c>
      <c r="N3432" s="171" t="s">
        <v>74</v>
      </c>
      <c r="O3432" s="67"/>
      <c r="P3432" s="99"/>
      <c r="Q3432" s="42">
        <f>OfficeForms.Table[[#This Row],[ INFORMEDEPAGO ]]*0.3</f>
        <v>0</v>
      </c>
      <c r="R3432" s="12">
        <f t="shared" ref="R3432" si="136">(IF(O3432&lt;4172.98,0,MIN(O3432*0.3,O3432-4172.98)))-P3432</f>
        <v>0</v>
      </c>
      <c r="S3432" s="78"/>
      <c r="T3432" s="1"/>
      <c r="V3432" s="1"/>
      <c r="X3432" s="101">
        <v>1</v>
      </c>
    </row>
    <row r="3433" spans="1:24" hidden="1">
      <c r="A3433">
        <v>1851</v>
      </c>
      <c r="B3433" s="2">
        <v>46248.367812500001</v>
      </c>
      <c r="C3433" s="2">
        <v>46248.368935185201</v>
      </c>
      <c r="D3433" s="1" t="s">
        <v>24</v>
      </c>
      <c r="E3433" s="1"/>
      <c r="F3433" s="29">
        <v>46248</v>
      </c>
      <c r="G3433" s="29">
        <v>46248</v>
      </c>
      <c r="H3433" s="1" t="s">
        <v>1629</v>
      </c>
      <c r="I3433" s="126" t="s">
        <v>7633</v>
      </c>
      <c r="J3433" s="175" t="s">
        <v>4811</v>
      </c>
      <c r="K3433" s="171" t="s">
        <v>4812</v>
      </c>
      <c r="L3433" s="62">
        <v>2</v>
      </c>
      <c r="M3433" s="30" t="s">
        <v>7634</v>
      </c>
      <c r="N3433" s="171" t="s">
        <v>37</v>
      </c>
      <c r="O3433" s="67">
        <v>9760.32</v>
      </c>
      <c r="P3433" s="99">
        <v>2813.71</v>
      </c>
      <c r="Q3433" s="42">
        <f>OfficeForms.Table[[#This Row],[ INFORMEDEPAGO ]]*0.3</f>
        <v>2928.096</v>
      </c>
      <c r="R3433" s="12">
        <f t="shared" ref="R3433" si="137">(IF(O3433&lt;4172.98,0,MIN(O3433*0.3,O3433-4172.98)))-P3433</f>
        <v>114.38599999999997</v>
      </c>
      <c r="S3433" s="78">
        <v>46722</v>
      </c>
      <c r="T3433" s="1"/>
      <c r="V3433" s="1"/>
      <c r="X3433" s="101">
        <v>2</v>
      </c>
    </row>
    <row r="3434" spans="1:24" hidden="1">
      <c r="A3434">
        <v>1852</v>
      </c>
      <c r="B3434" s="2">
        <v>46248.322939814803</v>
      </c>
      <c r="C3434" s="2">
        <v>46248.380462963003</v>
      </c>
      <c r="D3434" s="1" t="s">
        <v>24</v>
      </c>
      <c r="E3434" s="1"/>
      <c r="F3434" s="29">
        <v>46248</v>
      </c>
      <c r="G3434" s="29">
        <v>46248</v>
      </c>
      <c r="H3434" s="1" t="s">
        <v>1625</v>
      </c>
      <c r="I3434" s="126" t="s">
        <v>7635</v>
      </c>
      <c r="J3434" s="175">
        <v>54796711735</v>
      </c>
      <c r="K3434" s="171" t="s">
        <v>7636</v>
      </c>
      <c r="L3434" s="62">
        <v>2</v>
      </c>
      <c r="M3434" s="30">
        <v>3326553290</v>
      </c>
      <c r="N3434" s="171" t="s">
        <v>37</v>
      </c>
      <c r="O3434" s="67">
        <v>12881.6</v>
      </c>
      <c r="P3434" s="99">
        <v>3864</v>
      </c>
      <c r="Q3434" s="42">
        <f>OfficeForms.Table[[#This Row],[ INFORMEDEPAGO ]]*0.3</f>
        <v>3864.48</v>
      </c>
      <c r="R3434" s="12">
        <f t="shared" ref="R3434" si="138">(IF(O3434&lt;4172.98,0,MIN(O3434*0.3,O3434-4172.98)))-P3434</f>
        <v>0.48000000000001819</v>
      </c>
      <c r="S3434" s="78">
        <v>46844</v>
      </c>
      <c r="T3434" s="1"/>
      <c r="V3434" s="1"/>
      <c r="X3434" s="101">
        <v>2</v>
      </c>
    </row>
    <row r="3435" spans="1:24" hidden="1">
      <c r="A3435">
        <v>1853</v>
      </c>
      <c r="B3435" s="2">
        <v>46248.342118055603</v>
      </c>
      <c r="C3435" s="2">
        <v>46248.389756944402</v>
      </c>
      <c r="D3435" s="1" t="s">
        <v>24</v>
      </c>
      <c r="E3435" s="1"/>
      <c r="F3435" s="29">
        <v>46248</v>
      </c>
      <c r="G3435" s="29">
        <v>46247</v>
      </c>
      <c r="H3435" s="1" t="s">
        <v>3572</v>
      </c>
      <c r="I3435" s="126" t="s">
        <v>7637</v>
      </c>
      <c r="J3435" s="175">
        <v>32835308472</v>
      </c>
      <c r="K3435" s="171"/>
      <c r="L3435" s="62">
        <v>23609982</v>
      </c>
      <c r="M3435" s="30">
        <v>8781087320</v>
      </c>
      <c r="N3435" s="171" t="s">
        <v>28</v>
      </c>
      <c r="O3435" s="67">
        <v>10636.54</v>
      </c>
      <c r="P3435" s="99">
        <v>1787.06</v>
      </c>
      <c r="Q3435" s="42">
        <f>OfficeForms.Table[[#This Row],[ INFORMEDEPAGO ]]*0.3</f>
        <v>3190.962</v>
      </c>
      <c r="R3435" s="12">
        <f t="shared" ref="R3435:R3436" si="139">(IF(O3435&lt;4172.98,0,MIN(O3435*0.3,O3435-4172.98)))-P3435</f>
        <v>1403.902</v>
      </c>
      <c r="S3435" s="78">
        <v>46935</v>
      </c>
      <c r="T3435" s="1"/>
      <c r="V3435" s="1"/>
      <c r="X3435" s="101">
        <v>2</v>
      </c>
    </row>
    <row r="3436" spans="1:24" hidden="1">
      <c r="A3436">
        <v>1854</v>
      </c>
      <c r="B3436" s="2">
        <v>46248.389791666697</v>
      </c>
      <c r="C3436" s="2">
        <v>46248.391944444404</v>
      </c>
      <c r="D3436" s="1" t="s">
        <v>24</v>
      </c>
      <c r="E3436" s="1"/>
      <c r="F3436" s="29">
        <v>46248</v>
      </c>
      <c r="G3436" s="29">
        <v>46247</v>
      </c>
      <c r="H3436" s="1" t="s">
        <v>3572</v>
      </c>
      <c r="I3436" s="126" t="s">
        <v>7638</v>
      </c>
      <c r="J3436" s="175">
        <v>41825608333</v>
      </c>
      <c r="K3436" s="191" t="s">
        <v>7639</v>
      </c>
      <c r="L3436" s="62">
        <v>23612184</v>
      </c>
      <c r="M3436" s="30">
        <v>4448606230</v>
      </c>
      <c r="N3436" s="171" t="s">
        <v>32</v>
      </c>
      <c r="O3436" s="67">
        <v>3866.25</v>
      </c>
      <c r="P3436" s="99"/>
      <c r="Q3436" s="42">
        <f>OfficeForms.Table[[#This Row],[ INFORMEDEPAGO ]]*0.3</f>
        <v>1159.875</v>
      </c>
      <c r="R3436" s="12">
        <f t="shared" si="139"/>
        <v>0</v>
      </c>
      <c r="S3436" s="78"/>
      <c r="T3436" s="1"/>
      <c r="V3436" s="1"/>
      <c r="X3436" s="101">
        <v>1</v>
      </c>
    </row>
    <row r="3437" spans="1:24" hidden="1">
      <c r="A3437">
        <v>1855</v>
      </c>
      <c r="B3437" s="2">
        <v>46248.426967592597</v>
      </c>
      <c r="C3437" s="2">
        <v>46248.430613425902</v>
      </c>
      <c r="D3437" s="1" t="s">
        <v>24</v>
      </c>
      <c r="E3437" s="1"/>
      <c r="F3437" s="29">
        <v>46248</v>
      </c>
      <c r="G3437" s="29">
        <v>46247</v>
      </c>
      <c r="H3437" s="1" t="s">
        <v>26</v>
      </c>
      <c r="I3437" s="126" t="s">
        <v>7640</v>
      </c>
      <c r="J3437" s="175"/>
      <c r="K3437" s="171" t="s">
        <v>7641</v>
      </c>
      <c r="L3437" s="62">
        <v>23614036</v>
      </c>
      <c r="M3437" s="30">
        <v>4773930492</v>
      </c>
      <c r="N3437" s="171" t="s">
        <v>32</v>
      </c>
      <c r="O3437" s="67">
        <v>3855.42</v>
      </c>
      <c r="P3437" s="99"/>
      <c r="Q3437" s="42">
        <f>OfficeForms.Table[[#This Row],[ INFORMEDEPAGO ]]*0.3</f>
        <v>1156.626</v>
      </c>
      <c r="R3437" s="12">
        <f t="shared" ref="R3437:R3438" si="140">(IF(O3437&lt;4172.98,0,MIN(O3437*0.3,O3437-4172.98)))-P3437</f>
        <v>0</v>
      </c>
      <c r="S3437" s="78"/>
      <c r="T3437" s="1"/>
      <c r="V3437" s="1"/>
      <c r="X3437" s="101">
        <v>1</v>
      </c>
    </row>
    <row r="3438" spans="1:24" hidden="1">
      <c r="A3438">
        <v>1856</v>
      </c>
      <c r="B3438" s="2">
        <v>46248.4312152778</v>
      </c>
      <c r="C3438" s="2">
        <v>46248.4319791667</v>
      </c>
      <c r="D3438" s="1" t="s">
        <v>24</v>
      </c>
      <c r="E3438" s="1"/>
      <c r="F3438" s="29">
        <v>46248</v>
      </c>
      <c r="G3438" s="29">
        <v>46248</v>
      </c>
      <c r="H3438" s="1" t="s">
        <v>269</v>
      </c>
      <c r="I3438" s="126" t="s">
        <v>7642</v>
      </c>
      <c r="J3438" s="207" t="s">
        <v>7643</v>
      </c>
      <c r="K3438" s="171" t="s">
        <v>7644</v>
      </c>
      <c r="L3438" s="62">
        <v>23625290</v>
      </c>
      <c r="M3438" s="30">
        <v>5216221386953</v>
      </c>
      <c r="N3438" s="171" t="s">
        <v>37</v>
      </c>
      <c r="O3438" s="67">
        <v>7116.73</v>
      </c>
      <c r="P3438" s="99">
        <v>2051.1799999999998</v>
      </c>
      <c r="Q3438" s="42">
        <f>OfficeForms.Table[[#This Row],[ INFORMEDEPAGO ]]*0.3</f>
        <v>2135.0189999999998</v>
      </c>
      <c r="R3438" s="12">
        <f t="shared" si="140"/>
        <v>83.838999999999942</v>
      </c>
      <c r="S3438" s="78">
        <v>46600</v>
      </c>
      <c r="T3438" s="1"/>
      <c r="V3438" s="1"/>
      <c r="X3438" s="101">
        <v>2</v>
      </c>
    </row>
    <row r="3439" spans="1:24" hidden="1">
      <c r="A3439">
        <v>1857</v>
      </c>
      <c r="B3439" s="2">
        <v>46248.4386689815</v>
      </c>
      <c r="C3439" s="2">
        <v>46248.462835648097</v>
      </c>
      <c r="D3439" s="1" t="s">
        <v>24</v>
      </c>
      <c r="E3439" s="1"/>
      <c r="F3439" s="29">
        <v>46248</v>
      </c>
      <c r="G3439" s="29">
        <v>46247</v>
      </c>
      <c r="H3439" s="1" t="s">
        <v>51</v>
      </c>
      <c r="I3439" s="126" t="s">
        <v>7645</v>
      </c>
      <c r="J3439" s="207">
        <v>62816345417</v>
      </c>
      <c r="K3439" s="171" t="s">
        <v>7646</v>
      </c>
      <c r="L3439" s="62">
        <v>23617082</v>
      </c>
      <c r="M3439" s="30">
        <v>5217472093235</v>
      </c>
      <c r="N3439" s="171" t="s">
        <v>32</v>
      </c>
      <c r="O3439" s="67">
        <f>3187.69+848</f>
        <v>4035.69</v>
      </c>
      <c r="P3439" s="99">
        <v>848</v>
      </c>
      <c r="Q3439" s="42">
        <f>OfficeForms.Table[[#This Row],[ INFORMEDEPAGO ]]*0.3</f>
        <v>1210.7069999999999</v>
      </c>
      <c r="R3439" s="12">
        <f t="shared" ref="R3439:R3440" si="141">(IF(O3439&lt;4172.98,0,MIN(O3439*0.3,O3439-4172.98)))-P3439</f>
        <v>-848</v>
      </c>
      <c r="S3439" s="78"/>
      <c r="T3439" s="1"/>
      <c r="V3439" s="1"/>
      <c r="X3439" s="101">
        <v>1</v>
      </c>
    </row>
    <row r="3440" spans="1:24" hidden="1">
      <c r="A3440">
        <v>1858</v>
      </c>
      <c r="B3440" s="2">
        <v>46248.459351851903</v>
      </c>
      <c r="C3440" s="2">
        <v>46248.462881944397</v>
      </c>
      <c r="D3440" s="1" t="s">
        <v>24</v>
      </c>
      <c r="E3440" s="1"/>
      <c r="F3440" s="29">
        <v>46248</v>
      </c>
      <c r="G3440" s="29">
        <v>46247</v>
      </c>
      <c r="H3440" s="1" t="s">
        <v>51</v>
      </c>
      <c r="I3440" s="126" t="s">
        <v>7647</v>
      </c>
      <c r="J3440" s="207"/>
      <c r="K3440" s="171" t="s">
        <v>7648</v>
      </c>
      <c r="L3440" s="62">
        <v>23606704</v>
      </c>
      <c r="M3440" s="30">
        <v>5215630957888</v>
      </c>
      <c r="N3440" s="171" t="s">
        <v>28</v>
      </c>
      <c r="O3440" s="67">
        <v>7920.51</v>
      </c>
      <c r="P3440" s="99"/>
      <c r="Q3440" s="42">
        <f>OfficeForms.Table[[#This Row],[ INFORMEDEPAGO ]]*0.3</f>
        <v>2376.1529999999998</v>
      </c>
      <c r="R3440" s="12">
        <f t="shared" si="141"/>
        <v>2376.1529999999998</v>
      </c>
      <c r="S3440" s="78"/>
      <c r="T3440" s="1"/>
      <c r="V3440" s="1"/>
      <c r="X3440" s="101">
        <v>1</v>
      </c>
    </row>
    <row r="3441" spans="1:24" hidden="1">
      <c r="A3441">
        <v>1859</v>
      </c>
      <c r="B3441" s="2">
        <v>46248.382557870398</v>
      </c>
      <c r="C3441" s="2">
        <v>46248.467951388899</v>
      </c>
      <c r="D3441" s="1" t="s">
        <v>24</v>
      </c>
      <c r="E3441" s="1"/>
      <c r="F3441" s="29">
        <v>46248</v>
      </c>
      <c r="G3441" s="29">
        <v>46248</v>
      </c>
      <c r="H3441" s="1" t="s">
        <v>1625</v>
      </c>
      <c r="I3441" s="126" t="s">
        <v>7649</v>
      </c>
      <c r="J3441" s="207">
        <v>72786009315</v>
      </c>
      <c r="K3441" s="171" t="s">
        <v>7650</v>
      </c>
      <c r="L3441" s="62">
        <v>2</v>
      </c>
      <c r="M3441" s="30">
        <v>8671619075</v>
      </c>
      <c r="N3441" s="171" t="s">
        <v>37</v>
      </c>
      <c r="O3441" s="67">
        <v>5617.63</v>
      </c>
      <c r="P3441" s="99">
        <v>1444.64</v>
      </c>
      <c r="Q3441" s="42">
        <f>OfficeForms.Table[[#This Row],[ INFORMEDEPAGO ]]*0.3</f>
        <v>1685.289</v>
      </c>
      <c r="R3441" s="12">
        <f t="shared" ref="R3441:R3442" si="142">(IF(O3441&lt;4172.98,0,MIN(O3441*0.3,O3441-4172.98)))-P3441</f>
        <v>1.0000000000445652E-2</v>
      </c>
      <c r="S3441" s="78">
        <v>46419</v>
      </c>
      <c r="T3441" s="1"/>
      <c r="V3441" s="1"/>
      <c r="X3441" s="101">
        <v>2</v>
      </c>
    </row>
    <row r="3442" spans="1:24" hidden="1">
      <c r="A3442">
        <v>1860</v>
      </c>
      <c r="B3442" s="2">
        <v>46248.4531712963</v>
      </c>
      <c r="C3442" s="2">
        <v>46248.468009259297</v>
      </c>
      <c r="D3442" s="1" t="s">
        <v>24</v>
      </c>
      <c r="E3442" s="1"/>
      <c r="F3442" s="29">
        <v>46248</v>
      </c>
      <c r="G3442" s="29">
        <v>46248</v>
      </c>
      <c r="H3442" s="1" t="s">
        <v>78</v>
      </c>
      <c r="I3442" s="126" t="s">
        <v>7651</v>
      </c>
      <c r="J3442" s="207">
        <v>96907233041</v>
      </c>
      <c r="K3442" s="171" t="s">
        <v>7652</v>
      </c>
      <c r="L3442" s="62">
        <v>23615990</v>
      </c>
      <c r="M3442" s="30">
        <v>5217751831462</v>
      </c>
      <c r="N3442" s="171" t="s">
        <v>32</v>
      </c>
      <c r="O3442" s="67">
        <v>3632.16</v>
      </c>
      <c r="P3442" s="99">
        <v>879</v>
      </c>
      <c r="Q3442" s="42">
        <f>OfficeForms.Table[[#This Row],[ INFORMEDEPAGO ]]*0.3</f>
        <v>1089.6479999999999</v>
      </c>
      <c r="R3442" s="12">
        <f t="shared" si="142"/>
        <v>-879</v>
      </c>
      <c r="S3442" s="78"/>
      <c r="T3442" s="1"/>
      <c r="V3442" s="1"/>
      <c r="X3442" s="101">
        <v>1</v>
      </c>
    </row>
    <row r="3443" spans="1:24" hidden="1">
      <c r="A3443">
        <v>1861</v>
      </c>
      <c r="B3443" s="2">
        <v>46248.351747685199</v>
      </c>
      <c r="C3443" s="2">
        <v>46248.469699074099</v>
      </c>
      <c r="D3443" s="1" t="s">
        <v>24</v>
      </c>
      <c r="E3443" s="1"/>
      <c r="F3443" s="29">
        <v>46248</v>
      </c>
      <c r="G3443" s="29">
        <v>46248</v>
      </c>
      <c r="H3443" s="1" t="s">
        <v>6605</v>
      </c>
      <c r="I3443" s="126" t="s">
        <v>7653</v>
      </c>
      <c r="J3443" s="207"/>
      <c r="K3443" s="171" t="s">
        <v>7654</v>
      </c>
      <c r="L3443" s="62">
        <v>23634422</v>
      </c>
      <c r="M3443" s="62">
        <v>23634422</v>
      </c>
      <c r="N3443" s="171" t="s">
        <v>32</v>
      </c>
      <c r="O3443" s="67">
        <v>2290.64</v>
      </c>
      <c r="P3443" s="99"/>
      <c r="Q3443" s="42">
        <f>OfficeForms.Table[[#This Row],[ INFORMEDEPAGO ]]*0.3</f>
        <v>687.19199999999989</v>
      </c>
      <c r="R3443" s="12">
        <f t="shared" ref="R3443:R3446" si="143">(IF(O3443&lt;4172.98,0,MIN(O3443*0.3,O3443-4172.98)))-P3443</f>
        <v>0</v>
      </c>
      <c r="S3443" s="78"/>
      <c r="T3443" s="1"/>
      <c r="V3443" s="1"/>
      <c r="X3443" s="101">
        <v>1</v>
      </c>
    </row>
    <row r="3444" spans="1:24" hidden="1">
      <c r="A3444">
        <v>1862</v>
      </c>
      <c r="B3444" s="2">
        <v>46248.462893518503</v>
      </c>
      <c r="C3444" s="2">
        <v>46248.470092592601</v>
      </c>
      <c r="D3444" s="1" t="s">
        <v>24</v>
      </c>
      <c r="E3444" s="1"/>
      <c r="F3444" s="29">
        <v>46248</v>
      </c>
      <c r="G3444" s="29">
        <v>46247</v>
      </c>
      <c r="H3444" s="1" t="s">
        <v>51</v>
      </c>
      <c r="I3444" s="126" t="s">
        <v>7655</v>
      </c>
      <c r="J3444" s="207"/>
      <c r="K3444" s="171" t="s">
        <v>7656</v>
      </c>
      <c r="L3444" s="62">
        <v>23617218</v>
      </c>
      <c r="M3444" s="30">
        <v>5212216522058</v>
      </c>
      <c r="N3444" s="171" t="s">
        <v>47</v>
      </c>
      <c r="O3444" s="52">
        <v>43265.1</v>
      </c>
      <c r="P3444" s="52">
        <v>12512.09</v>
      </c>
      <c r="Q3444" s="42">
        <f>OfficeForms.Table[[#This Row],[ INFORMEDEPAGO ]]*0.3</f>
        <v>12979.529999999999</v>
      </c>
      <c r="R3444" s="12">
        <f t="shared" si="143"/>
        <v>467.43999999999869</v>
      </c>
      <c r="S3444" s="78">
        <v>46478</v>
      </c>
      <c r="T3444" s="1" t="s">
        <v>362</v>
      </c>
      <c r="V3444" s="1"/>
      <c r="X3444" s="101">
        <v>2</v>
      </c>
    </row>
    <row r="3445" spans="1:24" hidden="1">
      <c r="A3445">
        <v>1863</v>
      </c>
      <c r="B3445" s="2">
        <v>46248.476956018501</v>
      </c>
      <c r="C3445" s="2">
        <v>46248.478240740696</v>
      </c>
      <c r="D3445" s="1" t="s">
        <v>24</v>
      </c>
      <c r="E3445" s="1"/>
      <c r="F3445" s="29">
        <v>46248</v>
      </c>
      <c r="G3445" s="29">
        <v>46247</v>
      </c>
      <c r="H3445" s="1" t="s">
        <v>110</v>
      </c>
      <c r="I3445" s="126" t="s">
        <v>7657</v>
      </c>
      <c r="J3445" s="207">
        <v>65927159478</v>
      </c>
      <c r="K3445" s="171"/>
      <c r="L3445" s="62">
        <v>23607774</v>
      </c>
      <c r="M3445" s="30">
        <v>5217821122540</v>
      </c>
      <c r="N3445" s="171" t="s">
        <v>37</v>
      </c>
      <c r="O3445" s="52">
        <v>7920.51</v>
      </c>
      <c r="P3445" s="52">
        <v>2077.7399999999998</v>
      </c>
      <c r="Q3445" s="42">
        <f>OfficeForms.Table[[#This Row],[ INFORMEDEPAGO ]]*0.3</f>
        <v>2376.1529999999998</v>
      </c>
      <c r="R3445" s="12">
        <f t="shared" si="143"/>
        <v>298.41300000000001</v>
      </c>
      <c r="S3445" s="78">
        <v>46327</v>
      </c>
      <c r="T3445" s="1"/>
      <c r="V3445" s="1"/>
      <c r="X3445" s="101">
        <v>2</v>
      </c>
    </row>
    <row r="3446" spans="1:24" hidden="1">
      <c r="A3446">
        <v>1864</v>
      </c>
      <c r="B3446" s="2">
        <v>46248.477581018502</v>
      </c>
      <c r="C3446" s="2">
        <v>46248.478333333303</v>
      </c>
      <c r="D3446" s="1" t="s">
        <v>24</v>
      </c>
      <c r="E3446" s="1"/>
      <c r="F3446" s="29">
        <v>46248</v>
      </c>
      <c r="G3446" s="29">
        <v>46247</v>
      </c>
      <c r="H3446" s="1" t="s">
        <v>107</v>
      </c>
      <c r="I3446" s="126" t="s">
        <v>7658</v>
      </c>
      <c r="J3446" s="207">
        <v>67856725519</v>
      </c>
      <c r="K3446" s="171" t="s">
        <v>7659</v>
      </c>
      <c r="L3446" s="62">
        <v>23610174</v>
      </c>
      <c r="M3446" s="30">
        <v>5212741113843</v>
      </c>
      <c r="N3446" s="171" t="s">
        <v>32</v>
      </c>
      <c r="O3446" s="67">
        <f>2672.62+879</f>
        <v>3551.62</v>
      </c>
      <c r="P3446" s="99">
        <v>879</v>
      </c>
      <c r="Q3446" s="42">
        <f>OfficeForms.Table[[#This Row],[ INFORMEDEPAGO ]]*0.3</f>
        <v>1065.4859999999999</v>
      </c>
      <c r="R3446" s="12">
        <f t="shared" si="143"/>
        <v>-879</v>
      </c>
      <c r="S3446" s="78"/>
      <c r="T3446" s="1"/>
      <c r="V3446" s="1"/>
      <c r="X3446" s="101">
        <v>1</v>
      </c>
    </row>
    <row r="3447" spans="1:24" hidden="1">
      <c r="A3447">
        <v>1865</v>
      </c>
      <c r="B3447" s="2">
        <v>46247.457245370402</v>
      </c>
      <c r="C3447" s="2">
        <v>46248.492476851898</v>
      </c>
      <c r="D3447" s="1" t="s">
        <v>24</v>
      </c>
      <c r="E3447" s="1"/>
      <c r="F3447" s="29">
        <v>46248</v>
      </c>
      <c r="G3447" s="29">
        <v>46246</v>
      </c>
      <c r="H3447" s="1" t="s">
        <v>476</v>
      </c>
      <c r="I3447" s="126" t="s">
        <v>7660</v>
      </c>
      <c r="J3447" s="207"/>
      <c r="K3447" s="171" t="s">
        <v>7661</v>
      </c>
      <c r="L3447" s="62">
        <v>23581466</v>
      </c>
      <c r="M3447" s="30">
        <v>5213121700271</v>
      </c>
      <c r="N3447" s="171" t="s">
        <v>28</v>
      </c>
      <c r="O3447" s="50">
        <v>7116.73</v>
      </c>
      <c r="P3447" s="97"/>
      <c r="Q3447" s="42">
        <f>OfficeForms.Table[[#This Row],[ INFORMEDEPAGO ]]*0.3</f>
        <v>2135.0189999999998</v>
      </c>
      <c r="R3447" s="12">
        <f t="shared" ref="R3447:R3448" si="144">(IF(O3447&lt;4172.98,0,MIN(O3447*0.3,O3447-4172.98)))-P3447</f>
        <v>2135.0189999999998</v>
      </c>
      <c r="S3447" s="78"/>
      <c r="T3447" s="1"/>
      <c r="V3447" s="1"/>
      <c r="X3447" s="101">
        <v>1</v>
      </c>
    </row>
    <row r="3448" spans="1:24" hidden="1">
      <c r="A3448">
        <v>1866</v>
      </c>
      <c r="B3448" s="2">
        <v>46248.4898958333</v>
      </c>
      <c r="C3448" s="2">
        <v>46248.493229166699</v>
      </c>
      <c r="D3448" s="1" t="s">
        <v>24</v>
      </c>
      <c r="E3448" s="1"/>
      <c r="F3448" s="29">
        <v>46248</v>
      </c>
      <c r="G3448" s="29">
        <v>46247</v>
      </c>
      <c r="H3448" s="1" t="s">
        <v>78</v>
      </c>
      <c r="I3448" s="126" t="s">
        <v>7662</v>
      </c>
      <c r="J3448" s="207" t="s">
        <v>7663</v>
      </c>
      <c r="K3448" s="171" t="s">
        <v>7664</v>
      </c>
      <c r="L3448" s="62">
        <v>23615574</v>
      </c>
      <c r="M3448" s="30">
        <v>5214432248200</v>
      </c>
      <c r="N3448" s="171" t="s">
        <v>235</v>
      </c>
      <c r="O3448" s="50"/>
      <c r="P3448" s="97"/>
      <c r="Q3448" s="42">
        <f>OfficeForms.Table[[#This Row],[ INFORMEDEPAGO ]]*0.3</f>
        <v>0</v>
      </c>
      <c r="R3448" s="12">
        <f t="shared" si="144"/>
        <v>0</v>
      </c>
      <c r="S3448" s="78"/>
      <c r="T3448" s="1"/>
      <c r="V3448" s="1"/>
      <c r="X3448" s="101">
        <v>1</v>
      </c>
    </row>
    <row r="3449" spans="1:24" hidden="1">
      <c r="A3449">
        <v>1867</v>
      </c>
      <c r="B3449" s="2">
        <v>46248.493946759299</v>
      </c>
      <c r="C3449" s="2">
        <v>46248.500775462999</v>
      </c>
      <c r="D3449" s="1" t="s">
        <v>24</v>
      </c>
      <c r="E3449" s="1"/>
      <c r="F3449" s="29">
        <v>46248</v>
      </c>
      <c r="G3449" s="29">
        <v>46248</v>
      </c>
      <c r="H3449" s="1" t="s">
        <v>78</v>
      </c>
      <c r="I3449" s="126" t="s">
        <v>7665</v>
      </c>
      <c r="J3449" s="207">
        <v>23755626613</v>
      </c>
      <c r="K3449" s="171" t="s">
        <v>7666</v>
      </c>
      <c r="L3449" s="62">
        <v>23623720</v>
      </c>
      <c r="M3449" s="30">
        <v>5216738523452</v>
      </c>
      <c r="N3449" s="171" t="s">
        <v>28</v>
      </c>
      <c r="O3449" s="43">
        <v>29149.68</v>
      </c>
      <c r="P3449" s="43">
        <v>1949.39</v>
      </c>
      <c r="Q3449" s="42">
        <f>OfficeForms.Table[[#This Row],[ INFORMEDEPAGO ]]*0.3</f>
        <v>8744.9040000000005</v>
      </c>
      <c r="R3449" s="12">
        <f>(IF(O3449&lt;4172.98,0,MIN(O3449*0.3,O3449-4172.98)))-P3449</f>
        <v>6795.5140000000001</v>
      </c>
      <c r="S3449" s="78">
        <v>45992</v>
      </c>
      <c r="T3449" s="1"/>
      <c r="V3449" s="1"/>
      <c r="X3449" s="101">
        <v>2</v>
      </c>
    </row>
    <row r="3450" spans="1:24" hidden="1">
      <c r="A3450">
        <v>1868</v>
      </c>
      <c r="B3450" s="2">
        <v>46248.500219907401</v>
      </c>
      <c r="C3450" s="2">
        <v>46248.505046296297</v>
      </c>
      <c r="D3450" s="1" t="s">
        <v>24</v>
      </c>
      <c r="E3450" s="1"/>
      <c r="F3450" s="29">
        <v>46248</v>
      </c>
      <c r="G3450" s="29">
        <v>46248</v>
      </c>
      <c r="H3450" s="1" t="s">
        <v>78</v>
      </c>
      <c r="I3450" s="126" t="s">
        <v>7667</v>
      </c>
      <c r="J3450" s="207">
        <v>54785201937</v>
      </c>
      <c r="K3450" s="171" t="s">
        <v>7668</v>
      </c>
      <c r="L3450" s="62">
        <v>23630674</v>
      </c>
      <c r="M3450" s="30">
        <v>5213331901256</v>
      </c>
      <c r="N3450" s="171" t="s">
        <v>28</v>
      </c>
      <c r="O3450" s="50">
        <v>43659.64</v>
      </c>
      <c r="P3450" s="97"/>
      <c r="Q3450" s="42">
        <f>OfficeForms.Table[[#This Row],[ INFORMEDEPAGO ]]*0.3</f>
        <v>13097.892</v>
      </c>
      <c r="R3450" s="12">
        <f>(IF(O3450&lt;4172.98,0,MIN(O3450*0.3,O3450-4172.98)))-P3450</f>
        <v>13097.892</v>
      </c>
      <c r="S3450" s="78"/>
      <c r="T3450" s="1"/>
      <c r="V3450" s="1"/>
      <c r="X3450" s="101">
        <v>1</v>
      </c>
    </row>
    <row r="3451" spans="1:24" hidden="1">
      <c r="A3451">
        <v>1869</v>
      </c>
      <c r="B3451" s="2">
        <v>46248.408761574101</v>
      </c>
      <c r="C3451" s="2">
        <v>46248.522708333301</v>
      </c>
      <c r="D3451" s="1" t="s">
        <v>24</v>
      </c>
      <c r="E3451" s="1"/>
      <c r="F3451" s="29">
        <v>46248</v>
      </c>
      <c r="G3451" s="29">
        <v>46248</v>
      </c>
      <c r="H3451" s="1" t="s">
        <v>1625</v>
      </c>
      <c r="I3451" s="126" t="s">
        <v>7669</v>
      </c>
      <c r="J3451" s="207" t="s">
        <v>7670</v>
      </c>
      <c r="K3451" s="171" t="s">
        <v>7671</v>
      </c>
      <c r="L3451" s="62">
        <v>2</v>
      </c>
      <c r="M3451" s="30">
        <v>5518900715</v>
      </c>
      <c r="N3451" s="171" t="s">
        <v>32</v>
      </c>
      <c r="O3451" s="50">
        <f>1672.62+879</f>
        <v>2551.62</v>
      </c>
      <c r="P3451" s="97">
        <v>879</v>
      </c>
      <c r="Q3451" s="42">
        <f>OfficeForms.Table[[#This Row],[ INFORMEDEPAGO ]]*0.3</f>
        <v>765.48599999999999</v>
      </c>
      <c r="R3451" s="12">
        <f t="shared" ref="R3451:R3452" si="145">(IF(O3451&lt;4172.98,0,MIN(O3451*0.3,O3451-4172.98)))-P3451</f>
        <v>-879</v>
      </c>
      <c r="S3451" s="78"/>
      <c r="T3451" s="1"/>
      <c r="V3451" s="1"/>
      <c r="X3451" s="101">
        <v>1</v>
      </c>
    </row>
    <row r="3452" spans="1:24" hidden="1">
      <c r="A3452">
        <v>1870</v>
      </c>
      <c r="B3452" s="2">
        <v>46248.516018518501</v>
      </c>
      <c r="C3452" s="2">
        <v>46248.522800925901</v>
      </c>
      <c r="D3452" s="1" t="s">
        <v>24</v>
      </c>
      <c r="E3452" s="1"/>
      <c r="F3452" s="29">
        <v>46248</v>
      </c>
      <c r="G3452" s="29">
        <v>46248</v>
      </c>
      <c r="H3452" s="1" t="s">
        <v>1629</v>
      </c>
      <c r="I3452" s="126" t="s">
        <v>7672</v>
      </c>
      <c r="J3452" s="207" t="s">
        <v>7673</v>
      </c>
      <c r="K3452" s="171" t="s">
        <v>7674</v>
      </c>
      <c r="L3452" s="62">
        <v>2</v>
      </c>
      <c r="M3452" s="30" t="s">
        <v>7675</v>
      </c>
      <c r="N3452" s="171" t="s">
        <v>37</v>
      </c>
      <c r="O3452" s="52">
        <v>8181.55</v>
      </c>
      <c r="P3452" s="52">
        <v>2367.12</v>
      </c>
      <c r="Q3452" s="42">
        <f>OfficeForms.Table[[#This Row],[ INFORMEDEPAGO ]]*0.3</f>
        <v>2454.4650000000001</v>
      </c>
      <c r="R3452" s="12">
        <f t="shared" si="145"/>
        <v>87.345000000000255</v>
      </c>
      <c r="S3452" s="78">
        <v>46447</v>
      </c>
      <c r="T3452" s="1"/>
      <c r="V3452" s="1"/>
      <c r="X3452" s="101">
        <v>2</v>
      </c>
    </row>
    <row r="3453" spans="1:24" hidden="1">
      <c r="A3453">
        <v>1871</v>
      </c>
      <c r="B3453" s="2">
        <v>46248.4307638889</v>
      </c>
      <c r="C3453" s="2">
        <v>46248.525000000001</v>
      </c>
      <c r="D3453" s="1" t="s">
        <v>24</v>
      </c>
      <c r="E3453" s="1"/>
      <c r="F3453" s="29">
        <v>46248</v>
      </c>
      <c r="G3453" s="29">
        <v>46247</v>
      </c>
      <c r="H3453" s="1" t="s">
        <v>7676</v>
      </c>
      <c r="I3453" s="126" t="s">
        <v>7677</v>
      </c>
      <c r="J3453" s="207"/>
      <c r="K3453" s="171" t="s">
        <v>7678</v>
      </c>
      <c r="L3453" s="62">
        <v>23614174</v>
      </c>
      <c r="M3453" s="30">
        <v>7222309413</v>
      </c>
      <c r="N3453" s="171" t="s">
        <v>37</v>
      </c>
      <c r="O3453" s="52">
        <v>9760.32</v>
      </c>
      <c r="P3453" s="52">
        <v>2819.12</v>
      </c>
      <c r="Q3453" s="42">
        <f>OfficeForms.Table[[#This Row],[ INFORMEDEPAGO ]]*0.3</f>
        <v>2928.096</v>
      </c>
      <c r="R3453" s="12">
        <f t="shared" ref="R3453" si="146">(IF(O3453&lt;4172.98,0,MIN(O3453*0.3,O3453-4172.98)))-P3453</f>
        <v>108.97600000000011</v>
      </c>
      <c r="S3453" s="78">
        <v>46478</v>
      </c>
      <c r="T3453" s="1"/>
      <c r="V3453" s="1"/>
      <c r="X3453" s="101">
        <v>2</v>
      </c>
    </row>
    <row r="3454" spans="1:24" hidden="1">
      <c r="A3454">
        <v>1872</v>
      </c>
      <c r="B3454" s="2">
        <v>46248.470173611102</v>
      </c>
      <c r="C3454" s="2">
        <v>46248.5360069444</v>
      </c>
      <c r="D3454" s="1" t="s">
        <v>24</v>
      </c>
      <c r="E3454" s="1"/>
      <c r="F3454" s="29">
        <v>46248</v>
      </c>
      <c r="G3454" s="29">
        <v>46248</v>
      </c>
      <c r="H3454" s="1" t="s">
        <v>51</v>
      </c>
      <c r="I3454" s="126" t="s">
        <v>7679</v>
      </c>
      <c r="J3454" s="207">
        <v>1278612852</v>
      </c>
      <c r="K3454" s="171" t="s">
        <v>7680</v>
      </c>
      <c r="L3454" s="62">
        <v>23635512</v>
      </c>
      <c r="M3454" s="30">
        <v>4774040710</v>
      </c>
      <c r="N3454" s="171" t="s">
        <v>37</v>
      </c>
      <c r="O3454" s="43">
        <v>7640.52</v>
      </c>
      <c r="P3454" s="43">
        <v>2291.5</v>
      </c>
      <c r="Q3454" s="42">
        <f>OfficeForms.Table[[#This Row],[ INFORMEDEPAGO ]]*0.3</f>
        <v>2292.1559999999999</v>
      </c>
      <c r="R3454" s="12">
        <f>(IF(O3454&lt;4172.98,0,MIN(O3454*0.3,O3454-4172.98)))-P3454</f>
        <v>0.65599999999994907</v>
      </c>
      <c r="S3454" s="78">
        <v>46569</v>
      </c>
      <c r="T3454" s="1"/>
      <c r="V3454" s="1"/>
      <c r="X3454" s="101">
        <v>2</v>
      </c>
    </row>
    <row r="3455" spans="1:24" hidden="1">
      <c r="A3455">
        <v>1873</v>
      </c>
      <c r="B3455" s="2">
        <v>46248.5375810185</v>
      </c>
      <c r="C3455" s="2">
        <v>46248.538333333301</v>
      </c>
      <c r="D3455" s="1" t="s">
        <v>24</v>
      </c>
      <c r="E3455" s="1"/>
      <c r="F3455" s="29">
        <v>46248</v>
      </c>
      <c r="G3455" s="29">
        <v>46248</v>
      </c>
      <c r="H3455" s="1" t="s">
        <v>110</v>
      </c>
      <c r="I3455" s="126" t="s">
        <v>7681</v>
      </c>
      <c r="J3455" s="207"/>
      <c r="K3455" s="171" t="s">
        <v>7682</v>
      </c>
      <c r="L3455" s="62">
        <v>23606270</v>
      </c>
      <c r="M3455" s="30">
        <v>5215540340074</v>
      </c>
      <c r="N3455" s="171" t="s">
        <v>37</v>
      </c>
      <c r="O3455" s="52">
        <v>7116.73</v>
      </c>
      <c r="P3455" s="52">
        <v>2058.83</v>
      </c>
      <c r="Q3455" s="42">
        <f>OfficeForms.Table[[#This Row],[ INFORMEDEPAGO ]]*0.3</f>
        <v>2135.0189999999998</v>
      </c>
      <c r="R3455" s="12">
        <f>(IF(O3455&lt;4172.98,0,MIN(O3455*0.3,O3455-4172.98)))-P3455</f>
        <v>76.188999999999851</v>
      </c>
      <c r="S3455" s="78">
        <v>46722</v>
      </c>
      <c r="T3455" s="1"/>
      <c r="V3455" s="1"/>
      <c r="X3455" s="101">
        <v>2</v>
      </c>
    </row>
    <row r="3456" spans="1:24" hidden="1">
      <c r="A3456">
        <v>1874</v>
      </c>
      <c r="B3456" s="2">
        <v>46248.538645833301</v>
      </c>
      <c r="C3456" s="2">
        <v>46248.539293981499</v>
      </c>
      <c r="D3456" s="1" t="s">
        <v>24</v>
      </c>
      <c r="E3456" s="1"/>
      <c r="F3456" s="29">
        <v>46248</v>
      </c>
      <c r="G3456" s="29">
        <v>46244</v>
      </c>
      <c r="H3456" s="1" t="s">
        <v>110</v>
      </c>
      <c r="I3456" s="126" t="s">
        <v>7683</v>
      </c>
      <c r="J3456" s="207">
        <v>32685927272</v>
      </c>
      <c r="K3456" s="171"/>
      <c r="L3456" s="62">
        <v>23515440</v>
      </c>
      <c r="M3456" s="30">
        <v>5218617985305</v>
      </c>
      <c r="N3456" s="171" t="s">
        <v>37</v>
      </c>
      <c r="O3456" s="52">
        <v>4813.6899999999996</v>
      </c>
      <c r="P3456" s="52">
        <v>617.9</v>
      </c>
      <c r="Q3456" s="42">
        <f>OfficeForms.Table[[#This Row],[ INFORMEDEPAGO ]]*0.3</f>
        <v>1444.1069999999997</v>
      </c>
      <c r="R3456" s="12">
        <f>(IF(O3456&lt;4172.98,0,MIN(O3456*0.3,O3456-4172.98)))-P3456</f>
        <v>22.810000000000059</v>
      </c>
      <c r="S3456" s="78">
        <v>46722</v>
      </c>
      <c r="T3456" s="1"/>
      <c r="V3456" s="1"/>
      <c r="X3456" s="101">
        <v>2</v>
      </c>
    </row>
    <row r="3457" spans="1:24" hidden="1">
      <c r="A3457">
        <v>1875</v>
      </c>
      <c r="B3457" s="2">
        <v>46248.498043981497</v>
      </c>
      <c r="C3457" s="2">
        <v>46248.548229166699</v>
      </c>
      <c r="D3457" s="1" t="s">
        <v>24</v>
      </c>
      <c r="E3457" s="1"/>
      <c r="F3457" s="29">
        <v>46248</v>
      </c>
      <c r="G3457" s="29">
        <v>46247</v>
      </c>
      <c r="H3457" s="1" t="s">
        <v>269</v>
      </c>
      <c r="I3457" s="126" t="s">
        <v>7684</v>
      </c>
      <c r="J3457" s="207"/>
      <c r="K3457" s="171" t="s">
        <v>7685</v>
      </c>
      <c r="L3457" s="62">
        <v>23616702</v>
      </c>
      <c r="M3457" s="30">
        <v>5216444999093</v>
      </c>
      <c r="N3457" s="171" t="s">
        <v>28</v>
      </c>
      <c r="O3457" s="50">
        <v>9760.32</v>
      </c>
      <c r="P3457" s="97"/>
      <c r="Q3457" s="42">
        <f>OfficeForms.Table[[#This Row],[ INFORMEDEPAGO ]]*0.3</f>
        <v>2928.096</v>
      </c>
      <c r="R3457" s="12">
        <f t="shared" ref="R3457:R3458" si="147">(IF(O3457&lt;4172.98,0,MIN(O3457*0.3,O3457-4172.98)))-P3457</f>
        <v>2928.096</v>
      </c>
      <c r="S3457" s="78"/>
      <c r="T3457" s="1"/>
      <c r="V3457" s="1"/>
      <c r="X3457" s="101">
        <v>1</v>
      </c>
    </row>
    <row r="3458" spans="1:24" hidden="1">
      <c r="A3458">
        <v>1876</v>
      </c>
      <c r="B3458" s="2">
        <v>46248.569317129601</v>
      </c>
      <c r="C3458" s="2">
        <v>46248.583159722199</v>
      </c>
      <c r="D3458" s="1" t="s">
        <v>24</v>
      </c>
      <c r="E3458" s="1"/>
      <c r="F3458" s="29">
        <v>46248</v>
      </c>
      <c r="G3458" s="29">
        <v>46248</v>
      </c>
      <c r="H3458" s="1" t="s">
        <v>1625</v>
      </c>
      <c r="I3458" s="126" t="s">
        <v>7686</v>
      </c>
      <c r="J3458" s="207">
        <v>43936706076</v>
      </c>
      <c r="K3458" s="171" t="s">
        <v>7687</v>
      </c>
      <c r="L3458" s="62">
        <v>2</v>
      </c>
      <c r="M3458" s="30">
        <v>8128998404</v>
      </c>
      <c r="N3458" s="171" t="s">
        <v>37</v>
      </c>
      <c r="O3458" s="52">
        <v>5639.62</v>
      </c>
      <c r="P3458" s="52">
        <v>1618.97</v>
      </c>
      <c r="Q3458" s="42">
        <f>OfficeForms.Table[[#This Row],[ INFORMEDEPAGO ]]*0.3</f>
        <v>1691.886</v>
      </c>
      <c r="R3458" s="12">
        <f t="shared" si="147"/>
        <v>-152.3299999999997</v>
      </c>
      <c r="S3458" s="78">
        <v>46600</v>
      </c>
      <c r="T3458" s="1"/>
      <c r="V3458" s="1"/>
      <c r="X3458" s="101">
        <v>2</v>
      </c>
    </row>
    <row r="3459" spans="1:24" hidden="1">
      <c r="A3459">
        <v>1877</v>
      </c>
      <c r="B3459" s="2">
        <v>46248.595902777801</v>
      </c>
      <c r="C3459" s="2">
        <v>46248.598263888904</v>
      </c>
      <c r="D3459" s="1" t="s">
        <v>24</v>
      </c>
      <c r="E3459" s="1"/>
      <c r="F3459" s="29">
        <v>46248</v>
      </c>
      <c r="G3459" s="29">
        <v>46248</v>
      </c>
      <c r="H3459" s="1" t="s">
        <v>1625</v>
      </c>
      <c r="I3459" s="126" t="s">
        <v>7688</v>
      </c>
      <c r="J3459" s="207">
        <v>40856200429</v>
      </c>
      <c r="K3459" s="171" t="s">
        <v>7689</v>
      </c>
      <c r="L3459" s="62">
        <v>2</v>
      </c>
      <c r="M3459" s="30">
        <v>5519497280</v>
      </c>
      <c r="N3459" s="171" t="s">
        <v>37</v>
      </c>
      <c r="O3459" s="52">
        <v>8422.91</v>
      </c>
      <c r="P3459" s="52">
        <v>2405.4</v>
      </c>
      <c r="Q3459" s="42">
        <f>OfficeForms.Table[[#This Row],[ INFORMEDEPAGO ]]*0.3</f>
        <v>2526.873</v>
      </c>
      <c r="R3459" s="12">
        <f t="shared" ref="R3459:R3460" si="148">(IF(O3459&lt;4172.98,0,MIN(O3459*0.3,O3459-4172.98)))-P3459</f>
        <v>121.47299999999996</v>
      </c>
      <c r="S3459" s="78">
        <v>46692</v>
      </c>
      <c r="T3459" s="1"/>
      <c r="V3459" s="1"/>
      <c r="X3459" s="101">
        <v>2</v>
      </c>
    </row>
    <row r="3460" spans="1:24" hidden="1">
      <c r="A3460">
        <v>1878</v>
      </c>
      <c r="B3460" s="2">
        <v>46248.598263888904</v>
      </c>
      <c r="C3460" s="2">
        <v>46248.5994907407</v>
      </c>
      <c r="D3460" s="1" t="s">
        <v>24</v>
      </c>
      <c r="E3460" s="1"/>
      <c r="F3460" s="29">
        <v>46248</v>
      </c>
      <c r="G3460" s="29">
        <v>46248</v>
      </c>
      <c r="H3460" s="1" t="s">
        <v>1629</v>
      </c>
      <c r="I3460" s="126" t="s">
        <v>7690</v>
      </c>
      <c r="J3460" s="207">
        <v>6795702361</v>
      </c>
      <c r="K3460" s="171" t="s">
        <v>7691</v>
      </c>
      <c r="L3460" s="62">
        <v>2</v>
      </c>
      <c r="M3460" s="30" t="s">
        <v>7692</v>
      </c>
      <c r="N3460" s="171" t="s">
        <v>106</v>
      </c>
      <c r="O3460" s="52">
        <v>9081.52</v>
      </c>
      <c r="P3460" s="52">
        <v>2521.35</v>
      </c>
      <c r="Q3460" s="42">
        <f>OfficeForms.Table[[#This Row],[ INFORMEDEPAGO ]]*0.3</f>
        <v>2724.4560000000001</v>
      </c>
      <c r="R3460" s="12">
        <f t="shared" si="148"/>
        <v>203.10600000000022</v>
      </c>
      <c r="S3460" s="78">
        <v>46204</v>
      </c>
      <c r="T3460" s="1"/>
      <c r="V3460" s="1"/>
      <c r="X3460" s="101">
        <v>2</v>
      </c>
    </row>
    <row r="3461" spans="1:24" hidden="1">
      <c r="A3461">
        <v>1879</v>
      </c>
      <c r="B3461" s="2">
        <v>46248.616504629601</v>
      </c>
      <c r="C3461" s="2">
        <v>46248.6175462963</v>
      </c>
      <c r="D3461" s="1" t="s">
        <v>24</v>
      </c>
      <c r="E3461" s="1"/>
      <c r="F3461" s="29">
        <v>46248</v>
      </c>
      <c r="G3461" s="29">
        <v>46248</v>
      </c>
      <c r="H3461" s="1" t="s">
        <v>1629</v>
      </c>
      <c r="I3461" s="126" t="s">
        <v>7693</v>
      </c>
      <c r="J3461" s="207" t="s">
        <v>7694</v>
      </c>
      <c r="K3461" s="171" t="s">
        <v>5977</v>
      </c>
      <c r="L3461" s="62">
        <v>2</v>
      </c>
      <c r="M3461" s="30" t="s">
        <v>7695</v>
      </c>
      <c r="N3461" s="171" t="s">
        <v>32</v>
      </c>
      <c r="O3461" s="50">
        <v>3961.31</v>
      </c>
      <c r="P3461" s="97"/>
      <c r="Q3461" s="42">
        <f>OfficeForms.Table[[#This Row],[ INFORMEDEPAGO ]]*0.3</f>
        <v>1188.393</v>
      </c>
      <c r="R3461" s="12">
        <f>(IF(O3461&lt;4172.98,0,MIN(O3461*0.3,O3461-4172.98)))-P3461</f>
        <v>0</v>
      </c>
      <c r="S3461" s="78"/>
      <c r="T3461" s="1"/>
      <c r="V3461" s="1"/>
      <c r="X3461" s="101">
        <v>1</v>
      </c>
    </row>
    <row r="3462" spans="1:24" hidden="1">
      <c r="A3462">
        <v>1880</v>
      </c>
      <c r="B3462" s="2">
        <v>46248.618206018502</v>
      </c>
      <c r="C3462" s="2">
        <v>46248.621921296297</v>
      </c>
      <c r="D3462" s="1" t="s">
        <v>24</v>
      </c>
      <c r="E3462" s="1"/>
      <c r="F3462" s="29">
        <v>46248</v>
      </c>
      <c r="G3462" s="29">
        <v>46248</v>
      </c>
      <c r="H3462" s="1" t="s">
        <v>78</v>
      </c>
      <c r="I3462" s="126" t="s">
        <v>7696</v>
      </c>
      <c r="J3462" s="207"/>
      <c r="K3462" s="171" t="s">
        <v>7697</v>
      </c>
      <c r="L3462" s="62">
        <v>23626314</v>
      </c>
      <c r="M3462" s="30">
        <v>5215580671631</v>
      </c>
      <c r="N3462" s="171" t="s">
        <v>106</v>
      </c>
      <c r="O3462" s="43">
        <v>7920.51</v>
      </c>
      <c r="P3462" s="43">
        <v>2199.02</v>
      </c>
      <c r="Q3462" s="42">
        <f>OfficeForms.Table[[#This Row],[ INFORMEDEPAGO ]]*0.3</f>
        <v>2376.1529999999998</v>
      </c>
      <c r="R3462" s="12">
        <f>(IF(O3462&lt;4172.98,0,MIN(O3462*0.3,O3462-4172.98)))-P3462</f>
        <v>177.13299999999981</v>
      </c>
      <c r="S3462" s="78">
        <v>46082</v>
      </c>
      <c r="T3462" s="1"/>
      <c r="V3462" s="1"/>
      <c r="X3462" s="101">
        <v>2</v>
      </c>
    </row>
    <row r="3463" spans="1:24" hidden="1">
      <c r="A3463">
        <v>1881</v>
      </c>
      <c r="B3463" s="2">
        <v>46248.468159722201</v>
      </c>
      <c r="C3463" s="2">
        <v>46248.623807870397</v>
      </c>
      <c r="D3463" s="1" t="s">
        <v>24</v>
      </c>
      <c r="E3463" s="1"/>
      <c r="F3463" s="29">
        <v>46248</v>
      </c>
      <c r="G3463" s="29">
        <v>46248</v>
      </c>
      <c r="H3463" s="1" t="s">
        <v>1625</v>
      </c>
      <c r="I3463" s="126" t="s">
        <v>7698</v>
      </c>
      <c r="J3463" s="207">
        <v>64836103875</v>
      </c>
      <c r="K3463" s="171" t="s">
        <v>7699</v>
      </c>
      <c r="L3463" s="62">
        <v>2</v>
      </c>
      <c r="M3463" s="30">
        <v>5548785824</v>
      </c>
      <c r="N3463" s="171" t="s">
        <v>37</v>
      </c>
      <c r="O3463" s="43">
        <v>6262.86</v>
      </c>
      <c r="P3463" s="43">
        <v>1878.8</v>
      </c>
      <c r="Q3463" s="42">
        <f>OfficeForms.Table[[#This Row],[ INFORMEDEPAGO ]]*0.3</f>
        <v>1878.8579999999997</v>
      </c>
      <c r="R3463" s="12">
        <f>(IF(O3463&lt;4172.98,0,MIN(O3463*0.3,O3463-4172.98)))-P3463</f>
        <v>5.799999999976535E-2</v>
      </c>
      <c r="S3463" s="78">
        <v>46874</v>
      </c>
      <c r="T3463" s="1"/>
      <c r="V3463" s="1"/>
      <c r="X3463" s="101">
        <v>2</v>
      </c>
    </row>
    <row r="3464" spans="1:24" hidden="1">
      <c r="A3464">
        <v>1882</v>
      </c>
      <c r="B3464" s="2">
        <v>46248.623854166697</v>
      </c>
      <c r="C3464" s="2">
        <v>46248.636145833298</v>
      </c>
      <c r="D3464" s="1" t="s">
        <v>24</v>
      </c>
      <c r="E3464" s="1"/>
      <c r="F3464" s="29">
        <v>46248</v>
      </c>
      <c r="G3464" s="29">
        <v>46248</v>
      </c>
      <c r="H3464" s="1" t="s">
        <v>1625</v>
      </c>
      <c r="I3464" s="126" t="s">
        <v>7700</v>
      </c>
      <c r="J3464" s="207">
        <v>20876701432</v>
      </c>
      <c r="K3464" s="171" t="s">
        <v>7701</v>
      </c>
      <c r="L3464" s="62">
        <v>2</v>
      </c>
      <c r="M3464" s="30" t="s">
        <v>7702</v>
      </c>
      <c r="N3464" s="171" t="s">
        <v>98</v>
      </c>
      <c r="O3464" s="50"/>
      <c r="P3464" s="97"/>
      <c r="Q3464" s="42">
        <f>OfficeForms.Table[[#This Row],[ INFORMEDEPAGO ]]*0.3</f>
        <v>0</v>
      </c>
      <c r="R3464" s="12">
        <f>(IF(O3464&lt;4172.98,0,MIN(O3464*0.3,O3464-4172.98)))-P3464</f>
        <v>0</v>
      </c>
      <c r="S3464" s="78"/>
      <c r="T3464" s="1"/>
      <c r="V3464" s="1"/>
      <c r="X3464" s="101">
        <v>0</v>
      </c>
    </row>
    <row r="3465" spans="1:24" hidden="1">
      <c r="A3465">
        <v>1883</v>
      </c>
      <c r="B3465" s="2">
        <v>46248.630555555603</v>
      </c>
      <c r="C3465" s="2">
        <v>46248.636180555601</v>
      </c>
      <c r="D3465" s="1" t="s">
        <v>24</v>
      </c>
      <c r="E3465" s="1"/>
      <c r="F3465" s="29">
        <v>46248</v>
      </c>
      <c r="G3465" s="29">
        <v>46248</v>
      </c>
      <c r="H3465" s="1" t="s">
        <v>6605</v>
      </c>
      <c r="I3465" s="126" t="s">
        <v>7703</v>
      </c>
      <c r="J3465" s="207">
        <v>62857008916</v>
      </c>
      <c r="K3465" s="171" t="s">
        <v>7704</v>
      </c>
      <c r="L3465" s="62">
        <v>23640946</v>
      </c>
      <c r="M3465" s="30">
        <v>2481106042</v>
      </c>
      <c r="N3465" s="171" t="s">
        <v>32</v>
      </c>
      <c r="O3465" s="43">
        <v>3908.19</v>
      </c>
      <c r="P3465" s="43">
        <v>848</v>
      </c>
      <c r="Q3465" s="42">
        <f>OfficeForms.Table[[#This Row],[ INFORMEDEPAGO ]]*0.3</f>
        <v>1172.4569999999999</v>
      </c>
      <c r="R3465" s="12">
        <f>(IF(O3465&lt;4172.98,0,MIN(O3465*0.3,O3465-4172.98)))-P3465</f>
        <v>-848</v>
      </c>
      <c r="S3465" s="78"/>
      <c r="T3465" s="1"/>
      <c r="V3465" s="1"/>
      <c r="X3465" s="101">
        <v>1</v>
      </c>
    </row>
    <row r="3466" spans="1:24" hidden="1">
      <c r="A3466">
        <v>1884</v>
      </c>
      <c r="B3466" s="2">
        <v>46248.637083333299</v>
      </c>
      <c r="C3466" s="2">
        <v>46248.637858796297</v>
      </c>
      <c r="D3466" s="1" t="s">
        <v>24</v>
      </c>
      <c r="E3466" s="1"/>
      <c r="F3466" s="29">
        <v>46248</v>
      </c>
      <c r="G3466" s="29">
        <v>46248</v>
      </c>
      <c r="H3466" s="1" t="s">
        <v>1629</v>
      </c>
      <c r="I3466" s="126" t="s">
        <v>7705</v>
      </c>
      <c r="J3466" s="207">
        <v>31846503337</v>
      </c>
      <c r="K3466" s="171" t="s">
        <v>7706</v>
      </c>
      <c r="L3466" s="62">
        <v>2</v>
      </c>
      <c r="M3466" s="30" t="s">
        <v>7707</v>
      </c>
      <c r="N3466" s="171" t="s">
        <v>37</v>
      </c>
      <c r="O3466" s="43">
        <v>9760.32</v>
      </c>
      <c r="P3466" s="43">
        <v>2823.89</v>
      </c>
      <c r="Q3466" s="42">
        <f>OfficeForms.Table[[#This Row],[ INFORMEDEPAGO ]]*0.3</f>
        <v>2928.096</v>
      </c>
      <c r="R3466" s="12">
        <f>(IF(O3466&lt;4172.98,0,MIN(O3466*0.3,O3466-4172.98)))-P3466</f>
        <v>104.20600000000013</v>
      </c>
      <c r="S3466" s="78">
        <v>46508</v>
      </c>
      <c r="T3466" s="1"/>
      <c r="V3466" s="1"/>
      <c r="X3466" s="101">
        <v>2</v>
      </c>
    </row>
    <row r="3467" spans="1:24" hidden="1">
      <c r="A3467">
        <v>1885</v>
      </c>
      <c r="B3467" s="2">
        <v>46248.6375694444</v>
      </c>
      <c r="C3467" s="2">
        <v>46248.638032407398</v>
      </c>
      <c r="D3467" s="1" t="s">
        <v>24</v>
      </c>
      <c r="E3467" s="1"/>
      <c r="F3467" s="29">
        <v>46248</v>
      </c>
      <c r="G3467" s="29">
        <v>46248</v>
      </c>
      <c r="H3467" s="1" t="s">
        <v>1625</v>
      </c>
      <c r="I3467" s="126" t="s">
        <v>7708</v>
      </c>
      <c r="J3467" s="207">
        <v>32815715845</v>
      </c>
      <c r="K3467" s="171" t="s">
        <v>7709</v>
      </c>
      <c r="L3467" s="62">
        <v>2</v>
      </c>
      <c r="M3467" s="30" t="s">
        <v>7710</v>
      </c>
      <c r="N3467" s="171" t="s">
        <v>37</v>
      </c>
      <c r="O3467" s="43">
        <v>76011.12</v>
      </c>
      <c r="P3467" s="43">
        <v>22801.53</v>
      </c>
      <c r="Q3467" s="42">
        <f>OfficeForms.Table[[#This Row],[ INFORMEDEPAGO ]]*0.3</f>
        <v>22803.335999999999</v>
      </c>
      <c r="R3467" s="12">
        <f>(IF(O3467&lt;4172.98,0,MIN(O3467*0.3,O3467-4172.98)))-P3467</f>
        <v>1.8060000000004948</v>
      </c>
      <c r="S3467" s="78">
        <v>46569</v>
      </c>
      <c r="T3467" s="1" t="s">
        <v>192</v>
      </c>
      <c r="V3467" s="1"/>
      <c r="X3467" s="101">
        <v>2</v>
      </c>
    </row>
    <row r="3468" spans="1:24" hidden="1">
      <c r="A3468">
        <v>1886</v>
      </c>
      <c r="B3468" s="2">
        <v>46248.656365740702</v>
      </c>
      <c r="C3468" s="2">
        <v>46248.6573726852</v>
      </c>
      <c r="D3468" s="1" t="s">
        <v>24</v>
      </c>
      <c r="E3468" s="1"/>
      <c r="F3468" s="29">
        <v>46248</v>
      </c>
      <c r="G3468" s="29">
        <v>46248</v>
      </c>
      <c r="H3468" s="1" t="s">
        <v>6605</v>
      </c>
      <c r="I3468" s="126" t="s">
        <v>7711</v>
      </c>
      <c r="J3468" s="207"/>
      <c r="K3468" s="171" t="s">
        <v>7712</v>
      </c>
      <c r="L3468" s="62">
        <v>23642152</v>
      </c>
      <c r="M3468" s="30">
        <v>5526896630</v>
      </c>
      <c r="N3468" s="171" t="s">
        <v>28</v>
      </c>
      <c r="O3468" s="50">
        <v>9760.32</v>
      </c>
      <c r="P3468" s="97"/>
      <c r="Q3468" s="42">
        <f>OfficeForms.Table[[#This Row],[ INFORMEDEPAGO ]]*0.3</f>
        <v>2928.096</v>
      </c>
      <c r="R3468" s="12">
        <f>(IF(O3468&lt;4172.98,0,MIN(O3468*0.3,O3468-4172.98)))-P3468</f>
        <v>2928.096</v>
      </c>
      <c r="S3468" s="78"/>
      <c r="T3468" s="1"/>
      <c r="V3468" s="1"/>
      <c r="X3468" s="101">
        <v>1</v>
      </c>
    </row>
    <row r="3469" spans="1:24" hidden="1">
      <c r="A3469">
        <v>1887</v>
      </c>
      <c r="B3469" s="2">
        <v>46248.536030092597</v>
      </c>
      <c r="C3469" s="2">
        <v>46248.666516203702</v>
      </c>
      <c r="D3469" s="1" t="s">
        <v>24</v>
      </c>
      <c r="E3469" s="1"/>
      <c r="F3469" s="29">
        <v>46248</v>
      </c>
      <c r="G3469" s="29">
        <v>46248</v>
      </c>
      <c r="H3469" s="1" t="s">
        <v>51</v>
      </c>
      <c r="I3469" s="126" t="s">
        <v>7713</v>
      </c>
      <c r="J3469" s="207">
        <v>83654500079</v>
      </c>
      <c r="K3469" s="171"/>
      <c r="L3469" s="62">
        <v>23632218</v>
      </c>
      <c r="M3469" s="30">
        <v>5219934026624</v>
      </c>
      <c r="N3469" s="171" t="s">
        <v>32</v>
      </c>
      <c r="O3469" s="52">
        <v>3881.65</v>
      </c>
      <c r="P3469" s="52">
        <v>879</v>
      </c>
      <c r="Q3469" s="42">
        <f>OfficeForms.Table[[#This Row],[ INFORMEDEPAGO ]]*0.3</f>
        <v>1164.4949999999999</v>
      </c>
      <c r="R3469" s="12">
        <f>(IF(O3469&lt;4172.98,0,MIN(O3469*0.3,O3469-4172.98)))-P3469</f>
        <v>-879</v>
      </c>
      <c r="S3469" s="78"/>
      <c r="T3469" s="1"/>
      <c r="V3469" s="1"/>
      <c r="X3469" s="101">
        <v>1</v>
      </c>
    </row>
    <row r="3470" spans="1:24" hidden="1">
      <c r="A3470">
        <v>1888</v>
      </c>
      <c r="B3470" s="2">
        <v>46248.666539351798</v>
      </c>
      <c r="C3470" s="2">
        <v>46248.6800462963</v>
      </c>
      <c r="D3470" s="1" t="s">
        <v>24</v>
      </c>
      <c r="E3470" s="1"/>
      <c r="F3470" s="29">
        <v>46248</v>
      </c>
      <c r="G3470" s="29">
        <v>46247</v>
      </c>
      <c r="H3470" s="1" t="s">
        <v>51</v>
      </c>
      <c r="I3470" s="126" t="s">
        <v>7714</v>
      </c>
      <c r="J3470" s="207">
        <v>62806015632</v>
      </c>
      <c r="K3470" s="171" t="s">
        <v>7715</v>
      </c>
      <c r="L3470" s="62">
        <v>23608038</v>
      </c>
      <c r="M3470" s="30">
        <v>5219982282392</v>
      </c>
      <c r="N3470" s="171" t="s">
        <v>37</v>
      </c>
      <c r="O3470" s="52">
        <v>6262.86</v>
      </c>
      <c r="P3470" s="52">
        <v>1878.86</v>
      </c>
      <c r="Q3470" s="42">
        <f>OfficeForms.Table[[#This Row],[ INFORMEDEPAGO ]]*0.3</f>
        <v>1878.8579999999997</v>
      </c>
      <c r="R3470" s="12">
        <f>(IF(O3470&lt;4172.98,0,MIN(O3470*0.3,O3470-4172.98)))-P3470</f>
        <v>-2.00000000018008E-3</v>
      </c>
      <c r="S3470" s="78">
        <v>46722</v>
      </c>
      <c r="T3470" s="1"/>
      <c r="V3470" s="1"/>
      <c r="X3470" s="101">
        <v>2</v>
      </c>
    </row>
    <row r="3471" spans="1:24" hidden="1">
      <c r="A3471">
        <v>1889</v>
      </c>
      <c r="B3471" s="2">
        <v>46248.698634259301</v>
      </c>
      <c r="C3471" s="2">
        <v>46248.7008333333</v>
      </c>
      <c r="D3471" s="1" t="s">
        <v>24</v>
      </c>
      <c r="E3471" s="1"/>
      <c r="F3471" s="29">
        <v>46248</v>
      </c>
      <c r="G3471" s="29">
        <v>46244</v>
      </c>
      <c r="H3471" s="1" t="s">
        <v>107</v>
      </c>
      <c r="I3471" s="126" t="s">
        <v>7716</v>
      </c>
      <c r="J3471" s="207">
        <v>24786215252</v>
      </c>
      <c r="K3471" s="171"/>
      <c r="L3471" s="62">
        <v>23516552</v>
      </c>
      <c r="M3471" s="30">
        <v>5216471278749</v>
      </c>
      <c r="N3471" s="171" t="s">
        <v>28</v>
      </c>
      <c r="O3471" s="50">
        <v>18495.57</v>
      </c>
      <c r="P3471" s="97"/>
      <c r="Q3471" s="42">
        <f>OfficeForms.Table[[#This Row],[ INFORMEDEPAGO ]]*0.3</f>
        <v>5548.6709999999994</v>
      </c>
      <c r="R3471" s="12">
        <f>(IF(O3471&lt;4172.98,0,MIN(O3471*0.3,O3471-4172.98)))-P3471</f>
        <v>5548.6709999999994</v>
      </c>
      <c r="S3471" s="78"/>
      <c r="T3471" s="1"/>
      <c r="V3471" s="1"/>
      <c r="X3471" s="101">
        <v>1</v>
      </c>
    </row>
    <row r="3472" spans="1:24" hidden="1">
      <c r="A3472">
        <v>1890</v>
      </c>
      <c r="B3472" s="2">
        <v>46248.712662037004</v>
      </c>
      <c r="C3472" s="2">
        <v>46248.723124999997</v>
      </c>
      <c r="D3472" s="1" t="s">
        <v>24</v>
      </c>
      <c r="E3472" s="1"/>
      <c r="F3472" s="29">
        <v>46248</v>
      </c>
      <c r="G3472" s="29">
        <v>46248</v>
      </c>
      <c r="H3472" s="1" t="s">
        <v>78</v>
      </c>
      <c r="I3472" s="126" t="s">
        <v>7717</v>
      </c>
      <c r="J3472" s="207" t="s">
        <v>7718</v>
      </c>
      <c r="K3472" s="171" t="s">
        <v>7719</v>
      </c>
      <c r="L3472" s="62">
        <v>23640602</v>
      </c>
      <c r="M3472" s="30">
        <v>5216643345747</v>
      </c>
      <c r="N3472" s="171" t="s">
        <v>28</v>
      </c>
      <c r="O3472" s="50">
        <v>9826.06</v>
      </c>
      <c r="P3472" s="97"/>
      <c r="Q3472" s="42">
        <f>OfficeForms.Table[[#This Row],[ INFORMEDEPAGO ]]*0.3</f>
        <v>2947.8179999999998</v>
      </c>
      <c r="R3472" s="12">
        <f>(IF(O3472&lt;4172.98,0,MIN(O3472*0.3,O3472-4172.98)))-P3472</f>
        <v>2947.8179999999998</v>
      </c>
      <c r="S3472" s="78"/>
      <c r="T3472" s="1"/>
      <c r="V3472" s="1"/>
      <c r="X3472" s="101">
        <v>1</v>
      </c>
    </row>
    <row r="3473" spans="1:24" hidden="1">
      <c r="A3473">
        <v>1891</v>
      </c>
      <c r="B3473" s="2">
        <v>46248.645405092597</v>
      </c>
      <c r="C3473" s="2">
        <v>46248.723333333299</v>
      </c>
      <c r="D3473" s="1" t="s">
        <v>24</v>
      </c>
      <c r="E3473" s="1"/>
      <c r="F3473" s="29">
        <v>46248</v>
      </c>
      <c r="G3473" s="29">
        <v>46246</v>
      </c>
      <c r="H3473" s="1" t="s">
        <v>476</v>
      </c>
      <c r="I3473" s="126" t="s">
        <v>7720</v>
      </c>
      <c r="J3473" s="207"/>
      <c r="K3473" s="171" t="s">
        <v>7721</v>
      </c>
      <c r="L3473" s="62">
        <v>23581682</v>
      </c>
      <c r="M3473" s="30">
        <v>5218121470128</v>
      </c>
      <c r="N3473" s="171" t="s">
        <v>28</v>
      </c>
      <c r="O3473" s="50">
        <v>9760.32</v>
      </c>
      <c r="P3473" s="97"/>
      <c r="Q3473" s="42">
        <f>OfficeForms.Table[[#This Row],[ INFORMEDEPAGO ]]*0.3</f>
        <v>2928.096</v>
      </c>
      <c r="R3473" s="12">
        <f>(IF(O3473&lt;4172.98,0,MIN(O3473*0.3,O3473-4172.98)))-P3473</f>
        <v>2928.096</v>
      </c>
      <c r="S3473" s="78"/>
      <c r="T3473" s="1"/>
      <c r="V3473" s="1"/>
      <c r="X3473" s="101">
        <v>1</v>
      </c>
    </row>
    <row r="3474" spans="1:24" hidden="1">
      <c r="A3474">
        <v>1892</v>
      </c>
      <c r="B3474" s="2">
        <v>46248.720532407402</v>
      </c>
      <c r="C3474" s="2">
        <v>46248.727615740703</v>
      </c>
      <c r="D3474" s="1" t="s">
        <v>24</v>
      </c>
      <c r="E3474" s="1"/>
      <c r="F3474" s="29">
        <v>46248</v>
      </c>
      <c r="G3474" s="29">
        <v>46247</v>
      </c>
      <c r="H3474" s="1" t="s">
        <v>78</v>
      </c>
      <c r="I3474" s="126" t="s">
        <v>7722</v>
      </c>
      <c r="J3474" s="207"/>
      <c r="K3474" s="171" t="s">
        <v>7723</v>
      </c>
      <c r="L3474" s="62">
        <v>23617140</v>
      </c>
      <c r="M3474" s="30">
        <v>5214661877504</v>
      </c>
      <c r="N3474" s="171" t="s">
        <v>37</v>
      </c>
      <c r="O3474" s="52">
        <v>9760.32</v>
      </c>
      <c r="P3474" s="52">
        <v>2927.17</v>
      </c>
      <c r="Q3474" s="42">
        <f>OfficeForms.Table[[#This Row],[ INFORMEDEPAGO ]]*0.3</f>
        <v>2928.096</v>
      </c>
      <c r="R3474" s="12">
        <f>(IF(O3474&lt;4172.98,0,MIN(O3474*0.3,O3474-4172.98)))-P3474</f>
        <v>0.92599999999993088</v>
      </c>
      <c r="S3474" s="78">
        <v>46935</v>
      </c>
      <c r="T3474" s="1" t="s">
        <v>192</v>
      </c>
      <c r="V3474" s="1"/>
      <c r="X3474" s="101">
        <v>2</v>
      </c>
    </row>
    <row r="3475" spans="1:24" hidden="1">
      <c r="A3475">
        <v>1893</v>
      </c>
      <c r="B3475" s="2">
        <v>46248.680057870399</v>
      </c>
      <c r="C3475" s="2">
        <v>46248.734155092599</v>
      </c>
      <c r="D3475" s="1" t="s">
        <v>24</v>
      </c>
      <c r="E3475" s="1"/>
      <c r="F3475" s="29">
        <v>46248</v>
      </c>
      <c r="G3475" s="29">
        <v>46248</v>
      </c>
      <c r="H3475" s="1" t="s">
        <v>51</v>
      </c>
      <c r="I3475" s="126" t="s">
        <v>7724</v>
      </c>
      <c r="J3475" s="207"/>
      <c r="K3475" s="171" t="s">
        <v>7725</v>
      </c>
      <c r="L3475" s="62">
        <v>23642136</v>
      </c>
      <c r="M3475" s="30">
        <v>5219991731853</v>
      </c>
      <c r="N3475" s="171" t="s">
        <v>32</v>
      </c>
      <c r="O3475" s="67">
        <v>3953.25</v>
      </c>
      <c r="P3475" s="99"/>
      <c r="Q3475" s="42">
        <f>OfficeForms.Table[[#This Row],[ INFORMEDEPAGO ]]*0.3</f>
        <v>1185.9749999999999</v>
      </c>
      <c r="R3475" s="12">
        <f>(IF(O3475&lt;4172.98,0,MIN(O3475*0.3,O3475-4172.98)))-P3475</f>
        <v>0</v>
      </c>
      <c r="S3475" s="78"/>
      <c r="T3475" s="1"/>
      <c r="V3475" s="1"/>
      <c r="X3475" s="101">
        <v>1</v>
      </c>
    </row>
    <row r="3476" spans="1:24" hidden="1">
      <c r="A3476">
        <v>1894</v>
      </c>
      <c r="B3476" s="2">
        <v>46248.726759259298</v>
      </c>
      <c r="C3476" s="2">
        <v>46248.740231481497</v>
      </c>
      <c r="D3476" s="1" t="s">
        <v>24</v>
      </c>
      <c r="E3476" s="1"/>
      <c r="F3476" s="29">
        <v>46248</v>
      </c>
      <c r="G3476" s="29">
        <v>46248</v>
      </c>
      <c r="H3476" s="1" t="s">
        <v>1629</v>
      </c>
      <c r="I3476" s="126" t="s">
        <v>6794</v>
      </c>
      <c r="J3476" s="207">
        <v>6846522180</v>
      </c>
      <c r="K3476" s="171" t="s">
        <v>6796</v>
      </c>
      <c r="L3476" s="62">
        <v>2</v>
      </c>
      <c r="M3476" s="30">
        <v>5636705608</v>
      </c>
      <c r="N3476" s="171" t="s">
        <v>37</v>
      </c>
      <c r="O3476" s="91">
        <v>30033.93</v>
      </c>
      <c r="P3476" s="91">
        <v>9009.5400000000009</v>
      </c>
      <c r="Q3476" s="42">
        <f>OfficeForms.Table[[#This Row],[ INFORMEDEPAGO ]]*0.3</f>
        <v>9010.1790000000001</v>
      </c>
      <c r="R3476" s="12">
        <f t="shared" ref="R3476" si="149">(IF(O3476&lt;4172.98,0,MIN(O3476*0.3,O3476-4172.98)))-P3476</f>
        <v>0.6389999999992142</v>
      </c>
      <c r="S3476" s="78">
        <v>46600</v>
      </c>
      <c r="T3476" s="1"/>
      <c r="V3476" s="1"/>
      <c r="X3476" s="101">
        <v>0</v>
      </c>
    </row>
    <row r="3477" spans="1:24" hidden="1">
      <c r="A3477">
        <v>1895</v>
      </c>
      <c r="B3477" s="2">
        <v>46248.743020833303</v>
      </c>
      <c r="C3477" s="2">
        <v>46248.743888888901</v>
      </c>
      <c r="D3477" s="1" t="s">
        <v>24</v>
      </c>
      <c r="E3477" s="1"/>
      <c r="F3477" s="29">
        <v>46248</v>
      </c>
      <c r="G3477" s="29">
        <v>46248</v>
      </c>
      <c r="H3477" s="1" t="s">
        <v>110</v>
      </c>
      <c r="I3477" s="126" t="s">
        <v>7726</v>
      </c>
      <c r="J3477" s="207"/>
      <c r="K3477" s="171" t="s">
        <v>7727</v>
      </c>
      <c r="L3477" s="62">
        <v>23644852</v>
      </c>
      <c r="M3477" s="30">
        <v>5216413211912</v>
      </c>
      <c r="N3477" s="171" t="s">
        <v>37</v>
      </c>
      <c r="O3477" s="52">
        <v>9760.32</v>
      </c>
      <c r="P3477" s="52">
        <v>2823.72</v>
      </c>
      <c r="Q3477" s="42">
        <f>OfficeForms.Table[[#This Row],[ INFORMEDEPAGO ]]*0.3</f>
        <v>2928.096</v>
      </c>
      <c r="R3477" s="12">
        <f t="shared" ref="R3477" si="150">(IF(O3477&lt;4172.98,0,MIN(O3477*0.3,O3477-4172.98)))-P3477</f>
        <v>104.3760000000002</v>
      </c>
      <c r="S3477" s="78">
        <v>46478</v>
      </c>
      <c r="T3477" s="1" t="s">
        <v>178</v>
      </c>
      <c r="V3477" s="1"/>
      <c r="X3477" s="101">
        <v>2</v>
      </c>
    </row>
    <row r="3478" spans="1:24" hidden="1">
      <c r="A3478">
        <v>1896</v>
      </c>
      <c r="B3478" s="2">
        <v>46248.784502314797</v>
      </c>
      <c r="C3478" s="2">
        <v>46248.785150463002</v>
      </c>
      <c r="D3478" s="1" t="s">
        <v>24</v>
      </c>
      <c r="E3478" s="1"/>
      <c r="F3478" s="29">
        <v>46248</v>
      </c>
      <c r="G3478" s="29">
        <v>46240</v>
      </c>
      <c r="H3478" s="1" t="s">
        <v>71</v>
      </c>
      <c r="I3478" s="126" t="s">
        <v>7728</v>
      </c>
      <c r="J3478" s="207" t="s">
        <v>7729</v>
      </c>
      <c r="K3478" s="171"/>
      <c r="L3478" s="62">
        <v>23426032</v>
      </c>
      <c r="M3478" s="30">
        <v>4777273245</v>
      </c>
      <c r="N3478" s="172" t="s">
        <v>28</v>
      </c>
      <c r="O3478" s="67">
        <v>10003.799999999999</v>
      </c>
      <c r="P3478" s="99"/>
      <c r="Q3478" s="42">
        <f>OfficeForms.Table[[#This Row],[ INFORMEDEPAGO ]]*0.3</f>
        <v>3001.14</v>
      </c>
      <c r="R3478" s="12">
        <f t="shared" ref="R3478:R3483" si="151">(IF(O3478&lt;4172.98,0,MIN(O3478*0.3,O3478-4172.98)))-P3478</f>
        <v>3001.14</v>
      </c>
      <c r="S3478" s="78"/>
      <c r="T3478" s="1"/>
      <c r="V3478" s="1"/>
      <c r="X3478" s="101">
        <v>1</v>
      </c>
    </row>
    <row r="3479" spans="1:24" hidden="1">
      <c r="A3479">
        <v>1897</v>
      </c>
      <c r="B3479" s="2">
        <v>46248.790208333303</v>
      </c>
      <c r="C3479" s="2">
        <v>46248.791342592602</v>
      </c>
      <c r="D3479" s="1" t="s">
        <v>24</v>
      </c>
      <c r="E3479" s="1"/>
      <c r="F3479" s="29">
        <v>46248</v>
      </c>
      <c r="G3479" s="29">
        <v>46233</v>
      </c>
      <c r="H3479" s="1" t="s">
        <v>3575</v>
      </c>
      <c r="I3479" s="126" t="s">
        <v>7730</v>
      </c>
      <c r="J3479" s="207"/>
      <c r="K3479" s="171" t="s">
        <v>7731</v>
      </c>
      <c r="L3479" s="62">
        <v>23233854</v>
      </c>
      <c r="M3479" s="30">
        <v>4121001079</v>
      </c>
      <c r="N3479" s="172" t="s">
        <v>47</v>
      </c>
      <c r="O3479" s="67">
        <v>5223.3100000000004</v>
      </c>
      <c r="P3479" s="99"/>
      <c r="Q3479" s="42">
        <f>OfficeForms.Table[[#This Row],[ INFORMEDEPAGO ]]*0.3</f>
        <v>1566.9930000000002</v>
      </c>
      <c r="R3479" s="12">
        <f t="shared" si="151"/>
        <v>1050.3300000000008</v>
      </c>
      <c r="S3479" s="78"/>
      <c r="T3479" s="1"/>
      <c r="V3479" s="1"/>
      <c r="X3479" s="101">
        <v>1</v>
      </c>
    </row>
    <row r="3480" spans="1:24" hidden="1">
      <c r="A3480">
        <v>1898</v>
      </c>
      <c r="B3480" s="2">
        <v>46248.790833333303</v>
      </c>
      <c r="C3480" s="2">
        <v>46248.791562500002</v>
      </c>
      <c r="D3480" s="1" t="s">
        <v>24</v>
      </c>
      <c r="E3480" s="1"/>
      <c r="F3480" s="29">
        <v>46248</v>
      </c>
      <c r="G3480" s="29">
        <v>46247</v>
      </c>
      <c r="H3480" s="1" t="s">
        <v>107</v>
      </c>
      <c r="I3480" s="126"/>
      <c r="J3480" s="207"/>
      <c r="K3480" s="171" t="s">
        <v>7732</v>
      </c>
      <c r="L3480" s="62">
        <v>23614532</v>
      </c>
      <c r="M3480" s="30">
        <v>5216641907498</v>
      </c>
      <c r="N3480" s="172" t="s">
        <v>98</v>
      </c>
      <c r="O3480" s="67"/>
      <c r="P3480" s="99"/>
      <c r="Q3480" s="42">
        <f>OfficeForms.Table[[#This Row],[ INFORMEDEPAGO ]]*0.3</f>
        <v>0</v>
      </c>
      <c r="R3480" s="12">
        <f t="shared" si="151"/>
        <v>0</v>
      </c>
      <c r="S3480" s="78"/>
      <c r="T3480" s="1"/>
      <c r="V3480" s="1"/>
      <c r="X3480" s="101">
        <v>0</v>
      </c>
    </row>
    <row r="3481" spans="1:24" hidden="1">
      <c r="A3481">
        <v>1899</v>
      </c>
      <c r="B3481" s="2">
        <v>46248.795046296298</v>
      </c>
      <c r="C3481" s="2">
        <v>46248.795856481498</v>
      </c>
      <c r="D3481" s="1" t="s">
        <v>24</v>
      </c>
      <c r="E3481" s="1"/>
      <c r="F3481" s="29">
        <v>46248</v>
      </c>
      <c r="G3481" s="29">
        <v>46248</v>
      </c>
      <c r="H3481" s="1" t="s">
        <v>110</v>
      </c>
      <c r="I3481" s="126" t="s">
        <v>7733</v>
      </c>
      <c r="J3481" s="207"/>
      <c r="K3481" s="171" t="s">
        <v>7734</v>
      </c>
      <c r="L3481" s="62">
        <v>23645800</v>
      </c>
      <c r="M3481" s="30">
        <v>521871223913</v>
      </c>
      <c r="N3481" s="171" t="s">
        <v>37</v>
      </c>
      <c r="O3481" s="43">
        <v>9760.32</v>
      </c>
      <c r="P3481" s="43">
        <v>2812.94</v>
      </c>
      <c r="Q3481" s="42">
        <f>OfficeForms.Table[[#This Row],[ INFORMEDEPAGO ]]*0.3</f>
        <v>2928.096</v>
      </c>
      <c r="R3481" s="12">
        <f t="shared" si="151"/>
        <v>115.15599999999995</v>
      </c>
      <c r="S3481" s="78">
        <v>46722</v>
      </c>
      <c r="T3481" s="1"/>
      <c r="V3481" s="1"/>
      <c r="X3481" s="101">
        <v>2</v>
      </c>
    </row>
    <row r="3482" spans="1:24" hidden="1">
      <c r="A3482">
        <v>1900</v>
      </c>
      <c r="B3482" s="2">
        <v>46248.7726273148</v>
      </c>
      <c r="C3482" s="2">
        <v>46248.7962037037</v>
      </c>
      <c r="D3482" s="1" t="s">
        <v>24</v>
      </c>
      <c r="E3482" s="1"/>
      <c r="F3482" s="29">
        <v>46248</v>
      </c>
      <c r="G3482" s="29">
        <v>46248</v>
      </c>
      <c r="H3482" s="1" t="s">
        <v>3572</v>
      </c>
      <c r="I3482" s="126" t="s">
        <v>7735</v>
      </c>
      <c r="J3482" s="207" t="s">
        <v>7736</v>
      </c>
      <c r="K3482" s="171"/>
      <c r="L3482" s="62">
        <v>23643306</v>
      </c>
      <c r="M3482" s="30">
        <v>1776024919</v>
      </c>
      <c r="N3482" s="172" t="s">
        <v>28</v>
      </c>
      <c r="O3482" s="43">
        <v>10608.32</v>
      </c>
      <c r="P3482" s="43">
        <v>848</v>
      </c>
      <c r="Q3482" s="42">
        <f>OfficeForms.Table[[#This Row],[ INFORMEDEPAGO ]]*0.3</f>
        <v>3182.4959999999996</v>
      </c>
      <c r="R3482" s="12">
        <f t="shared" si="151"/>
        <v>2334.4959999999996</v>
      </c>
      <c r="S3482" s="78"/>
      <c r="T3482" s="1"/>
      <c r="V3482" s="1"/>
      <c r="X3482" s="101">
        <v>1</v>
      </c>
    </row>
    <row r="3483" spans="1:24" hidden="1">
      <c r="A3483">
        <v>1901</v>
      </c>
      <c r="B3483" s="2">
        <v>46249.325972222199</v>
      </c>
      <c r="C3483" s="2">
        <v>46249.326631944401</v>
      </c>
      <c r="D3483" s="1" t="s">
        <v>24</v>
      </c>
      <c r="E3483" s="1"/>
      <c r="F3483" s="29">
        <v>46249</v>
      </c>
      <c r="G3483" s="29">
        <v>46249</v>
      </c>
      <c r="H3483" s="1" t="s">
        <v>1629</v>
      </c>
      <c r="I3483" s="126" t="s">
        <v>7737</v>
      </c>
      <c r="J3483" s="207">
        <v>18825900485</v>
      </c>
      <c r="K3483" s="171" t="s">
        <v>7738</v>
      </c>
      <c r="L3483" s="62">
        <v>2</v>
      </c>
      <c r="M3483" s="30" t="s">
        <v>7739</v>
      </c>
      <c r="N3483" s="172" t="s">
        <v>32</v>
      </c>
      <c r="O3483" s="52">
        <v>3879.3</v>
      </c>
      <c r="P3483" s="52">
        <v>848</v>
      </c>
      <c r="Q3483" s="42">
        <f>OfficeForms.Table[[#This Row],[ INFORMEDEPAGO ]]*0.3</f>
        <v>1163.79</v>
      </c>
      <c r="R3483" s="12">
        <f t="shared" si="151"/>
        <v>-848</v>
      </c>
      <c r="S3483" s="78"/>
      <c r="T3483" s="1"/>
      <c r="V3483" s="1"/>
      <c r="X3483" s="101">
        <v>1</v>
      </c>
    </row>
    <row r="3484" spans="1:24" hidden="1">
      <c r="A3484">
        <v>1902</v>
      </c>
      <c r="B3484" s="2">
        <v>46249.326851851903</v>
      </c>
      <c r="C3484" s="2">
        <v>46249.352789351797</v>
      </c>
      <c r="D3484" s="1" t="s">
        <v>24</v>
      </c>
      <c r="E3484" s="1"/>
      <c r="F3484" s="29">
        <v>46249</v>
      </c>
      <c r="G3484" s="29">
        <v>46249</v>
      </c>
      <c r="H3484" s="1" t="s">
        <v>1629</v>
      </c>
      <c r="I3484" s="126" t="s">
        <v>7740</v>
      </c>
      <c r="J3484" s="207">
        <v>1178586393</v>
      </c>
      <c r="K3484" s="171" t="s">
        <v>7741</v>
      </c>
      <c r="L3484" s="62">
        <v>2</v>
      </c>
      <c r="M3484" s="30">
        <v>5533724042</v>
      </c>
      <c r="N3484" s="172" t="s">
        <v>37</v>
      </c>
      <c r="O3484" s="43">
        <v>6262.86</v>
      </c>
      <c r="P3484" s="43">
        <v>1800</v>
      </c>
      <c r="Q3484" s="42">
        <f>OfficeForms.Table[[#This Row],[ INFORMEDEPAGO ]]*0.3</f>
        <v>1878.8579999999997</v>
      </c>
      <c r="R3484" s="12">
        <f t="shared" ref="R3484" si="152">(IF(O3484&lt;4172.98,0,MIN(O3484*0.3,O3484-4172.98)))-P3484</f>
        <v>78.85799999999972</v>
      </c>
      <c r="S3484" s="78">
        <v>46478</v>
      </c>
      <c r="T3484" s="1"/>
      <c r="V3484" s="1"/>
      <c r="X3484" s="101">
        <v>2</v>
      </c>
    </row>
    <row r="3485" spans="1:24" hidden="1">
      <c r="A3485">
        <v>1903</v>
      </c>
      <c r="B3485" s="2">
        <v>46249.363842592596</v>
      </c>
      <c r="C3485" s="2">
        <v>46249.370300925897</v>
      </c>
      <c r="D3485" s="1" t="s">
        <v>24</v>
      </c>
      <c r="E3485" s="1"/>
      <c r="F3485" s="29">
        <v>46249</v>
      </c>
      <c r="G3485" s="29">
        <v>46248</v>
      </c>
      <c r="H3485" s="1" t="s">
        <v>7742</v>
      </c>
      <c r="I3485" s="126" t="s">
        <v>7743</v>
      </c>
      <c r="J3485" s="207">
        <v>19786042317</v>
      </c>
      <c r="K3485" s="171" t="s">
        <v>7744</v>
      </c>
      <c r="L3485" s="62">
        <v>23639068</v>
      </c>
      <c r="M3485" s="30">
        <v>6566441066</v>
      </c>
      <c r="N3485" s="172" t="s">
        <v>130</v>
      </c>
      <c r="O3485" s="43">
        <v>4813.6899999999996</v>
      </c>
      <c r="P3485" s="43">
        <v>745.71</v>
      </c>
      <c r="Q3485" s="42">
        <f>OfficeForms.Table[[#This Row],[ INFORMEDEPAGO ]]*0.3</f>
        <v>1444.1069999999997</v>
      </c>
      <c r="R3485" s="12">
        <f>(IF(O3485&lt;4172.98,0,MIN(O3485*0.3,O3485-4172.98)))-P3485</f>
        <v>-105</v>
      </c>
      <c r="S3485" s="78">
        <v>45352</v>
      </c>
      <c r="T3485" s="1"/>
      <c r="V3485" s="1"/>
      <c r="X3485" s="101">
        <v>2</v>
      </c>
    </row>
    <row r="3486" spans="1:24" hidden="1">
      <c r="A3486">
        <v>1904</v>
      </c>
      <c r="B3486" s="2">
        <v>46249.400497685201</v>
      </c>
      <c r="C3486" s="2">
        <v>46249.401574074102</v>
      </c>
      <c r="D3486" s="1" t="s">
        <v>24</v>
      </c>
      <c r="E3486" s="1"/>
      <c r="F3486" s="29">
        <v>46249</v>
      </c>
      <c r="G3486" s="29">
        <v>46249</v>
      </c>
      <c r="H3486" s="1" t="s">
        <v>5605</v>
      </c>
      <c r="I3486" s="126" t="s">
        <v>7745</v>
      </c>
      <c r="J3486" s="207"/>
      <c r="K3486" s="171" t="s">
        <v>7746</v>
      </c>
      <c r="L3486" s="62">
        <v>23654202</v>
      </c>
      <c r="M3486" s="30">
        <v>9511955382</v>
      </c>
      <c r="N3486" s="172" t="s">
        <v>28</v>
      </c>
      <c r="O3486" s="50">
        <v>9760.32</v>
      </c>
      <c r="P3486" s="97"/>
      <c r="Q3486" s="42">
        <f>OfficeForms.Table[[#This Row],[ INFORMEDEPAGO ]]*0.3</f>
        <v>2928.096</v>
      </c>
      <c r="R3486" s="12">
        <f t="shared" ref="R3486:R3489" si="153">(IF(O3486&lt;4172.98,0,MIN(O3486*0.3,O3486-4172.98)))-P3486</f>
        <v>2928.096</v>
      </c>
      <c r="S3486" s="78"/>
      <c r="T3486" s="1"/>
      <c r="V3486" s="1"/>
      <c r="X3486" s="101">
        <v>1</v>
      </c>
    </row>
    <row r="3487" spans="1:24" hidden="1">
      <c r="A3487">
        <v>1905</v>
      </c>
      <c r="B3487" s="2">
        <v>46249.370416666701</v>
      </c>
      <c r="C3487" s="2">
        <v>46249.415659722203</v>
      </c>
      <c r="D3487" s="1" t="s">
        <v>24</v>
      </c>
      <c r="E3487" s="1"/>
      <c r="F3487" s="29">
        <v>46249</v>
      </c>
      <c r="G3487" s="29">
        <v>46247</v>
      </c>
      <c r="H3487" s="1" t="s">
        <v>7742</v>
      </c>
      <c r="I3487" s="126" t="s">
        <v>7747</v>
      </c>
      <c r="J3487" s="207">
        <v>62917111742</v>
      </c>
      <c r="K3487" s="171" t="s">
        <v>7748</v>
      </c>
      <c r="L3487" s="62">
        <v>23602710</v>
      </c>
      <c r="M3487" s="30">
        <v>2211568424</v>
      </c>
      <c r="N3487" s="172" t="s">
        <v>37</v>
      </c>
      <c r="O3487" s="50">
        <v>21903.95</v>
      </c>
      <c r="P3487" s="97">
        <v>6571.19</v>
      </c>
      <c r="Q3487" s="42">
        <f>OfficeForms.Table[[#This Row],[ INFORMEDEPAGO ]]*0.3</f>
        <v>6571.1850000000004</v>
      </c>
      <c r="R3487" s="12">
        <f t="shared" si="153"/>
        <v>-4.9999999991996447E-3</v>
      </c>
      <c r="S3487" s="78">
        <v>46419</v>
      </c>
      <c r="T3487" s="1"/>
      <c r="V3487" s="1"/>
      <c r="X3487" s="101">
        <v>2</v>
      </c>
    </row>
    <row r="3488" spans="1:24" hidden="1">
      <c r="A3488">
        <v>1906</v>
      </c>
      <c r="B3488" s="2">
        <v>46249.394513888903</v>
      </c>
      <c r="C3488" s="2">
        <v>46249.417615740698</v>
      </c>
      <c r="D3488" s="1" t="s">
        <v>24</v>
      </c>
      <c r="E3488" s="1"/>
      <c r="F3488" s="29">
        <v>46249</v>
      </c>
      <c r="G3488" s="29">
        <v>46248</v>
      </c>
      <c r="H3488" s="1" t="s">
        <v>51</v>
      </c>
      <c r="I3488" s="126" t="s">
        <v>7749</v>
      </c>
      <c r="J3488" s="207"/>
      <c r="K3488" s="171" t="s">
        <v>7750</v>
      </c>
      <c r="L3488" s="62">
        <v>23639912</v>
      </c>
      <c r="M3488" s="30">
        <v>5218991604023</v>
      </c>
      <c r="N3488" s="172" t="s">
        <v>37</v>
      </c>
      <c r="O3488" s="50">
        <v>9760.32</v>
      </c>
      <c r="P3488" s="97">
        <v>2806.88</v>
      </c>
      <c r="Q3488" s="42">
        <f>OfficeForms.Table[[#This Row],[ INFORMEDEPAGO ]]*0.3</f>
        <v>2928.096</v>
      </c>
      <c r="R3488" s="12">
        <f t="shared" si="153"/>
        <v>121.21599999999989</v>
      </c>
      <c r="S3488" s="78">
        <v>46631</v>
      </c>
      <c r="T3488" s="1"/>
      <c r="V3488" s="1"/>
      <c r="X3488" s="101">
        <v>2</v>
      </c>
    </row>
    <row r="3489" spans="1:24" hidden="1">
      <c r="A3489">
        <v>1907</v>
      </c>
      <c r="B3489" s="2">
        <v>46249.408402777801</v>
      </c>
      <c r="C3489" s="2">
        <v>46249.418680555602</v>
      </c>
      <c r="D3489" s="1" t="s">
        <v>24</v>
      </c>
      <c r="E3489" s="1"/>
      <c r="F3489" s="29">
        <v>46249</v>
      </c>
      <c r="G3489" s="29">
        <v>46249</v>
      </c>
      <c r="H3489" s="1" t="s">
        <v>71</v>
      </c>
      <c r="I3489" s="126" t="s">
        <v>7751</v>
      </c>
      <c r="J3489" s="207" t="s">
        <v>7752</v>
      </c>
      <c r="K3489" s="171"/>
      <c r="L3489" s="62">
        <v>23654046</v>
      </c>
      <c r="M3489" s="30">
        <v>8718875940</v>
      </c>
      <c r="N3489" s="172" t="s">
        <v>47</v>
      </c>
      <c r="O3489" s="50">
        <v>7920.51</v>
      </c>
      <c r="P3489" s="97">
        <v>1441.51</v>
      </c>
      <c r="Q3489" s="42">
        <f>OfficeForms.Table[[#This Row],[ INFORMEDEPAGO ]]*0.3</f>
        <v>2376.1529999999998</v>
      </c>
      <c r="R3489" s="12">
        <f t="shared" si="153"/>
        <v>934.6429999999998</v>
      </c>
      <c r="S3489" s="78"/>
      <c r="T3489" s="1"/>
      <c r="V3489" s="1"/>
      <c r="X3489" s="101">
        <v>1</v>
      </c>
    </row>
    <row r="3490" spans="1:24" hidden="1">
      <c r="A3490">
        <v>1908</v>
      </c>
      <c r="B3490" s="2">
        <v>46249.436631944402</v>
      </c>
      <c r="C3490" s="2">
        <v>46249.440509259301</v>
      </c>
      <c r="D3490" s="1" t="s">
        <v>24</v>
      </c>
      <c r="E3490" s="1"/>
      <c r="F3490" s="29">
        <v>46249</v>
      </c>
      <c r="G3490" s="29">
        <v>46237</v>
      </c>
      <c r="H3490" s="1" t="s">
        <v>5605</v>
      </c>
      <c r="I3490" s="126" t="s">
        <v>7753</v>
      </c>
      <c r="J3490" s="207"/>
      <c r="K3490" s="171" t="s">
        <v>7754</v>
      </c>
      <c r="L3490" s="62">
        <v>23327768</v>
      </c>
      <c r="M3490" s="30">
        <v>8998994082</v>
      </c>
      <c r="N3490" s="172" t="s">
        <v>32</v>
      </c>
      <c r="O3490" s="50">
        <f>3159.18+848</f>
        <v>4007.18</v>
      </c>
      <c r="P3490" s="97">
        <v>848</v>
      </c>
      <c r="Q3490" s="42">
        <f>OfficeForms.Table[[#This Row],[ INFORMEDEPAGO ]]*0.3</f>
        <v>1202.154</v>
      </c>
      <c r="R3490" s="12">
        <f t="shared" ref="R3490:R3491" si="154">(IF(O3490&lt;4172.98,0,MIN(O3490*0.3,O3490-4172.98)))-P3490</f>
        <v>-848</v>
      </c>
      <c r="S3490" s="78"/>
      <c r="T3490" s="1"/>
      <c r="V3490" s="1"/>
      <c r="X3490" s="101">
        <v>1</v>
      </c>
    </row>
    <row r="3491" spans="1:24" hidden="1">
      <c r="A3491">
        <v>1909</v>
      </c>
      <c r="B3491" s="2">
        <v>46249.441516203697</v>
      </c>
      <c r="C3491" s="2">
        <v>46249.443321759303</v>
      </c>
      <c r="D3491" s="1" t="s">
        <v>24</v>
      </c>
      <c r="E3491" s="1"/>
      <c r="F3491" s="29">
        <v>46249</v>
      </c>
      <c r="G3491" s="29">
        <v>46248</v>
      </c>
      <c r="H3491" s="1" t="s">
        <v>7742</v>
      </c>
      <c r="I3491" s="126" t="s">
        <v>7755</v>
      </c>
      <c r="J3491" s="207" t="s">
        <v>7756</v>
      </c>
      <c r="K3491" s="171" t="s">
        <v>7757</v>
      </c>
      <c r="L3491" s="62">
        <v>23643308</v>
      </c>
      <c r="M3491" s="30">
        <v>4428253564</v>
      </c>
      <c r="N3491" s="172" t="s">
        <v>32</v>
      </c>
      <c r="O3491" s="50">
        <v>3855.42</v>
      </c>
      <c r="P3491" s="97"/>
      <c r="Q3491" s="42">
        <f>OfficeForms.Table[[#This Row],[ INFORMEDEPAGO ]]*0.3</f>
        <v>1156.626</v>
      </c>
      <c r="R3491" s="12">
        <f t="shared" si="154"/>
        <v>0</v>
      </c>
      <c r="S3491" s="78"/>
      <c r="T3491" s="1"/>
      <c r="V3491" s="1"/>
      <c r="X3491" s="101">
        <v>1</v>
      </c>
    </row>
    <row r="3492" spans="1:24" hidden="1">
      <c r="A3492">
        <v>1910</v>
      </c>
      <c r="B3492" s="2">
        <v>46249.387395833299</v>
      </c>
      <c r="C3492" s="2">
        <v>46249.450659722199</v>
      </c>
      <c r="D3492" s="1" t="s">
        <v>24</v>
      </c>
      <c r="E3492" s="1"/>
      <c r="F3492" s="29">
        <v>46249</v>
      </c>
      <c r="G3492" s="29">
        <v>46246</v>
      </c>
      <c r="H3492" s="1" t="s">
        <v>269</v>
      </c>
      <c r="I3492" s="126" t="s">
        <v>7758</v>
      </c>
      <c r="J3492" s="207"/>
      <c r="K3492" s="171" t="s">
        <v>7759</v>
      </c>
      <c r="L3492" s="62">
        <v>23582938</v>
      </c>
      <c r="M3492" s="30">
        <v>5213322576340</v>
      </c>
      <c r="N3492" s="172" t="s">
        <v>28</v>
      </c>
      <c r="O3492" s="50">
        <v>11029.03</v>
      </c>
      <c r="P3492" s="97"/>
      <c r="Q3492" s="42">
        <f>OfficeForms.Table[[#This Row],[ INFORMEDEPAGO ]]*0.3</f>
        <v>3308.7090000000003</v>
      </c>
      <c r="R3492" s="12">
        <f t="shared" ref="R3492:R3494" si="155">(IF(O3492&lt;4172.98,0,MIN(O3492*0.3,O3492-4172.98)))-P3492</f>
        <v>3308.7090000000003</v>
      </c>
      <c r="S3492" s="78"/>
      <c r="T3492" s="1"/>
      <c r="V3492" s="1"/>
      <c r="X3492" s="101">
        <v>1</v>
      </c>
    </row>
    <row r="3493" spans="1:24" hidden="1">
      <c r="A3493">
        <v>1911</v>
      </c>
      <c r="B3493" s="2">
        <v>46249.450937499998</v>
      </c>
      <c r="C3493" s="2">
        <v>46249.4519560185</v>
      </c>
      <c r="D3493" s="1" t="s">
        <v>24</v>
      </c>
      <c r="E3493" s="1"/>
      <c r="F3493" s="29">
        <v>46249</v>
      </c>
      <c r="G3493" s="29">
        <v>46249</v>
      </c>
      <c r="H3493" s="1" t="s">
        <v>107</v>
      </c>
      <c r="I3493" s="126"/>
      <c r="J3493" s="207">
        <v>88856802611</v>
      </c>
      <c r="K3493" s="171"/>
      <c r="L3493" s="62">
        <v>23649164</v>
      </c>
      <c r="M3493" s="30">
        <v>5215512901848</v>
      </c>
      <c r="N3493" s="172" t="s">
        <v>28</v>
      </c>
      <c r="O3493" s="50">
        <f>6256.6+879</f>
        <v>7135.6</v>
      </c>
      <c r="P3493" s="97">
        <v>879</v>
      </c>
      <c r="Q3493" s="42">
        <f>OfficeForms.Table[[#This Row],[ INFORMEDEPAGO ]]*0.3</f>
        <v>2140.6799999999998</v>
      </c>
      <c r="R3493" s="12">
        <f t="shared" si="155"/>
        <v>1261.6799999999998</v>
      </c>
      <c r="S3493" s="78"/>
      <c r="T3493" s="1"/>
      <c r="V3493" s="1"/>
      <c r="X3493" s="101">
        <v>1</v>
      </c>
    </row>
    <row r="3494" spans="1:24" hidden="1">
      <c r="A3494">
        <v>1912</v>
      </c>
      <c r="B3494" s="2">
        <v>46249.4514583333</v>
      </c>
      <c r="C3494" s="2">
        <v>46249.454305555599</v>
      </c>
      <c r="D3494" s="1" t="s">
        <v>24</v>
      </c>
      <c r="E3494" s="1"/>
      <c r="F3494" s="29">
        <v>46249</v>
      </c>
      <c r="G3494" s="29">
        <v>46249</v>
      </c>
      <c r="H3494" s="1" t="s">
        <v>7742</v>
      </c>
      <c r="I3494" s="126" t="s">
        <v>7760</v>
      </c>
      <c r="J3494" s="207"/>
      <c r="K3494" s="171" t="s">
        <v>7761</v>
      </c>
      <c r="L3494" s="62">
        <v>23655368</v>
      </c>
      <c r="M3494" s="30">
        <v>3322692906</v>
      </c>
      <c r="N3494" s="172" t="s">
        <v>263</v>
      </c>
      <c r="O3494" s="52">
        <v>7116.73</v>
      </c>
      <c r="P3494" s="52">
        <v>1974.98</v>
      </c>
      <c r="Q3494" s="42">
        <f>OfficeForms.Table[[#This Row],[ INFORMEDEPAGO ]]*0.3</f>
        <v>2135.0189999999998</v>
      </c>
      <c r="R3494" s="12">
        <f t="shared" si="155"/>
        <v>160.03899999999976</v>
      </c>
      <c r="S3494" s="78">
        <v>46174</v>
      </c>
      <c r="T3494" s="1" t="s">
        <v>84</v>
      </c>
      <c r="V3494" s="1"/>
      <c r="X3494" s="101">
        <v>2</v>
      </c>
    </row>
    <row r="3495" spans="1:24" hidden="1">
      <c r="A3495">
        <v>1913</v>
      </c>
      <c r="B3495" s="2">
        <v>46249.342812499999</v>
      </c>
      <c r="C3495" s="2">
        <v>46249.4547453704</v>
      </c>
      <c r="D3495" s="1" t="s">
        <v>24</v>
      </c>
      <c r="E3495" s="1"/>
      <c r="F3495" s="29">
        <v>46249</v>
      </c>
      <c r="G3495" s="29">
        <v>46248</v>
      </c>
      <c r="H3495" s="1" t="s">
        <v>6605</v>
      </c>
      <c r="I3495" s="126" t="s">
        <v>7762</v>
      </c>
      <c r="J3495" s="207"/>
      <c r="K3495" s="171" t="s">
        <v>7763</v>
      </c>
      <c r="L3495" s="62">
        <v>23642682</v>
      </c>
      <c r="M3495" s="30">
        <v>6692378325</v>
      </c>
      <c r="N3495" s="172" t="s">
        <v>28</v>
      </c>
      <c r="O3495" s="50">
        <v>5617.63</v>
      </c>
      <c r="P3495" s="97"/>
      <c r="Q3495" s="42">
        <f>OfficeForms.Table[[#This Row],[ INFORMEDEPAGO ]]*0.3</f>
        <v>1685.289</v>
      </c>
      <c r="R3495" s="12">
        <f>(IF(O3495&lt;4172.98,0,MIN(O3495*0.3,O3495-4172.98)))-P3495</f>
        <v>1444.6500000000005</v>
      </c>
      <c r="S3495" s="78"/>
      <c r="T3495" s="1"/>
      <c r="V3495" s="1"/>
      <c r="X3495" s="101">
        <v>1</v>
      </c>
    </row>
    <row r="3496" spans="1:24" hidden="1">
      <c r="A3496">
        <v>1914</v>
      </c>
      <c r="B3496" s="2">
        <v>46249.457268518498</v>
      </c>
      <c r="C3496" s="2">
        <v>46249.462326388901</v>
      </c>
      <c r="D3496" s="1" t="s">
        <v>24</v>
      </c>
      <c r="E3496" s="1"/>
      <c r="F3496" s="29">
        <v>46249</v>
      </c>
      <c r="G3496" s="29">
        <v>46247</v>
      </c>
      <c r="H3496" s="1" t="s">
        <v>78</v>
      </c>
      <c r="I3496" s="126" t="s">
        <v>7764</v>
      </c>
      <c r="J3496" s="207"/>
      <c r="K3496" s="171" t="s">
        <v>7765</v>
      </c>
      <c r="L3496" s="62">
        <v>23618202</v>
      </c>
      <c r="M3496" s="30">
        <v>5215564303042</v>
      </c>
      <c r="N3496" s="172" t="s">
        <v>28</v>
      </c>
      <c r="O3496" s="50">
        <v>20827.88</v>
      </c>
      <c r="P3496" s="97"/>
      <c r="Q3496" s="42">
        <f>OfficeForms.Table[[#This Row],[ INFORMEDEPAGO ]]*0.3</f>
        <v>6248.3640000000005</v>
      </c>
      <c r="R3496" s="12">
        <f>(IF(O3496&lt;4172.98,0,MIN(O3496*0.3,O3496-4172.98)))-P3496</f>
        <v>6248.3640000000005</v>
      </c>
      <c r="S3496" s="78"/>
      <c r="T3496" s="1"/>
      <c r="V3496" s="1"/>
      <c r="X3496" s="101">
        <v>1</v>
      </c>
    </row>
    <row r="3497" spans="1:24" hidden="1">
      <c r="A3497">
        <v>1915</v>
      </c>
      <c r="B3497" s="2">
        <v>46249.421747685199</v>
      </c>
      <c r="C3497" s="2">
        <v>46249.4633217593</v>
      </c>
      <c r="D3497" s="1" t="s">
        <v>24</v>
      </c>
      <c r="E3497" s="1"/>
      <c r="F3497" s="29">
        <v>46249</v>
      </c>
      <c r="G3497" s="29">
        <v>46249</v>
      </c>
      <c r="H3497" s="1" t="s">
        <v>71</v>
      </c>
      <c r="I3497" s="126" t="s">
        <v>7766</v>
      </c>
      <c r="J3497" s="207" t="s">
        <v>7767</v>
      </c>
      <c r="K3497" s="171"/>
      <c r="L3497" s="62">
        <v>23653400</v>
      </c>
      <c r="M3497" s="30">
        <v>5215548062565</v>
      </c>
      <c r="N3497" s="172" t="s">
        <v>28</v>
      </c>
      <c r="O3497" s="50">
        <v>11182.26</v>
      </c>
      <c r="P3497" s="97"/>
      <c r="Q3497" s="42">
        <f>OfficeForms.Table[[#This Row],[ INFORMEDEPAGO ]]*0.3</f>
        <v>3354.6779999999999</v>
      </c>
      <c r="R3497" s="12">
        <f>(IF(O3497&lt;4172.98,0,MIN(O3497*0.3,O3497-4172.98)))-P3497</f>
        <v>3354.6779999999999</v>
      </c>
      <c r="S3497" s="78"/>
      <c r="T3497" s="1"/>
      <c r="V3497" s="1"/>
      <c r="X3497" s="101">
        <v>1</v>
      </c>
    </row>
    <row r="3498" spans="1:24" hidden="1">
      <c r="A3498">
        <v>1916</v>
      </c>
      <c r="B3498" s="2">
        <v>46249.417650463001</v>
      </c>
      <c r="C3498" s="2">
        <v>46249.463437500002</v>
      </c>
      <c r="D3498" s="1" t="s">
        <v>24</v>
      </c>
      <c r="E3498" s="1"/>
      <c r="F3498" s="29">
        <v>46249</v>
      </c>
      <c r="G3498" s="29">
        <v>46230</v>
      </c>
      <c r="H3498" s="1" t="s">
        <v>51</v>
      </c>
      <c r="I3498" s="126" t="s">
        <v>7768</v>
      </c>
      <c r="J3498" s="207">
        <v>33867082656</v>
      </c>
      <c r="K3498" s="171" t="s">
        <v>7769</v>
      </c>
      <c r="L3498" s="62">
        <v>23135360</v>
      </c>
      <c r="M3498" s="30">
        <v>5216143544212</v>
      </c>
      <c r="N3498" s="172" t="s">
        <v>32</v>
      </c>
      <c r="O3498" s="50">
        <v>834.59</v>
      </c>
      <c r="P3498" s="97"/>
      <c r="Q3498" s="42">
        <f>OfficeForms.Table[[#This Row],[ INFORMEDEPAGO ]]*0.3</f>
        <v>250.37700000000001</v>
      </c>
      <c r="R3498" s="12">
        <f>(IF(O3498&lt;4172.98,0,MIN(O3498*0.3,O3498-4172.98)))-P3498</f>
        <v>0</v>
      </c>
      <c r="S3498" s="78"/>
      <c r="T3498" s="1"/>
      <c r="V3498" s="1"/>
      <c r="X3498" s="101">
        <v>1</v>
      </c>
    </row>
    <row r="3499" spans="1:24" hidden="1">
      <c r="A3499">
        <v>1917</v>
      </c>
      <c r="B3499" s="2">
        <v>46249.463344907403</v>
      </c>
      <c r="C3499" s="2">
        <v>46249.463981481502</v>
      </c>
      <c r="D3499" s="1" t="s">
        <v>24</v>
      </c>
      <c r="E3499" s="1"/>
      <c r="F3499" s="29">
        <v>46249</v>
      </c>
      <c r="G3499" s="29">
        <v>46247</v>
      </c>
      <c r="H3499" s="1" t="s">
        <v>26</v>
      </c>
      <c r="I3499" s="126" t="s">
        <v>7770</v>
      </c>
      <c r="J3499" s="207"/>
      <c r="K3499" s="171" t="s">
        <v>7641</v>
      </c>
      <c r="L3499" s="62">
        <v>23614036</v>
      </c>
      <c r="M3499" s="30">
        <v>5214773930492</v>
      </c>
      <c r="N3499" s="172" t="s">
        <v>32</v>
      </c>
      <c r="O3499" s="50">
        <v>3855.42</v>
      </c>
      <c r="P3499" s="97"/>
      <c r="Q3499" s="42">
        <f>OfficeForms.Table[[#This Row],[ INFORMEDEPAGO ]]*0.3</f>
        <v>1156.626</v>
      </c>
      <c r="R3499" s="12">
        <f>(IF(O3499&lt;4172.98,0,MIN(O3499*0.3,O3499-4172.98)))-P3499</f>
        <v>0</v>
      </c>
      <c r="S3499" s="78"/>
      <c r="T3499" s="1"/>
      <c r="V3499" s="1"/>
      <c r="X3499" s="101">
        <v>1</v>
      </c>
    </row>
    <row r="3500" spans="1:24" hidden="1">
      <c r="A3500">
        <v>1918</v>
      </c>
      <c r="B3500" s="2">
        <v>46249.466493055603</v>
      </c>
      <c r="C3500" s="2">
        <v>46249.466909722199</v>
      </c>
      <c r="D3500" s="1" t="s">
        <v>24</v>
      </c>
      <c r="E3500" s="1"/>
      <c r="F3500" s="29">
        <v>46249</v>
      </c>
      <c r="G3500" s="29">
        <v>46248</v>
      </c>
      <c r="H3500" s="1" t="s">
        <v>26</v>
      </c>
      <c r="I3500" s="126" t="s">
        <v>2059</v>
      </c>
      <c r="J3500" s="175" t="s">
        <v>7771</v>
      </c>
      <c r="K3500" s="171"/>
      <c r="L3500" s="62">
        <v>23644964</v>
      </c>
      <c r="M3500" s="30">
        <v>5216644605312</v>
      </c>
      <c r="N3500" s="172" t="s">
        <v>32</v>
      </c>
      <c r="O3500" s="50">
        <v>2399.6</v>
      </c>
      <c r="P3500" s="97"/>
      <c r="Q3500" s="42">
        <f>OfficeForms.Table[[#This Row],[ INFORMEDEPAGO ]]*0.3</f>
        <v>719.88</v>
      </c>
      <c r="R3500" s="12">
        <f>(IF(O3500&lt;4172.98,0,MIN(O3500*0.3,O3500-4172.98)))-P3500</f>
        <v>0</v>
      </c>
      <c r="S3500" s="78"/>
      <c r="T3500" s="1"/>
      <c r="V3500" s="1"/>
      <c r="X3500" s="101">
        <v>1</v>
      </c>
    </row>
    <row r="3501" spans="1:24" hidden="1">
      <c r="A3501">
        <v>1919</v>
      </c>
      <c r="B3501" s="2">
        <v>46249.469502314802</v>
      </c>
      <c r="C3501" s="2">
        <v>46249.469953703701</v>
      </c>
      <c r="D3501" s="1" t="s">
        <v>24</v>
      </c>
      <c r="E3501" s="1"/>
      <c r="F3501" s="29">
        <v>46249</v>
      </c>
      <c r="G3501" s="29">
        <v>46248</v>
      </c>
      <c r="H3501" s="1" t="s">
        <v>26</v>
      </c>
      <c r="I3501" s="126" t="s">
        <v>7772</v>
      </c>
      <c r="J3501" s="175"/>
      <c r="K3501" s="171" t="s">
        <v>7773</v>
      </c>
      <c r="L3501" s="119">
        <v>23646572</v>
      </c>
      <c r="M3501" s="30">
        <v>5218648092586</v>
      </c>
      <c r="N3501" s="172" t="s">
        <v>32</v>
      </c>
      <c r="O3501" s="52">
        <v>3568.75</v>
      </c>
      <c r="P3501" s="52">
        <v>879</v>
      </c>
      <c r="Q3501" s="42">
        <f>OfficeForms.Table[[#This Row],[ INFORMEDEPAGO ]]*0.3</f>
        <v>1070.625</v>
      </c>
      <c r="R3501" s="12">
        <f t="shared" ref="R3501:R3502" si="156">(IF(O3501&lt;4172.98,0,MIN(O3501*0.3,O3501-4172.98)))-P3501</f>
        <v>-879</v>
      </c>
      <c r="S3501" s="78"/>
      <c r="T3501" s="1"/>
      <c r="V3501" s="1"/>
      <c r="X3501" s="101">
        <v>1</v>
      </c>
    </row>
    <row r="3502" spans="1:24" hidden="1">
      <c r="A3502">
        <v>1920</v>
      </c>
      <c r="B3502" s="2">
        <v>46249.471354166701</v>
      </c>
      <c r="C3502" s="2">
        <v>46249.472175925897</v>
      </c>
      <c r="D3502" s="1" t="s">
        <v>24</v>
      </c>
      <c r="E3502" s="1"/>
      <c r="F3502" s="29">
        <v>46249</v>
      </c>
      <c r="G3502" s="29">
        <v>46249</v>
      </c>
      <c r="H3502" s="1" t="s">
        <v>71</v>
      </c>
      <c r="I3502" s="126" t="s">
        <v>7774</v>
      </c>
      <c r="J3502" s="175" t="s">
        <v>7775</v>
      </c>
      <c r="K3502" s="171"/>
      <c r="L3502" s="62">
        <v>23651074</v>
      </c>
      <c r="M3502" s="30">
        <v>5218181190717</v>
      </c>
      <c r="N3502" s="172" t="s">
        <v>32</v>
      </c>
      <c r="O3502" s="43">
        <v>4417.93</v>
      </c>
      <c r="P3502" s="43">
        <v>213.51</v>
      </c>
      <c r="Q3502" s="42">
        <f>OfficeForms.Table[[#This Row],[ INFORMEDEPAGO ]]*0.3</f>
        <v>1325.3790000000001</v>
      </c>
      <c r="R3502" s="12">
        <f t="shared" si="156"/>
        <v>31.440000000000737</v>
      </c>
      <c r="S3502" s="78"/>
      <c r="T3502" s="1"/>
      <c r="V3502" s="1"/>
      <c r="X3502" s="101">
        <v>1</v>
      </c>
    </row>
    <row r="3503" spans="1:24" hidden="1">
      <c r="A3503">
        <v>1921</v>
      </c>
      <c r="B3503" s="2">
        <v>46249.463460648098</v>
      </c>
      <c r="C3503" s="2">
        <v>46249.4776851852</v>
      </c>
      <c r="D3503" s="1" t="s">
        <v>24</v>
      </c>
      <c r="E3503" s="1"/>
      <c r="F3503" s="29">
        <v>46249</v>
      </c>
      <c r="G3503" s="29">
        <v>46249</v>
      </c>
      <c r="H3503" s="1" t="s">
        <v>51</v>
      </c>
      <c r="I3503" s="126" t="s">
        <v>7776</v>
      </c>
      <c r="J3503" s="175">
        <v>32786220809</v>
      </c>
      <c r="K3503" s="171" t="s">
        <v>7777</v>
      </c>
      <c r="L3503" s="62">
        <v>23655726</v>
      </c>
      <c r="M3503" s="30">
        <v>5218661123155</v>
      </c>
      <c r="N3503" s="172" t="s">
        <v>37</v>
      </c>
      <c r="O3503" s="52">
        <v>7116.73</v>
      </c>
      <c r="P3503" s="52">
        <v>2133.39</v>
      </c>
      <c r="Q3503" s="42">
        <f>OfficeForms.Table[[#This Row],[ INFORMEDEPAGO ]]*0.3</f>
        <v>2135.0189999999998</v>
      </c>
      <c r="R3503" s="12">
        <f t="shared" ref="R3503" si="157">(IF(O3503&lt;4172.98,0,MIN(O3503*0.3,O3503-4172.98)))-P3503</f>
        <v>1.6289999999999054</v>
      </c>
      <c r="S3503" s="78">
        <v>46844</v>
      </c>
      <c r="T3503" s="1"/>
      <c r="V3503" s="1"/>
      <c r="X3503" s="101">
        <v>2</v>
      </c>
    </row>
    <row r="3504" spans="1:24" hidden="1">
      <c r="A3504">
        <v>1922</v>
      </c>
      <c r="B3504" s="2">
        <v>46249.487592592603</v>
      </c>
      <c r="C3504" s="2">
        <v>46249.488125000003</v>
      </c>
      <c r="D3504" s="1" t="s">
        <v>24</v>
      </c>
      <c r="E3504" s="1"/>
      <c r="F3504" s="29">
        <v>46249</v>
      </c>
      <c r="G3504" s="29">
        <v>46247</v>
      </c>
      <c r="H3504" s="1" t="s">
        <v>26</v>
      </c>
      <c r="I3504" s="126" t="s">
        <v>7778</v>
      </c>
      <c r="J3504" s="175"/>
      <c r="K3504" s="171" t="s">
        <v>7779</v>
      </c>
      <c r="L3504" s="62">
        <v>23614354</v>
      </c>
      <c r="M3504" s="30">
        <v>5216121077048</v>
      </c>
      <c r="N3504" s="172" t="s">
        <v>98</v>
      </c>
      <c r="O3504" s="50"/>
      <c r="P3504" s="97"/>
      <c r="Q3504" s="42">
        <f>OfficeForms.Table[[#This Row],[ INFORMEDEPAGO ]]*0.3</f>
        <v>0</v>
      </c>
      <c r="R3504" s="12">
        <f>(IF(O3504&lt;4172.98,0,MIN(O3504*0.3,O3504-4172.98)))-P3504</f>
        <v>0</v>
      </c>
      <c r="S3504" s="78"/>
      <c r="T3504" s="1"/>
      <c r="V3504" s="1"/>
      <c r="X3504" s="101">
        <v>0</v>
      </c>
    </row>
    <row r="3505" spans="1:24" hidden="1">
      <c r="A3505">
        <v>1923</v>
      </c>
      <c r="B3505" s="2">
        <v>46249.491608796299</v>
      </c>
      <c r="C3505" s="2">
        <v>46249.4932638889</v>
      </c>
      <c r="D3505" s="1" t="s">
        <v>24</v>
      </c>
      <c r="E3505" s="1"/>
      <c r="F3505" s="29">
        <v>46249</v>
      </c>
      <c r="G3505" s="29">
        <v>46245</v>
      </c>
      <c r="H3505" s="1" t="s">
        <v>5691</v>
      </c>
      <c r="I3505" s="126" t="s">
        <v>7780</v>
      </c>
      <c r="J3505" s="175">
        <v>8169828475</v>
      </c>
      <c r="K3505" s="171" t="s">
        <v>7781</v>
      </c>
      <c r="L3505" s="62">
        <v>23550938</v>
      </c>
      <c r="M3505" s="30">
        <v>8719236563</v>
      </c>
      <c r="N3505" s="172" t="s">
        <v>74</v>
      </c>
      <c r="O3505" s="50"/>
      <c r="P3505" s="97"/>
      <c r="Q3505" s="42">
        <f>OfficeForms.Table[[#This Row],[ INFORMEDEPAGO ]]*0.3</f>
        <v>0</v>
      </c>
      <c r="R3505" s="12">
        <f t="shared" ref="R3505:R3506" si="158">(IF(O3505&lt;4172.98,0,MIN(O3505*0.3,O3505-4172.98)))-P3505</f>
        <v>0</v>
      </c>
      <c r="S3505" s="78"/>
      <c r="T3505" s="1"/>
      <c r="V3505" s="1"/>
      <c r="X3505" s="101">
        <v>1</v>
      </c>
    </row>
    <row r="3506" spans="1:24" hidden="1">
      <c r="A3506">
        <v>1924</v>
      </c>
      <c r="B3506" s="2">
        <v>46249.491273148102</v>
      </c>
      <c r="C3506" s="2">
        <v>46249.499062499999</v>
      </c>
      <c r="D3506" s="1" t="s">
        <v>24</v>
      </c>
      <c r="E3506" s="1"/>
      <c r="F3506" s="29">
        <v>46249</v>
      </c>
      <c r="G3506" s="29">
        <v>46249</v>
      </c>
      <c r="H3506" s="1" t="s">
        <v>78</v>
      </c>
      <c r="I3506" s="126" t="s">
        <v>7782</v>
      </c>
      <c r="J3506" s="175" t="s">
        <v>7783</v>
      </c>
      <c r="K3506" s="171" t="s">
        <v>7784</v>
      </c>
      <c r="L3506" s="62">
        <v>23656784</v>
      </c>
      <c r="M3506" s="30">
        <v>5215566557997</v>
      </c>
      <c r="N3506" s="172" t="s">
        <v>37</v>
      </c>
      <c r="O3506" s="43">
        <v>7804.49</v>
      </c>
      <c r="P3506" s="43">
        <v>2255.75</v>
      </c>
      <c r="Q3506" s="42">
        <f>OfficeForms.Table[[#This Row],[ INFORMEDEPAGO ]]*0.3</f>
        <v>2341.3469999999998</v>
      </c>
      <c r="R3506" s="12">
        <f t="shared" si="158"/>
        <v>85.596999999999753</v>
      </c>
      <c r="S3506" s="78">
        <v>46266</v>
      </c>
      <c r="T3506" s="1"/>
      <c r="V3506" s="1"/>
      <c r="X3506" s="101">
        <v>2</v>
      </c>
    </row>
    <row r="3507" spans="1:24" hidden="1">
      <c r="A3507">
        <v>1926</v>
      </c>
      <c r="B3507" s="2">
        <v>46249.527048611097</v>
      </c>
      <c r="C3507" s="2">
        <v>46249.533020833303</v>
      </c>
      <c r="D3507" s="1" t="s">
        <v>24</v>
      </c>
      <c r="E3507" s="1"/>
      <c r="F3507" s="29">
        <v>46249</v>
      </c>
      <c r="G3507" s="29">
        <v>46249</v>
      </c>
      <c r="H3507" s="1" t="s">
        <v>78</v>
      </c>
      <c r="I3507" s="126" t="s">
        <v>7785</v>
      </c>
      <c r="J3507" s="175" t="s">
        <v>7786</v>
      </c>
      <c r="K3507" s="171" t="s">
        <v>7787</v>
      </c>
      <c r="L3507" s="62">
        <v>23656032</v>
      </c>
      <c r="M3507" s="30">
        <v>5213228891351</v>
      </c>
      <c r="N3507" s="172" t="s">
        <v>37</v>
      </c>
      <c r="O3507" s="52">
        <v>9760.32</v>
      </c>
      <c r="P3507" s="52">
        <v>2925.63</v>
      </c>
      <c r="Q3507" s="42">
        <f>OfficeForms.Table[[#This Row],[ INFORMEDEPAGO ]]*0.3</f>
        <v>2928.096</v>
      </c>
      <c r="R3507" s="12">
        <f t="shared" ref="R3507" si="159">(IF(O3507&lt;4172.98,0,MIN(O3507*0.3,O3507-4172.98)))-P3507</f>
        <v>2.4659999999998945</v>
      </c>
      <c r="S3507" s="78">
        <v>46844</v>
      </c>
      <c r="T3507" s="1" t="s">
        <v>84</v>
      </c>
      <c r="V3507" s="1"/>
      <c r="X3507" s="101">
        <v>2</v>
      </c>
    </row>
    <row r="3508" spans="1:24" hidden="1">
      <c r="A3508">
        <v>1927</v>
      </c>
      <c r="B3508" s="2">
        <v>46249.551435185203</v>
      </c>
      <c r="C3508" s="2">
        <v>46249.554004629601</v>
      </c>
      <c r="D3508" s="1" t="s">
        <v>24</v>
      </c>
      <c r="E3508" s="1"/>
      <c r="F3508" s="29">
        <v>46249</v>
      </c>
      <c r="G3508" s="29">
        <v>46248</v>
      </c>
      <c r="H3508" s="1" t="s">
        <v>7742</v>
      </c>
      <c r="I3508" s="126" t="s">
        <v>7788</v>
      </c>
      <c r="J3508" s="175" t="s">
        <v>7789</v>
      </c>
      <c r="K3508" s="171" t="s">
        <v>7790</v>
      </c>
      <c r="L3508" s="62">
        <v>23641594</v>
      </c>
      <c r="M3508" s="30">
        <v>5548579013</v>
      </c>
      <c r="N3508" s="172" t="s">
        <v>28</v>
      </c>
      <c r="O3508" s="67">
        <v>7920.51</v>
      </c>
      <c r="P3508" s="99"/>
      <c r="Q3508" s="42">
        <f>OfficeForms.Table[[#This Row],[ INFORMEDEPAGO ]]*0.3</f>
        <v>2376.1529999999998</v>
      </c>
      <c r="R3508" s="12">
        <f t="shared" ref="R3508" si="160">(IF(O3508&lt;4172.98,0,MIN(O3508*0.3,O3508-4172.98)))-P3508</f>
        <v>2376.1529999999998</v>
      </c>
      <c r="S3508" s="78"/>
      <c r="T3508" s="1"/>
      <c r="V3508" s="1"/>
      <c r="X3508" s="101">
        <v>1</v>
      </c>
    </row>
    <row r="3509" spans="1:24" hidden="1">
      <c r="A3509">
        <v>1928</v>
      </c>
      <c r="B3509" s="2">
        <v>46249.555324074099</v>
      </c>
      <c r="C3509" s="2">
        <v>46249.557141203702</v>
      </c>
      <c r="D3509" s="1" t="s">
        <v>24</v>
      </c>
      <c r="E3509" s="1"/>
      <c r="F3509" s="29">
        <v>46249</v>
      </c>
      <c r="G3509" s="29">
        <v>46249</v>
      </c>
      <c r="H3509" s="1" t="s">
        <v>5605</v>
      </c>
      <c r="I3509" s="126" t="s">
        <v>7791</v>
      </c>
      <c r="J3509" s="175"/>
      <c r="K3509" s="171" t="s">
        <v>7792</v>
      </c>
      <c r="L3509" s="62">
        <v>23657380</v>
      </c>
      <c r="M3509" s="30">
        <v>4422659996</v>
      </c>
      <c r="N3509" s="172" t="s">
        <v>28</v>
      </c>
      <c r="O3509" s="67">
        <v>13870</v>
      </c>
      <c r="P3509" s="99"/>
      <c r="Q3509" s="42">
        <f>OfficeForms.Table[[#This Row],[ INFORMEDEPAGO ]]*0.3</f>
        <v>4161</v>
      </c>
      <c r="R3509" s="12">
        <f t="shared" ref="R3509" si="161">(IF(O3509&lt;4172.98,0,MIN(O3509*0.3,O3509-4172.98)))-P3509</f>
        <v>4161</v>
      </c>
      <c r="S3509" s="78"/>
      <c r="T3509" s="1"/>
      <c r="V3509" s="1"/>
      <c r="X3509" s="101">
        <v>1</v>
      </c>
    </row>
    <row r="3510" spans="1:24" hidden="1">
      <c r="A3510">
        <v>1929</v>
      </c>
      <c r="B3510" s="2">
        <v>46249.568263888897</v>
      </c>
      <c r="C3510" s="2">
        <v>46249.5704513889</v>
      </c>
      <c r="D3510" s="1" t="s">
        <v>24</v>
      </c>
      <c r="E3510" s="1"/>
      <c r="F3510" s="29">
        <v>46249</v>
      </c>
      <c r="G3510" s="29">
        <v>46249</v>
      </c>
      <c r="H3510" s="1" t="s">
        <v>3572</v>
      </c>
      <c r="I3510" s="126" t="s">
        <v>7793</v>
      </c>
      <c r="J3510" s="175" t="s">
        <v>7794</v>
      </c>
      <c r="K3510" s="171"/>
      <c r="L3510" s="62">
        <v>23658476</v>
      </c>
      <c r="M3510" s="30">
        <v>5539511754</v>
      </c>
      <c r="N3510" s="172" t="s">
        <v>32</v>
      </c>
      <c r="O3510" s="67">
        <v>3131.8</v>
      </c>
      <c r="P3510" s="99">
        <v>782</v>
      </c>
      <c r="Q3510" s="42">
        <f>OfficeForms.Table[[#This Row],[ INFORMEDEPAGO ]]*0.3</f>
        <v>939.54</v>
      </c>
      <c r="R3510" s="12">
        <f t="shared" ref="R3510:R3549" si="162">(IF(O3510&lt;4172.98,0,MIN(O3510*0.3,O3510-4172.98)))-P3510</f>
        <v>-782</v>
      </c>
      <c r="S3510" s="78"/>
      <c r="T3510" s="1"/>
      <c r="V3510" s="1"/>
      <c r="X3510" s="101">
        <v>1</v>
      </c>
    </row>
    <row r="3511" spans="1:24" hidden="1">
      <c r="A3511">
        <v>1930</v>
      </c>
      <c r="B3511" s="2">
        <v>46249.582766203697</v>
      </c>
      <c r="C3511" s="2">
        <v>46249.583877314799</v>
      </c>
      <c r="D3511" s="1" t="s">
        <v>24</v>
      </c>
      <c r="E3511" s="1"/>
      <c r="F3511" s="29">
        <v>46249</v>
      </c>
      <c r="G3511" s="29">
        <v>46248</v>
      </c>
      <c r="H3511" s="1" t="s">
        <v>5691</v>
      </c>
      <c r="I3511" s="126" t="s">
        <v>7795</v>
      </c>
      <c r="J3511" s="175"/>
      <c r="K3511" s="171" t="s">
        <v>7796</v>
      </c>
      <c r="L3511" s="62">
        <v>23657474</v>
      </c>
      <c r="M3511" s="30">
        <v>3333767643</v>
      </c>
      <c r="N3511" s="172" t="s">
        <v>47</v>
      </c>
      <c r="O3511" s="50">
        <f>4794.22+848</f>
        <v>5642.22</v>
      </c>
      <c r="P3511" s="97">
        <v>848</v>
      </c>
      <c r="Q3511" s="42">
        <f>OfficeForms.Table[[#This Row],[ INFORMEDEPAGO ]]*0.3</f>
        <v>1692.6659999999999</v>
      </c>
      <c r="R3511" s="12">
        <f t="shared" si="162"/>
        <v>621.24000000000069</v>
      </c>
      <c r="S3511" s="78"/>
      <c r="T3511" s="1"/>
      <c r="V3511" s="1"/>
      <c r="X3511" s="101">
        <v>1</v>
      </c>
    </row>
    <row r="3512" spans="1:24" hidden="1">
      <c r="A3512">
        <v>1931</v>
      </c>
      <c r="B3512" s="2">
        <v>46249.596018518503</v>
      </c>
      <c r="C3512" s="2">
        <v>46249.597256944398</v>
      </c>
      <c r="D3512" s="1" t="s">
        <v>24</v>
      </c>
      <c r="E3512" s="1"/>
      <c r="F3512" s="29">
        <v>46249</v>
      </c>
      <c r="G3512" s="29">
        <v>46249</v>
      </c>
      <c r="H3512" s="1" t="s">
        <v>7742</v>
      </c>
      <c r="I3512" s="126" t="s">
        <v>7797</v>
      </c>
      <c r="J3512" s="175"/>
      <c r="K3512" s="171" t="s">
        <v>7798</v>
      </c>
      <c r="L3512" s="62">
        <v>23657116</v>
      </c>
      <c r="M3512" s="30">
        <v>5526930045</v>
      </c>
      <c r="N3512" s="172" t="s">
        <v>98</v>
      </c>
      <c r="O3512" s="50"/>
      <c r="P3512" s="97"/>
      <c r="Q3512" s="42">
        <f>OfficeForms.Table[[#This Row],[ INFORMEDEPAGO ]]*0.3</f>
        <v>0</v>
      </c>
      <c r="R3512" s="12">
        <f t="shared" si="162"/>
        <v>0</v>
      </c>
      <c r="S3512" s="78"/>
      <c r="T3512" s="1"/>
      <c r="V3512" s="1"/>
      <c r="X3512" s="101">
        <v>0</v>
      </c>
    </row>
    <row r="3513" spans="1:24" hidden="1">
      <c r="A3513">
        <v>1932</v>
      </c>
      <c r="B3513" s="2">
        <v>46249.605370370402</v>
      </c>
      <c r="C3513" s="2">
        <v>46249.606747685197</v>
      </c>
      <c r="D3513" s="1" t="s">
        <v>24</v>
      </c>
      <c r="E3513" s="1"/>
      <c r="F3513" s="29">
        <v>46249</v>
      </c>
      <c r="G3513" s="29">
        <v>46248</v>
      </c>
      <c r="H3513" s="1" t="s">
        <v>5691</v>
      </c>
      <c r="I3513" s="126" t="s">
        <v>7799</v>
      </c>
      <c r="J3513" s="175">
        <v>37897043479</v>
      </c>
      <c r="K3513" s="171" t="s">
        <v>7800</v>
      </c>
      <c r="L3513" s="62">
        <v>23655978</v>
      </c>
      <c r="M3513" s="30">
        <v>5564529006</v>
      </c>
      <c r="N3513" s="172" t="s">
        <v>47</v>
      </c>
      <c r="O3513" s="50">
        <v>24572.71</v>
      </c>
      <c r="P3513" s="97">
        <v>6286.5</v>
      </c>
      <c r="Q3513" s="42">
        <f>OfficeForms.Table[[#This Row],[ INFORMEDEPAGO ]]*0.3</f>
        <v>7371.8129999999992</v>
      </c>
      <c r="R3513" s="12">
        <f t="shared" si="162"/>
        <v>1085.3129999999992</v>
      </c>
      <c r="S3513" s="78">
        <v>46419</v>
      </c>
      <c r="T3513" s="1"/>
      <c r="V3513" s="1"/>
      <c r="X3513" s="101">
        <v>2</v>
      </c>
    </row>
    <row r="3514" spans="1:24" hidden="1">
      <c r="A3514">
        <v>1933</v>
      </c>
      <c r="B3514" s="2">
        <v>46249.606516203698</v>
      </c>
      <c r="C3514" s="2">
        <v>46249.607557870397</v>
      </c>
      <c r="D3514" s="1" t="s">
        <v>24</v>
      </c>
      <c r="E3514" s="1"/>
      <c r="F3514" s="29">
        <v>46249</v>
      </c>
      <c r="G3514" s="29">
        <v>46249</v>
      </c>
      <c r="H3514" s="1" t="s">
        <v>5605</v>
      </c>
      <c r="I3514" s="126" t="s">
        <v>7801</v>
      </c>
      <c r="J3514" s="175"/>
      <c r="K3514" s="171" t="s">
        <v>7802</v>
      </c>
      <c r="L3514" s="62">
        <v>23658808</v>
      </c>
      <c r="M3514" s="30">
        <v>2225312270</v>
      </c>
      <c r="N3514" s="172" t="s">
        <v>98</v>
      </c>
      <c r="O3514" s="50"/>
      <c r="P3514" s="97"/>
      <c r="Q3514" s="42">
        <f>OfficeForms.Table[[#This Row],[ INFORMEDEPAGO ]]*0.3</f>
        <v>0</v>
      </c>
      <c r="R3514" s="12">
        <f t="shared" si="162"/>
        <v>0</v>
      </c>
      <c r="S3514" s="78"/>
      <c r="T3514" s="1"/>
      <c r="V3514" s="1"/>
      <c r="X3514" s="101">
        <v>0</v>
      </c>
    </row>
    <row r="3515" spans="1:24" hidden="1">
      <c r="A3515">
        <v>1934</v>
      </c>
      <c r="B3515" s="2">
        <v>46249.610509259299</v>
      </c>
      <c r="C3515" s="2">
        <v>46249.614432870403</v>
      </c>
      <c r="D3515" s="1" t="s">
        <v>24</v>
      </c>
      <c r="E3515" s="1"/>
      <c r="F3515" s="29">
        <v>46249</v>
      </c>
      <c r="G3515" s="29">
        <v>46248</v>
      </c>
      <c r="H3515" s="1" t="s">
        <v>6605</v>
      </c>
      <c r="I3515" s="126" t="s">
        <v>7803</v>
      </c>
      <c r="J3515" s="175"/>
      <c r="K3515" s="171" t="s">
        <v>7804</v>
      </c>
      <c r="L3515" s="62">
        <v>23642152</v>
      </c>
      <c r="M3515" s="30">
        <v>5526896630</v>
      </c>
      <c r="N3515" s="172" t="s">
        <v>28</v>
      </c>
      <c r="O3515" s="50">
        <v>8427.4</v>
      </c>
      <c r="P3515" s="97"/>
      <c r="Q3515" s="42">
        <f>OfficeForms.Table[[#This Row],[ INFORMEDEPAGO ]]*0.3</f>
        <v>2528.2199999999998</v>
      </c>
      <c r="R3515" s="12">
        <f t="shared" si="162"/>
        <v>2528.2199999999998</v>
      </c>
      <c r="S3515" s="78"/>
      <c r="T3515" s="1"/>
      <c r="V3515" s="1"/>
      <c r="X3515" s="101">
        <v>1</v>
      </c>
    </row>
    <row r="3516" spans="1:24" hidden="1">
      <c r="A3516">
        <v>1935</v>
      </c>
      <c r="B3516" s="2">
        <v>46249.616319444402</v>
      </c>
      <c r="C3516" s="2">
        <v>46249.620486111096</v>
      </c>
      <c r="D3516" s="1" t="s">
        <v>24</v>
      </c>
      <c r="E3516" s="1"/>
      <c r="F3516" s="29">
        <v>46249</v>
      </c>
      <c r="G3516" s="29">
        <v>46249</v>
      </c>
      <c r="H3516" s="1" t="s">
        <v>51</v>
      </c>
      <c r="I3516" s="126" t="s">
        <v>7805</v>
      </c>
      <c r="J3516" s="207" t="s">
        <v>7806</v>
      </c>
      <c r="K3516" s="171" t="s">
        <v>7807</v>
      </c>
      <c r="L3516" s="62">
        <v>23658726</v>
      </c>
      <c r="M3516" s="30">
        <v>5218443403521</v>
      </c>
      <c r="N3516" s="172" t="s">
        <v>37</v>
      </c>
      <c r="O3516" s="50">
        <v>8181.55</v>
      </c>
      <c r="P3516" s="97">
        <v>2449.71</v>
      </c>
      <c r="Q3516" s="42">
        <f>OfficeForms.Table[[#This Row],[ INFORMEDEPAGO ]]*0.3</f>
        <v>2454.4650000000001</v>
      </c>
      <c r="R3516" s="12">
        <f t="shared" si="162"/>
        <v>4.7550000000001091</v>
      </c>
      <c r="S3516" s="78">
        <v>46569</v>
      </c>
      <c r="T3516" s="1"/>
      <c r="V3516" s="1"/>
      <c r="X3516" s="101">
        <v>2</v>
      </c>
    </row>
    <row r="3517" spans="1:24" hidden="1">
      <c r="A3517">
        <v>1936</v>
      </c>
      <c r="B3517" s="2">
        <v>46249.551446759302</v>
      </c>
      <c r="C3517" s="2">
        <v>46249.626134259299</v>
      </c>
      <c r="D3517" s="1" t="s">
        <v>24</v>
      </c>
      <c r="E3517" s="1"/>
      <c r="F3517" s="29">
        <v>46249</v>
      </c>
      <c r="G3517" s="29">
        <v>46249</v>
      </c>
      <c r="H3517" s="1" t="s">
        <v>269</v>
      </c>
      <c r="I3517" s="126" t="s">
        <v>7808</v>
      </c>
      <c r="J3517" s="175"/>
      <c r="K3517" s="171" t="s">
        <v>7809</v>
      </c>
      <c r="L3517" s="62">
        <v>23655758</v>
      </c>
      <c r="M3517" s="30">
        <v>5214423533075</v>
      </c>
      <c r="N3517" s="172" t="s">
        <v>106</v>
      </c>
      <c r="O3517" s="50">
        <v>41759.47</v>
      </c>
      <c r="P3517" s="97">
        <v>11571</v>
      </c>
      <c r="Q3517" s="42">
        <f>OfficeForms.Table[[#This Row],[ INFORMEDEPAGO ]]*0.3</f>
        <v>12527.841</v>
      </c>
      <c r="R3517" s="12">
        <f t="shared" si="162"/>
        <v>956.84100000000035</v>
      </c>
      <c r="S3517" s="78">
        <v>46235</v>
      </c>
      <c r="T3517" s="1"/>
      <c r="V3517" s="1"/>
      <c r="X3517" s="101">
        <v>2</v>
      </c>
    </row>
    <row r="3518" spans="1:24" hidden="1">
      <c r="A3518">
        <v>1937</v>
      </c>
      <c r="B3518" s="2">
        <v>46249.6378819444</v>
      </c>
      <c r="C3518" s="2">
        <v>46249.638622685197</v>
      </c>
      <c r="D3518" s="1" t="s">
        <v>24</v>
      </c>
      <c r="E3518" s="1"/>
      <c r="F3518" s="29">
        <v>46249</v>
      </c>
      <c r="G3518" s="29">
        <v>46248</v>
      </c>
      <c r="H3518" s="1" t="s">
        <v>5691</v>
      </c>
      <c r="I3518" s="126" t="s">
        <v>7810</v>
      </c>
      <c r="J3518" s="175"/>
      <c r="K3518" s="171" t="s">
        <v>7811</v>
      </c>
      <c r="L3518" s="62">
        <v>23660426</v>
      </c>
      <c r="M3518" s="30">
        <v>2221645720</v>
      </c>
      <c r="N3518" s="172" t="s">
        <v>37</v>
      </c>
      <c r="O3518" s="50">
        <v>9760.32</v>
      </c>
      <c r="P3518" s="97">
        <v>2823.89</v>
      </c>
      <c r="Q3518" s="42">
        <f>OfficeForms.Table[[#This Row],[ INFORMEDEPAGO ]]*0.3</f>
        <v>2928.096</v>
      </c>
      <c r="R3518" s="12">
        <f t="shared" si="162"/>
        <v>104.20600000000013</v>
      </c>
      <c r="S3518" s="78">
        <v>46722</v>
      </c>
      <c r="T3518" s="1"/>
      <c r="V3518" s="1"/>
      <c r="X3518" s="101">
        <v>2</v>
      </c>
    </row>
    <row r="3519" spans="1:24" hidden="1">
      <c r="A3519">
        <v>1938</v>
      </c>
      <c r="B3519" s="2">
        <v>46249.364201388897</v>
      </c>
      <c r="C3519" s="2">
        <v>46249.656990740703</v>
      </c>
      <c r="D3519" s="1" t="s">
        <v>24</v>
      </c>
      <c r="E3519" s="1"/>
      <c r="F3519" s="29">
        <v>46249</v>
      </c>
      <c r="G3519" s="29">
        <v>46249</v>
      </c>
      <c r="H3519" s="1" t="s">
        <v>7812</v>
      </c>
      <c r="I3519" s="126"/>
      <c r="J3519" s="175">
        <v>64856524786</v>
      </c>
      <c r="K3519" s="171"/>
      <c r="L3519" s="62">
        <v>23659986</v>
      </c>
      <c r="M3519" s="30">
        <v>7721519113</v>
      </c>
      <c r="N3519" s="172" t="s">
        <v>98</v>
      </c>
      <c r="O3519" s="50"/>
      <c r="P3519" s="97"/>
      <c r="Q3519" s="42">
        <f>OfficeForms.Table[[#This Row],[ INFORMEDEPAGO ]]*0.3</f>
        <v>0</v>
      </c>
      <c r="R3519" s="12">
        <f t="shared" si="162"/>
        <v>0</v>
      </c>
      <c r="S3519" s="78"/>
      <c r="T3519" s="1"/>
      <c r="V3519" s="1"/>
      <c r="X3519" s="101">
        <v>0</v>
      </c>
    </row>
    <row r="3520" spans="1:24" hidden="1">
      <c r="A3520">
        <v>1939</v>
      </c>
      <c r="B3520" s="2">
        <v>46249.620497685202</v>
      </c>
      <c r="C3520" s="2">
        <v>46249.663078703699</v>
      </c>
      <c r="D3520" s="1" t="s">
        <v>24</v>
      </c>
      <c r="E3520" s="1"/>
      <c r="F3520" s="29">
        <v>46249</v>
      </c>
      <c r="G3520" s="29">
        <v>46245</v>
      </c>
      <c r="H3520" s="1" t="s">
        <v>51</v>
      </c>
      <c r="I3520" s="126" t="s">
        <v>7813</v>
      </c>
      <c r="J3520" s="175"/>
      <c r="K3520" s="171" t="s">
        <v>7814</v>
      </c>
      <c r="L3520" s="62">
        <v>23538562</v>
      </c>
      <c r="M3520" s="30">
        <v>5215510948410</v>
      </c>
      <c r="N3520" s="172" t="s">
        <v>74</v>
      </c>
      <c r="O3520" s="50"/>
      <c r="P3520" s="97"/>
      <c r="Q3520" s="42">
        <f>OfficeForms.Table[[#This Row],[ INFORMEDEPAGO ]]*0.3</f>
        <v>0</v>
      </c>
      <c r="R3520" s="12">
        <f t="shared" si="162"/>
        <v>0</v>
      </c>
      <c r="S3520" s="78"/>
      <c r="T3520" s="1"/>
      <c r="V3520" s="1"/>
      <c r="X3520" s="101">
        <v>1</v>
      </c>
    </row>
    <row r="3521" spans="1:24" hidden="1">
      <c r="A3521">
        <v>1940</v>
      </c>
      <c r="B3521" s="2">
        <v>46249.681319444397</v>
      </c>
      <c r="C3521" s="2">
        <v>46249.682314814803</v>
      </c>
      <c r="D3521" s="1" t="s">
        <v>24</v>
      </c>
      <c r="E3521" s="1"/>
      <c r="F3521" s="29">
        <v>46249</v>
      </c>
      <c r="G3521" s="29">
        <v>46249</v>
      </c>
      <c r="H3521" s="1" t="s">
        <v>3572</v>
      </c>
      <c r="I3521" s="126" t="s">
        <v>7815</v>
      </c>
      <c r="J3521" s="175"/>
      <c r="K3521" s="171" t="s">
        <v>7816</v>
      </c>
      <c r="L3521" s="62">
        <v>23660998</v>
      </c>
      <c r="M3521" s="30">
        <v>4422725280</v>
      </c>
      <c r="N3521" s="172" t="s">
        <v>28</v>
      </c>
      <c r="O3521" s="50">
        <v>5887.44</v>
      </c>
      <c r="P3521" s="97"/>
      <c r="Q3521" s="42">
        <f>OfficeForms.Table[[#This Row],[ INFORMEDEPAGO ]]*0.3</f>
        <v>1766.2319999999997</v>
      </c>
      <c r="R3521" s="12">
        <f t="shared" si="162"/>
        <v>1714.46</v>
      </c>
      <c r="S3521" s="78"/>
      <c r="T3521" s="1"/>
      <c r="V3521" s="1"/>
      <c r="X3521" s="101">
        <v>1</v>
      </c>
    </row>
    <row r="3522" spans="1:24" hidden="1">
      <c r="A3522">
        <v>1941</v>
      </c>
      <c r="B3522" s="2">
        <v>46249.672465277799</v>
      </c>
      <c r="C3522" s="2">
        <v>46249.683854166702</v>
      </c>
      <c r="D3522" s="1" t="s">
        <v>24</v>
      </c>
      <c r="E3522" s="1"/>
      <c r="F3522" s="29">
        <v>46249</v>
      </c>
      <c r="G3522" s="29">
        <v>46245</v>
      </c>
      <c r="H3522" s="1" t="s">
        <v>78</v>
      </c>
      <c r="I3522" s="126" t="s">
        <v>7817</v>
      </c>
      <c r="J3522" s="175"/>
      <c r="K3522" s="171" t="s">
        <v>7818</v>
      </c>
      <c r="L3522" s="62">
        <v>23554472</v>
      </c>
      <c r="M3522" s="30">
        <v>5214426546619</v>
      </c>
      <c r="N3522" s="172" t="s">
        <v>106</v>
      </c>
      <c r="O3522" s="50">
        <v>7920.51</v>
      </c>
      <c r="P3522" s="97">
        <v>2285.04</v>
      </c>
      <c r="Q3522" s="42">
        <f>OfficeForms.Table[[#This Row],[ INFORMEDEPAGO ]]*0.3</f>
        <v>2376.1529999999998</v>
      </c>
      <c r="R3522" s="12">
        <f t="shared" si="162"/>
        <v>91.112999999999829</v>
      </c>
      <c r="S3522" s="78">
        <v>45962</v>
      </c>
      <c r="T3522" s="1"/>
      <c r="V3522" s="1"/>
      <c r="X3522" s="101">
        <v>2</v>
      </c>
    </row>
    <row r="3523" spans="1:24" hidden="1">
      <c r="A3523">
        <v>1942</v>
      </c>
      <c r="B3523" s="2">
        <v>46249.683171296303</v>
      </c>
      <c r="C3523" s="2">
        <v>46249.684236111098</v>
      </c>
      <c r="D3523" s="1" t="s">
        <v>24</v>
      </c>
      <c r="E3523" s="1"/>
      <c r="F3523" s="29">
        <v>46249</v>
      </c>
      <c r="G3523" s="29">
        <v>46249</v>
      </c>
      <c r="H3523" s="1" t="s">
        <v>6605</v>
      </c>
      <c r="I3523" s="126" t="s">
        <v>7819</v>
      </c>
      <c r="J3523" s="175"/>
      <c r="K3523" s="171" t="s">
        <v>7820</v>
      </c>
      <c r="L3523" s="62">
        <v>23657094</v>
      </c>
      <c r="M3523" s="30">
        <v>6648561730</v>
      </c>
      <c r="N3523" s="172" t="s">
        <v>28</v>
      </c>
      <c r="O3523" s="50">
        <v>9081.52</v>
      </c>
      <c r="P3523" s="97">
        <v>968.88</v>
      </c>
      <c r="Q3523" s="42">
        <f>OfficeForms.Table[[#This Row],[ INFORMEDEPAGO ]]*0.3</f>
        <v>2724.4560000000001</v>
      </c>
      <c r="R3523" s="12">
        <f t="shared" si="162"/>
        <v>1755.576</v>
      </c>
      <c r="S3523" s="78">
        <v>46419</v>
      </c>
      <c r="T3523" s="1"/>
      <c r="V3523" s="1"/>
      <c r="X3523" s="101">
        <v>2</v>
      </c>
    </row>
    <row r="3524" spans="1:24" hidden="1">
      <c r="A3524">
        <v>1943</v>
      </c>
      <c r="B3524" s="2">
        <v>46249.686516203699</v>
      </c>
      <c r="C3524" s="2">
        <v>46249.6887615741</v>
      </c>
      <c r="D3524" s="1" t="s">
        <v>24</v>
      </c>
      <c r="E3524" s="1"/>
      <c r="F3524" s="29">
        <v>46249</v>
      </c>
      <c r="G3524" s="29">
        <v>46246</v>
      </c>
      <c r="H3524" s="1" t="s">
        <v>7742</v>
      </c>
      <c r="I3524" s="126" t="s">
        <v>7821</v>
      </c>
      <c r="J3524" s="175"/>
      <c r="K3524" s="171" t="s">
        <v>7822</v>
      </c>
      <c r="L3524" s="62">
        <v>23578832</v>
      </c>
      <c r="M3524" s="30">
        <v>4888832501</v>
      </c>
      <c r="N3524" s="172" t="s">
        <v>28</v>
      </c>
      <c r="O3524" s="50">
        <v>22646.44</v>
      </c>
      <c r="P3524" s="97"/>
      <c r="Q3524" s="42">
        <f>OfficeForms.Table[[#This Row],[ INFORMEDEPAGO ]]*0.3</f>
        <v>6793.9319999999998</v>
      </c>
      <c r="R3524" s="12">
        <f t="shared" si="162"/>
        <v>6793.9319999999998</v>
      </c>
      <c r="S3524" s="78"/>
      <c r="T3524" s="1"/>
      <c r="V3524" s="1"/>
      <c r="X3524" s="101">
        <v>1</v>
      </c>
    </row>
    <row r="3525" spans="1:24" hidden="1">
      <c r="A3525">
        <v>1944</v>
      </c>
      <c r="B3525" s="2">
        <v>46249.692280092597</v>
      </c>
      <c r="C3525" s="2">
        <v>46249.692905092597</v>
      </c>
      <c r="D3525" s="1" t="s">
        <v>24</v>
      </c>
      <c r="E3525" s="1"/>
      <c r="F3525" s="29">
        <v>46249</v>
      </c>
      <c r="G3525" s="29">
        <v>46248</v>
      </c>
      <c r="H3525" s="1" t="s">
        <v>71</v>
      </c>
      <c r="I3525" s="126" t="s">
        <v>7823</v>
      </c>
      <c r="J3525" s="175" t="s">
        <v>7824</v>
      </c>
      <c r="K3525" s="171"/>
      <c r="L3525" s="62">
        <v>23647128</v>
      </c>
      <c r="M3525" s="30">
        <v>5217227549900</v>
      </c>
      <c r="N3525" s="172" t="s">
        <v>37</v>
      </c>
      <c r="O3525" s="50">
        <v>14299.58</v>
      </c>
      <c r="P3525" s="97">
        <v>4289.87</v>
      </c>
      <c r="Q3525" s="42">
        <f>OfficeForms.Table[[#This Row],[ INFORMEDEPAGO ]]*0.3</f>
        <v>4289.8739999999998</v>
      </c>
      <c r="R3525" s="12">
        <f t="shared" si="162"/>
        <v>3.9999999999054126E-3</v>
      </c>
      <c r="S3525" s="78">
        <v>46327</v>
      </c>
      <c r="T3525" s="1"/>
      <c r="V3525" s="1"/>
      <c r="X3525" s="101">
        <v>2</v>
      </c>
    </row>
    <row r="3526" spans="1:24" hidden="1">
      <c r="A3526">
        <v>1945</v>
      </c>
      <c r="B3526" s="2">
        <v>46249.691689814797</v>
      </c>
      <c r="C3526" s="2">
        <v>46249.692986111098</v>
      </c>
      <c r="D3526" s="1" t="s">
        <v>24</v>
      </c>
      <c r="E3526" s="1"/>
      <c r="F3526" s="29">
        <v>46249</v>
      </c>
      <c r="G3526" s="29">
        <v>46249</v>
      </c>
      <c r="H3526" s="1" t="s">
        <v>6605</v>
      </c>
      <c r="I3526" s="126" t="s">
        <v>7825</v>
      </c>
      <c r="J3526" s="209" t="s">
        <v>7826</v>
      </c>
      <c r="K3526" s="171" t="s">
        <v>7827</v>
      </c>
      <c r="L3526" s="62">
        <v>23660920</v>
      </c>
      <c r="M3526" s="30">
        <v>7721854534</v>
      </c>
      <c r="N3526" s="172" t="s">
        <v>263</v>
      </c>
      <c r="O3526" s="50">
        <v>4558.76</v>
      </c>
      <c r="P3526" s="97">
        <f>162.53+860.83</f>
        <v>1023.36</v>
      </c>
      <c r="Q3526" s="42">
        <f>OfficeForms.Table[[#This Row],[ INFORMEDEPAGO ]]*0.3</f>
        <v>1367.6279999999999</v>
      </c>
      <c r="R3526" s="12">
        <f t="shared" si="162"/>
        <v>-637.57999999999936</v>
      </c>
      <c r="S3526" s="78">
        <v>44866</v>
      </c>
      <c r="T3526" s="1"/>
      <c r="V3526" s="1"/>
      <c r="X3526" s="101">
        <v>2</v>
      </c>
    </row>
    <row r="3527" spans="1:24" hidden="1">
      <c r="A3527">
        <v>1946</v>
      </c>
      <c r="B3527" s="2">
        <v>46249.691932870403</v>
      </c>
      <c r="C3527" s="2">
        <v>46249.693078703698</v>
      </c>
      <c r="D3527" s="1" t="s">
        <v>24</v>
      </c>
      <c r="E3527" s="1"/>
      <c r="F3527" s="29">
        <v>46249</v>
      </c>
      <c r="G3527" s="29">
        <v>46248</v>
      </c>
      <c r="H3527" s="1" t="s">
        <v>7742</v>
      </c>
      <c r="I3527" s="126" t="s">
        <v>7828</v>
      </c>
      <c r="J3527" s="175"/>
      <c r="K3527" s="171" t="s">
        <v>7829</v>
      </c>
      <c r="L3527" s="62">
        <v>23640980</v>
      </c>
      <c r="M3527" s="30">
        <v>5569022312</v>
      </c>
      <c r="N3527" s="172" t="s">
        <v>37</v>
      </c>
      <c r="O3527" s="50">
        <v>7512.02</v>
      </c>
      <c r="P3527" s="97">
        <v>2172.98</v>
      </c>
      <c r="Q3527" s="42">
        <f>OfficeForms.Table[[#This Row],[ INFORMEDEPAGO ]]*0.3</f>
        <v>2253.6060000000002</v>
      </c>
      <c r="R3527" s="12">
        <f t="shared" ref="R3527" si="163">(IF(O3527&lt;4172.98,0,MIN(O3527*0.3,O3527-4172.98)))-P3527</f>
        <v>80.626000000000204</v>
      </c>
      <c r="S3527" s="78">
        <v>46508</v>
      </c>
      <c r="T3527" s="1"/>
      <c r="V3527" s="1"/>
      <c r="X3527" s="101">
        <v>2</v>
      </c>
    </row>
    <row r="3528" spans="1:24" hidden="1">
      <c r="A3528">
        <v>1947</v>
      </c>
      <c r="B3528" s="2">
        <v>46249.663101851896</v>
      </c>
      <c r="C3528" s="2">
        <v>46249.704351851797</v>
      </c>
      <c r="D3528" s="1" t="s">
        <v>24</v>
      </c>
      <c r="E3528" s="1"/>
      <c r="F3528" s="29">
        <v>46249</v>
      </c>
      <c r="G3528" s="29">
        <v>46225</v>
      </c>
      <c r="H3528" s="1" t="s">
        <v>51</v>
      </c>
      <c r="I3528" s="126" t="s">
        <v>7830</v>
      </c>
      <c r="J3528" s="175"/>
      <c r="K3528" s="171" t="s">
        <v>7831</v>
      </c>
      <c r="L3528" s="62">
        <v>23005634</v>
      </c>
      <c r="M3528" s="30">
        <v>5215580661604</v>
      </c>
      <c r="N3528" s="172" t="s">
        <v>32</v>
      </c>
      <c r="O3528" s="50">
        <v>3961.31</v>
      </c>
      <c r="P3528" s="97"/>
      <c r="Q3528" s="42">
        <f>OfficeForms.Table[[#This Row],[ INFORMEDEPAGO ]]*0.3</f>
        <v>1188.393</v>
      </c>
      <c r="R3528" s="12">
        <f t="shared" si="162"/>
        <v>0</v>
      </c>
      <c r="S3528" s="78"/>
      <c r="T3528" s="1"/>
      <c r="V3528" s="1"/>
      <c r="X3528" s="101">
        <v>1</v>
      </c>
    </row>
    <row r="3529" spans="1:24" hidden="1">
      <c r="A3529">
        <v>1948</v>
      </c>
      <c r="B3529" s="2">
        <v>46249.706562500003</v>
      </c>
      <c r="C3529" s="2">
        <v>46249.707083333298</v>
      </c>
      <c r="D3529" s="1" t="s">
        <v>24</v>
      </c>
      <c r="E3529" s="1"/>
      <c r="F3529" s="29">
        <v>46249</v>
      </c>
      <c r="G3529" s="29">
        <v>46248</v>
      </c>
      <c r="H3529" s="1" t="s">
        <v>5691</v>
      </c>
      <c r="I3529" s="126" t="s">
        <v>7832</v>
      </c>
      <c r="J3529" s="175"/>
      <c r="K3529" s="171" t="s">
        <v>7833</v>
      </c>
      <c r="L3529" s="62">
        <v>23661876</v>
      </c>
      <c r="M3529" s="30">
        <v>2412407657</v>
      </c>
      <c r="N3529" s="172" t="s">
        <v>37</v>
      </c>
      <c r="O3529" s="50">
        <v>9082.52</v>
      </c>
      <c r="P3529" s="97">
        <v>2718.54</v>
      </c>
      <c r="Q3529" s="42">
        <f>OfficeForms.Table[[#This Row],[ INFORMEDEPAGO ]]*0.3</f>
        <v>2724.7559999999999</v>
      </c>
      <c r="R3529" s="12">
        <f t="shared" si="162"/>
        <v>6.2159999999998945</v>
      </c>
      <c r="S3529" s="78">
        <v>46419</v>
      </c>
      <c r="T3529" s="1"/>
      <c r="V3529" s="1"/>
      <c r="X3529" s="101">
        <v>2</v>
      </c>
    </row>
    <row r="3530" spans="1:24" hidden="1">
      <c r="A3530">
        <v>1949</v>
      </c>
      <c r="B3530" s="2">
        <v>46249.715104166702</v>
      </c>
      <c r="C3530" s="2">
        <v>46249.715752314798</v>
      </c>
      <c r="D3530" s="1" t="s">
        <v>24</v>
      </c>
      <c r="E3530" s="1"/>
      <c r="F3530" s="29">
        <v>46249</v>
      </c>
      <c r="G3530" s="29">
        <v>46249</v>
      </c>
      <c r="H3530" s="1" t="s">
        <v>71</v>
      </c>
      <c r="I3530" s="126" t="s">
        <v>7834</v>
      </c>
      <c r="J3530" s="175" t="s">
        <v>7835</v>
      </c>
      <c r="K3530" s="171"/>
      <c r="L3530" s="62">
        <v>23652622</v>
      </c>
      <c r="M3530" s="30">
        <v>5214622501897</v>
      </c>
      <c r="N3530" s="172" t="s">
        <v>263</v>
      </c>
      <c r="O3530" s="50">
        <v>5617.63</v>
      </c>
      <c r="P3530" s="97">
        <v>1487.97</v>
      </c>
      <c r="Q3530" s="42">
        <f>OfficeForms.Table[[#This Row],[ INFORMEDEPAGO ]]*0.3</f>
        <v>1685.289</v>
      </c>
      <c r="R3530" s="12">
        <f t="shared" si="162"/>
        <v>-43.319999999999482</v>
      </c>
      <c r="S3530" s="78">
        <v>45870</v>
      </c>
      <c r="T3530" s="1"/>
      <c r="V3530" s="1"/>
      <c r="X3530" s="101">
        <v>2</v>
      </c>
    </row>
    <row r="3531" spans="1:24" hidden="1">
      <c r="A3531">
        <v>1950</v>
      </c>
      <c r="B3531" s="2">
        <v>46249.730868055602</v>
      </c>
      <c r="C3531" s="2">
        <v>46249.733402777798</v>
      </c>
      <c r="D3531" s="1" t="s">
        <v>24</v>
      </c>
      <c r="E3531" s="1"/>
      <c r="F3531" s="29">
        <v>46249</v>
      </c>
      <c r="G3531" s="29">
        <v>46249</v>
      </c>
      <c r="H3531" s="1" t="s">
        <v>78</v>
      </c>
      <c r="I3531" s="126" t="s">
        <v>7836</v>
      </c>
      <c r="J3531" s="175">
        <v>41907120947</v>
      </c>
      <c r="K3531" s="171" t="s">
        <v>7837</v>
      </c>
      <c r="L3531" s="62">
        <v>23654808</v>
      </c>
      <c r="M3531" s="30">
        <v>5214445105873</v>
      </c>
      <c r="N3531" s="172" t="s">
        <v>130</v>
      </c>
      <c r="O3531" s="50">
        <v>14500.95</v>
      </c>
      <c r="P3531" s="97">
        <v>4522.1499999999996</v>
      </c>
      <c r="Q3531" s="42">
        <f>OfficeForms.Table[[#This Row],[ INFORMEDEPAGO ]]*0.3</f>
        <v>4350.2849999999999</v>
      </c>
      <c r="R3531" s="12">
        <f t="shared" si="162"/>
        <v>-171.86499999999978</v>
      </c>
      <c r="S3531" s="78">
        <v>45717</v>
      </c>
      <c r="T3531" s="1"/>
      <c r="V3531" s="1"/>
      <c r="X3531" s="101">
        <v>2</v>
      </c>
    </row>
    <row r="3532" spans="1:24" hidden="1">
      <c r="A3532">
        <v>1951</v>
      </c>
      <c r="B3532" s="2">
        <v>46249.7746990741</v>
      </c>
      <c r="C3532" s="2">
        <v>46249.775717592602</v>
      </c>
      <c r="D3532" s="1" t="s">
        <v>24</v>
      </c>
      <c r="E3532" s="1"/>
      <c r="F3532" s="29">
        <v>46249</v>
      </c>
      <c r="G3532" s="29">
        <v>46249</v>
      </c>
      <c r="H3532" s="1" t="s">
        <v>107</v>
      </c>
      <c r="I3532" s="126"/>
      <c r="J3532" s="175">
        <v>78826422129</v>
      </c>
      <c r="K3532" s="171"/>
      <c r="L3532" s="62">
        <v>23646818</v>
      </c>
      <c r="M3532" s="30">
        <v>9511185178</v>
      </c>
      <c r="N3532" s="172" t="s">
        <v>37</v>
      </c>
      <c r="O3532" s="50">
        <v>9081.52</v>
      </c>
      <c r="P3532" s="97">
        <v>2710.07</v>
      </c>
      <c r="Q3532" s="42">
        <f>OfficeForms.Table[[#This Row],[ INFORMEDEPAGO ]]*0.3</f>
        <v>2724.4560000000001</v>
      </c>
      <c r="R3532" s="12">
        <f t="shared" si="162"/>
        <v>14.385999999999967</v>
      </c>
      <c r="S3532" s="78">
        <v>46631</v>
      </c>
      <c r="T3532" s="1"/>
      <c r="V3532" s="1"/>
      <c r="X3532" s="101">
        <v>2</v>
      </c>
    </row>
    <row r="3533" spans="1:24" hidden="1">
      <c r="A3533">
        <v>1952</v>
      </c>
      <c r="B3533" s="2">
        <v>46250.380405092597</v>
      </c>
      <c r="C3533" s="2">
        <v>46250.381527777798</v>
      </c>
      <c r="D3533" s="1" t="s">
        <v>24</v>
      </c>
      <c r="E3533" s="1"/>
      <c r="F3533" s="29">
        <v>46250</v>
      </c>
      <c r="G3533" s="29">
        <v>46249</v>
      </c>
      <c r="H3533" s="1" t="s">
        <v>5605</v>
      </c>
      <c r="I3533" s="126" t="s">
        <v>7838</v>
      </c>
      <c r="J3533" s="175"/>
      <c r="K3533" s="171" t="s">
        <v>7839</v>
      </c>
      <c r="L3533" s="62">
        <v>23661178</v>
      </c>
      <c r="M3533" s="30">
        <v>8116306459</v>
      </c>
      <c r="N3533" s="172" t="s">
        <v>98</v>
      </c>
      <c r="O3533" s="50"/>
      <c r="P3533" s="97"/>
      <c r="Q3533" s="42">
        <f>OfficeForms.Table[[#This Row],[ INFORMEDEPAGO ]]*0.3</f>
        <v>0</v>
      </c>
      <c r="R3533" s="12">
        <f t="shared" si="162"/>
        <v>0</v>
      </c>
      <c r="S3533" s="78"/>
      <c r="T3533" s="1"/>
      <c r="V3533" s="1"/>
      <c r="X3533" s="101">
        <v>0</v>
      </c>
    </row>
    <row r="3534" spans="1:24" hidden="1">
      <c r="A3534">
        <v>1953</v>
      </c>
      <c r="B3534" s="2">
        <v>46250.395937499998</v>
      </c>
      <c r="C3534" s="2">
        <v>46250.396608796298</v>
      </c>
      <c r="D3534" s="1" t="s">
        <v>24</v>
      </c>
      <c r="E3534" s="1"/>
      <c r="F3534" s="29">
        <v>46250</v>
      </c>
      <c r="G3534" s="29">
        <v>46250</v>
      </c>
      <c r="H3534" s="1" t="s">
        <v>26</v>
      </c>
      <c r="I3534" s="126" t="s">
        <v>7840</v>
      </c>
      <c r="J3534" s="175" t="s">
        <v>7841</v>
      </c>
      <c r="K3534" s="171"/>
      <c r="L3534" s="62">
        <v>23670772</v>
      </c>
      <c r="M3534" s="30">
        <v>5219841207297</v>
      </c>
      <c r="N3534" s="172" t="s">
        <v>37</v>
      </c>
      <c r="O3534" s="50">
        <v>7920.51</v>
      </c>
      <c r="P3534" s="97">
        <v>2285.09</v>
      </c>
      <c r="Q3534" s="42">
        <f>OfficeForms.Table[[#This Row],[ INFORMEDEPAGO ]]*0.3</f>
        <v>2376.1529999999998</v>
      </c>
      <c r="R3534" s="12">
        <f t="shared" si="162"/>
        <v>91.062999999999647</v>
      </c>
      <c r="S3534" s="78">
        <v>46631</v>
      </c>
      <c r="T3534" s="1"/>
      <c r="V3534" s="1"/>
      <c r="X3534" s="101">
        <v>2</v>
      </c>
    </row>
    <row r="3535" spans="1:24" hidden="1">
      <c r="A3535">
        <v>1954</v>
      </c>
      <c r="B3535" s="2">
        <v>46250.395555555602</v>
      </c>
      <c r="C3535" s="2">
        <v>46250.398784722202</v>
      </c>
      <c r="D3535" s="1" t="s">
        <v>24</v>
      </c>
      <c r="E3535" s="1"/>
      <c r="F3535" s="29">
        <v>46250</v>
      </c>
      <c r="G3535" s="29">
        <v>46249</v>
      </c>
      <c r="H3535" s="1" t="s">
        <v>5605</v>
      </c>
      <c r="I3535" s="126" t="s">
        <v>7842</v>
      </c>
      <c r="J3535" s="175"/>
      <c r="K3535" s="171" t="s">
        <v>7843</v>
      </c>
      <c r="L3535" s="62">
        <v>23659406</v>
      </c>
      <c r="M3535" s="30">
        <v>8122917283</v>
      </c>
      <c r="N3535" s="172" t="s">
        <v>235</v>
      </c>
      <c r="O3535" s="50"/>
      <c r="P3535" s="97"/>
      <c r="Q3535" s="42">
        <f>OfficeForms.Table[[#This Row],[ INFORMEDEPAGO ]]*0.3</f>
        <v>0</v>
      </c>
      <c r="R3535" s="12">
        <f t="shared" si="162"/>
        <v>0</v>
      </c>
      <c r="S3535" s="78"/>
      <c r="T3535" s="1"/>
      <c r="V3535" s="1"/>
      <c r="X3535" s="101">
        <v>1</v>
      </c>
    </row>
    <row r="3536" spans="1:24" hidden="1">
      <c r="A3536">
        <v>1955</v>
      </c>
      <c r="B3536" s="2">
        <v>46250.403888888897</v>
      </c>
      <c r="C3536" s="2">
        <v>46250.405023148203</v>
      </c>
      <c r="D3536" s="1" t="s">
        <v>24</v>
      </c>
      <c r="E3536" s="1"/>
      <c r="F3536" s="29">
        <v>46250</v>
      </c>
      <c r="G3536" s="29">
        <v>46246</v>
      </c>
      <c r="H3536" s="1" t="s">
        <v>110</v>
      </c>
      <c r="I3536" s="126" t="s">
        <v>7844</v>
      </c>
      <c r="J3536" s="175">
        <v>10796047578</v>
      </c>
      <c r="K3536" s="171"/>
      <c r="L3536" s="62">
        <v>23577324</v>
      </c>
      <c r="M3536" s="30">
        <v>5216862024595</v>
      </c>
      <c r="N3536" s="172" t="s">
        <v>37</v>
      </c>
      <c r="O3536" s="50">
        <v>12053.23</v>
      </c>
      <c r="P3536" s="97">
        <v>3615.96</v>
      </c>
      <c r="Q3536" s="42">
        <f>OfficeForms.Table[[#This Row],[ INFORMEDEPAGO ]]*0.3</f>
        <v>3615.9689999999996</v>
      </c>
      <c r="R3536" s="12">
        <f t="shared" si="162"/>
        <v>8.9999999995598046E-3</v>
      </c>
      <c r="S3536" s="78">
        <v>46784</v>
      </c>
      <c r="T3536" s="1"/>
      <c r="V3536" s="1"/>
      <c r="X3536" s="101">
        <v>2</v>
      </c>
    </row>
    <row r="3537" spans="1:24" hidden="1">
      <c r="A3537">
        <v>1956</v>
      </c>
      <c r="B3537" s="2">
        <v>46250.344710648104</v>
      </c>
      <c r="C3537" s="2">
        <v>46250.4128009259</v>
      </c>
      <c r="D3537" s="1" t="s">
        <v>24</v>
      </c>
      <c r="E3537" s="1"/>
      <c r="F3537" s="29">
        <v>46250</v>
      </c>
      <c r="G3537" s="29">
        <v>46249</v>
      </c>
      <c r="H3537" s="1" t="s">
        <v>476</v>
      </c>
      <c r="I3537" s="126" t="s">
        <v>7845</v>
      </c>
      <c r="J3537" s="175"/>
      <c r="K3537" s="171" t="s">
        <v>7846</v>
      </c>
      <c r="L3537" s="62">
        <v>23653720</v>
      </c>
      <c r="M3537" s="30">
        <v>5215523448337</v>
      </c>
      <c r="N3537" s="172" t="s">
        <v>37</v>
      </c>
      <c r="O3537" s="50">
        <v>5617.63</v>
      </c>
      <c r="P3537" s="97">
        <v>1393.24</v>
      </c>
      <c r="Q3537" s="42">
        <f>OfficeForms.Table[[#This Row],[ INFORMEDEPAGO ]]*0.3</f>
        <v>1685.289</v>
      </c>
      <c r="R3537" s="12">
        <f t="shared" si="162"/>
        <v>51.410000000000537</v>
      </c>
      <c r="S3537" s="78">
        <v>46600</v>
      </c>
      <c r="T3537" s="1"/>
      <c r="V3537" s="1"/>
      <c r="X3537" s="101">
        <v>2</v>
      </c>
    </row>
    <row r="3538" spans="1:24" hidden="1">
      <c r="A3538">
        <v>1957</v>
      </c>
      <c r="B3538" s="2">
        <v>46250.339189814797</v>
      </c>
      <c r="C3538" s="2">
        <v>46250.417210648098</v>
      </c>
      <c r="D3538" s="1" t="s">
        <v>24</v>
      </c>
      <c r="E3538" s="1"/>
      <c r="F3538" s="29">
        <v>46250</v>
      </c>
      <c r="G3538" s="29">
        <v>46249</v>
      </c>
      <c r="H3538" s="1" t="s">
        <v>71</v>
      </c>
      <c r="I3538" s="126" t="s">
        <v>7847</v>
      </c>
      <c r="J3538" s="175" t="s">
        <v>7848</v>
      </c>
      <c r="K3538" s="171"/>
      <c r="L3538" s="62">
        <v>23664044</v>
      </c>
      <c r="M3538" s="30">
        <v>5551083249</v>
      </c>
      <c r="N3538" s="172" t="s">
        <v>37</v>
      </c>
      <c r="O3538" s="50">
        <v>47824.35</v>
      </c>
      <c r="P3538" s="97">
        <v>14337.49</v>
      </c>
      <c r="Q3538" s="42">
        <f>OfficeForms.Table[[#This Row],[ INFORMEDEPAGO ]]*0.3</f>
        <v>14347.304999999998</v>
      </c>
      <c r="R3538" s="12">
        <f t="shared" si="162"/>
        <v>9.8149999999986903</v>
      </c>
      <c r="S3538" s="78">
        <v>46569</v>
      </c>
      <c r="T3538" s="1"/>
      <c r="V3538" s="1"/>
      <c r="X3538" s="101">
        <v>2</v>
      </c>
    </row>
    <row r="3539" spans="1:24" hidden="1">
      <c r="A3539">
        <v>1958</v>
      </c>
      <c r="B3539" s="2">
        <v>46250.424131944397</v>
      </c>
      <c r="C3539" s="2">
        <v>46250.424560185202</v>
      </c>
      <c r="D3539" s="1" t="s">
        <v>24</v>
      </c>
      <c r="E3539" s="1"/>
      <c r="F3539" s="29">
        <v>46250</v>
      </c>
      <c r="G3539" s="29">
        <v>46249</v>
      </c>
      <c r="H3539" s="1" t="s">
        <v>71</v>
      </c>
      <c r="I3539" s="126" t="s">
        <v>7849</v>
      </c>
      <c r="J3539" s="175"/>
      <c r="K3539" s="171" t="s">
        <v>7850</v>
      </c>
      <c r="L3539" s="62">
        <v>23663264</v>
      </c>
      <c r="M3539" s="30">
        <v>9511894747</v>
      </c>
      <c r="N3539" s="172" t="s">
        <v>32</v>
      </c>
      <c r="O3539" s="50">
        <f>3934.69+879</f>
        <v>4813.6900000000005</v>
      </c>
      <c r="P3539" s="97">
        <v>879</v>
      </c>
      <c r="Q3539" s="42">
        <f>OfficeForms.Table[[#This Row],[ INFORMEDEPAGO ]]*0.3</f>
        <v>1444.1070000000002</v>
      </c>
      <c r="R3539" s="12">
        <f t="shared" si="162"/>
        <v>-238.28999999999905</v>
      </c>
      <c r="S3539" s="78"/>
      <c r="T3539" s="1"/>
      <c r="V3539" s="1"/>
      <c r="X3539" s="101">
        <v>1</v>
      </c>
    </row>
    <row r="3540" spans="1:24" hidden="1">
      <c r="A3540">
        <v>1959</v>
      </c>
      <c r="B3540" s="2">
        <v>46250.426967592597</v>
      </c>
      <c r="C3540" s="2">
        <v>46250.427418981497</v>
      </c>
      <c r="D3540" s="1" t="s">
        <v>24</v>
      </c>
      <c r="E3540" s="1"/>
      <c r="F3540" s="29">
        <v>46250</v>
      </c>
      <c r="G3540" s="29">
        <v>46250</v>
      </c>
      <c r="H3540" s="1" t="s">
        <v>71</v>
      </c>
      <c r="I3540" s="126" t="s">
        <v>7851</v>
      </c>
      <c r="J3540" s="175"/>
      <c r="K3540" s="171" t="s">
        <v>7852</v>
      </c>
      <c r="L3540" s="62">
        <v>23670170</v>
      </c>
      <c r="M3540" s="30">
        <v>6151126411</v>
      </c>
      <c r="N3540" s="172" t="s">
        <v>106</v>
      </c>
      <c r="O3540" s="50">
        <v>9081.52</v>
      </c>
      <c r="P3540" s="97">
        <v>2519.27</v>
      </c>
      <c r="Q3540" s="42">
        <f>OfficeForms.Table[[#This Row],[ INFORMEDEPAGO ]]*0.3</f>
        <v>2724.4560000000001</v>
      </c>
      <c r="R3540" s="12">
        <f t="shared" si="162"/>
        <v>205.18600000000015</v>
      </c>
      <c r="S3540" s="78">
        <v>46204</v>
      </c>
      <c r="T3540" s="1"/>
      <c r="V3540" s="1"/>
      <c r="X3540" s="101">
        <v>2</v>
      </c>
    </row>
    <row r="3541" spans="1:24" hidden="1">
      <c r="A3541">
        <v>1960</v>
      </c>
      <c r="B3541" s="2">
        <v>46250.430219907401</v>
      </c>
      <c r="C3541" s="2">
        <v>46250.431157407402</v>
      </c>
      <c r="D3541" s="1" t="s">
        <v>24</v>
      </c>
      <c r="E3541" s="1"/>
      <c r="F3541" s="29">
        <v>46250</v>
      </c>
      <c r="G3541" s="29">
        <v>46249</v>
      </c>
      <c r="H3541" s="1" t="s">
        <v>110</v>
      </c>
      <c r="I3541" s="126" t="s">
        <v>7853</v>
      </c>
      <c r="J3541" s="175">
        <v>43776203770</v>
      </c>
      <c r="K3541" s="171" t="s">
        <v>7854</v>
      </c>
      <c r="L3541" s="62">
        <v>23666070</v>
      </c>
      <c r="M3541" s="30">
        <v>5218127315181</v>
      </c>
      <c r="N3541" s="172" t="s">
        <v>37</v>
      </c>
      <c r="O3541" s="50">
        <v>9081.52</v>
      </c>
      <c r="P3541" s="97">
        <v>2696.2</v>
      </c>
      <c r="Q3541" s="42">
        <f>OfficeForms.Table[[#This Row],[ INFORMEDEPAGO ]]*0.3</f>
        <v>2724.4560000000001</v>
      </c>
      <c r="R3541" s="12">
        <f t="shared" si="162"/>
        <v>28.256000000000313</v>
      </c>
      <c r="S3541" s="78">
        <v>46784</v>
      </c>
      <c r="T3541" s="1"/>
      <c r="V3541" s="1"/>
      <c r="X3541" s="101">
        <v>2</v>
      </c>
    </row>
    <row r="3542" spans="1:24" hidden="1">
      <c r="A3542">
        <v>1961</v>
      </c>
      <c r="B3542" s="2">
        <v>46250.476284722201</v>
      </c>
      <c r="C3542" s="2">
        <v>46250.478344907402</v>
      </c>
      <c r="D3542" s="1" t="s">
        <v>24</v>
      </c>
      <c r="E3542" s="1"/>
      <c r="F3542" s="29">
        <v>46250</v>
      </c>
      <c r="G3542" s="29">
        <v>46249</v>
      </c>
      <c r="H3542" s="1" t="s">
        <v>5605</v>
      </c>
      <c r="I3542" s="126" t="s">
        <v>7855</v>
      </c>
      <c r="J3542" s="175"/>
      <c r="K3542" s="171" t="s">
        <v>7856</v>
      </c>
      <c r="L3542" s="62">
        <v>23661798</v>
      </c>
      <c r="M3542" s="30">
        <v>5663796050</v>
      </c>
      <c r="N3542" s="172" t="s">
        <v>28</v>
      </c>
      <c r="O3542" s="50">
        <v>10636.54</v>
      </c>
      <c r="P3542" s="97"/>
      <c r="Q3542" s="42">
        <f>OfficeForms.Table[[#This Row],[ INFORMEDEPAGO ]]*0.3</f>
        <v>3190.962</v>
      </c>
      <c r="R3542" s="12">
        <f t="shared" si="162"/>
        <v>3190.962</v>
      </c>
      <c r="S3542" s="78"/>
      <c r="T3542" s="1"/>
      <c r="V3542" s="1"/>
      <c r="X3542" s="101">
        <v>1</v>
      </c>
    </row>
    <row r="3543" spans="1:24" hidden="1">
      <c r="A3543">
        <v>1962</v>
      </c>
      <c r="B3543" s="2">
        <v>46250.343599537002</v>
      </c>
      <c r="C3543" s="2">
        <v>46250.484270833302</v>
      </c>
      <c r="D3543" s="1" t="s">
        <v>24</v>
      </c>
      <c r="E3543" s="1"/>
      <c r="F3543" s="29">
        <v>46250</v>
      </c>
      <c r="G3543" s="29">
        <v>46250</v>
      </c>
      <c r="H3543" s="1" t="s">
        <v>3572</v>
      </c>
      <c r="I3543" s="126" t="s">
        <v>7857</v>
      </c>
      <c r="J3543" s="175">
        <v>49856314544</v>
      </c>
      <c r="K3543" s="171"/>
      <c r="L3543" s="62">
        <v>23671780</v>
      </c>
      <c r="M3543" s="30">
        <v>8671224667</v>
      </c>
      <c r="N3543" s="172" t="s">
        <v>28</v>
      </c>
      <c r="O3543" s="50">
        <v>11029.03</v>
      </c>
      <c r="P3543" s="97"/>
      <c r="Q3543" s="42">
        <f>OfficeForms.Table[[#This Row],[ INFORMEDEPAGO ]]*0.3</f>
        <v>3308.7090000000003</v>
      </c>
      <c r="R3543" s="12">
        <f t="shared" si="162"/>
        <v>3308.7090000000003</v>
      </c>
      <c r="S3543" s="78"/>
      <c r="T3543" s="1"/>
      <c r="V3543" s="1"/>
      <c r="X3543" s="101">
        <v>1</v>
      </c>
    </row>
    <row r="3544" spans="1:24" hidden="1">
      <c r="A3544">
        <v>1963</v>
      </c>
      <c r="B3544" s="2">
        <v>46250.4847800926</v>
      </c>
      <c r="C3544" s="2">
        <v>46250.485555555599</v>
      </c>
      <c r="D3544" s="1" t="s">
        <v>24</v>
      </c>
      <c r="E3544" s="1"/>
      <c r="F3544" s="29">
        <v>46250</v>
      </c>
      <c r="G3544" s="29">
        <v>46250</v>
      </c>
      <c r="H3544" s="1" t="s">
        <v>110</v>
      </c>
      <c r="I3544" s="126"/>
      <c r="J3544" s="175">
        <v>10856703516</v>
      </c>
      <c r="K3544" s="171"/>
      <c r="L3544" s="62">
        <v>23672154</v>
      </c>
      <c r="M3544" s="30">
        <v>5215532400832</v>
      </c>
      <c r="N3544" s="171" t="s">
        <v>32</v>
      </c>
      <c r="O3544" s="50">
        <v>3871.36</v>
      </c>
      <c r="P3544" s="97">
        <v>848</v>
      </c>
      <c r="Q3544" s="42">
        <f>OfficeForms.Table[[#This Row],[ INFORMEDEPAGO ]]*0.3</f>
        <v>1161.4079999999999</v>
      </c>
      <c r="R3544" s="12">
        <f t="shared" si="162"/>
        <v>-848</v>
      </c>
      <c r="S3544" s="78"/>
      <c r="T3544" s="1"/>
      <c r="V3544" s="1"/>
      <c r="X3544" s="101">
        <v>1</v>
      </c>
    </row>
    <row r="3545" spans="1:24" hidden="1">
      <c r="A3545">
        <v>1964</v>
      </c>
      <c r="B3545" s="2">
        <v>46250.4843287037</v>
      </c>
      <c r="C3545" s="2">
        <v>46250.489293981504</v>
      </c>
      <c r="D3545" s="1" t="s">
        <v>24</v>
      </c>
      <c r="E3545" s="1"/>
      <c r="F3545" s="29">
        <v>46250</v>
      </c>
      <c r="G3545" s="29">
        <v>46249</v>
      </c>
      <c r="H3545" s="1" t="s">
        <v>3572</v>
      </c>
      <c r="I3545" s="126" t="s">
        <v>7858</v>
      </c>
      <c r="J3545" s="175">
        <v>63846206850</v>
      </c>
      <c r="K3545" s="171"/>
      <c r="L3545" s="62">
        <v>23657908</v>
      </c>
      <c r="M3545" s="30">
        <v>5570709286</v>
      </c>
      <c r="N3545" s="172" t="s">
        <v>37</v>
      </c>
      <c r="O3545" s="50">
        <v>10713.07</v>
      </c>
      <c r="P3545" s="97">
        <v>3211.78</v>
      </c>
      <c r="Q3545" s="42">
        <f>OfficeForms.Table[[#This Row],[ INFORMEDEPAGO ]]*0.3</f>
        <v>3213.9209999999998</v>
      </c>
      <c r="R3545" s="12">
        <f t="shared" si="162"/>
        <v>2.1409999999996217</v>
      </c>
      <c r="S3545" s="78">
        <v>46844</v>
      </c>
      <c r="T3545" s="1"/>
      <c r="V3545" s="1"/>
      <c r="X3545" s="101">
        <v>2</v>
      </c>
    </row>
    <row r="3546" spans="1:24" hidden="1">
      <c r="A3546">
        <v>1965</v>
      </c>
      <c r="B3546" s="2">
        <v>46250.493194444403</v>
      </c>
      <c r="C3546" s="2">
        <v>46250.493576388901</v>
      </c>
      <c r="D3546" s="1" t="s">
        <v>24</v>
      </c>
      <c r="E3546" s="1"/>
      <c r="F3546" s="29">
        <v>46250</v>
      </c>
      <c r="G3546" s="29">
        <v>46250</v>
      </c>
      <c r="H3546" s="1" t="s">
        <v>26</v>
      </c>
      <c r="I3546" s="126" t="s">
        <v>7859</v>
      </c>
      <c r="J3546" s="175">
        <v>23945908947</v>
      </c>
      <c r="K3546" s="171" t="s">
        <v>7860</v>
      </c>
      <c r="L3546" s="62">
        <v>23666210</v>
      </c>
      <c r="M3546" s="30">
        <v>5216692711957</v>
      </c>
      <c r="N3546" s="172" t="s">
        <v>98</v>
      </c>
      <c r="O3546" s="50"/>
      <c r="P3546" s="97"/>
      <c r="Q3546" s="42">
        <f>OfficeForms.Table[[#This Row],[ INFORMEDEPAGO ]]*0.3</f>
        <v>0</v>
      </c>
      <c r="R3546" s="12">
        <f t="shared" si="162"/>
        <v>0</v>
      </c>
      <c r="S3546" s="78"/>
      <c r="T3546" s="1"/>
      <c r="V3546" s="1"/>
      <c r="X3546" s="101">
        <v>0</v>
      </c>
    </row>
    <row r="3547" spans="1:24" hidden="1">
      <c r="A3547">
        <v>1966</v>
      </c>
      <c r="B3547" s="2">
        <v>46250.494942129597</v>
      </c>
      <c r="C3547" s="2">
        <v>46250.495868055601</v>
      </c>
      <c r="D3547" s="1" t="s">
        <v>24</v>
      </c>
      <c r="E3547" s="1"/>
      <c r="F3547" s="29">
        <v>46250</v>
      </c>
      <c r="G3547" s="29">
        <v>46250</v>
      </c>
      <c r="H3547" s="1" t="s">
        <v>71</v>
      </c>
      <c r="I3547" s="126" t="s">
        <v>7861</v>
      </c>
      <c r="J3547" s="175" t="s">
        <v>7862</v>
      </c>
      <c r="K3547" s="171"/>
      <c r="L3547" s="62">
        <v>23672790</v>
      </c>
      <c r="M3547" s="30">
        <v>5513998079</v>
      </c>
      <c r="N3547" s="172" t="s">
        <v>37</v>
      </c>
      <c r="O3547" s="50">
        <v>9760.32</v>
      </c>
      <c r="P3547" s="97">
        <v>2928.1</v>
      </c>
      <c r="Q3547" s="42">
        <f>OfficeForms.Table[[#This Row],[ INFORMEDEPAGO ]]*0.3</f>
        <v>2928.096</v>
      </c>
      <c r="R3547" s="12">
        <f t="shared" si="162"/>
        <v>-3.9999999999054126E-3</v>
      </c>
      <c r="S3547" s="78">
        <v>46905</v>
      </c>
      <c r="T3547" s="1"/>
      <c r="V3547" s="1"/>
      <c r="X3547" s="101">
        <v>2</v>
      </c>
    </row>
    <row r="3548" spans="1:24" hidden="1">
      <c r="A3548">
        <v>1967</v>
      </c>
      <c r="B3548" s="2">
        <v>46250.497777777797</v>
      </c>
      <c r="C3548" s="2">
        <v>46250.498587962997</v>
      </c>
      <c r="D3548" s="1" t="s">
        <v>24</v>
      </c>
      <c r="E3548" s="1"/>
      <c r="F3548" s="29">
        <v>46250</v>
      </c>
      <c r="G3548" s="29">
        <v>46250</v>
      </c>
      <c r="H3548" s="1" t="s">
        <v>26</v>
      </c>
      <c r="I3548" s="126" t="s">
        <v>7863</v>
      </c>
      <c r="J3548" s="175"/>
      <c r="K3548" s="171" t="s">
        <v>7864</v>
      </c>
      <c r="L3548" s="62">
        <v>23666694</v>
      </c>
      <c r="M3548" s="30">
        <v>5217761082117</v>
      </c>
      <c r="N3548" s="172" t="s">
        <v>37</v>
      </c>
      <c r="O3548" s="50">
        <v>25727.64</v>
      </c>
      <c r="P3548" s="97">
        <v>7707.59</v>
      </c>
      <c r="Q3548" s="42">
        <f>OfficeForms.Table[[#This Row],[ INFORMEDEPAGO ]]*0.3</f>
        <v>7718.2919999999995</v>
      </c>
      <c r="R3548" s="12">
        <f t="shared" si="162"/>
        <v>10.701999999999316</v>
      </c>
      <c r="S3548" s="78">
        <v>46905</v>
      </c>
      <c r="T3548" s="1"/>
      <c r="V3548" s="1"/>
      <c r="X3548" s="101">
        <v>2</v>
      </c>
    </row>
    <row r="3549" spans="1:24" hidden="1">
      <c r="A3549">
        <v>1968</v>
      </c>
      <c r="B3549" s="2">
        <v>46250.498981481498</v>
      </c>
      <c r="C3549" s="2">
        <v>46250.500173611101</v>
      </c>
      <c r="D3549" s="1" t="s">
        <v>24</v>
      </c>
      <c r="E3549" s="1"/>
      <c r="F3549" s="29">
        <v>46250</v>
      </c>
      <c r="G3549" s="29">
        <v>46250</v>
      </c>
      <c r="H3549" s="1" t="s">
        <v>5605</v>
      </c>
      <c r="I3549" s="126"/>
      <c r="J3549" s="175">
        <v>30957520866</v>
      </c>
      <c r="K3549" s="171"/>
      <c r="L3549" s="62">
        <v>23672428</v>
      </c>
      <c r="M3549" s="30">
        <v>5563391095</v>
      </c>
      <c r="N3549" s="172" t="s">
        <v>32</v>
      </c>
      <c r="O3549" s="50">
        <v>3510.83</v>
      </c>
      <c r="P3549" s="97">
        <v>879</v>
      </c>
      <c r="Q3549" s="42">
        <f>OfficeForms.Table[[#This Row],[ INFORMEDEPAGO ]]*0.3</f>
        <v>1053.249</v>
      </c>
      <c r="R3549" s="12">
        <f t="shared" si="162"/>
        <v>-879</v>
      </c>
      <c r="S3549" s="78"/>
      <c r="T3549" s="1"/>
      <c r="V3549" s="1"/>
      <c r="X3549" s="101">
        <v>1</v>
      </c>
    </row>
    <row r="3550" spans="1:24" hidden="1">
      <c r="A3550">
        <v>1969</v>
      </c>
      <c r="B3550" s="2">
        <v>46250.549189814803</v>
      </c>
      <c r="C3550" s="2">
        <v>46250.5546412037</v>
      </c>
      <c r="D3550" s="1" t="s">
        <v>24</v>
      </c>
      <c r="E3550" s="1"/>
      <c r="F3550" s="29">
        <v>46250</v>
      </c>
      <c r="G3550" s="29">
        <v>46250</v>
      </c>
      <c r="H3550" s="1" t="s">
        <v>5605</v>
      </c>
      <c r="I3550" s="126" t="s">
        <v>7865</v>
      </c>
      <c r="J3550" s="175" t="s">
        <v>7866</v>
      </c>
      <c r="K3550" s="171"/>
      <c r="L3550" s="62">
        <v>23673478</v>
      </c>
      <c r="M3550" s="30">
        <v>8331101533</v>
      </c>
      <c r="N3550" s="172" t="s">
        <v>37</v>
      </c>
      <c r="O3550" s="50">
        <v>6262.86</v>
      </c>
      <c r="P3550" s="97">
        <v>1878.85</v>
      </c>
      <c r="Q3550" s="42">
        <f>OfficeForms.Table[[#This Row],[ INFORMEDEPAGO ]]*0.3</f>
        <v>1878.8579999999997</v>
      </c>
      <c r="R3550" s="12">
        <f t="shared" ref="R3550:R3554" si="164">(IF(O3550&lt;4172.98,0,MIN(O3550*0.3,O3550-4172.98)))-P3550</f>
        <v>7.9999999998108251E-3</v>
      </c>
      <c r="S3550" s="78">
        <v>46296</v>
      </c>
      <c r="T3550" s="1"/>
      <c r="V3550" s="1"/>
      <c r="X3550" s="101">
        <v>2</v>
      </c>
    </row>
    <row r="3551" spans="1:24" hidden="1">
      <c r="A3551">
        <v>1970</v>
      </c>
      <c r="B3551" s="2">
        <v>46250.556435185201</v>
      </c>
      <c r="C3551" s="2">
        <v>46250.557094907403</v>
      </c>
      <c r="D3551" s="1" t="s">
        <v>24</v>
      </c>
      <c r="E3551" s="1"/>
      <c r="F3551" s="29">
        <v>46250</v>
      </c>
      <c r="G3551" s="29">
        <v>46250</v>
      </c>
      <c r="H3551" s="1" t="s">
        <v>26</v>
      </c>
      <c r="I3551" s="126" t="s">
        <v>7867</v>
      </c>
      <c r="J3551" s="175" t="s">
        <v>7868</v>
      </c>
      <c r="K3551" s="171" t="s">
        <v>7869</v>
      </c>
      <c r="L3551" s="62">
        <v>23672718</v>
      </c>
      <c r="M3551" s="30">
        <v>5219992289921</v>
      </c>
      <c r="N3551" s="172" t="s">
        <v>32</v>
      </c>
      <c r="O3551" s="50">
        <v>3565</v>
      </c>
      <c r="P3551" s="97"/>
      <c r="Q3551" s="42">
        <f>OfficeForms.Table[[#This Row],[ INFORMEDEPAGO ]]*0.3</f>
        <v>1069.5</v>
      </c>
      <c r="R3551" s="12">
        <f t="shared" si="164"/>
        <v>0</v>
      </c>
      <c r="S3551" s="78"/>
      <c r="T3551" s="1"/>
      <c r="V3551" s="1"/>
      <c r="X3551" s="101">
        <v>1</v>
      </c>
    </row>
    <row r="3552" spans="1:24" hidden="1">
      <c r="A3552">
        <v>1971</v>
      </c>
      <c r="B3552" s="2">
        <v>46250.5601157407</v>
      </c>
      <c r="C3552" s="2">
        <v>46250.561261574097</v>
      </c>
      <c r="D3552" s="1" t="s">
        <v>24</v>
      </c>
      <c r="E3552" s="1"/>
      <c r="F3552" s="29">
        <v>46250</v>
      </c>
      <c r="G3552" s="29">
        <v>46250</v>
      </c>
      <c r="H3552" s="1" t="s">
        <v>5605</v>
      </c>
      <c r="I3552" s="126" t="s">
        <v>7870</v>
      </c>
      <c r="J3552" s="175"/>
      <c r="K3552" s="171" t="s">
        <v>7871</v>
      </c>
      <c r="L3552" s="62">
        <v>23672988</v>
      </c>
      <c r="M3552" s="30">
        <v>5561805347</v>
      </c>
      <c r="N3552" s="172" t="s">
        <v>98</v>
      </c>
      <c r="O3552" s="50"/>
      <c r="P3552" s="97"/>
      <c r="Q3552" s="42">
        <f>OfficeForms.Table[[#This Row],[ INFORMEDEPAGO ]]*0.3</f>
        <v>0</v>
      </c>
      <c r="R3552" s="12">
        <f t="shared" si="164"/>
        <v>0</v>
      </c>
      <c r="S3552" s="78"/>
      <c r="T3552" s="1"/>
      <c r="V3552" s="1"/>
      <c r="X3552" s="101">
        <v>0</v>
      </c>
    </row>
    <row r="3553" spans="1:24" hidden="1">
      <c r="A3553">
        <v>1972</v>
      </c>
      <c r="B3553" s="2">
        <v>46250.489328703698</v>
      </c>
      <c r="C3553" s="2">
        <v>46250.567824074104</v>
      </c>
      <c r="D3553" s="1" t="s">
        <v>24</v>
      </c>
      <c r="E3553" s="1"/>
      <c r="F3553" s="29">
        <v>46250</v>
      </c>
      <c r="G3553" s="29">
        <v>46250</v>
      </c>
      <c r="H3553" s="1" t="s">
        <v>3572</v>
      </c>
      <c r="I3553" s="126" t="s">
        <v>7872</v>
      </c>
      <c r="J3553" s="175"/>
      <c r="K3553" s="171" t="s">
        <v>7873</v>
      </c>
      <c r="L3553" s="62">
        <v>23473740</v>
      </c>
      <c r="M3553" s="30">
        <v>9851479963</v>
      </c>
      <c r="N3553" s="172" t="s">
        <v>28</v>
      </c>
      <c r="O3553" s="50">
        <v>10636.54</v>
      </c>
      <c r="P3553" s="97"/>
      <c r="Q3553" s="42">
        <f>OfficeForms.Table[[#This Row],[ INFORMEDEPAGO ]]*0.3</f>
        <v>3190.962</v>
      </c>
      <c r="R3553" s="12">
        <f t="shared" si="164"/>
        <v>3190.962</v>
      </c>
      <c r="S3553" s="78"/>
      <c r="T3553" s="1"/>
      <c r="V3553" s="1"/>
      <c r="X3553" s="101">
        <v>1</v>
      </c>
    </row>
    <row r="3554" spans="1:24" hidden="1">
      <c r="A3554">
        <v>1973</v>
      </c>
      <c r="B3554" s="2">
        <v>46250.567141203697</v>
      </c>
      <c r="C3554" s="2">
        <v>46250.568587962996</v>
      </c>
      <c r="D3554" s="1" t="s">
        <v>24</v>
      </c>
      <c r="E3554" s="1"/>
      <c r="F3554" s="29">
        <v>46250</v>
      </c>
      <c r="G3554" s="29">
        <v>46250</v>
      </c>
      <c r="H3554" s="1" t="s">
        <v>476</v>
      </c>
      <c r="I3554" s="126" t="s">
        <v>7874</v>
      </c>
      <c r="J3554" s="175">
        <v>64846106348</v>
      </c>
      <c r="K3554" s="171" t="s">
        <v>7875</v>
      </c>
      <c r="L3554" s="62">
        <v>23672772</v>
      </c>
      <c r="M3554" s="30">
        <v>5214491262220</v>
      </c>
      <c r="N3554" s="172" t="s">
        <v>37</v>
      </c>
      <c r="O3554" s="50">
        <v>46568.19</v>
      </c>
      <c r="P3554" s="97">
        <v>13969.85</v>
      </c>
      <c r="Q3554" s="42">
        <f>OfficeForms.Table[[#This Row],[ INFORMEDEPAGO ]]*0.3</f>
        <v>13970.457</v>
      </c>
      <c r="R3554" s="12">
        <f t="shared" si="164"/>
        <v>0.6069999999999709</v>
      </c>
      <c r="S3554" s="78">
        <v>46296</v>
      </c>
      <c r="T3554" s="1"/>
      <c r="V3554" s="1"/>
      <c r="X3554" s="101">
        <v>2</v>
      </c>
    </row>
    <row r="3555" spans="1:24" hidden="1">
      <c r="A3555">
        <v>1974</v>
      </c>
      <c r="B3555" s="2">
        <v>46250.575798611098</v>
      </c>
      <c r="C3555" s="2">
        <v>46250.577175925901</v>
      </c>
      <c r="D3555" s="1" t="s">
        <v>24</v>
      </c>
      <c r="E3555" s="1"/>
      <c r="F3555" s="29">
        <v>46250</v>
      </c>
      <c r="G3555" s="29">
        <v>46250</v>
      </c>
      <c r="H3555" s="1" t="s">
        <v>476</v>
      </c>
      <c r="I3555" s="126" t="s">
        <v>7876</v>
      </c>
      <c r="J3555" s="175"/>
      <c r="K3555" s="171" t="s">
        <v>7877</v>
      </c>
      <c r="L3555" s="62">
        <v>23672470</v>
      </c>
      <c r="M3555" s="30">
        <v>5218646174800</v>
      </c>
      <c r="N3555" s="172" t="s">
        <v>130</v>
      </c>
      <c r="O3555" s="50">
        <v>4813.6899999999996</v>
      </c>
      <c r="P3555" s="97">
        <v>523.98</v>
      </c>
      <c r="Q3555" s="42">
        <f>OfficeForms.Table[[#This Row],[ INFORMEDEPAGO ]]*0.3</f>
        <v>1444.1069999999997</v>
      </c>
      <c r="R3555" s="12">
        <f t="shared" ref="R3555:R3560" si="165">(IF(O3555&lt;4172.98,0,MIN(O3555*0.3,O3555-4172.98)))-P3555</f>
        <v>116.73000000000002</v>
      </c>
      <c r="S3555" s="78">
        <v>45505</v>
      </c>
      <c r="T3555" s="1"/>
      <c r="V3555" s="1"/>
      <c r="X3555" s="101">
        <v>2</v>
      </c>
    </row>
    <row r="3556" spans="1:24" hidden="1">
      <c r="A3556">
        <v>1975</v>
      </c>
      <c r="B3556" s="2">
        <v>46250.577303240701</v>
      </c>
      <c r="C3556" s="2">
        <v>46250.578055555598</v>
      </c>
      <c r="D3556" s="1" t="s">
        <v>24</v>
      </c>
      <c r="E3556" s="1"/>
      <c r="F3556" s="29">
        <v>46250</v>
      </c>
      <c r="G3556" s="29">
        <v>46250</v>
      </c>
      <c r="H3556" s="1" t="s">
        <v>26</v>
      </c>
      <c r="I3556" s="126" t="s">
        <v>7878</v>
      </c>
      <c r="J3556" s="175" t="s">
        <v>7879</v>
      </c>
      <c r="K3556" s="171"/>
      <c r="L3556" s="62">
        <v>23671864</v>
      </c>
      <c r="M3556" s="30">
        <v>5216682251823</v>
      </c>
      <c r="N3556" s="172" t="s">
        <v>32</v>
      </c>
      <c r="O3556" s="50">
        <f>3370.38+848</f>
        <v>4218.38</v>
      </c>
      <c r="P3556" s="97">
        <v>848</v>
      </c>
      <c r="Q3556" s="42">
        <f>OfficeForms.Table[[#This Row],[ INFORMEDEPAGO ]]*0.3</f>
        <v>1265.5139999999999</v>
      </c>
      <c r="R3556" s="12">
        <f t="shared" si="165"/>
        <v>-802.59999999999945</v>
      </c>
      <c r="S3556" s="78"/>
      <c r="T3556" s="1"/>
      <c r="V3556" s="1"/>
      <c r="X3556" s="101">
        <v>1</v>
      </c>
    </row>
    <row r="3557" spans="1:24" hidden="1">
      <c r="A3557">
        <v>1977</v>
      </c>
      <c r="B3557" s="2">
        <v>46250.5772685185</v>
      </c>
      <c r="C3557" s="2">
        <v>46250.6066319444</v>
      </c>
      <c r="D3557" s="1" t="s">
        <v>24</v>
      </c>
      <c r="E3557" s="1"/>
      <c r="F3557" s="29">
        <v>46250</v>
      </c>
      <c r="G3557" s="29">
        <v>46250</v>
      </c>
      <c r="H3557" s="1" t="s">
        <v>476</v>
      </c>
      <c r="I3557" s="126" t="s">
        <v>7880</v>
      </c>
      <c r="J3557" s="175"/>
      <c r="K3557" s="171" t="s">
        <v>7881</v>
      </c>
      <c r="L3557" s="62">
        <v>23674470</v>
      </c>
      <c r="M3557" s="30">
        <v>5219515856665</v>
      </c>
      <c r="N3557" s="172" t="s">
        <v>37</v>
      </c>
      <c r="O3557" s="50">
        <v>27157.7</v>
      </c>
      <c r="P3557" s="97">
        <v>8143.96</v>
      </c>
      <c r="Q3557" s="42">
        <f>OfficeForms.Table[[#This Row],[ INFORMEDEPAGO ]]*0.3</f>
        <v>8147.3099999999995</v>
      </c>
      <c r="R3557" s="12">
        <f t="shared" si="165"/>
        <v>3.3499999999994543</v>
      </c>
      <c r="S3557" s="78">
        <v>46357</v>
      </c>
      <c r="T3557" s="1"/>
      <c r="V3557" s="1"/>
      <c r="X3557" s="101">
        <v>2</v>
      </c>
    </row>
    <row r="3558" spans="1:24" hidden="1">
      <c r="A3558">
        <v>1978</v>
      </c>
      <c r="B3558" s="2">
        <v>46250.608020833301</v>
      </c>
      <c r="C3558" s="2">
        <v>46250.611250000002</v>
      </c>
      <c r="D3558" s="1" t="s">
        <v>24</v>
      </c>
      <c r="E3558" s="1"/>
      <c r="F3558" s="29">
        <v>46250</v>
      </c>
      <c r="G3558" s="29">
        <v>46249</v>
      </c>
      <c r="H3558" s="1" t="s">
        <v>476</v>
      </c>
      <c r="I3558" s="126" t="s">
        <v>7882</v>
      </c>
      <c r="J3558" s="175">
        <v>11785886158</v>
      </c>
      <c r="K3558" s="171"/>
      <c r="L3558" s="62">
        <v>23665412</v>
      </c>
      <c r="M3558" s="30">
        <v>5212288569161</v>
      </c>
      <c r="N3558" s="172" t="s">
        <v>32</v>
      </c>
      <c r="O3558" s="50">
        <v>4342.43</v>
      </c>
      <c r="P3558" s="97"/>
      <c r="Q3558" s="42">
        <f>OfficeForms.Table[[#This Row],[ INFORMEDEPAGO ]]*0.3</f>
        <v>1302.729</v>
      </c>
      <c r="R3558" s="12">
        <f t="shared" si="165"/>
        <v>169.45000000000073</v>
      </c>
      <c r="S3558" s="78"/>
      <c r="T3558" s="1"/>
      <c r="V3558" s="1"/>
      <c r="X3558" s="101">
        <v>1</v>
      </c>
    </row>
    <row r="3559" spans="1:24" hidden="1">
      <c r="A3559">
        <v>1979</v>
      </c>
      <c r="B3559" s="2">
        <v>46250.614039351902</v>
      </c>
      <c r="C3559" s="2">
        <v>46250.614479166703</v>
      </c>
      <c r="D3559" s="1" t="s">
        <v>24</v>
      </c>
      <c r="E3559" s="1"/>
      <c r="F3559" s="29">
        <v>46250</v>
      </c>
      <c r="G3559" s="29">
        <v>46250</v>
      </c>
      <c r="H3559" s="1" t="s">
        <v>71</v>
      </c>
      <c r="I3559" s="126" t="s">
        <v>7883</v>
      </c>
      <c r="J3559" s="175"/>
      <c r="K3559" s="171" t="s">
        <v>7884</v>
      </c>
      <c r="L3559" s="62">
        <v>23672566</v>
      </c>
      <c r="M3559" s="30">
        <v>3321158597</v>
      </c>
      <c r="N3559" s="172" t="s">
        <v>32</v>
      </c>
      <c r="O3559" s="50">
        <f>4213.79+848</f>
        <v>5061.79</v>
      </c>
      <c r="P3559" s="97">
        <v>848</v>
      </c>
      <c r="Q3559" s="42">
        <f>OfficeForms.Table[[#This Row],[ INFORMEDEPAGO ]]*0.3</f>
        <v>1518.537</v>
      </c>
      <c r="R3559" s="12">
        <f t="shared" si="165"/>
        <v>40.8100000000004</v>
      </c>
      <c r="S3559" s="78"/>
      <c r="T3559" s="1"/>
      <c r="V3559" s="1"/>
      <c r="X3559" s="101">
        <v>1</v>
      </c>
    </row>
    <row r="3560" spans="1:24" hidden="1">
      <c r="A3560">
        <v>1980</v>
      </c>
      <c r="B3560" s="2">
        <v>46250.614537037</v>
      </c>
      <c r="C3560" s="2">
        <v>46250.615104166704</v>
      </c>
      <c r="D3560" s="1" t="s">
        <v>24</v>
      </c>
      <c r="E3560" s="1"/>
      <c r="F3560" s="29">
        <v>46250</v>
      </c>
      <c r="G3560" s="29">
        <v>46250</v>
      </c>
      <c r="H3560" s="1" t="s">
        <v>26</v>
      </c>
      <c r="I3560" s="126" t="s">
        <v>7885</v>
      </c>
      <c r="J3560" s="175"/>
      <c r="K3560" s="171" t="s">
        <v>7886</v>
      </c>
      <c r="L3560" s="62">
        <v>23675446</v>
      </c>
      <c r="M3560" s="30">
        <v>5216565924035</v>
      </c>
      <c r="N3560" s="172" t="s">
        <v>28</v>
      </c>
      <c r="O3560" s="50">
        <f>8881.32+879</f>
        <v>9760.32</v>
      </c>
      <c r="P3560" s="97">
        <v>879</v>
      </c>
      <c r="Q3560" s="42">
        <f>OfficeForms.Table[[#This Row],[ INFORMEDEPAGO ]]*0.3</f>
        <v>2928.096</v>
      </c>
      <c r="R3560" s="12">
        <f t="shared" si="165"/>
        <v>2049.096</v>
      </c>
      <c r="S3560" s="78"/>
      <c r="T3560" s="1"/>
      <c r="V3560" s="1"/>
      <c r="X3560" s="101">
        <v>1</v>
      </c>
    </row>
    <row r="3561" spans="1:24" hidden="1">
      <c r="A3561">
        <v>1981</v>
      </c>
      <c r="B3561" s="2">
        <v>46250.638634259303</v>
      </c>
      <c r="C3561" s="2">
        <v>46250.639189814799</v>
      </c>
      <c r="D3561" s="1" t="s">
        <v>24</v>
      </c>
      <c r="E3561" s="1"/>
      <c r="F3561" s="29">
        <v>46250</v>
      </c>
      <c r="G3561" s="29">
        <v>46250</v>
      </c>
      <c r="H3561" s="1" t="s">
        <v>71</v>
      </c>
      <c r="I3561" s="126" t="s">
        <v>7887</v>
      </c>
      <c r="J3561" s="175">
        <v>45926103081</v>
      </c>
      <c r="K3561" s="171"/>
      <c r="L3561" s="62">
        <v>23670498</v>
      </c>
      <c r="M3561" s="30">
        <v>5215652008809</v>
      </c>
      <c r="N3561" s="172" t="s">
        <v>37</v>
      </c>
      <c r="O3561" s="50">
        <v>7549.43</v>
      </c>
      <c r="P3561" s="97">
        <v>2262.9299999999998</v>
      </c>
      <c r="Q3561" s="42">
        <f>OfficeForms.Table[[#This Row],[ INFORMEDEPAGO ]]*0.3</f>
        <v>2264.8290000000002</v>
      </c>
      <c r="R3561" s="12">
        <f t="shared" ref="R3561:R3569" si="166">(IF(O3561&lt;4172.98,0,MIN(O3561*0.3,O3561-4172.98)))-P3561</f>
        <v>1.899000000000342</v>
      </c>
      <c r="S3561" s="78">
        <v>46874</v>
      </c>
      <c r="T3561" s="1"/>
      <c r="V3561" s="1"/>
      <c r="X3561" s="101">
        <v>2</v>
      </c>
    </row>
    <row r="3562" spans="1:24" hidden="1">
      <c r="A3562">
        <v>1982</v>
      </c>
      <c r="B3562" s="2">
        <v>46250.644085648099</v>
      </c>
      <c r="C3562" s="2">
        <v>46250.645972222199</v>
      </c>
      <c r="D3562" s="1" t="s">
        <v>24</v>
      </c>
      <c r="E3562" s="1"/>
      <c r="F3562" s="29">
        <v>46250</v>
      </c>
      <c r="G3562" s="29">
        <v>46250</v>
      </c>
      <c r="H3562" s="1" t="s">
        <v>26</v>
      </c>
      <c r="I3562" s="126" t="s">
        <v>7888</v>
      </c>
      <c r="J3562" s="175"/>
      <c r="K3562" s="171" t="s">
        <v>7889</v>
      </c>
      <c r="L3562" s="62">
        <v>23674170</v>
      </c>
      <c r="M3562" s="30">
        <v>7443816337</v>
      </c>
      <c r="N3562" s="172" t="s">
        <v>37</v>
      </c>
      <c r="O3562" s="50">
        <v>9081.52</v>
      </c>
      <c r="P3562" s="97">
        <v>2724.46</v>
      </c>
      <c r="Q3562" s="42">
        <f>OfficeForms.Table[[#This Row],[ INFORMEDEPAGO ]]*0.3</f>
        <v>2724.4560000000001</v>
      </c>
      <c r="R3562" s="12">
        <f t="shared" si="166"/>
        <v>-3.9999999999054126E-3</v>
      </c>
      <c r="S3562" s="78">
        <v>46874</v>
      </c>
      <c r="T3562" s="1"/>
      <c r="V3562" s="1"/>
      <c r="X3562" s="101">
        <v>2</v>
      </c>
    </row>
    <row r="3563" spans="1:24" hidden="1">
      <c r="A3563">
        <v>1983</v>
      </c>
      <c r="B3563" s="2">
        <v>46250.6561111111</v>
      </c>
      <c r="C3563" s="2">
        <v>46250.656643518501</v>
      </c>
      <c r="D3563" s="1" t="s">
        <v>24</v>
      </c>
      <c r="E3563" s="1"/>
      <c r="F3563" s="29">
        <v>46250</v>
      </c>
      <c r="G3563" s="29">
        <v>46250</v>
      </c>
      <c r="H3563" s="1" t="s">
        <v>71</v>
      </c>
      <c r="I3563" s="126" t="s">
        <v>7890</v>
      </c>
      <c r="J3563" s="175"/>
      <c r="K3563" s="171" t="s">
        <v>7891</v>
      </c>
      <c r="L3563" s="62">
        <v>23673684</v>
      </c>
      <c r="M3563" s="30">
        <v>5218641160613</v>
      </c>
      <c r="N3563" s="172" t="s">
        <v>106</v>
      </c>
      <c r="O3563" s="50">
        <v>6262.86</v>
      </c>
      <c r="P3563" s="97">
        <v>1626.58</v>
      </c>
      <c r="Q3563" s="42">
        <f>OfficeForms.Table[[#This Row],[ INFORMEDEPAGO ]]*0.3</f>
        <v>1878.8579999999997</v>
      </c>
      <c r="R3563" s="12">
        <f t="shared" si="166"/>
        <v>252.27799999999979</v>
      </c>
      <c r="S3563" s="78">
        <v>45870</v>
      </c>
      <c r="T3563" s="1"/>
      <c r="V3563" s="1"/>
      <c r="X3563" s="101">
        <v>2</v>
      </c>
    </row>
    <row r="3564" spans="1:24" hidden="1">
      <c r="A3564">
        <v>1984</v>
      </c>
      <c r="B3564" s="2">
        <v>46250.6727314815</v>
      </c>
      <c r="C3564" s="2">
        <v>46250.673310185201</v>
      </c>
      <c r="D3564" s="1" t="s">
        <v>24</v>
      </c>
      <c r="E3564" s="1"/>
      <c r="F3564" s="29">
        <v>46250</v>
      </c>
      <c r="G3564" s="29">
        <v>46250</v>
      </c>
      <c r="H3564" s="1" t="s">
        <v>26</v>
      </c>
      <c r="I3564" s="126" t="s">
        <v>7892</v>
      </c>
      <c r="J3564" s="175"/>
      <c r="K3564" s="171" t="s">
        <v>7893</v>
      </c>
      <c r="L3564" s="62">
        <v>23674830</v>
      </c>
      <c r="M3564" s="30">
        <v>5213112509405</v>
      </c>
      <c r="N3564" s="172" t="s">
        <v>37</v>
      </c>
      <c r="O3564" s="50">
        <v>19136.25</v>
      </c>
      <c r="P3564" s="97">
        <v>5669.96</v>
      </c>
      <c r="Q3564" s="42">
        <f>OfficeForms.Table[[#This Row],[ INFORMEDEPAGO ]]*0.3</f>
        <v>5740.875</v>
      </c>
      <c r="R3564" s="12">
        <f t="shared" si="166"/>
        <v>70.914999999999964</v>
      </c>
      <c r="S3564" s="78">
        <v>46569</v>
      </c>
      <c r="T3564" s="1"/>
      <c r="V3564" s="1"/>
      <c r="X3564" s="101">
        <v>2</v>
      </c>
    </row>
    <row r="3565" spans="1:24" hidden="1">
      <c r="A3565">
        <v>1985</v>
      </c>
      <c r="B3565" s="2">
        <v>46250.677523148101</v>
      </c>
      <c r="C3565" s="2">
        <v>46250.677974537</v>
      </c>
      <c r="D3565" s="1" t="s">
        <v>24</v>
      </c>
      <c r="E3565" s="1"/>
      <c r="F3565" s="29">
        <v>46250</v>
      </c>
      <c r="G3565" s="29">
        <v>46250</v>
      </c>
      <c r="H3565" s="1" t="s">
        <v>26</v>
      </c>
      <c r="I3565" s="126" t="s">
        <v>7894</v>
      </c>
      <c r="J3565" s="175"/>
      <c r="K3565" s="171" t="s">
        <v>7895</v>
      </c>
      <c r="L3565" s="62">
        <v>23671574</v>
      </c>
      <c r="M3565" s="30">
        <v>5212231051896</v>
      </c>
      <c r="N3565" s="172" t="s">
        <v>37</v>
      </c>
      <c r="O3565" s="50">
        <v>11297.08</v>
      </c>
      <c r="P3565" s="97">
        <v>3388.08</v>
      </c>
      <c r="Q3565" s="42">
        <f>OfficeForms.Table[[#This Row],[ INFORMEDEPAGO ]]*0.3</f>
        <v>3389.1239999999998</v>
      </c>
      <c r="R3565" s="12">
        <f t="shared" si="166"/>
        <v>1.043999999999869</v>
      </c>
      <c r="S3565" s="78">
        <v>46357</v>
      </c>
      <c r="T3565" s="1"/>
      <c r="V3565" s="1"/>
      <c r="X3565" s="101">
        <v>2</v>
      </c>
    </row>
    <row r="3566" spans="1:24" hidden="1">
      <c r="A3566">
        <v>1986</v>
      </c>
      <c r="B3566" s="2">
        <v>46250.567870370403</v>
      </c>
      <c r="C3566" s="2">
        <v>46250.684085648099</v>
      </c>
      <c r="D3566" s="1" t="s">
        <v>24</v>
      </c>
      <c r="E3566" s="1"/>
      <c r="F3566" s="29">
        <v>46250</v>
      </c>
      <c r="G3566" s="29">
        <v>46250</v>
      </c>
      <c r="H3566" s="1" t="s">
        <v>3572</v>
      </c>
      <c r="I3566" s="126" t="s">
        <v>7896</v>
      </c>
      <c r="J3566" s="175"/>
      <c r="K3566" s="171" t="s">
        <v>7897</v>
      </c>
      <c r="L3566" s="62">
        <v>23674414</v>
      </c>
      <c r="M3566" s="30">
        <v>5560708512</v>
      </c>
      <c r="N3566" s="172" t="s">
        <v>28</v>
      </c>
      <c r="O3566" s="50">
        <v>10636.54</v>
      </c>
      <c r="P3566" s="97"/>
      <c r="Q3566" s="42">
        <f>OfficeForms.Table[[#This Row],[ INFORMEDEPAGO ]]*0.3</f>
        <v>3190.962</v>
      </c>
      <c r="R3566" s="12">
        <f t="shared" si="166"/>
        <v>3190.962</v>
      </c>
      <c r="S3566" s="78"/>
      <c r="T3566" s="1"/>
      <c r="V3566" s="1"/>
      <c r="X3566" s="101">
        <v>1</v>
      </c>
    </row>
    <row r="3567" spans="1:24" hidden="1">
      <c r="A3567">
        <v>1987</v>
      </c>
      <c r="B3567" s="2">
        <v>46250.687511574099</v>
      </c>
      <c r="C3567" s="2">
        <v>46250.688182870399</v>
      </c>
      <c r="D3567" s="1" t="s">
        <v>24</v>
      </c>
      <c r="E3567" s="1"/>
      <c r="F3567" s="29">
        <v>46250</v>
      </c>
      <c r="G3567" s="29">
        <v>46250</v>
      </c>
      <c r="H3567" s="1" t="s">
        <v>26</v>
      </c>
      <c r="I3567" s="126" t="s">
        <v>7898</v>
      </c>
      <c r="J3567" s="175">
        <v>32947525401</v>
      </c>
      <c r="K3567" s="171"/>
      <c r="L3567" s="62">
        <v>23676194</v>
      </c>
      <c r="M3567" s="30">
        <v>5218661645884</v>
      </c>
      <c r="N3567" s="172" t="s">
        <v>32</v>
      </c>
      <c r="O3567" s="50">
        <v>2457.09</v>
      </c>
      <c r="P3567" s="97"/>
      <c r="Q3567" s="42">
        <f>OfficeForms.Table[[#This Row],[ INFORMEDEPAGO ]]*0.3</f>
        <v>737.12700000000007</v>
      </c>
      <c r="R3567" s="12">
        <f t="shared" si="166"/>
        <v>0</v>
      </c>
      <c r="S3567" s="78"/>
      <c r="T3567" s="1"/>
      <c r="V3567" s="1"/>
      <c r="X3567" s="101">
        <v>1</v>
      </c>
    </row>
    <row r="3568" spans="1:24" hidden="1">
      <c r="A3568">
        <v>1988</v>
      </c>
      <c r="B3568" s="2">
        <v>46250.699826388904</v>
      </c>
      <c r="C3568" s="2">
        <v>46250.700532407398</v>
      </c>
      <c r="D3568" s="1" t="s">
        <v>24</v>
      </c>
      <c r="E3568" s="1"/>
      <c r="F3568" s="29">
        <v>46250</v>
      </c>
      <c r="G3568" s="29">
        <v>46249</v>
      </c>
      <c r="H3568" s="1" t="s">
        <v>107</v>
      </c>
      <c r="I3568" s="126"/>
      <c r="J3568" s="175"/>
      <c r="K3568" s="171" t="s">
        <v>7899</v>
      </c>
      <c r="L3568" s="62">
        <v>23663726</v>
      </c>
      <c r="M3568" s="30">
        <v>8448700302</v>
      </c>
      <c r="N3568" s="172" t="s">
        <v>130</v>
      </c>
      <c r="O3568" s="50">
        <v>6744.06</v>
      </c>
      <c r="P3568" s="97">
        <v>2019.12</v>
      </c>
      <c r="Q3568" s="42">
        <f>OfficeForms.Table[[#This Row],[ INFORMEDEPAGO ]]*0.3</f>
        <v>2023.2180000000001</v>
      </c>
      <c r="R3568" s="12">
        <f t="shared" si="166"/>
        <v>4.0980000000001837</v>
      </c>
      <c r="S3568" s="78">
        <v>45627</v>
      </c>
      <c r="T3568" s="1"/>
      <c r="V3568" s="1"/>
      <c r="X3568" s="101">
        <v>2</v>
      </c>
    </row>
    <row r="3569" spans="1:24" hidden="1">
      <c r="A3569">
        <v>1990</v>
      </c>
      <c r="B3569" s="2">
        <v>46251.328993055598</v>
      </c>
      <c r="C3569" s="2">
        <v>46251.329722222203</v>
      </c>
      <c r="D3569" s="1" t="s">
        <v>24</v>
      </c>
      <c r="E3569" s="1"/>
      <c r="F3569" s="29">
        <v>46251</v>
      </c>
      <c r="G3569" s="29">
        <v>46251</v>
      </c>
      <c r="H3569" s="1" t="s">
        <v>1629</v>
      </c>
      <c r="I3569" s="126" t="s">
        <v>7900</v>
      </c>
      <c r="J3569" s="175" t="s">
        <v>7901</v>
      </c>
      <c r="K3569" s="171" t="s">
        <v>7902</v>
      </c>
      <c r="L3569" s="62">
        <v>2</v>
      </c>
      <c r="M3569" s="30">
        <v>5625846104</v>
      </c>
      <c r="N3569" s="172" t="s">
        <v>37</v>
      </c>
      <c r="O3569" s="50">
        <f>4195.94+617.75</f>
        <v>4813.6899999999996</v>
      </c>
      <c r="P3569" s="97">
        <v>617.75</v>
      </c>
      <c r="Q3569" s="42">
        <f>OfficeForms.Table[[#This Row],[ INFORMEDEPAGO ]]*0.3</f>
        <v>1444.1069999999997</v>
      </c>
      <c r="R3569" s="12">
        <f t="shared" si="166"/>
        <v>22.960000000000036</v>
      </c>
      <c r="S3569" s="78">
        <v>46539</v>
      </c>
      <c r="T3569" s="1"/>
      <c r="V3569" s="1"/>
      <c r="X3569" s="101">
        <v>2</v>
      </c>
    </row>
    <row r="3570" spans="1:24" hidden="1">
      <c r="A3570">
        <v>1991</v>
      </c>
      <c r="B3570" s="2">
        <v>46251.368055555598</v>
      </c>
      <c r="C3570" s="2">
        <v>46251.369097222203</v>
      </c>
      <c r="D3570" s="1" t="s">
        <v>24</v>
      </c>
      <c r="E3570" s="1"/>
      <c r="F3570" s="29">
        <v>46251</v>
      </c>
      <c r="G3570" s="29">
        <v>46251</v>
      </c>
      <c r="H3570" s="1" t="s">
        <v>1629</v>
      </c>
      <c r="I3570" s="126" t="s">
        <v>7903</v>
      </c>
      <c r="J3570" s="175" t="s">
        <v>7904</v>
      </c>
      <c r="K3570" s="171" t="s">
        <v>7905</v>
      </c>
      <c r="L3570" s="62">
        <v>2</v>
      </c>
      <c r="M3570" s="30" t="s">
        <v>7906</v>
      </c>
      <c r="N3570" s="172" t="s">
        <v>37</v>
      </c>
      <c r="O3570" s="50">
        <v>9760.32</v>
      </c>
      <c r="P3570" s="97">
        <v>2823.39</v>
      </c>
      <c r="Q3570" s="42">
        <f>OfficeForms.Table[[#This Row],[ INFORMEDEPAGO ]]*0.3</f>
        <v>2928.096</v>
      </c>
      <c r="R3570" s="12">
        <f t="shared" ref="R3570" si="167">(IF(O3570&lt;4172.98,0,MIN(O3570*0.3,O3570-4172.98)))-P3570</f>
        <v>104.70600000000013</v>
      </c>
      <c r="S3570" s="78">
        <v>46905</v>
      </c>
      <c r="T3570" s="1"/>
      <c r="V3570" s="1"/>
      <c r="X3570" s="101">
        <v>2</v>
      </c>
    </row>
    <row r="3571" spans="1:24" hidden="1">
      <c r="A3571">
        <v>1993</v>
      </c>
      <c r="B3571" s="2">
        <v>46251.320590277799</v>
      </c>
      <c r="C3571" s="2">
        <v>46251.405243055597</v>
      </c>
      <c r="D3571" s="1" t="s">
        <v>24</v>
      </c>
      <c r="E3571" s="1"/>
      <c r="F3571" s="29">
        <v>46251</v>
      </c>
      <c r="G3571" s="29">
        <v>46251</v>
      </c>
      <c r="H3571" s="1" t="s">
        <v>1625</v>
      </c>
      <c r="I3571" s="126"/>
      <c r="J3571" s="175" t="s">
        <v>7907</v>
      </c>
      <c r="K3571" s="171" t="s">
        <v>7908</v>
      </c>
      <c r="L3571" s="62">
        <v>2</v>
      </c>
      <c r="M3571" s="30" t="s">
        <v>7909</v>
      </c>
      <c r="N3571" s="172" t="s">
        <v>106</v>
      </c>
      <c r="O3571" s="50">
        <v>7920.51</v>
      </c>
      <c r="P3571" s="97">
        <v>2199.0100000000002</v>
      </c>
      <c r="Q3571" s="42">
        <f>OfficeForms.Table[[#This Row],[ INFORMEDEPAGO ]]*0.3</f>
        <v>2376.1529999999998</v>
      </c>
      <c r="R3571" s="12">
        <f t="shared" ref="R3571:R3575" si="168">(IF(O3571&lt;4172.98,0,MIN(O3571*0.3,O3571-4172.98)))-P3571</f>
        <v>177.14299999999957</v>
      </c>
      <c r="S3571" s="78">
        <v>46204</v>
      </c>
      <c r="T3571" s="1"/>
      <c r="V3571" s="1"/>
      <c r="X3571" s="101">
        <v>2</v>
      </c>
    </row>
    <row r="3572" spans="1:24" hidden="1">
      <c r="A3572">
        <v>1994</v>
      </c>
      <c r="B3572" s="2">
        <v>46251.402719907397</v>
      </c>
      <c r="C3572" s="2">
        <v>46251.405312499999</v>
      </c>
      <c r="D3572" s="1" t="s">
        <v>24</v>
      </c>
      <c r="E3572" s="1"/>
      <c r="F3572" s="29">
        <v>46251</v>
      </c>
      <c r="G3572" s="29">
        <v>46251</v>
      </c>
      <c r="H3572" s="1" t="s">
        <v>7812</v>
      </c>
      <c r="I3572" s="126" t="s">
        <v>7910</v>
      </c>
      <c r="J3572" s="175">
        <v>64856524786</v>
      </c>
      <c r="K3572" s="171" t="s">
        <v>7911</v>
      </c>
      <c r="L3572" s="62">
        <v>23659986</v>
      </c>
      <c r="M3572" s="30">
        <v>5217721519113</v>
      </c>
      <c r="N3572" s="172" t="s">
        <v>98</v>
      </c>
      <c r="O3572" s="50"/>
      <c r="P3572" s="97"/>
      <c r="Q3572" s="42">
        <f>OfficeForms.Table[[#This Row],[ INFORMEDEPAGO ]]*0.3</f>
        <v>0</v>
      </c>
      <c r="R3572" s="12">
        <f t="shared" si="168"/>
        <v>0</v>
      </c>
      <c r="S3572" s="78"/>
      <c r="T3572" s="1"/>
      <c r="V3572" s="1"/>
      <c r="X3572" s="101">
        <v>0</v>
      </c>
    </row>
    <row r="3573" spans="1:24" hidden="1">
      <c r="A3573">
        <v>1995</v>
      </c>
      <c r="B3573" s="2">
        <v>46251.3898148148</v>
      </c>
      <c r="C3573" s="2">
        <v>46251.407986111102</v>
      </c>
      <c r="D3573" s="1" t="s">
        <v>24</v>
      </c>
      <c r="E3573" s="1"/>
      <c r="F3573" s="29">
        <v>46251</v>
      </c>
      <c r="G3573" s="29">
        <v>46251</v>
      </c>
      <c r="H3573" s="1" t="s">
        <v>1629</v>
      </c>
      <c r="I3573" s="126" t="s">
        <v>7912</v>
      </c>
      <c r="J3573" s="175">
        <v>43796220598</v>
      </c>
      <c r="K3573" s="171" t="s">
        <v>7913</v>
      </c>
      <c r="L3573" s="62">
        <v>2</v>
      </c>
      <c r="M3573" s="30">
        <v>8123433912</v>
      </c>
      <c r="N3573" s="172" t="s">
        <v>37</v>
      </c>
      <c r="O3573" s="50">
        <v>9081.51</v>
      </c>
      <c r="P3573" s="97">
        <v>2521.11</v>
      </c>
      <c r="Q3573" s="42">
        <f>OfficeForms.Table[[#This Row],[ INFORMEDEPAGO ]]*0.3</f>
        <v>2724.453</v>
      </c>
      <c r="R3573" s="12">
        <f t="shared" si="168"/>
        <v>203.34299999999985</v>
      </c>
      <c r="S3573" s="78">
        <v>46569</v>
      </c>
      <c r="T3573" s="1"/>
      <c r="V3573" s="1"/>
      <c r="X3573" s="101">
        <v>2</v>
      </c>
    </row>
    <row r="3574" spans="1:24" hidden="1">
      <c r="A3574">
        <v>1996</v>
      </c>
      <c r="B3574" s="2">
        <v>46251.4127546296</v>
      </c>
      <c r="C3574" s="2">
        <v>46251.413726851897</v>
      </c>
      <c r="D3574" s="1" t="s">
        <v>24</v>
      </c>
      <c r="E3574" s="1"/>
      <c r="F3574" s="29">
        <v>46251</v>
      </c>
      <c r="G3574" s="29">
        <v>46249</v>
      </c>
      <c r="H3574" s="1" t="s">
        <v>6605</v>
      </c>
      <c r="I3574" s="126" t="s">
        <v>7914</v>
      </c>
      <c r="J3574" s="175"/>
      <c r="K3574" s="171" t="s">
        <v>7915</v>
      </c>
      <c r="L3574" s="62">
        <v>23658860</v>
      </c>
      <c r="M3574" s="30">
        <v>5521382319</v>
      </c>
      <c r="N3574" s="172" t="s">
        <v>98</v>
      </c>
      <c r="O3574" s="50"/>
      <c r="P3574" s="97"/>
      <c r="Q3574" s="42">
        <f>OfficeForms.Table[[#This Row],[ INFORMEDEPAGO ]]*0.3</f>
        <v>0</v>
      </c>
      <c r="R3574" s="12">
        <f t="shared" si="168"/>
        <v>0</v>
      </c>
      <c r="S3574" s="78"/>
      <c r="T3574" s="1"/>
      <c r="V3574" s="1"/>
      <c r="X3574" s="101">
        <v>0</v>
      </c>
    </row>
    <row r="3575" spans="1:24" hidden="1">
      <c r="A3575">
        <v>1997</v>
      </c>
      <c r="B3575" s="2">
        <v>46251.420694444401</v>
      </c>
      <c r="C3575" s="2">
        <v>46251.421307870398</v>
      </c>
      <c r="D3575" s="1" t="s">
        <v>24</v>
      </c>
      <c r="E3575" s="1"/>
      <c r="F3575" s="29">
        <v>46251</v>
      </c>
      <c r="G3575" s="29">
        <v>46251</v>
      </c>
      <c r="H3575" s="1" t="s">
        <v>1629</v>
      </c>
      <c r="I3575" s="126" t="s">
        <v>7916</v>
      </c>
      <c r="J3575" s="175">
        <v>16816439778</v>
      </c>
      <c r="K3575" s="171" t="s">
        <v>7917</v>
      </c>
      <c r="L3575" s="62">
        <v>2</v>
      </c>
      <c r="M3575" s="30">
        <v>7293439303</v>
      </c>
      <c r="N3575" s="172" t="s">
        <v>37</v>
      </c>
      <c r="O3575" s="50">
        <v>20626.04</v>
      </c>
      <c r="P3575" s="97">
        <v>6187.4</v>
      </c>
      <c r="Q3575" s="42">
        <f>OfficeForms.Table[[#This Row],[ INFORMEDEPAGO ]]*0.3</f>
        <v>6187.8119999999999</v>
      </c>
      <c r="R3575" s="12">
        <f t="shared" si="168"/>
        <v>0.41200000000026193</v>
      </c>
      <c r="S3575" s="78">
        <v>46388</v>
      </c>
      <c r="T3575" s="1"/>
      <c r="V3575" s="1"/>
      <c r="X3575" s="101">
        <v>2</v>
      </c>
    </row>
    <row r="3576" spans="1:24" hidden="1">
      <c r="A3576">
        <v>1998</v>
      </c>
      <c r="B3576" s="2">
        <v>46251.425833333298</v>
      </c>
      <c r="C3576" s="2">
        <v>46251.430393518502</v>
      </c>
      <c r="D3576" s="1" t="s">
        <v>24</v>
      </c>
      <c r="E3576" s="1"/>
      <c r="F3576" s="29">
        <v>46251</v>
      </c>
      <c r="G3576" s="29">
        <v>46251</v>
      </c>
      <c r="H3576" s="1" t="s">
        <v>1625</v>
      </c>
      <c r="I3576" s="126" t="s">
        <v>7918</v>
      </c>
      <c r="J3576" s="175" t="s">
        <v>7919</v>
      </c>
      <c r="K3576" s="171" t="s">
        <v>7920</v>
      </c>
      <c r="L3576" s="62">
        <v>2</v>
      </c>
      <c r="M3576" s="30">
        <v>4271667508</v>
      </c>
      <c r="N3576" s="172" t="s">
        <v>47</v>
      </c>
      <c r="O3576" s="50">
        <v>5617.64</v>
      </c>
      <c r="P3576" s="97">
        <v>1103</v>
      </c>
      <c r="Q3576" s="42">
        <f>OfficeForms.Table[[#This Row],[ INFORMEDEPAGO ]]*0.3</f>
        <v>1685.2920000000001</v>
      </c>
      <c r="R3576" s="12">
        <f t="shared" ref="R3576:R3578" si="169">(IF(O3576&lt;4172.98,0,MIN(O3576*0.3,O3576-4172.98)))-P3576</f>
        <v>341.66000000000076</v>
      </c>
      <c r="S3576" s="78">
        <v>46631</v>
      </c>
      <c r="T3576" s="1"/>
      <c r="V3576" s="1"/>
      <c r="X3576" s="101">
        <v>2</v>
      </c>
    </row>
    <row r="3577" spans="1:24" hidden="1">
      <c r="A3577">
        <v>1999</v>
      </c>
      <c r="B3577" s="2">
        <v>46251.429756944402</v>
      </c>
      <c r="C3577" s="2">
        <v>46251.4312615741</v>
      </c>
      <c r="D3577" s="1" t="s">
        <v>24</v>
      </c>
      <c r="E3577" s="1"/>
      <c r="F3577" s="29">
        <v>46251</v>
      </c>
      <c r="G3577" s="29">
        <v>46251</v>
      </c>
      <c r="H3577" s="1" t="s">
        <v>269</v>
      </c>
      <c r="I3577" s="126" t="s">
        <v>7921</v>
      </c>
      <c r="J3577" s="207" t="s">
        <v>7922</v>
      </c>
      <c r="K3577" s="171" t="s">
        <v>7923</v>
      </c>
      <c r="L3577" s="62">
        <v>23694676</v>
      </c>
      <c r="M3577" s="30">
        <v>5218993552652</v>
      </c>
      <c r="N3577" s="172" t="s">
        <v>37</v>
      </c>
      <c r="O3577" s="50">
        <v>11733.83</v>
      </c>
      <c r="P3577" s="97">
        <v>3382.65</v>
      </c>
      <c r="Q3577" s="42">
        <f>OfficeForms.Table[[#This Row],[ INFORMEDEPAGO ]]*0.3</f>
        <v>3520.1489999999999</v>
      </c>
      <c r="R3577" s="12">
        <f t="shared" si="169"/>
        <v>137.4989999999998</v>
      </c>
      <c r="S3577" s="78">
        <v>46600</v>
      </c>
      <c r="T3577" s="1"/>
      <c r="V3577" s="1"/>
      <c r="X3577" s="101">
        <v>2</v>
      </c>
    </row>
    <row r="3578" spans="1:24" hidden="1">
      <c r="A3578">
        <v>2000</v>
      </c>
      <c r="B3578" s="2">
        <v>46251.431921296302</v>
      </c>
      <c r="C3578" s="2">
        <v>46251.433645833298</v>
      </c>
      <c r="D3578" s="1" t="s">
        <v>24</v>
      </c>
      <c r="E3578" s="1"/>
      <c r="F3578" s="29">
        <v>46251</v>
      </c>
      <c r="G3578" s="29">
        <v>46251</v>
      </c>
      <c r="H3578" s="1" t="s">
        <v>103</v>
      </c>
      <c r="I3578" s="126" t="s">
        <v>7924</v>
      </c>
      <c r="J3578" s="207" t="s">
        <v>7925</v>
      </c>
      <c r="K3578" s="171" t="s">
        <v>7926</v>
      </c>
      <c r="L3578" s="62">
        <v>1</v>
      </c>
      <c r="M3578" s="30">
        <v>8121494674</v>
      </c>
      <c r="N3578" s="172" t="s">
        <v>98</v>
      </c>
      <c r="O3578" s="50"/>
      <c r="P3578" s="97"/>
      <c r="Q3578" s="42">
        <f>OfficeForms.Table[[#This Row],[ INFORMEDEPAGO ]]*0.3</f>
        <v>0</v>
      </c>
      <c r="R3578" s="12">
        <f t="shared" si="169"/>
        <v>0</v>
      </c>
      <c r="S3578" s="78"/>
      <c r="T3578" s="1"/>
      <c r="V3578" s="1"/>
      <c r="X3578" s="101">
        <v>0</v>
      </c>
    </row>
    <row r="3579" spans="1:24" hidden="1">
      <c r="A3579">
        <v>2001</v>
      </c>
      <c r="B3579" s="2">
        <v>46251.426874999997</v>
      </c>
      <c r="C3579" s="2">
        <v>46251.434826388897</v>
      </c>
      <c r="D3579" s="1" t="s">
        <v>24</v>
      </c>
      <c r="E3579" s="1"/>
      <c r="F3579" s="29">
        <v>46251</v>
      </c>
      <c r="G3579" s="29">
        <v>46250</v>
      </c>
      <c r="H3579" s="1" t="s">
        <v>110</v>
      </c>
      <c r="I3579" s="126" t="s">
        <v>7927</v>
      </c>
      <c r="J3579" s="207">
        <v>92907363870</v>
      </c>
      <c r="K3579" s="187" t="s">
        <v>7928</v>
      </c>
      <c r="L3579" s="62">
        <v>23676876</v>
      </c>
      <c r="M3579" s="30">
        <v>5215580186832</v>
      </c>
      <c r="N3579" s="172" t="s">
        <v>98</v>
      </c>
      <c r="O3579" s="50"/>
      <c r="P3579" s="97"/>
      <c r="Q3579" s="42">
        <f>OfficeForms.Table[[#This Row],[ INFORMEDEPAGO ]]*0.3</f>
        <v>0</v>
      </c>
      <c r="R3579" s="12">
        <f t="shared" ref="R3579:R3582" si="170">(IF(O3579&lt;4172.98,0,MIN(O3579*0.3,O3579-4172.98)))-P3579</f>
        <v>0</v>
      </c>
      <c r="S3579" s="78"/>
      <c r="T3579" s="1"/>
      <c r="V3579" s="1"/>
      <c r="X3579" s="101">
        <v>0</v>
      </c>
    </row>
    <row r="3580" spans="1:24" hidden="1">
      <c r="A3580">
        <v>2002</v>
      </c>
      <c r="B3580" s="2">
        <v>46251.432951388902</v>
      </c>
      <c r="C3580" s="2">
        <v>46251.435081018499</v>
      </c>
      <c r="D3580" s="1" t="s">
        <v>24</v>
      </c>
      <c r="E3580" s="1"/>
      <c r="F3580" s="29">
        <v>46251</v>
      </c>
      <c r="G3580" s="29">
        <v>46251</v>
      </c>
      <c r="H3580" s="1" t="s">
        <v>269</v>
      </c>
      <c r="I3580" s="126" t="s">
        <v>7929</v>
      </c>
      <c r="J3580" s="207" t="s">
        <v>7930</v>
      </c>
      <c r="K3580" s="171" t="s">
        <v>7931</v>
      </c>
      <c r="L3580" s="62">
        <v>23695134</v>
      </c>
      <c r="M3580" s="30">
        <v>5212721490105</v>
      </c>
      <c r="N3580" s="172" t="s">
        <v>263</v>
      </c>
      <c r="O3580" s="50">
        <v>10193.799999999999</v>
      </c>
      <c r="P3580" s="97">
        <v>2694.02</v>
      </c>
      <c r="Q3580" s="42">
        <f>OfficeForms.Table[[#This Row],[ INFORMEDEPAGO ]]*0.3</f>
        <v>3058.14</v>
      </c>
      <c r="R3580" s="12">
        <f t="shared" si="170"/>
        <v>364.11999999999989</v>
      </c>
      <c r="S3580" s="78">
        <v>45931</v>
      </c>
      <c r="T3580" s="1"/>
      <c r="V3580" s="1"/>
      <c r="X3580" s="101">
        <v>2</v>
      </c>
    </row>
    <row r="3581" spans="1:24" hidden="1">
      <c r="A3581">
        <v>2003</v>
      </c>
      <c r="B3581" s="2">
        <v>46251.419201388897</v>
      </c>
      <c r="C3581" s="2">
        <v>46251.442696759303</v>
      </c>
      <c r="D3581" s="1" t="s">
        <v>24</v>
      </c>
      <c r="E3581" s="1"/>
      <c r="F3581" s="29">
        <v>46251</v>
      </c>
      <c r="G3581" s="29">
        <v>46228</v>
      </c>
      <c r="H3581" s="1" t="s">
        <v>78</v>
      </c>
      <c r="I3581" s="126" t="s">
        <v>7932</v>
      </c>
      <c r="J3581" s="207">
        <v>81957102080</v>
      </c>
      <c r="K3581" s="171" t="s">
        <v>7933</v>
      </c>
      <c r="L3581" s="62">
        <v>23100716</v>
      </c>
      <c r="M3581" s="30">
        <v>5219131039682</v>
      </c>
      <c r="N3581" s="172" t="s">
        <v>28</v>
      </c>
      <c r="O3581" s="50">
        <v>6038.94</v>
      </c>
      <c r="P3581" s="97"/>
      <c r="Q3581" s="42">
        <f>OfficeForms.Table[[#This Row],[ INFORMEDEPAGO ]]*0.3</f>
        <v>1811.6819999999998</v>
      </c>
      <c r="R3581" s="12">
        <f t="shared" si="170"/>
        <v>1811.6819999999998</v>
      </c>
      <c r="S3581" s="78"/>
      <c r="T3581" s="1"/>
      <c r="V3581" s="1"/>
      <c r="X3581" s="101">
        <v>1</v>
      </c>
    </row>
    <row r="3582" spans="1:24" hidden="1">
      <c r="A3582">
        <v>2004</v>
      </c>
      <c r="B3582" s="2">
        <v>46251.450624999998</v>
      </c>
      <c r="C3582" s="2">
        <v>46251.453449074099</v>
      </c>
      <c r="D3582" s="1" t="s">
        <v>24</v>
      </c>
      <c r="E3582" s="1"/>
      <c r="F3582" s="29">
        <v>46251</v>
      </c>
      <c r="G3582" s="29">
        <v>46251</v>
      </c>
      <c r="H3582" s="1" t="s">
        <v>269</v>
      </c>
      <c r="I3582" s="126" t="s">
        <v>7934</v>
      </c>
      <c r="J3582" s="207" t="s">
        <v>7935</v>
      </c>
      <c r="K3582" s="171" t="s">
        <v>7936</v>
      </c>
      <c r="L3582" s="62">
        <v>23679606</v>
      </c>
      <c r="M3582" s="30">
        <v>5219902491947</v>
      </c>
      <c r="N3582" s="172" t="s">
        <v>98</v>
      </c>
      <c r="O3582" s="50"/>
      <c r="P3582" s="97"/>
      <c r="Q3582" s="42">
        <f>OfficeForms.Table[[#This Row],[ INFORMEDEPAGO ]]*0.3</f>
        <v>0</v>
      </c>
      <c r="R3582" s="12">
        <f t="shared" si="170"/>
        <v>0</v>
      </c>
      <c r="S3582" s="78"/>
      <c r="T3582" s="1"/>
      <c r="V3582" s="1"/>
      <c r="X3582" s="101">
        <v>0</v>
      </c>
    </row>
    <row r="3583" spans="1:24" hidden="1">
      <c r="A3583">
        <v>2005</v>
      </c>
      <c r="B3583" s="2">
        <v>46251.459953703699</v>
      </c>
      <c r="C3583" s="2">
        <v>46251.4605787037</v>
      </c>
      <c r="D3583" s="1" t="s">
        <v>24</v>
      </c>
      <c r="E3583" s="1"/>
      <c r="F3583" s="29">
        <v>46251</v>
      </c>
      <c r="G3583" s="29">
        <v>46244</v>
      </c>
      <c r="H3583" s="1" t="s">
        <v>269</v>
      </c>
      <c r="I3583" s="126" t="s">
        <v>7937</v>
      </c>
      <c r="J3583" s="207"/>
      <c r="K3583" s="171" t="s">
        <v>7938</v>
      </c>
      <c r="L3583" s="62">
        <v>23497578</v>
      </c>
      <c r="M3583" s="30">
        <v>5215548948356</v>
      </c>
      <c r="N3583" s="172" t="s">
        <v>28</v>
      </c>
      <c r="O3583" s="50">
        <f>23400.38-12763.84</f>
        <v>10636.54</v>
      </c>
      <c r="P3583" s="97"/>
      <c r="Q3583" s="42">
        <f>OfficeForms.Table[[#This Row],[ INFORMEDEPAGO ]]*0.3</f>
        <v>3190.962</v>
      </c>
      <c r="R3583" s="12">
        <f t="shared" ref="R3583:R3587" si="171">(IF(O3583&lt;4172.98,0,MIN(O3583*0.3,O3583-4172.98)))-P3583</f>
        <v>3190.962</v>
      </c>
      <c r="S3583" s="78"/>
      <c r="T3583" s="1"/>
      <c r="V3583" s="1"/>
      <c r="X3583" s="101">
        <v>1</v>
      </c>
    </row>
    <row r="3584" spans="1:24" hidden="1">
      <c r="A3584">
        <v>2006</v>
      </c>
      <c r="B3584" s="2">
        <v>46251.463622685202</v>
      </c>
      <c r="C3584" s="2">
        <v>46251.467048611099</v>
      </c>
      <c r="D3584" s="1" t="s">
        <v>24</v>
      </c>
      <c r="E3584" s="1"/>
      <c r="F3584" s="29">
        <v>46251</v>
      </c>
      <c r="G3584" s="29">
        <v>46250</v>
      </c>
      <c r="H3584" s="1" t="s">
        <v>5605</v>
      </c>
      <c r="I3584" s="126" t="s">
        <v>7939</v>
      </c>
      <c r="J3584" s="207"/>
      <c r="K3584" s="171" t="s">
        <v>7940</v>
      </c>
      <c r="L3584" s="62">
        <v>23676916</v>
      </c>
      <c r="M3584" s="30">
        <v>6311916373</v>
      </c>
      <c r="N3584" s="172" t="s">
        <v>37</v>
      </c>
      <c r="O3584" s="50">
        <v>9081.52</v>
      </c>
      <c r="P3584" s="97">
        <v>2724.46</v>
      </c>
      <c r="Q3584" s="42">
        <f>OfficeForms.Table[[#This Row],[ INFORMEDEPAGO ]]*0.3</f>
        <v>2724.4560000000001</v>
      </c>
      <c r="R3584" s="12">
        <f t="shared" si="171"/>
        <v>-3.9999999999054126E-3</v>
      </c>
      <c r="S3584" s="78">
        <v>46357</v>
      </c>
      <c r="T3584" s="1"/>
      <c r="V3584" s="1"/>
      <c r="X3584" s="101">
        <v>2</v>
      </c>
    </row>
    <row r="3585" spans="1:24" hidden="1">
      <c r="A3585">
        <v>2007</v>
      </c>
      <c r="B3585" s="2">
        <v>46251.4678472222</v>
      </c>
      <c r="C3585" s="2">
        <v>46251.468402777798</v>
      </c>
      <c r="D3585" s="1" t="s">
        <v>24</v>
      </c>
      <c r="E3585" s="1"/>
      <c r="F3585" s="29">
        <v>46251</v>
      </c>
      <c r="G3585" s="29">
        <v>46251</v>
      </c>
      <c r="H3585" s="1" t="s">
        <v>1629</v>
      </c>
      <c r="I3585" s="126" t="s">
        <v>7941</v>
      </c>
      <c r="J3585" s="207">
        <v>43775832017</v>
      </c>
      <c r="K3585" s="171" t="s">
        <v>7942</v>
      </c>
      <c r="L3585" s="62">
        <v>2</v>
      </c>
      <c r="M3585" s="30" t="s">
        <v>7943</v>
      </c>
      <c r="N3585" s="172" t="s">
        <v>47</v>
      </c>
      <c r="O3585" s="50">
        <v>39214.29</v>
      </c>
      <c r="P3585" s="97">
        <v>11344.29</v>
      </c>
      <c r="Q3585" s="42">
        <f>OfficeForms.Table[[#This Row],[ INFORMEDEPAGO ]]*0.3</f>
        <v>11764.287</v>
      </c>
      <c r="R3585" s="12">
        <f t="shared" si="171"/>
        <v>419.99699999999939</v>
      </c>
      <c r="S3585" s="78">
        <v>46661</v>
      </c>
      <c r="T3585" s="1"/>
      <c r="V3585" s="1"/>
      <c r="X3585" s="101">
        <v>2</v>
      </c>
    </row>
    <row r="3586" spans="1:24" hidden="1">
      <c r="A3586">
        <v>2008</v>
      </c>
      <c r="B3586" s="2">
        <v>46251.433668981503</v>
      </c>
      <c r="C3586" s="2">
        <v>46251.469409722202</v>
      </c>
      <c r="D3586" s="1" t="s">
        <v>24</v>
      </c>
      <c r="E3586" s="1"/>
      <c r="F3586" s="29">
        <v>46251</v>
      </c>
      <c r="G3586" s="29">
        <v>46251</v>
      </c>
      <c r="H3586" s="1" t="s">
        <v>103</v>
      </c>
      <c r="I3586" s="126"/>
      <c r="J3586" s="207">
        <v>21876503729</v>
      </c>
      <c r="K3586" s="171"/>
      <c r="L3586" s="62">
        <v>1</v>
      </c>
      <c r="M3586" s="30">
        <v>4435498338</v>
      </c>
      <c r="N3586" s="172" t="s">
        <v>37</v>
      </c>
      <c r="O3586" s="50">
        <v>6009.34</v>
      </c>
      <c r="P3586" s="97">
        <v>1729.01</v>
      </c>
      <c r="Q3586" s="42">
        <f>OfficeForms.Table[[#This Row],[ INFORMEDEPAGO ]]*0.3</f>
        <v>1802.8019999999999</v>
      </c>
      <c r="R3586" s="12">
        <f t="shared" si="171"/>
        <v>73.791999999999916</v>
      </c>
      <c r="S3586" s="78">
        <v>46419</v>
      </c>
      <c r="T3586" s="1"/>
      <c r="V3586" s="1"/>
      <c r="X3586" s="101">
        <v>2</v>
      </c>
    </row>
    <row r="3587" spans="1:24" hidden="1">
      <c r="A3587">
        <v>2009</v>
      </c>
      <c r="B3587" s="2">
        <v>46251.469618055598</v>
      </c>
      <c r="C3587" s="2">
        <v>46251.471157407403</v>
      </c>
      <c r="D3587" s="1" t="s">
        <v>24</v>
      </c>
      <c r="E3587" s="1"/>
      <c r="F3587" s="29">
        <v>46251</v>
      </c>
      <c r="G3587" s="29">
        <v>46246</v>
      </c>
      <c r="H3587" s="1" t="s">
        <v>5605</v>
      </c>
      <c r="I3587" s="126" t="s">
        <v>7944</v>
      </c>
      <c r="J3587" s="207">
        <v>12786025978</v>
      </c>
      <c r="K3587" s="171"/>
      <c r="L3587" s="62">
        <v>23574928</v>
      </c>
      <c r="M3587" s="30">
        <v>4772198807</v>
      </c>
      <c r="N3587" s="172" t="s">
        <v>106</v>
      </c>
      <c r="O3587" s="50">
        <v>7920.51</v>
      </c>
      <c r="P3587" s="97">
        <v>2199.02</v>
      </c>
      <c r="Q3587" s="42">
        <f>OfficeForms.Table[[#This Row],[ INFORMEDEPAGO ]]*0.3</f>
        <v>2376.1529999999998</v>
      </c>
      <c r="R3587" s="12">
        <f t="shared" si="171"/>
        <v>177.13299999999981</v>
      </c>
      <c r="S3587" s="78">
        <v>46204</v>
      </c>
      <c r="T3587" s="1"/>
      <c r="V3587" s="1"/>
      <c r="X3587" s="101">
        <v>2</v>
      </c>
    </row>
    <row r="3588" spans="1:24" hidden="1">
      <c r="A3588">
        <v>2010</v>
      </c>
      <c r="B3588" s="2">
        <v>46251.4586458333</v>
      </c>
      <c r="C3588" s="2">
        <v>46251.473159722198</v>
      </c>
      <c r="D3588" s="1" t="s">
        <v>24</v>
      </c>
      <c r="E3588" s="1"/>
      <c r="F3588" s="29">
        <v>46251</v>
      </c>
      <c r="G3588" s="29">
        <v>46248</v>
      </c>
      <c r="H3588" s="1" t="s">
        <v>51</v>
      </c>
      <c r="I3588" s="126" t="s">
        <v>7945</v>
      </c>
      <c r="J3588" s="207">
        <v>14735607724</v>
      </c>
      <c r="K3588" s="171" t="s">
        <v>7946</v>
      </c>
      <c r="L3588" s="62">
        <v>23638860</v>
      </c>
      <c r="M3588" s="30">
        <v>5214424654260</v>
      </c>
      <c r="N3588" s="172" t="s">
        <v>37</v>
      </c>
      <c r="O3588" s="50">
        <v>14765.95</v>
      </c>
      <c r="P3588" s="97">
        <v>4424.66</v>
      </c>
      <c r="Q3588" s="42">
        <f>OfficeForms.Table[[#This Row],[ INFORMEDEPAGO ]]*0.3</f>
        <v>4429.7849999999999</v>
      </c>
      <c r="R3588" s="12">
        <f t="shared" ref="R3588:R3589" si="172">(IF(O3588&lt;4172.98,0,MIN(O3588*0.3,O3588-4172.98)))-P3588</f>
        <v>5.125</v>
      </c>
      <c r="S3588" s="78">
        <v>46813</v>
      </c>
      <c r="T3588" s="1"/>
      <c r="V3588" s="1"/>
      <c r="X3588" s="101">
        <v>2</v>
      </c>
    </row>
    <row r="3589" spans="1:24" hidden="1">
      <c r="A3589">
        <v>2011</v>
      </c>
      <c r="B3589" s="2">
        <v>46251.469490740703</v>
      </c>
      <c r="C3589" s="2">
        <v>46251.474722222199</v>
      </c>
      <c r="D3589" s="1" t="s">
        <v>24</v>
      </c>
      <c r="E3589" s="1"/>
      <c r="F3589" s="29">
        <v>46251</v>
      </c>
      <c r="G3589" s="29">
        <v>46251</v>
      </c>
      <c r="H3589" s="1" t="s">
        <v>269</v>
      </c>
      <c r="I3589" s="126" t="s">
        <v>7947</v>
      </c>
      <c r="J3589" s="207" t="s">
        <v>7948</v>
      </c>
      <c r="K3589" s="187" t="s">
        <v>7949</v>
      </c>
      <c r="L3589" s="62">
        <v>23694426</v>
      </c>
      <c r="M3589" s="30">
        <v>5216566388204</v>
      </c>
      <c r="N3589" s="172" t="s">
        <v>28</v>
      </c>
      <c r="O3589" s="50">
        <v>7685.91</v>
      </c>
      <c r="P3589" s="97"/>
      <c r="Q3589" s="42">
        <f>OfficeForms.Table[[#This Row],[ INFORMEDEPAGO ]]*0.3</f>
        <v>2305.7729999999997</v>
      </c>
      <c r="R3589" s="12">
        <f t="shared" si="172"/>
        <v>2305.7729999999997</v>
      </c>
      <c r="S3589" s="78"/>
      <c r="T3589" s="1"/>
      <c r="V3589" s="1"/>
      <c r="X3589" s="101">
        <v>1</v>
      </c>
    </row>
    <row r="3590" spans="1:24" hidden="1">
      <c r="A3590">
        <v>2012</v>
      </c>
      <c r="B3590" s="2">
        <v>46251.418483796297</v>
      </c>
      <c r="C3590" s="2">
        <v>46251.4903009259</v>
      </c>
      <c r="D3590" s="1" t="s">
        <v>24</v>
      </c>
      <c r="E3590" s="1"/>
      <c r="F3590" s="29">
        <v>46251</v>
      </c>
      <c r="G3590" s="29">
        <v>46250</v>
      </c>
      <c r="H3590" s="1" t="s">
        <v>476</v>
      </c>
      <c r="I3590" s="126" t="s">
        <v>7950</v>
      </c>
      <c r="J3590" s="207">
        <v>6280540211</v>
      </c>
      <c r="K3590" s="187" t="s">
        <v>7951</v>
      </c>
      <c r="L3590" s="62">
        <v>23671132</v>
      </c>
      <c r="M3590" s="30">
        <v>5212222784148</v>
      </c>
      <c r="N3590" s="172" t="s">
        <v>74</v>
      </c>
      <c r="O3590" s="50"/>
      <c r="P3590" s="97"/>
      <c r="Q3590" s="42">
        <f>OfficeForms.Table[[#This Row],[ INFORMEDEPAGO ]]*0.3</f>
        <v>0</v>
      </c>
      <c r="R3590" s="12">
        <f t="shared" ref="R3590:R3591" si="173">(IF(O3590&lt;4172.98,0,MIN(O3590*0.3,O3590-4172.98)))-P3590</f>
        <v>0</v>
      </c>
      <c r="S3590" s="78"/>
      <c r="T3590" s="1"/>
      <c r="V3590" s="1"/>
      <c r="X3590" s="101">
        <v>1</v>
      </c>
    </row>
    <row r="3591" spans="1:24" hidden="1">
      <c r="A3591">
        <v>2013</v>
      </c>
      <c r="B3591" s="2">
        <v>46251.491053240701</v>
      </c>
      <c r="C3591" s="2">
        <v>46251.4916435185</v>
      </c>
      <c r="D3591" s="1" t="s">
        <v>24</v>
      </c>
      <c r="E3591" s="1"/>
      <c r="F3591" s="29">
        <v>46251</v>
      </c>
      <c r="G3591" s="29">
        <v>46251</v>
      </c>
      <c r="H3591" s="1" t="s">
        <v>269</v>
      </c>
      <c r="I3591" s="126" t="s">
        <v>7952</v>
      </c>
      <c r="J3591" s="207" t="s">
        <v>7953</v>
      </c>
      <c r="K3591" s="171" t="s">
        <v>7954</v>
      </c>
      <c r="L3591" s="62">
        <v>23680770</v>
      </c>
      <c r="M3591" s="30">
        <v>5215535217984</v>
      </c>
      <c r="N3591" s="172" t="s">
        <v>37</v>
      </c>
      <c r="O3591" s="52">
        <v>6262.86</v>
      </c>
      <c r="P3591" s="52">
        <v>1810.99</v>
      </c>
      <c r="Q3591" s="42">
        <f>OfficeForms.Table[[#This Row],[ INFORMEDEPAGO ]]*0.3</f>
        <v>1878.8579999999997</v>
      </c>
      <c r="R3591" s="12">
        <f t="shared" si="173"/>
        <v>67.867999999999711</v>
      </c>
      <c r="S3591" s="78">
        <v>46266</v>
      </c>
      <c r="T3591" s="1"/>
      <c r="V3591" s="1"/>
      <c r="X3591" s="101">
        <v>2</v>
      </c>
    </row>
    <row r="3592" spans="1:24" hidden="1">
      <c r="A3592">
        <v>2014</v>
      </c>
      <c r="B3592" s="2">
        <v>46251.498159722199</v>
      </c>
      <c r="C3592" s="2">
        <v>46251.501562500001</v>
      </c>
      <c r="D3592" s="1" t="s">
        <v>24</v>
      </c>
      <c r="E3592" s="1"/>
      <c r="F3592" s="29">
        <v>46251</v>
      </c>
      <c r="G3592" s="29">
        <v>46251</v>
      </c>
      <c r="H3592" s="1" t="s">
        <v>269</v>
      </c>
      <c r="I3592" s="126" t="s">
        <v>7955</v>
      </c>
      <c r="J3592" s="207"/>
      <c r="K3592" s="171" t="s">
        <v>7956</v>
      </c>
      <c r="L3592" s="62">
        <v>23693236</v>
      </c>
      <c r="M3592" s="30">
        <v>5216241373122</v>
      </c>
      <c r="N3592" s="172" t="s">
        <v>263</v>
      </c>
      <c r="O3592" s="43">
        <v>35789.74</v>
      </c>
      <c r="P3592" s="43">
        <v>8799.17</v>
      </c>
      <c r="Q3592" s="42">
        <f>OfficeForms.Table[[#This Row],[ INFORMEDEPAGO ]]*0.3</f>
        <v>10736.921999999999</v>
      </c>
      <c r="R3592" s="12">
        <f t="shared" ref="R3592" si="174">(IF(O3592&lt;4172.98,0,MIN(O3592*0.3,O3592-4172.98)))-P3592</f>
        <v>1937.7519999999986</v>
      </c>
      <c r="S3592" s="78">
        <v>45413</v>
      </c>
      <c r="T3592" s="1" t="s">
        <v>192</v>
      </c>
      <c r="V3592" s="1"/>
      <c r="X3592" s="101">
        <v>2</v>
      </c>
    </row>
    <row r="3593" spans="1:24" hidden="1">
      <c r="A3593">
        <v>2015</v>
      </c>
      <c r="B3593" s="2">
        <v>46251.507175925901</v>
      </c>
      <c r="C3593" s="2">
        <v>46251.508437500001</v>
      </c>
      <c r="D3593" s="1" t="s">
        <v>24</v>
      </c>
      <c r="E3593" s="1"/>
      <c r="F3593" s="29">
        <v>46251</v>
      </c>
      <c r="G3593" s="29">
        <v>46250</v>
      </c>
      <c r="H3593" s="1" t="s">
        <v>476</v>
      </c>
      <c r="I3593" s="126" t="s">
        <v>7957</v>
      </c>
      <c r="J3593" s="207"/>
      <c r="K3593" s="171" t="s">
        <v>7958</v>
      </c>
      <c r="L3593" s="62">
        <v>23676852</v>
      </c>
      <c r="M3593" s="30">
        <v>5212283635199</v>
      </c>
      <c r="N3593" s="172" t="s">
        <v>28</v>
      </c>
      <c r="O3593" s="52">
        <v>14411.63</v>
      </c>
      <c r="P3593" s="52">
        <v>2950.41</v>
      </c>
      <c r="Q3593" s="42">
        <f>OfficeForms.Table[[#This Row],[ INFORMEDEPAGO ]]*0.3</f>
        <v>4323.4889999999996</v>
      </c>
      <c r="R3593" s="12">
        <f t="shared" ref="R3593:R3595" si="175">(IF(O3593&lt;4172.98,0,MIN(O3593*0.3,O3593-4172.98)))-P3593</f>
        <v>1373.0789999999997</v>
      </c>
      <c r="S3593" s="78">
        <v>46874</v>
      </c>
      <c r="T3593" s="1"/>
      <c r="V3593" s="1"/>
      <c r="X3593" s="101">
        <v>2</v>
      </c>
    </row>
    <row r="3594" spans="1:24" hidden="1">
      <c r="A3594">
        <v>2016</v>
      </c>
      <c r="B3594" s="2">
        <v>46251.508692129602</v>
      </c>
      <c r="C3594" s="2">
        <v>46251.5096990741</v>
      </c>
      <c r="D3594" s="1" t="s">
        <v>24</v>
      </c>
      <c r="E3594" s="1"/>
      <c r="F3594" s="29">
        <v>46251</v>
      </c>
      <c r="G3594" s="29">
        <v>46250</v>
      </c>
      <c r="H3594" s="1" t="s">
        <v>269</v>
      </c>
      <c r="I3594" s="126" t="s">
        <v>7959</v>
      </c>
      <c r="J3594" s="207"/>
      <c r="K3594" s="171" t="s">
        <v>7960</v>
      </c>
      <c r="L3594" s="62">
        <v>23679308</v>
      </c>
      <c r="M3594" s="30">
        <v>5218120947727</v>
      </c>
      <c r="N3594" s="172" t="s">
        <v>28</v>
      </c>
      <c r="O3594" s="50">
        <f>37052.22-27469.75</f>
        <v>9582.4700000000012</v>
      </c>
      <c r="P3594" s="97"/>
      <c r="Q3594" s="42">
        <f>OfficeForms.Table[[#This Row],[ INFORMEDEPAGO ]]*0.3</f>
        <v>2874.7410000000004</v>
      </c>
      <c r="R3594" s="12">
        <f t="shared" si="175"/>
        <v>2874.7410000000004</v>
      </c>
      <c r="S3594" s="78"/>
      <c r="T3594" s="1"/>
      <c r="V3594" s="1"/>
      <c r="X3594" s="101">
        <v>1</v>
      </c>
    </row>
    <row r="3595" spans="1:24" hidden="1">
      <c r="A3595">
        <v>2017</v>
      </c>
      <c r="B3595" s="2">
        <v>46251.509236111102</v>
      </c>
      <c r="C3595" s="2">
        <v>46251.511307870402</v>
      </c>
      <c r="D3595" s="1" t="s">
        <v>24</v>
      </c>
      <c r="E3595" s="1"/>
      <c r="F3595" s="29">
        <v>46251</v>
      </c>
      <c r="G3595" s="29">
        <v>46251</v>
      </c>
      <c r="H3595" s="1" t="s">
        <v>51</v>
      </c>
      <c r="I3595" s="126" t="s">
        <v>7961</v>
      </c>
      <c r="J3595" s="207"/>
      <c r="K3595" s="171" t="s">
        <v>7962</v>
      </c>
      <c r="L3595" s="62">
        <v>23698666</v>
      </c>
      <c r="M3595" s="30">
        <v>5212226717237</v>
      </c>
      <c r="N3595" s="172" t="s">
        <v>37</v>
      </c>
      <c r="O3595" s="52">
        <v>18132.21</v>
      </c>
      <c r="P3595" s="52">
        <v>5438.26</v>
      </c>
      <c r="Q3595" s="42">
        <f>OfficeForms.Table[[#This Row],[ INFORMEDEPAGO ]]*0.3</f>
        <v>5439.6629999999996</v>
      </c>
      <c r="R3595" s="12">
        <f t="shared" si="175"/>
        <v>1.4029999999993379</v>
      </c>
      <c r="S3595" s="78">
        <v>46266</v>
      </c>
      <c r="T3595" s="1"/>
      <c r="V3595" s="1"/>
      <c r="X3595" s="101">
        <v>2</v>
      </c>
    </row>
    <row r="3596" spans="1:24" hidden="1">
      <c r="A3596">
        <v>2018</v>
      </c>
      <c r="B3596" s="2">
        <v>46251.511331018497</v>
      </c>
      <c r="C3596" s="2">
        <v>46251.520555555602</v>
      </c>
      <c r="D3596" s="1" t="s">
        <v>24</v>
      </c>
      <c r="E3596" s="1"/>
      <c r="F3596" s="29">
        <v>46251</v>
      </c>
      <c r="G3596" s="29">
        <v>46251</v>
      </c>
      <c r="H3596" s="1" t="s">
        <v>51</v>
      </c>
      <c r="I3596" s="126" t="s">
        <v>7963</v>
      </c>
      <c r="J3596" s="207">
        <v>24816423230</v>
      </c>
      <c r="K3596" s="171" t="s">
        <v>7964</v>
      </c>
      <c r="L3596" s="62">
        <v>23694590</v>
      </c>
      <c r="M3596" s="30">
        <v>5216622910191</v>
      </c>
      <c r="N3596" s="172" t="s">
        <v>28</v>
      </c>
      <c r="O3596" s="50">
        <v>10636.54</v>
      </c>
      <c r="P3596" s="97"/>
      <c r="Q3596" s="42">
        <f>OfficeForms.Table[[#This Row],[ INFORMEDEPAGO ]]*0.3</f>
        <v>3190.962</v>
      </c>
      <c r="R3596" s="12">
        <f t="shared" ref="R3596:R3597" si="176">(IF(O3596&lt;4172.98,0,MIN(O3596*0.3,O3596-4172.98)))-P3596</f>
        <v>3190.962</v>
      </c>
      <c r="S3596" s="78"/>
      <c r="T3596" s="1"/>
      <c r="V3596" s="1"/>
      <c r="X3596" s="101">
        <v>1</v>
      </c>
    </row>
    <row r="3597" spans="1:24" hidden="1">
      <c r="A3597">
        <v>2019</v>
      </c>
      <c r="B3597" s="2">
        <v>46251.523287037002</v>
      </c>
      <c r="C3597" s="2">
        <v>46251.523900462998</v>
      </c>
      <c r="D3597" s="1" t="s">
        <v>24</v>
      </c>
      <c r="E3597" s="1"/>
      <c r="F3597" s="29">
        <v>46251</v>
      </c>
      <c r="G3597" s="29">
        <v>46251</v>
      </c>
      <c r="H3597" s="1" t="s">
        <v>1629</v>
      </c>
      <c r="I3597" s="126" t="s">
        <v>7965</v>
      </c>
      <c r="J3597" s="207">
        <v>32796108820</v>
      </c>
      <c r="K3597" s="171" t="s">
        <v>7966</v>
      </c>
      <c r="L3597" s="62">
        <v>2</v>
      </c>
      <c r="M3597" s="30" t="s">
        <v>7967</v>
      </c>
      <c r="N3597" s="172" t="s">
        <v>37</v>
      </c>
      <c r="O3597" s="43">
        <v>7116.73</v>
      </c>
      <c r="P3597" s="43">
        <v>2058.69</v>
      </c>
      <c r="Q3597" s="42">
        <f>OfficeForms.Table[[#This Row],[ INFORMEDEPAGO ]]*0.3</f>
        <v>2135.0189999999998</v>
      </c>
      <c r="R3597" s="12">
        <f t="shared" si="176"/>
        <v>76.328999999999724</v>
      </c>
      <c r="S3597" s="78">
        <v>46508</v>
      </c>
      <c r="T3597" s="1"/>
      <c r="V3597" s="1"/>
      <c r="X3597" s="101">
        <v>2</v>
      </c>
    </row>
    <row r="3598" spans="1:24" hidden="1">
      <c r="A3598">
        <v>2020</v>
      </c>
      <c r="B3598" s="2">
        <v>46251.521782407399</v>
      </c>
      <c r="C3598" s="2">
        <v>46251.527233796303</v>
      </c>
      <c r="D3598" s="1" t="s">
        <v>24</v>
      </c>
      <c r="E3598" s="1"/>
      <c r="F3598" s="29">
        <v>46251</v>
      </c>
      <c r="G3598" s="29">
        <v>46248</v>
      </c>
      <c r="H3598" s="1" t="s">
        <v>476</v>
      </c>
      <c r="I3598" s="126" t="s">
        <v>7968</v>
      </c>
      <c r="J3598" s="207" t="s">
        <v>7969</v>
      </c>
      <c r="K3598" s="171"/>
      <c r="L3598" s="62">
        <v>23647342</v>
      </c>
      <c r="M3598" s="30">
        <v>5213331433558</v>
      </c>
      <c r="N3598" s="172" t="s">
        <v>106</v>
      </c>
      <c r="O3598" s="52">
        <v>6262.86</v>
      </c>
      <c r="P3598" s="52">
        <v>1657.43</v>
      </c>
      <c r="Q3598" s="42">
        <f>OfficeForms.Table[[#This Row],[ INFORMEDEPAGO ]]*0.3</f>
        <v>1878.8579999999997</v>
      </c>
      <c r="R3598" s="12">
        <f t="shared" ref="R3598:R3599" si="177">(IF(O3598&lt;4172.98,0,MIN(O3598*0.3,O3598-4172.98)))-P3598</f>
        <v>221.42799999999966</v>
      </c>
      <c r="S3598" s="78">
        <v>45931</v>
      </c>
      <c r="T3598" s="1"/>
      <c r="V3598" s="1"/>
      <c r="X3598" s="101">
        <v>2</v>
      </c>
    </row>
    <row r="3599" spans="1:24" hidden="1">
      <c r="A3599">
        <v>2021</v>
      </c>
      <c r="B3599" s="2">
        <v>46251.533865740697</v>
      </c>
      <c r="C3599" s="2">
        <v>46251.5363657407</v>
      </c>
      <c r="D3599" s="1" t="s">
        <v>24</v>
      </c>
      <c r="E3599" s="1"/>
      <c r="F3599" s="29">
        <v>46251</v>
      </c>
      <c r="G3599" s="29">
        <v>46251</v>
      </c>
      <c r="H3599" s="1" t="s">
        <v>1625</v>
      </c>
      <c r="I3599" s="126" t="s">
        <v>7970</v>
      </c>
      <c r="J3599" s="207">
        <v>65846362047</v>
      </c>
      <c r="K3599" s="171" t="s">
        <v>7971</v>
      </c>
      <c r="L3599" s="62">
        <v>2</v>
      </c>
      <c r="M3599" s="30">
        <v>22849366718</v>
      </c>
      <c r="N3599" s="172" t="s">
        <v>37</v>
      </c>
      <c r="O3599" s="52">
        <v>8541.41</v>
      </c>
      <c r="P3599" s="52">
        <v>2562.1799999999998</v>
      </c>
      <c r="Q3599" s="42">
        <f>OfficeForms.Table[[#This Row],[ INFORMEDEPAGO ]]*0.3</f>
        <v>2562.4229999999998</v>
      </c>
      <c r="R3599" s="12">
        <f t="shared" si="177"/>
        <v>0.24299999999993815</v>
      </c>
      <c r="S3599" s="78">
        <v>46874</v>
      </c>
      <c r="T3599" s="1" t="s">
        <v>84</v>
      </c>
      <c r="V3599" s="1"/>
      <c r="X3599" s="101">
        <v>2</v>
      </c>
    </row>
    <row r="3600" spans="1:24" hidden="1">
      <c r="A3600">
        <v>2022</v>
      </c>
      <c r="B3600" s="2">
        <v>46251.541793981502</v>
      </c>
      <c r="C3600" s="2">
        <v>46251.542233796303</v>
      </c>
      <c r="D3600" s="1" t="s">
        <v>24</v>
      </c>
      <c r="E3600" s="1"/>
      <c r="F3600" s="29">
        <v>46251</v>
      </c>
      <c r="G3600" s="29">
        <v>46250</v>
      </c>
      <c r="H3600" s="1" t="s">
        <v>269</v>
      </c>
      <c r="I3600" s="126" t="s">
        <v>7972</v>
      </c>
      <c r="J3600" s="175" t="s">
        <v>7973</v>
      </c>
      <c r="K3600" s="171" t="s">
        <v>7974</v>
      </c>
      <c r="L3600" s="62">
        <v>23679494</v>
      </c>
      <c r="M3600" s="30">
        <v>5217223102441</v>
      </c>
      <c r="N3600" s="172" t="s">
        <v>28</v>
      </c>
      <c r="O3600" s="50">
        <v>10636.54</v>
      </c>
      <c r="P3600" s="97"/>
      <c r="Q3600" s="42">
        <f>OfficeForms.Table[[#This Row],[ INFORMEDEPAGO ]]*0.3</f>
        <v>3190.962</v>
      </c>
      <c r="R3600" s="12">
        <f t="shared" ref="R3600:R3601" si="178">(IF(O3600&lt;4172.98,0,MIN(O3600*0.3,O3600-4172.98)))-P3600</f>
        <v>3190.962</v>
      </c>
      <c r="S3600" s="78"/>
      <c r="T3600" s="1"/>
      <c r="V3600" s="1"/>
      <c r="X3600" s="101">
        <v>1</v>
      </c>
    </row>
    <row r="3601" spans="1:24" hidden="1">
      <c r="A3601">
        <v>2023</v>
      </c>
      <c r="B3601" s="2">
        <v>46251.541423611103</v>
      </c>
      <c r="C3601" s="2">
        <v>46251.542928240699</v>
      </c>
      <c r="D3601" s="1" t="s">
        <v>24</v>
      </c>
      <c r="E3601" s="1"/>
      <c r="F3601" s="29">
        <v>46251</v>
      </c>
      <c r="G3601" s="29">
        <v>46251</v>
      </c>
      <c r="H3601" s="1" t="s">
        <v>1629</v>
      </c>
      <c r="I3601" s="126" t="s">
        <v>7686</v>
      </c>
      <c r="J3601" s="207">
        <v>43936706076</v>
      </c>
      <c r="K3601" s="171" t="s">
        <v>7687</v>
      </c>
      <c r="L3601" s="62">
        <v>2</v>
      </c>
      <c r="M3601" s="30">
        <v>8128998404</v>
      </c>
      <c r="N3601" s="171" t="s">
        <v>37</v>
      </c>
      <c r="O3601" s="52">
        <v>5639.62</v>
      </c>
      <c r="P3601" s="52">
        <v>1618.97</v>
      </c>
      <c r="Q3601" s="42">
        <f>OfficeForms.Table[[#This Row],[ INFORMEDEPAGO ]]*0.3</f>
        <v>1691.886</v>
      </c>
      <c r="R3601" s="12">
        <f t="shared" si="178"/>
        <v>-152.3299999999997</v>
      </c>
      <c r="S3601" s="78">
        <v>46600</v>
      </c>
      <c r="T3601" s="1"/>
      <c r="V3601" s="1"/>
      <c r="X3601" s="101">
        <v>2</v>
      </c>
    </row>
    <row r="3602" spans="1:24" hidden="1">
      <c r="A3602">
        <v>2024</v>
      </c>
      <c r="B3602" s="2">
        <v>46251.340763888897</v>
      </c>
      <c r="C3602" s="2">
        <v>46251.549942129597</v>
      </c>
      <c r="D3602" s="1" t="s">
        <v>24</v>
      </c>
      <c r="E3602" s="1"/>
      <c r="F3602" s="29">
        <v>46251</v>
      </c>
      <c r="G3602" s="29">
        <v>46251</v>
      </c>
      <c r="H3602" s="1" t="s">
        <v>7742</v>
      </c>
      <c r="I3602" s="126" t="s">
        <v>7975</v>
      </c>
      <c r="J3602" s="207"/>
      <c r="K3602" s="171" t="s">
        <v>7976</v>
      </c>
      <c r="L3602" s="62">
        <v>23700312</v>
      </c>
      <c r="M3602" s="30">
        <v>2207555678</v>
      </c>
      <c r="N3602" s="171" t="s">
        <v>37</v>
      </c>
      <c r="O3602" s="43">
        <v>9884.5499999999993</v>
      </c>
      <c r="P3602" s="43">
        <v>2859.84</v>
      </c>
      <c r="Q3602" s="42">
        <f>OfficeForms.Table[[#This Row],[ INFORMEDEPAGO ]]*0.3</f>
        <v>2965.3649999999998</v>
      </c>
      <c r="R3602" s="12">
        <f>(IF(O3602&lt;4172.98,0,MIN(O3602*0.3,O3602-4172.98)))-P3602</f>
        <v>105.52499999999964</v>
      </c>
      <c r="S3602" s="78">
        <v>46692</v>
      </c>
      <c r="T3602" s="1" t="s">
        <v>192</v>
      </c>
      <c r="V3602" s="1"/>
      <c r="X3602" s="101">
        <v>2</v>
      </c>
    </row>
    <row r="3603" spans="1:24" hidden="1">
      <c r="A3603">
        <v>2025</v>
      </c>
      <c r="B3603" s="2">
        <v>46251.553495370397</v>
      </c>
      <c r="C3603" s="2">
        <v>46251.5553587963</v>
      </c>
      <c r="D3603" s="1" t="s">
        <v>24</v>
      </c>
      <c r="E3603" s="1"/>
      <c r="F3603" s="29">
        <v>46251</v>
      </c>
      <c r="G3603" s="29">
        <v>46251</v>
      </c>
      <c r="H3603" s="1" t="s">
        <v>7812</v>
      </c>
      <c r="I3603" s="126"/>
      <c r="J3603" s="207"/>
      <c r="K3603" s="171" t="s">
        <v>7977</v>
      </c>
      <c r="L3603" s="62">
        <v>23699038</v>
      </c>
      <c r="M3603" s="30">
        <v>5214444394646</v>
      </c>
      <c r="N3603" s="171" t="s">
        <v>98</v>
      </c>
      <c r="O3603" s="50"/>
      <c r="P3603" s="97"/>
      <c r="Q3603" s="42">
        <f>OfficeForms.Table[[#This Row],[ INFORMEDEPAGO ]]*0.3</f>
        <v>0</v>
      </c>
      <c r="R3603" s="12">
        <f>(IF(O3603&lt;4172.98,0,MIN(O3603*0.3,O3603-4172.98)))-P3603</f>
        <v>0</v>
      </c>
      <c r="S3603" s="78"/>
      <c r="T3603" s="1"/>
      <c r="V3603" s="1"/>
      <c r="X3603" s="101">
        <v>0</v>
      </c>
    </row>
    <row r="3604" spans="1:24" hidden="1">
      <c r="A3604">
        <v>2026</v>
      </c>
      <c r="B3604" s="2">
        <v>46251.554965277799</v>
      </c>
      <c r="C3604" s="2">
        <v>46251.557083333297</v>
      </c>
      <c r="D3604" s="1" t="s">
        <v>24</v>
      </c>
      <c r="E3604" s="1"/>
      <c r="F3604" s="29">
        <v>46251</v>
      </c>
      <c r="G3604" s="29">
        <v>46250</v>
      </c>
      <c r="H3604" s="1" t="s">
        <v>5605</v>
      </c>
      <c r="I3604" s="126" t="s">
        <v>7978</v>
      </c>
      <c r="J3604" s="207"/>
      <c r="K3604" s="171" t="s">
        <v>7979</v>
      </c>
      <c r="L3604" s="62">
        <v>23675374</v>
      </c>
      <c r="M3604" s="30">
        <v>6642229293</v>
      </c>
      <c r="N3604" s="171" t="s">
        <v>37</v>
      </c>
      <c r="O3604" s="43">
        <v>7116.73</v>
      </c>
      <c r="P3604" s="43">
        <v>2128.12</v>
      </c>
      <c r="Q3604" s="42">
        <f>OfficeForms.Table[[#This Row],[ INFORMEDEPAGO ]]*0.3</f>
        <v>2135.0189999999998</v>
      </c>
      <c r="R3604" s="12">
        <f>(IF(O3604&lt;4172.98,0,MIN(O3604*0.3,O3604-4172.98)))-P3604</f>
        <v>6.8989999999998872</v>
      </c>
      <c r="S3604" s="78">
        <v>46569</v>
      </c>
      <c r="T3604" s="1" t="s">
        <v>178</v>
      </c>
      <c r="V3604" s="1"/>
      <c r="X3604" s="101">
        <v>2</v>
      </c>
    </row>
    <row r="3605" spans="1:24" hidden="1">
      <c r="A3605">
        <v>2027</v>
      </c>
      <c r="B3605" s="2">
        <v>46251.559571759302</v>
      </c>
      <c r="C3605" s="2">
        <v>46251.563032407401</v>
      </c>
      <c r="D3605" s="1" t="s">
        <v>24</v>
      </c>
      <c r="E3605" s="1"/>
      <c r="F3605" s="29">
        <v>46251</v>
      </c>
      <c r="G3605" s="29">
        <v>46234</v>
      </c>
      <c r="H3605" s="1" t="s">
        <v>3452</v>
      </c>
      <c r="I3605" s="126" t="s">
        <v>7980</v>
      </c>
      <c r="J3605" s="207" t="s">
        <v>7981</v>
      </c>
      <c r="K3605" s="171"/>
      <c r="L3605" s="62">
        <v>23264504</v>
      </c>
      <c r="M3605" s="30">
        <v>5578145819</v>
      </c>
      <c r="N3605" s="171" t="s">
        <v>47</v>
      </c>
      <c r="O3605" s="50">
        <v>5207.29</v>
      </c>
      <c r="P3605" s="97"/>
      <c r="Q3605" s="42">
        <f>OfficeForms.Table[[#This Row],[ INFORMEDEPAGO ]]*0.3</f>
        <v>1562.1869999999999</v>
      </c>
      <c r="R3605" s="12">
        <f>(IF(O3605&lt;4172.98,0,MIN(O3605*0.3,O3605-4172.98)))-P3605</f>
        <v>1034.3100000000004</v>
      </c>
      <c r="S3605" s="78"/>
      <c r="T3605" s="1"/>
      <c r="V3605" s="1"/>
      <c r="X3605" s="101">
        <v>1</v>
      </c>
    </row>
    <row r="3606" spans="1:24" hidden="1">
      <c r="A3606">
        <v>2028</v>
      </c>
      <c r="B3606" s="2">
        <v>46251.563078703701</v>
      </c>
      <c r="C3606" s="2">
        <v>46251.564050925903</v>
      </c>
      <c r="D3606" s="1" t="s">
        <v>24</v>
      </c>
      <c r="E3606" s="1"/>
      <c r="F3606" s="29">
        <v>46251</v>
      </c>
      <c r="G3606" s="29">
        <v>46251</v>
      </c>
      <c r="H3606" s="1" t="s">
        <v>103</v>
      </c>
      <c r="I3606" s="126"/>
      <c r="J3606" s="207">
        <v>43866916646</v>
      </c>
      <c r="K3606" s="171"/>
      <c r="L3606" s="62">
        <v>1</v>
      </c>
      <c r="M3606" s="30">
        <v>8140122297</v>
      </c>
      <c r="N3606" s="171" t="s">
        <v>28</v>
      </c>
      <c r="O3606" s="50">
        <v>8909.0400000000009</v>
      </c>
      <c r="P3606" s="97"/>
      <c r="Q3606" s="42">
        <f>OfficeForms.Table[[#This Row],[ INFORMEDEPAGO ]]*0.3</f>
        <v>2672.712</v>
      </c>
      <c r="R3606" s="12">
        <f>(IF(O3606&lt;4172.98,0,MIN(O3606*0.3,O3606-4172.98)))-P3606</f>
        <v>2672.712</v>
      </c>
      <c r="S3606" s="78"/>
      <c r="T3606" s="1"/>
      <c r="V3606" s="1"/>
      <c r="X3606" s="101">
        <v>1</v>
      </c>
    </row>
    <row r="3607" spans="1:24" hidden="1">
      <c r="A3607">
        <v>2030</v>
      </c>
      <c r="B3607" s="2">
        <v>46251.575439814798</v>
      </c>
      <c r="C3607" s="2">
        <v>46251.576249999998</v>
      </c>
      <c r="D3607" s="1" t="s">
        <v>24</v>
      </c>
      <c r="E3607" s="1"/>
      <c r="F3607" s="29">
        <v>46251</v>
      </c>
      <c r="G3607" s="29">
        <v>46242</v>
      </c>
      <c r="H3607" s="1" t="s">
        <v>5691</v>
      </c>
      <c r="I3607" s="126" t="s">
        <v>7982</v>
      </c>
      <c r="J3607" s="207"/>
      <c r="K3607" s="171" t="s">
        <v>7983</v>
      </c>
      <c r="L3607" s="62">
        <v>23480198</v>
      </c>
      <c r="M3607" s="30">
        <v>3334128834</v>
      </c>
      <c r="N3607" s="171" t="s">
        <v>74</v>
      </c>
      <c r="O3607" s="50"/>
      <c r="P3607" s="97"/>
      <c r="Q3607" s="42">
        <f>OfficeForms.Table[[#This Row],[ INFORMEDEPAGO ]]*0.3</f>
        <v>0</v>
      </c>
      <c r="R3607" s="12">
        <f>(IF(O3607&lt;4172.98,0,MIN(O3607*0.3,O3607-4172.98)))-P3607</f>
        <v>0</v>
      </c>
      <c r="S3607" s="78"/>
      <c r="T3607" s="1"/>
      <c r="V3607" s="1"/>
      <c r="X3607" s="101">
        <v>1</v>
      </c>
    </row>
    <row r="3608" spans="1:24" hidden="1">
      <c r="A3608">
        <v>2031</v>
      </c>
      <c r="B3608" s="2">
        <v>46251.575347222199</v>
      </c>
      <c r="C3608" s="2">
        <v>46251.576539351903</v>
      </c>
      <c r="D3608" s="1" t="s">
        <v>24</v>
      </c>
      <c r="E3608" s="1"/>
      <c r="F3608" s="29">
        <v>46251</v>
      </c>
      <c r="G3608" s="29">
        <v>46251</v>
      </c>
      <c r="H3608" s="1" t="s">
        <v>107</v>
      </c>
      <c r="I3608" s="126"/>
      <c r="J3608" s="207">
        <v>49806005127</v>
      </c>
      <c r="K3608" s="171" t="s">
        <v>7984</v>
      </c>
      <c r="L3608" s="62">
        <v>23701380</v>
      </c>
      <c r="M3608" s="30">
        <v>8681912638</v>
      </c>
      <c r="N3608" s="171" t="s">
        <v>28</v>
      </c>
      <c r="O3608" s="50">
        <v>6262.86</v>
      </c>
      <c r="P3608" s="97"/>
      <c r="Q3608" s="42">
        <f>OfficeForms.Table[[#This Row],[ INFORMEDEPAGO ]]*0.3</f>
        <v>1878.8579999999997</v>
      </c>
      <c r="R3608" s="12">
        <f>(IF(O3608&lt;4172.98,0,MIN(O3608*0.3,O3608-4172.98)))-P3608</f>
        <v>1878.8579999999997</v>
      </c>
      <c r="S3608" s="78"/>
      <c r="T3608" s="1"/>
      <c r="V3608" s="1"/>
      <c r="X3608" s="101">
        <v>1</v>
      </c>
    </row>
    <row r="3609" spans="1:24" hidden="1">
      <c r="A3609">
        <v>2032</v>
      </c>
      <c r="B3609" s="2">
        <v>46251.582118055601</v>
      </c>
      <c r="C3609" s="2">
        <v>46251.583310185197</v>
      </c>
      <c r="D3609" s="1" t="s">
        <v>24</v>
      </c>
      <c r="E3609" s="1"/>
      <c r="F3609" s="29">
        <v>46251</v>
      </c>
      <c r="G3609" s="29">
        <v>46251</v>
      </c>
      <c r="H3609" s="1" t="s">
        <v>7812</v>
      </c>
      <c r="I3609" s="126"/>
      <c r="J3609" s="207" t="s">
        <v>7985</v>
      </c>
      <c r="K3609" s="171"/>
      <c r="L3609" s="62">
        <v>23701282</v>
      </c>
      <c r="M3609" s="30">
        <v>5213341834284</v>
      </c>
      <c r="N3609" s="171" t="s">
        <v>32</v>
      </c>
      <c r="O3609" s="50">
        <v>3121.9</v>
      </c>
      <c r="P3609" s="97"/>
      <c r="Q3609" s="42">
        <f>OfficeForms.Table[[#This Row],[ INFORMEDEPAGO ]]*0.3</f>
        <v>936.56999999999994</v>
      </c>
      <c r="R3609" s="12">
        <f>(IF(O3609&lt;4172.98,0,MIN(O3609*0.3,O3609-4172.98)))-P3609</f>
        <v>0</v>
      </c>
      <c r="S3609" s="78"/>
      <c r="T3609" s="1"/>
      <c r="V3609" s="1"/>
      <c r="X3609" s="101">
        <v>1</v>
      </c>
    </row>
    <row r="3610" spans="1:24" hidden="1">
      <c r="A3610">
        <v>2033</v>
      </c>
      <c r="B3610" s="2">
        <v>46251.589907407397</v>
      </c>
      <c r="C3610" s="2">
        <v>46251.590810185196</v>
      </c>
      <c r="D3610" s="1" t="s">
        <v>24</v>
      </c>
      <c r="E3610" s="1"/>
      <c r="F3610" s="29">
        <v>46251</v>
      </c>
      <c r="G3610" s="29">
        <v>46251</v>
      </c>
      <c r="H3610" s="1" t="s">
        <v>6605</v>
      </c>
      <c r="I3610" s="126" t="s">
        <v>7986</v>
      </c>
      <c r="J3610" s="207"/>
      <c r="K3610" s="171" t="s">
        <v>7987</v>
      </c>
      <c r="L3610" s="62">
        <v>23702208</v>
      </c>
      <c r="M3610" s="30">
        <v>8124256017</v>
      </c>
      <c r="N3610" s="171" t="s">
        <v>37</v>
      </c>
      <c r="O3610" s="52">
        <v>7920.51</v>
      </c>
      <c r="P3610" s="52">
        <v>2290.0100000000002</v>
      </c>
      <c r="Q3610" s="42">
        <f>OfficeForms.Table[[#This Row],[ INFORMEDEPAGO ]]*0.3</f>
        <v>2376.1529999999998</v>
      </c>
      <c r="R3610" s="12">
        <f>(IF(O3610&lt;4172.98,0,MIN(O3610*0.3,O3610-4172.98)))-P3610</f>
        <v>86.142999999999574</v>
      </c>
      <c r="S3610" s="78">
        <v>46539</v>
      </c>
      <c r="T3610" s="1"/>
      <c r="V3610" s="1"/>
      <c r="X3610" s="101">
        <v>2</v>
      </c>
    </row>
    <row r="3611" spans="1:24" hidden="1">
      <c r="A3611">
        <v>2034</v>
      </c>
      <c r="B3611" s="2">
        <v>46251.607314814799</v>
      </c>
      <c r="C3611" s="2">
        <v>46251.608391203699</v>
      </c>
      <c r="D3611" s="1" t="s">
        <v>24</v>
      </c>
      <c r="E3611" s="1"/>
      <c r="F3611" s="29">
        <v>46251</v>
      </c>
      <c r="G3611" s="29">
        <v>46248</v>
      </c>
      <c r="H3611" s="1" t="s">
        <v>7742</v>
      </c>
      <c r="I3611" s="126" t="s">
        <v>7988</v>
      </c>
      <c r="J3611" s="207"/>
      <c r="K3611" s="171" t="s">
        <v>7989</v>
      </c>
      <c r="L3611" s="62">
        <v>23643230</v>
      </c>
      <c r="M3611" s="30">
        <v>8112113188</v>
      </c>
      <c r="N3611" s="171" t="s">
        <v>37</v>
      </c>
      <c r="O3611" s="43">
        <v>39870.42</v>
      </c>
      <c r="P3611" s="43">
        <v>11960.8</v>
      </c>
      <c r="Q3611" s="42">
        <f>OfficeForms.Table[[#This Row],[ INFORMEDEPAGO ]]*0.3</f>
        <v>11961.125999999998</v>
      </c>
      <c r="R3611" s="12">
        <f>(IF(O3611&lt;4172.98,0,MIN(O3611*0.3,O3611-4172.98)))-P3611</f>
        <v>0.32599999999911233</v>
      </c>
      <c r="S3611" s="74">
        <v>46419</v>
      </c>
      <c r="T3611" s="1"/>
      <c r="V3611" s="1"/>
      <c r="X3611" s="101">
        <v>2</v>
      </c>
    </row>
    <row r="3612" spans="1:24" hidden="1">
      <c r="A3612">
        <v>2035</v>
      </c>
      <c r="B3612" s="2">
        <v>46251.520567129599</v>
      </c>
      <c r="C3612" s="2">
        <v>46251.609259259298</v>
      </c>
      <c r="D3612" s="1" t="s">
        <v>24</v>
      </c>
      <c r="E3612" s="1"/>
      <c r="F3612" s="29">
        <v>46251</v>
      </c>
      <c r="G3612" s="29">
        <v>46251</v>
      </c>
      <c r="H3612" s="1" t="s">
        <v>51</v>
      </c>
      <c r="I3612" s="126" t="s">
        <v>7990</v>
      </c>
      <c r="J3612" s="175" t="s">
        <v>7991</v>
      </c>
      <c r="K3612" s="171" t="s">
        <v>7992</v>
      </c>
      <c r="L3612" s="62">
        <v>23696566</v>
      </c>
      <c r="M3612" s="30">
        <v>5214721807169</v>
      </c>
      <c r="N3612" s="171" t="s">
        <v>37</v>
      </c>
      <c r="O3612" s="43">
        <v>4332.32</v>
      </c>
      <c r="P3612" s="43">
        <v>576</v>
      </c>
      <c r="Q3612" s="42">
        <f>OfficeForms.Table[[#This Row],[ INFORMEDEPAGO ]]*0.3</f>
        <v>1299.6959999999999</v>
      </c>
      <c r="R3612" s="12">
        <f>(IF(O3612&lt;4172.98,0,MIN(O3612*0.3,O3612-4172.98)))-P3612</f>
        <v>-416.65999999999985</v>
      </c>
      <c r="S3612" s="78">
        <v>46784</v>
      </c>
      <c r="T3612" s="1" t="s">
        <v>178</v>
      </c>
      <c r="V3612" s="1"/>
      <c r="X3612" s="101">
        <v>2</v>
      </c>
    </row>
    <row r="3613" spans="1:24" hidden="1">
      <c r="A3613">
        <v>2036</v>
      </c>
      <c r="B3613" s="2">
        <v>46251.6097337963</v>
      </c>
      <c r="C3613" s="2">
        <v>46251.610671296301</v>
      </c>
      <c r="D3613" s="1" t="s">
        <v>24</v>
      </c>
      <c r="E3613" s="1"/>
      <c r="F3613" s="29">
        <v>46251</v>
      </c>
      <c r="G3613" s="29">
        <v>46249</v>
      </c>
      <c r="H3613" s="1" t="s">
        <v>71</v>
      </c>
      <c r="I3613" s="126" t="s">
        <v>7993</v>
      </c>
      <c r="J3613" s="207" t="s">
        <v>7994</v>
      </c>
      <c r="K3613" s="171" t="s">
        <v>7995</v>
      </c>
      <c r="L3613" s="62">
        <v>23663686</v>
      </c>
      <c r="M3613" s="30">
        <v>5215563314224</v>
      </c>
      <c r="N3613" s="171" t="s">
        <v>74</v>
      </c>
      <c r="O3613" s="50"/>
      <c r="P3613" s="97"/>
      <c r="Q3613" s="42">
        <f>OfficeForms.Table[[#This Row],[ INFORMEDEPAGO ]]*0.3</f>
        <v>0</v>
      </c>
      <c r="R3613" s="12">
        <f t="shared" ref="R3613" si="179">(IF(O3613&lt;4172.98,0,MIN(O3613*0.3,O3613-4172.98)))-P3613</f>
        <v>0</v>
      </c>
      <c r="S3613" s="78"/>
      <c r="T3613" s="1"/>
      <c r="V3613" s="1"/>
      <c r="X3613" s="101">
        <v>1</v>
      </c>
    </row>
    <row r="3614" spans="1:24" hidden="1">
      <c r="A3614">
        <v>2037</v>
      </c>
      <c r="B3614" s="2">
        <v>46251.614189814798</v>
      </c>
      <c r="C3614" s="2">
        <v>46251.6152083333</v>
      </c>
      <c r="D3614" s="1" t="s">
        <v>24</v>
      </c>
      <c r="E3614" s="1"/>
      <c r="F3614" s="29">
        <v>46251</v>
      </c>
      <c r="G3614" s="29">
        <v>46249</v>
      </c>
      <c r="H3614" s="1" t="s">
        <v>5691</v>
      </c>
      <c r="I3614" s="126" t="s">
        <v>7996</v>
      </c>
      <c r="J3614" s="207">
        <v>83927500492</v>
      </c>
      <c r="K3614" s="171" t="s">
        <v>7997</v>
      </c>
      <c r="L3614" s="62">
        <v>23654228</v>
      </c>
      <c r="M3614" s="30">
        <v>9933753056</v>
      </c>
      <c r="N3614" s="171" t="s">
        <v>74</v>
      </c>
      <c r="O3614" s="50"/>
      <c r="P3614" s="97"/>
      <c r="Q3614" s="42">
        <f>OfficeForms.Table[[#This Row],[ INFORMEDEPAGO ]]*0.3</f>
        <v>0</v>
      </c>
      <c r="R3614" s="12">
        <f>(IF(O3614&lt;4172.98,0,MIN(O3614*0.3,O3614-4172.98)))-P3614</f>
        <v>0</v>
      </c>
      <c r="S3614" s="78"/>
      <c r="T3614" s="1"/>
      <c r="V3614" s="1"/>
      <c r="X3614" s="101">
        <v>1</v>
      </c>
    </row>
    <row r="3615" spans="1:24" hidden="1">
      <c r="A3615">
        <v>2038</v>
      </c>
      <c r="B3615" s="2">
        <v>46251.609270833302</v>
      </c>
      <c r="C3615" s="2">
        <v>46251.618217592601</v>
      </c>
      <c r="D3615" s="1" t="s">
        <v>24</v>
      </c>
      <c r="E3615" s="1"/>
      <c r="F3615" s="29">
        <v>46251</v>
      </c>
      <c r="G3615" s="29">
        <v>46251</v>
      </c>
      <c r="H3615" s="1" t="s">
        <v>51</v>
      </c>
      <c r="I3615" s="126" t="s">
        <v>7998</v>
      </c>
      <c r="J3615" s="207">
        <v>30917344282</v>
      </c>
      <c r="K3615" s="171" t="s">
        <v>7999</v>
      </c>
      <c r="L3615" s="62">
        <v>23698340</v>
      </c>
      <c r="M3615" s="30">
        <v>5215544761121</v>
      </c>
      <c r="N3615" s="171" t="s">
        <v>28</v>
      </c>
      <c r="O3615" s="50">
        <v>6411.47</v>
      </c>
      <c r="P3615" s="97"/>
      <c r="Q3615" s="42">
        <f>OfficeForms.Table[[#This Row],[ INFORMEDEPAGO ]]*0.3</f>
        <v>1923.441</v>
      </c>
      <c r="R3615" s="12">
        <f>(IF(O3615&lt;4172.98,0,MIN(O3615*0.3,O3615-4172.98)))-P3615</f>
        <v>1923.441</v>
      </c>
      <c r="S3615" s="78"/>
      <c r="T3615" s="1"/>
      <c r="V3615" s="1"/>
      <c r="X3615" s="101">
        <v>1</v>
      </c>
    </row>
    <row r="3616" spans="1:24" hidden="1">
      <c r="A3616">
        <v>2039</v>
      </c>
      <c r="B3616" s="2">
        <v>46251.626608796301</v>
      </c>
      <c r="C3616" s="2">
        <v>46251.628032407403</v>
      </c>
      <c r="D3616" s="1" t="s">
        <v>24</v>
      </c>
      <c r="E3616" s="1"/>
      <c r="F3616" s="29">
        <v>46251</v>
      </c>
      <c r="G3616" s="29">
        <v>46251</v>
      </c>
      <c r="H3616" s="1" t="s">
        <v>269</v>
      </c>
      <c r="I3616" s="126" t="s">
        <v>8000</v>
      </c>
      <c r="J3616" s="207"/>
      <c r="K3616" s="171" t="s">
        <v>8001</v>
      </c>
      <c r="L3616" s="62">
        <v>23693630</v>
      </c>
      <c r="M3616" s="30">
        <v>5216634320413</v>
      </c>
      <c r="N3616" s="171" t="s">
        <v>37</v>
      </c>
      <c r="O3616" s="52">
        <v>7920.51</v>
      </c>
      <c r="P3616" s="52">
        <v>2284.42</v>
      </c>
      <c r="Q3616" s="42">
        <f>OfficeForms.Table[[#This Row],[ INFORMEDEPAGO ]]*0.3</f>
        <v>2376.1529999999998</v>
      </c>
      <c r="R3616" s="12">
        <f>(IF(O3616&lt;4172.98,0,MIN(O3616*0.3,O3616-4172.98)))-P3616</f>
        <v>91.73299999999972</v>
      </c>
      <c r="S3616" s="78">
        <v>46722</v>
      </c>
      <c r="T3616" s="1"/>
      <c r="V3616" s="1"/>
      <c r="X3616" s="101">
        <v>2</v>
      </c>
    </row>
    <row r="3617" spans="1:24" hidden="1">
      <c r="A3617">
        <v>2040</v>
      </c>
      <c r="B3617" s="2">
        <v>46251.637604166703</v>
      </c>
      <c r="C3617" s="2">
        <v>46251.639166666697</v>
      </c>
      <c r="D3617" s="1" t="s">
        <v>24</v>
      </c>
      <c r="E3617" s="1"/>
      <c r="F3617" s="29">
        <v>46251</v>
      </c>
      <c r="G3617" s="29">
        <v>46251</v>
      </c>
      <c r="H3617" s="1" t="s">
        <v>1629</v>
      </c>
      <c r="I3617" s="126" t="s">
        <v>8002</v>
      </c>
      <c r="J3617" s="207" t="s">
        <v>8003</v>
      </c>
      <c r="K3617" s="171" t="s">
        <v>8004</v>
      </c>
      <c r="L3617" s="62">
        <v>2</v>
      </c>
      <c r="M3617" s="30" t="s">
        <v>8005</v>
      </c>
      <c r="N3617" s="171" t="s">
        <v>37</v>
      </c>
      <c r="O3617" s="52">
        <v>7116.73</v>
      </c>
      <c r="P3617" s="52">
        <v>2131.89</v>
      </c>
      <c r="Q3617" s="42">
        <f>OfficeForms.Table[[#This Row],[ INFORMEDEPAGO ]]*0.3</f>
        <v>2135.0189999999998</v>
      </c>
      <c r="R3617" s="12">
        <f>(IF(O3617&lt;4172.98,0,MIN(O3617*0.3,O3617-4172.98)))-P3617</f>
        <v>3.1289999999999054</v>
      </c>
      <c r="S3617" s="78">
        <v>46357</v>
      </c>
      <c r="T3617" s="1"/>
      <c r="V3617" s="1"/>
      <c r="X3617" s="101">
        <v>2</v>
      </c>
    </row>
    <row r="3618" spans="1:24" hidden="1">
      <c r="A3618">
        <v>2041</v>
      </c>
      <c r="B3618" s="2">
        <v>46251.405312499999</v>
      </c>
      <c r="C3618" s="2">
        <v>46251.652291666702</v>
      </c>
      <c r="D3618" s="1" t="s">
        <v>24</v>
      </c>
      <c r="E3618" s="1"/>
      <c r="F3618" s="29">
        <v>46251</v>
      </c>
      <c r="G3618" s="29">
        <v>46251</v>
      </c>
      <c r="H3618" s="1" t="s">
        <v>1625</v>
      </c>
      <c r="I3618" s="126" t="s">
        <v>8006</v>
      </c>
      <c r="J3618" s="207" t="s">
        <v>8007</v>
      </c>
      <c r="K3618" s="171" t="s">
        <v>8008</v>
      </c>
      <c r="L3618" s="62">
        <v>2</v>
      </c>
      <c r="M3618" s="30" t="s">
        <v>8009</v>
      </c>
      <c r="N3618" s="171" t="s">
        <v>98</v>
      </c>
      <c r="O3618" s="50"/>
      <c r="P3618" s="97"/>
      <c r="Q3618" s="42">
        <f>OfficeForms.Table[[#This Row],[ INFORMEDEPAGO ]]*0.3</f>
        <v>0</v>
      </c>
      <c r="R3618" s="12">
        <f>(IF(O3618&lt;4172.98,0,MIN(O3618*0.3,O3618-4172.98)))-P3618</f>
        <v>0</v>
      </c>
      <c r="S3618" s="78"/>
      <c r="T3618" s="1"/>
      <c r="V3618" s="1"/>
      <c r="X3618" s="101">
        <v>0</v>
      </c>
    </row>
    <row r="3619" spans="1:24" hidden="1">
      <c r="A3619">
        <v>2042</v>
      </c>
      <c r="B3619" s="2">
        <v>46251.618240740703</v>
      </c>
      <c r="C3619" s="2">
        <v>46251.657395833303</v>
      </c>
      <c r="D3619" s="1" t="s">
        <v>24</v>
      </c>
      <c r="E3619" s="1"/>
      <c r="F3619" s="29">
        <v>46251</v>
      </c>
      <c r="G3619" s="29">
        <v>46251</v>
      </c>
      <c r="H3619" s="1" t="s">
        <v>51</v>
      </c>
      <c r="I3619" s="126" t="s">
        <v>8010</v>
      </c>
      <c r="J3619" s="207"/>
      <c r="K3619" s="171" t="s">
        <v>8011</v>
      </c>
      <c r="L3619" s="62">
        <v>23697788</v>
      </c>
      <c r="M3619" s="30">
        <v>5216871471685</v>
      </c>
      <c r="N3619" s="171" t="s">
        <v>47</v>
      </c>
      <c r="O3619" s="50">
        <v>4813.6899999999996</v>
      </c>
      <c r="P3619" s="97"/>
      <c r="Q3619" s="42">
        <f>OfficeForms.Table[[#This Row],[ INFORMEDEPAGO ]]*0.3</f>
        <v>1444.1069999999997</v>
      </c>
      <c r="R3619" s="12">
        <f t="shared" ref="R3619:R3621" si="180">(IF(O3619&lt;4172.98,0,MIN(O3619*0.3,O3619-4172.98)))-P3619</f>
        <v>640.71</v>
      </c>
      <c r="S3619" s="78"/>
      <c r="T3619" s="1"/>
      <c r="V3619" s="1"/>
      <c r="X3619" s="101">
        <v>1</v>
      </c>
    </row>
    <row r="3620" spans="1:24" hidden="1">
      <c r="A3620">
        <v>2043</v>
      </c>
      <c r="B3620" s="2">
        <v>46251.644513888903</v>
      </c>
      <c r="C3620" s="2">
        <v>46251.657442129603</v>
      </c>
      <c r="D3620" s="1" t="s">
        <v>24</v>
      </c>
      <c r="E3620" s="1"/>
      <c r="F3620" s="29">
        <v>46251</v>
      </c>
      <c r="G3620" s="29">
        <v>46251</v>
      </c>
      <c r="H3620" s="1" t="s">
        <v>78</v>
      </c>
      <c r="I3620" s="126" t="s">
        <v>8012</v>
      </c>
      <c r="J3620" s="207">
        <v>39906610280</v>
      </c>
      <c r="K3620" s="171" t="s">
        <v>8013</v>
      </c>
      <c r="L3620" s="62">
        <v>23692872</v>
      </c>
      <c r="M3620" s="30">
        <v>5215530263520</v>
      </c>
      <c r="N3620" s="171" t="s">
        <v>37</v>
      </c>
      <c r="O3620" s="52">
        <v>8173.37</v>
      </c>
      <c r="P3620" s="52">
        <v>2362.25</v>
      </c>
      <c r="Q3620" s="42">
        <f>OfficeForms.Table[[#This Row],[ INFORMEDEPAGO ]]*0.3</f>
        <v>2452.011</v>
      </c>
      <c r="R3620" s="12">
        <f t="shared" si="180"/>
        <v>89.760999999999967</v>
      </c>
      <c r="S3620" s="78">
        <v>46722</v>
      </c>
      <c r="T3620" s="1"/>
      <c r="V3620" s="1"/>
      <c r="X3620" s="101">
        <v>2</v>
      </c>
    </row>
    <row r="3621" spans="1:24" hidden="1">
      <c r="A3621">
        <v>2044</v>
      </c>
      <c r="B3621" s="2">
        <v>46251.645729166703</v>
      </c>
      <c r="C3621" s="2">
        <v>46251.657939814802</v>
      </c>
      <c r="D3621" s="1" t="s">
        <v>24</v>
      </c>
      <c r="E3621" s="1"/>
      <c r="F3621" s="29">
        <v>46251</v>
      </c>
      <c r="G3621" s="29">
        <v>46250</v>
      </c>
      <c r="H3621" s="1" t="s">
        <v>51</v>
      </c>
      <c r="I3621" s="126" t="s">
        <v>8014</v>
      </c>
      <c r="J3621" s="207"/>
      <c r="K3621" s="171" t="s">
        <v>2927</v>
      </c>
      <c r="L3621" s="62">
        <v>23681694</v>
      </c>
      <c r="M3621" s="30">
        <v>5213320544460</v>
      </c>
      <c r="N3621" s="171" t="s">
        <v>106</v>
      </c>
      <c r="O3621" s="52">
        <v>17395.919999999998</v>
      </c>
      <c r="P3621" s="52">
        <v>4827.99</v>
      </c>
      <c r="Q3621" s="42">
        <f>OfficeForms.Table[[#This Row],[ INFORMEDEPAGO ]]*0.3</f>
        <v>5218.7759999999989</v>
      </c>
      <c r="R3621" s="12">
        <f t="shared" si="180"/>
        <v>390.78599999999915</v>
      </c>
      <c r="S3621" s="78">
        <v>46235</v>
      </c>
      <c r="T3621" s="1"/>
      <c r="V3621" s="1"/>
      <c r="X3621" s="101">
        <v>2</v>
      </c>
    </row>
    <row r="3622" spans="1:24" hidden="1">
      <c r="A3622">
        <v>2045</v>
      </c>
      <c r="B3622" s="2">
        <v>46251.662314814799</v>
      </c>
      <c r="C3622" s="2">
        <v>46251.6628472222</v>
      </c>
      <c r="D3622" s="1" t="s">
        <v>24</v>
      </c>
      <c r="E3622" s="1"/>
      <c r="F3622" s="29">
        <v>46251</v>
      </c>
      <c r="G3622" s="29">
        <v>46250</v>
      </c>
      <c r="H3622" s="1" t="s">
        <v>269</v>
      </c>
      <c r="I3622" s="126" t="s">
        <v>8015</v>
      </c>
      <c r="J3622" s="175" t="s">
        <v>8016</v>
      </c>
      <c r="K3622" s="171" t="s">
        <v>8017</v>
      </c>
      <c r="L3622" s="62">
        <v>23680286</v>
      </c>
      <c r="M3622" s="30">
        <v>5216672540645</v>
      </c>
      <c r="N3622" s="171" t="s">
        <v>37</v>
      </c>
      <c r="O3622" s="52">
        <v>22323.69</v>
      </c>
      <c r="P3622" s="52">
        <v>6697.11</v>
      </c>
      <c r="Q3622" s="42">
        <f>OfficeForms.Table[[#This Row],[ INFORMEDEPAGO ]]*0.3</f>
        <v>6697.1069999999991</v>
      </c>
      <c r="R3622" s="12">
        <f t="shared" ref="R3622:R3625" si="181">(IF(O3622&lt;4172.98,0,MIN(O3622*0.3,O3622-4172.98)))-P3622</f>
        <v>-3.0000000006111804E-3</v>
      </c>
      <c r="S3622" s="78">
        <v>46874</v>
      </c>
      <c r="T3622" s="1"/>
      <c r="V3622" s="1"/>
      <c r="X3622" s="101">
        <v>2</v>
      </c>
    </row>
    <row r="3623" spans="1:24" hidden="1">
      <c r="A3623">
        <v>2046</v>
      </c>
      <c r="B3623" s="2">
        <v>46251.664664351803</v>
      </c>
      <c r="C3623" s="2">
        <v>46251.6652314815</v>
      </c>
      <c r="D3623" s="1" t="s">
        <v>24</v>
      </c>
      <c r="E3623" s="1"/>
      <c r="F3623" s="29">
        <v>46251</v>
      </c>
      <c r="G3623" s="29">
        <v>46251</v>
      </c>
      <c r="H3623" s="1" t="s">
        <v>71</v>
      </c>
      <c r="I3623" s="126" t="s">
        <v>8018</v>
      </c>
      <c r="J3623" s="207" t="s">
        <v>8019</v>
      </c>
      <c r="K3623" s="171"/>
      <c r="L3623" s="62">
        <v>23699552</v>
      </c>
      <c r="M3623" s="30">
        <v>5554577708</v>
      </c>
      <c r="N3623" s="171" t="s">
        <v>37</v>
      </c>
      <c r="O3623" s="52">
        <v>38989.26</v>
      </c>
      <c r="P3623" s="52">
        <v>11696.77</v>
      </c>
      <c r="Q3623" s="42">
        <f>OfficeForms.Table[[#This Row],[ INFORMEDEPAGO ]]*0.3</f>
        <v>11696.778</v>
      </c>
      <c r="R3623" s="12">
        <f t="shared" si="181"/>
        <v>7.9999999998108251E-3</v>
      </c>
      <c r="S3623" s="78">
        <v>46478</v>
      </c>
      <c r="T3623" s="1" t="s">
        <v>84</v>
      </c>
      <c r="V3623" s="1"/>
      <c r="X3623" s="101">
        <v>2</v>
      </c>
    </row>
    <row r="3624" spans="1:24" hidden="1">
      <c r="A3624">
        <v>2047</v>
      </c>
      <c r="B3624" s="2">
        <v>46251.657407407401</v>
      </c>
      <c r="C3624" s="2">
        <v>46251.668402777803</v>
      </c>
      <c r="D3624" s="1" t="s">
        <v>24</v>
      </c>
      <c r="E3624" s="1"/>
      <c r="F3624" s="29">
        <v>46251</v>
      </c>
      <c r="G3624" s="29">
        <v>46250</v>
      </c>
      <c r="H3624" s="1" t="s">
        <v>51</v>
      </c>
      <c r="I3624" s="126" t="s">
        <v>8020</v>
      </c>
      <c r="J3624" s="207">
        <v>3484560169</v>
      </c>
      <c r="K3624" s="171" t="s">
        <v>8021</v>
      </c>
      <c r="L3624" s="62">
        <v>23679300</v>
      </c>
      <c r="M3624" s="30">
        <v>5214924513118</v>
      </c>
      <c r="N3624" s="171" t="s">
        <v>37</v>
      </c>
      <c r="O3624" s="52">
        <v>14664.62</v>
      </c>
      <c r="P3624" s="52">
        <v>4398.46</v>
      </c>
      <c r="Q3624" s="42">
        <f>OfficeForms.Table[[#This Row],[ INFORMEDEPAGO ]]*0.3</f>
        <v>4399.3860000000004</v>
      </c>
      <c r="R3624" s="12">
        <f t="shared" si="181"/>
        <v>0.92600000000038563</v>
      </c>
      <c r="S3624" s="78">
        <v>46357</v>
      </c>
      <c r="T3624" s="1"/>
      <c r="V3624" s="1"/>
      <c r="X3624" s="101">
        <v>2</v>
      </c>
    </row>
    <row r="3625" spans="1:24" hidden="1">
      <c r="A3625">
        <v>2048</v>
      </c>
      <c r="B3625" s="2">
        <v>46251.662789351903</v>
      </c>
      <c r="C3625" s="2">
        <v>46251.668518518498</v>
      </c>
      <c r="D3625" s="1" t="s">
        <v>24</v>
      </c>
      <c r="E3625" s="1"/>
      <c r="F3625" s="29">
        <v>46251</v>
      </c>
      <c r="G3625" s="29">
        <v>46251</v>
      </c>
      <c r="H3625" s="1" t="s">
        <v>78</v>
      </c>
      <c r="I3625" s="126" t="s">
        <v>8022</v>
      </c>
      <c r="J3625" s="207">
        <v>32826304431</v>
      </c>
      <c r="K3625" s="171" t="s">
        <v>8023</v>
      </c>
      <c r="L3625" s="62">
        <v>23695202</v>
      </c>
      <c r="M3625" s="30">
        <v>5218714818868</v>
      </c>
      <c r="N3625" s="171" t="s">
        <v>37</v>
      </c>
      <c r="O3625" s="50">
        <v>14743.31</v>
      </c>
      <c r="P3625" s="97">
        <v>4258.0200000000004</v>
      </c>
      <c r="Q3625" s="42">
        <f>OfficeForms.Table[[#This Row],[ INFORMEDEPAGO ]]*0.3</f>
        <v>4422.9929999999995</v>
      </c>
      <c r="R3625" s="12">
        <f t="shared" si="181"/>
        <v>164.97299999999905</v>
      </c>
      <c r="S3625" s="78">
        <v>46722</v>
      </c>
      <c r="T3625" s="1"/>
      <c r="V3625" s="1"/>
      <c r="X3625" s="101">
        <v>2</v>
      </c>
    </row>
    <row r="3626" spans="1:24" hidden="1">
      <c r="A3626">
        <v>2049</v>
      </c>
      <c r="B3626" s="2">
        <v>46251.668576388904</v>
      </c>
      <c r="C3626" s="2">
        <v>46251.670243055603</v>
      </c>
      <c r="D3626" s="1" t="s">
        <v>24</v>
      </c>
      <c r="E3626" s="1"/>
      <c r="F3626" s="29">
        <v>46251</v>
      </c>
      <c r="G3626" s="29">
        <v>46251</v>
      </c>
      <c r="H3626" s="1" t="s">
        <v>78</v>
      </c>
      <c r="I3626" s="126" t="s">
        <v>8024</v>
      </c>
      <c r="J3626" s="207">
        <v>24755812054</v>
      </c>
      <c r="K3626" s="171" t="s">
        <v>8025</v>
      </c>
      <c r="L3626" s="62">
        <v>23688562</v>
      </c>
      <c r="M3626" s="30">
        <v>5216868188649</v>
      </c>
      <c r="N3626" s="171" t="s">
        <v>37</v>
      </c>
      <c r="O3626" s="52">
        <v>6036.9</v>
      </c>
      <c r="P3626" s="52">
        <v>1200</v>
      </c>
      <c r="Q3626" s="42">
        <f>OfficeForms.Table[[#This Row],[ INFORMEDEPAGO ]]*0.3</f>
        <v>1811.07</v>
      </c>
      <c r="R3626" s="12">
        <f t="shared" ref="R3626:R3628" si="182">(IF(O3626&lt;4172.98,0,MIN(O3626*0.3,O3626-4172.98)))-P3626</f>
        <v>611.06999999999994</v>
      </c>
      <c r="S3626" s="78">
        <v>46935</v>
      </c>
      <c r="T3626" s="1"/>
      <c r="V3626" s="1"/>
      <c r="X3626" s="101">
        <v>2</v>
      </c>
    </row>
    <row r="3627" spans="1:24" hidden="1">
      <c r="A3627">
        <v>2050</v>
      </c>
      <c r="B3627" s="2">
        <v>46251.676805555602</v>
      </c>
      <c r="C3627" s="2">
        <v>46251.678182870397</v>
      </c>
      <c r="D3627" s="1" t="s">
        <v>24</v>
      </c>
      <c r="E3627" s="1"/>
      <c r="F3627" s="29">
        <v>46251</v>
      </c>
      <c r="G3627" s="29">
        <v>46251</v>
      </c>
      <c r="H3627" s="1" t="s">
        <v>6605</v>
      </c>
      <c r="I3627" s="126" t="s">
        <v>8026</v>
      </c>
      <c r="J3627" s="207">
        <v>24805930344</v>
      </c>
      <c r="K3627" s="171" t="s">
        <v>8027</v>
      </c>
      <c r="L3627" s="62">
        <v>23704876</v>
      </c>
      <c r="M3627" s="30">
        <v>6221456232</v>
      </c>
      <c r="N3627" s="171" t="s">
        <v>28</v>
      </c>
      <c r="O3627" s="50">
        <v>6474.79</v>
      </c>
      <c r="P3627" s="97"/>
      <c r="Q3627" s="42">
        <f>OfficeForms.Table[[#This Row],[ INFORMEDEPAGO ]]*0.3</f>
        <v>1942.4369999999999</v>
      </c>
      <c r="R3627" s="12">
        <f t="shared" si="182"/>
        <v>1942.4369999999999</v>
      </c>
      <c r="S3627" s="78"/>
      <c r="T3627" s="1"/>
      <c r="V3627" s="1"/>
      <c r="X3627" s="101">
        <v>1</v>
      </c>
    </row>
    <row r="3628" spans="1:24" hidden="1">
      <c r="A3628">
        <v>2051</v>
      </c>
      <c r="B3628" s="2">
        <v>46251.676296296297</v>
      </c>
      <c r="C3628" s="2">
        <v>46251.680173611101</v>
      </c>
      <c r="D3628" s="1" t="s">
        <v>24</v>
      </c>
      <c r="E3628" s="1"/>
      <c r="F3628" s="29">
        <v>46251</v>
      </c>
      <c r="G3628" s="29">
        <v>46251</v>
      </c>
      <c r="H3628" s="1" t="s">
        <v>8028</v>
      </c>
      <c r="I3628" s="126" t="s">
        <v>8029</v>
      </c>
      <c r="J3628" s="207"/>
      <c r="K3628" s="171" t="s">
        <v>8030</v>
      </c>
      <c r="L3628" s="62">
        <v>23704290</v>
      </c>
      <c r="M3628" s="30">
        <v>5215521986974</v>
      </c>
      <c r="N3628" s="171" t="s">
        <v>47</v>
      </c>
      <c r="O3628" s="50">
        <v>5050.42</v>
      </c>
      <c r="P3628" s="97"/>
      <c r="Q3628" s="42">
        <f>OfficeForms.Table[[#This Row],[ INFORMEDEPAGO ]]*0.3</f>
        <v>1515.126</v>
      </c>
      <c r="R3628" s="12">
        <f t="shared" si="182"/>
        <v>877.44000000000051</v>
      </c>
      <c r="S3628" s="78"/>
      <c r="T3628" s="1"/>
      <c r="V3628" s="1"/>
      <c r="X3628" s="101">
        <v>1</v>
      </c>
    </row>
    <row r="3629" spans="1:24" hidden="1">
      <c r="A3629">
        <v>2052</v>
      </c>
      <c r="B3629" s="2">
        <v>46251.682199074101</v>
      </c>
      <c r="C3629" s="2">
        <v>46251.683321759301</v>
      </c>
      <c r="D3629" s="1" t="s">
        <v>24</v>
      </c>
      <c r="E3629" s="1"/>
      <c r="F3629" s="29">
        <v>46251</v>
      </c>
      <c r="G3629" s="29">
        <v>46251</v>
      </c>
      <c r="H3629" s="1" t="s">
        <v>269</v>
      </c>
      <c r="I3629" s="126" t="s">
        <v>8031</v>
      </c>
      <c r="J3629" s="175" t="s">
        <v>8032</v>
      </c>
      <c r="K3629" s="171" t="s">
        <v>8033</v>
      </c>
      <c r="L3629" s="62">
        <v>23688832</v>
      </c>
      <c r="M3629" s="30">
        <v>5216563067638</v>
      </c>
      <c r="N3629" s="171" t="s">
        <v>32</v>
      </c>
      <c r="O3629" s="50">
        <v>2018</v>
      </c>
      <c r="P3629" s="97"/>
      <c r="Q3629" s="42">
        <f>OfficeForms.Table[[#This Row],[ INFORMEDEPAGO ]]*0.3</f>
        <v>605.4</v>
      </c>
      <c r="R3629" s="12">
        <f t="shared" ref="R3629" si="183">(IF(O3629&lt;4172.98,0,MIN(O3629*0.3,O3629-4172.98)))-P3629</f>
        <v>0</v>
      </c>
      <c r="S3629" s="78"/>
      <c r="T3629" s="1"/>
      <c r="V3629" s="1"/>
      <c r="X3629" s="101">
        <v>1</v>
      </c>
    </row>
    <row r="3630" spans="1:24" hidden="1">
      <c r="A3630">
        <v>2053</v>
      </c>
      <c r="B3630" s="2">
        <v>46251.548125000001</v>
      </c>
      <c r="C3630" s="2">
        <v>46251.686168981498</v>
      </c>
      <c r="D3630" s="1" t="s">
        <v>24</v>
      </c>
      <c r="E3630" s="1"/>
      <c r="F3630" s="29">
        <v>46251</v>
      </c>
      <c r="G3630" s="29">
        <v>46248</v>
      </c>
      <c r="H3630" s="1" t="s">
        <v>476</v>
      </c>
      <c r="I3630" s="126" t="s">
        <v>8034</v>
      </c>
      <c r="J3630" s="175"/>
      <c r="K3630" s="171" t="s">
        <v>8035</v>
      </c>
      <c r="L3630" s="62">
        <v>23649114</v>
      </c>
      <c r="M3630" s="30">
        <v>5216677956460</v>
      </c>
      <c r="N3630" s="171" t="s">
        <v>37</v>
      </c>
      <c r="O3630" s="52">
        <v>7920.51</v>
      </c>
      <c r="P3630" s="52">
        <v>2282.4499999999998</v>
      </c>
      <c r="Q3630" s="42">
        <f>OfficeForms.Table[[#This Row],[ INFORMEDEPAGO ]]*0.3</f>
        <v>2376.1529999999998</v>
      </c>
      <c r="R3630" s="12">
        <f t="shared" ref="R3630:R3631" si="184">(IF(O3630&lt;4172.98,0,MIN(O3630*0.3,O3630-4172.98)))-P3630</f>
        <v>93.702999999999975</v>
      </c>
      <c r="S3630" s="78">
        <v>46600</v>
      </c>
      <c r="T3630" s="1"/>
      <c r="V3630" s="1"/>
      <c r="X3630" s="101">
        <v>2</v>
      </c>
    </row>
    <row r="3631" spans="1:24" hidden="1">
      <c r="A3631">
        <v>2054</v>
      </c>
      <c r="B3631" s="2">
        <v>46251.6563888889</v>
      </c>
      <c r="C3631" s="2">
        <v>46251.687604166698</v>
      </c>
      <c r="D3631" s="1" t="s">
        <v>24</v>
      </c>
      <c r="E3631" s="1"/>
      <c r="F3631" s="29">
        <v>46251</v>
      </c>
      <c r="G3631" s="29">
        <v>46251</v>
      </c>
      <c r="H3631" s="1" t="s">
        <v>1629</v>
      </c>
      <c r="I3631" s="126" t="s">
        <v>8036</v>
      </c>
      <c r="J3631" s="175">
        <v>41765706936</v>
      </c>
      <c r="K3631" s="171" t="s">
        <v>8037</v>
      </c>
      <c r="L3631" s="62">
        <v>2</v>
      </c>
      <c r="M3631" s="30" t="s">
        <v>8038</v>
      </c>
      <c r="N3631" s="171" t="s">
        <v>37</v>
      </c>
      <c r="O3631" s="52">
        <v>5226.41</v>
      </c>
      <c r="P3631" s="52">
        <v>1015</v>
      </c>
      <c r="Q3631" s="42">
        <f>OfficeForms.Table[[#This Row],[ INFORMEDEPAGO ]]*0.3</f>
        <v>1567.923</v>
      </c>
      <c r="R3631" s="12">
        <f t="shared" si="184"/>
        <v>38.430000000000291</v>
      </c>
      <c r="S3631" s="78">
        <v>46447</v>
      </c>
      <c r="T3631" s="1"/>
      <c r="V3631" s="1"/>
      <c r="X3631" s="101">
        <v>2</v>
      </c>
    </row>
    <row r="3632" spans="1:24" hidden="1">
      <c r="A3632">
        <v>2055</v>
      </c>
      <c r="B3632" s="2">
        <v>46251.707430555602</v>
      </c>
      <c r="C3632" s="2">
        <v>46251.708206018498</v>
      </c>
      <c r="D3632" s="1" t="s">
        <v>24</v>
      </c>
      <c r="E3632" s="1"/>
      <c r="F3632" s="29">
        <v>46251</v>
      </c>
      <c r="G3632" s="29">
        <v>46251</v>
      </c>
      <c r="H3632" s="1" t="s">
        <v>7742</v>
      </c>
      <c r="I3632" s="126" t="s">
        <v>8039</v>
      </c>
      <c r="J3632" s="175"/>
      <c r="K3632" s="171" t="s">
        <v>8040</v>
      </c>
      <c r="L3632" s="62">
        <v>23705598</v>
      </c>
      <c r="M3632" s="30">
        <v>5537899369</v>
      </c>
      <c r="N3632" s="171" t="s">
        <v>28</v>
      </c>
      <c r="O3632" s="50">
        <v>29598.57</v>
      </c>
      <c r="P3632" s="97"/>
      <c r="Q3632" s="42">
        <f>OfficeForms.Table[[#This Row],[ INFORMEDEPAGO ]]*0.3</f>
        <v>8879.5709999999999</v>
      </c>
      <c r="R3632" s="12">
        <f t="shared" ref="R3632" si="185">(IF(O3632&lt;4172.98,0,MIN(O3632*0.3,O3632-4172.98)))-P3632</f>
        <v>8879.5709999999999</v>
      </c>
      <c r="S3632" s="78"/>
      <c r="T3632" s="1"/>
      <c r="V3632" s="1"/>
      <c r="X3632" s="101">
        <v>1</v>
      </c>
    </row>
    <row r="3633" spans="1:24" hidden="1">
      <c r="A3633">
        <v>2056</v>
      </c>
      <c r="B3633" s="2">
        <v>46251.704363425903</v>
      </c>
      <c r="C3633" s="2">
        <v>46251.711412037002</v>
      </c>
      <c r="D3633" s="1" t="s">
        <v>24</v>
      </c>
      <c r="E3633" s="1"/>
      <c r="F3633" s="29">
        <v>46251</v>
      </c>
      <c r="G3633" s="29">
        <v>46251</v>
      </c>
      <c r="H3633" s="1" t="s">
        <v>78</v>
      </c>
      <c r="I3633" s="126" t="s">
        <v>8041</v>
      </c>
      <c r="J3633" s="175">
        <v>7191620296</v>
      </c>
      <c r="K3633" s="171"/>
      <c r="L3633" s="62">
        <v>23697692</v>
      </c>
      <c r="M3633" s="30">
        <v>5219613668464</v>
      </c>
      <c r="N3633" s="171" t="s">
        <v>98</v>
      </c>
      <c r="O3633" s="50"/>
      <c r="P3633" s="97"/>
      <c r="Q3633" s="42">
        <f>OfficeForms.Table[[#This Row],[ INFORMEDEPAGO ]]*0.3</f>
        <v>0</v>
      </c>
      <c r="R3633" s="12">
        <f t="shared" ref="R3633" si="186">(IF(O3633&lt;4172.98,0,MIN(O3633*0.3,O3633-4172.98)))-P3633</f>
        <v>0</v>
      </c>
      <c r="S3633" s="78"/>
      <c r="T3633" s="1"/>
      <c r="V3633" s="1"/>
      <c r="X3633" s="101">
        <v>0</v>
      </c>
    </row>
    <row r="3634" spans="1:24" hidden="1">
      <c r="A3634">
        <v>2057</v>
      </c>
      <c r="B3634" s="2">
        <v>46251.714803240699</v>
      </c>
      <c r="C3634" s="2">
        <v>46251.715393518498</v>
      </c>
      <c r="D3634" s="1" t="s">
        <v>24</v>
      </c>
      <c r="E3634" s="1"/>
      <c r="F3634" s="29">
        <v>46251</v>
      </c>
      <c r="G3634" s="29">
        <v>46250</v>
      </c>
      <c r="H3634" s="1" t="s">
        <v>269</v>
      </c>
      <c r="I3634" s="126" t="s">
        <v>8042</v>
      </c>
      <c r="J3634" s="175"/>
      <c r="K3634" s="171" t="s">
        <v>8043</v>
      </c>
      <c r="L3634" s="62">
        <v>23681874</v>
      </c>
      <c r="M3634" s="30">
        <v>5212271002869</v>
      </c>
      <c r="N3634" s="171" t="s">
        <v>28</v>
      </c>
      <c r="O3634" s="50">
        <v>38751.760000000002</v>
      </c>
      <c r="P3634" s="97"/>
      <c r="Q3634" s="42">
        <f>OfficeForms.Table[[#This Row],[ INFORMEDEPAGO ]]*0.3</f>
        <v>11625.528</v>
      </c>
      <c r="R3634" s="12">
        <f t="shared" ref="R3634" si="187">(IF(O3634&lt;4172.98,0,MIN(O3634*0.3,O3634-4172.98)))-P3634</f>
        <v>11625.528</v>
      </c>
      <c r="S3634" s="78"/>
      <c r="T3634" s="1"/>
      <c r="V3634" s="1"/>
      <c r="X3634" s="101">
        <v>1</v>
      </c>
    </row>
    <row r="3635" spans="1:24" hidden="1">
      <c r="A3635">
        <v>2058</v>
      </c>
      <c r="B3635" s="2">
        <v>46251.717349537001</v>
      </c>
      <c r="C3635" s="2">
        <v>46251.718368055597</v>
      </c>
      <c r="D3635" s="1" t="s">
        <v>24</v>
      </c>
      <c r="E3635" s="1"/>
      <c r="F3635" s="29">
        <v>46251</v>
      </c>
      <c r="G3635" s="29">
        <v>46251</v>
      </c>
      <c r="H3635" s="1" t="s">
        <v>71</v>
      </c>
      <c r="I3635" s="126" t="s">
        <v>8044</v>
      </c>
      <c r="J3635" s="175" t="s">
        <v>8045</v>
      </c>
      <c r="K3635" s="171"/>
      <c r="L3635" s="62">
        <v>23702418</v>
      </c>
      <c r="M3635" s="30">
        <v>5212741421808</v>
      </c>
      <c r="N3635" s="171" t="s">
        <v>32</v>
      </c>
      <c r="O3635" s="50">
        <v>4336.66</v>
      </c>
      <c r="P3635" s="97"/>
      <c r="Q3635" s="42">
        <f>OfficeForms.Table[[#This Row],[ INFORMEDEPAGO ]]*0.3</f>
        <v>1300.9979999999998</v>
      </c>
      <c r="R3635" s="12">
        <f t="shared" ref="R3635" si="188">(IF(O3635&lt;4172.98,0,MIN(O3635*0.3,O3635-4172.98)))-P3635</f>
        <v>163.68000000000029</v>
      </c>
      <c r="S3635" s="78"/>
      <c r="T3635" s="1"/>
      <c r="V3635" s="1"/>
      <c r="X3635" s="101">
        <v>1</v>
      </c>
    </row>
    <row r="3636" spans="1:24" hidden="1">
      <c r="A3636">
        <v>2059</v>
      </c>
      <c r="B3636" s="2">
        <v>46251.668414351901</v>
      </c>
      <c r="C3636" s="2">
        <v>46251.726307870398</v>
      </c>
      <c r="D3636" s="1" t="s">
        <v>24</v>
      </c>
      <c r="E3636" s="1"/>
      <c r="F3636" s="29">
        <v>46251</v>
      </c>
      <c r="G3636" s="29">
        <v>46250</v>
      </c>
      <c r="H3636" s="1" t="s">
        <v>51</v>
      </c>
      <c r="I3636" s="126" t="s">
        <v>8046</v>
      </c>
      <c r="J3636" s="175"/>
      <c r="K3636" s="171" t="s">
        <v>8047</v>
      </c>
      <c r="L3636" s="62">
        <v>23680450</v>
      </c>
      <c r="M3636" s="30">
        <v>5217731331695</v>
      </c>
      <c r="N3636" s="171" t="s">
        <v>37</v>
      </c>
      <c r="O3636" s="52">
        <v>20802.43</v>
      </c>
      <c r="P3636" s="52">
        <v>6240</v>
      </c>
      <c r="Q3636" s="42">
        <f>OfficeForms.Table[[#This Row],[ INFORMEDEPAGO ]]*0.3</f>
        <v>6240.7290000000003</v>
      </c>
      <c r="R3636" s="12">
        <f t="shared" ref="R3636" si="189">(IF(O3636&lt;4172.98,0,MIN(O3636*0.3,O3636-4172.98)))-P3636</f>
        <v>0.72900000000026921</v>
      </c>
      <c r="S3636" s="78">
        <v>46478</v>
      </c>
      <c r="T3636" s="1"/>
      <c r="V3636" s="1"/>
      <c r="X3636" s="101">
        <v>2</v>
      </c>
    </row>
    <row r="3637" spans="1:24" hidden="1">
      <c r="A3637">
        <v>2060</v>
      </c>
      <c r="B3637" s="2">
        <v>46251.718692129602</v>
      </c>
      <c r="C3637" s="2">
        <v>46251.730173611097</v>
      </c>
      <c r="D3637" s="1" t="s">
        <v>24</v>
      </c>
      <c r="E3637" s="1"/>
      <c r="F3637" s="29">
        <v>46251</v>
      </c>
      <c r="G3637" s="29">
        <v>46251</v>
      </c>
      <c r="H3637" s="1" t="s">
        <v>476</v>
      </c>
      <c r="I3637" s="126" t="s">
        <v>8048</v>
      </c>
      <c r="J3637" s="175">
        <v>21866749985</v>
      </c>
      <c r="K3637" s="171"/>
      <c r="L3637" s="62">
        <v>23704022</v>
      </c>
      <c r="M3637" s="30">
        <v>5216651114959</v>
      </c>
      <c r="N3637" s="171" t="s">
        <v>37</v>
      </c>
      <c r="O3637" s="52">
        <v>5060.93</v>
      </c>
      <c r="P3637" s="52">
        <v>856</v>
      </c>
      <c r="Q3637" s="42">
        <f>OfficeForms.Table[[#This Row],[ INFORMEDEPAGO ]]*0.3</f>
        <v>1518.279</v>
      </c>
      <c r="R3637" s="12">
        <f t="shared" ref="R3637" si="190">(IF(O3637&lt;4172.98,0,MIN(O3637*0.3,O3637-4172.98)))-P3637</f>
        <v>31.950000000000728</v>
      </c>
      <c r="S3637" s="78">
        <v>46508</v>
      </c>
      <c r="T3637" s="1"/>
      <c r="V3637" s="1"/>
      <c r="X3637" s="101">
        <v>2</v>
      </c>
    </row>
    <row r="3638" spans="1:24" hidden="1">
      <c r="A3638">
        <v>2061</v>
      </c>
      <c r="B3638" s="2">
        <v>46251.7710069444</v>
      </c>
      <c r="C3638" s="2">
        <v>46251.771516203698</v>
      </c>
      <c r="D3638" s="1" t="s">
        <v>24</v>
      </c>
      <c r="E3638" s="1"/>
      <c r="F3638" s="29">
        <v>46251</v>
      </c>
      <c r="G3638" s="29">
        <v>46251</v>
      </c>
      <c r="H3638" s="1" t="s">
        <v>26</v>
      </c>
      <c r="I3638" s="126" t="s">
        <v>8049</v>
      </c>
      <c r="J3638" s="175" t="s">
        <v>8050</v>
      </c>
      <c r="K3638" s="171"/>
      <c r="L3638" s="62">
        <v>23707686</v>
      </c>
      <c r="M3638" s="30">
        <v>5212212605298</v>
      </c>
      <c r="N3638" s="171" t="s">
        <v>37</v>
      </c>
      <c r="O3638" s="52">
        <v>6851.99</v>
      </c>
      <c r="P3638" s="52">
        <v>1979.59</v>
      </c>
      <c r="Q3638" s="42">
        <f>OfficeForms.Table[[#This Row],[ INFORMEDEPAGO ]]*0.3</f>
        <v>2055.5969999999998</v>
      </c>
      <c r="R3638" s="12">
        <f t="shared" ref="R3638:R3639" si="191">(IF(O3638&lt;4172.98,0,MIN(O3638*0.3,O3638-4172.98)))-P3638</f>
        <v>76.006999999999834</v>
      </c>
      <c r="S3638" s="78">
        <v>46478</v>
      </c>
      <c r="T3638" s="1"/>
      <c r="V3638" s="1"/>
      <c r="X3638" s="101">
        <v>2</v>
      </c>
    </row>
    <row r="3639" spans="1:24" hidden="1">
      <c r="A3639">
        <v>2062</v>
      </c>
      <c r="B3639" s="2">
        <v>46251.771886574097</v>
      </c>
      <c r="C3639" s="2">
        <v>46251.7727199074</v>
      </c>
      <c r="D3639" s="1" t="s">
        <v>24</v>
      </c>
      <c r="E3639" s="1"/>
      <c r="F3639" s="29">
        <v>46251</v>
      </c>
      <c r="G3639" s="29">
        <v>46251</v>
      </c>
      <c r="H3639" s="1" t="s">
        <v>110</v>
      </c>
      <c r="I3639" s="126" t="s">
        <v>8051</v>
      </c>
      <c r="J3639" s="175">
        <v>43816333959</v>
      </c>
      <c r="K3639" s="171" t="s">
        <v>8052</v>
      </c>
      <c r="L3639" s="62">
        <v>23708378</v>
      </c>
      <c r="M3639" s="30">
        <v>5218110366848</v>
      </c>
      <c r="N3639" s="171" t="s">
        <v>106</v>
      </c>
      <c r="O3639" s="52">
        <v>8173.36</v>
      </c>
      <c r="P3639" s="52">
        <v>2263.38</v>
      </c>
      <c r="Q3639" s="42">
        <f>OfficeForms.Table[[#This Row],[ INFORMEDEPAGO ]]*0.3</f>
        <v>2452.0079999999998</v>
      </c>
      <c r="R3639" s="12">
        <f t="shared" si="191"/>
        <v>188.6279999999997</v>
      </c>
      <c r="S3639" s="78">
        <v>46204</v>
      </c>
      <c r="T3639" s="1"/>
      <c r="V3639" s="1"/>
      <c r="X3639" s="101">
        <v>2</v>
      </c>
    </row>
    <row r="3640" spans="1:24" hidden="1">
      <c r="A3640">
        <v>2063</v>
      </c>
      <c r="B3640" s="2">
        <v>46251.829120370399</v>
      </c>
      <c r="C3640" s="2">
        <v>46251.832569444399</v>
      </c>
      <c r="D3640" s="1" t="s">
        <v>24</v>
      </c>
      <c r="E3640" s="1"/>
      <c r="F3640" s="29">
        <v>46251</v>
      </c>
      <c r="G3640" s="29">
        <v>46251</v>
      </c>
      <c r="H3640" s="1" t="s">
        <v>107</v>
      </c>
      <c r="I3640" s="126"/>
      <c r="J3640" s="175"/>
      <c r="K3640" s="171" t="s">
        <v>8053</v>
      </c>
      <c r="L3640" s="62">
        <v>23699744</v>
      </c>
      <c r="M3640" s="30">
        <v>8125974555</v>
      </c>
      <c r="N3640" s="171" t="s">
        <v>28</v>
      </c>
      <c r="O3640" s="67">
        <v>10636.54</v>
      </c>
      <c r="P3640" s="99"/>
      <c r="Q3640" s="42">
        <f>OfficeForms.Table[[#This Row],[ INFORMEDEPAGO ]]*0.3</f>
        <v>3190.962</v>
      </c>
      <c r="R3640" s="12">
        <f t="shared" ref="R3640:R3642" si="192">(IF(O3640&lt;4172.98,0,MIN(O3640*0.3,O3640-4172.98)))-P3640</f>
        <v>3190.962</v>
      </c>
      <c r="S3640" s="78"/>
      <c r="T3640" s="1"/>
      <c r="V3640" s="1"/>
      <c r="X3640" s="101">
        <v>1</v>
      </c>
    </row>
    <row r="3641" spans="1:24" hidden="1">
      <c r="A3641">
        <v>2064</v>
      </c>
      <c r="B3641" s="2">
        <v>46251.841828703698</v>
      </c>
      <c r="C3641" s="2">
        <v>46251.8449652778</v>
      </c>
      <c r="D3641" s="1" t="s">
        <v>24</v>
      </c>
      <c r="E3641" s="1"/>
      <c r="F3641" s="29">
        <v>46251</v>
      </c>
      <c r="G3641" s="29">
        <v>46251</v>
      </c>
      <c r="H3641" s="1" t="s">
        <v>2908</v>
      </c>
      <c r="I3641" s="126" t="s">
        <v>8054</v>
      </c>
      <c r="J3641" s="175" t="s">
        <v>8055</v>
      </c>
      <c r="K3641" s="171" t="s">
        <v>8056</v>
      </c>
      <c r="L3641" s="62">
        <v>2</v>
      </c>
      <c r="M3641" s="30" t="s">
        <v>8057</v>
      </c>
      <c r="N3641" s="171" t="s">
        <v>37</v>
      </c>
      <c r="O3641" s="67">
        <v>27003.82</v>
      </c>
      <c r="P3641" s="99">
        <v>8101.16</v>
      </c>
      <c r="Q3641" s="42">
        <f>OfficeForms.Table[[#This Row],[ INFORMEDEPAGO ]]*0.3</f>
        <v>8101.1459999999997</v>
      </c>
      <c r="R3641" s="12">
        <f t="shared" si="192"/>
        <v>-1.4000000000123691E-2</v>
      </c>
      <c r="S3641" s="78">
        <v>46327</v>
      </c>
      <c r="T3641" s="1"/>
      <c r="V3641" s="1"/>
      <c r="X3641" s="101">
        <v>2</v>
      </c>
    </row>
    <row r="3642" spans="1:24" hidden="1">
      <c r="A3642">
        <v>2065</v>
      </c>
      <c r="B3642" s="2">
        <v>46252.339722222197</v>
      </c>
      <c r="C3642" s="2">
        <v>46252.340844907398</v>
      </c>
      <c r="D3642" s="1" t="s">
        <v>24</v>
      </c>
      <c r="E3642" s="1"/>
      <c r="F3642" s="29">
        <v>46251</v>
      </c>
      <c r="G3642" s="29">
        <v>46252</v>
      </c>
      <c r="H3642" s="1" t="s">
        <v>7812</v>
      </c>
      <c r="I3642" s="126" t="s">
        <v>8058</v>
      </c>
      <c r="J3642" s="175">
        <v>62785715277</v>
      </c>
      <c r="K3642" s="171"/>
      <c r="L3642" s="62">
        <v>23703996</v>
      </c>
      <c r="M3642" s="30">
        <v>5212226568105</v>
      </c>
      <c r="N3642" s="171" t="s">
        <v>37</v>
      </c>
      <c r="O3642" s="67">
        <v>11343.45</v>
      </c>
      <c r="P3642" s="99">
        <v>3280.1</v>
      </c>
      <c r="Q3642" s="42">
        <f>OfficeForms.Table[[#This Row],[ INFORMEDEPAGO ]]*0.3</f>
        <v>3403.0350000000003</v>
      </c>
      <c r="R3642" s="12">
        <f t="shared" si="192"/>
        <v>122.9350000000004</v>
      </c>
      <c r="S3642" s="78">
        <v>46508</v>
      </c>
      <c r="T3642" s="1"/>
      <c r="V3642" s="1"/>
      <c r="X3642" s="101">
        <v>2</v>
      </c>
    </row>
    <row r="3643" spans="1:24" hidden="1">
      <c r="A3643">
        <v>2066</v>
      </c>
      <c r="B3643" s="2">
        <v>46252.352268518502</v>
      </c>
      <c r="C3643" s="2">
        <v>46252.352928240703</v>
      </c>
      <c r="D3643" s="1" t="s">
        <v>24</v>
      </c>
      <c r="E3643" s="1"/>
      <c r="F3643" s="29">
        <v>46252</v>
      </c>
      <c r="G3643" s="29">
        <v>46252</v>
      </c>
      <c r="H3643" s="1" t="s">
        <v>1629</v>
      </c>
      <c r="I3643" s="126" t="s">
        <v>8059</v>
      </c>
      <c r="J3643" s="175">
        <v>43906107800</v>
      </c>
      <c r="K3643" s="171" t="s">
        <v>8060</v>
      </c>
      <c r="L3643" s="62">
        <v>2</v>
      </c>
      <c r="M3643" s="30" t="s">
        <v>8061</v>
      </c>
      <c r="N3643" s="171" t="s">
        <v>74</v>
      </c>
      <c r="O3643" s="67"/>
      <c r="P3643" s="99"/>
      <c r="Q3643" s="42">
        <f>OfficeForms.Table[[#This Row],[ INFORMEDEPAGO ]]*0.3</f>
        <v>0</v>
      </c>
      <c r="R3643" s="12">
        <f t="shared" ref="R3643:R3644" si="193">(IF(O3643&lt;4172.98,0,MIN(O3643*0.3,O3643-4172.98)))-P3643</f>
        <v>0</v>
      </c>
      <c r="S3643" s="78"/>
      <c r="T3643" s="1"/>
      <c r="V3643" s="1"/>
      <c r="X3643" s="101">
        <v>1</v>
      </c>
    </row>
    <row r="3644" spans="1:24" hidden="1">
      <c r="A3644">
        <v>2067</v>
      </c>
      <c r="B3644" s="2">
        <v>46252.354664351798</v>
      </c>
      <c r="C3644" s="2">
        <v>46252.355833333299</v>
      </c>
      <c r="D3644" s="1" t="s">
        <v>24</v>
      </c>
      <c r="E3644" s="1"/>
      <c r="F3644" s="29">
        <v>46252</v>
      </c>
      <c r="G3644" s="29">
        <v>46252</v>
      </c>
      <c r="H3644" s="1" t="s">
        <v>1629</v>
      </c>
      <c r="I3644" s="126" t="s">
        <v>8062</v>
      </c>
      <c r="J3644" s="175">
        <v>42806229623</v>
      </c>
      <c r="K3644" s="171" t="s">
        <v>8063</v>
      </c>
      <c r="L3644" s="62">
        <v>2</v>
      </c>
      <c r="M3644" s="30">
        <v>3141987512</v>
      </c>
      <c r="N3644" s="171" t="s">
        <v>37</v>
      </c>
      <c r="O3644" s="67">
        <v>39486.94</v>
      </c>
      <c r="P3644" s="99">
        <v>11845.99</v>
      </c>
      <c r="Q3644" s="42">
        <f>OfficeForms.Table[[#This Row],[ INFORMEDEPAGO ]]*0.3</f>
        <v>11846.082</v>
      </c>
      <c r="R3644" s="12">
        <f t="shared" si="193"/>
        <v>9.2000000000552973E-2</v>
      </c>
      <c r="S3644" s="78">
        <v>46447</v>
      </c>
      <c r="T3644" s="1"/>
      <c r="V3644" s="1"/>
      <c r="X3644" s="101">
        <v>2</v>
      </c>
    </row>
    <row r="3645" spans="1:24" hidden="1">
      <c r="A3645">
        <v>2068</v>
      </c>
      <c r="B3645" s="2">
        <v>46252.330254629604</v>
      </c>
      <c r="C3645" s="2">
        <v>46252.377592592602</v>
      </c>
      <c r="D3645" s="1" t="s">
        <v>24</v>
      </c>
      <c r="E3645" s="1"/>
      <c r="F3645" s="29">
        <v>46252</v>
      </c>
      <c r="G3645" s="29">
        <v>46251</v>
      </c>
      <c r="H3645" s="1" t="s">
        <v>6605</v>
      </c>
      <c r="I3645" s="126" t="s">
        <v>8064</v>
      </c>
      <c r="J3645" s="175">
        <v>11715461957</v>
      </c>
      <c r="K3645" s="171" t="s">
        <v>8065</v>
      </c>
      <c r="L3645" s="62">
        <v>23705540</v>
      </c>
      <c r="M3645" s="30">
        <v>5563208868</v>
      </c>
      <c r="N3645" s="171" t="s">
        <v>37</v>
      </c>
      <c r="O3645" s="67">
        <v>11554.42</v>
      </c>
      <c r="P3645" s="99">
        <v>3466.01</v>
      </c>
      <c r="Q3645" s="42">
        <f>OfficeForms.Table[[#This Row],[ INFORMEDEPAGO ]]*0.3</f>
        <v>3466.326</v>
      </c>
      <c r="R3645" s="12">
        <f t="shared" ref="R3645" si="194">(IF(O3645&lt;4172.98,0,MIN(O3645*0.3,O3645-4172.98)))-P3645</f>
        <v>0.31599999999980355</v>
      </c>
      <c r="S3645" s="78">
        <v>46296</v>
      </c>
      <c r="T3645" s="1"/>
      <c r="V3645" s="1"/>
      <c r="X3645" s="101">
        <v>2</v>
      </c>
    </row>
    <row r="3646" spans="1:24" hidden="1">
      <c r="A3646">
        <v>2069</v>
      </c>
      <c r="B3646" s="2">
        <v>46252.407430555599</v>
      </c>
      <c r="C3646" s="2">
        <v>46252.408900463</v>
      </c>
      <c r="D3646" s="1" t="s">
        <v>24</v>
      </c>
      <c r="E3646" s="1"/>
      <c r="F3646" s="29">
        <v>46252</v>
      </c>
      <c r="G3646" s="29">
        <v>46252</v>
      </c>
      <c r="H3646" s="1" t="s">
        <v>1625</v>
      </c>
      <c r="I3646" s="126" t="s">
        <v>8066</v>
      </c>
      <c r="J3646" s="175">
        <v>11725261849</v>
      </c>
      <c r="K3646" s="171" t="s">
        <v>8067</v>
      </c>
      <c r="L3646" s="62">
        <v>2</v>
      </c>
      <c r="M3646" s="30">
        <v>5568717125</v>
      </c>
      <c r="N3646" s="171" t="s">
        <v>32</v>
      </c>
      <c r="O3646" s="67">
        <f>3003.85+879</f>
        <v>3882.85</v>
      </c>
      <c r="P3646" s="99"/>
      <c r="Q3646" s="42">
        <f>OfficeForms.Table[[#This Row],[ INFORMEDEPAGO ]]*0.3</f>
        <v>1164.855</v>
      </c>
      <c r="R3646" s="12">
        <f t="shared" ref="R3646" si="195">(IF(O3646&lt;4172.98,0,MIN(O3646*0.3,O3646-4172.98)))-P3646</f>
        <v>0</v>
      </c>
      <c r="S3646" s="78"/>
      <c r="T3646" s="1"/>
      <c r="V3646" s="1"/>
      <c r="X3646" s="101">
        <v>1</v>
      </c>
    </row>
    <row r="3647" spans="1:24" hidden="1">
      <c r="A3647">
        <v>2070</v>
      </c>
      <c r="B3647" s="2">
        <v>46252.408171296302</v>
      </c>
      <c r="C3647" s="2">
        <v>46252.420636574097</v>
      </c>
      <c r="D3647" s="1" t="s">
        <v>24</v>
      </c>
      <c r="E3647" s="1"/>
      <c r="F3647" s="29">
        <v>46252</v>
      </c>
      <c r="G3647" s="29">
        <v>46251</v>
      </c>
      <c r="H3647" s="1" t="s">
        <v>51</v>
      </c>
      <c r="I3647" s="126" t="s">
        <v>8068</v>
      </c>
      <c r="J3647" s="175">
        <v>49806411903</v>
      </c>
      <c r="K3647" s="171" t="s">
        <v>8069</v>
      </c>
      <c r="L3647" s="62">
        <v>23712414</v>
      </c>
      <c r="M3647" s="30">
        <v>5218335320263</v>
      </c>
      <c r="N3647" s="171" t="s">
        <v>32</v>
      </c>
      <c r="O3647" s="50">
        <v>3513.79</v>
      </c>
      <c r="P3647" s="97"/>
      <c r="Q3647" s="42">
        <f>OfficeForms.Table[[#This Row],[ INFORMEDEPAGO ]]*0.3</f>
        <v>1054.1369999999999</v>
      </c>
      <c r="R3647" s="12">
        <f t="shared" ref="R3647:R3648" si="196">(IF(O3647&lt;4172.98,0,MIN(O3647*0.3,O3647-4172.98)))-P3647</f>
        <v>0</v>
      </c>
      <c r="S3647" s="78"/>
      <c r="T3647" s="1"/>
      <c r="V3647" s="1"/>
      <c r="X3647" s="101">
        <v>1</v>
      </c>
    </row>
    <row r="3648" spans="1:24" hidden="1">
      <c r="A3648">
        <v>2071</v>
      </c>
      <c r="B3648" s="2">
        <v>46252.421354166698</v>
      </c>
      <c r="C3648" s="2">
        <v>46252.422361111101</v>
      </c>
      <c r="D3648" s="1" t="s">
        <v>24</v>
      </c>
      <c r="E3648" s="1"/>
      <c r="F3648" s="29">
        <v>46252</v>
      </c>
      <c r="G3648" s="29">
        <v>46252</v>
      </c>
      <c r="H3648" s="1" t="s">
        <v>2908</v>
      </c>
      <c r="I3648" s="126" t="s">
        <v>8070</v>
      </c>
      <c r="J3648" s="175">
        <v>47937670876</v>
      </c>
      <c r="K3648" s="171" t="s">
        <v>8071</v>
      </c>
      <c r="L3648" s="62">
        <v>2</v>
      </c>
      <c r="M3648" s="30">
        <v>8111271029</v>
      </c>
      <c r="N3648" s="171" t="s">
        <v>74</v>
      </c>
      <c r="O3648" s="50"/>
      <c r="P3648" s="97"/>
      <c r="Q3648" s="42">
        <f>OfficeForms.Table[[#This Row],[ INFORMEDEPAGO ]]*0.3</f>
        <v>0</v>
      </c>
      <c r="R3648" s="12">
        <f t="shared" si="196"/>
        <v>0</v>
      </c>
      <c r="S3648" s="78"/>
      <c r="T3648" s="1"/>
      <c r="V3648" s="1"/>
      <c r="X3648" s="101">
        <v>1</v>
      </c>
    </row>
    <row r="3649" spans="1:24" hidden="1">
      <c r="A3649">
        <v>2072</v>
      </c>
      <c r="B3649" s="2">
        <v>46252.429155092599</v>
      </c>
      <c r="C3649" s="2">
        <v>46252.429722222201</v>
      </c>
      <c r="D3649" s="1" t="s">
        <v>24</v>
      </c>
      <c r="E3649" s="1"/>
      <c r="F3649" s="29">
        <v>46252</v>
      </c>
      <c r="G3649" s="29">
        <v>46252</v>
      </c>
      <c r="H3649" s="1" t="s">
        <v>2908</v>
      </c>
      <c r="I3649" s="126" t="s">
        <v>8072</v>
      </c>
      <c r="J3649" s="175">
        <v>32896897314</v>
      </c>
      <c r="K3649" s="171" t="s">
        <v>8073</v>
      </c>
      <c r="L3649" s="62">
        <v>2</v>
      </c>
      <c r="M3649" s="30">
        <v>8442983433</v>
      </c>
      <c r="N3649" s="171" t="s">
        <v>37</v>
      </c>
      <c r="O3649" s="50">
        <v>3628.28</v>
      </c>
      <c r="P3649" s="97">
        <v>224.7</v>
      </c>
      <c r="Q3649" s="42">
        <f>OfficeForms.Table[[#This Row],[ INFORMEDEPAGO ]]*0.3</f>
        <v>1088.4839999999999</v>
      </c>
      <c r="R3649" s="12">
        <f t="shared" ref="R3649:R3650" si="197">(IF(O3649&lt;4172.98,0,MIN(O3649*0.3,O3649-4172.98)))-P3649</f>
        <v>-224.7</v>
      </c>
      <c r="S3649" s="78">
        <v>46661</v>
      </c>
      <c r="T3649" s="1"/>
      <c r="V3649" s="1"/>
      <c r="X3649" s="101">
        <v>2</v>
      </c>
    </row>
    <row r="3650" spans="1:24" hidden="1">
      <c r="A3650">
        <v>2073</v>
      </c>
      <c r="B3650" s="2">
        <v>46252.3226041667</v>
      </c>
      <c r="C3650" s="2">
        <v>46252.430625000001</v>
      </c>
      <c r="D3650" s="1" t="s">
        <v>24</v>
      </c>
      <c r="E3650" s="1"/>
      <c r="F3650" s="29">
        <v>46252</v>
      </c>
      <c r="G3650" s="29">
        <v>46252</v>
      </c>
      <c r="H3650" s="1" t="s">
        <v>1625</v>
      </c>
      <c r="I3650" s="126" t="s">
        <v>8074</v>
      </c>
      <c r="J3650" s="175">
        <v>43926216102</v>
      </c>
      <c r="K3650" s="171" t="s">
        <v>8075</v>
      </c>
      <c r="L3650" s="62">
        <v>2</v>
      </c>
      <c r="M3650" s="30" t="s">
        <v>8076</v>
      </c>
      <c r="N3650" s="171" t="s">
        <v>37</v>
      </c>
      <c r="O3650" s="50">
        <v>15546.64</v>
      </c>
      <c r="P3650" s="97">
        <v>4498.0200000000004</v>
      </c>
      <c r="Q3650" s="42">
        <f>OfficeForms.Table[[#This Row],[ INFORMEDEPAGO ]]*0.3</f>
        <v>4663.9919999999993</v>
      </c>
      <c r="R3650" s="12">
        <f t="shared" si="197"/>
        <v>165.97199999999884</v>
      </c>
      <c r="S3650" s="78">
        <v>46661</v>
      </c>
      <c r="T3650" s="1"/>
      <c r="V3650" s="1"/>
      <c r="X3650" s="101">
        <v>2</v>
      </c>
    </row>
    <row r="3651" spans="1:24" hidden="1">
      <c r="A3651">
        <v>2074</v>
      </c>
      <c r="B3651" s="2">
        <v>46252.431157407402</v>
      </c>
      <c r="C3651" s="2">
        <v>46252.431678240697</v>
      </c>
      <c r="D3651" s="1" t="s">
        <v>24</v>
      </c>
      <c r="E3651" s="1"/>
      <c r="F3651" s="29">
        <v>46252</v>
      </c>
      <c r="G3651" s="29">
        <v>46251</v>
      </c>
      <c r="H3651" s="1" t="s">
        <v>26</v>
      </c>
      <c r="I3651" s="126" t="s">
        <v>8077</v>
      </c>
      <c r="J3651" s="209" t="s">
        <v>8078</v>
      </c>
      <c r="K3651" s="171"/>
      <c r="L3651" s="62">
        <v>23709064</v>
      </c>
      <c r="M3651" s="30">
        <v>5215519349190</v>
      </c>
      <c r="N3651" s="171" t="s">
        <v>28</v>
      </c>
      <c r="O3651" s="50">
        <v>9760.32</v>
      </c>
      <c r="P3651" s="97"/>
      <c r="Q3651" s="42">
        <f>OfficeForms.Table[[#This Row],[ INFORMEDEPAGO ]]*0.3</f>
        <v>2928.096</v>
      </c>
      <c r="R3651" s="12">
        <f t="shared" ref="R3651:R3652" si="198">(IF(O3651&lt;4172.98,0,MIN(O3651*0.3,O3651-4172.98)))-P3651</f>
        <v>2928.096</v>
      </c>
      <c r="S3651" s="78"/>
      <c r="T3651" s="1"/>
      <c r="V3651" s="1"/>
      <c r="X3651" s="101">
        <v>1</v>
      </c>
    </row>
    <row r="3652" spans="1:24" hidden="1">
      <c r="A3652">
        <v>2075</v>
      </c>
      <c r="B3652" s="2">
        <v>46252.433877314797</v>
      </c>
      <c r="C3652" s="2">
        <v>46252.434861111098</v>
      </c>
      <c r="D3652" s="1" t="s">
        <v>24</v>
      </c>
      <c r="E3652" s="1"/>
      <c r="F3652" s="29">
        <v>46252</v>
      </c>
      <c r="G3652" s="29">
        <v>46251</v>
      </c>
      <c r="H3652" s="1" t="s">
        <v>6605</v>
      </c>
      <c r="I3652" s="126" t="s">
        <v>8079</v>
      </c>
      <c r="J3652" s="175"/>
      <c r="K3652" s="171" t="s">
        <v>8080</v>
      </c>
      <c r="L3652" s="62">
        <v>23707024</v>
      </c>
      <c r="M3652" s="30">
        <v>9212509009</v>
      </c>
      <c r="N3652" s="171" t="s">
        <v>28</v>
      </c>
      <c r="O3652" s="50">
        <v>11029.03</v>
      </c>
      <c r="P3652" s="97"/>
      <c r="Q3652" s="42">
        <f>OfficeForms.Table[[#This Row],[ INFORMEDEPAGO ]]*0.3</f>
        <v>3308.7090000000003</v>
      </c>
      <c r="R3652" s="12">
        <f t="shared" si="198"/>
        <v>3308.7090000000003</v>
      </c>
      <c r="S3652" s="78"/>
      <c r="T3652" s="1"/>
      <c r="V3652" s="1"/>
      <c r="X3652" s="101">
        <v>1</v>
      </c>
    </row>
    <row r="3653" spans="1:24" hidden="1">
      <c r="A3653">
        <v>2076</v>
      </c>
      <c r="B3653" s="2">
        <v>46252.435266203698</v>
      </c>
      <c r="C3653" s="2">
        <v>46252.443900462997</v>
      </c>
      <c r="D3653" s="1" t="s">
        <v>24</v>
      </c>
      <c r="E3653" s="1"/>
      <c r="F3653" s="29">
        <v>46252</v>
      </c>
      <c r="G3653" s="29">
        <v>46252</v>
      </c>
      <c r="H3653" s="1" t="s">
        <v>78</v>
      </c>
      <c r="I3653" s="126" t="s">
        <v>8081</v>
      </c>
      <c r="J3653" s="175">
        <v>17816136695</v>
      </c>
      <c r="K3653" s="171" t="s">
        <v>8082</v>
      </c>
      <c r="L3653" s="62">
        <v>23717952</v>
      </c>
      <c r="M3653" s="30">
        <v>5215527230013</v>
      </c>
      <c r="N3653" s="171" t="s">
        <v>37</v>
      </c>
      <c r="O3653" s="50">
        <v>12868.32</v>
      </c>
      <c r="P3653" s="97">
        <v>3860.59</v>
      </c>
      <c r="Q3653" s="42">
        <f>OfficeForms.Table[[#This Row],[ INFORMEDEPAGO ]]*0.3</f>
        <v>3860.4959999999996</v>
      </c>
      <c r="R3653" s="12">
        <f t="shared" ref="R3653:R3654" si="199">(IF(O3653&lt;4172.98,0,MIN(O3653*0.3,O3653-4172.98)))-P3653</f>
        <v>-9.4000000000505679E-2</v>
      </c>
      <c r="S3653" s="78">
        <v>46661</v>
      </c>
      <c r="T3653" s="1"/>
      <c r="V3653" s="1"/>
      <c r="X3653" s="101">
        <v>2</v>
      </c>
    </row>
    <row r="3654" spans="1:24" hidden="1">
      <c r="A3654">
        <v>2077</v>
      </c>
      <c r="B3654" s="2">
        <v>46252.420671296299</v>
      </c>
      <c r="C3654" s="2">
        <v>46252.4441435185</v>
      </c>
      <c r="D3654" s="1" t="s">
        <v>24</v>
      </c>
      <c r="E3654" s="1"/>
      <c r="F3654" s="29">
        <v>46252</v>
      </c>
      <c r="G3654" s="29">
        <v>46253</v>
      </c>
      <c r="H3654" s="1" t="s">
        <v>51</v>
      </c>
      <c r="I3654" s="126" t="s">
        <v>8083</v>
      </c>
      <c r="J3654" s="175" t="s">
        <v>8084</v>
      </c>
      <c r="K3654" s="171" t="s">
        <v>8085</v>
      </c>
      <c r="L3654" s="62">
        <v>23713888</v>
      </c>
      <c r="M3654" s="30">
        <v>5215613841177</v>
      </c>
      <c r="N3654" s="171" t="s">
        <v>37</v>
      </c>
      <c r="O3654" s="50">
        <v>8562.7999999999993</v>
      </c>
      <c r="P3654" s="97">
        <v>2568.84</v>
      </c>
      <c r="Q3654" s="42">
        <f>OfficeForms.Table[[#This Row],[ INFORMEDEPAGO ]]*0.3</f>
        <v>2568.8399999999997</v>
      </c>
      <c r="R3654" s="12">
        <f t="shared" si="199"/>
        <v>0</v>
      </c>
      <c r="S3654" s="78">
        <v>46966</v>
      </c>
      <c r="T3654" s="1"/>
      <c r="V3654" s="1"/>
      <c r="X3654" s="101">
        <v>2</v>
      </c>
    </row>
    <row r="3655" spans="1:24" hidden="1">
      <c r="A3655">
        <v>2078</v>
      </c>
      <c r="B3655" s="2">
        <v>46252.4452199074</v>
      </c>
      <c r="C3655" s="2">
        <v>46252.448923611097</v>
      </c>
      <c r="D3655" s="1" t="s">
        <v>24</v>
      </c>
      <c r="E3655" s="1"/>
      <c r="F3655" s="29">
        <v>46252</v>
      </c>
      <c r="G3655" s="29">
        <v>46252</v>
      </c>
      <c r="H3655" s="1" t="s">
        <v>78</v>
      </c>
      <c r="I3655" s="126" t="s">
        <v>8086</v>
      </c>
      <c r="J3655" s="175">
        <v>92886204921</v>
      </c>
      <c r="K3655" s="171" t="s">
        <v>8087</v>
      </c>
      <c r="L3655" s="62">
        <v>23714052</v>
      </c>
      <c r="M3655" s="30">
        <v>5215583495383</v>
      </c>
      <c r="N3655" s="171" t="s">
        <v>28</v>
      </c>
      <c r="O3655" s="50">
        <f>12950.67+879</f>
        <v>13829.67</v>
      </c>
      <c r="P3655" s="97">
        <v>879</v>
      </c>
      <c r="Q3655" s="42">
        <f>OfficeForms.Table[[#This Row],[ INFORMEDEPAGO ]]*0.3</f>
        <v>4148.9009999999998</v>
      </c>
      <c r="R3655" s="12">
        <f t="shared" ref="R3655" si="200">(IF(O3655&lt;4172.98,0,MIN(O3655*0.3,O3655-4172.98)))-P3655</f>
        <v>3269.9009999999998</v>
      </c>
      <c r="S3655" s="78"/>
      <c r="T3655" s="1"/>
      <c r="V3655" s="1"/>
      <c r="X3655" s="101">
        <v>1</v>
      </c>
    </row>
    <row r="3656" spans="1:24" hidden="1">
      <c r="A3656">
        <v>2079</v>
      </c>
      <c r="B3656" s="2">
        <v>46252.41</v>
      </c>
      <c r="C3656" s="2">
        <v>46252.4528587963</v>
      </c>
      <c r="D3656" s="1" t="s">
        <v>24</v>
      </c>
      <c r="E3656" s="1"/>
      <c r="F3656" s="29">
        <v>46252</v>
      </c>
      <c r="G3656" s="29">
        <v>46251</v>
      </c>
      <c r="H3656" s="1" t="s">
        <v>71</v>
      </c>
      <c r="I3656" s="126" t="s">
        <v>8088</v>
      </c>
      <c r="J3656" s="207" t="s">
        <v>8089</v>
      </c>
      <c r="K3656" s="171" t="s">
        <v>8090</v>
      </c>
      <c r="L3656" s="62">
        <v>23703120</v>
      </c>
      <c r="M3656" s="30">
        <v>5218661398219</v>
      </c>
      <c r="N3656" s="171" t="s">
        <v>32</v>
      </c>
      <c r="O3656" s="50">
        <v>3485.91</v>
      </c>
      <c r="P3656" s="97"/>
      <c r="Q3656" s="42">
        <f>OfficeForms.Table[[#This Row],[ INFORMEDEPAGO ]]*0.3</f>
        <v>1045.7729999999999</v>
      </c>
      <c r="R3656" s="12">
        <f t="shared" ref="R3656:R3657" si="201">(IF(O3656&lt;4172.98,0,MIN(O3656*0.3,O3656-4172.98)))-P3656</f>
        <v>0</v>
      </c>
      <c r="S3656" s="78"/>
      <c r="T3656" s="1"/>
      <c r="V3656" s="1"/>
      <c r="X3656" s="101">
        <v>1</v>
      </c>
    </row>
    <row r="3657" spans="1:24" hidden="1">
      <c r="A3657">
        <v>2080</v>
      </c>
      <c r="B3657" s="2">
        <v>46252.444155092599</v>
      </c>
      <c r="C3657" s="2">
        <v>46252.453715277799</v>
      </c>
      <c r="D3657" s="1" t="s">
        <v>24</v>
      </c>
      <c r="E3657" s="1"/>
      <c r="F3657" s="29">
        <v>46252</v>
      </c>
      <c r="G3657" s="29">
        <v>46252</v>
      </c>
      <c r="H3657" s="1" t="s">
        <v>51</v>
      </c>
      <c r="I3657" s="126" t="s">
        <v>8091</v>
      </c>
      <c r="J3657" s="207" t="s">
        <v>8092</v>
      </c>
      <c r="K3657" s="171" t="s">
        <v>8093</v>
      </c>
      <c r="L3657" s="62">
        <v>23726616</v>
      </c>
      <c r="M3657" s="30">
        <v>5216621283762</v>
      </c>
      <c r="N3657" s="171" t="s">
        <v>37</v>
      </c>
      <c r="O3657" s="50">
        <v>10351.23</v>
      </c>
      <c r="P3657" s="97">
        <v>2870.74</v>
      </c>
      <c r="Q3657" s="42">
        <f>OfficeForms.Table[[#This Row],[ INFORMEDEPAGO ]]*0.3</f>
        <v>3105.3689999999997</v>
      </c>
      <c r="R3657" s="12">
        <f t="shared" si="201"/>
        <v>234.62899999999991</v>
      </c>
      <c r="S3657" s="78">
        <v>46266</v>
      </c>
      <c r="T3657" s="1"/>
      <c r="V3657" s="1"/>
      <c r="X3657" s="101">
        <v>2</v>
      </c>
    </row>
    <row r="3658" spans="1:24" hidden="1">
      <c r="A3658">
        <v>2081</v>
      </c>
      <c r="B3658" s="2">
        <v>46252.459062499998</v>
      </c>
      <c r="C3658" s="2">
        <v>46252.4607986111</v>
      </c>
      <c r="D3658" s="1" t="s">
        <v>24</v>
      </c>
      <c r="E3658" s="1"/>
      <c r="F3658" s="29">
        <v>46252</v>
      </c>
      <c r="G3658" s="29">
        <v>46252</v>
      </c>
      <c r="H3658" s="1" t="s">
        <v>1625</v>
      </c>
      <c r="I3658" s="126" t="s">
        <v>8094</v>
      </c>
      <c r="J3658" s="207">
        <v>43806450821</v>
      </c>
      <c r="K3658" s="171" t="s">
        <v>8095</v>
      </c>
      <c r="L3658" s="62">
        <v>2</v>
      </c>
      <c r="M3658" s="30">
        <v>18110595393</v>
      </c>
      <c r="N3658" s="171" t="s">
        <v>37</v>
      </c>
      <c r="O3658" s="50">
        <v>9081.52</v>
      </c>
      <c r="P3658" s="97">
        <v>2694.4</v>
      </c>
      <c r="Q3658" s="42">
        <f>OfficeForms.Table[[#This Row],[ INFORMEDEPAGO ]]*0.3</f>
        <v>2724.4560000000001</v>
      </c>
      <c r="R3658" s="12">
        <f t="shared" ref="R3658" si="202">(IF(O3658&lt;4172.98,0,MIN(O3658*0.3,O3658-4172.98)))-P3658</f>
        <v>30.05600000000004</v>
      </c>
      <c r="S3658" s="78">
        <v>46935</v>
      </c>
      <c r="T3658" s="1"/>
      <c r="V3658" s="1"/>
      <c r="X3658" s="101">
        <v>2</v>
      </c>
    </row>
    <row r="3659" spans="1:24" hidden="1">
      <c r="A3659">
        <v>2082</v>
      </c>
      <c r="B3659" s="2">
        <v>46252.4699652778</v>
      </c>
      <c r="C3659" s="2">
        <v>46252.476736111101</v>
      </c>
      <c r="D3659" s="1" t="s">
        <v>24</v>
      </c>
      <c r="E3659" s="1"/>
      <c r="F3659" s="29">
        <v>46252</v>
      </c>
      <c r="G3659" s="29">
        <v>46252</v>
      </c>
      <c r="H3659" s="1" t="s">
        <v>78</v>
      </c>
      <c r="I3659" s="126" t="s">
        <v>8096</v>
      </c>
      <c r="J3659" s="207">
        <v>42927324329</v>
      </c>
      <c r="K3659" s="171" t="s">
        <v>8097</v>
      </c>
      <c r="L3659" s="62">
        <v>23722742</v>
      </c>
      <c r="M3659" s="30">
        <v>5215560834381</v>
      </c>
      <c r="N3659" s="171" t="s">
        <v>37</v>
      </c>
      <c r="O3659" s="50">
        <v>13471.3</v>
      </c>
      <c r="P3659" s="97">
        <v>4040.39</v>
      </c>
      <c r="Q3659" s="42">
        <f>OfficeForms.Table[[#This Row],[ INFORMEDEPAGO ]]*0.3</f>
        <v>4041.3899999999994</v>
      </c>
      <c r="R3659" s="12">
        <f t="shared" ref="R3659:R3660" si="203">(IF(O3659&lt;4172.98,0,MIN(O3659*0.3,O3659-4172.98)))-P3659</f>
        <v>0.99999999999954525</v>
      </c>
      <c r="S3659" s="78">
        <v>46296</v>
      </c>
      <c r="T3659" s="1"/>
      <c r="V3659" s="1"/>
      <c r="X3659" s="101">
        <v>2</v>
      </c>
    </row>
    <row r="3660" spans="1:24" hidden="1">
      <c r="A3660">
        <v>2083</v>
      </c>
      <c r="B3660" s="2">
        <v>46252.475532407399</v>
      </c>
      <c r="C3660" s="2">
        <v>46252.4772337963</v>
      </c>
      <c r="D3660" s="1" t="s">
        <v>24</v>
      </c>
      <c r="E3660" s="1"/>
      <c r="F3660" s="29">
        <v>46252</v>
      </c>
      <c r="G3660" s="29">
        <v>46252</v>
      </c>
      <c r="H3660" s="1" t="s">
        <v>1625</v>
      </c>
      <c r="I3660" s="126" t="s">
        <v>8098</v>
      </c>
      <c r="J3660" s="207">
        <v>32926075550</v>
      </c>
      <c r="K3660" s="171" t="s">
        <v>8099</v>
      </c>
      <c r="L3660" s="62">
        <v>2</v>
      </c>
      <c r="M3660" s="30">
        <v>18442598307</v>
      </c>
      <c r="N3660" s="171" t="s">
        <v>32</v>
      </c>
      <c r="O3660" s="50">
        <v>2706.38</v>
      </c>
      <c r="P3660" s="97"/>
      <c r="Q3660" s="42">
        <f>OfficeForms.Table[[#This Row],[ INFORMEDEPAGO ]]*0.3</f>
        <v>811.91399999999999</v>
      </c>
      <c r="R3660" s="12">
        <f t="shared" si="203"/>
        <v>0</v>
      </c>
      <c r="S3660" s="78"/>
      <c r="T3660" s="1"/>
      <c r="V3660" s="1"/>
      <c r="X3660" s="101">
        <v>1</v>
      </c>
    </row>
    <row r="3661" spans="1:24" hidden="1">
      <c r="A3661">
        <v>2084</v>
      </c>
      <c r="B3661" s="2">
        <v>46252.453738425902</v>
      </c>
      <c r="C3661" s="2">
        <v>46252.495428240698</v>
      </c>
      <c r="D3661" s="1" t="s">
        <v>24</v>
      </c>
      <c r="E3661" s="1"/>
      <c r="F3661" s="29">
        <v>46252</v>
      </c>
      <c r="G3661" s="29">
        <v>46252</v>
      </c>
      <c r="H3661" s="1" t="s">
        <v>51</v>
      </c>
      <c r="I3661" s="126" t="s">
        <v>8100</v>
      </c>
      <c r="J3661" s="207" t="s">
        <v>8101</v>
      </c>
      <c r="K3661" s="171" t="s">
        <v>8102</v>
      </c>
      <c r="L3661" s="62">
        <v>23716974</v>
      </c>
      <c r="M3661" s="30">
        <v>5213318779660</v>
      </c>
      <c r="N3661" s="171" t="s">
        <v>74</v>
      </c>
      <c r="O3661" s="50"/>
      <c r="P3661" s="97"/>
      <c r="Q3661" s="42">
        <f>OfficeForms.Table[[#This Row],[ INFORMEDEPAGO ]]*0.3</f>
        <v>0</v>
      </c>
      <c r="R3661" s="12">
        <f>(IF(O3661&lt;4172.98,0,MIN(O3661*0.3,O3661-4172.98)))-P3661</f>
        <v>0</v>
      </c>
      <c r="S3661" s="78"/>
      <c r="T3661" s="1"/>
      <c r="V3661" s="1"/>
      <c r="X3661" s="101">
        <v>1</v>
      </c>
    </row>
    <row r="3662" spans="1:24" hidden="1">
      <c r="A3662">
        <v>2085</v>
      </c>
      <c r="B3662" s="2">
        <v>46252.426099536999</v>
      </c>
      <c r="C3662" s="2">
        <v>46252.500648148103</v>
      </c>
      <c r="D3662" s="1" t="s">
        <v>24</v>
      </c>
      <c r="E3662" s="1"/>
      <c r="F3662" s="29">
        <v>46252</v>
      </c>
      <c r="G3662" s="29">
        <v>46252</v>
      </c>
      <c r="H3662" s="1" t="s">
        <v>1629</v>
      </c>
      <c r="I3662" s="126" t="s">
        <v>8103</v>
      </c>
      <c r="J3662" s="207" t="s">
        <v>8104</v>
      </c>
      <c r="K3662" s="171" t="s">
        <v>8105</v>
      </c>
      <c r="L3662" s="62">
        <v>2</v>
      </c>
      <c r="M3662" s="30" t="s">
        <v>8106</v>
      </c>
      <c r="N3662" s="171" t="s">
        <v>37</v>
      </c>
      <c r="O3662" s="43">
        <v>25371.43</v>
      </c>
      <c r="P3662" s="43">
        <v>7340.55</v>
      </c>
      <c r="Q3662" s="42">
        <f>OfficeForms.Table[[#This Row],[ INFORMEDEPAGO ]]*0.3</f>
        <v>7611.4290000000001</v>
      </c>
      <c r="R3662" s="12">
        <f t="shared" ref="R3662:R3663" si="204">(IF(O3662&lt;4172.98,0,MIN(O3662*0.3,O3662-4172.98)))-P3662</f>
        <v>270.87899999999991</v>
      </c>
      <c r="S3662" s="78">
        <v>46357</v>
      </c>
      <c r="T3662" s="1"/>
      <c r="V3662" s="1"/>
      <c r="X3662" s="101">
        <v>2</v>
      </c>
    </row>
    <row r="3663" spans="1:24" hidden="1">
      <c r="A3663">
        <v>2086</v>
      </c>
      <c r="B3663" s="2">
        <v>46252.494652777801</v>
      </c>
      <c r="C3663" s="2">
        <v>46252.501180555599</v>
      </c>
      <c r="D3663" s="1" t="s">
        <v>24</v>
      </c>
      <c r="E3663" s="1"/>
      <c r="F3663" s="29">
        <v>46252</v>
      </c>
      <c r="G3663" s="29">
        <v>46252</v>
      </c>
      <c r="H3663" s="1" t="s">
        <v>78</v>
      </c>
      <c r="I3663" s="126" t="s">
        <v>8107</v>
      </c>
      <c r="J3663" s="207">
        <v>43805831803</v>
      </c>
      <c r="K3663" s="171" t="s">
        <v>8108</v>
      </c>
      <c r="L3663" s="62">
        <v>23714976</v>
      </c>
      <c r="M3663" s="30">
        <v>5218448841093</v>
      </c>
      <c r="N3663" s="171" t="s">
        <v>28</v>
      </c>
      <c r="O3663" s="50">
        <v>31516.93</v>
      </c>
      <c r="P3663" s="97"/>
      <c r="Q3663" s="42">
        <f>OfficeForms.Table[[#This Row],[ INFORMEDEPAGO ]]*0.3</f>
        <v>9455.0789999999997</v>
      </c>
      <c r="R3663" s="12">
        <f t="shared" si="204"/>
        <v>9455.0789999999997</v>
      </c>
      <c r="S3663" s="78"/>
      <c r="T3663" s="1"/>
      <c r="V3663" s="1"/>
      <c r="X3663" s="101">
        <v>1</v>
      </c>
    </row>
    <row r="3664" spans="1:24" hidden="1">
      <c r="A3664">
        <v>2087</v>
      </c>
      <c r="B3664" s="2">
        <v>46252.500208333302</v>
      </c>
      <c r="C3664" s="2">
        <v>46252.504062499997</v>
      </c>
      <c r="D3664" s="1" t="s">
        <v>24</v>
      </c>
      <c r="E3664" s="1"/>
      <c r="F3664" s="29">
        <v>46252</v>
      </c>
      <c r="G3664" s="29">
        <v>46251</v>
      </c>
      <c r="H3664" s="1" t="s">
        <v>78</v>
      </c>
      <c r="I3664" s="126" t="s">
        <v>8109</v>
      </c>
      <c r="J3664" s="207">
        <v>32816483039</v>
      </c>
      <c r="K3664" s="171" t="s">
        <v>8110</v>
      </c>
      <c r="L3664" s="62">
        <v>23710586</v>
      </c>
      <c r="M3664" s="30">
        <v>5218662344094</v>
      </c>
      <c r="N3664" s="171" t="s">
        <v>37</v>
      </c>
      <c r="O3664" s="52">
        <v>11029.03</v>
      </c>
      <c r="P3664" s="52">
        <v>3305.46</v>
      </c>
      <c r="Q3664" s="42">
        <f>OfficeForms.Table[[#This Row],[ INFORMEDEPAGO ]]*0.3</f>
        <v>3308.7090000000003</v>
      </c>
      <c r="R3664" s="12">
        <f>(IF(O3664&lt;4172.98,0,MIN(O3664*0.3,O3664-4172.98)))-P3664</f>
        <v>3.249000000000251</v>
      </c>
      <c r="S3664" s="78">
        <v>46905</v>
      </c>
      <c r="T3664" s="1"/>
      <c r="V3664" s="1"/>
      <c r="X3664" s="101">
        <v>2</v>
      </c>
    </row>
    <row r="3665" spans="1:24" hidden="1">
      <c r="A3665">
        <v>2088</v>
      </c>
      <c r="B3665" s="2">
        <v>46252.430659722202</v>
      </c>
      <c r="C3665" s="2">
        <v>46252.5061921296</v>
      </c>
      <c r="D3665" s="1" t="s">
        <v>24</v>
      </c>
      <c r="E3665" s="1"/>
      <c r="F3665" s="29">
        <v>46252</v>
      </c>
      <c r="G3665" s="29">
        <v>46252</v>
      </c>
      <c r="H3665" s="1" t="s">
        <v>1625</v>
      </c>
      <c r="I3665" s="126" t="s">
        <v>8111</v>
      </c>
      <c r="J3665" s="207"/>
      <c r="K3665" s="171" t="s">
        <v>8112</v>
      </c>
      <c r="L3665" s="62">
        <v>2</v>
      </c>
      <c r="M3665" s="30" t="s">
        <v>8009</v>
      </c>
      <c r="N3665" s="171" t="s">
        <v>98</v>
      </c>
      <c r="O3665" s="50"/>
      <c r="P3665" s="97"/>
      <c r="Q3665" s="42">
        <f>OfficeForms.Table[[#This Row],[ INFORMEDEPAGO ]]*0.3</f>
        <v>0</v>
      </c>
      <c r="R3665" s="12">
        <f>(IF(O3665&lt;4172.98,0,MIN(O3665*0.3,O3665-4172.98)))-P3665</f>
        <v>0</v>
      </c>
      <c r="S3665" s="78"/>
      <c r="T3665" s="1"/>
      <c r="V3665" s="1"/>
      <c r="X3665" s="101">
        <v>0</v>
      </c>
    </row>
    <row r="3666" spans="1:24" hidden="1">
      <c r="A3666">
        <v>2089</v>
      </c>
      <c r="B3666" s="2">
        <v>46252.507615740702</v>
      </c>
      <c r="C3666" s="2">
        <v>46252.508159722202</v>
      </c>
      <c r="D3666" s="1" t="s">
        <v>24</v>
      </c>
      <c r="E3666" s="1"/>
      <c r="F3666" s="29">
        <v>46252</v>
      </c>
      <c r="G3666" s="29">
        <v>46251</v>
      </c>
      <c r="H3666" s="1" t="s">
        <v>269</v>
      </c>
      <c r="I3666" s="126" t="s">
        <v>8113</v>
      </c>
      <c r="J3666" s="207"/>
      <c r="K3666" s="171" t="s">
        <v>8114</v>
      </c>
      <c r="L3666" s="62">
        <v>23696858</v>
      </c>
      <c r="M3666" s="30">
        <v>5213541283464</v>
      </c>
      <c r="N3666" s="171" t="s">
        <v>32</v>
      </c>
      <c r="O3666" s="50">
        <v>3855.42</v>
      </c>
      <c r="P3666" s="97"/>
      <c r="Q3666" s="42">
        <f>OfficeForms.Table[[#This Row],[ INFORMEDEPAGO ]]*0.3</f>
        <v>1156.626</v>
      </c>
      <c r="R3666" s="12">
        <f>(IF(O3666&lt;4172.98,0,MIN(O3666*0.3,O3666-4172.98)))-P3666</f>
        <v>0</v>
      </c>
      <c r="S3666" s="78"/>
      <c r="T3666" s="1"/>
      <c r="V3666" s="1"/>
      <c r="X3666" s="101">
        <v>1</v>
      </c>
    </row>
    <row r="3667" spans="1:24" hidden="1">
      <c r="A3667">
        <v>2090</v>
      </c>
      <c r="B3667" s="2">
        <v>46252.495451388902</v>
      </c>
      <c r="C3667" s="2">
        <v>46252.516944444404</v>
      </c>
      <c r="D3667" s="1" t="s">
        <v>24</v>
      </c>
      <c r="E3667" s="1"/>
      <c r="F3667" s="29">
        <v>46252</v>
      </c>
      <c r="G3667" s="29">
        <v>46252</v>
      </c>
      <c r="H3667" s="1" t="s">
        <v>51</v>
      </c>
      <c r="I3667" s="126" t="s">
        <v>8115</v>
      </c>
      <c r="J3667" s="207">
        <v>78785507159</v>
      </c>
      <c r="K3667" s="171" t="s">
        <v>8116</v>
      </c>
      <c r="L3667" s="62">
        <v>23729052</v>
      </c>
      <c r="M3667" s="30">
        <v>5219513157195</v>
      </c>
      <c r="N3667" s="171" t="s">
        <v>32</v>
      </c>
      <c r="O3667" s="50">
        <v>3959.6</v>
      </c>
      <c r="P3667" s="97"/>
      <c r="Q3667" s="42">
        <f>OfficeForms.Table[[#This Row],[ INFORMEDEPAGO ]]*0.3</f>
        <v>1187.8799999999999</v>
      </c>
      <c r="R3667" s="12">
        <f>(IF(O3667&lt;4172.98,0,MIN(O3667*0.3,O3667-4172.98)))-P3667</f>
        <v>0</v>
      </c>
      <c r="S3667" s="78"/>
      <c r="T3667" s="1"/>
      <c r="V3667" s="1"/>
      <c r="X3667" s="101">
        <v>1</v>
      </c>
    </row>
    <row r="3668" spans="1:24" hidden="1">
      <c r="A3668">
        <v>2091</v>
      </c>
      <c r="B3668" s="2">
        <v>46252.520231481503</v>
      </c>
      <c r="C3668" s="2">
        <v>46252.521215277797</v>
      </c>
      <c r="D3668" s="1" t="s">
        <v>24</v>
      </c>
      <c r="E3668" s="1"/>
      <c r="F3668" s="29">
        <v>46252</v>
      </c>
      <c r="G3668" s="29">
        <v>46252</v>
      </c>
      <c r="H3668" s="1" t="s">
        <v>1625</v>
      </c>
      <c r="I3668" s="126" t="s">
        <v>8117</v>
      </c>
      <c r="J3668" s="207" t="s">
        <v>8118</v>
      </c>
      <c r="K3668" s="171" t="s">
        <v>8119</v>
      </c>
      <c r="L3668" s="62">
        <v>2</v>
      </c>
      <c r="M3668" s="30">
        <v>544796344528</v>
      </c>
      <c r="N3668" s="171" t="s">
        <v>37</v>
      </c>
      <c r="O3668" s="52">
        <v>7920.51</v>
      </c>
      <c r="P3668" s="52">
        <v>2375.0700000000002</v>
      </c>
      <c r="Q3668" s="42">
        <f>OfficeForms.Table[[#This Row],[ INFORMEDEPAGO ]]*0.3</f>
        <v>2376.1529999999998</v>
      </c>
      <c r="R3668" s="12">
        <f>(IF(O3668&lt;4172.98,0,MIN(O3668*0.3,O3668-4172.98)))-P3668</f>
        <v>1.0829999999996289</v>
      </c>
      <c r="S3668" s="78">
        <v>46508</v>
      </c>
      <c r="T3668" s="1" t="s">
        <v>178</v>
      </c>
      <c r="V3668" s="1"/>
      <c r="X3668" s="101">
        <v>2</v>
      </c>
    </row>
    <row r="3669" spans="1:24" hidden="1">
      <c r="A3669">
        <v>2092</v>
      </c>
      <c r="B3669" s="2">
        <v>46252.533460648097</v>
      </c>
      <c r="C3669" s="2">
        <v>46252.536550925899</v>
      </c>
      <c r="D3669" s="1" t="s">
        <v>24</v>
      </c>
      <c r="E3669" s="1"/>
      <c r="F3669" s="29">
        <v>46252</v>
      </c>
      <c r="G3669" s="29">
        <v>46252</v>
      </c>
      <c r="H3669" s="1" t="s">
        <v>78</v>
      </c>
      <c r="I3669" s="126" t="s">
        <v>8120</v>
      </c>
      <c r="J3669" s="207"/>
      <c r="K3669" s="171" t="s">
        <v>8121</v>
      </c>
      <c r="L3669" s="62">
        <v>23727956</v>
      </c>
      <c r="M3669" s="30">
        <v>5215523247999</v>
      </c>
      <c r="N3669" s="171" t="s">
        <v>263</v>
      </c>
      <c r="O3669" s="52">
        <v>5041.03</v>
      </c>
      <c r="P3669" s="52">
        <v>654.16999999999996</v>
      </c>
      <c r="Q3669" s="42">
        <f>OfficeForms.Table[[#This Row],[ INFORMEDEPAGO ]]*0.3</f>
        <v>1512.309</v>
      </c>
      <c r="R3669" s="12">
        <f t="shared" ref="R3669:R3671" si="205">(IF(O3669&lt;4172.98,0,MIN(O3669*0.3,O3669-4172.98)))-P3669</f>
        <v>213.88000000000022</v>
      </c>
      <c r="S3669" s="78">
        <v>45292</v>
      </c>
      <c r="T3669" s="1" t="s">
        <v>192</v>
      </c>
      <c r="V3669" s="1"/>
      <c r="X3669" s="101">
        <v>2</v>
      </c>
    </row>
    <row r="3670" spans="1:24" hidden="1">
      <c r="A3670">
        <v>2093</v>
      </c>
      <c r="B3670" s="2">
        <v>46252.538854166698</v>
      </c>
      <c r="C3670" s="2">
        <v>46252.539212962998</v>
      </c>
      <c r="D3670" s="1" t="s">
        <v>24</v>
      </c>
      <c r="E3670" s="1"/>
      <c r="F3670" s="29">
        <v>46252</v>
      </c>
      <c r="G3670" s="29">
        <v>46252</v>
      </c>
      <c r="H3670" s="1" t="s">
        <v>1625</v>
      </c>
      <c r="I3670" s="126" t="s">
        <v>8122</v>
      </c>
      <c r="J3670" s="207">
        <v>32826475967</v>
      </c>
      <c r="K3670" s="171" t="s">
        <v>7039</v>
      </c>
      <c r="L3670" s="62">
        <v>2</v>
      </c>
      <c r="M3670" s="30">
        <v>18445299531</v>
      </c>
      <c r="N3670" s="172" t="s">
        <v>37</v>
      </c>
      <c r="O3670" s="91">
        <v>9081.52</v>
      </c>
      <c r="P3670" s="91">
        <v>2626.52</v>
      </c>
      <c r="Q3670" s="42">
        <f>OfficeForms.Table[[#This Row],[ INFORMEDEPAGO ]]*0.3</f>
        <v>2724.4560000000001</v>
      </c>
      <c r="R3670" s="12">
        <f t="shared" si="205"/>
        <v>97.936000000000149</v>
      </c>
      <c r="S3670" s="78">
        <v>46419</v>
      </c>
      <c r="T3670" s="1"/>
      <c r="V3670" s="1"/>
      <c r="X3670" s="101">
        <v>2</v>
      </c>
    </row>
    <row r="3671" spans="1:24" hidden="1">
      <c r="A3671">
        <v>2094</v>
      </c>
      <c r="B3671" s="2">
        <v>46252.539236111101</v>
      </c>
      <c r="C3671" s="2">
        <v>46252.5407291667</v>
      </c>
      <c r="D3671" s="1" t="s">
        <v>24</v>
      </c>
      <c r="E3671" s="1"/>
      <c r="F3671" s="29">
        <v>46252</v>
      </c>
      <c r="G3671" s="29">
        <v>46252</v>
      </c>
      <c r="H3671" s="1" t="s">
        <v>1625</v>
      </c>
      <c r="I3671" s="126" t="s">
        <v>8123</v>
      </c>
      <c r="J3671" s="207" t="s">
        <v>8124</v>
      </c>
      <c r="K3671" s="171" t="s">
        <v>8125</v>
      </c>
      <c r="L3671" s="62">
        <v>2</v>
      </c>
      <c r="M3671" s="30">
        <v>15559648509</v>
      </c>
      <c r="N3671" s="171" t="s">
        <v>37</v>
      </c>
      <c r="O3671" s="67">
        <v>11407.83</v>
      </c>
      <c r="P3671" s="99">
        <v>3422.35</v>
      </c>
      <c r="Q3671" s="42">
        <f>OfficeForms.Table[[#This Row],[ INFORMEDEPAGO ]]*0.3</f>
        <v>3422.3489999999997</v>
      </c>
      <c r="R3671" s="12">
        <f t="shared" si="205"/>
        <v>-1.0000000002037268E-3</v>
      </c>
      <c r="S3671" s="78">
        <v>46508</v>
      </c>
      <c r="T3671" s="1"/>
      <c r="V3671" s="1"/>
      <c r="X3671" s="101">
        <v>2</v>
      </c>
    </row>
    <row r="3672" spans="1:24" hidden="1">
      <c r="A3672">
        <v>2095</v>
      </c>
      <c r="B3672" s="2">
        <v>46252.565451388902</v>
      </c>
      <c r="C3672" s="2">
        <v>46252.566273148099</v>
      </c>
      <c r="D3672" s="1" t="s">
        <v>24</v>
      </c>
      <c r="E3672" s="1"/>
      <c r="F3672" s="29">
        <v>46252</v>
      </c>
      <c r="G3672" s="29">
        <v>46252</v>
      </c>
      <c r="H3672" s="1" t="s">
        <v>1629</v>
      </c>
      <c r="I3672" s="126" t="s">
        <v>8126</v>
      </c>
      <c r="J3672" s="207">
        <v>49885605102</v>
      </c>
      <c r="K3672" s="171" t="s">
        <v>8127</v>
      </c>
      <c r="L3672" s="62">
        <v>2</v>
      </c>
      <c r="M3672" s="30">
        <v>8332831139</v>
      </c>
      <c r="N3672" s="171" t="s">
        <v>37</v>
      </c>
      <c r="O3672" s="43">
        <v>10553.58</v>
      </c>
      <c r="P3672" s="43">
        <v>3053.41</v>
      </c>
      <c r="Q3672" s="42">
        <f>OfficeForms.Table[[#This Row],[ INFORMEDEPAGO ]]*0.3</f>
        <v>3166.0740000000001</v>
      </c>
      <c r="R3672" s="12">
        <f>(IF(O3672&lt;4172.98,0,MIN(O3672*0.3,O3672-4172.98)))-P3672</f>
        <v>112.66400000000021</v>
      </c>
      <c r="S3672" s="78">
        <v>46357</v>
      </c>
      <c r="T3672" s="1"/>
      <c r="V3672" s="1"/>
      <c r="X3672" s="101">
        <v>2</v>
      </c>
    </row>
    <row r="3673" spans="1:24" hidden="1">
      <c r="A3673">
        <v>2096</v>
      </c>
      <c r="B3673" s="2">
        <v>46252.568391203698</v>
      </c>
      <c r="C3673" s="2">
        <v>46252.5694097222</v>
      </c>
      <c r="D3673" s="1" t="s">
        <v>24</v>
      </c>
      <c r="E3673" s="1"/>
      <c r="F3673" s="29">
        <v>46252</v>
      </c>
      <c r="G3673" s="29">
        <v>46252</v>
      </c>
      <c r="H3673" s="1" t="s">
        <v>2908</v>
      </c>
      <c r="I3673" s="126" t="s">
        <v>8128</v>
      </c>
      <c r="J3673" s="207" t="s">
        <v>8129</v>
      </c>
      <c r="K3673" s="171" t="s">
        <v>8130</v>
      </c>
      <c r="L3673" s="62">
        <v>2</v>
      </c>
      <c r="M3673" s="30">
        <v>3330360282</v>
      </c>
      <c r="N3673" s="171" t="s">
        <v>37</v>
      </c>
      <c r="O3673" s="43">
        <v>9081.52</v>
      </c>
      <c r="P3673" s="43">
        <v>2723.43</v>
      </c>
      <c r="Q3673" s="42">
        <f>OfficeForms.Table[[#This Row],[ INFORMEDEPAGO ]]*0.3</f>
        <v>2724.4560000000001</v>
      </c>
      <c r="R3673" s="12">
        <f>(IF(O3673&lt;4172.98,0,MIN(O3673*0.3,O3673-4172.98)))-P3673</f>
        <v>1.0260000000002947</v>
      </c>
      <c r="S3673" s="78">
        <v>46813</v>
      </c>
      <c r="T3673" s="1"/>
      <c r="V3673" s="1"/>
      <c r="X3673" s="101">
        <v>2</v>
      </c>
    </row>
    <row r="3674" spans="1:24" hidden="1">
      <c r="A3674">
        <v>2097</v>
      </c>
      <c r="B3674" s="2">
        <v>46252.573414351798</v>
      </c>
      <c r="C3674" s="2">
        <v>46252.574340277803</v>
      </c>
      <c r="D3674" s="1" t="s">
        <v>24</v>
      </c>
      <c r="E3674" s="1"/>
      <c r="F3674" s="29">
        <v>46252</v>
      </c>
      <c r="G3674" s="29">
        <v>46250</v>
      </c>
      <c r="H3674" s="1" t="s">
        <v>7742</v>
      </c>
      <c r="I3674" s="126" t="s">
        <v>8131</v>
      </c>
      <c r="J3674" s="207"/>
      <c r="K3674" s="171" t="s">
        <v>8132</v>
      </c>
      <c r="L3674" s="62">
        <v>23701730</v>
      </c>
      <c r="M3674" s="30">
        <v>5523252095</v>
      </c>
      <c r="N3674" s="171" t="s">
        <v>74</v>
      </c>
      <c r="O3674" s="50"/>
      <c r="P3674" s="97"/>
      <c r="Q3674" s="42">
        <f>OfficeForms.Table[[#This Row],[ INFORMEDEPAGO ]]*0.3</f>
        <v>0</v>
      </c>
      <c r="R3674" s="12">
        <f>(IF(O3674&lt;4172.98,0,MIN(O3674*0.3,O3674-4172.98)))-P3674</f>
        <v>0</v>
      </c>
      <c r="S3674" s="78"/>
      <c r="T3674" s="1"/>
      <c r="V3674" s="1"/>
      <c r="X3674" s="101">
        <v>1</v>
      </c>
    </row>
    <row r="3675" spans="1:24" hidden="1">
      <c r="A3675">
        <v>2098</v>
      </c>
      <c r="B3675" s="2">
        <v>46252.574155092603</v>
      </c>
      <c r="C3675" s="2">
        <v>46252.575023148202</v>
      </c>
      <c r="D3675" s="1" t="s">
        <v>24</v>
      </c>
      <c r="E3675" s="1"/>
      <c r="F3675" s="29">
        <v>46252</v>
      </c>
      <c r="G3675" s="29">
        <v>46252</v>
      </c>
      <c r="H3675" s="1" t="s">
        <v>26</v>
      </c>
      <c r="I3675" s="126" t="s">
        <v>8133</v>
      </c>
      <c r="J3675" s="207">
        <v>34937702032</v>
      </c>
      <c r="K3675" s="171"/>
      <c r="L3675" s="62">
        <v>23731480</v>
      </c>
      <c r="M3675" s="30">
        <v>5214924278340</v>
      </c>
      <c r="N3675" s="171" t="s">
        <v>37</v>
      </c>
      <c r="O3675" s="43">
        <v>16382.7</v>
      </c>
      <c r="P3675" s="43">
        <v>4737.26</v>
      </c>
      <c r="Q3675" s="42">
        <f>OfficeForms.Table[[#This Row],[ INFORMEDEPAGO ]]*0.3</f>
        <v>4914.8100000000004</v>
      </c>
      <c r="R3675" s="12">
        <f>(IF(O3675&lt;4172.98,0,MIN(O3675*0.3,O3675-4172.98)))-P3675</f>
        <v>177.55000000000018</v>
      </c>
      <c r="S3675" s="78">
        <v>46692</v>
      </c>
      <c r="T3675" s="1"/>
      <c r="V3675" s="1"/>
      <c r="X3675" s="101">
        <v>2</v>
      </c>
    </row>
    <row r="3676" spans="1:24" hidden="1">
      <c r="A3676">
        <v>2099</v>
      </c>
      <c r="B3676" s="2">
        <v>46252.538333333301</v>
      </c>
      <c r="C3676" s="2">
        <v>46252.592361111099</v>
      </c>
      <c r="D3676" s="1" t="s">
        <v>24</v>
      </c>
      <c r="E3676" s="1"/>
      <c r="F3676" s="29">
        <v>46252</v>
      </c>
      <c r="G3676" s="29">
        <v>46251</v>
      </c>
      <c r="H3676" s="1" t="s">
        <v>78</v>
      </c>
      <c r="I3676" s="126" t="s">
        <v>8134</v>
      </c>
      <c r="J3676" s="207">
        <v>31947020991</v>
      </c>
      <c r="K3676" s="171" t="s">
        <v>8135</v>
      </c>
      <c r="L3676" s="62">
        <v>23711354</v>
      </c>
      <c r="M3676" s="30">
        <v>5216565533770</v>
      </c>
      <c r="N3676" s="171" t="s">
        <v>28</v>
      </c>
      <c r="O3676" s="50">
        <v>8793.09</v>
      </c>
      <c r="P3676" s="97"/>
      <c r="Q3676" s="42">
        <f>OfficeForms.Table[[#This Row],[ INFORMEDEPAGO ]]*0.3</f>
        <v>2637.9270000000001</v>
      </c>
      <c r="R3676" s="12">
        <f>(IF(O3676&lt;4172.98,0,MIN(O3676*0.3,O3676-4172.98)))-P3676</f>
        <v>2637.9270000000001</v>
      </c>
      <c r="S3676" s="78"/>
      <c r="T3676" s="1"/>
      <c r="V3676" s="1"/>
      <c r="X3676" s="101">
        <v>1</v>
      </c>
    </row>
    <row r="3677" spans="1:24" hidden="1">
      <c r="A3677">
        <v>2100</v>
      </c>
      <c r="B3677" s="2">
        <v>46252.5933912037</v>
      </c>
      <c r="C3677" s="2">
        <v>46252.594942129603</v>
      </c>
      <c r="D3677" s="1" t="s">
        <v>24</v>
      </c>
      <c r="E3677" s="1"/>
      <c r="F3677" s="29">
        <v>46252</v>
      </c>
      <c r="G3677" s="29">
        <v>46252</v>
      </c>
      <c r="H3677" s="1" t="s">
        <v>1629</v>
      </c>
      <c r="I3677" s="126" t="s">
        <v>8136</v>
      </c>
      <c r="J3677" s="207" t="s">
        <v>8137</v>
      </c>
      <c r="K3677" s="171" t="s">
        <v>8138</v>
      </c>
      <c r="L3677" s="62">
        <v>2</v>
      </c>
      <c r="M3677" s="30" t="s">
        <v>8139</v>
      </c>
      <c r="N3677" s="171" t="s">
        <v>32</v>
      </c>
      <c r="O3677" s="50">
        <v>4342.43</v>
      </c>
      <c r="P3677" s="97"/>
      <c r="Q3677" s="42">
        <f>OfficeForms.Table[[#This Row],[ INFORMEDEPAGO ]]*0.3</f>
        <v>1302.729</v>
      </c>
      <c r="R3677" s="12">
        <f>(IF(O3677&lt;4172.98,0,MIN(O3677*0.3,O3677-4172.98)))-P3677</f>
        <v>169.45000000000073</v>
      </c>
      <c r="S3677" s="78"/>
      <c r="T3677" s="1"/>
      <c r="V3677" s="1"/>
      <c r="X3677" s="101">
        <v>1</v>
      </c>
    </row>
    <row r="3678" spans="1:24" hidden="1">
      <c r="A3678">
        <v>2101</v>
      </c>
      <c r="B3678" s="2">
        <v>46252.596145833297</v>
      </c>
      <c r="C3678" s="2">
        <v>46252.597175925897</v>
      </c>
      <c r="D3678" s="1" t="s">
        <v>24</v>
      </c>
      <c r="E3678" s="1"/>
      <c r="F3678" s="29">
        <v>46252</v>
      </c>
      <c r="G3678" s="29">
        <v>46252</v>
      </c>
      <c r="H3678" s="1" t="s">
        <v>1625</v>
      </c>
      <c r="I3678" s="126" t="s">
        <v>3668</v>
      </c>
      <c r="J3678" s="207">
        <v>32906476596</v>
      </c>
      <c r="K3678" s="171" t="s">
        <v>3669</v>
      </c>
      <c r="L3678" s="62">
        <v>2</v>
      </c>
      <c r="M3678" s="30">
        <v>18443585167</v>
      </c>
      <c r="N3678" s="171" t="s">
        <v>47</v>
      </c>
      <c r="O3678" s="43">
        <v>10535.19</v>
      </c>
      <c r="P3678" s="43">
        <v>2393.9899999999998</v>
      </c>
      <c r="Q3678" s="42">
        <f>OfficeForms.Table[[#This Row],[ INFORMEDEPAGO ]]*0.3</f>
        <v>3160.5570000000002</v>
      </c>
      <c r="R3678" s="12">
        <f>(IF(O3678&lt;4172.98,0,MIN(O3678*0.3,O3678-4172.98)))-P3678</f>
        <v>766.56700000000046</v>
      </c>
      <c r="S3678" s="78">
        <v>46966</v>
      </c>
      <c r="T3678" s="1"/>
      <c r="V3678" s="1"/>
      <c r="X3678" s="101">
        <v>2</v>
      </c>
    </row>
    <row r="3679" spans="1:24" hidden="1">
      <c r="A3679">
        <v>2102</v>
      </c>
      <c r="B3679" s="2">
        <v>46252.597199074102</v>
      </c>
      <c r="C3679" s="2">
        <v>46252.598877314798</v>
      </c>
      <c r="D3679" s="1" t="s">
        <v>24</v>
      </c>
      <c r="E3679" s="1"/>
      <c r="F3679" s="29">
        <v>46252</v>
      </c>
      <c r="G3679" s="29">
        <v>46252</v>
      </c>
      <c r="H3679" s="1" t="s">
        <v>1625</v>
      </c>
      <c r="I3679" s="126" t="s">
        <v>8140</v>
      </c>
      <c r="J3679" s="207">
        <v>64806002461</v>
      </c>
      <c r="K3679" s="171" t="s">
        <v>8141</v>
      </c>
      <c r="L3679" s="62">
        <v>2</v>
      </c>
      <c r="M3679" s="30">
        <v>5529374325</v>
      </c>
      <c r="N3679" s="171" t="s">
        <v>28</v>
      </c>
      <c r="O3679" s="43">
        <v>13466.29</v>
      </c>
      <c r="P3679" s="43">
        <v>879</v>
      </c>
      <c r="Q3679" s="42">
        <f>OfficeForms.Table[[#This Row],[ INFORMEDEPAGO ]]*0.3</f>
        <v>4039.8870000000002</v>
      </c>
      <c r="R3679" s="12">
        <f>(IF(O3679&lt;4172.98,0,MIN(O3679*0.3,O3679-4172.98)))-P3679</f>
        <v>3160.8870000000002</v>
      </c>
      <c r="S3679" s="78"/>
      <c r="T3679" s="1"/>
      <c r="V3679" s="1"/>
      <c r="X3679" s="101">
        <v>1</v>
      </c>
    </row>
    <row r="3680" spans="1:24" hidden="1">
      <c r="A3680">
        <v>2103</v>
      </c>
      <c r="B3680" s="2">
        <v>46252.5995833333</v>
      </c>
      <c r="C3680" s="2">
        <v>46252.6019212963</v>
      </c>
      <c r="D3680" s="1" t="s">
        <v>24</v>
      </c>
      <c r="E3680" s="1"/>
      <c r="F3680" s="29">
        <v>46252</v>
      </c>
      <c r="G3680" s="29">
        <v>46252</v>
      </c>
      <c r="H3680" s="1" t="s">
        <v>7812</v>
      </c>
      <c r="I3680" s="126" t="s">
        <v>8142</v>
      </c>
      <c r="J3680" s="207"/>
      <c r="K3680" s="171" t="s">
        <v>8143</v>
      </c>
      <c r="L3680" s="62">
        <v>23703414</v>
      </c>
      <c r="M3680" s="30">
        <v>5214612655962</v>
      </c>
      <c r="N3680" s="171" t="s">
        <v>28</v>
      </c>
      <c r="O3680" s="50">
        <v>40155.72</v>
      </c>
      <c r="P3680" s="97"/>
      <c r="Q3680" s="42">
        <f>OfficeForms.Table[[#This Row],[ INFORMEDEPAGO ]]*0.3</f>
        <v>12046.716</v>
      </c>
      <c r="R3680" s="12">
        <f>(IF(O3680&lt;4172.98,0,MIN(O3680*0.3,O3680-4172.98)))-P3680</f>
        <v>12046.716</v>
      </c>
      <c r="S3680" s="78"/>
      <c r="T3680" s="1"/>
      <c r="V3680" s="1"/>
      <c r="X3680" s="101">
        <v>1</v>
      </c>
    </row>
    <row r="3681" spans="1:24" hidden="1">
      <c r="A3681">
        <v>2104</v>
      </c>
      <c r="B3681" s="2">
        <v>46252.595925925903</v>
      </c>
      <c r="C3681" s="2">
        <v>46252.602905092601</v>
      </c>
      <c r="D3681" s="1" t="s">
        <v>24</v>
      </c>
      <c r="E3681" s="1"/>
      <c r="F3681" s="29">
        <v>46252</v>
      </c>
      <c r="G3681" s="29">
        <v>46252</v>
      </c>
      <c r="H3681" s="1" t="s">
        <v>2908</v>
      </c>
      <c r="I3681" s="126" t="s">
        <v>8144</v>
      </c>
      <c r="J3681" s="207">
        <v>19745202853</v>
      </c>
      <c r="K3681" s="171" t="s">
        <v>8145</v>
      </c>
      <c r="L3681" s="62">
        <v>2</v>
      </c>
      <c r="M3681" s="30">
        <v>9661170147</v>
      </c>
      <c r="N3681" s="171" t="s">
        <v>37</v>
      </c>
      <c r="O3681" s="43">
        <v>15673.9</v>
      </c>
      <c r="P3681" s="43">
        <v>4687.03</v>
      </c>
      <c r="Q3681" s="42">
        <f>OfficeForms.Table[[#This Row],[ INFORMEDEPAGO ]]*0.3</f>
        <v>4702.17</v>
      </c>
      <c r="R3681" s="12">
        <f>(IF(O3681&lt;4172.98,0,MIN(O3681*0.3,O3681-4172.98)))-P3681</f>
        <v>15.140000000000327</v>
      </c>
      <c r="S3681" s="78">
        <v>46722</v>
      </c>
      <c r="T3681" s="1" t="s">
        <v>192</v>
      </c>
      <c r="V3681" s="1"/>
      <c r="X3681" s="101">
        <v>2</v>
      </c>
    </row>
    <row r="3682" spans="1:24" hidden="1">
      <c r="A3682">
        <v>2105</v>
      </c>
      <c r="B3682" s="2">
        <v>46252.604479166701</v>
      </c>
      <c r="C3682" s="2">
        <v>46252.605416666702</v>
      </c>
      <c r="D3682" s="1" t="s">
        <v>24</v>
      </c>
      <c r="E3682" s="1"/>
      <c r="F3682" s="29">
        <v>46252</v>
      </c>
      <c r="G3682" s="29">
        <v>46252</v>
      </c>
      <c r="H3682" s="1" t="s">
        <v>3572</v>
      </c>
      <c r="I3682" s="126" t="s">
        <v>8146</v>
      </c>
      <c r="J3682" s="207">
        <v>32886270043</v>
      </c>
      <c r="K3682" s="171"/>
      <c r="L3682" s="62">
        <v>23731068</v>
      </c>
      <c r="M3682" s="30">
        <v>8641167795</v>
      </c>
      <c r="N3682" s="171" t="s">
        <v>37</v>
      </c>
      <c r="O3682" s="43">
        <v>8458.68</v>
      </c>
      <c r="P3682" s="43">
        <v>2447</v>
      </c>
      <c r="Q3682" s="42">
        <f>OfficeForms.Table[[#This Row],[ INFORMEDEPAGO ]]*0.3</f>
        <v>2537.6039999999998</v>
      </c>
      <c r="R3682" s="12">
        <f>(IF(O3682&lt;4172.98,0,MIN(O3682*0.3,O3682-4172.98)))-P3682</f>
        <v>90.603999999999814</v>
      </c>
      <c r="S3682" s="78">
        <v>46753</v>
      </c>
      <c r="T3682" s="1"/>
      <c r="V3682" s="1"/>
      <c r="X3682" s="101">
        <v>2</v>
      </c>
    </row>
    <row r="3683" spans="1:24" hidden="1">
      <c r="A3683">
        <v>2106</v>
      </c>
      <c r="B3683" s="2">
        <v>46252.597002314797</v>
      </c>
      <c r="C3683" s="2">
        <v>46252.607361111099</v>
      </c>
      <c r="D3683" s="1" t="s">
        <v>24</v>
      </c>
      <c r="E3683" s="1"/>
      <c r="F3683" s="29">
        <v>46252</v>
      </c>
      <c r="G3683" s="29">
        <v>46251</v>
      </c>
      <c r="H3683" s="1" t="s">
        <v>78</v>
      </c>
      <c r="I3683" s="126" t="s">
        <v>8147</v>
      </c>
      <c r="J3683" s="207">
        <v>43755918745</v>
      </c>
      <c r="K3683" s="171" t="s">
        <v>8148</v>
      </c>
      <c r="L3683" s="62">
        <v>23711818</v>
      </c>
      <c r="M3683" s="30">
        <v>5218129239521</v>
      </c>
      <c r="N3683" s="171" t="s">
        <v>37</v>
      </c>
      <c r="O3683" s="43">
        <v>5706.98</v>
      </c>
      <c r="P3683" s="43">
        <v>1533.9</v>
      </c>
      <c r="Q3683" s="42">
        <f>OfficeForms.Table[[#This Row],[ INFORMEDEPAGO ]]*0.3</f>
        <v>1712.0939999999998</v>
      </c>
      <c r="R3683" s="12">
        <f>(IF(O3683&lt;4172.98,0,MIN(O3683*0.3,O3683-4172.98)))-P3683</f>
        <v>9.9999999999909051E-2</v>
      </c>
      <c r="S3683" s="78">
        <v>46844</v>
      </c>
      <c r="T3683" s="1"/>
      <c r="V3683" s="1"/>
      <c r="X3683" s="101">
        <v>2</v>
      </c>
    </row>
    <row r="3684" spans="1:24" hidden="1">
      <c r="A3684">
        <v>2107</v>
      </c>
      <c r="B3684" s="2">
        <v>46252.606053240699</v>
      </c>
      <c r="C3684" s="2">
        <v>46252.610057870399</v>
      </c>
      <c r="D3684" s="1" t="s">
        <v>24</v>
      </c>
      <c r="E3684" s="1"/>
      <c r="F3684" s="29">
        <v>46252</v>
      </c>
      <c r="G3684" s="29">
        <v>46252</v>
      </c>
      <c r="H3684" s="1" t="s">
        <v>5691</v>
      </c>
      <c r="I3684" s="126" t="s">
        <v>8149</v>
      </c>
      <c r="J3684" s="207"/>
      <c r="K3684" s="171" t="s">
        <v>8150</v>
      </c>
      <c r="L3684" s="62">
        <v>23730808</v>
      </c>
      <c r="M3684" s="30">
        <v>2961011851</v>
      </c>
      <c r="N3684" s="171" t="s">
        <v>28</v>
      </c>
      <c r="O3684" s="50">
        <v>11029.03</v>
      </c>
      <c r="P3684" s="97"/>
      <c r="Q3684" s="42">
        <f>OfficeForms.Table[[#This Row],[ INFORMEDEPAGO ]]*0.3</f>
        <v>3308.7090000000003</v>
      </c>
      <c r="R3684" s="12">
        <f>(IF(O3684&lt;4172.98,0,MIN(O3684*0.3,O3684-4172.98)))-P3684</f>
        <v>3308.7090000000003</v>
      </c>
      <c r="S3684" s="78"/>
      <c r="T3684" s="1"/>
      <c r="V3684" s="1"/>
      <c r="X3684" s="101">
        <v>1</v>
      </c>
    </row>
    <row r="3685" spans="1:24" hidden="1">
      <c r="A3685">
        <v>2108</v>
      </c>
      <c r="B3685" s="2">
        <v>46252.611678240697</v>
      </c>
      <c r="C3685" s="2">
        <v>46252.612395833297</v>
      </c>
      <c r="D3685" s="1" t="s">
        <v>24</v>
      </c>
      <c r="E3685" s="1"/>
      <c r="F3685" s="29">
        <v>46252</v>
      </c>
      <c r="G3685" s="29">
        <v>46252</v>
      </c>
      <c r="H3685" s="1" t="s">
        <v>5691</v>
      </c>
      <c r="I3685" s="126" t="s">
        <v>8151</v>
      </c>
      <c r="J3685" s="207"/>
      <c r="K3685" s="171" t="s">
        <v>8152</v>
      </c>
      <c r="L3685" s="62">
        <v>23731332</v>
      </c>
      <c r="M3685" s="30">
        <v>8421188397</v>
      </c>
      <c r="N3685" s="171" t="s">
        <v>37</v>
      </c>
      <c r="O3685" s="43">
        <v>9504.7000000000007</v>
      </c>
      <c r="P3685" s="43">
        <v>2637.91</v>
      </c>
      <c r="Q3685" s="42">
        <f>OfficeForms.Table[[#This Row],[ INFORMEDEPAGO ]]*0.3</f>
        <v>2851.4100000000003</v>
      </c>
      <c r="R3685" s="12">
        <f>(IF(O3685&lt;4172.98,0,MIN(O3685*0.3,O3685-4172.98)))-P3685</f>
        <v>213.50000000000045</v>
      </c>
      <c r="S3685" s="78">
        <v>46327</v>
      </c>
      <c r="T3685" s="1"/>
      <c r="V3685" s="1"/>
      <c r="X3685" s="101">
        <v>2</v>
      </c>
    </row>
    <row r="3686" spans="1:24" hidden="1">
      <c r="A3686">
        <v>2109</v>
      </c>
      <c r="B3686" s="2">
        <v>46252.605462963002</v>
      </c>
      <c r="C3686" s="2">
        <v>46252.614999999998</v>
      </c>
      <c r="D3686" s="1" t="s">
        <v>24</v>
      </c>
      <c r="E3686" s="1"/>
      <c r="F3686" s="29">
        <v>46252</v>
      </c>
      <c r="G3686" s="29">
        <v>46252</v>
      </c>
      <c r="H3686" s="1" t="s">
        <v>3572</v>
      </c>
      <c r="I3686" s="126" t="s">
        <v>8153</v>
      </c>
      <c r="J3686" s="207">
        <v>11745662939</v>
      </c>
      <c r="K3686" s="171"/>
      <c r="L3686" s="62">
        <v>23732352</v>
      </c>
      <c r="M3686" s="30">
        <v>6681633420</v>
      </c>
      <c r="N3686" s="171" t="s">
        <v>37</v>
      </c>
      <c r="O3686" s="43">
        <v>9760.32</v>
      </c>
      <c r="P3686" s="43">
        <v>2926.76</v>
      </c>
      <c r="Q3686" s="42">
        <f>OfficeForms.Table[[#This Row],[ INFORMEDEPAGO ]]*0.3</f>
        <v>2928.096</v>
      </c>
      <c r="R3686" s="12">
        <f>(IF(O3686&lt;4172.98,0,MIN(O3686*0.3,O3686-4172.98)))-P3686</f>
        <v>1.3359999999997854</v>
      </c>
      <c r="S3686" s="78">
        <v>46631</v>
      </c>
      <c r="T3686" s="1"/>
      <c r="V3686" s="1"/>
      <c r="X3686" s="101">
        <v>2</v>
      </c>
    </row>
    <row r="3687" spans="1:24" hidden="1">
      <c r="A3687">
        <v>2110</v>
      </c>
      <c r="B3687" s="2">
        <v>46252.618055555598</v>
      </c>
      <c r="C3687" s="2">
        <v>46252.6186689815</v>
      </c>
      <c r="D3687" s="1" t="s">
        <v>24</v>
      </c>
      <c r="E3687" s="1"/>
      <c r="F3687" s="29">
        <v>46252</v>
      </c>
      <c r="G3687" s="29">
        <v>46252</v>
      </c>
      <c r="H3687" s="1" t="s">
        <v>2908</v>
      </c>
      <c r="I3687" s="126" t="s">
        <v>8154</v>
      </c>
      <c r="J3687" s="207">
        <v>49816345539</v>
      </c>
      <c r="K3687" s="171" t="s">
        <v>8155</v>
      </c>
      <c r="L3687" s="62">
        <v>2</v>
      </c>
      <c r="M3687" s="30">
        <v>8119040615</v>
      </c>
      <c r="N3687" s="171" t="s">
        <v>98</v>
      </c>
      <c r="O3687" s="50"/>
      <c r="P3687" s="97"/>
      <c r="Q3687" s="42">
        <f>OfficeForms.Table[[#This Row],[ INFORMEDEPAGO ]]*0.3</f>
        <v>0</v>
      </c>
      <c r="R3687" s="12">
        <f>(IF(O3687&lt;4172.98,0,MIN(O3687*0.3,O3687-4172.98)))-P3687</f>
        <v>0</v>
      </c>
      <c r="S3687" s="78"/>
      <c r="T3687" s="1"/>
      <c r="V3687" s="1"/>
      <c r="X3687" s="101">
        <v>0</v>
      </c>
    </row>
    <row r="3688" spans="1:24" hidden="1">
      <c r="A3688">
        <v>2111</v>
      </c>
      <c r="B3688" s="2">
        <v>46252.621990740699</v>
      </c>
      <c r="C3688" s="2">
        <v>46252.627395833297</v>
      </c>
      <c r="D3688" s="1" t="s">
        <v>24</v>
      </c>
      <c r="E3688" s="1"/>
      <c r="F3688" s="29">
        <v>46252</v>
      </c>
      <c r="G3688" s="29">
        <v>46252</v>
      </c>
      <c r="H3688" s="1" t="s">
        <v>78</v>
      </c>
      <c r="I3688" s="126" t="s">
        <v>8156</v>
      </c>
      <c r="J3688" s="207" t="s">
        <v>8157</v>
      </c>
      <c r="K3688" s="171" t="s">
        <v>8158</v>
      </c>
      <c r="L3688" s="62">
        <v>23730024</v>
      </c>
      <c r="M3688" s="30">
        <v>5218142081645</v>
      </c>
      <c r="N3688" s="171" t="s">
        <v>37</v>
      </c>
      <c r="O3688" s="43">
        <v>6262.86</v>
      </c>
      <c r="P3688" s="43">
        <v>1808</v>
      </c>
      <c r="Q3688" s="42">
        <f>OfficeForms.Table[[#This Row],[ INFORMEDEPAGO ]]*0.3</f>
        <v>1878.8579999999997</v>
      </c>
      <c r="R3688" s="12">
        <f>(IF(O3688&lt;4172.98,0,MIN(O3688*0.3,O3688-4172.98)))-P3688</f>
        <v>70.85799999999972</v>
      </c>
      <c r="S3688" s="78">
        <v>46388</v>
      </c>
      <c r="T3688" s="1"/>
      <c r="V3688" s="1"/>
      <c r="X3688" s="101">
        <v>2</v>
      </c>
    </row>
    <row r="3689" spans="1:24" hidden="1">
      <c r="A3689">
        <v>2112</v>
      </c>
      <c r="B3689" s="2">
        <v>46252.625960648104</v>
      </c>
      <c r="C3689" s="2">
        <v>46252.628356481502</v>
      </c>
      <c r="D3689" s="1" t="s">
        <v>24</v>
      </c>
      <c r="E3689" s="1"/>
      <c r="F3689" s="29">
        <v>46252</v>
      </c>
      <c r="G3689" s="29">
        <v>46252</v>
      </c>
      <c r="H3689" s="1" t="s">
        <v>1625</v>
      </c>
      <c r="I3689" s="126" t="s">
        <v>8159</v>
      </c>
      <c r="J3689" s="207">
        <v>328163</v>
      </c>
      <c r="K3689" s="171" t="s">
        <v>8160</v>
      </c>
      <c r="L3689" s="62">
        <v>2</v>
      </c>
      <c r="M3689" s="30">
        <v>18128798044</v>
      </c>
      <c r="N3689" s="171" t="s">
        <v>98</v>
      </c>
      <c r="O3689" s="50"/>
      <c r="P3689" s="97"/>
      <c r="Q3689" s="42">
        <f>OfficeForms.Table[[#This Row],[ INFORMEDEPAGO ]]*0.3</f>
        <v>0</v>
      </c>
      <c r="R3689" s="12">
        <f>(IF(O3689&lt;4172.98,0,MIN(O3689*0.3,O3689-4172.98)))-P3689</f>
        <v>0</v>
      </c>
      <c r="S3689" s="78"/>
      <c r="T3689" s="1"/>
      <c r="V3689" s="1"/>
      <c r="X3689" s="101">
        <v>0</v>
      </c>
    </row>
    <row r="3690" spans="1:24" hidden="1">
      <c r="A3690">
        <v>2113</v>
      </c>
      <c r="B3690" s="2">
        <v>46252.627766203703</v>
      </c>
      <c r="C3690" s="2">
        <v>46252.628912036998</v>
      </c>
      <c r="D3690" s="1" t="s">
        <v>24</v>
      </c>
      <c r="E3690" s="1"/>
      <c r="F3690" s="29">
        <v>46252</v>
      </c>
      <c r="G3690" s="29">
        <v>46249</v>
      </c>
      <c r="H3690" s="1" t="s">
        <v>7742</v>
      </c>
      <c r="I3690" s="126" t="s">
        <v>8161</v>
      </c>
      <c r="J3690" s="207"/>
      <c r="K3690" s="171" t="s">
        <v>8162</v>
      </c>
      <c r="L3690" s="62">
        <v>23658888</v>
      </c>
      <c r="M3690" s="30">
        <v>9211539001</v>
      </c>
      <c r="N3690" s="171" t="s">
        <v>98</v>
      </c>
      <c r="O3690" s="50"/>
      <c r="P3690" s="97"/>
      <c r="Q3690" s="42">
        <f>OfficeForms.Table[[#This Row],[ INFORMEDEPAGO ]]*0.3</f>
        <v>0</v>
      </c>
      <c r="R3690" s="12">
        <f>(IF(O3690&lt;4172.98,0,MIN(O3690*0.3,O3690-4172.98)))-P3690</f>
        <v>0</v>
      </c>
      <c r="S3690" s="78"/>
      <c r="T3690" s="1"/>
      <c r="V3690" s="1"/>
      <c r="X3690" s="101">
        <v>0</v>
      </c>
    </row>
    <row r="3691" spans="1:24" hidden="1">
      <c r="A3691">
        <v>2114</v>
      </c>
      <c r="B3691" s="2">
        <v>46252.631111111099</v>
      </c>
      <c r="C3691" s="2">
        <v>46252.632349537002</v>
      </c>
      <c r="D3691" s="1" t="s">
        <v>24</v>
      </c>
      <c r="E3691" s="1"/>
      <c r="F3691" s="29">
        <v>46252</v>
      </c>
      <c r="G3691" s="29">
        <v>46252</v>
      </c>
      <c r="H3691" s="1" t="s">
        <v>71</v>
      </c>
      <c r="I3691" s="126" t="s">
        <v>8163</v>
      </c>
      <c r="J3691" s="207"/>
      <c r="K3691" s="171" t="s">
        <v>8164</v>
      </c>
      <c r="L3691" s="62">
        <v>23731954</v>
      </c>
      <c r="M3691" s="30">
        <v>2721523034</v>
      </c>
      <c r="N3691" s="171" t="s">
        <v>74</v>
      </c>
      <c r="O3691" s="50"/>
      <c r="P3691" s="97"/>
      <c r="Q3691" s="42">
        <f>OfficeForms.Table[[#This Row],[ INFORMEDEPAGO ]]*0.3</f>
        <v>0</v>
      </c>
      <c r="R3691" s="12">
        <f>(IF(O3691&lt;4172.98,0,MIN(O3691*0.3,O3691-4172.98)))-P3691</f>
        <v>0</v>
      </c>
      <c r="S3691" s="78"/>
      <c r="T3691" s="1"/>
      <c r="V3691" s="1"/>
      <c r="X3691" s="101">
        <v>1</v>
      </c>
    </row>
    <row r="3692" spans="1:24" hidden="1">
      <c r="A3692">
        <v>2115</v>
      </c>
      <c r="B3692" s="2">
        <v>46252.615023148101</v>
      </c>
      <c r="C3692" s="2">
        <v>46252.633194444403</v>
      </c>
      <c r="D3692" s="1" t="s">
        <v>24</v>
      </c>
      <c r="E3692" s="1"/>
      <c r="F3692" s="29">
        <v>46252</v>
      </c>
      <c r="G3692" s="29">
        <v>46252</v>
      </c>
      <c r="H3692" s="1" t="s">
        <v>3572</v>
      </c>
      <c r="I3692" s="126" t="s">
        <v>8165</v>
      </c>
      <c r="J3692" s="207"/>
      <c r="K3692" s="171" t="s">
        <v>8166</v>
      </c>
      <c r="L3692" s="62">
        <v>23732864</v>
      </c>
      <c r="M3692" s="30">
        <v>6311793323</v>
      </c>
      <c r="N3692" s="171" t="s">
        <v>32</v>
      </c>
      <c r="O3692" s="50">
        <f>3494.43+848</f>
        <v>4342.43</v>
      </c>
      <c r="P3692" s="97">
        <v>848</v>
      </c>
      <c r="Q3692" s="42">
        <f>OfficeForms.Table[[#This Row],[ INFORMEDEPAGO ]]*0.3</f>
        <v>1302.729</v>
      </c>
      <c r="R3692" s="12">
        <f>(IF(O3692&lt;4172.98,0,MIN(O3692*0.3,O3692-4172.98)))-P3692</f>
        <v>-678.54999999999927</v>
      </c>
      <c r="S3692" s="78"/>
      <c r="T3692" s="1"/>
      <c r="V3692" s="1"/>
      <c r="X3692" s="101">
        <v>1</v>
      </c>
    </row>
    <row r="3693" spans="1:24" hidden="1">
      <c r="A3693">
        <v>2116</v>
      </c>
      <c r="B3693" s="2">
        <v>46252.516967592601</v>
      </c>
      <c r="C3693" s="2">
        <v>46252.6340277778</v>
      </c>
      <c r="D3693" s="1" t="s">
        <v>24</v>
      </c>
      <c r="E3693" s="1"/>
      <c r="F3693" s="29">
        <v>46252</v>
      </c>
      <c r="G3693" s="29">
        <v>46252</v>
      </c>
      <c r="H3693" s="1" t="s">
        <v>51</v>
      </c>
      <c r="I3693" s="126" t="s">
        <v>8167</v>
      </c>
      <c r="J3693" s="207"/>
      <c r="K3693" s="171" t="s">
        <v>8168</v>
      </c>
      <c r="L3693" s="62">
        <v>23718112</v>
      </c>
      <c r="M3693" s="30">
        <v>5214493912933</v>
      </c>
      <c r="N3693" s="171" t="s">
        <v>37</v>
      </c>
      <c r="O3693" s="50">
        <v>9760.32</v>
      </c>
      <c r="P3693" s="97">
        <v>2823.61</v>
      </c>
      <c r="Q3693" s="42">
        <f>OfficeForms.Table[[#This Row],[ INFORMEDEPAGO ]]*0.3</f>
        <v>2928.096</v>
      </c>
      <c r="R3693" s="12">
        <f>(IF(O3693&lt;4172.98,0,MIN(O3693*0.3,O3693-4172.98)))-P3693</f>
        <v>104.48599999999988</v>
      </c>
      <c r="S3693" s="78">
        <v>46478</v>
      </c>
      <c r="T3693" s="1"/>
      <c r="V3693" s="1"/>
      <c r="X3693" s="101">
        <v>2</v>
      </c>
    </row>
    <row r="3694" spans="1:24" hidden="1">
      <c r="A3694">
        <v>2117</v>
      </c>
      <c r="B3694" s="2">
        <v>46252.6340740741</v>
      </c>
      <c r="C3694" s="2">
        <v>46252.634629629603</v>
      </c>
      <c r="D3694" s="1" t="s">
        <v>24</v>
      </c>
      <c r="E3694" s="1"/>
      <c r="F3694" s="29">
        <v>46252</v>
      </c>
      <c r="G3694" s="29">
        <v>46252</v>
      </c>
      <c r="H3694" s="1" t="s">
        <v>71</v>
      </c>
      <c r="I3694" s="126" t="s">
        <v>8169</v>
      </c>
      <c r="J3694" s="207">
        <v>1796153193</v>
      </c>
      <c r="K3694" s="171"/>
      <c r="L3694" s="62">
        <v>23733244</v>
      </c>
      <c r="M3694" s="30">
        <v>9981158838</v>
      </c>
      <c r="N3694" s="171" t="s">
        <v>37</v>
      </c>
      <c r="O3694" s="50">
        <v>6262.86</v>
      </c>
      <c r="P3694" s="97">
        <v>1811.99</v>
      </c>
      <c r="Q3694" s="42">
        <f>OfficeForms.Table[[#This Row],[ INFORMEDEPAGO ]]*0.3</f>
        <v>1878.8579999999997</v>
      </c>
      <c r="R3694" s="12">
        <f>(IF(O3694&lt;4172.98,0,MIN(O3694*0.3,O3694-4172.98)))-P3694</f>
        <v>66.867999999999711</v>
      </c>
      <c r="S3694" s="78">
        <v>46447</v>
      </c>
      <c r="T3694" s="1"/>
      <c r="V3694" s="1"/>
      <c r="X3694" s="101">
        <v>2</v>
      </c>
    </row>
    <row r="3695" spans="1:24" hidden="1">
      <c r="A3695">
        <v>2118</v>
      </c>
      <c r="B3695" s="2">
        <v>46252.634050925903</v>
      </c>
      <c r="C3695" s="2">
        <v>46252.638391203698</v>
      </c>
      <c r="D3695" s="1" t="s">
        <v>24</v>
      </c>
      <c r="E3695" s="1"/>
      <c r="F3695" s="29">
        <v>46252</v>
      </c>
      <c r="G3695" s="29">
        <v>46252</v>
      </c>
      <c r="H3695" s="1" t="s">
        <v>51</v>
      </c>
      <c r="I3695" s="126" t="s">
        <v>8170</v>
      </c>
      <c r="J3695" s="207"/>
      <c r="K3695" s="171" t="s">
        <v>8171</v>
      </c>
      <c r="L3695" s="62">
        <v>23721728</v>
      </c>
      <c r="M3695" s="30">
        <v>5217226793415</v>
      </c>
      <c r="N3695" s="171" t="s">
        <v>74</v>
      </c>
      <c r="O3695" s="50"/>
      <c r="P3695" s="97"/>
      <c r="Q3695" s="42">
        <f>OfficeForms.Table[[#This Row],[ INFORMEDEPAGO ]]*0.3</f>
        <v>0</v>
      </c>
      <c r="R3695" s="12">
        <f t="shared" ref="R3695:R3697" si="206">(IF(O3695&lt;4172.98,0,MIN(O3695*0.3,O3695-4172.98)))-P3695</f>
        <v>0</v>
      </c>
      <c r="S3695" s="78"/>
      <c r="T3695" s="1"/>
      <c r="V3695" s="1"/>
      <c r="X3695" s="101">
        <v>1</v>
      </c>
    </row>
    <row r="3696" spans="1:24" hidden="1">
      <c r="A3696">
        <v>2119</v>
      </c>
      <c r="B3696" s="2">
        <v>46252.638402777797</v>
      </c>
      <c r="C3696" s="2">
        <v>46252.6422916667</v>
      </c>
      <c r="D3696" s="1" t="s">
        <v>24</v>
      </c>
      <c r="E3696" s="1"/>
      <c r="F3696" s="29">
        <v>46252</v>
      </c>
      <c r="G3696" s="29">
        <v>46250</v>
      </c>
      <c r="H3696" s="1" t="s">
        <v>51</v>
      </c>
      <c r="I3696" s="126" t="s">
        <v>8172</v>
      </c>
      <c r="J3696" s="207">
        <v>16826347078</v>
      </c>
      <c r="K3696" s="171" t="s">
        <v>8173</v>
      </c>
      <c r="L3696" s="62">
        <v>23682266</v>
      </c>
      <c r="M3696" s="30">
        <v>5217227959197</v>
      </c>
      <c r="N3696" s="171" t="s">
        <v>37</v>
      </c>
      <c r="O3696" s="43">
        <v>7920.51</v>
      </c>
      <c r="P3696" s="43">
        <v>2274.33</v>
      </c>
      <c r="Q3696" s="42">
        <f>OfficeForms.Table[[#This Row],[ INFORMEDEPAGO ]]*0.3</f>
        <v>2376.1529999999998</v>
      </c>
      <c r="R3696" s="12">
        <f t="shared" si="206"/>
        <v>101.82299999999987</v>
      </c>
      <c r="S3696" s="78">
        <v>46631</v>
      </c>
      <c r="T3696" s="1"/>
      <c r="V3696" s="1"/>
      <c r="X3696" s="101">
        <v>2</v>
      </c>
    </row>
    <row r="3697" spans="1:24" hidden="1">
      <c r="A3697">
        <v>2120</v>
      </c>
      <c r="B3697" s="2">
        <v>46252.643425925897</v>
      </c>
      <c r="C3697" s="2">
        <v>46252.643773148098</v>
      </c>
      <c r="D3697" s="1" t="s">
        <v>24</v>
      </c>
      <c r="E3697" s="1"/>
      <c r="F3697" s="29">
        <v>46252</v>
      </c>
      <c r="G3697" s="29">
        <v>46252</v>
      </c>
      <c r="H3697" s="1" t="s">
        <v>26</v>
      </c>
      <c r="I3697" s="126" t="s">
        <v>8174</v>
      </c>
      <c r="J3697" s="207">
        <v>23796010736</v>
      </c>
      <c r="K3697" s="171"/>
      <c r="L3697" s="62">
        <v>23733834</v>
      </c>
      <c r="M3697" s="30">
        <v>5216678292908</v>
      </c>
      <c r="N3697" s="171" t="s">
        <v>47</v>
      </c>
      <c r="O3697" s="43">
        <v>48407.81</v>
      </c>
      <c r="P3697" s="43">
        <v>13998.01</v>
      </c>
      <c r="Q3697" s="42">
        <f>OfficeForms.Table[[#This Row],[ INFORMEDEPAGO ]]*0.3</f>
        <v>14522.342999999999</v>
      </c>
      <c r="R3697" s="12">
        <f t="shared" si="206"/>
        <v>524.33299999999872</v>
      </c>
      <c r="S3697" s="78">
        <v>46600</v>
      </c>
      <c r="T3697" s="1" t="s">
        <v>192</v>
      </c>
      <c r="V3697" s="1"/>
      <c r="X3697" s="101">
        <v>2</v>
      </c>
    </row>
    <row r="3698" spans="1:24" hidden="1">
      <c r="A3698">
        <v>2121</v>
      </c>
      <c r="B3698" s="2">
        <v>46252.633333333302</v>
      </c>
      <c r="C3698" s="2">
        <v>46252.64875</v>
      </c>
      <c r="D3698" s="1" t="s">
        <v>24</v>
      </c>
      <c r="E3698" s="1"/>
      <c r="F3698" s="29">
        <v>46252</v>
      </c>
      <c r="G3698" s="29">
        <v>46252</v>
      </c>
      <c r="H3698" s="1" t="s">
        <v>3572</v>
      </c>
      <c r="I3698" s="126" t="s">
        <v>8175</v>
      </c>
      <c r="J3698" s="207"/>
      <c r="K3698" s="171" t="s">
        <v>8176</v>
      </c>
      <c r="L3698" s="62">
        <v>23734246</v>
      </c>
      <c r="M3698" s="30">
        <v>6141913909</v>
      </c>
      <c r="N3698" s="171" t="s">
        <v>28</v>
      </c>
      <c r="O3698" s="50">
        <v>14385.63</v>
      </c>
      <c r="P3698" s="97"/>
      <c r="Q3698" s="42">
        <f>OfficeForms.Table[[#This Row],[ INFORMEDEPAGO ]]*0.3</f>
        <v>4315.6889999999994</v>
      </c>
      <c r="R3698" s="12">
        <f>(IF(O3698&lt;4172.98,0,MIN(O3698*0.3,O3698-4172.98)))-P3698</f>
        <v>4315.6889999999994</v>
      </c>
      <c r="S3698" s="78"/>
      <c r="T3698" s="1"/>
      <c r="V3698" s="1"/>
      <c r="X3698" s="101">
        <v>1</v>
      </c>
    </row>
    <row r="3699" spans="1:24" hidden="1">
      <c r="A3699">
        <v>2122</v>
      </c>
      <c r="B3699" s="2">
        <v>46252.661736111098</v>
      </c>
      <c r="C3699" s="2">
        <v>46252.662384259304</v>
      </c>
      <c r="D3699" s="1" t="s">
        <v>24</v>
      </c>
      <c r="E3699" s="1"/>
      <c r="F3699" s="29">
        <v>46252</v>
      </c>
      <c r="G3699" s="29">
        <v>46252</v>
      </c>
      <c r="H3699" s="1" t="s">
        <v>71</v>
      </c>
      <c r="I3699" s="126" t="s">
        <v>8177</v>
      </c>
      <c r="J3699" s="207" t="s">
        <v>8178</v>
      </c>
      <c r="K3699" s="171"/>
      <c r="L3699" s="62">
        <v>23734516</v>
      </c>
      <c r="M3699" s="30">
        <v>8712354791</v>
      </c>
      <c r="N3699" s="171" t="s">
        <v>28</v>
      </c>
      <c r="O3699" s="50">
        <v>23444.02</v>
      </c>
      <c r="P3699" s="97"/>
      <c r="Q3699" s="42">
        <f>OfficeForms.Table[[#This Row],[ INFORMEDEPAGO ]]*0.3</f>
        <v>7033.2060000000001</v>
      </c>
      <c r="R3699" s="12">
        <f>(IF(O3699&lt;4172.98,0,MIN(O3699*0.3,O3699-4172.98)))-P3699</f>
        <v>7033.2060000000001</v>
      </c>
      <c r="S3699" s="78"/>
      <c r="T3699" s="1"/>
      <c r="V3699" s="1"/>
      <c r="X3699" s="101">
        <v>1</v>
      </c>
    </row>
    <row r="3700" spans="1:24" hidden="1">
      <c r="A3700">
        <v>2123</v>
      </c>
      <c r="B3700" s="2">
        <v>46252.641469907401</v>
      </c>
      <c r="C3700" s="2">
        <v>46252.683217592603</v>
      </c>
      <c r="D3700" s="1" t="s">
        <v>24</v>
      </c>
      <c r="E3700" s="1"/>
      <c r="F3700" s="29">
        <v>46252</v>
      </c>
      <c r="G3700" s="29">
        <v>46251</v>
      </c>
      <c r="H3700" s="1" t="s">
        <v>78</v>
      </c>
      <c r="I3700" s="126" t="s">
        <v>8179</v>
      </c>
      <c r="J3700" s="207">
        <v>92917392208</v>
      </c>
      <c r="K3700" s="171" t="s">
        <v>8180</v>
      </c>
      <c r="L3700" s="62">
        <v>23711882</v>
      </c>
      <c r="M3700" s="30">
        <v>5215615043450</v>
      </c>
      <c r="N3700" s="171" t="s">
        <v>28</v>
      </c>
      <c r="O3700" s="52">
        <v>7128.48</v>
      </c>
      <c r="P3700" s="52">
        <v>827.86</v>
      </c>
      <c r="Q3700" s="42">
        <f>OfficeForms.Table[[#This Row],[ INFORMEDEPAGO ]]*0.3</f>
        <v>2138.5439999999999</v>
      </c>
      <c r="R3700" s="12">
        <f t="shared" ref="R3700:R3701" si="207">(IF(O3700&lt;4172.98,0,MIN(O3700*0.3,O3700-4172.98)))-P3700</f>
        <v>1310.6839999999997</v>
      </c>
      <c r="S3700" s="78">
        <v>46204</v>
      </c>
      <c r="T3700" s="1"/>
      <c r="V3700" s="1"/>
      <c r="X3700" s="101">
        <v>2</v>
      </c>
    </row>
    <row r="3701" spans="1:24" hidden="1">
      <c r="A3701">
        <v>2124</v>
      </c>
      <c r="B3701" s="2">
        <v>46252.683055555601</v>
      </c>
      <c r="C3701" s="2">
        <v>46252.683634259301</v>
      </c>
      <c r="D3701" s="1" t="s">
        <v>24</v>
      </c>
      <c r="E3701" s="1"/>
      <c r="F3701" s="29">
        <v>46252</v>
      </c>
      <c r="G3701" s="29">
        <v>46252</v>
      </c>
      <c r="H3701" s="1" t="s">
        <v>5691</v>
      </c>
      <c r="I3701" s="126" t="s">
        <v>8181</v>
      </c>
      <c r="J3701" s="207"/>
      <c r="K3701" s="171" t="s">
        <v>8182</v>
      </c>
      <c r="L3701" s="62">
        <v>23735326</v>
      </c>
      <c r="M3701" s="30">
        <v>2295481156</v>
      </c>
      <c r="N3701" s="171" t="s">
        <v>37</v>
      </c>
      <c r="O3701" s="52">
        <v>7920.51</v>
      </c>
      <c r="P3701" s="52">
        <v>2289.4499999999998</v>
      </c>
      <c r="Q3701" s="42">
        <f>OfficeForms.Table[[#This Row],[ INFORMEDEPAGO ]]*0.3</f>
        <v>2376.1529999999998</v>
      </c>
      <c r="R3701" s="12">
        <f t="shared" si="207"/>
        <v>86.702999999999975</v>
      </c>
      <c r="S3701" s="78">
        <v>46722</v>
      </c>
      <c r="T3701" s="1"/>
      <c r="V3701" s="1"/>
      <c r="X3701" s="101">
        <v>2</v>
      </c>
    </row>
    <row r="3702" spans="1:24" hidden="1">
      <c r="A3702">
        <v>2125</v>
      </c>
      <c r="B3702" s="2">
        <v>46252.602581018502</v>
      </c>
      <c r="C3702" s="2">
        <v>46252.687476851803</v>
      </c>
      <c r="D3702" s="1" t="s">
        <v>24</v>
      </c>
      <c r="E3702" s="1"/>
      <c r="F3702" s="29">
        <v>46252</v>
      </c>
      <c r="G3702" s="29">
        <v>46252</v>
      </c>
      <c r="H3702" s="1" t="s">
        <v>1629</v>
      </c>
      <c r="I3702" s="126" t="s">
        <v>8183</v>
      </c>
      <c r="J3702" s="207" t="s">
        <v>8184</v>
      </c>
      <c r="K3702" s="171" t="s">
        <v>8185</v>
      </c>
      <c r="L3702" s="62">
        <v>2</v>
      </c>
      <c r="M3702" s="30">
        <v>5545434388</v>
      </c>
      <c r="N3702" s="171" t="s">
        <v>37</v>
      </c>
      <c r="O3702" s="50">
        <v>10171.24</v>
      </c>
      <c r="P3702" s="97">
        <v>2814.46</v>
      </c>
      <c r="Q3702" s="42">
        <f>OfficeForms.Table[[#This Row],[ INFORMEDEPAGO ]]*0.3</f>
        <v>3051.3719999999998</v>
      </c>
      <c r="R3702" s="12">
        <f t="shared" ref="R3702" si="208">(IF(O3702&lt;4172.98,0,MIN(O3702*0.3,O3702-4172.98)))-P3702</f>
        <v>236.91199999999981</v>
      </c>
      <c r="S3702" s="78">
        <v>46419</v>
      </c>
      <c r="T3702" s="1"/>
      <c r="V3702" s="1"/>
      <c r="X3702" s="101">
        <v>2</v>
      </c>
    </row>
    <row r="3703" spans="1:24" hidden="1">
      <c r="A3703">
        <v>2126</v>
      </c>
      <c r="B3703" s="2">
        <v>46252.692129629599</v>
      </c>
      <c r="C3703" s="2">
        <v>46252.693321759303</v>
      </c>
      <c r="D3703" s="1" t="s">
        <v>24</v>
      </c>
      <c r="E3703" s="1"/>
      <c r="F3703" s="29">
        <v>46252</v>
      </c>
      <c r="G3703" s="29">
        <v>46252</v>
      </c>
      <c r="H3703" s="1" t="s">
        <v>7812</v>
      </c>
      <c r="I3703" s="126" t="s">
        <v>8186</v>
      </c>
      <c r="J3703" s="207"/>
      <c r="K3703" s="171" t="s">
        <v>8187</v>
      </c>
      <c r="L3703" s="62">
        <v>23702326</v>
      </c>
      <c r="M3703" s="30">
        <v>5216623504606</v>
      </c>
      <c r="N3703" s="171" t="s">
        <v>263</v>
      </c>
      <c r="O3703" s="52">
        <v>7920.51</v>
      </c>
      <c r="P3703" s="52">
        <v>2291.6</v>
      </c>
      <c r="Q3703" s="42">
        <f>OfficeForms.Table[[#This Row],[ INFORMEDEPAGO ]]*0.3</f>
        <v>2376.1529999999998</v>
      </c>
      <c r="R3703" s="12">
        <f t="shared" ref="R3703" si="209">(IF(O3703&lt;4172.98,0,MIN(O3703*0.3,O3703-4172.98)))-P3703</f>
        <v>84.552999999999884</v>
      </c>
      <c r="S3703" s="78">
        <v>46054</v>
      </c>
      <c r="T3703" s="1" t="s">
        <v>192</v>
      </c>
      <c r="V3703" s="1"/>
      <c r="X3703" s="101">
        <v>2</v>
      </c>
    </row>
    <row r="3704" spans="1:24" hidden="1">
      <c r="A3704">
        <v>2127</v>
      </c>
      <c r="B3704" s="2">
        <v>46252.683553240699</v>
      </c>
      <c r="C3704" s="2">
        <v>46252.704849537004</v>
      </c>
      <c r="D3704" s="1" t="s">
        <v>24</v>
      </c>
      <c r="E3704" s="1"/>
      <c r="F3704" s="29">
        <v>46252</v>
      </c>
      <c r="G3704" s="29">
        <v>46252</v>
      </c>
      <c r="H3704" s="1" t="s">
        <v>78</v>
      </c>
      <c r="I3704" s="126" t="s">
        <v>8188</v>
      </c>
      <c r="J3704" s="207"/>
      <c r="K3704" s="171" t="s">
        <v>8189</v>
      </c>
      <c r="L3704" s="62">
        <v>23729512</v>
      </c>
      <c r="M3704" s="30">
        <v>5212941519831</v>
      </c>
      <c r="N3704" s="171" t="s">
        <v>28</v>
      </c>
      <c r="O3704" s="50">
        <v>7920.53</v>
      </c>
      <c r="P3704" s="97"/>
      <c r="Q3704" s="42">
        <f>OfficeForms.Table[[#This Row],[ INFORMEDEPAGO ]]*0.3</f>
        <v>2376.1589999999997</v>
      </c>
      <c r="R3704" s="12">
        <f t="shared" ref="R3704:R3705" si="210">(IF(O3704&lt;4172.98,0,MIN(O3704*0.3,O3704-4172.98)))-P3704</f>
        <v>2376.1589999999997</v>
      </c>
      <c r="S3704" s="78"/>
      <c r="T3704" s="1"/>
      <c r="V3704" s="1"/>
      <c r="X3704" s="101">
        <v>1</v>
      </c>
    </row>
    <row r="3705" spans="1:24" hidden="1">
      <c r="A3705">
        <v>2128</v>
      </c>
      <c r="B3705" s="2">
        <v>46252.642314814802</v>
      </c>
      <c r="C3705" s="2">
        <v>46252.705231481501</v>
      </c>
      <c r="D3705" s="1" t="s">
        <v>24</v>
      </c>
      <c r="E3705" s="1"/>
      <c r="F3705" s="29">
        <v>46252</v>
      </c>
      <c r="G3705" s="29">
        <v>46252</v>
      </c>
      <c r="H3705" s="1" t="s">
        <v>51</v>
      </c>
      <c r="I3705" s="126" t="s">
        <v>8190</v>
      </c>
      <c r="J3705" s="207">
        <v>49836453180</v>
      </c>
      <c r="K3705" s="171" t="s">
        <v>8191</v>
      </c>
      <c r="L3705" s="62">
        <v>23726066</v>
      </c>
      <c r="M3705" s="30">
        <v>23726066</v>
      </c>
      <c r="N3705" s="171" t="s">
        <v>37</v>
      </c>
      <c r="O3705" s="52">
        <v>9760.32</v>
      </c>
      <c r="P3705" s="52">
        <v>2739.96</v>
      </c>
      <c r="Q3705" s="42">
        <f>OfficeForms.Table[[#This Row],[ INFORMEDEPAGO ]]*0.3</f>
        <v>2928.096</v>
      </c>
      <c r="R3705" s="12">
        <f t="shared" si="210"/>
        <v>188.13599999999997</v>
      </c>
      <c r="S3705" s="78">
        <v>46844</v>
      </c>
      <c r="T3705" s="1"/>
      <c r="V3705" s="1"/>
      <c r="X3705" s="101">
        <v>2</v>
      </c>
    </row>
    <row r="3706" spans="1:24" hidden="1">
      <c r="A3706">
        <v>2129</v>
      </c>
      <c r="B3706" s="2">
        <v>46252.688611111102</v>
      </c>
      <c r="C3706" s="2">
        <v>46252.726585648197</v>
      </c>
      <c r="D3706" s="1" t="s">
        <v>24</v>
      </c>
      <c r="E3706" s="1"/>
      <c r="F3706" s="29">
        <v>46252</v>
      </c>
      <c r="G3706" s="29">
        <v>46252</v>
      </c>
      <c r="H3706" s="1" t="s">
        <v>3572</v>
      </c>
      <c r="I3706" s="126" t="s">
        <v>8192</v>
      </c>
      <c r="J3706" s="207">
        <v>10815807945</v>
      </c>
      <c r="K3706" s="171" t="s">
        <v>8193</v>
      </c>
      <c r="L3706" s="62">
        <v>23735536</v>
      </c>
      <c r="M3706" s="30">
        <v>9841432522</v>
      </c>
      <c r="N3706" s="171" t="s">
        <v>37</v>
      </c>
      <c r="O3706" s="52">
        <v>5814.62</v>
      </c>
      <c r="P3706" s="52">
        <v>1565.37</v>
      </c>
      <c r="Q3706" s="42">
        <f>OfficeForms.Table[[#This Row],[ INFORMEDEPAGO ]]*0.3</f>
        <v>1744.386</v>
      </c>
      <c r="R3706" s="12">
        <f t="shared" ref="R3706" si="211">(IF(O3706&lt;4172.98,0,MIN(O3706*0.3,O3706-4172.98)))-P3706</f>
        <v>76.270000000000437</v>
      </c>
      <c r="S3706" s="78">
        <v>46478</v>
      </c>
      <c r="T3706" s="1" t="s">
        <v>84</v>
      </c>
      <c r="V3706" s="1"/>
      <c r="X3706" s="101">
        <v>2</v>
      </c>
    </row>
    <row r="3707" spans="1:24" hidden="1">
      <c r="A3707">
        <v>2130</v>
      </c>
      <c r="B3707" s="2">
        <v>46252.726620370398</v>
      </c>
      <c r="C3707" s="2">
        <v>46252.728275463</v>
      </c>
      <c r="D3707" s="1" t="s">
        <v>24</v>
      </c>
      <c r="E3707" s="1"/>
      <c r="F3707" s="29">
        <v>46252</v>
      </c>
      <c r="G3707" s="29">
        <v>46252</v>
      </c>
      <c r="H3707" s="1" t="s">
        <v>3572</v>
      </c>
      <c r="I3707" s="126" t="s">
        <v>8194</v>
      </c>
      <c r="J3707" s="207" t="s">
        <v>8195</v>
      </c>
      <c r="K3707" s="171"/>
      <c r="L3707" s="62">
        <v>23735300</v>
      </c>
      <c r="M3707" s="30">
        <v>5537313083</v>
      </c>
      <c r="N3707" s="171" t="s">
        <v>47</v>
      </c>
      <c r="O3707" s="52">
        <v>30795.51</v>
      </c>
      <c r="P3707" s="52">
        <v>8899.33</v>
      </c>
      <c r="Q3707" s="42">
        <f>OfficeForms.Table[[#This Row],[ INFORMEDEPAGO ]]*0.3</f>
        <v>9238.6529999999984</v>
      </c>
      <c r="R3707" s="12">
        <f t="shared" ref="R3707" si="212">(IF(O3707&lt;4172.98,0,MIN(O3707*0.3,O3707-4172.98)))-P3707</f>
        <v>339.3229999999985</v>
      </c>
      <c r="S3707" s="78">
        <v>46419</v>
      </c>
      <c r="T3707" s="1" t="s">
        <v>192</v>
      </c>
      <c r="V3707" s="1"/>
      <c r="X3707" s="101">
        <v>2</v>
      </c>
    </row>
    <row r="3708" spans="1:24" hidden="1">
      <c r="A3708">
        <v>2131</v>
      </c>
      <c r="B3708" s="2">
        <v>46252.707326388903</v>
      </c>
      <c r="C3708" s="2">
        <v>46252.731793981497</v>
      </c>
      <c r="D3708" s="1" t="s">
        <v>24</v>
      </c>
      <c r="E3708" s="1"/>
      <c r="F3708" s="29">
        <v>46252</v>
      </c>
      <c r="G3708" s="29">
        <v>46252</v>
      </c>
      <c r="H3708" s="1" t="s">
        <v>78</v>
      </c>
      <c r="I3708" s="126" t="s">
        <v>8196</v>
      </c>
      <c r="J3708" s="207"/>
      <c r="K3708" s="171" t="s">
        <v>8197</v>
      </c>
      <c r="L3708" s="62">
        <v>23729040</v>
      </c>
      <c r="M3708" s="30">
        <v>5217717624320</v>
      </c>
      <c r="N3708" s="171" t="s">
        <v>28</v>
      </c>
      <c r="O3708" s="67">
        <v>9760.32</v>
      </c>
      <c r="P3708" s="99"/>
      <c r="Q3708" s="42">
        <f>OfficeForms.Table[[#This Row],[ INFORMEDEPAGO ]]*0.3</f>
        <v>2928.096</v>
      </c>
      <c r="R3708" s="12">
        <f t="shared" ref="R3708" si="213">(IF(O3708&lt;4172.98,0,MIN(O3708*0.3,O3708-4172.98)))-P3708</f>
        <v>2928.096</v>
      </c>
      <c r="S3708" s="78"/>
      <c r="T3708" s="1"/>
      <c r="V3708" s="1"/>
      <c r="X3708" s="101">
        <v>1</v>
      </c>
    </row>
    <row r="3709" spans="1:24" hidden="1">
      <c r="A3709">
        <v>2132</v>
      </c>
      <c r="B3709" s="2">
        <v>46252.506215277797</v>
      </c>
      <c r="C3709" s="2">
        <v>46252.741932870398</v>
      </c>
      <c r="D3709" s="1" t="s">
        <v>24</v>
      </c>
      <c r="E3709" s="1"/>
      <c r="F3709" s="29">
        <v>46252</v>
      </c>
      <c r="G3709" s="29">
        <v>46252</v>
      </c>
      <c r="H3709" s="1" t="s">
        <v>1625</v>
      </c>
      <c r="I3709" s="126" t="s">
        <v>8198</v>
      </c>
      <c r="J3709" s="207">
        <v>47927640186</v>
      </c>
      <c r="K3709" s="171" t="s">
        <v>8199</v>
      </c>
      <c r="L3709" s="62">
        <v>2</v>
      </c>
      <c r="M3709" s="30">
        <v>8110820198</v>
      </c>
      <c r="N3709" s="171" t="s">
        <v>37</v>
      </c>
      <c r="O3709" s="52">
        <v>8181.55</v>
      </c>
      <c r="P3709" s="52">
        <v>2248.06</v>
      </c>
      <c r="Q3709" s="42">
        <f>OfficeForms.Table[[#This Row],[ INFORMEDEPAGO ]]*0.3</f>
        <v>2454.4650000000001</v>
      </c>
      <c r="R3709" s="12">
        <f t="shared" ref="R3709" si="214">(IF(O3709&lt;4172.98,0,MIN(O3709*0.3,O3709-4172.98)))-P3709</f>
        <v>206.4050000000002</v>
      </c>
      <c r="S3709" s="78">
        <v>46631</v>
      </c>
      <c r="T3709" s="1"/>
      <c r="V3709" s="1"/>
      <c r="X3709" s="101">
        <v>2</v>
      </c>
    </row>
    <row r="3710" spans="1:24" hidden="1">
      <c r="A3710">
        <v>2133</v>
      </c>
      <c r="B3710" s="2">
        <v>46252.743136574099</v>
      </c>
      <c r="C3710" s="2">
        <v>46252.743645833303</v>
      </c>
      <c r="D3710" s="1" t="s">
        <v>24</v>
      </c>
      <c r="E3710" s="1"/>
      <c r="F3710" s="29">
        <v>46252</v>
      </c>
      <c r="G3710" s="29">
        <v>46252</v>
      </c>
      <c r="H3710" s="1" t="s">
        <v>8200</v>
      </c>
      <c r="I3710" s="126" t="s">
        <v>8201</v>
      </c>
      <c r="J3710" s="207" t="s">
        <v>8202</v>
      </c>
      <c r="K3710" s="171"/>
      <c r="L3710" s="62">
        <v>23736572</v>
      </c>
      <c r="M3710" s="30">
        <v>5219981311710</v>
      </c>
      <c r="N3710" s="171" t="s">
        <v>28</v>
      </c>
      <c r="O3710" s="67">
        <v>9582.4699999999993</v>
      </c>
      <c r="P3710" s="99"/>
      <c r="Q3710" s="42">
        <f>OfficeForms.Table[[#This Row],[ INFORMEDEPAGO ]]*0.3</f>
        <v>2874.7409999999995</v>
      </c>
      <c r="R3710" s="12">
        <f t="shared" ref="R3710" si="215">(IF(O3710&lt;4172.98,0,MIN(O3710*0.3,O3710-4172.98)))-P3710</f>
        <v>2874.7409999999995</v>
      </c>
      <c r="S3710" s="78"/>
      <c r="T3710" s="1"/>
      <c r="V3710" s="1"/>
      <c r="X3710" s="101">
        <v>1</v>
      </c>
    </row>
    <row r="3711" spans="1:24" hidden="1">
      <c r="A3711">
        <v>2134</v>
      </c>
      <c r="B3711" s="2">
        <v>46252.7629282407</v>
      </c>
      <c r="C3711" s="2">
        <v>46252.763495370396</v>
      </c>
      <c r="D3711" s="1" t="s">
        <v>24</v>
      </c>
      <c r="E3711" s="1"/>
      <c r="F3711" s="29">
        <v>46252</v>
      </c>
      <c r="G3711" s="29">
        <v>46252</v>
      </c>
      <c r="H3711" s="1" t="s">
        <v>26</v>
      </c>
      <c r="I3711" s="126" t="s">
        <v>8203</v>
      </c>
      <c r="J3711" s="207"/>
      <c r="K3711" s="171" t="s">
        <v>8204</v>
      </c>
      <c r="L3711" s="62">
        <v>23733188</v>
      </c>
      <c r="M3711" s="30">
        <v>5218123200080</v>
      </c>
      <c r="N3711" s="171" t="s">
        <v>28</v>
      </c>
      <c r="O3711" s="50">
        <v>40908.589999999997</v>
      </c>
      <c r="P3711" s="97"/>
      <c r="Q3711" s="42">
        <f>OfficeForms.Table[[#This Row],[ INFORMEDEPAGO ]]*0.3</f>
        <v>12272.576999999999</v>
      </c>
      <c r="R3711" s="12">
        <f t="shared" ref="R3711" si="216">(IF(O3711&lt;4172.98,0,MIN(O3711*0.3,O3711-4172.98)))-P3711</f>
        <v>12272.576999999999</v>
      </c>
      <c r="S3711" s="78"/>
      <c r="T3711" s="1"/>
      <c r="V3711" s="1"/>
      <c r="X3711" s="101">
        <v>1</v>
      </c>
    </row>
    <row r="3712" spans="1:24" hidden="1">
      <c r="A3712">
        <v>2135</v>
      </c>
      <c r="B3712" s="2">
        <v>46252.764780092599</v>
      </c>
      <c r="C3712" s="2">
        <v>46252.765289351897</v>
      </c>
      <c r="D3712" s="1" t="s">
        <v>24</v>
      </c>
      <c r="E3712" s="1"/>
      <c r="F3712" s="29">
        <v>46252</v>
      </c>
      <c r="G3712" s="29">
        <v>46252</v>
      </c>
      <c r="H3712" s="1" t="s">
        <v>8200</v>
      </c>
      <c r="I3712" s="126" t="s">
        <v>8205</v>
      </c>
      <c r="J3712" s="207"/>
      <c r="K3712" s="171" t="s">
        <v>8206</v>
      </c>
      <c r="L3712" s="62">
        <v>23737222</v>
      </c>
      <c r="M3712" s="30">
        <v>5215523676283</v>
      </c>
      <c r="N3712" s="171" t="s">
        <v>28</v>
      </c>
      <c r="O3712" s="50">
        <v>9760.32</v>
      </c>
      <c r="P3712" s="97"/>
      <c r="Q3712" s="42">
        <f>OfficeForms.Table[[#This Row],[ INFORMEDEPAGO ]]*0.3</f>
        <v>2928.096</v>
      </c>
      <c r="R3712" s="12">
        <f>(IF(O3712&lt;4172.98,0,MIN(O3712*0.3,O3712-4172.98)))-P3712</f>
        <v>2928.096</v>
      </c>
      <c r="S3712" s="78"/>
      <c r="T3712" s="1"/>
      <c r="V3712" s="1"/>
      <c r="X3712" s="101">
        <v>1</v>
      </c>
    </row>
    <row r="3713" spans="1:24" hidden="1">
      <c r="A3713">
        <v>2136</v>
      </c>
      <c r="B3713" s="2">
        <v>46253.337592592601</v>
      </c>
      <c r="C3713" s="2">
        <v>46253.338344907403</v>
      </c>
      <c r="D3713" s="1" t="s">
        <v>24</v>
      </c>
      <c r="E3713" s="1"/>
      <c r="F3713" s="29">
        <v>46253</v>
      </c>
      <c r="G3713" s="29">
        <v>46253</v>
      </c>
      <c r="H3713" s="1" t="s">
        <v>1629</v>
      </c>
      <c r="I3713" s="126" t="s">
        <v>8207</v>
      </c>
      <c r="J3713" s="207">
        <v>43786103093</v>
      </c>
      <c r="K3713" s="171" t="s">
        <v>8208</v>
      </c>
      <c r="L3713" s="62">
        <v>2</v>
      </c>
      <c r="M3713" s="30" t="s">
        <v>8209</v>
      </c>
      <c r="N3713" s="171" t="s">
        <v>37</v>
      </c>
      <c r="O3713" s="50">
        <v>6488.55</v>
      </c>
      <c r="P3713" s="97">
        <v>1811.82</v>
      </c>
      <c r="Q3713" s="42">
        <f>OfficeForms.Table[[#This Row],[ INFORMEDEPAGO ]]*0.3</f>
        <v>1946.5650000000001</v>
      </c>
      <c r="R3713" s="12">
        <f>(IF(O3713&lt;4172.98,0,MIN(O3713*0.3,O3713-4172.98)))-P3713</f>
        <v>134.74500000000012</v>
      </c>
      <c r="S3713" s="78">
        <v>46478</v>
      </c>
      <c r="T3713" s="1"/>
      <c r="V3713" s="1"/>
      <c r="X3713" s="101">
        <v>2</v>
      </c>
    </row>
    <row r="3714" spans="1:24" hidden="1">
      <c r="A3714">
        <v>2137</v>
      </c>
      <c r="B3714" s="2">
        <v>46253.354675925897</v>
      </c>
      <c r="C3714" s="2">
        <v>46253.355300925898</v>
      </c>
      <c r="D3714" s="1" t="s">
        <v>24</v>
      </c>
      <c r="E3714" s="1"/>
      <c r="F3714" s="29">
        <v>46253</v>
      </c>
      <c r="G3714" s="29">
        <v>46253</v>
      </c>
      <c r="H3714" s="1" t="s">
        <v>1629</v>
      </c>
      <c r="I3714" s="126" t="s">
        <v>8210</v>
      </c>
      <c r="J3714" s="207">
        <v>32967881122</v>
      </c>
      <c r="K3714" s="171" t="s">
        <v>8211</v>
      </c>
      <c r="L3714" s="62">
        <v>2</v>
      </c>
      <c r="M3714" s="30" t="s">
        <v>8212</v>
      </c>
      <c r="N3714" s="171" t="s">
        <v>47</v>
      </c>
      <c r="O3714" s="50">
        <v>9063.16</v>
      </c>
      <c r="P3714" s="97">
        <v>2412.4</v>
      </c>
      <c r="Q3714" s="42">
        <f>OfficeForms.Table[[#This Row],[ INFORMEDEPAGO ]]*0.3</f>
        <v>2718.9479999999999</v>
      </c>
      <c r="R3714" s="12">
        <f>(IF(O3714&lt;4172.98,0,MIN(O3714*0.3,O3714-4172.98)))-P3714</f>
        <v>306.54799999999977</v>
      </c>
      <c r="S3714" s="78">
        <v>46357</v>
      </c>
      <c r="T3714" s="1"/>
      <c r="V3714" s="1"/>
      <c r="X3714" s="101">
        <v>2</v>
      </c>
    </row>
    <row r="3715" spans="1:24" hidden="1">
      <c r="A3715">
        <v>2138</v>
      </c>
      <c r="B3715" s="2">
        <v>46253.388206018499</v>
      </c>
      <c r="C3715" s="2">
        <v>46253.388773148203</v>
      </c>
      <c r="D3715" s="1" t="s">
        <v>24</v>
      </c>
      <c r="E3715" s="1"/>
      <c r="F3715" s="29">
        <v>46253</v>
      </c>
      <c r="G3715" s="29">
        <v>46253</v>
      </c>
      <c r="H3715" s="1" t="s">
        <v>1629</v>
      </c>
      <c r="I3715" s="126" t="s">
        <v>5414</v>
      </c>
      <c r="J3715" s="207" t="s">
        <v>8213</v>
      </c>
      <c r="K3715" s="171" t="s">
        <v>5415</v>
      </c>
      <c r="L3715" s="62">
        <v>2</v>
      </c>
      <c r="M3715" s="30" t="s">
        <v>8214</v>
      </c>
      <c r="N3715" s="171" t="s">
        <v>32</v>
      </c>
      <c r="O3715" s="50">
        <v>3789.49</v>
      </c>
      <c r="P3715" s="97">
        <v>848</v>
      </c>
      <c r="Q3715" s="42">
        <f>OfficeForms.Table[[#This Row],[ INFORMEDEPAGO ]]*0.3</f>
        <v>1136.847</v>
      </c>
      <c r="R3715" s="12">
        <f t="shared" ref="R3715:R3720" si="217">(IF(O3715&lt;4172.98,0,MIN(O3715*0.3,O3715-4172.98)))-P3715</f>
        <v>-848</v>
      </c>
      <c r="S3715" s="78"/>
      <c r="T3715" s="1"/>
      <c r="V3715" s="1"/>
      <c r="X3715" s="101">
        <v>1</v>
      </c>
    </row>
    <row r="3716" spans="1:24" hidden="1">
      <c r="A3716">
        <v>2139</v>
      </c>
      <c r="B3716" s="2">
        <v>46253.391782407401</v>
      </c>
      <c r="C3716" s="2">
        <v>46253.393495370401</v>
      </c>
      <c r="D3716" s="1" t="s">
        <v>24</v>
      </c>
      <c r="E3716" s="1"/>
      <c r="F3716" s="29">
        <v>46253</v>
      </c>
      <c r="G3716" s="29">
        <v>46253</v>
      </c>
      <c r="H3716" s="1" t="s">
        <v>1625</v>
      </c>
      <c r="I3716" s="126" t="s">
        <v>8215</v>
      </c>
      <c r="J3716" s="207" t="s">
        <v>8216</v>
      </c>
      <c r="K3716" s="171" t="s">
        <v>8217</v>
      </c>
      <c r="L3716" s="62">
        <v>2</v>
      </c>
      <c r="M3716" s="30">
        <v>155596648509</v>
      </c>
      <c r="N3716" s="171" t="s">
        <v>98</v>
      </c>
      <c r="O3716" s="50"/>
      <c r="P3716" s="97"/>
      <c r="Q3716" s="42">
        <f>OfficeForms.Table[[#This Row],[ INFORMEDEPAGO ]]*0.3</f>
        <v>0</v>
      </c>
      <c r="R3716" s="12">
        <f t="shared" si="217"/>
        <v>0</v>
      </c>
      <c r="S3716" s="78"/>
      <c r="T3716" s="1"/>
      <c r="V3716" s="1"/>
      <c r="X3716" s="101">
        <v>0</v>
      </c>
    </row>
    <row r="3717" spans="1:24" hidden="1">
      <c r="A3717">
        <v>2140</v>
      </c>
      <c r="B3717" s="2">
        <v>46253.396701388898</v>
      </c>
      <c r="C3717" s="2">
        <v>46253.3975810185</v>
      </c>
      <c r="D3717" s="1" t="s">
        <v>24</v>
      </c>
      <c r="E3717" s="1"/>
      <c r="F3717" s="29">
        <v>46253</v>
      </c>
      <c r="G3717" s="29">
        <v>46252</v>
      </c>
      <c r="H3717" s="1" t="s">
        <v>269</v>
      </c>
      <c r="I3717" s="126" t="s">
        <v>8218</v>
      </c>
      <c r="J3717" s="207"/>
      <c r="K3717" s="171" t="s">
        <v>8219</v>
      </c>
      <c r="L3717" s="62">
        <v>23743121</v>
      </c>
      <c r="M3717" s="30">
        <v>5216645749617</v>
      </c>
      <c r="N3717" s="171" t="s">
        <v>37</v>
      </c>
      <c r="O3717" s="50">
        <v>9760.32</v>
      </c>
      <c r="P3717" s="97">
        <v>2926.53</v>
      </c>
      <c r="Q3717" s="42">
        <f>OfficeForms.Table[[#This Row],[ INFORMEDEPAGO ]]*0.3</f>
        <v>2928.096</v>
      </c>
      <c r="R3717" s="12">
        <f t="shared" si="217"/>
        <v>1.5659999999998035</v>
      </c>
      <c r="S3717" s="78">
        <v>46813</v>
      </c>
      <c r="T3717" s="1"/>
      <c r="V3717" s="1"/>
      <c r="X3717" s="101">
        <v>2</v>
      </c>
    </row>
    <row r="3718" spans="1:24" hidden="1">
      <c r="A3718">
        <v>2141</v>
      </c>
      <c r="B3718" s="2">
        <v>46253.396759259304</v>
      </c>
      <c r="C3718" s="2">
        <v>46253.3980787037</v>
      </c>
      <c r="D3718" s="1" t="s">
        <v>24</v>
      </c>
      <c r="E3718" s="1"/>
      <c r="F3718" s="29">
        <v>46253</v>
      </c>
      <c r="G3718" s="29">
        <v>46253</v>
      </c>
      <c r="H3718" s="1" t="s">
        <v>1625</v>
      </c>
      <c r="I3718" s="126" t="s">
        <v>8220</v>
      </c>
      <c r="J3718" s="207">
        <v>1685022301</v>
      </c>
      <c r="K3718" s="171" t="s">
        <v>8221</v>
      </c>
      <c r="L3718" s="62">
        <v>2</v>
      </c>
      <c r="M3718" s="30">
        <v>5629089900</v>
      </c>
      <c r="N3718" s="171" t="s">
        <v>37</v>
      </c>
      <c r="O3718" s="50">
        <v>4649.8900000000003</v>
      </c>
      <c r="P3718" s="97">
        <v>458.93</v>
      </c>
      <c r="Q3718" s="42">
        <f>OfficeForms.Table[[#This Row],[ INFORMEDEPAGO ]]*0.3</f>
        <v>1394.9670000000001</v>
      </c>
      <c r="R3718" s="12">
        <f t="shared" si="217"/>
        <v>17.980000000000757</v>
      </c>
      <c r="S3718" s="78">
        <v>46447</v>
      </c>
      <c r="T3718" s="1"/>
      <c r="V3718" s="1"/>
      <c r="X3718" s="101">
        <v>2</v>
      </c>
    </row>
    <row r="3719" spans="1:24" hidden="1">
      <c r="A3719">
        <v>2142</v>
      </c>
      <c r="B3719" s="2">
        <v>46253.402696759302</v>
      </c>
      <c r="C3719" s="2">
        <v>46253.404571759304</v>
      </c>
      <c r="D3719" s="1" t="s">
        <v>24</v>
      </c>
      <c r="E3719" s="1"/>
      <c r="F3719" s="29">
        <v>46253</v>
      </c>
      <c r="G3719" s="29">
        <v>46253</v>
      </c>
      <c r="H3719" s="1" t="s">
        <v>1625</v>
      </c>
      <c r="I3719" s="126" t="s">
        <v>8222</v>
      </c>
      <c r="J3719" s="207">
        <v>43916865546</v>
      </c>
      <c r="K3719" s="171" t="s">
        <v>8223</v>
      </c>
      <c r="L3719" s="62">
        <v>2</v>
      </c>
      <c r="M3719" s="30">
        <v>18124487621</v>
      </c>
      <c r="N3719" s="171" t="s">
        <v>37</v>
      </c>
      <c r="O3719" s="50">
        <v>6405.06</v>
      </c>
      <c r="P3719" s="97">
        <v>1921.04</v>
      </c>
      <c r="Q3719" s="42">
        <f>OfficeForms.Table[[#This Row],[ INFORMEDEPAGO ]]*0.3</f>
        <v>1921.518</v>
      </c>
      <c r="R3719" s="12">
        <f t="shared" si="217"/>
        <v>0.47800000000006548</v>
      </c>
      <c r="S3719" s="78">
        <v>46508</v>
      </c>
      <c r="T3719" s="1"/>
      <c r="V3719" s="1"/>
      <c r="X3719" s="101">
        <v>2</v>
      </c>
    </row>
    <row r="3720" spans="1:24" hidden="1">
      <c r="A3720">
        <v>2143</v>
      </c>
      <c r="B3720" s="2">
        <v>46253.339456018497</v>
      </c>
      <c r="C3720" s="2">
        <v>46253.404780092598</v>
      </c>
      <c r="D3720" s="1" t="s">
        <v>24</v>
      </c>
      <c r="E3720" s="1"/>
      <c r="F3720" s="29">
        <v>46253</v>
      </c>
      <c r="G3720" s="29">
        <v>46252</v>
      </c>
      <c r="H3720" s="1" t="s">
        <v>3572</v>
      </c>
      <c r="I3720" s="126" t="s">
        <v>8224</v>
      </c>
      <c r="J3720" s="207"/>
      <c r="K3720" s="171" t="s">
        <v>8225</v>
      </c>
      <c r="L3720" s="62">
        <v>23733548</v>
      </c>
      <c r="M3720" s="30">
        <v>3482494854</v>
      </c>
      <c r="N3720" s="171" t="s">
        <v>28</v>
      </c>
      <c r="O3720" s="50">
        <v>7920.51</v>
      </c>
      <c r="P3720" s="97"/>
      <c r="Q3720" s="42">
        <f>OfficeForms.Table[[#This Row],[ INFORMEDEPAGO ]]*0.3</f>
        <v>2376.1529999999998</v>
      </c>
      <c r="R3720" s="12">
        <f t="shared" si="217"/>
        <v>2376.1529999999998</v>
      </c>
      <c r="S3720" s="78"/>
      <c r="T3720" s="1"/>
      <c r="V3720" s="1"/>
      <c r="X3720" s="101">
        <v>1</v>
      </c>
    </row>
    <row r="3721" spans="1:24" hidden="1">
      <c r="A3721">
        <v>2144</v>
      </c>
      <c r="B3721" s="2">
        <v>46253.4059375</v>
      </c>
      <c r="C3721" s="2">
        <v>46253.407037037003</v>
      </c>
      <c r="D3721" s="1" t="s">
        <v>24</v>
      </c>
      <c r="E3721" s="1"/>
      <c r="F3721" s="29">
        <v>46253</v>
      </c>
      <c r="G3721" s="29">
        <v>46253</v>
      </c>
      <c r="H3721" s="1" t="s">
        <v>1625</v>
      </c>
      <c r="I3721" s="126" t="s">
        <v>8226</v>
      </c>
      <c r="J3721" s="207">
        <v>43795940956</v>
      </c>
      <c r="K3721" s="171" t="s">
        <v>8227</v>
      </c>
      <c r="L3721" s="62">
        <v>2</v>
      </c>
      <c r="M3721" s="30">
        <v>18135544559</v>
      </c>
      <c r="N3721" s="171" t="s">
        <v>47</v>
      </c>
      <c r="O3721" s="50">
        <v>4990.99</v>
      </c>
      <c r="P3721" s="97"/>
      <c r="Q3721" s="42">
        <f>OfficeForms.Table[[#This Row],[ INFORMEDEPAGO ]]*0.3</f>
        <v>1497.2969999999998</v>
      </c>
      <c r="R3721" s="12">
        <f>(IF(O3721&lt;4172.98,0,MIN(O3721*0.3,O3721-4172.98)))-P3721</f>
        <v>818.01000000000022</v>
      </c>
      <c r="S3721" s="78"/>
      <c r="T3721" s="1"/>
      <c r="V3721" s="1"/>
      <c r="X3721" s="101">
        <v>1</v>
      </c>
    </row>
    <row r="3722" spans="1:24" hidden="1">
      <c r="A3722">
        <v>2145</v>
      </c>
      <c r="B3722" s="2">
        <v>46253.409340277802</v>
      </c>
      <c r="C3722" s="2">
        <v>46253.411469907398</v>
      </c>
      <c r="D3722" s="1" t="s">
        <v>24</v>
      </c>
      <c r="E3722" s="1"/>
      <c r="F3722" s="29">
        <v>46253</v>
      </c>
      <c r="G3722" s="29">
        <v>46253</v>
      </c>
      <c r="H3722" s="1" t="s">
        <v>1625</v>
      </c>
      <c r="I3722" s="126" t="s">
        <v>8228</v>
      </c>
      <c r="J3722" s="207">
        <v>4856527298</v>
      </c>
      <c r="K3722" s="171" t="s">
        <v>8229</v>
      </c>
      <c r="L3722" s="62">
        <v>2</v>
      </c>
      <c r="M3722" s="30">
        <v>13313536832</v>
      </c>
      <c r="N3722" s="171" t="s">
        <v>37</v>
      </c>
      <c r="O3722" s="50">
        <v>10636.54</v>
      </c>
      <c r="P3722" s="97">
        <v>3178.72</v>
      </c>
      <c r="Q3722" s="42">
        <f>OfficeForms.Table[[#This Row],[ INFORMEDEPAGO ]]*0.3</f>
        <v>3190.962</v>
      </c>
      <c r="R3722" s="12">
        <f>(IF(O3722&lt;4172.98,0,MIN(O3722*0.3,O3722-4172.98)))-P3722</f>
        <v>12.242000000000189</v>
      </c>
      <c r="S3722" s="78">
        <v>46966</v>
      </c>
      <c r="T3722" s="1"/>
      <c r="V3722" s="1"/>
      <c r="X3722" s="101">
        <v>2</v>
      </c>
    </row>
    <row r="3723" spans="1:24" hidden="1">
      <c r="A3723">
        <v>2146</v>
      </c>
      <c r="B3723" s="2">
        <v>46253.407199074099</v>
      </c>
      <c r="C3723" s="2">
        <v>46253.418460648099</v>
      </c>
      <c r="D3723" s="1" t="s">
        <v>24</v>
      </c>
      <c r="E3723" s="1"/>
      <c r="F3723" s="29">
        <v>46253</v>
      </c>
      <c r="G3723" s="29">
        <v>46252</v>
      </c>
      <c r="H3723" s="1" t="s">
        <v>51</v>
      </c>
      <c r="I3723" s="126" t="s">
        <v>8230</v>
      </c>
      <c r="J3723" s="207" t="s">
        <v>8231</v>
      </c>
      <c r="K3723" s="171" t="s">
        <v>8232</v>
      </c>
      <c r="L3723" s="62">
        <v>23726144</v>
      </c>
      <c r="M3723" s="30">
        <v>5219541548449</v>
      </c>
      <c r="N3723" s="171" t="s">
        <v>47</v>
      </c>
      <c r="O3723" s="50">
        <v>15280.15</v>
      </c>
      <c r="P3723" s="97">
        <v>4046.08</v>
      </c>
      <c r="Q3723" s="42">
        <f>OfficeForms.Table[[#This Row],[ INFORMEDEPAGO ]]*0.3</f>
        <v>4584.0450000000001</v>
      </c>
      <c r="R3723" s="12">
        <f>(IF(O3723&lt;4172.98,0,MIN(O3723*0.3,O3723-4172.98)))-P3723</f>
        <v>537.96500000000015</v>
      </c>
      <c r="S3723" s="78"/>
      <c r="T3723" s="1"/>
      <c r="V3723" s="1" t="s">
        <v>8233</v>
      </c>
      <c r="W3723" s="29">
        <v>46253</v>
      </c>
      <c r="X3723" s="101">
        <v>1</v>
      </c>
    </row>
    <row r="3724" spans="1:24" hidden="1">
      <c r="A3724">
        <v>2147</v>
      </c>
      <c r="B3724" s="2">
        <v>46253.419606481497</v>
      </c>
      <c r="C3724" s="2">
        <v>46253.440520833297</v>
      </c>
      <c r="D3724" s="1" t="s">
        <v>24</v>
      </c>
      <c r="E3724" s="1"/>
      <c r="F3724" s="29">
        <v>46253</v>
      </c>
      <c r="G3724" s="29">
        <v>46253</v>
      </c>
      <c r="H3724" s="1" t="s">
        <v>2908</v>
      </c>
      <c r="I3724" s="126" t="s">
        <v>8234</v>
      </c>
      <c r="J3724" s="207" t="s">
        <v>8235</v>
      </c>
      <c r="K3724" s="171" t="s">
        <v>8236</v>
      </c>
      <c r="L3724" s="62">
        <v>2</v>
      </c>
      <c r="M3724" s="30" t="s">
        <v>8237</v>
      </c>
      <c r="N3724" s="171" t="s">
        <v>74</v>
      </c>
      <c r="O3724" s="50"/>
      <c r="P3724" s="97"/>
      <c r="Q3724" s="42">
        <f>OfficeForms.Table[[#This Row],[ INFORMEDEPAGO ]]*0.3</f>
        <v>0</v>
      </c>
      <c r="R3724" s="12">
        <f>(IF(O3724&lt;4172.98,0,MIN(O3724*0.3,O3724-4172.98)))-P3724</f>
        <v>0</v>
      </c>
      <c r="S3724" s="78"/>
      <c r="T3724" s="1"/>
      <c r="V3724" s="1"/>
      <c r="X3724" s="101">
        <v>1</v>
      </c>
    </row>
    <row r="3725" spans="1:24" hidden="1">
      <c r="A3725">
        <v>2148</v>
      </c>
      <c r="B3725" s="2">
        <v>46253.437604166698</v>
      </c>
      <c r="C3725" s="2">
        <v>46253.441342592603</v>
      </c>
      <c r="D3725" s="1" t="s">
        <v>24</v>
      </c>
      <c r="E3725" s="1"/>
      <c r="F3725" s="29">
        <v>46253</v>
      </c>
      <c r="G3725" s="29">
        <v>46253</v>
      </c>
      <c r="H3725" s="1" t="s">
        <v>8238</v>
      </c>
      <c r="I3725" s="126" t="s">
        <v>8239</v>
      </c>
      <c r="J3725" s="207" t="s">
        <v>8240</v>
      </c>
      <c r="K3725" s="171" t="s">
        <v>8241</v>
      </c>
      <c r="L3725" s="62">
        <v>23760649</v>
      </c>
      <c r="M3725" s="30">
        <v>8448703557</v>
      </c>
      <c r="N3725" s="171" t="s">
        <v>37</v>
      </c>
      <c r="O3725" s="50">
        <v>9926.1299999999992</v>
      </c>
      <c r="P3725" s="97">
        <v>2953.74</v>
      </c>
      <c r="Q3725" s="42">
        <f>OfficeForms.Table[[#This Row],[ INFORMEDEPAGO ]]*0.3</f>
        <v>2977.8389999999995</v>
      </c>
      <c r="R3725" s="12">
        <f>(IF(O3725&lt;4172.98,0,MIN(O3725*0.3,O3725-4172.98)))-P3725</f>
        <v>24.098999999999705</v>
      </c>
      <c r="S3725" s="78">
        <v>46874</v>
      </c>
      <c r="T3725" s="1"/>
      <c r="V3725" s="1"/>
      <c r="X3725" s="101">
        <v>2</v>
      </c>
    </row>
    <row r="3726" spans="1:24" hidden="1">
      <c r="A3726">
        <v>2149</v>
      </c>
      <c r="B3726" s="2">
        <v>46253.428703703699</v>
      </c>
      <c r="C3726" s="2">
        <v>46253.447129629603</v>
      </c>
      <c r="D3726" s="1" t="s">
        <v>24</v>
      </c>
      <c r="E3726" s="1"/>
      <c r="F3726" s="29">
        <v>46253</v>
      </c>
      <c r="G3726" s="29">
        <v>46253</v>
      </c>
      <c r="H3726" s="1" t="s">
        <v>1629</v>
      </c>
      <c r="I3726" s="126" t="s">
        <v>8242</v>
      </c>
      <c r="J3726" s="207">
        <v>1978610368</v>
      </c>
      <c r="K3726" s="171" t="s">
        <v>8243</v>
      </c>
      <c r="L3726" s="62">
        <v>2</v>
      </c>
      <c r="M3726" s="30">
        <v>5545603967</v>
      </c>
      <c r="N3726" s="171" t="s">
        <v>37</v>
      </c>
      <c r="O3726" s="50">
        <v>7920.51</v>
      </c>
      <c r="P3726" s="97">
        <v>2291.6</v>
      </c>
      <c r="Q3726" s="42">
        <f>OfficeForms.Table[[#This Row],[ INFORMEDEPAGO ]]*0.3</f>
        <v>2376.1529999999998</v>
      </c>
      <c r="R3726" s="12">
        <f>(IF(O3726&lt;4172.98,0,MIN(O3726*0.3,O3726-4172.98)))-P3726</f>
        <v>84.552999999999884</v>
      </c>
      <c r="S3726" s="78">
        <v>46661</v>
      </c>
      <c r="T3726" s="1"/>
      <c r="V3726" s="1"/>
      <c r="X3726" s="101">
        <v>2</v>
      </c>
    </row>
    <row r="3727" spans="1:24" hidden="1">
      <c r="A3727">
        <v>2150</v>
      </c>
      <c r="B3727" s="2">
        <v>46253.444837962998</v>
      </c>
      <c r="C3727" s="2">
        <v>46253.451793981498</v>
      </c>
      <c r="D3727" s="1" t="s">
        <v>24</v>
      </c>
      <c r="E3727" s="1"/>
      <c r="F3727" s="29">
        <v>46253</v>
      </c>
      <c r="G3727" s="29">
        <v>46253</v>
      </c>
      <c r="H3727" s="1" t="s">
        <v>269</v>
      </c>
      <c r="I3727" s="126" t="s">
        <v>8244</v>
      </c>
      <c r="J3727" s="207"/>
      <c r="K3727" s="171" t="s">
        <v>8245</v>
      </c>
      <c r="L3727" s="62">
        <v>23756661</v>
      </c>
      <c r="M3727" s="30">
        <v>5214776735685</v>
      </c>
      <c r="N3727" s="171" t="s">
        <v>28</v>
      </c>
      <c r="O3727" s="50">
        <v>9290.75</v>
      </c>
      <c r="P3727" s="97"/>
      <c r="Q3727" s="42">
        <f>OfficeForms.Table[[#This Row],[ INFORMEDEPAGO ]]*0.3</f>
        <v>2787.2249999999999</v>
      </c>
      <c r="R3727" s="12">
        <f>(IF(O3727&lt;4172.98,0,MIN(O3727*0.3,O3727-4172.98)))-P3727</f>
        <v>2787.2249999999999</v>
      </c>
      <c r="S3727" s="78"/>
      <c r="T3727" s="1"/>
      <c r="V3727" s="1" t="s">
        <v>8246</v>
      </c>
      <c r="W3727" s="29">
        <v>46253</v>
      </c>
      <c r="X3727" s="101">
        <v>1</v>
      </c>
    </row>
    <row r="3728" spans="1:24" hidden="1">
      <c r="A3728">
        <v>2151</v>
      </c>
      <c r="B3728" s="2">
        <v>46253.448113425897</v>
      </c>
      <c r="C3728" s="2">
        <v>46253.4526273148</v>
      </c>
      <c r="D3728" s="1" t="s">
        <v>24</v>
      </c>
      <c r="E3728" s="1"/>
      <c r="F3728" s="29">
        <v>46253</v>
      </c>
      <c r="G3728" s="29">
        <v>46253</v>
      </c>
      <c r="H3728" s="1" t="s">
        <v>1957</v>
      </c>
      <c r="I3728" s="126" t="s">
        <v>8159</v>
      </c>
      <c r="J3728" s="207">
        <v>32816374634</v>
      </c>
      <c r="K3728" s="171" t="s">
        <v>8247</v>
      </c>
      <c r="L3728" s="62">
        <v>2</v>
      </c>
      <c r="M3728" s="30">
        <v>18128798044</v>
      </c>
      <c r="N3728" s="171" t="s">
        <v>37</v>
      </c>
      <c r="O3728" s="50">
        <v>7920.51</v>
      </c>
      <c r="P3728" s="97">
        <v>2376.14</v>
      </c>
      <c r="Q3728" s="42">
        <f>OfficeForms.Table[[#This Row],[ INFORMEDEPAGO ]]*0.3</f>
        <v>2376.1529999999998</v>
      </c>
      <c r="R3728" s="12">
        <f>(IF(O3728&lt;4172.98,0,MIN(O3728*0.3,O3728-4172.98)))-P3728</f>
        <v>1.2999999999919964E-2</v>
      </c>
      <c r="S3728" s="78">
        <v>46905</v>
      </c>
      <c r="T3728" s="1"/>
      <c r="V3728" s="1"/>
      <c r="X3728" s="101">
        <v>2</v>
      </c>
    </row>
    <row r="3729" spans="1:24" hidden="1">
      <c r="A3729">
        <v>2152</v>
      </c>
      <c r="B3729" s="2">
        <v>46253.453807870399</v>
      </c>
      <c r="C3729" s="2">
        <v>46253.454212962999</v>
      </c>
      <c r="D3729" s="1" t="s">
        <v>24</v>
      </c>
      <c r="E3729" s="1"/>
      <c r="F3729" s="29">
        <v>46253</v>
      </c>
      <c r="G3729" s="29">
        <v>46253</v>
      </c>
      <c r="H3729" s="1" t="s">
        <v>269</v>
      </c>
      <c r="I3729" s="126" t="s">
        <v>8248</v>
      </c>
      <c r="J3729" s="207"/>
      <c r="K3729" s="171" t="s">
        <v>8249</v>
      </c>
      <c r="L3729" s="62">
        <v>23741092</v>
      </c>
      <c r="M3729" s="30">
        <v>5218111372546</v>
      </c>
      <c r="N3729" s="171" t="s">
        <v>32</v>
      </c>
      <c r="O3729" s="50">
        <v>4108.09</v>
      </c>
      <c r="P3729" s="97"/>
      <c r="Q3729" s="42">
        <f>OfficeForms.Table[[#This Row],[ INFORMEDEPAGO ]]*0.3</f>
        <v>1232.4269999999999</v>
      </c>
      <c r="R3729" s="12">
        <f>(IF(O3729&lt;4172.98,0,MIN(O3729*0.3,O3729-4172.98)))-P3729</f>
        <v>0</v>
      </c>
      <c r="S3729" s="78"/>
      <c r="T3729" s="1"/>
      <c r="V3729" s="1"/>
      <c r="X3729" s="101">
        <v>1</v>
      </c>
    </row>
    <row r="3730" spans="1:24" hidden="1">
      <c r="A3730">
        <v>2153</v>
      </c>
      <c r="B3730" s="2">
        <v>46253.455601851798</v>
      </c>
      <c r="C3730" s="2">
        <v>46253.456053240698</v>
      </c>
      <c r="D3730" s="1" t="s">
        <v>24</v>
      </c>
      <c r="E3730" s="1"/>
      <c r="F3730" s="29">
        <v>46253</v>
      </c>
      <c r="G3730" s="29">
        <v>46253</v>
      </c>
      <c r="H3730" s="1" t="s">
        <v>269</v>
      </c>
      <c r="I3730" s="126" t="s">
        <v>8250</v>
      </c>
      <c r="J3730" s="207" t="s">
        <v>8251</v>
      </c>
      <c r="K3730" s="171" t="s">
        <v>8252</v>
      </c>
      <c r="L3730" s="62">
        <v>23740678</v>
      </c>
      <c r="M3730" s="30">
        <v>5216632002507</v>
      </c>
      <c r="N3730" s="171" t="s">
        <v>37</v>
      </c>
      <c r="O3730" s="50">
        <v>6186.05</v>
      </c>
      <c r="P3730" s="97">
        <v>1715.11</v>
      </c>
      <c r="Q3730" s="42">
        <f>OfficeForms.Table[[#This Row],[ INFORMEDEPAGO ]]*0.3</f>
        <v>1855.8150000000001</v>
      </c>
      <c r="R3730" s="12">
        <f>(IF(O3730&lt;4172.98,0,MIN(O3730*0.3,O3730-4172.98)))-P3730</f>
        <v>140.70500000000015</v>
      </c>
      <c r="S3730" s="78">
        <v>46296</v>
      </c>
      <c r="T3730" s="1"/>
      <c r="V3730" s="1"/>
      <c r="X3730" s="101">
        <v>2</v>
      </c>
    </row>
    <row r="3731" spans="1:24" hidden="1">
      <c r="A3731">
        <v>2154</v>
      </c>
      <c r="B3731" s="2">
        <v>46253.460046296299</v>
      </c>
      <c r="C3731" s="2">
        <v>46253.461087962998</v>
      </c>
      <c r="D3731" s="1" t="s">
        <v>24</v>
      </c>
      <c r="E3731" s="1"/>
      <c r="F3731" s="29">
        <v>46253</v>
      </c>
      <c r="G3731" s="29">
        <v>46251</v>
      </c>
      <c r="H3731" s="1" t="s">
        <v>8253</v>
      </c>
      <c r="I3731" s="126" t="s">
        <v>8254</v>
      </c>
      <c r="J3731" s="207"/>
      <c r="K3731" s="171" t="s">
        <v>8255</v>
      </c>
      <c r="L3731" s="62">
        <v>23706370</v>
      </c>
      <c r="M3731" s="30">
        <v>6444470845</v>
      </c>
      <c r="N3731" s="171" t="s">
        <v>28</v>
      </c>
      <c r="O3731" s="50">
        <v>9760.32</v>
      </c>
      <c r="P3731" s="97"/>
      <c r="Q3731" s="42">
        <f>OfficeForms.Table[[#This Row],[ INFORMEDEPAGO ]]*0.3</f>
        <v>2928.096</v>
      </c>
      <c r="R3731" s="12">
        <f>(IF(O3731&lt;4172.98,0,MIN(O3731*0.3,O3731-4172.98)))-P3731</f>
        <v>2928.096</v>
      </c>
      <c r="S3731" s="78"/>
      <c r="T3731" s="1"/>
      <c r="V3731" s="1" t="s">
        <v>8256</v>
      </c>
      <c r="W3731" s="29">
        <v>46253</v>
      </c>
      <c r="X3731" s="101">
        <v>1</v>
      </c>
    </row>
    <row r="3732" spans="1:24" hidden="1">
      <c r="A3732">
        <v>2155</v>
      </c>
      <c r="B3732" s="2">
        <v>46253.461145833302</v>
      </c>
      <c r="C3732" s="2">
        <v>46253.472442129598</v>
      </c>
      <c r="D3732" s="1" t="s">
        <v>24</v>
      </c>
      <c r="E3732" s="1"/>
      <c r="F3732" s="29">
        <v>46253</v>
      </c>
      <c r="G3732" s="29">
        <v>46253</v>
      </c>
      <c r="H3732" s="1" t="s">
        <v>8253</v>
      </c>
      <c r="I3732" s="126" t="s">
        <v>8257</v>
      </c>
      <c r="J3732" s="207"/>
      <c r="K3732" s="171" t="s">
        <v>8258</v>
      </c>
      <c r="L3732" s="62">
        <v>23761287</v>
      </c>
      <c r="M3732" s="30">
        <v>8124440400</v>
      </c>
      <c r="N3732" s="171" t="s">
        <v>106</v>
      </c>
      <c r="O3732" s="50">
        <v>8592.73</v>
      </c>
      <c r="P3732" s="97">
        <v>2385.73</v>
      </c>
      <c r="Q3732" s="42">
        <f>OfficeForms.Table[[#This Row],[ INFORMEDEPAGO ]]*0.3</f>
        <v>2577.819</v>
      </c>
      <c r="R3732" s="12">
        <f>(IF(O3732&lt;4172.98,0,MIN(O3732*0.3,O3732-4172.98)))-P3732</f>
        <v>192.08899999999994</v>
      </c>
      <c r="S3732" s="78">
        <v>46235</v>
      </c>
      <c r="T3732" s="1"/>
      <c r="V3732" s="1" t="s">
        <v>8246</v>
      </c>
      <c r="W3732" s="29">
        <v>46253</v>
      </c>
      <c r="X3732" s="101">
        <v>2</v>
      </c>
    </row>
    <row r="3733" spans="1:24" hidden="1">
      <c r="A3733">
        <v>2156</v>
      </c>
      <c r="B3733" s="2">
        <v>46253.471527777801</v>
      </c>
      <c r="C3733" s="2">
        <v>46253.472800925898</v>
      </c>
      <c r="D3733" s="1" t="s">
        <v>24</v>
      </c>
      <c r="E3733" s="1"/>
      <c r="F3733" s="29">
        <v>46253</v>
      </c>
      <c r="G3733" s="29">
        <v>46253</v>
      </c>
      <c r="H3733" s="1" t="s">
        <v>1957</v>
      </c>
      <c r="I3733" s="126" t="s">
        <v>8259</v>
      </c>
      <c r="J3733" s="207">
        <v>89816316841</v>
      </c>
      <c r="K3733" s="171" t="s">
        <v>8260</v>
      </c>
      <c r="L3733" s="62">
        <v>2</v>
      </c>
      <c r="M3733" s="30">
        <v>15559648509</v>
      </c>
      <c r="N3733" s="171" t="s">
        <v>37</v>
      </c>
      <c r="O3733" s="50">
        <v>11407.83</v>
      </c>
      <c r="P3733" s="97">
        <v>3422.35</v>
      </c>
      <c r="Q3733" s="42">
        <f>OfficeForms.Table[[#This Row],[ INFORMEDEPAGO ]]*0.3</f>
        <v>3422.3489999999997</v>
      </c>
      <c r="R3733" s="12">
        <f>(IF(O3733&lt;4172.98,0,MIN(O3733*0.3,O3733-4172.98)))-P3733</f>
        <v>-1.0000000002037268E-3</v>
      </c>
      <c r="S3733" s="78">
        <v>46508</v>
      </c>
      <c r="T3733" s="1"/>
      <c r="V3733" s="1"/>
      <c r="X3733" s="101">
        <v>2</v>
      </c>
    </row>
    <row r="3734" spans="1:24" hidden="1">
      <c r="A3734">
        <v>2157</v>
      </c>
      <c r="B3734" s="2">
        <v>46253.473136574103</v>
      </c>
      <c r="C3734" s="2">
        <v>46253.474398148101</v>
      </c>
      <c r="D3734" s="1" t="s">
        <v>24</v>
      </c>
      <c r="E3734" s="1"/>
      <c r="F3734" s="29">
        <v>46253</v>
      </c>
      <c r="G3734" s="29">
        <v>46253</v>
      </c>
      <c r="H3734" s="1" t="s">
        <v>8261</v>
      </c>
      <c r="I3734" s="126" t="s">
        <v>8262</v>
      </c>
      <c r="J3734" s="207">
        <v>62856000708</v>
      </c>
      <c r="K3734" s="171" t="s">
        <v>8263</v>
      </c>
      <c r="L3734" s="62">
        <v>23762769</v>
      </c>
      <c r="M3734" s="30">
        <v>5212221625726</v>
      </c>
      <c r="N3734" s="171" t="s">
        <v>28</v>
      </c>
      <c r="O3734" s="50">
        <v>21036.47</v>
      </c>
      <c r="P3734" s="97">
        <v>1533.09</v>
      </c>
      <c r="Q3734" s="42">
        <f>OfficeForms.Table[[#This Row],[ INFORMEDEPAGO ]]*0.3</f>
        <v>6310.9409999999998</v>
      </c>
      <c r="R3734" s="12">
        <f>(IF(O3734&lt;4172.98,0,MIN(O3734*0.3,O3734-4172.98)))-P3734</f>
        <v>4777.8509999999997</v>
      </c>
      <c r="S3734" s="78">
        <v>46447</v>
      </c>
      <c r="T3734" s="1"/>
      <c r="V3734" s="1" t="s">
        <v>8264</v>
      </c>
      <c r="W3734" s="29">
        <v>46253</v>
      </c>
      <c r="X3734" s="101">
        <v>2</v>
      </c>
    </row>
    <row r="3735" spans="1:24" hidden="1">
      <c r="A3735">
        <v>2158</v>
      </c>
      <c r="B3735" s="2">
        <v>46253.475995370398</v>
      </c>
      <c r="C3735" s="2">
        <v>46253.477708333303</v>
      </c>
      <c r="D3735" s="1" t="s">
        <v>24</v>
      </c>
      <c r="E3735" s="1"/>
      <c r="F3735" s="29">
        <v>46253</v>
      </c>
      <c r="G3735" s="29">
        <v>46253</v>
      </c>
      <c r="H3735" s="1" t="s">
        <v>1957</v>
      </c>
      <c r="I3735" s="126" t="s">
        <v>8265</v>
      </c>
      <c r="J3735" s="207">
        <v>47927640186</v>
      </c>
      <c r="K3735" s="171" t="s">
        <v>8199</v>
      </c>
      <c r="L3735" s="62">
        <v>2</v>
      </c>
      <c r="M3735" s="30">
        <v>18110820198</v>
      </c>
      <c r="N3735" s="171" t="s">
        <v>1149</v>
      </c>
      <c r="O3735" s="50"/>
      <c r="P3735" s="97"/>
      <c r="Q3735" s="42">
        <f>OfficeForms.Table[[#This Row],[ INFORMEDEPAGO ]]*0.3</f>
        <v>0</v>
      </c>
      <c r="R3735" s="12">
        <f>(IF(O3735&lt;4172.98,0,MIN(O3735*0.3,O3735-4172.98)))-P3735</f>
        <v>0</v>
      </c>
      <c r="S3735" s="78"/>
      <c r="T3735" s="1"/>
      <c r="V3735" s="1"/>
      <c r="X3735" s="101">
        <v>1</v>
      </c>
    </row>
    <row r="3736" spans="1:24" hidden="1">
      <c r="A3736">
        <v>2159</v>
      </c>
      <c r="B3736" s="2">
        <v>46253.450891203698</v>
      </c>
      <c r="C3736" s="2">
        <v>46253.481157407397</v>
      </c>
      <c r="D3736" s="1" t="s">
        <v>24</v>
      </c>
      <c r="E3736" s="1"/>
      <c r="F3736" s="29">
        <v>46253</v>
      </c>
      <c r="G3736" s="29">
        <v>46253</v>
      </c>
      <c r="H3736" s="1" t="s">
        <v>8238</v>
      </c>
      <c r="I3736" s="126" t="s">
        <v>3774</v>
      </c>
      <c r="J3736" s="207"/>
      <c r="K3736" s="171" t="s">
        <v>3775</v>
      </c>
      <c r="L3736" s="62">
        <v>23762447</v>
      </c>
      <c r="M3736" s="30">
        <v>2881358339</v>
      </c>
      <c r="N3736" s="171" t="s">
        <v>37</v>
      </c>
      <c r="O3736" s="50">
        <v>5617.63</v>
      </c>
      <c r="P3736" s="97">
        <v>1429.29</v>
      </c>
      <c r="Q3736" s="42">
        <f>OfficeForms.Table[[#This Row],[ INFORMEDEPAGO ]]*0.3</f>
        <v>1685.289</v>
      </c>
      <c r="R3736" s="12">
        <f>(IF(O3736&lt;4172.98,0,MIN(O3736*0.3,O3736-4172.98)))-P3736</f>
        <v>15.360000000000582</v>
      </c>
      <c r="S3736" s="78">
        <v>46905</v>
      </c>
      <c r="T3736" s="1"/>
      <c r="V3736" s="1"/>
      <c r="X3736" s="101">
        <v>2</v>
      </c>
    </row>
    <row r="3737" spans="1:24" hidden="1">
      <c r="A3737">
        <v>2160</v>
      </c>
      <c r="B3737" s="2">
        <v>46253.377893518496</v>
      </c>
      <c r="C3737" s="2">
        <v>46253.503449074102</v>
      </c>
      <c r="D3737" s="1" t="s">
        <v>24</v>
      </c>
      <c r="E3737" s="1"/>
      <c r="F3737" s="29">
        <v>46253</v>
      </c>
      <c r="G3737" s="29">
        <v>46253</v>
      </c>
      <c r="H3737" s="1" t="s">
        <v>78</v>
      </c>
      <c r="I3737" s="126" t="s">
        <v>8266</v>
      </c>
      <c r="J3737" s="207">
        <v>92967829364</v>
      </c>
      <c r="K3737" s="171" t="s">
        <v>8267</v>
      </c>
      <c r="L3737" s="62">
        <v>23755183</v>
      </c>
      <c r="M3737" s="30">
        <v>5215568558693</v>
      </c>
      <c r="N3737" s="171" t="s">
        <v>32</v>
      </c>
      <c r="O3737" s="50">
        <v>3108.99</v>
      </c>
      <c r="P3737" s="97"/>
      <c r="Q3737" s="42">
        <f>OfficeForms.Table[[#This Row],[ INFORMEDEPAGO ]]*0.3</f>
        <v>932.69699999999989</v>
      </c>
      <c r="R3737" s="12">
        <f>(IF(O3737&lt;4172.98,0,MIN(O3737*0.3,O3737-4172.98)))-P3737</f>
        <v>0</v>
      </c>
      <c r="S3737" s="78"/>
      <c r="T3737" s="1"/>
      <c r="V3737" s="1"/>
      <c r="X3737" s="101">
        <v>1</v>
      </c>
    </row>
    <row r="3738" spans="1:24" hidden="1">
      <c r="A3738">
        <v>2161</v>
      </c>
      <c r="B3738" s="2">
        <v>46253.498287037</v>
      </c>
      <c r="C3738" s="2">
        <v>46253.505856481497</v>
      </c>
      <c r="D3738" s="1" t="s">
        <v>24</v>
      </c>
      <c r="E3738" s="1"/>
      <c r="F3738" s="29">
        <v>46253</v>
      </c>
      <c r="G3738" s="29">
        <v>46251</v>
      </c>
      <c r="H3738" s="1" t="s">
        <v>51</v>
      </c>
      <c r="I3738" s="126" t="s">
        <v>8268</v>
      </c>
      <c r="J3738" s="207" t="s">
        <v>8269</v>
      </c>
      <c r="K3738" s="171" t="s">
        <v>8270</v>
      </c>
      <c r="L3738" s="62">
        <v>23712454</v>
      </c>
      <c r="M3738" s="30">
        <v>5215539220345</v>
      </c>
      <c r="N3738" s="171" t="s">
        <v>37</v>
      </c>
      <c r="O3738" s="52">
        <v>9081.52</v>
      </c>
      <c r="P3738" s="52">
        <v>2724.29</v>
      </c>
      <c r="Q3738" s="42">
        <f>OfficeForms.Table[[#This Row],[ INFORMEDEPAGO ]]*0.3</f>
        <v>2724.4560000000001</v>
      </c>
      <c r="R3738" s="12">
        <f t="shared" ref="R3738:R3740" si="218">(IF(O3738&lt;4172.98,0,MIN(O3738*0.3,O3738-4172.98)))-P3738</f>
        <v>0.16600000000016735</v>
      </c>
      <c r="S3738" s="78">
        <v>46600</v>
      </c>
      <c r="T3738" s="1"/>
      <c r="V3738" s="1"/>
      <c r="X3738" s="101">
        <v>2</v>
      </c>
    </row>
    <row r="3739" spans="1:24" hidden="1">
      <c r="A3739">
        <v>2162</v>
      </c>
      <c r="B3739" s="2">
        <v>46253.499409722201</v>
      </c>
      <c r="C3739" s="2">
        <v>46253.510138888902</v>
      </c>
      <c r="D3739" s="1" t="s">
        <v>24</v>
      </c>
      <c r="E3739" s="1"/>
      <c r="F3739" s="29">
        <v>46253</v>
      </c>
      <c r="G3739" s="29">
        <v>46253</v>
      </c>
      <c r="H3739" s="1" t="s">
        <v>8271</v>
      </c>
      <c r="I3739" s="126" t="s">
        <v>8272</v>
      </c>
      <c r="J3739" s="207">
        <v>53886934016</v>
      </c>
      <c r="K3739" s="171" t="s">
        <v>8273</v>
      </c>
      <c r="L3739" s="62">
        <v>23751017</v>
      </c>
      <c r="M3739" s="30">
        <v>521452523411319</v>
      </c>
      <c r="N3739" s="171" t="s">
        <v>37</v>
      </c>
      <c r="O3739" s="52">
        <v>10994.17</v>
      </c>
      <c r="P3739" s="52">
        <v>3296.77</v>
      </c>
      <c r="Q3739" s="42">
        <f>OfficeForms.Table[[#This Row],[ INFORMEDEPAGO ]]*0.3</f>
        <v>3298.2509999999997</v>
      </c>
      <c r="R3739" s="12">
        <f t="shared" si="218"/>
        <v>1.4809999999997672</v>
      </c>
      <c r="S3739" s="78">
        <v>46631</v>
      </c>
      <c r="T3739" s="1" t="s">
        <v>84</v>
      </c>
      <c r="V3739" s="1"/>
      <c r="X3739" s="101">
        <v>2</v>
      </c>
    </row>
    <row r="3740" spans="1:24" hidden="1">
      <c r="A3740">
        <v>2163</v>
      </c>
      <c r="B3740" s="2">
        <v>46253.5090740741</v>
      </c>
      <c r="C3740" s="2">
        <v>46253.511273148099</v>
      </c>
      <c r="D3740" s="1" t="s">
        <v>24</v>
      </c>
      <c r="E3740" s="1"/>
      <c r="F3740" s="29">
        <v>46253</v>
      </c>
      <c r="G3740" s="29">
        <v>46253</v>
      </c>
      <c r="H3740" s="1" t="s">
        <v>1957</v>
      </c>
      <c r="I3740" s="126" t="s">
        <v>8274</v>
      </c>
      <c r="J3740" s="207">
        <v>54766413147</v>
      </c>
      <c r="K3740" s="171" t="s">
        <v>8275</v>
      </c>
      <c r="L3740" s="62">
        <v>2</v>
      </c>
      <c r="M3740" s="30">
        <v>3313536832</v>
      </c>
      <c r="N3740" s="171" t="s">
        <v>37</v>
      </c>
      <c r="O3740" s="52">
        <v>9081.52</v>
      </c>
      <c r="P3740" s="52">
        <v>2518.37</v>
      </c>
      <c r="Q3740" s="42">
        <f>OfficeForms.Table[[#This Row],[ INFORMEDEPAGO ]]*0.3</f>
        <v>2724.4560000000001</v>
      </c>
      <c r="R3740" s="12">
        <f t="shared" si="218"/>
        <v>206.08600000000024</v>
      </c>
      <c r="S3740" s="78">
        <v>46357</v>
      </c>
      <c r="T3740" s="1"/>
      <c r="V3740" s="1"/>
      <c r="X3740" s="101">
        <v>2</v>
      </c>
    </row>
    <row r="3741" spans="1:24" hidden="1">
      <c r="A3741">
        <v>2164</v>
      </c>
      <c r="B3741" s="2">
        <v>46253.506273148101</v>
      </c>
      <c r="C3741" s="2">
        <v>46253.518229166701</v>
      </c>
      <c r="D3741" s="1" t="s">
        <v>24</v>
      </c>
      <c r="E3741" s="1"/>
      <c r="F3741" s="29">
        <v>46253</v>
      </c>
      <c r="G3741" s="29">
        <v>46253</v>
      </c>
      <c r="H3741" s="1" t="s">
        <v>51</v>
      </c>
      <c r="I3741" s="126" t="s">
        <v>8276</v>
      </c>
      <c r="J3741" s="207">
        <v>65735108428</v>
      </c>
      <c r="K3741" s="171" t="s">
        <v>8277</v>
      </c>
      <c r="L3741" s="62">
        <v>23758635</v>
      </c>
      <c r="M3741" s="30">
        <v>5219992591417</v>
      </c>
      <c r="N3741" s="171" t="s">
        <v>37</v>
      </c>
      <c r="O3741" s="52">
        <v>8944.83</v>
      </c>
      <c r="P3741" s="52">
        <v>2670.78</v>
      </c>
      <c r="Q3741" s="42">
        <f>OfficeForms.Table[[#This Row],[ INFORMEDEPAGO ]]*0.3</f>
        <v>2683.4490000000001</v>
      </c>
      <c r="R3741" s="12">
        <f t="shared" ref="R3741" si="219">(IF(O3741&lt;4172.98,0,MIN(O3741*0.3,O3741-4172.98)))-P3741</f>
        <v>12.668999999999869</v>
      </c>
      <c r="S3741" s="78">
        <v>46813</v>
      </c>
      <c r="T3741" s="1"/>
      <c r="V3741" s="1"/>
      <c r="X3741" s="101">
        <v>2</v>
      </c>
    </row>
    <row r="3742" spans="1:24" hidden="1">
      <c r="A3742">
        <v>2165</v>
      </c>
      <c r="B3742" s="2">
        <v>46253.533171296302</v>
      </c>
      <c r="C3742" s="2">
        <v>46253.541678240697</v>
      </c>
      <c r="D3742" s="1" t="s">
        <v>24</v>
      </c>
      <c r="E3742" s="1"/>
      <c r="F3742" s="29">
        <v>46253</v>
      </c>
      <c r="G3742" s="29">
        <v>46252</v>
      </c>
      <c r="H3742" s="1" t="s">
        <v>8271</v>
      </c>
      <c r="I3742" s="126" t="s">
        <v>8278</v>
      </c>
      <c r="J3742" s="207">
        <v>13978040858</v>
      </c>
      <c r="K3742" s="171" t="s">
        <v>8279</v>
      </c>
      <c r="L3742" s="62">
        <v>23742131</v>
      </c>
      <c r="M3742" s="30">
        <v>5216145090575</v>
      </c>
      <c r="N3742" s="171" t="s">
        <v>28</v>
      </c>
      <c r="O3742" s="50">
        <f>88669.49-80969.29</f>
        <v>7700.2000000000116</v>
      </c>
      <c r="P3742" s="97"/>
      <c r="Q3742" s="42">
        <f>OfficeForms.Table[[#This Row],[ INFORMEDEPAGO ]]*0.3</f>
        <v>2310.0600000000036</v>
      </c>
      <c r="R3742" s="12">
        <f>(IF(O3742&lt;4172.98,0,MIN(O3742*0.3,O3742-4172.98)))-P3742</f>
        <v>2310.0600000000036</v>
      </c>
      <c r="S3742" s="78"/>
      <c r="T3742" s="1"/>
      <c r="V3742" s="1" t="s">
        <v>8280</v>
      </c>
      <c r="W3742" s="29">
        <v>46253</v>
      </c>
      <c r="X3742" s="101">
        <v>1</v>
      </c>
    </row>
    <row r="3743" spans="1:24" hidden="1">
      <c r="A3743">
        <v>2166</v>
      </c>
      <c r="B3743" s="2">
        <v>46253.5402314815</v>
      </c>
      <c r="C3743" s="2">
        <v>46253.542986111097</v>
      </c>
      <c r="D3743" s="1" t="s">
        <v>24</v>
      </c>
      <c r="E3743" s="1"/>
      <c r="F3743" s="29">
        <v>46253</v>
      </c>
      <c r="G3743" s="29">
        <v>46253</v>
      </c>
      <c r="H3743" s="1" t="s">
        <v>8281</v>
      </c>
      <c r="I3743" s="126" t="s">
        <v>8282</v>
      </c>
      <c r="J3743" s="207"/>
      <c r="K3743" s="171" t="s">
        <v>8283</v>
      </c>
      <c r="L3743" s="62">
        <v>23757641</v>
      </c>
      <c r="M3743" s="30">
        <v>5212225682011</v>
      </c>
      <c r="N3743" s="171" t="s">
        <v>28</v>
      </c>
      <c r="O3743" s="50">
        <v>9760.32</v>
      </c>
      <c r="P3743" s="97"/>
      <c r="Q3743" s="42">
        <f>OfficeForms.Table[[#This Row],[ INFORMEDEPAGO ]]*0.3</f>
        <v>2928.096</v>
      </c>
      <c r="R3743" s="12">
        <f>(IF(O3743&lt;4172.98,0,MIN(O3743*0.3,O3743-4172.98)))-P3743</f>
        <v>2928.096</v>
      </c>
      <c r="S3743" s="78"/>
      <c r="T3743" s="1"/>
      <c r="V3743" s="1" t="s">
        <v>8256</v>
      </c>
      <c r="W3743" s="29">
        <v>46253</v>
      </c>
      <c r="X3743" s="101">
        <v>1</v>
      </c>
    </row>
    <row r="3744" spans="1:24" hidden="1">
      <c r="A3744">
        <v>2167</v>
      </c>
      <c r="B3744" s="2">
        <v>46253.580046296302</v>
      </c>
      <c r="C3744" s="2">
        <v>46253.581342592603</v>
      </c>
      <c r="D3744" s="1" t="s">
        <v>24</v>
      </c>
      <c r="E3744" s="1"/>
      <c r="F3744" s="29">
        <v>46253</v>
      </c>
      <c r="G3744" s="29">
        <v>46253</v>
      </c>
      <c r="H3744" s="1" t="s">
        <v>1957</v>
      </c>
      <c r="I3744" s="126" t="s">
        <v>7649</v>
      </c>
      <c r="J3744" s="207">
        <v>72786009315</v>
      </c>
      <c r="K3744" s="171" t="s">
        <v>7650</v>
      </c>
      <c r="L3744" s="62">
        <v>2</v>
      </c>
      <c r="M3744" s="30">
        <v>8671619075</v>
      </c>
      <c r="N3744" s="171" t="s">
        <v>37</v>
      </c>
      <c r="O3744" s="50">
        <v>5617.63</v>
      </c>
      <c r="P3744" s="97">
        <v>1444.64</v>
      </c>
      <c r="Q3744" s="42">
        <f>OfficeForms.Table[[#This Row],[ INFORMEDEPAGO ]]*0.3</f>
        <v>1685.289</v>
      </c>
      <c r="R3744" s="12">
        <f>(IF(O3744&lt;4172.98,0,MIN(O3744*0.3,O3744-4172.98)))-P3744</f>
        <v>1.0000000000445652E-2</v>
      </c>
      <c r="S3744" s="78">
        <v>46419</v>
      </c>
      <c r="T3744" s="1"/>
      <c r="V3744" s="1"/>
      <c r="X3744" s="101">
        <v>0</v>
      </c>
    </row>
    <row r="3745" spans="1:24" hidden="1">
      <c r="A3745">
        <v>2168</v>
      </c>
      <c r="B3745" s="2">
        <v>46253.322824074101</v>
      </c>
      <c r="C3745" s="2">
        <v>46253.587974536997</v>
      </c>
      <c r="D3745" s="1" t="s">
        <v>24</v>
      </c>
      <c r="E3745" s="1"/>
      <c r="F3745" s="29">
        <v>46253</v>
      </c>
      <c r="G3745" s="29">
        <v>46253</v>
      </c>
      <c r="H3745" s="1" t="s">
        <v>1625</v>
      </c>
      <c r="I3745" s="126" t="s">
        <v>6223</v>
      </c>
      <c r="J3745" s="207" t="s">
        <v>6224</v>
      </c>
      <c r="K3745" s="171" t="s">
        <v>6225</v>
      </c>
      <c r="L3745" s="62">
        <v>2</v>
      </c>
      <c r="M3745" s="30">
        <v>3319038120</v>
      </c>
      <c r="N3745" s="172" t="s">
        <v>37</v>
      </c>
      <c r="O3745" s="91">
        <v>10024.790000000001</v>
      </c>
      <c r="P3745" s="91">
        <v>2896.27</v>
      </c>
      <c r="Q3745" s="42">
        <f>OfficeForms.Table[[#This Row],[ INFORMEDEPAGO ]]*0.3</f>
        <v>3007.4370000000004</v>
      </c>
      <c r="R3745" s="12">
        <f>(IF(O3745&lt;4172.98,0,MIN(O3745*0.3,O3745-4172.98)))-P3745</f>
        <v>111.16700000000037</v>
      </c>
      <c r="S3745" s="78">
        <v>46419</v>
      </c>
      <c r="T3745" s="1"/>
      <c r="V3745" s="1"/>
      <c r="X3745" s="101">
        <v>0</v>
      </c>
    </row>
    <row r="3746" spans="1:24" hidden="1">
      <c r="A3746">
        <v>2169</v>
      </c>
      <c r="B3746" s="2">
        <v>46253.5910069444</v>
      </c>
      <c r="C3746" s="2">
        <v>46253.592002314799</v>
      </c>
      <c r="D3746" s="1" t="s">
        <v>24</v>
      </c>
      <c r="E3746" s="1"/>
      <c r="F3746" s="29">
        <v>46253</v>
      </c>
      <c r="G3746" s="29">
        <v>46253</v>
      </c>
      <c r="H3746" s="1" t="s">
        <v>8253</v>
      </c>
      <c r="I3746" s="126" t="s">
        <v>8284</v>
      </c>
      <c r="J3746" s="207"/>
      <c r="K3746" s="171" t="s">
        <v>8285</v>
      </c>
      <c r="L3746" s="62">
        <v>23766780</v>
      </c>
      <c r="M3746" s="30">
        <v>2721532069</v>
      </c>
      <c r="N3746" s="172" t="s">
        <v>47</v>
      </c>
      <c r="O3746" s="43">
        <v>5617.63</v>
      </c>
      <c r="P3746" s="43">
        <v>1000</v>
      </c>
      <c r="Q3746" s="42">
        <f>OfficeForms.Table[[#This Row],[ INFORMEDEPAGO ]]*0.3</f>
        <v>1685.289</v>
      </c>
      <c r="R3746" s="12">
        <f>(IF(O3746&lt;4172.98,0,MIN(O3746*0.3,O3746-4172.98)))-P3746</f>
        <v>444.65000000000055</v>
      </c>
      <c r="S3746" s="78">
        <v>46722</v>
      </c>
      <c r="T3746" s="1"/>
      <c r="V3746" s="1" t="s">
        <v>8233</v>
      </c>
      <c r="W3746" s="29">
        <v>46253</v>
      </c>
      <c r="X3746" s="101">
        <v>2</v>
      </c>
    </row>
    <row r="3747" spans="1:24" hidden="1">
      <c r="A3747">
        <v>2170</v>
      </c>
      <c r="B3747" s="2">
        <v>46253.518240740697</v>
      </c>
      <c r="C3747" s="2">
        <v>46253.605844907397</v>
      </c>
      <c r="D3747" s="1" t="s">
        <v>24</v>
      </c>
      <c r="E3747" s="1"/>
      <c r="F3747" s="29">
        <v>46253</v>
      </c>
      <c r="G3747" s="29">
        <v>46253</v>
      </c>
      <c r="H3747" s="1" t="s">
        <v>51</v>
      </c>
      <c r="I3747" s="126" t="s">
        <v>8286</v>
      </c>
      <c r="J3747" s="175" t="s">
        <v>8287</v>
      </c>
      <c r="K3747" s="171" t="s">
        <v>8288</v>
      </c>
      <c r="L3747" s="62">
        <v>23759301</v>
      </c>
      <c r="M3747" s="30">
        <v>5216142835291</v>
      </c>
      <c r="N3747" s="172" t="s">
        <v>37</v>
      </c>
      <c r="O3747" s="43">
        <v>6411.47</v>
      </c>
      <c r="P3747" s="43">
        <v>1854.88</v>
      </c>
      <c r="Q3747" s="42">
        <f>OfficeForms.Table[[#This Row],[ INFORMEDEPAGO ]]*0.3</f>
        <v>1923.441</v>
      </c>
      <c r="R3747" s="12">
        <f>(IF(O3747&lt;4172.98,0,MIN(O3747*0.3,O3747-4172.98)))-P3747</f>
        <v>68.560999999999922</v>
      </c>
      <c r="S3747" s="78">
        <v>46539</v>
      </c>
      <c r="T3747" s="1" t="s">
        <v>178</v>
      </c>
      <c r="V3747" s="1"/>
      <c r="X3747" s="101">
        <v>2</v>
      </c>
    </row>
    <row r="3748" spans="1:24" hidden="1">
      <c r="A3748">
        <v>2171</v>
      </c>
      <c r="B3748" s="2">
        <v>46253.539803240703</v>
      </c>
      <c r="C3748" s="2">
        <v>46253.607025463003</v>
      </c>
      <c r="D3748" s="1" t="s">
        <v>24</v>
      </c>
      <c r="E3748" s="1"/>
      <c r="F3748" s="29">
        <v>46253</v>
      </c>
      <c r="G3748" s="29">
        <v>46253</v>
      </c>
      <c r="H3748" s="1" t="s">
        <v>78</v>
      </c>
      <c r="I3748" s="126" t="s">
        <v>8289</v>
      </c>
      <c r="J3748" s="175">
        <v>43795933001</v>
      </c>
      <c r="K3748" s="171" t="s">
        <v>8290</v>
      </c>
      <c r="L3748" s="62">
        <v>23763509</v>
      </c>
      <c r="M3748" s="30">
        <v>5213312837635</v>
      </c>
      <c r="N3748" s="172" t="s">
        <v>263</v>
      </c>
      <c r="O3748" s="43">
        <v>4172.53</v>
      </c>
      <c r="P3748" s="43">
        <v>375</v>
      </c>
      <c r="Q3748" s="42">
        <f>OfficeForms.Table[[#This Row],[ INFORMEDEPAGO ]]*0.3</f>
        <v>1251.7589999999998</v>
      </c>
      <c r="R3748" s="12">
        <f>(IF(O3748&lt;4172.98,0,MIN(O3748*0.3,O3748-4172.98)))-P3748</f>
        <v>-375</v>
      </c>
      <c r="S3748" s="78">
        <v>46204</v>
      </c>
      <c r="T3748" s="1" t="s">
        <v>192</v>
      </c>
      <c r="V3748" s="1" t="s">
        <v>8291</v>
      </c>
      <c r="W3748" s="29">
        <v>46253</v>
      </c>
      <c r="X3748" s="101">
        <v>2</v>
      </c>
    </row>
    <row r="3749" spans="1:24" hidden="1">
      <c r="A3749">
        <v>2172</v>
      </c>
      <c r="B3749" s="2">
        <v>46253.595949074101</v>
      </c>
      <c r="C3749" s="2">
        <v>46253.607060185197</v>
      </c>
      <c r="D3749" s="1" t="s">
        <v>24</v>
      </c>
      <c r="E3749" s="1"/>
      <c r="F3749" s="29">
        <v>46253</v>
      </c>
      <c r="G3749" s="29">
        <v>46253</v>
      </c>
      <c r="H3749" s="1" t="s">
        <v>78</v>
      </c>
      <c r="I3749" s="126" t="s">
        <v>8292</v>
      </c>
      <c r="J3749" s="175" t="s">
        <v>8293</v>
      </c>
      <c r="K3749" s="171" t="s">
        <v>8294</v>
      </c>
      <c r="L3749" s="62">
        <v>23760667</v>
      </c>
      <c r="M3749" s="30">
        <v>5216413217948</v>
      </c>
      <c r="N3749" s="172" t="s">
        <v>74</v>
      </c>
      <c r="O3749" s="50"/>
      <c r="P3749" s="97"/>
      <c r="Q3749" s="42">
        <f>OfficeForms.Table[[#This Row],[ INFORMEDEPAGO ]]*0.3</f>
        <v>0</v>
      </c>
      <c r="R3749" s="12">
        <f>(IF(O3749&lt;4172.98,0,MIN(O3749*0.3,O3749-4172.98)))-P3749</f>
        <v>0</v>
      </c>
      <c r="S3749" s="78"/>
      <c r="T3749" s="1"/>
      <c r="V3749" s="1"/>
      <c r="X3749" s="101">
        <v>1</v>
      </c>
    </row>
    <row r="3750" spans="1:24" hidden="1">
      <c r="A3750">
        <v>2173</v>
      </c>
      <c r="B3750" s="2">
        <v>46253.6081134259</v>
      </c>
      <c r="C3750" s="2">
        <v>46253.608900462998</v>
      </c>
      <c r="D3750" s="1" t="s">
        <v>24</v>
      </c>
      <c r="E3750" s="1"/>
      <c r="F3750" s="29">
        <v>46253</v>
      </c>
      <c r="G3750" s="29">
        <v>46253</v>
      </c>
      <c r="H3750" s="1" t="s">
        <v>8253</v>
      </c>
      <c r="I3750" s="126" t="s">
        <v>8295</v>
      </c>
      <c r="J3750" s="175"/>
      <c r="K3750" s="171" t="s">
        <v>8296</v>
      </c>
      <c r="L3750" s="62">
        <v>23765987</v>
      </c>
      <c r="M3750" s="30">
        <v>5514959212</v>
      </c>
      <c r="N3750" s="172" t="s">
        <v>37</v>
      </c>
      <c r="O3750" s="43">
        <v>7116.73</v>
      </c>
      <c r="P3750" s="43">
        <v>2135</v>
      </c>
      <c r="Q3750" s="42">
        <f>OfficeForms.Table[[#This Row],[ INFORMEDEPAGO ]]*0.3</f>
        <v>2135.0189999999998</v>
      </c>
      <c r="R3750" s="12">
        <f>(IF(O3750&lt;4172.98,0,MIN(O3750*0.3,O3750-4172.98)))-P3750</f>
        <v>1.8999999999778083E-2</v>
      </c>
      <c r="S3750" s="78">
        <v>46905</v>
      </c>
      <c r="T3750" s="1"/>
      <c r="V3750" s="1"/>
      <c r="X3750" s="101">
        <v>2</v>
      </c>
    </row>
    <row r="3751" spans="1:24" hidden="1">
      <c r="A3751">
        <v>2174</v>
      </c>
      <c r="B3751" s="2">
        <v>46253.624537037002</v>
      </c>
      <c r="C3751" s="2">
        <v>46253.627407407403</v>
      </c>
      <c r="D3751" s="1" t="s">
        <v>24</v>
      </c>
      <c r="E3751" s="1"/>
      <c r="F3751" s="29">
        <v>46253</v>
      </c>
      <c r="G3751" s="29">
        <v>46251</v>
      </c>
      <c r="H3751" s="1" t="s">
        <v>8297</v>
      </c>
      <c r="I3751" s="126" t="s">
        <v>8298</v>
      </c>
      <c r="J3751" s="175"/>
      <c r="K3751" s="171" t="s">
        <v>8299</v>
      </c>
      <c r="L3751" s="62">
        <v>23708942</v>
      </c>
      <c r="M3751" s="30">
        <v>5215511319744</v>
      </c>
      <c r="N3751" s="172" t="s">
        <v>37</v>
      </c>
      <c r="O3751" s="50">
        <v>5617.63</v>
      </c>
      <c r="P3751" s="97">
        <v>1390.67</v>
      </c>
      <c r="Q3751" s="42">
        <f>OfficeForms.Table[[#This Row],[ INFORMEDEPAGO ]]*0.3</f>
        <v>1685.289</v>
      </c>
      <c r="R3751" s="12">
        <f>(IF(O3751&lt;4172.98,0,MIN(O3751*0.3,O3751-4172.98)))-P3751</f>
        <v>53.980000000000473</v>
      </c>
      <c r="S3751" s="78">
        <v>46661</v>
      </c>
      <c r="T3751" s="1"/>
      <c r="V3751" s="1"/>
      <c r="X3751" s="101">
        <v>2</v>
      </c>
    </row>
    <row r="3752" spans="1:24" hidden="1">
      <c r="A3752">
        <v>2175</v>
      </c>
      <c r="B3752" s="2">
        <v>46253.627476851798</v>
      </c>
      <c r="C3752" s="2">
        <v>46253.640416666698</v>
      </c>
      <c r="D3752" s="1" t="s">
        <v>24</v>
      </c>
      <c r="E3752" s="1"/>
      <c r="F3752" s="29">
        <v>46253</v>
      </c>
      <c r="G3752" s="29">
        <v>46253</v>
      </c>
      <c r="H3752" s="1" t="s">
        <v>8297</v>
      </c>
      <c r="I3752" s="126" t="s">
        <v>8300</v>
      </c>
      <c r="J3752" s="175"/>
      <c r="K3752" s="171" t="s">
        <v>8301</v>
      </c>
      <c r="L3752" s="62">
        <v>23770102</v>
      </c>
      <c r="M3752" s="30">
        <v>5213320114300</v>
      </c>
      <c r="N3752" s="172" t="s">
        <v>28</v>
      </c>
      <c r="O3752" s="50">
        <v>13720.49</v>
      </c>
      <c r="P3752" s="97"/>
      <c r="Q3752" s="42">
        <f>OfficeForms.Table[[#This Row],[ INFORMEDEPAGO ]]*0.3</f>
        <v>4116.1469999999999</v>
      </c>
      <c r="R3752" s="12">
        <f>(IF(O3752&lt;4172.98,0,MIN(O3752*0.3,O3752-4172.98)))-P3752</f>
        <v>4116.1469999999999</v>
      </c>
      <c r="S3752" s="78"/>
      <c r="T3752" s="1"/>
      <c r="V3752" s="1" t="s">
        <v>8291</v>
      </c>
      <c r="W3752" s="29">
        <v>46253</v>
      </c>
      <c r="X3752" s="101">
        <v>1</v>
      </c>
    </row>
    <row r="3753" spans="1:24" hidden="1">
      <c r="A3753">
        <v>2176</v>
      </c>
      <c r="B3753" s="2">
        <v>46253.6180439815</v>
      </c>
      <c r="C3753" s="2">
        <v>46253.645162036999</v>
      </c>
      <c r="D3753" s="1" t="s">
        <v>24</v>
      </c>
      <c r="E3753" s="1"/>
      <c r="F3753" s="29">
        <v>46253</v>
      </c>
      <c r="G3753" s="29">
        <v>46252</v>
      </c>
      <c r="H3753" s="1" t="s">
        <v>78</v>
      </c>
      <c r="I3753" s="126" t="s">
        <v>8302</v>
      </c>
      <c r="J3753" s="175">
        <v>49866870857</v>
      </c>
      <c r="K3753" s="171" t="s">
        <v>8303</v>
      </c>
      <c r="L3753" s="62">
        <v>23741176</v>
      </c>
      <c r="M3753" s="30">
        <v>5218683665342</v>
      </c>
      <c r="N3753" s="172" t="s">
        <v>37</v>
      </c>
      <c r="O3753" s="52">
        <v>4961.96</v>
      </c>
      <c r="P3753" s="52">
        <v>788</v>
      </c>
      <c r="Q3753" s="42">
        <f>OfficeForms.Table[[#This Row],[ INFORMEDEPAGO ]]*0.3</f>
        <v>1488.588</v>
      </c>
      <c r="R3753" s="12">
        <f>(IF(O3753&lt;4172.98,0,MIN(O3753*0.3,O3753-4172.98)))-P3753</f>
        <v>0.98000000000047294</v>
      </c>
      <c r="S3753" s="78">
        <v>46905</v>
      </c>
      <c r="T3753" s="1"/>
      <c r="V3753" s="1"/>
      <c r="X3753" s="101">
        <v>2</v>
      </c>
    </row>
    <row r="3754" spans="1:24" hidden="1">
      <c r="A3754">
        <v>2177</v>
      </c>
      <c r="B3754" s="2">
        <v>46253.647141203699</v>
      </c>
      <c r="C3754" s="2">
        <v>46253.6484837963</v>
      </c>
      <c r="D3754" s="1" t="s">
        <v>24</v>
      </c>
      <c r="E3754" s="1"/>
      <c r="F3754" s="29">
        <v>46253</v>
      </c>
      <c r="G3754" s="29">
        <v>46253</v>
      </c>
      <c r="H3754" s="1" t="s">
        <v>8253</v>
      </c>
      <c r="I3754" s="126" t="s">
        <v>8304</v>
      </c>
      <c r="J3754" s="175"/>
      <c r="K3754" s="171" t="s">
        <v>8305</v>
      </c>
      <c r="L3754" s="62">
        <v>23769606</v>
      </c>
      <c r="M3754" s="30">
        <v>3122727690</v>
      </c>
      <c r="N3754" s="172" t="s">
        <v>130</v>
      </c>
      <c r="O3754" s="52">
        <v>4813.6899999999996</v>
      </c>
      <c r="P3754" s="52">
        <v>592.94000000000005</v>
      </c>
      <c r="Q3754" s="42">
        <f>OfficeForms.Table[[#This Row],[ INFORMEDEPAGO ]]*0.3</f>
        <v>1444.1069999999997</v>
      </c>
      <c r="R3754" s="12">
        <f>(IF(O3754&lt;4172.98,0,MIN(O3754*0.3,O3754-4172.98)))-P3754</f>
        <v>47.769999999999982</v>
      </c>
      <c r="S3754" s="78">
        <v>46174</v>
      </c>
      <c r="T3754" s="1"/>
      <c r="V3754" s="1" t="s">
        <v>8233</v>
      </c>
      <c r="W3754" s="29">
        <v>46253</v>
      </c>
      <c r="X3754" s="101">
        <v>2</v>
      </c>
    </row>
    <row r="3755" spans="1:24" hidden="1">
      <c r="A3755">
        <v>2178</v>
      </c>
      <c r="B3755" s="2">
        <v>46253.658819444398</v>
      </c>
      <c r="C3755" s="2">
        <v>46253.659884259301</v>
      </c>
      <c r="D3755" s="1" t="s">
        <v>24</v>
      </c>
      <c r="E3755" s="1"/>
      <c r="F3755" s="29">
        <v>46253</v>
      </c>
      <c r="G3755" s="29">
        <v>46253</v>
      </c>
      <c r="H3755" s="1" t="s">
        <v>2908</v>
      </c>
      <c r="I3755" s="126" t="s">
        <v>8306</v>
      </c>
      <c r="J3755" s="175">
        <v>54765947566</v>
      </c>
      <c r="K3755" s="171" t="s">
        <v>8307</v>
      </c>
      <c r="L3755" s="62">
        <v>2</v>
      </c>
      <c r="M3755" s="30" t="s">
        <v>8308</v>
      </c>
      <c r="N3755" s="172" t="s">
        <v>47</v>
      </c>
      <c r="O3755" s="52">
        <v>9760.32</v>
      </c>
      <c r="P3755" s="52">
        <v>2291.92</v>
      </c>
      <c r="Q3755" s="42">
        <f>OfficeForms.Table[[#This Row],[ INFORMEDEPAGO ]]*0.3</f>
        <v>2928.096</v>
      </c>
      <c r="R3755" s="12">
        <f>(IF(O3755&lt;4172.98,0,MIN(O3755*0.3,O3755-4172.98)))-P3755</f>
        <v>636.17599999999993</v>
      </c>
      <c r="S3755" s="78">
        <v>46874</v>
      </c>
      <c r="T3755" s="1" t="s">
        <v>7209</v>
      </c>
      <c r="U3755" s="98">
        <v>1193.74</v>
      </c>
      <c r="V3755" s="1"/>
      <c r="X3755" s="101">
        <v>2</v>
      </c>
    </row>
    <row r="3756" spans="1:24" hidden="1">
      <c r="A3756">
        <v>2179</v>
      </c>
      <c r="B3756" s="2">
        <v>46253.677233796298</v>
      </c>
      <c r="C3756" s="2">
        <v>46253.678252314799</v>
      </c>
      <c r="D3756" s="1" t="s">
        <v>24</v>
      </c>
      <c r="E3756" s="1"/>
      <c r="F3756" s="29">
        <v>46253</v>
      </c>
      <c r="G3756" s="29">
        <v>46253</v>
      </c>
      <c r="H3756" s="1" t="s">
        <v>8297</v>
      </c>
      <c r="I3756" s="126" t="s">
        <v>8309</v>
      </c>
      <c r="J3756" s="175"/>
      <c r="K3756" s="171" t="s">
        <v>8310</v>
      </c>
      <c r="L3756" s="62">
        <v>23772894</v>
      </c>
      <c r="M3756" s="30">
        <v>5217441786998</v>
      </c>
      <c r="N3756" s="172" t="s">
        <v>263</v>
      </c>
      <c r="O3756" s="52">
        <v>10266.120000000001</v>
      </c>
      <c r="P3756" s="52">
        <v>2516.6799999999998</v>
      </c>
      <c r="Q3756" s="42">
        <f>OfficeForms.Table[[#This Row],[ INFORMEDEPAGO ]]*0.3</f>
        <v>3079.8360000000002</v>
      </c>
      <c r="R3756" s="12">
        <f t="shared" ref="R3756:R3757" si="220">(IF(O3756&lt;4172.98,0,MIN(O3756*0.3,O3756-4172.98)))-P3756</f>
        <v>563.1560000000004</v>
      </c>
      <c r="S3756" s="78">
        <v>45505</v>
      </c>
      <c r="T3756" s="1" t="s">
        <v>178</v>
      </c>
      <c r="U3756" s="52">
        <v>2516.6799999999998</v>
      </c>
      <c r="V3756" s="1" t="s">
        <v>8291</v>
      </c>
      <c r="W3756" s="29">
        <v>46253</v>
      </c>
      <c r="X3756" s="101">
        <v>2</v>
      </c>
    </row>
    <row r="3757" spans="1:24" hidden="1">
      <c r="A3757">
        <v>2180</v>
      </c>
      <c r="B3757" s="2">
        <v>46253.661261574103</v>
      </c>
      <c r="C3757" s="2">
        <v>46253.679340277798</v>
      </c>
      <c r="D3757" s="1" t="s">
        <v>24</v>
      </c>
      <c r="E3757" s="1"/>
      <c r="F3757" s="29">
        <v>46253</v>
      </c>
      <c r="G3757" s="29">
        <v>46250</v>
      </c>
      <c r="H3757" s="1" t="s">
        <v>3572</v>
      </c>
      <c r="I3757" s="126" t="s">
        <v>8311</v>
      </c>
      <c r="J3757" s="175"/>
      <c r="K3757" s="171" t="s">
        <v>8312</v>
      </c>
      <c r="L3757" s="62">
        <v>23672984</v>
      </c>
      <c r="M3757" s="30">
        <v>3221070302</v>
      </c>
      <c r="N3757" s="172" t="s">
        <v>32</v>
      </c>
      <c r="O3757" s="52">
        <v>3961.31</v>
      </c>
      <c r="P3757" s="52">
        <v>848</v>
      </c>
      <c r="Q3757" s="42">
        <f>OfficeForms.Table[[#This Row],[ INFORMEDEPAGO ]]*0.3</f>
        <v>1188.393</v>
      </c>
      <c r="R3757" s="12">
        <f t="shared" si="220"/>
        <v>-848</v>
      </c>
      <c r="S3757" s="78"/>
      <c r="T3757" s="1"/>
      <c r="V3757" s="1"/>
      <c r="X3757" s="101">
        <v>1</v>
      </c>
    </row>
    <row r="3758" spans="1:24" hidden="1">
      <c r="A3758">
        <v>2181</v>
      </c>
      <c r="B3758" s="2">
        <v>46253.6798263889</v>
      </c>
      <c r="C3758" s="2">
        <v>46253.681365740696</v>
      </c>
      <c r="D3758" s="1" t="s">
        <v>24</v>
      </c>
      <c r="E3758" s="1"/>
      <c r="F3758" s="29">
        <v>46253</v>
      </c>
      <c r="G3758" s="29">
        <v>46253</v>
      </c>
      <c r="H3758" s="1" t="s">
        <v>8253</v>
      </c>
      <c r="I3758" s="126" t="s">
        <v>8313</v>
      </c>
      <c r="J3758" s="175" t="s">
        <v>8314</v>
      </c>
      <c r="K3758" s="171" t="s">
        <v>8315</v>
      </c>
      <c r="L3758" s="62">
        <v>23760627</v>
      </c>
      <c r="M3758" s="30">
        <v>3312602707</v>
      </c>
      <c r="N3758" s="172" t="s">
        <v>47</v>
      </c>
      <c r="O3758" s="50">
        <v>4938.1899999999996</v>
      </c>
      <c r="P3758" s="97"/>
      <c r="Q3758" s="42">
        <f>OfficeForms.Table[[#This Row],[ INFORMEDEPAGO ]]*0.3</f>
        <v>1481.4569999999999</v>
      </c>
      <c r="R3758" s="12">
        <f t="shared" ref="R3758" si="221">(IF(O3758&lt;4172.98,0,MIN(O3758*0.3,O3758-4172.98)))-P3758</f>
        <v>765.21</v>
      </c>
      <c r="S3758" s="78"/>
      <c r="T3758" s="1"/>
      <c r="V3758" s="1" t="s">
        <v>8316</v>
      </c>
      <c r="W3758" s="29">
        <v>46253</v>
      </c>
      <c r="X3758" s="101">
        <v>1</v>
      </c>
    </row>
    <row r="3759" spans="1:24" hidden="1">
      <c r="A3759">
        <v>2182</v>
      </c>
      <c r="B3759" s="2">
        <v>46253.685682870397</v>
      </c>
      <c r="C3759" s="2">
        <v>46253.688101851803</v>
      </c>
      <c r="D3759" s="1" t="s">
        <v>24</v>
      </c>
      <c r="E3759" s="1"/>
      <c r="F3759" s="29">
        <v>46253</v>
      </c>
      <c r="G3759" s="29">
        <v>46253</v>
      </c>
      <c r="H3759" s="1" t="s">
        <v>8261</v>
      </c>
      <c r="I3759" s="126" t="s">
        <v>8317</v>
      </c>
      <c r="J3759" s="175"/>
      <c r="K3759" s="171" t="s">
        <v>8318</v>
      </c>
      <c r="L3759" s="62">
        <v>23773702</v>
      </c>
      <c r="M3759" s="30">
        <v>5213314427428</v>
      </c>
      <c r="N3759" s="172" t="s">
        <v>37</v>
      </c>
      <c r="O3759" s="52">
        <v>9081.52</v>
      </c>
      <c r="P3759" s="52">
        <v>2627</v>
      </c>
      <c r="Q3759" s="42">
        <f>OfficeForms.Table[[#This Row],[ INFORMEDEPAGO ]]*0.3</f>
        <v>2724.4560000000001</v>
      </c>
      <c r="R3759" s="12">
        <f t="shared" ref="R3759" si="222">(IF(O3759&lt;4172.98,0,MIN(O3759*0.3,O3759-4172.98)))-P3759</f>
        <v>97.456000000000131</v>
      </c>
      <c r="S3759" s="78">
        <v>46508</v>
      </c>
      <c r="T3759" s="1" t="s">
        <v>8319</v>
      </c>
      <c r="U3759" s="52">
        <v>2627</v>
      </c>
      <c r="V3759" s="1"/>
      <c r="X3759" s="101">
        <v>2</v>
      </c>
    </row>
    <row r="3760" spans="1:24" hidden="1">
      <c r="A3760">
        <v>2183</v>
      </c>
      <c r="B3760" s="2">
        <v>46253.686203703699</v>
      </c>
      <c r="C3760" s="2">
        <v>46253.694780092599</v>
      </c>
      <c r="D3760" s="1" t="s">
        <v>24</v>
      </c>
      <c r="E3760" s="1"/>
      <c r="F3760" s="29">
        <v>46253</v>
      </c>
      <c r="G3760" s="29">
        <v>46253</v>
      </c>
      <c r="H3760" s="1" t="s">
        <v>78</v>
      </c>
      <c r="I3760" s="126" t="s">
        <v>8320</v>
      </c>
      <c r="J3760" s="175">
        <v>55866117561</v>
      </c>
      <c r="K3760" s="171"/>
      <c r="L3760" s="62">
        <v>23767870</v>
      </c>
      <c r="M3760" s="30">
        <v>5213231431293</v>
      </c>
      <c r="N3760" s="172" t="s">
        <v>37</v>
      </c>
      <c r="O3760" s="52">
        <v>6262.86</v>
      </c>
      <c r="P3760" s="52">
        <v>1786.26</v>
      </c>
      <c r="Q3760" s="42">
        <f>OfficeForms.Table[[#This Row],[ INFORMEDEPAGO ]]*0.3</f>
        <v>1878.8579999999997</v>
      </c>
      <c r="R3760" s="12">
        <f t="shared" ref="R3760:R3761" si="223">(IF(O3760&lt;4172.98,0,MIN(O3760*0.3,O3760-4172.98)))-P3760</f>
        <v>92.597999999999729</v>
      </c>
      <c r="S3760" s="78">
        <v>46661</v>
      </c>
      <c r="T3760" s="1" t="s">
        <v>7516</v>
      </c>
      <c r="U3760" s="52">
        <v>1786.26</v>
      </c>
      <c r="V3760" s="1"/>
      <c r="X3760" s="101">
        <v>2</v>
      </c>
    </row>
    <row r="3761" spans="1:24" hidden="1">
      <c r="A3761">
        <v>2184</v>
      </c>
      <c r="B3761" s="2">
        <v>46253.691701388903</v>
      </c>
      <c r="C3761" s="2">
        <v>46253.6955787037</v>
      </c>
      <c r="D3761" s="1" t="s">
        <v>24</v>
      </c>
      <c r="E3761" s="1"/>
      <c r="F3761" s="29">
        <v>46253</v>
      </c>
      <c r="G3761" s="29">
        <v>46253</v>
      </c>
      <c r="H3761" s="1" t="s">
        <v>78</v>
      </c>
      <c r="I3761" s="126" t="s">
        <v>8321</v>
      </c>
      <c r="J3761" s="175">
        <v>31967941696</v>
      </c>
      <c r="K3761" s="171" t="s">
        <v>8322</v>
      </c>
      <c r="L3761" s="62">
        <v>23756483</v>
      </c>
      <c r="M3761" s="30">
        <v>5218715269982</v>
      </c>
      <c r="N3761" s="172" t="s">
        <v>32</v>
      </c>
      <c r="O3761" s="50">
        <v>4110.91</v>
      </c>
      <c r="P3761" s="97"/>
      <c r="Q3761" s="42">
        <f>OfficeForms.Table[[#This Row],[ INFORMEDEPAGO ]]*0.3</f>
        <v>1233.2729999999999</v>
      </c>
      <c r="R3761" s="12">
        <f t="shared" si="223"/>
        <v>0</v>
      </c>
      <c r="S3761" s="78"/>
      <c r="T3761" s="1"/>
      <c r="U3761" s="97"/>
      <c r="V3761" s="1"/>
      <c r="X3761" s="101">
        <v>1</v>
      </c>
    </row>
    <row r="3762" spans="1:24" hidden="1">
      <c r="A3762">
        <v>2185</v>
      </c>
      <c r="B3762" s="2">
        <v>46253.697881944398</v>
      </c>
      <c r="C3762" s="2">
        <v>46253.699328703697</v>
      </c>
      <c r="D3762" s="1" t="s">
        <v>24</v>
      </c>
      <c r="E3762" s="1"/>
      <c r="F3762" s="29">
        <v>46253</v>
      </c>
      <c r="G3762" s="29">
        <v>46253</v>
      </c>
      <c r="H3762" s="1" t="s">
        <v>1629</v>
      </c>
      <c r="I3762" s="126" t="s">
        <v>8323</v>
      </c>
      <c r="J3762" s="175" t="s">
        <v>8324</v>
      </c>
      <c r="K3762" s="171" t="s">
        <v>8325</v>
      </c>
      <c r="L3762" s="62">
        <v>2</v>
      </c>
      <c r="M3762" s="30">
        <v>6862155559</v>
      </c>
      <c r="N3762" s="172" t="s">
        <v>37</v>
      </c>
      <c r="O3762" s="52">
        <v>9081.52</v>
      </c>
      <c r="P3762" s="52">
        <v>2521.35</v>
      </c>
      <c r="Q3762" s="42">
        <f>OfficeForms.Table[[#This Row],[ INFORMEDEPAGO ]]*0.3</f>
        <v>2724.4560000000001</v>
      </c>
      <c r="R3762" s="12">
        <f t="shared" ref="R3762" si="224">(IF(O3762&lt;4172.98,0,MIN(O3762*0.3,O3762-4172.98)))-P3762</f>
        <v>203.10600000000022</v>
      </c>
      <c r="S3762" s="78">
        <v>46266</v>
      </c>
      <c r="T3762" s="1" t="s">
        <v>192</v>
      </c>
      <c r="U3762" s="97">
        <v>947.1</v>
      </c>
      <c r="V3762" s="1"/>
      <c r="X3762" s="101">
        <v>2</v>
      </c>
    </row>
    <row r="3763" spans="1:24" hidden="1">
      <c r="A3763">
        <v>2186</v>
      </c>
      <c r="B3763" s="2">
        <v>46253.694027777798</v>
      </c>
      <c r="C3763" s="2">
        <v>46253.703333333302</v>
      </c>
      <c r="D3763" s="1" t="s">
        <v>24</v>
      </c>
      <c r="E3763" s="1"/>
      <c r="F3763" s="29">
        <v>46253</v>
      </c>
      <c r="G3763" s="29">
        <v>46253</v>
      </c>
      <c r="H3763" s="1" t="s">
        <v>8028</v>
      </c>
      <c r="I3763" s="126" t="s">
        <v>8326</v>
      </c>
      <c r="J3763" s="175">
        <v>24806266417</v>
      </c>
      <c r="K3763" s="171" t="s">
        <v>8327</v>
      </c>
      <c r="L3763" s="62">
        <v>23773976</v>
      </c>
      <c r="M3763" s="30">
        <v>5216622285779</v>
      </c>
      <c r="N3763" s="172" t="s">
        <v>106</v>
      </c>
      <c r="O3763" s="52">
        <v>7920.51</v>
      </c>
      <c r="P3763" s="52">
        <v>2198.9699999999998</v>
      </c>
      <c r="Q3763" s="42">
        <f>OfficeForms.Table[[#This Row],[ INFORMEDEPAGO ]]*0.3</f>
        <v>2376.1529999999998</v>
      </c>
      <c r="R3763" s="12">
        <f t="shared" ref="R3763:R3765" si="225">(IF(O3763&lt;4172.98,0,MIN(O3763*0.3,O3763-4172.98)))-P3763</f>
        <v>177.18299999999999</v>
      </c>
      <c r="S3763" s="78">
        <v>46143</v>
      </c>
      <c r="T3763" s="1" t="s">
        <v>7516</v>
      </c>
      <c r="U3763" s="52">
        <v>2198.9699999999998</v>
      </c>
      <c r="V3763" s="1" t="s">
        <v>8328</v>
      </c>
      <c r="W3763" s="29">
        <v>46253</v>
      </c>
      <c r="X3763" s="101">
        <v>2</v>
      </c>
    </row>
    <row r="3764" spans="1:24" hidden="1">
      <c r="A3764">
        <v>2187</v>
      </c>
      <c r="B3764" s="2">
        <v>46253.5880092593</v>
      </c>
      <c r="C3764" s="2">
        <v>46253.703599537002</v>
      </c>
      <c r="D3764" s="1" t="s">
        <v>24</v>
      </c>
      <c r="E3764" s="1"/>
      <c r="F3764" s="29">
        <v>46253</v>
      </c>
      <c r="G3764" s="29">
        <v>46253</v>
      </c>
      <c r="H3764" s="1" t="s">
        <v>1625</v>
      </c>
      <c r="I3764" s="126" t="s">
        <v>8329</v>
      </c>
      <c r="J3764" s="175" t="s">
        <v>8330</v>
      </c>
      <c r="K3764" s="171" t="s">
        <v>8331</v>
      </c>
      <c r="L3764" s="62">
        <v>2</v>
      </c>
      <c r="M3764" s="30" t="s">
        <v>8332</v>
      </c>
      <c r="N3764" s="172" t="s">
        <v>28</v>
      </c>
      <c r="O3764" s="50">
        <v>11811.47</v>
      </c>
      <c r="P3764" s="97"/>
      <c r="Q3764" s="42">
        <f>OfficeForms.Table[[#This Row],[ INFORMEDEPAGO ]]*0.3</f>
        <v>3543.4409999999998</v>
      </c>
      <c r="R3764" s="12">
        <f t="shared" si="225"/>
        <v>3543.4409999999998</v>
      </c>
      <c r="S3764" s="78"/>
      <c r="T3764" s="1"/>
      <c r="U3764" s="97"/>
      <c r="V3764" s="1"/>
      <c r="X3764" s="101">
        <v>1</v>
      </c>
    </row>
    <row r="3765" spans="1:24" hidden="1">
      <c r="A3765">
        <v>2188</v>
      </c>
      <c r="B3765" s="2">
        <v>46253.703009259298</v>
      </c>
      <c r="C3765" s="2">
        <v>46253.703611111101</v>
      </c>
      <c r="D3765" s="1" t="s">
        <v>24</v>
      </c>
      <c r="E3765" s="1"/>
      <c r="F3765" s="29">
        <v>46253</v>
      </c>
      <c r="G3765" s="29">
        <v>46253</v>
      </c>
      <c r="H3765" s="1" t="s">
        <v>8253</v>
      </c>
      <c r="I3765" s="126" t="s">
        <v>8333</v>
      </c>
      <c r="J3765" s="175"/>
      <c r="K3765" s="171" t="s">
        <v>8334</v>
      </c>
      <c r="L3765" s="62">
        <v>23768850</v>
      </c>
      <c r="M3765" s="30">
        <v>8281003166</v>
      </c>
      <c r="N3765" s="172" t="s">
        <v>98</v>
      </c>
      <c r="O3765" s="50"/>
      <c r="P3765" s="97"/>
      <c r="Q3765" s="42">
        <f>OfficeForms.Table[[#This Row],[ INFORMEDEPAGO ]]*0.3</f>
        <v>0</v>
      </c>
      <c r="R3765" s="12">
        <f>(IF(O3765&lt;4172.98,0,MIN(O3765*0.3,O3765-4172.98)))-P3765</f>
        <v>0</v>
      </c>
      <c r="S3765" s="78"/>
      <c r="T3765" s="1"/>
      <c r="U3765" s="97"/>
      <c r="V3765" s="1"/>
      <c r="X3765" s="101">
        <v>0</v>
      </c>
    </row>
    <row r="3766" spans="1:24" hidden="1">
      <c r="A3766">
        <v>2189</v>
      </c>
      <c r="B3766" s="2">
        <v>46253.708344907398</v>
      </c>
      <c r="C3766" s="2">
        <v>46253.709965277798</v>
      </c>
      <c r="D3766" s="1" t="s">
        <v>24</v>
      </c>
      <c r="E3766" s="1"/>
      <c r="F3766" s="29">
        <v>46253</v>
      </c>
      <c r="G3766" s="29">
        <v>46251</v>
      </c>
      <c r="H3766" s="1" t="s">
        <v>269</v>
      </c>
      <c r="I3766" s="126" t="s">
        <v>8335</v>
      </c>
      <c r="J3766" s="175" t="s">
        <v>8336</v>
      </c>
      <c r="K3766" s="171" t="s">
        <v>8337</v>
      </c>
      <c r="L3766" s="62">
        <v>23698706</v>
      </c>
      <c r="M3766" s="30">
        <v>5212711537189</v>
      </c>
      <c r="N3766" s="172" t="s">
        <v>47</v>
      </c>
      <c r="O3766" s="52">
        <v>15982.23</v>
      </c>
      <c r="P3766" s="52">
        <v>3917.65</v>
      </c>
      <c r="Q3766" s="42">
        <f>OfficeForms.Table[[#This Row],[ INFORMEDEPAGO ]]*0.3</f>
        <v>4794.6689999999999</v>
      </c>
      <c r="R3766" s="12">
        <f t="shared" ref="R3766" si="226">(IF(O3766&lt;4172.98,0,MIN(O3766*0.3,O3766-4172.98)))-P3766</f>
        <v>877.01899999999978</v>
      </c>
      <c r="S3766" s="78">
        <v>46266</v>
      </c>
      <c r="T3766" s="1" t="s">
        <v>8338</v>
      </c>
      <c r="U3766" s="52">
        <v>3917.65</v>
      </c>
      <c r="V3766" s="1" t="s">
        <v>8316</v>
      </c>
      <c r="W3766" s="29">
        <v>46253</v>
      </c>
      <c r="X3766" s="101">
        <v>2</v>
      </c>
    </row>
    <row r="3767" spans="1:24" hidden="1">
      <c r="A3767">
        <v>2190</v>
      </c>
      <c r="B3767" s="2">
        <v>46253.605856481503</v>
      </c>
      <c r="C3767" s="2">
        <v>46253.710543981499</v>
      </c>
      <c r="D3767" s="1" t="s">
        <v>24</v>
      </c>
      <c r="E3767" s="1"/>
      <c r="F3767" s="29">
        <v>46253</v>
      </c>
      <c r="G3767" s="29">
        <v>46253</v>
      </c>
      <c r="H3767" s="1" t="s">
        <v>51</v>
      </c>
      <c r="I3767" s="126" t="s">
        <v>8339</v>
      </c>
      <c r="J3767" s="175">
        <v>10695121870</v>
      </c>
      <c r="K3767" s="171" t="s">
        <v>8340</v>
      </c>
      <c r="L3767" s="62">
        <v>23768542</v>
      </c>
      <c r="M3767" s="30">
        <v>5215514983214</v>
      </c>
      <c r="N3767" s="172" t="s">
        <v>37</v>
      </c>
      <c r="O3767" s="52">
        <v>15307.83</v>
      </c>
      <c r="P3767" s="52">
        <v>4592</v>
      </c>
      <c r="Q3767" s="42">
        <f>OfficeForms.Table[[#This Row],[ INFORMEDEPAGO ]]*0.3</f>
        <v>4592.3490000000002</v>
      </c>
      <c r="R3767" s="12">
        <f t="shared" ref="R3767" si="227">(IF(O3767&lt;4172.98,0,MIN(O3767*0.3,O3767-4172.98)))-P3767</f>
        <v>0.34900000000016007</v>
      </c>
      <c r="S3767" s="78">
        <v>46478</v>
      </c>
      <c r="T3767" s="1" t="s">
        <v>7516</v>
      </c>
      <c r="U3767" s="97">
        <v>3978.28</v>
      </c>
      <c r="V3767" s="1"/>
      <c r="X3767" s="101">
        <v>2</v>
      </c>
    </row>
    <row r="3768" spans="1:24" hidden="1">
      <c r="A3768">
        <v>2191</v>
      </c>
      <c r="B3768" s="2">
        <v>46253.725821759297</v>
      </c>
      <c r="C3768" s="2">
        <v>46253.738148148099</v>
      </c>
      <c r="D3768" s="1" t="s">
        <v>24</v>
      </c>
      <c r="E3768" s="1"/>
      <c r="F3768" s="29">
        <v>46253</v>
      </c>
      <c r="G3768" s="29">
        <v>46253</v>
      </c>
      <c r="H3768" s="1" t="s">
        <v>78</v>
      </c>
      <c r="I3768" s="126" t="s">
        <v>8341</v>
      </c>
      <c r="J3768" s="175"/>
      <c r="K3768" s="171" t="s">
        <v>8342</v>
      </c>
      <c r="L3768" s="62">
        <v>23747301</v>
      </c>
      <c r="M3768" s="30">
        <v>5216141988426</v>
      </c>
      <c r="N3768" s="172" t="s">
        <v>37</v>
      </c>
      <c r="O3768" s="52">
        <v>8000.44</v>
      </c>
      <c r="P3768" s="52">
        <v>2310.02</v>
      </c>
      <c r="Q3768" s="42">
        <f>OfficeForms.Table[[#This Row],[ INFORMEDEPAGO ]]*0.3</f>
        <v>2400.1319999999996</v>
      </c>
      <c r="R3768" s="12">
        <f t="shared" ref="R3768:R3770" si="228">(IF(O3768&lt;4172.98,0,MIN(O3768*0.3,O3768-4172.98)))-P3768</f>
        <v>90.111999999999625</v>
      </c>
      <c r="S3768" s="78">
        <v>46478</v>
      </c>
      <c r="T3768" s="1" t="s">
        <v>192</v>
      </c>
      <c r="U3768" s="52">
        <v>2310.02</v>
      </c>
      <c r="V3768" s="1"/>
      <c r="X3768" s="101">
        <v>2</v>
      </c>
    </row>
    <row r="3769" spans="1:24" hidden="1">
      <c r="A3769">
        <v>2192</v>
      </c>
      <c r="B3769" s="2">
        <v>46253.710555555597</v>
      </c>
      <c r="C3769" s="2">
        <v>46253.738784722198</v>
      </c>
      <c r="D3769" s="1" t="s">
        <v>24</v>
      </c>
      <c r="E3769" s="1"/>
      <c r="F3769" s="29">
        <v>46253</v>
      </c>
      <c r="G3769" s="29">
        <v>46253</v>
      </c>
      <c r="H3769" s="1" t="s">
        <v>51</v>
      </c>
      <c r="I3769" s="126" t="s">
        <v>8343</v>
      </c>
      <c r="J3769" s="175"/>
      <c r="K3769" s="171" t="s">
        <v>8344</v>
      </c>
      <c r="L3769" s="62">
        <v>23754111</v>
      </c>
      <c r="M3769" s="30">
        <v>5218122090253</v>
      </c>
      <c r="N3769" s="172" t="s">
        <v>37</v>
      </c>
      <c r="O3769" s="52">
        <v>6262.86</v>
      </c>
      <c r="P3769" s="52">
        <v>1876.18</v>
      </c>
      <c r="Q3769" s="42">
        <f>OfficeForms.Table[[#This Row],[ INFORMEDEPAGO ]]*0.3</f>
        <v>1878.8579999999997</v>
      </c>
      <c r="R3769" s="12">
        <f t="shared" si="228"/>
        <v>2.6779999999996562</v>
      </c>
      <c r="S3769" s="78">
        <v>46935</v>
      </c>
      <c r="T3769" s="1" t="s">
        <v>84</v>
      </c>
      <c r="U3769" s="97">
        <v>1676.93</v>
      </c>
      <c r="V3769" s="1"/>
      <c r="X3769" s="101">
        <v>2</v>
      </c>
    </row>
    <row r="3770" spans="1:24" hidden="1">
      <c r="A3770">
        <v>2193</v>
      </c>
      <c r="B3770" s="2">
        <v>46253.735625000001</v>
      </c>
      <c r="C3770" s="2">
        <v>46253.738981481503</v>
      </c>
      <c r="D3770" s="1" t="s">
        <v>24</v>
      </c>
      <c r="E3770" s="1"/>
      <c r="F3770" s="29">
        <v>46253</v>
      </c>
      <c r="G3770" s="29">
        <v>46253</v>
      </c>
      <c r="H3770" s="1" t="s">
        <v>1629</v>
      </c>
      <c r="I3770" s="126" t="s">
        <v>8345</v>
      </c>
      <c r="J3770" s="175">
        <v>41765103084</v>
      </c>
      <c r="K3770" s="171" t="s">
        <v>8346</v>
      </c>
      <c r="L3770" s="62">
        <v>2</v>
      </c>
      <c r="M3770" s="30" t="s">
        <v>8347</v>
      </c>
      <c r="N3770" s="172" t="s">
        <v>37</v>
      </c>
      <c r="O3770" s="52">
        <v>4813.6899999999996</v>
      </c>
      <c r="P3770" s="52">
        <v>617.9</v>
      </c>
      <c r="Q3770" s="42">
        <f>OfficeForms.Table[[#This Row],[ INFORMEDEPAGO ]]*0.3</f>
        <v>1444.1069999999997</v>
      </c>
      <c r="R3770" s="12">
        <f t="shared" si="228"/>
        <v>22.810000000000059</v>
      </c>
      <c r="S3770" s="78">
        <v>46508</v>
      </c>
      <c r="T3770" s="1" t="s">
        <v>259</v>
      </c>
      <c r="U3770" s="52">
        <v>617.9</v>
      </c>
      <c r="V3770" s="1"/>
      <c r="X3770" s="101">
        <v>2</v>
      </c>
    </row>
    <row r="3771" spans="1:24" hidden="1">
      <c r="A3771">
        <v>2194</v>
      </c>
      <c r="B3771" s="2">
        <v>46253.732384259303</v>
      </c>
      <c r="C3771" s="2">
        <v>46253.744768518503</v>
      </c>
      <c r="D3771" s="1" t="s">
        <v>24</v>
      </c>
      <c r="E3771" s="1"/>
      <c r="F3771" s="29">
        <v>46253</v>
      </c>
      <c r="G3771" s="29">
        <v>46253</v>
      </c>
      <c r="H3771" s="1" t="s">
        <v>8028</v>
      </c>
      <c r="I3771" s="126" t="s">
        <v>8348</v>
      </c>
      <c r="J3771" s="175">
        <v>52836404450</v>
      </c>
      <c r="K3771" s="171" t="s">
        <v>8349</v>
      </c>
      <c r="L3771" s="62">
        <v>23774524</v>
      </c>
      <c r="M3771" s="30">
        <v>5213141504450</v>
      </c>
      <c r="N3771" s="172" t="s">
        <v>28</v>
      </c>
      <c r="O3771" s="50">
        <v>7128.48</v>
      </c>
      <c r="P3771" s="97"/>
      <c r="Q3771" s="42">
        <f>OfficeForms.Table[[#This Row],[ INFORMEDEPAGO ]]*0.3</f>
        <v>2138.5439999999999</v>
      </c>
      <c r="R3771" s="12">
        <f t="shared" ref="R3771:R3772" si="229">(IF(O3771&lt;4172.98,0,MIN(O3771*0.3,O3771-4172.98)))-P3771</f>
        <v>2138.5439999999999</v>
      </c>
      <c r="S3771" s="78"/>
      <c r="T3771" s="1"/>
      <c r="U3771" s="97"/>
      <c r="V3771" s="1" t="s">
        <v>8350</v>
      </c>
      <c r="W3771" s="29">
        <v>46253</v>
      </c>
      <c r="X3771" s="101">
        <v>1</v>
      </c>
    </row>
    <row r="3772" spans="1:24" hidden="1">
      <c r="A3772">
        <v>2195</v>
      </c>
      <c r="B3772" s="2">
        <v>46253.744409722203</v>
      </c>
      <c r="C3772" s="2">
        <v>46253.745682870402</v>
      </c>
      <c r="D3772" s="1" t="s">
        <v>24</v>
      </c>
      <c r="E3772" s="1"/>
      <c r="F3772" s="29">
        <v>46253</v>
      </c>
      <c r="G3772" s="29">
        <v>46253</v>
      </c>
      <c r="H3772" s="1" t="s">
        <v>1629</v>
      </c>
      <c r="I3772" s="126" t="s">
        <v>8351</v>
      </c>
      <c r="J3772" s="175">
        <v>60917577482</v>
      </c>
      <c r="K3772" s="171" t="s">
        <v>8352</v>
      </c>
      <c r="L3772" s="62">
        <v>2</v>
      </c>
      <c r="M3772" s="30" t="s">
        <v>8353</v>
      </c>
      <c r="N3772" s="172" t="s">
        <v>47</v>
      </c>
      <c r="O3772" s="52">
        <v>9160.74</v>
      </c>
      <c r="P3772" s="52">
        <v>2428.6799999999998</v>
      </c>
      <c r="Q3772" s="42">
        <f>OfficeForms.Table[[#This Row],[ INFORMEDEPAGO ]]*0.3</f>
        <v>2748.2219999999998</v>
      </c>
      <c r="R3772" s="12">
        <f t="shared" si="229"/>
        <v>319.54199999999992</v>
      </c>
      <c r="S3772" s="78">
        <v>46753</v>
      </c>
      <c r="T3772" s="1" t="s">
        <v>84</v>
      </c>
      <c r="U3772" s="97">
        <v>2141.14</v>
      </c>
      <c r="V3772" s="1"/>
      <c r="X3772" s="101">
        <v>2</v>
      </c>
    </row>
    <row r="3773" spans="1:24" hidden="1">
      <c r="A3773">
        <v>2196</v>
      </c>
      <c r="B3773" s="2">
        <v>46253.740543981497</v>
      </c>
      <c r="C3773" s="2">
        <v>46253.747187499997</v>
      </c>
      <c r="D3773" s="1" t="s">
        <v>24</v>
      </c>
      <c r="E3773" s="1"/>
      <c r="F3773" s="29">
        <v>46253</v>
      </c>
      <c r="G3773" s="29">
        <v>46253</v>
      </c>
      <c r="H3773" s="1" t="s">
        <v>78</v>
      </c>
      <c r="I3773" s="126" t="s">
        <v>8354</v>
      </c>
      <c r="J3773" s="175">
        <v>33796248129</v>
      </c>
      <c r="K3773" s="171" t="s">
        <v>8355</v>
      </c>
      <c r="L3773" s="62">
        <v>23756631</v>
      </c>
      <c r="M3773" s="30">
        <v>5216146108218</v>
      </c>
      <c r="N3773" s="172" t="s">
        <v>106</v>
      </c>
      <c r="O3773" s="52">
        <v>7116.73</v>
      </c>
      <c r="P3773" s="52">
        <v>1298.8399999999999</v>
      </c>
      <c r="Q3773" s="42">
        <f>OfficeForms.Table[[#This Row],[ INFORMEDEPAGO ]]*0.3</f>
        <v>2135.0189999999998</v>
      </c>
      <c r="R3773" s="12">
        <f t="shared" ref="R3773" si="230">(IF(O3773&lt;4172.98,0,MIN(O3773*0.3,O3773-4172.98)))-P3773</f>
        <v>836.17899999999986</v>
      </c>
      <c r="S3773" s="78">
        <v>45748</v>
      </c>
      <c r="T3773" s="1" t="s">
        <v>7209</v>
      </c>
      <c r="U3773" s="52">
        <v>1298.8399999999999</v>
      </c>
      <c r="V3773" s="1" t="s">
        <v>8356</v>
      </c>
      <c r="W3773" s="29">
        <v>46253</v>
      </c>
      <c r="X3773" s="101">
        <v>2</v>
      </c>
    </row>
    <row r="3774" spans="1:24" hidden="1">
      <c r="A3774">
        <v>2197</v>
      </c>
      <c r="B3774" s="2">
        <v>46254.361018518503</v>
      </c>
      <c r="C3774" s="2">
        <v>46254.361168981501</v>
      </c>
      <c r="D3774" s="1" t="s">
        <v>24</v>
      </c>
      <c r="E3774" s="1"/>
      <c r="F3774" s="29">
        <v>46253</v>
      </c>
      <c r="G3774" s="29">
        <v>46252</v>
      </c>
      <c r="H3774" s="1" t="s">
        <v>8253</v>
      </c>
      <c r="I3774" s="126" t="s">
        <v>8357</v>
      </c>
      <c r="J3774" s="175"/>
      <c r="K3774" s="171" t="s">
        <v>8358</v>
      </c>
      <c r="L3774" s="62">
        <v>23766352</v>
      </c>
      <c r="M3774" s="30">
        <v>8120062139</v>
      </c>
      <c r="N3774" s="172" t="s">
        <v>28</v>
      </c>
      <c r="O3774" s="67">
        <f>10324.94+486</f>
        <v>10810.94</v>
      </c>
      <c r="P3774" s="99">
        <v>486</v>
      </c>
      <c r="Q3774" s="42">
        <f>OfficeForms.Table[[#This Row],[ INFORMEDEPAGO ]]*0.3</f>
        <v>3243.2820000000002</v>
      </c>
      <c r="R3774" s="12">
        <f>(IF(O3774&lt;4172.98,0,MIN(O3774*0.3,O3774-4172.98)))-P3774</f>
        <v>2757.2820000000002</v>
      </c>
      <c r="S3774" s="78"/>
      <c r="T3774" s="1"/>
      <c r="U3774" s="99"/>
      <c r="V3774" s="1" t="s">
        <v>8246</v>
      </c>
      <c r="W3774" s="29">
        <v>46254</v>
      </c>
      <c r="X3774" s="101">
        <v>1</v>
      </c>
    </row>
    <row r="3775" spans="1:24" hidden="1">
      <c r="A3775">
        <v>2198</v>
      </c>
      <c r="B3775" s="2">
        <v>46254.377581018503</v>
      </c>
      <c r="C3775" s="2">
        <v>46254.378807870402</v>
      </c>
      <c r="D3775" s="1" t="s">
        <v>24</v>
      </c>
      <c r="E3775" s="1"/>
      <c r="F3775" s="29">
        <v>46254</v>
      </c>
      <c r="G3775" s="29">
        <v>46254</v>
      </c>
      <c r="H3775" s="1" t="s">
        <v>1629</v>
      </c>
      <c r="I3775" s="126" t="s">
        <v>8359</v>
      </c>
      <c r="J3775" s="175">
        <v>30886206603</v>
      </c>
      <c r="K3775" s="171" t="s">
        <v>8360</v>
      </c>
      <c r="L3775" s="62">
        <v>2</v>
      </c>
      <c r="M3775" s="30" t="s">
        <v>8361</v>
      </c>
      <c r="N3775" s="172" t="s">
        <v>28</v>
      </c>
      <c r="O3775" s="50">
        <v>10636.54</v>
      </c>
      <c r="P3775" s="97"/>
      <c r="Q3775" s="42">
        <f>OfficeForms.Table[[#This Row],[ INFORMEDEPAGO ]]*0.3</f>
        <v>3190.962</v>
      </c>
      <c r="R3775" s="12">
        <f>(IF(O3775&lt;4172.98,0,MIN(O3775*0.3,O3775-4172.98)))-P3775</f>
        <v>3190.962</v>
      </c>
      <c r="S3775" s="78"/>
      <c r="T3775" s="1"/>
      <c r="U3775" s="97"/>
      <c r="V3775" s="1"/>
      <c r="X3775" s="101">
        <v>1</v>
      </c>
    </row>
    <row r="3776" spans="1:24" hidden="1">
      <c r="A3776">
        <v>2199</v>
      </c>
      <c r="B3776" s="2">
        <v>46254.388831018499</v>
      </c>
      <c r="C3776" s="2">
        <v>46254.3899074074</v>
      </c>
      <c r="D3776" s="1" t="s">
        <v>24</v>
      </c>
      <c r="E3776" s="1"/>
      <c r="F3776" s="29">
        <v>46254</v>
      </c>
      <c r="G3776" s="29">
        <v>46254</v>
      </c>
      <c r="H3776" s="1" t="s">
        <v>8261</v>
      </c>
      <c r="I3776" s="126" t="s">
        <v>8362</v>
      </c>
      <c r="J3776" s="175"/>
      <c r="K3776" s="171" t="s">
        <v>8363</v>
      </c>
      <c r="L3776" s="62">
        <v>23794972</v>
      </c>
      <c r="M3776" s="30">
        <v>5216681207363</v>
      </c>
      <c r="N3776" s="172" t="s">
        <v>37</v>
      </c>
      <c r="O3776" s="50">
        <v>17265.16</v>
      </c>
      <c r="P3776" s="97">
        <v>4995.22</v>
      </c>
      <c r="Q3776" s="42">
        <f>OfficeForms.Table[[#This Row],[ INFORMEDEPAGO ]]*0.3</f>
        <v>5179.5479999999998</v>
      </c>
      <c r="R3776" s="12">
        <f>(IF(O3776&lt;4172.98,0,MIN(O3776*0.3,O3776-4172.98)))-P3776</f>
        <v>184.32799999999952</v>
      </c>
      <c r="S3776" s="78">
        <v>46266</v>
      </c>
      <c r="T3776" s="1" t="s">
        <v>7516</v>
      </c>
      <c r="U3776" s="97">
        <v>3718.11</v>
      </c>
      <c r="V3776" s="1"/>
      <c r="X3776" s="101">
        <v>2</v>
      </c>
    </row>
    <row r="3777" spans="1:24" hidden="1">
      <c r="A3777">
        <v>2200</v>
      </c>
      <c r="B3777" s="2">
        <v>46254.390995370399</v>
      </c>
      <c r="C3777" s="2">
        <v>46254.396087963003</v>
      </c>
      <c r="D3777" s="1" t="s">
        <v>24</v>
      </c>
      <c r="E3777" s="1"/>
      <c r="F3777" s="29">
        <v>46254</v>
      </c>
      <c r="G3777" s="29">
        <v>46254</v>
      </c>
      <c r="H3777" s="1" t="s">
        <v>1629</v>
      </c>
      <c r="I3777" s="126" t="s">
        <v>8364</v>
      </c>
      <c r="J3777" s="175" t="s">
        <v>8365</v>
      </c>
      <c r="K3777" s="171" t="s">
        <v>8366</v>
      </c>
      <c r="L3777" s="62">
        <v>2</v>
      </c>
      <c r="M3777" s="30" t="s">
        <v>8367</v>
      </c>
      <c r="N3777" s="172" t="s">
        <v>32</v>
      </c>
      <c r="O3777" s="50">
        <v>4342.43</v>
      </c>
      <c r="P3777" s="97"/>
      <c r="Q3777" s="42">
        <f>OfficeForms.Table[[#This Row],[ INFORMEDEPAGO ]]*0.3</f>
        <v>1302.729</v>
      </c>
      <c r="R3777" s="12">
        <f>(IF(O3777&lt;4172.98,0,MIN(O3777*0.3,O3777-4172.98)))-P3777</f>
        <v>169.45000000000073</v>
      </c>
      <c r="S3777" s="78"/>
      <c r="T3777" s="1"/>
      <c r="U3777" s="97"/>
      <c r="V3777" s="1"/>
      <c r="X3777" s="101">
        <v>1</v>
      </c>
    </row>
    <row r="3778" spans="1:24" hidden="1">
      <c r="A3778">
        <v>2201</v>
      </c>
      <c r="B3778" s="2">
        <v>46254.395995370403</v>
      </c>
      <c r="C3778" s="2">
        <v>46254.397141203699</v>
      </c>
      <c r="D3778" s="1" t="s">
        <v>24</v>
      </c>
      <c r="E3778" s="1"/>
      <c r="F3778" s="29">
        <v>46254</v>
      </c>
      <c r="G3778" s="29">
        <v>46253</v>
      </c>
      <c r="H3778" s="1" t="s">
        <v>269</v>
      </c>
      <c r="I3778" s="126" t="s">
        <v>8368</v>
      </c>
      <c r="J3778" s="175"/>
      <c r="K3778" s="171" t="s">
        <v>8369</v>
      </c>
      <c r="L3778" s="62">
        <v>23778600</v>
      </c>
      <c r="M3778" s="30">
        <v>5217223205864</v>
      </c>
      <c r="N3778" s="172" t="s">
        <v>98</v>
      </c>
      <c r="O3778" s="50"/>
      <c r="P3778" s="97"/>
      <c r="Q3778" s="42">
        <f>OfficeForms.Table[[#This Row],[ INFORMEDEPAGO ]]*0.3</f>
        <v>0</v>
      </c>
      <c r="R3778" s="12">
        <f>(IF(O3778&lt;4172.98,0,MIN(O3778*0.3,O3778-4172.98)))-P3778</f>
        <v>0</v>
      </c>
      <c r="S3778" s="78"/>
      <c r="T3778" s="1"/>
      <c r="U3778" s="97"/>
      <c r="V3778" s="1"/>
      <c r="X3778" s="101">
        <v>0</v>
      </c>
    </row>
    <row r="3779" spans="1:24" hidden="1">
      <c r="A3779">
        <v>2202</v>
      </c>
      <c r="B3779" s="2">
        <v>46254.401307870401</v>
      </c>
      <c r="C3779" s="2">
        <v>46254.402534722198</v>
      </c>
      <c r="D3779" s="1" t="s">
        <v>24</v>
      </c>
      <c r="E3779" s="1"/>
      <c r="F3779" s="29">
        <v>46254</v>
      </c>
      <c r="G3779" s="29">
        <v>46254</v>
      </c>
      <c r="H3779" s="1" t="s">
        <v>8261</v>
      </c>
      <c r="I3779" s="126" t="s">
        <v>8370</v>
      </c>
      <c r="J3779" s="175"/>
      <c r="K3779" s="171" t="s">
        <v>8371</v>
      </c>
      <c r="L3779" s="62">
        <v>23783720</v>
      </c>
      <c r="M3779" s="30">
        <v>5219613628662</v>
      </c>
      <c r="N3779" s="172" t="s">
        <v>74</v>
      </c>
      <c r="O3779" s="50"/>
      <c r="P3779" s="97"/>
      <c r="Q3779" s="42">
        <f>OfficeForms.Table[[#This Row],[ INFORMEDEPAGO ]]*0.3</f>
        <v>0</v>
      </c>
      <c r="R3779" s="12">
        <f>(IF(O3779&lt;4172.98,0,MIN(O3779*0.3,O3779-4172.98)))-P3779</f>
        <v>0</v>
      </c>
      <c r="S3779" s="42"/>
      <c r="T3779" s="1"/>
      <c r="U3779" s="97"/>
      <c r="V3779" s="1"/>
      <c r="X3779" s="101">
        <v>1</v>
      </c>
    </row>
    <row r="3780" spans="1:24" hidden="1">
      <c r="A3780">
        <v>2203</v>
      </c>
      <c r="B3780" s="2">
        <v>46254.427106481497</v>
      </c>
      <c r="C3780" s="2">
        <v>46254.427951388898</v>
      </c>
      <c r="D3780" s="1" t="s">
        <v>24</v>
      </c>
      <c r="E3780" s="1"/>
      <c r="F3780" s="29">
        <v>46254</v>
      </c>
      <c r="G3780" s="29">
        <v>46253</v>
      </c>
      <c r="H3780" s="1" t="s">
        <v>8253</v>
      </c>
      <c r="I3780" s="126" t="s">
        <v>8372</v>
      </c>
      <c r="J3780" s="175" t="s">
        <v>8373</v>
      </c>
      <c r="K3780" s="171" t="s">
        <v>8374</v>
      </c>
      <c r="L3780" s="62">
        <v>23775160</v>
      </c>
      <c r="M3780" s="30">
        <v>5519838341</v>
      </c>
      <c r="N3780" s="172" t="s">
        <v>28</v>
      </c>
      <c r="O3780" s="50">
        <v>9408.02</v>
      </c>
      <c r="P3780" s="97"/>
      <c r="Q3780" s="42">
        <f>OfficeForms.Table[[#This Row],[ INFORMEDEPAGO ]]*0.3</f>
        <v>2822.4059999999999</v>
      </c>
      <c r="R3780" s="12">
        <f>(IF(O3780&lt;4172.98,0,MIN(O3780*0.3,O3780-4172.98)))-P3780</f>
        <v>2822.4059999999999</v>
      </c>
      <c r="S3780" s="78"/>
      <c r="T3780" s="1"/>
      <c r="U3780" s="97"/>
      <c r="V3780" s="1" t="s">
        <v>8256</v>
      </c>
      <c r="W3780" s="29">
        <v>46254</v>
      </c>
      <c r="X3780" s="101">
        <v>1</v>
      </c>
    </row>
    <row r="3781" spans="1:24" hidden="1">
      <c r="A3781">
        <v>2204</v>
      </c>
      <c r="B3781" s="2">
        <v>46254.432280092602</v>
      </c>
      <c r="C3781" s="2">
        <v>46254.433194444398</v>
      </c>
      <c r="D3781" s="1" t="s">
        <v>24</v>
      </c>
      <c r="E3781" s="1"/>
      <c r="F3781" s="29">
        <v>46254</v>
      </c>
      <c r="G3781" s="29">
        <v>46254</v>
      </c>
      <c r="H3781" s="1" t="s">
        <v>8261</v>
      </c>
      <c r="I3781" s="126" t="s">
        <v>8375</v>
      </c>
      <c r="J3781" s="175"/>
      <c r="K3781" s="171" t="s">
        <v>8376</v>
      </c>
      <c r="L3781" s="62">
        <v>23791512</v>
      </c>
      <c r="M3781" s="30">
        <v>5213318695387</v>
      </c>
      <c r="N3781" s="172" t="s">
        <v>37</v>
      </c>
      <c r="O3781" s="50">
        <v>9081.52</v>
      </c>
      <c r="P3781" s="97">
        <v>2722.59</v>
      </c>
      <c r="Q3781" s="42">
        <f>OfficeForms.Table[[#This Row],[ INFORMEDEPAGO ]]*0.3</f>
        <v>2724.4560000000001</v>
      </c>
      <c r="R3781" s="12">
        <f>(IF(O3781&lt;4172.98,0,MIN(O3781*0.3,O3781-4172.98)))-P3781</f>
        <v>1.8659999999999854</v>
      </c>
      <c r="S3781" s="78">
        <v>46388</v>
      </c>
      <c r="T3781" s="1" t="s">
        <v>84</v>
      </c>
      <c r="U3781" s="97">
        <v>2506.59</v>
      </c>
      <c r="V3781" s="1"/>
      <c r="X3781" s="101">
        <v>2</v>
      </c>
    </row>
    <row r="3782" spans="1:24" hidden="1">
      <c r="A3782">
        <v>2205</v>
      </c>
      <c r="B3782" s="2">
        <v>46254.4319328704</v>
      </c>
      <c r="C3782" s="2">
        <v>46254.434305555602</v>
      </c>
      <c r="D3782" s="1" t="s">
        <v>24</v>
      </c>
      <c r="E3782" s="1"/>
      <c r="F3782" s="29">
        <v>46254</v>
      </c>
      <c r="G3782" s="29">
        <v>46227</v>
      </c>
      <c r="H3782" s="1" t="s">
        <v>3452</v>
      </c>
      <c r="I3782" s="126" t="s">
        <v>8377</v>
      </c>
      <c r="J3782" s="175">
        <v>51856402543</v>
      </c>
      <c r="K3782" s="171" t="s">
        <v>8378</v>
      </c>
      <c r="L3782" s="62">
        <v>23064204</v>
      </c>
      <c r="M3782" s="30">
        <v>7225720606</v>
      </c>
      <c r="N3782" s="172" t="s">
        <v>28</v>
      </c>
      <c r="O3782" s="50">
        <v>10951.74</v>
      </c>
      <c r="P3782" s="97"/>
      <c r="Q3782" s="42">
        <f>OfficeForms.Table[[#This Row],[ INFORMEDEPAGO ]]*0.3</f>
        <v>3285.5219999999999</v>
      </c>
      <c r="R3782" s="12">
        <f>(IF(O3782&lt;4172.98,0,MIN(O3782*0.3,O3782-4172.98)))-P3782</f>
        <v>3285.5219999999999</v>
      </c>
      <c r="S3782" s="78"/>
      <c r="T3782" s="1"/>
      <c r="U3782" s="97"/>
      <c r="V3782" s="1" t="s">
        <v>8316</v>
      </c>
      <c r="W3782" s="29">
        <v>46254</v>
      </c>
      <c r="X3782" s="101">
        <v>1</v>
      </c>
    </row>
    <row r="3783" spans="1:24" hidden="1">
      <c r="A3783">
        <v>2206</v>
      </c>
      <c r="B3783" s="2">
        <v>46254.426192129598</v>
      </c>
      <c r="C3783" s="2">
        <v>46254.436655092599</v>
      </c>
      <c r="D3783" s="1" t="s">
        <v>24</v>
      </c>
      <c r="E3783" s="1"/>
      <c r="F3783" s="29">
        <v>46254</v>
      </c>
      <c r="G3783" s="29">
        <v>46254</v>
      </c>
      <c r="H3783" s="1" t="s">
        <v>51</v>
      </c>
      <c r="I3783" s="126" t="s">
        <v>8379</v>
      </c>
      <c r="J3783" s="175"/>
      <c r="K3783" s="171" t="s">
        <v>8380</v>
      </c>
      <c r="L3783" s="62">
        <v>23796098</v>
      </c>
      <c r="M3783" s="30">
        <v>5219241072867</v>
      </c>
      <c r="N3783" s="172" t="s">
        <v>37</v>
      </c>
      <c r="O3783" s="50">
        <v>6460.14</v>
      </c>
      <c r="P3783" s="97">
        <v>1936.03</v>
      </c>
      <c r="Q3783" s="42">
        <f>OfficeForms.Table[[#This Row],[ INFORMEDEPAGO ]]*0.3</f>
        <v>1938.0419999999999</v>
      </c>
      <c r="R3783" s="12">
        <f>(IF(O3783&lt;4172.98,0,MIN(O3783*0.3,O3783-4172.98)))-P3783</f>
        <v>2.0119999999999436</v>
      </c>
      <c r="S3783" s="78">
        <v>46784</v>
      </c>
      <c r="T3783" s="1" t="s">
        <v>84</v>
      </c>
      <c r="U3783" s="97">
        <v>1936</v>
      </c>
      <c r="V3783" s="1"/>
      <c r="X3783" s="101">
        <v>2</v>
      </c>
    </row>
    <row r="3784" spans="1:24" hidden="1">
      <c r="A3784">
        <v>2207</v>
      </c>
      <c r="B3784" s="2">
        <v>46254.441053240698</v>
      </c>
      <c r="C3784" s="2">
        <v>46254.446875000001</v>
      </c>
      <c r="D3784" s="1" t="s">
        <v>24</v>
      </c>
      <c r="E3784" s="1"/>
      <c r="F3784" s="29">
        <v>46254</v>
      </c>
      <c r="G3784" s="29">
        <v>46246</v>
      </c>
      <c r="H3784" s="1" t="s">
        <v>8381</v>
      </c>
      <c r="I3784" s="126" t="s">
        <v>8382</v>
      </c>
      <c r="J3784" s="175">
        <v>24785101346</v>
      </c>
      <c r="K3784" s="171" t="s">
        <v>8383</v>
      </c>
      <c r="L3784" s="62">
        <v>23582176</v>
      </c>
      <c r="M3784" s="30">
        <v>5216221442577</v>
      </c>
      <c r="N3784" s="172" t="s">
        <v>32</v>
      </c>
      <c r="O3784" s="50">
        <v>3869.36</v>
      </c>
      <c r="P3784" s="97"/>
      <c r="Q3784" s="42">
        <f>OfficeForms.Table[[#This Row],[ INFORMEDEPAGO ]]*0.3</f>
        <v>1160.808</v>
      </c>
      <c r="R3784" s="12">
        <f>(IF(O3784&lt;4172.98,0,MIN(O3784*0.3,O3784-4172.98)))-P3784</f>
        <v>0</v>
      </c>
      <c r="S3784" s="78"/>
      <c r="T3784" s="1"/>
      <c r="U3784" s="97"/>
      <c r="V3784" s="1"/>
      <c r="X3784" s="101">
        <v>1</v>
      </c>
    </row>
    <row r="3785" spans="1:24" hidden="1">
      <c r="A3785">
        <v>2208</v>
      </c>
      <c r="B3785" s="2">
        <v>46254.447615740697</v>
      </c>
      <c r="C3785" s="2">
        <v>46254.448344907403</v>
      </c>
      <c r="D3785" s="1" t="s">
        <v>24</v>
      </c>
      <c r="E3785" s="1"/>
      <c r="F3785" s="29">
        <v>46254</v>
      </c>
      <c r="G3785" s="29">
        <v>46253</v>
      </c>
      <c r="H3785" s="1" t="s">
        <v>8253</v>
      </c>
      <c r="I3785" s="126" t="s">
        <v>8384</v>
      </c>
      <c r="J3785" s="175"/>
      <c r="K3785" s="171" t="s">
        <v>8385</v>
      </c>
      <c r="L3785" s="62">
        <v>23770976</v>
      </c>
      <c r="M3785" s="30">
        <v>5587461070</v>
      </c>
      <c r="N3785" s="172" t="s">
        <v>37</v>
      </c>
      <c r="O3785" s="50">
        <v>10171.24</v>
      </c>
      <c r="P3785" s="97">
        <v>3047.15</v>
      </c>
      <c r="Q3785" s="42">
        <f>OfficeForms.Table[[#This Row],[ INFORMEDEPAGO ]]*0.3</f>
        <v>3051.3719999999998</v>
      </c>
      <c r="R3785" s="12">
        <f>(IF(O3785&lt;4172.98,0,MIN(O3785*0.3,O3785-4172.98)))-P3785</f>
        <v>4.2219999999997526</v>
      </c>
      <c r="S3785" s="78">
        <v>46631</v>
      </c>
      <c r="T3785" s="1" t="s">
        <v>8338</v>
      </c>
      <c r="U3785" s="97">
        <v>2820.1</v>
      </c>
      <c r="V3785" s="1"/>
      <c r="X3785" s="101">
        <v>2</v>
      </c>
    </row>
    <row r="3786" spans="1:24" hidden="1">
      <c r="A3786">
        <v>2209</v>
      </c>
      <c r="B3786" s="2">
        <v>46254.4008680556</v>
      </c>
      <c r="C3786" s="2">
        <v>46254.4528587963</v>
      </c>
      <c r="D3786" s="1" t="s">
        <v>24</v>
      </c>
      <c r="E3786" s="1"/>
      <c r="F3786" s="29">
        <v>46254</v>
      </c>
      <c r="G3786" s="29">
        <v>46254</v>
      </c>
      <c r="H3786" s="1" t="s">
        <v>8297</v>
      </c>
      <c r="I3786" s="126" t="s">
        <v>8386</v>
      </c>
      <c r="J3786" s="175"/>
      <c r="K3786" s="171" t="s">
        <v>8387</v>
      </c>
      <c r="L3786" s="62">
        <v>23795218</v>
      </c>
      <c r="M3786" s="30">
        <v>5215582731311</v>
      </c>
      <c r="N3786" s="172" t="s">
        <v>98</v>
      </c>
      <c r="O3786" s="50"/>
      <c r="P3786" s="97"/>
      <c r="Q3786" s="42">
        <f>OfficeForms.Table[[#This Row],[ INFORMEDEPAGO ]]*0.3</f>
        <v>0</v>
      </c>
      <c r="R3786" s="12">
        <f>(IF(O3786&lt;4172.98,0,MIN(O3786*0.3,O3786-4172.98)))-P3786</f>
        <v>0</v>
      </c>
      <c r="S3786" s="78"/>
      <c r="T3786" s="1"/>
      <c r="U3786" s="97"/>
      <c r="V3786" s="1"/>
      <c r="X3786" s="101">
        <v>0</v>
      </c>
    </row>
    <row r="3787" spans="1:24" hidden="1">
      <c r="A3787">
        <v>2210</v>
      </c>
      <c r="B3787" s="2">
        <v>46254.453310185199</v>
      </c>
      <c r="C3787" s="2">
        <v>46254.453564814801</v>
      </c>
      <c r="D3787" s="1" t="s">
        <v>24</v>
      </c>
      <c r="E3787" s="1"/>
      <c r="F3787" s="29">
        <v>46254</v>
      </c>
      <c r="G3787" s="29">
        <v>46254</v>
      </c>
      <c r="H3787" s="1" t="s">
        <v>1957</v>
      </c>
      <c r="I3787" s="126" t="s">
        <v>8388</v>
      </c>
      <c r="J3787" s="175">
        <v>1796147351</v>
      </c>
      <c r="K3787" s="171" t="s">
        <v>8389</v>
      </c>
      <c r="L3787" s="62">
        <v>2</v>
      </c>
      <c r="M3787" s="30">
        <v>5625840320</v>
      </c>
      <c r="N3787" s="172" t="s">
        <v>37</v>
      </c>
      <c r="O3787" s="50">
        <v>9760.32</v>
      </c>
      <c r="P3787" s="97">
        <v>2823.89</v>
      </c>
      <c r="Q3787" s="42">
        <f>OfficeForms.Table[[#This Row],[ INFORMEDEPAGO ]]*0.3</f>
        <v>2928.096</v>
      </c>
      <c r="R3787" s="12">
        <f>(IF(O3787&lt;4172.98,0,MIN(O3787*0.3,O3787-4172.98)))-P3787</f>
        <v>104.20600000000013</v>
      </c>
      <c r="S3787" s="78">
        <v>46661</v>
      </c>
      <c r="T3787" s="1" t="s">
        <v>8319</v>
      </c>
      <c r="U3787" s="97">
        <v>1975.89</v>
      </c>
      <c r="V3787" s="1"/>
      <c r="X3787" s="101">
        <v>2</v>
      </c>
    </row>
    <row r="3788" spans="1:24" hidden="1">
      <c r="A3788">
        <v>2211</v>
      </c>
      <c r="B3788" s="2">
        <v>46254.466030092597</v>
      </c>
      <c r="C3788" s="2">
        <v>46254.466689814799</v>
      </c>
      <c r="D3788" s="1" t="s">
        <v>24</v>
      </c>
      <c r="E3788" s="1"/>
      <c r="F3788" s="29">
        <v>46254</v>
      </c>
      <c r="G3788" s="29">
        <v>46253</v>
      </c>
      <c r="H3788" s="1" t="s">
        <v>8253</v>
      </c>
      <c r="I3788" s="126" t="s">
        <v>8390</v>
      </c>
      <c r="J3788" s="175"/>
      <c r="K3788" s="171" t="s">
        <v>8391</v>
      </c>
      <c r="L3788" s="62">
        <v>23773246</v>
      </c>
      <c r="M3788" s="30">
        <v>9995021954</v>
      </c>
      <c r="N3788" s="172" t="s">
        <v>98</v>
      </c>
      <c r="O3788" s="50"/>
      <c r="P3788" s="97"/>
      <c r="Q3788" s="42">
        <f>OfficeForms.Table[[#This Row],[ INFORMEDEPAGO ]]*0.3</f>
        <v>0</v>
      </c>
      <c r="R3788" s="12">
        <f>(IF(O3788&lt;4172.98,0,MIN(O3788*0.3,O3788-4172.98)))-P3788</f>
        <v>0</v>
      </c>
      <c r="S3788" s="78"/>
      <c r="T3788" s="1"/>
      <c r="U3788" s="97"/>
      <c r="V3788" s="1"/>
      <c r="X3788" s="101">
        <v>0</v>
      </c>
    </row>
    <row r="3789" spans="1:24" hidden="1">
      <c r="A3789">
        <v>2212</v>
      </c>
      <c r="B3789" s="2">
        <v>46254.477187500001</v>
      </c>
      <c r="C3789" s="2">
        <v>46254.4782291667</v>
      </c>
      <c r="D3789" s="1" t="s">
        <v>24</v>
      </c>
      <c r="E3789" s="1"/>
      <c r="F3789" s="29">
        <v>46254</v>
      </c>
      <c r="G3789" s="29">
        <v>46254</v>
      </c>
      <c r="H3789" s="1" t="s">
        <v>8253</v>
      </c>
      <c r="I3789" s="126" t="s">
        <v>8392</v>
      </c>
      <c r="J3789" s="175">
        <v>14705310432</v>
      </c>
      <c r="K3789" s="171" t="s">
        <v>8393</v>
      </c>
      <c r="L3789" s="62">
        <v>23795416</v>
      </c>
      <c r="M3789" s="30">
        <v>4427120557</v>
      </c>
      <c r="N3789" s="172" t="s">
        <v>32</v>
      </c>
      <c r="O3789" s="50">
        <v>3565.21</v>
      </c>
      <c r="P3789" s="97">
        <v>848</v>
      </c>
      <c r="Q3789" s="42">
        <f>OfficeForms.Table[[#This Row],[ INFORMEDEPAGO ]]*0.3</f>
        <v>1069.5629999999999</v>
      </c>
      <c r="R3789" s="12">
        <f>(IF(O3789&lt;4172.98,0,MIN(O3789*0.3,O3789-4172.98)))-P3789</f>
        <v>-848</v>
      </c>
      <c r="S3789" s="78"/>
      <c r="T3789" s="1"/>
      <c r="U3789" s="97"/>
      <c r="V3789" s="1"/>
      <c r="X3789" s="101">
        <v>1</v>
      </c>
    </row>
    <row r="3790" spans="1:24" hidden="1">
      <c r="A3790">
        <v>2213</v>
      </c>
      <c r="B3790" s="2">
        <v>46254.373090277797</v>
      </c>
      <c r="C3790" s="2">
        <v>46254.480023148099</v>
      </c>
      <c r="D3790" s="1" t="s">
        <v>24</v>
      </c>
      <c r="E3790" s="1"/>
      <c r="F3790" s="29">
        <v>46254</v>
      </c>
      <c r="G3790" s="29">
        <v>46210</v>
      </c>
      <c r="H3790" s="1" t="s">
        <v>78</v>
      </c>
      <c r="I3790" s="126" t="s">
        <v>8394</v>
      </c>
      <c r="J3790" s="175"/>
      <c r="K3790" s="171" t="s">
        <v>8395</v>
      </c>
      <c r="L3790" s="62">
        <v>22415544</v>
      </c>
      <c r="M3790" s="30">
        <v>5219982044341</v>
      </c>
      <c r="N3790" s="172" t="s">
        <v>37</v>
      </c>
      <c r="O3790" s="50">
        <v>10636.54</v>
      </c>
      <c r="P3790" s="97">
        <v>3158.12</v>
      </c>
      <c r="Q3790" s="42">
        <f>OfficeForms.Table[[#This Row],[ INFORMEDEPAGO ]]*0.3</f>
        <v>3190.962</v>
      </c>
      <c r="R3790" s="12">
        <f>(IF(O3790&lt;4172.98,0,MIN(O3790*0.3,O3790-4172.98)))-P3790</f>
        <v>32.842000000000098</v>
      </c>
      <c r="S3790" s="78">
        <v>46966</v>
      </c>
      <c r="T3790" s="1" t="s">
        <v>7516</v>
      </c>
      <c r="U3790" s="97">
        <v>3158.12</v>
      </c>
      <c r="V3790" s="1"/>
      <c r="X3790" s="101">
        <v>2</v>
      </c>
    </row>
    <row r="3791" spans="1:24" hidden="1">
      <c r="A3791">
        <v>2214</v>
      </c>
      <c r="B3791" s="2">
        <v>46254.481331018498</v>
      </c>
      <c r="C3791" s="2">
        <v>46254.482592592598</v>
      </c>
      <c r="D3791" s="1" t="s">
        <v>24</v>
      </c>
      <c r="E3791" s="1"/>
      <c r="F3791" s="29">
        <v>46254</v>
      </c>
      <c r="G3791" s="29">
        <v>46254</v>
      </c>
      <c r="H3791" s="1" t="s">
        <v>8253</v>
      </c>
      <c r="I3791" s="126" t="s">
        <v>8396</v>
      </c>
      <c r="J3791" s="175">
        <v>1724851017</v>
      </c>
      <c r="K3791" s="171" t="s">
        <v>8397</v>
      </c>
      <c r="L3791" s="62">
        <v>23791756</v>
      </c>
      <c r="M3791" s="30">
        <v>5639505623</v>
      </c>
      <c r="N3791" s="172" t="s">
        <v>37</v>
      </c>
      <c r="O3791" s="50">
        <v>8126.35</v>
      </c>
      <c r="P3791" s="97">
        <v>2435.5500000000002</v>
      </c>
      <c r="Q3791" s="42">
        <f>OfficeForms.Table[[#This Row],[ INFORMEDEPAGO ]]*0.3</f>
        <v>2437.9050000000002</v>
      </c>
      <c r="R3791" s="12">
        <f>(IF(O3791&lt;4172.98,0,MIN(O3791*0.3,O3791-4172.98)))-P3791</f>
        <v>2.3550000000000182</v>
      </c>
      <c r="S3791" s="78">
        <v>46539</v>
      </c>
      <c r="T3791" s="1" t="s">
        <v>8398</v>
      </c>
      <c r="U3791" s="97">
        <v>1328.76</v>
      </c>
      <c r="V3791" s="1"/>
      <c r="X3791" s="101">
        <v>2</v>
      </c>
    </row>
    <row r="3792" spans="1:24" hidden="1">
      <c r="A3792">
        <v>2215</v>
      </c>
      <c r="B3792" s="2">
        <v>46253.408796296302</v>
      </c>
      <c r="C3792" s="2">
        <v>46254.4844675926</v>
      </c>
      <c r="D3792" s="1" t="s">
        <v>24</v>
      </c>
      <c r="E3792" s="1"/>
      <c r="F3792" s="29">
        <v>46254</v>
      </c>
      <c r="G3792" s="29">
        <v>46253</v>
      </c>
      <c r="H3792" s="1" t="s">
        <v>8200</v>
      </c>
      <c r="I3792" s="126" t="s">
        <v>8399</v>
      </c>
      <c r="J3792" s="175"/>
      <c r="K3792" s="171" t="s">
        <v>8400</v>
      </c>
      <c r="L3792" s="62">
        <v>23798888</v>
      </c>
      <c r="M3792" s="30">
        <v>5219933973963</v>
      </c>
      <c r="N3792" s="172" t="s">
        <v>37</v>
      </c>
      <c r="O3792" s="50">
        <v>9760.32</v>
      </c>
      <c r="P3792" s="97">
        <v>2928.05</v>
      </c>
      <c r="Q3792" s="42">
        <f>OfficeForms.Table[[#This Row],[ INFORMEDEPAGO ]]*0.3</f>
        <v>2928.096</v>
      </c>
      <c r="R3792" s="12">
        <f>(IF(O3792&lt;4172.98,0,MIN(O3792*0.3,O3792-4172.98)))-P3792</f>
        <v>4.5999999999821739E-2</v>
      </c>
      <c r="S3792" s="78">
        <v>46722</v>
      </c>
      <c r="T3792" s="1" t="s">
        <v>8319</v>
      </c>
      <c r="U3792" s="97">
        <v>1116.02</v>
      </c>
      <c r="V3792" s="1"/>
      <c r="X3792" s="101">
        <v>2</v>
      </c>
    </row>
    <row r="3793" spans="1:24" hidden="1">
      <c r="A3793">
        <v>2216</v>
      </c>
      <c r="B3793" s="2">
        <v>46254.4366898148</v>
      </c>
      <c r="C3793" s="2">
        <v>46254.490219907399</v>
      </c>
      <c r="D3793" s="1" t="s">
        <v>24</v>
      </c>
      <c r="E3793" s="1"/>
      <c r="F3793" s="29">
        <v>46254</v>
      </c>
      <c r="G3793" s="29">
        <v>46251</v>
      </c>
      <c r="H3793" s="1" t="s">
        <v>51</v>
      </c>
      <c r="I3793" s="126" t="s">
        <v>8401</v>
      </c>
      <c r="J3793" s="175" t="s">
        <v>8402</v>
      </c>
      <c r="K3793" s="171" t="s">
        <v>8403</v>
      </c>
      <c r="L3793" s="62">
        <v>23712776</v>
      </c>
      <c r="M3793" s="30">
        <v>5217821128722</v>
      </c>
      <c r="N3793" s="172" t="s">
        <v>37</v>
      </c>
      <c r="O3793" s="50">
        <v>8114.47</v>
      </c>
      <c r="P3793" s="97">
        <v>2339.0700000000002</v>
      </c>
      <c r="Q3793" s="42">
        <f>OfficeForms.Table[[#This Row],[ INFORMEDEPAGO ]]*0.3</f>
        <v>2434.3409999999999</v>
      </c>
      <c r="R3793" s="12">
        <f t="shared" ref="R3793:R3794" si="231">(IF(O3793&lt;4172.98,0,MIN(O3793*0.3,O3793-4172.98)))-P3793</f>
        <v>95.270999999999731</v>
      </c>
      <c r="S3793" s="78">
        <v>46753</v>
      </c>
      <c r="T3793" s="1" t="s">
        <v>84</v>
      </c>
      <c r="U3793" s="97">
        <v>2339.0700000000002</v>
      </c>
      <c r="V3793" s="1"/>
      <c r="X3793" s="101">
        <v>2</v>
      </c>
    </row>
    <row r="3794" spans="1:24" hidden="1">
      <c r="A3794">
        <v>2217</v>
      </c>
      <c r="B3794" s="2">
        <v>46254.486111111102</v>
      </c>
      <c r="C3794" s="2">
        <v>46254.490601851903</v>
      </c>
      <c r="D3794" s="1" t="s">
        <v>24</v>
      </c>
      <c r="E3794" s="1"/>
      <c r="F3794" s="29">
        <v>46254</v>
      </c>
      <c r="G3794" s="29">
        <v>46254</v>
      </c>
      <c r="H3794" s="1" t="s">
        <v>51</v>
      </c>
      <c r="I3794" s="126" t="s">
        <v>8404</v>
      </c>
      <c r="J3794" s="175"/>
      <c r="K3794" s="171" t="s">
        <v>8405</v>
      </c>
      <c r="L3794" s="62">
        <v>23798624</v>
      </c>
      <c r="M3794" s="30">
        <v>5214871162058</v>
      </c>
      <c r="N3794" s="172" t="s">
        <v>28</v>
      </c>
      <c r="O3794" s="50">
        <v>5760.79</v>
      </c>
      <c r="P3794" s="97"/>
      <c r="Q3794" s="42">
        <f>OfficeForms.Table[[#This Row],[ INFORMEDEPAGO ]]*0.3</f>
        <v>1728.2369999999999</v>
      </c>
      <c r="R3794" s="12">
        <f t="shared" si="231"/>
        <v>1587.8100000000004</v>
      </c>
      <c r="S3794" s="78"/>
      <c r="T3794" s="1"/>
      <c r="U3794" s="97"/>
      <c r="V3794" s="1" t="s">
        <v>8356</v>
      </c>
      <c r="W3794" s="29">
        <v>46254</v>
      </c>
      <c r="X3794" s="101">
        <v>1</v>
      </c>
    </row>
    <row r="3795" spans="1:24" hidden="1">
      <c r="A3795">
        <v>2218</v>
      </c>
      <c r="B3795" s="2">
        <v>46254.447361111103</v>
      </c>
      <c r="C3795" s="2">
        <v>46254.492569444403</v>
      </c>
      <c r="D3795" s="1" t="s">
        <v>24</v>
      </c>
      <c r="E3795" s="1"/>
      <c r="F3795" s="29">
        <v>46254</v>
      </c>
      <c r="G3795" s="29">
        <v>46251</v>
      </c>
      <c r="H3795" s="1" t="s">
        <v>8381</v>
      </c>
      <c r="I3795" s="126" t="s">
        <v>8406</v>
      </c>
      <c r="J3795" s="207" t="s">
        <v>8407</v>
      </c>
      <c r="K3795" s="171" t="s">
        <v>8408</v>
      </c>
      <c r="L3795" s="62">
        <v>23694574</v>
      </c>
      <c r="M3795" s="30">
        <v>5215513904730</v>
      </c>
      <c r="N3795" s="172" t="s">
        <v>28</v>
      </c>
      <c r="O3795" s="50">
        <v>25806.09</v>
      </c>
      <c r="P3795" s="97"/>
      <c r="Q3795" s="42">
        <f>OfficeForms.Table[[#This Row],[ INFORMEDEPAGO ]]*0.3</f>
        <v>7741.8269999999993</v>
      </c>
      <c r="R3795" s="12">
        <f t="shared" ref="R3795:R3796" si="232">(IF(O3795&lt;4172.98,0,MIN(O3795*0.3,O3795-4172.98)))-P3795</f>
        <v>7741.8269999999993</v>
      </c>
      <c r="S3795" s="78"/>
      <c r="T3795" s="1"/>
      <c r="U3795" s="97"/>
      <c r="V3795" s="1" t="s">
        <v>8409</v>
      </c>
      <c r="W3795" s="29">
        <v>46254</v>
      </c>
      <c r="X3795" s="101">
        <v>1</v>
      </c>
    </row>
    <row r="3796" spans="1:24" hidden="1">
      <c r="A3796">
        <v>2219</v>
      </c>
      <c r="B3796" s="2">
        <v>46254.492835648103</v>
      </c>
      <c r="C3796" s="2">
        <v>46254.493506944404</v>
      </c>
      <c r="D3796" s="1" t="s">
        <v>24</v>
      </c>
      <c r="E3796" s="1"/>
      <c r="F3796" s="29">
        <v>46254</v>
      </c>
      <c r="G3796" s="29">
        <v>46252</v>
      </c>
      <c r="H3796" s="1" t="s">
        <v>8200</v>
      </c>
      <c r="I3796" s="126"/>
      <c r="J3796" s="175"/>
      <c r="K3796" s="171" t="s">
        <v>8410</v>
      </c>
      <c r="L3796" s="62">
        <v>23737774</v>
      </c>
      <c r="M3796" s="30">
        <v>5215639724910</v>
      </c>
      <c r="N3796" s="172" t="s">
        <v>98</v>
      </c>
      <c r="O3796" s="50"/>
      <c r="P3796" s="97"/>
      <c r="Q3796" s="42">
        <f>OfficeForms.Table[[#This Row],[ INFORMEDEPAGO ]]*0.3</f>
        <v>0</v>
      </c>
      <c r="R3796" s="12">
        <f t="shared" si="232"/>
        <v>0</v>
      </c>
      <c r="S3796" s="78"/>
      <c r="T3796" s="1"/>
      <c r="U3796" s="97"/>
      <c r="V3796" s="1"/>
      <c r="X3796" s="101">
        <v>0</v>
      </c>
    </row>
    <row r="3797" spans="1:24" hidden="1">
      <c r="A3797">
        <v>2220</v>
      </c>
      <c r="B3797" s="2">
        <v>46254.490231481497</v>
      </c>
      <c r="C3797" s="2">
        <v>46254.4984259259</v>
      </c>
      <c r="D3797" s="1" t="s">
        <v>24</v>
      </c>
      <c r="E3797" s="1"/>
      <c r="F3797" s="29">
        <v>46254</v>
      </c>
      <c r="G3797" s="29">
        <v>46241</v>
      </c>
      <c r="H3797" s="1" t="s">
        <v>51</v>
      </c>
      <c r="I3797" s="126" t="s">
        <v>8411</v>
      </c>
      <c r="J3797" s="175"/>
      <c r="K3797" s="171" t="s">
        <v>8412</v>
      </c>
      <c r="L3797" s="62">
        <v>23442758</v>
      </c>
      <c r="M3797" s="30">
        <v>5213310976530</v>
      </c>
      <c r="N3797" s="172" t="s">
        <v>37</v>
      </c>
      <c r="O3797" s="43">
        <v>9232.5300000000007</v>
      </c>
      <c r="P3797" s="43">
        <v>2768.48</v>
      </c>
      <c r="Q3797" s="42">
        <f>OfficeForms.Table[[#This Row],[ INFORMEDEPAGO ]]*0.3</f>
        <v>2769.759</v>
      </c>
      <c r="R3797" s="12">
        <f>(IF(O3797&lt;4172.98,0,MIN(O3797*0.3,O3797-4172.98)))-P3797</f>
        <v>1.2789999999999964</v>
      </c>
      <c r="S3797" s="78">
        <v>46600</v>
      </c>
      <c r="T3797" s="1" t="s">
        <v>84</v>
      </c>
      <c r="U3797" s="97">
        <v>1691.32</v>
      </c>
      <c r="V3797" s="1"/>
      <c r="X3797" s="101">
        <v>2</v>
      </c>
    </row>
    <row r="3798" spans="1:24" hidden="1">
      <c r="A3798">
        <v>2221</v>
      </c>
      <c r="B3798" s="2">
        <v>46254.498437499999</v>
      </c>
      <c r="C3798" s="2">
        <v>46254.511782407397</v>
      </c>
      <c r="D3798" s="1" t="s">
        <v>24</v>
      </c>
      <c r="E3798" s="1"/>
      <c r="F3798" s="29">
        <v>46254</v>
      </c>
      <c r="G3798" s="29">
        <v>46252</v>
      </c>
      <c r="H3798" s="1" t="s">
        <v>51</v>
      </c>
      <c r="I3798" s="126" t="s">
        <v>8413</v>
      </c>
      <c r="J3798" s="175">
        <v>21907064675</v>
      </c>
      <c r="K3798" s="171" t="s">
        <v>8414</v>
      </c>
      <c r="L3798" s="62">
        <v>23729930</v>
      </c>
      <c r="M3798" s="30">
        <v>5216673885168</v>
      </c>
      <c r="N3798" s="172" t="s">
        <v>130</v>
      </c>
      <c r="O3798" s="43">
        <v>5055.87</v>
      </c>
      <c r="P3798" s="43">
        <v>1234.26</v>
      </c>
      <c r="Q3798" s="42">
        <f>OfficeForms.Table[[#This Row],[ INFORMEDEPAGO ]]*0.3</f>
        <v>1516.761</v>
      </c>
      <c r="R3798" s="12">
        <f>(IF(O3798&lt;4172.98,0,MIN(O3798*0.3,O3798-4172.98)))-P3798</f>
        <v>-351.36999999999966</v>
      </c>
      <c r="S3798" s="78">
        <v>46082</v>
      </c>
      <c r="T3798" s="1" t="s">
        <v>8415</v>
      </c>
      <c r="U3798" s="97">
        <v>374.89</v>
      </c>
      <c r="V3798" s="1" t="s">
        <v>8233</v>
      </c>
      <c r="W3798" s="29">
        <v>46254</v>
      </c>
      <c r="X3798" s="101">
        <v>2</v>
      </c>
    </row>
    <row r="3799" spans="1:24" hidden="1">
      <c r="A3799">
        <v>2222</v>
      </c>
      <c r="B3799" s="2">
        <v>46254.5140509259</v>
      </c>
      <c r="C3799" s="2">
        <v>46254.524444444403</v>
      </c>
      <c r="D3799" s="1" t="s">
        <v>24</v>
      </c>
      <c r="E3799" s="1"/>
      <c r="F3799" s="29">
        <v>46254</v>
      </c>
      <c r="G3799" s="29">
        <v>46254</v>
      </c>
      <c r="H3799" s="1" t="s">
        <v>78</v>
      </c>
      <c r="I3799" s="126" t="s">
        <v>8416</v>
      </c>
      <c r="J3799" s="175">
        <v>33725601844</v>
      </c>
      <c r="K3799" s="171" t="s">
        <v>8417</v>
      </c>
      <c r="L3799" s="62">
        <v>23795136</v>
      </c>
      <c r="M3799" s="30">
        <v>5216562872773</v>
      </c>
      <c r="N3799" s="172" t="s">
        <v>28</v>
      </c>
      <c r="O3799" s="50">
        <v>7920.51</v>
      </c>
      <c r="P3799" s="97"/>
      <c r="Q3799" s="42">
        <f>OfficeForms.Table[[#This Row],[ INFORMEDEPAGO ]]*0.3</f>
        <v>2376.1529999999998</v>
      </c>
      <c r="R3799" s="12">
        <f>(IF(O3799&lt;4172.98,0,MIN(O3799*0.3,O3799-4172.98)))-P3799</f>
        <v>2376.1529999999998</v>
      </c>
      <c r="S3799" s="78"/>
      <c r="T3799" s="1"/>
      <c r="U3799" s="97"/>
      <c r="V3799" s="1" t="s">
        <v>8280</v>
      </c>
      <c r="W3799" s="29">
        <v>46254</v>
      </c>
      <c r="X3799" s="101">
        <v>1</v>
      </c>
    </row>
    <row r="3800" spans="1:24" hidden="1">
      <c r="A3800">
        <v>2223</v>
      </c>
      <c r="B3800" s="2">
        <v>46254.561458333301</v>
      </c>
      <c r="C3800" s="2">
        <v>46254.562685185199</v>
      </c>
      <c r="D3800" s="1" t="s">
        <v>24</v>
      </c>
      <c r="E3800" s="1"/>
      <c r="F3800" s="29">
        <v>46254</v>
      </c>
      <c r="G3800" s="29">
        <v>46254</v>
      </c>
      <c r="H3800" s="1" t="s">
        <v>8261</v>
      </c>
      <c r="I3800" s="126" t="s">
        <v>8418</v>
      </c>
      <c r="J3800" s="175"/>
      <c r="K3800" s="171" t="s">
        <v>8419</v>
      </c>
      <c r="L3800" s="62">
        <v>23795674</v>
      </c>
      <c r="M3800" s="30">
        <v>5219985720990</v>
      </c>
      <c r="N3800" s="172" t="s">
        <v>28</v>
      </c>
      <c r="O3800" s="50">
        <v>25398.43</v>
      </c>
      <c r="P3800" s="97"/>
      <c r="Q3800" s="42">
        <f>OfficeForms.Table[[#This Row],[ INFORMEDEPAGO ]]*0.3</f>
        <v>7619.5289999999995</v>
      </c>
      <c r="R3800" s="12">
        <f>(IF(O3800&lt;4172.98,0,MIN(O3800*0.3,O3800-4172.98)))-P3800</f>
        <v>7619.5289999999995</v>
      </c>
      <c r="S3800" s="78"/>
      <c r="T3800" s="1"/>
      <c r="U3800" s="97"/>
      <c r="V3800" s="1" t="s">
        <v>8409</v>
      </c>
      <c r="W3800" s="29">
        <v>46254</v>
      </c>
      <c r="X3800" s="101">
        <v>1</v>
      </c>
    </row>
    <row r="3801" spans="1:24" hidden="1">
      <c r="A3801">
        <v>2224</v>
      </c>
      <c r="B3801" s="2">
        <v>46254.577650462998</v>
      </c>
      <c r="C3801" s="2">
        <v>46254.579016203701</v>
      </c>
      <c r="D3801" s="1" t="s">
        <v>24</v>
      </c>
      <c r="E3801" s="1"/>
      <c r="F3801" s="29">
        <v>46254</v>
      </c>
      <c r="G3801" s="29">
        <v>46254</v>
      </c>
      <c r="H3801" s="1" t="s">
        <v>1957</v>
      </c>
      <c r="I3801" s="126"/>
      <c r="J3801" s="175">
        <v>1866621376</v>
      </c>
      <c r="K3801" s="171" t="s">
        <v>8420</v>
      </c>
      <c r="L3801" s="62">
        <v>2</v>
      </c>
      <c r="M3801" s="30">
        <v>5541571071</v>
      </c>
      <c r="N3801" s="172" t="s">
        <v>37</v>
      </c>
      <c r="O3801" s="43">
        <v>10636.54</v>
      </c>
      <c r="P3801" s="43">
        <v>3189.2</v>
      </c>
      <c r="Q3801" s="42">
        <f>OfficeForms.Table[[#This Row],[ INFORMEDEPAGO ]]*0.3</f>
        <v>3190.962</v>
      </c>
      <c r="R3801" s="12">
        <f>(IF(O3801&lt;4172.98,0,MIN(O3801*0.3,O3801-4172.98)))-P3801</f>
        <v>1.762000000000171</v>
      </c>
      <c r="S3801" s="78">
        <v>46874</v>
      </c>
      <c r="T3801" s="1" t="s">
        <v>6855</v>
      </c>
      <c r="U3801" s="43">
        <v>3189.2</v>
      </c>
      <c r="V3801" s="1"/>
      <c r="X3801" s="101">
        <v>2</v>
      </c>
    </row>
    <row r="3802" spans="1:24" hidden="1">
      <c r="A3802">
        <v>2225</v>
      </c>
      <c r="B3802" s="2">
        <v>46254.579062500001</v>
      </c>
      <c r="C3802" s="2">
        <v>46254.581342592603</v>
      </c>
      <c r="D3802" s="1" t="s">
        <v>24</v>
      </c>
      <c r="E3802" s="1"/>
      <c r="F3802" s="29">
        <v>46254</v>
      </c>
      <c r="G3802" s="29">
        <v>46254</v>
      </c>
      <c r="H3802" s="1" t="s">
        <v>1957</v>
      </c>
      <c r="I3802" s="126"/>
      <c r="J3802" s="175">
        <v>10795976629</v>
      </c>
      <c r="K3802" s="171" t="s">
        <v>8421</v>
      </c>
      <c r="L3802" s="62">
        <v>2</v>
      </c>
      <c r="M3802" s="30">
        <v>5537668103</v>
      </c>
      <c r="N3802" s="172" t="s">
        <v>37</v>
      </c>
      <c r="O3802" s="43">
        <v>14282.97</v>
      </c>
      <c r="P3802" s="43">
        <v>4281.79</v>
      </c>
      <c r="Q3802" s="42">
        <f>OfficeForms.Table[[#This Row],[ INFORMEDEPAGO ]]*0.3</f>
        <v>4284.8909999999996</v>
      </c>
      <c r="R3802" s="12">
        <f>(IF(O3802&lt;4172.98,0,MIN(O3802*0.3,O3802-4172.98)))-P3802</f>
        <v>3.100999999999658</v>
      </c>
      <c r="S3802" s="78">
        <v>46478</v>
      </c>
      <c r="T3802" s="1" t="s">
        <v>7516</v>
      </c>
      <c r="U3802" s="97">
        <v>355</v>
      </c>
      <c r="V3802" s="1"/>
      <c r="X3802" s="101">
        <v>2</v>
      </c>
    </row>
    <row r="3803" spans="1:24" hidden="1">
      <c r="A3803">
        <v>2226</v>
      </c>
      <c r="B3803" s="2">
        <v>46254.536157407398</v>
      </c>
      <c r="C3803" s="2">
        <v>46254.600231481498</v>
      </c>
      <c r="D3803" s="1" t="s">
        <v>24</v>
      </c>
      <c r="E3803" s="1"/>
      <c r="F3803" s="29">
        <v>46254</v>
      </c>
      <c r="G3803" s="29">
        <v>46253</v>
      </c>
      <c r="H3803" s="1" t="s">
        <v>78</v>
      </c>
      <c r="I3803" s="126" t="s">
        <v>8422</v>
      </c>
      <c r="J3803" s="175">
        <v>31695117221</v>
      </c>
      <c r="K3803" s="171" t="s">
        <v>8423</v>
      </c>
      <c r="L3803" s="62">
        <v>23781250</v>
      </c>
      <c r="M3803" s="30">
        <v>5216181460656</v>
      </c>
      <c r="N3803" s="172" t="s">
        <v>32</v>
      </c>
      <c r="O3803" s="50">
        <v>4064.88</v>
      </c>
      <c r="P3803" s="97"/>
      <c r="Q3803" s="42">
        <f>OfficeForms.Table[[#This Row],[ INFORMEDEPAGO ]]*0.3</f>
        <v>1219.4639999999999</v>
      </c>
      <c r="R3803" s="12">
        <f>(IF(O3803&lt;4172.98,0,MIN(O3803*0.3,O3803-4172.98)))-P3803</f>
        <v>0</v>
      </c>
      <c r="S3803" s="78"/>
      <c r="T3803" s="1"/>
      <c r="U3803" s="97"/>
      <c r="V3803" s="1"/>
      <c r="X3803" s="101">
        <v>1</v>
      </c>
    </row>
    <row r="3804" spans="1:24" hidden="1">
      <c r="A3804">
        <v>2227</v>
      </c>
      <c r="B3804" s="2">
        <v>46254.511793981503</v>
      </c>
      <c r="C3804" s="2">
        <v>46254.602303240703</v>
      </c>
      <c r="D3804" s="1" t="s">
        <v>24</v>
      </c>
      <c r="E3804" s="1"/>
      <c r="F3804" s="29">
        <v>46254</v>
      </c>
      <c r="G3804" s="29">
        <v>46254</v>
      </c>
      <c r="H3804" s="1" t="s">
        <v>51</v>
      </c>
      <c r="I3804" s="126" t="s">
        <v>8424</v>
      </c>
      <c r="J3804" s="175"/>
      <c r="K3804" s="171" t="s">
        <v>8425</v>
      </c>
      <c r="L3804" s="62">
        <v>23783214</v>
      </c>
      <c r="M3804" s="30">
        <v>5218441791346</v>
      </c>
      <c r="N3804" s="172" t="s">
        <v>37</v>
      </c>
      <c r="O3804" s="50">
        <v>7920.51</v>
      </c>
      <c r="P3804" s="97">
        <v>2374.98</v>
      </c>
      <c r="Q3804" s="42">
        <f>OfficeForms.Table[[#This Row],[ INFORMEDEPAGO ]]*0.3</f>
        <v>2376.1529999999998</v>
      </c>
      <c r="R3804" s="12">
        <f>(IF(O3804&lt;4172.98,0,MIN(O3804*0.3,O3804-4172.98)))-P3804</f>
        <v>1.1729999999997744</v>
      </c>
      <c r="S3804" s="78">
        <v>46784</v>
      </c>
      <c r="T3804" s="1" t="s">
        <v>7516</v>
      </c>
      <c r="U3804" s="97">
        <v>1303.99</v>
      </c>
      <c r="V3804" s="1"/>
      <c r="X3804" s="101">
        <v>2</v>
      </c>
    </row>
    <row r="3805" spans="1:24" hidden="1">
      <c r="A3805">
        <v>2228</v>
      </c>
      <c r="B3805" s="2">
        <v>46254.605138888903</v>
      </c>
      <c r="C3805" s="2">
        <v>46254.605960648099</v>
      </c>
      <c r="D3805" s="1" t="s">
        <v>24</v>
      </c>
      <c r="E3805" s="1"/>
      <c r="F3805" s="29">
        <v>46254</v>
      </c>
      <c r="G3805" s="29">
        <v>46254</v>
      </c>
      <c r="H3805" s="1" t="s">
        <v>8253</v>
      </c>
      <c r="I3805" s="126" t="s">
        <v>8426</v>
      </c>
      <c r="J3805" s="175">
        <v>64815913112</v>
      </c>
      <c r="K3805" s="171" t="s">
        <v>8427</v>
      </c>
      <c r="L3805" s="62">
        <v>23799212</v>
      </c>
      <c r="M3805" s="30">
        <v>8110693461</v>
      </c>
      <c r="N3805" s="172" t="s">
        <v>28</v>
      </c>
      <c r="O3805" s="50">
        <v>12454</v>
      </c>
      <c r="P3805" s="97"/>
      <c r="Q3805" s="42">
        <f>OfficeForms.Table[[#This Row],[ INFORMEDEPAGO ]]*0.3</f>
        <v>3736.2</v>
      </c>
      <c r="R3805" s="12">
        <f>(IF(O3805&lt;4172.98,0,MIN(O3805*0.3,O3805-4172.98)))-P3805</f>
        <v>3736.2</v>
      </c>
      <c r="S3805" s="78"/>
      <c r="T3805" s="1"/>
      <c r="U3805" s="97"/>
      <c r="V3805" s="1" t="s">
        <v>8264</v>
      </c>
      <c r="W3805" s="29">
        <v>46254</v>
      </c>
      <c r="X3805" s="101">
        <v>1</v>
      </c>
    </row>
    <row r="3806" spans="1:24" hidden="1">
      <c r="A3806">
        <v>2229</v>
      </c>
      <c r="B3806" s="2">
        <v>46254.6102777778</v>
      </c>
      <c r="C3806" s="2">
        <v>46254.610844907402</v>
      </c>
      <c r="D3806" s="1" t="s">
        <v>24</v>
      </c>
      <c r="E3806" s="1"/>
      <c r="F3806" s="29">
        <v>46254</v>
      </c>
      <c r="G3806" s="29">
        <v>46253</v>
      </c>
      <c r="H3806" s="1" t="s">
        <v>8200</v>
      </c>
      <c r="I3806" s="126" t="s">
        <v>8428</v>
      </c>
      <c r="J3806" s="175"/>
      <c r="K3806" s="171" t="s">
        <v>8429</v>
      </c>
      <c r="L3806" s="62">
        <v>23805606</v>
      </c>
      <c r="M3806" s="30">
        <v>5216561052620</v>
      </c>
      <c r="N3806" s="172" t="s">
        <v>37</v>
      </c>
      <c r="O3806" s="52">
        <v>8082.67</v>
      </c>
      <c r="P3806" s="52">
        <v>2424.39</v>
      </c>
      <c r="Q3806" s="42">
        <f>OfficeForms.Table[[#This Row],[ INFORMEDEPAGO ]]*0.3</f>
        <v>2424.8009999999999</v>
      </c>
      <c r="R3806" s="12">
        <f>(IF(O3806&lt;4172.98,0,MIN(O3806*0.3,O3806-4172.98)))-P3806</f>
        <v>0.41100000000005821</v>
      </c>
      <c r="S3806" s="78">
        <v>46388</v>
      </c>
      <c r="T3806" s="1" t="s">
        <v>6855</v>
      </c>
      <c r="U3806" s="97">
        <v>450</v>
      </c>
      <c r="V3806" s="1"/>
      <c r="X3806" s="101">
        <v>2</v>
      </c>
    </row>
    <row r="3807" spans="1:24" hidden="1">
      <c r="A3807">
        <v>2230</v>
      </c>
      <c r="B3807" s="2">
        <v>46254.6023263889</v>
      </c>
      <c r="C3807" s="2">
        <v>46254.6161111111</v>
      </c>
      <c r="D3807" s="1" t="s">
        <v>24</v>
      </c>
      <c r="E3807" s="1"/>
      <c r="F3807" s="29">
        <v>46254</v>
      </c>
      <c r="G3807" s="29">
        <v>46238</v>
      </c>
      <c r="H3807" s="1" t="s">
        <v>51</v>
      </c>
      <c r="I3807" s="126" t="s">
        <v>8430</v>
      </c>
      <c r="J3807" s="175"/>
      <c r="K3807" s="171" t="s">
        <v>8431</v>
      </c>
      <c r="L3807" s="62">
        <v>23361468</v>
      </c>
      <c r="M3807" s="30">
        <v>5216142761965</v>
      </c>
      <c r="N3807" s="172" t="s">
        <v>37</v>
      </c>
      <c r="O3807" s="50">
        <v>7640.52</v>
      </c>
      <c r="P3807" s="97">
        <v>2120.2199999999998</v>
      </c>
      <c r="Q3807" s="42">
        <f>OfficeForms.Table[[#This Row],[ INFORMEDEPAGO ]]*0.3</f>
        <v>2292.1559999999999</v>
      </c>
      <c r="R3807" s="12">
        <f>(IF(O3807&lt;4172.98,0,MIN(O3807*0.3,O3807-4172.98)))-P3807</f>
        <v>171.93600000000015</v>
      </c>
      <c r="S3807" s="78">
        <v>46266</v>
      </c>
      <c r="T3807" s="1" t="s">
        <v>192</v>
      </c>
      <c r="U3807" s="97">
        <v>2120.2199999999998</v>
      </c>
      <c r="V3807" s="1"/>
      <c r="X3807" s="101">
        <v>2</v>
      </c>
    </row>
    <row r="3808" spans="1:24" hidden="1">
      <c r="A3808">
        <v>2231</v>
      </c>
      <c r="B3808" s="2">
        <v>46254.621979166703</v>
      </c>
      <c r="C3808" s="2">
        <v>46254.627511574101</v>
      </c>
      <c r="D3808" s="1" t="s">
        <v>24</v>
      </c>
      <c r="E3808" s="1"/>
      <c r="F3808" s="29">
        <v>46254</v>
      </c>
      <c r="G3808" s="29">
        <v>46254</v>
      </c>
      <c r="H3808" s="1" t="s">
        <v>78</v>
      </c>
      <c r="I3808" s="126" t="s">
        <v>8432</v>
      </c>
      <c r="J3808" s="175"/>
      <c r="K3808" s="171" t="s">
        <v>8433</v>
      </c>
      <c r="L3808" s="62">
        <v>23803036</v>
      </c>
      <c r="M3808" s="30">
        <v>5215545386691</v>
      </c>
      <c r="N3808" s="172" t="s">
        <v>28</v>
      </c>
      <c r="O3808" s="50">
        <v>10636.54</v>
      </c>
      <c r="P3808" s="97"/>
      <c r="Q3808" s="42">
        <f>OfficeForms.Table[[#This Row],[ INFORMEDEPAGO ]]*0.3</f>
        <v>3190.962</v>
      </c>
      <c r="R3808" s="12">
        <f>(IF(O3808&lt;4172.98,0,MIN(O3808*0.3,O3808-4172.98)))-P3808</f>
        <v>3190.962</v>
      </c>
      <c r="S3808" s="78"/>
      <c r="T3808" s="1"/>
      <c r="U3808" s="97"/>
      <c r="V3808" s="1" t="s">
        <v>8264</v>
      </c>
      <c r="W3808" s="29">
        <v>46254</v>
      </c>
      <c r="X3808" s="101">
        <v>1</v>
      </c>
    </row>
    <row r="3809" spans="1:24" hidden="1">
      <c r="A3809">
        <v>2232</v>
      </c>
      <c r="B3809" s="2">
        <v>46254.628703703696</v>
      </c>
      <c r="C3809" s="2">
        <v>46254.629351851901</v>
      </c>
      <c r="D3809" s="1" t="s">
        <v>24</v>
      </c>
      <c r="E3809" s="1"/>
      <c r="F3809" s="29">
        <v>46254</v>
      </c>
      <c r="G3809" s="29">
        <v>46253</v>
      </c>
      <c r="H3809" s="1" t="s">
        <v>8253</v>
      </c>
      <c r="I3809" s="126" t="s">
        <v>8434</v>
      </c>
      <c r="J3809" s="175"/>
      <c r="K3809" s="171" t="s">
        <v>8435</v>
      </c>
      <c r="L3809" s="62">
        <v>23773002</v>
      </c>
      <c r="M3809" s="30">
        <v>8994499174</v>
      </c>
      <c r="N3809" s="172" t="s">
        <v>28</v>
      </c>
      <c r="O3809" s="50">
        <v>5983.25</v>
      </c>
      <c r="P3809" s="97"/>
      <c r="Q3809" s="42">
        <f>OfficeForms.Table[[#This Row],[ INFORMEDEPAGO ]]*0.3</f>
        <v>1794.9749999999999</v>
      </c>
      <c r="R3809" s="12">
        <f>(IF(O3809&lt;4172.98,0,MIN(O3809*0.3,O3809-4172.98)))-P3809</f>
        <v>1794.9749999999999</v>
      </c>
      <c r="S3809" s="78"/>
      <c r="T3809" s="1"/>
      <c r="U3809" s="97"/>
      <c r="V3809" s="1" t="s">
        <v>8356</v>
      </c>
      <c r="W3809" s="29">
        <v>46254</v>
      </c>
      <c r="X3809" s="101">
        <v>1</v>
      </c>
    </row>
    <row r="3810" spans="1:24" hidden="1">
      <c r="A3810">
        <v>2233</v>
      </c>
      <c r="B3810" s="2">
        <v>46254.645983796298</v>
      </c>
      <c r="C3810" s="2">
        <v>46254.646736111099</v>
      </c>
      <c r="D3810" s="1" t="s">
        <v>24</v>
      </c>
      <c r="E3810" s="1"/>
      <c r="F3810" s="29">
        <v>46254</v>
      </c>
      <c r="G3810" s="29">
        <v>46254</v>
      </c>
      <c r="H3810" s="1" t="s">
        <v>26</v>
      </c>
      <c r="I3810" s="126" t="s">
        <v>3093</v>
      </c>
      <c r="J3810" s="175">
        <v>13947105055</v>
      </c>
      <c r="K3810" s="171"/>
      <c r="L3810" s="62">
        <v>22903402</v>
      </c>
      <c r="M3810" s="30">
        <v>5217717412056</v>
      </c>
      <c r="N3810" s="172" t="s">
        <v>28</v>
      </c>
      <c r="O3810" s="43">
        <v>28690.84</v>
      </c>
      <c r="P3810" s="43">
        <v>6156.82</v>
      </c>
      <c r="Q3810" s="42">
        <f>OfficeForms.Table[[#This Row],[ INFORMEDEPAGO ]]*0.3</f>
        <v>8607.2520000000004</v>
      </c>
      <c r="R3810" s="12">
        <f>(IF(O3810&lt;4172.98,0,MIN(O3810*0.3,O3810-4172.98)))-P3810</f>
        <v>2450.4320000000007</v>
      </c>
      <c r="S3810" s="78">
        <v>46600</v>
      </c>
      <c r="T3810" s="1" t="s">
        <v>8319</v>
      </c>
      <c r="U3810" s="97">
        <v>3762.83</v>
      </c>
      <c r="V3810" s="211" t="s">
        <v>8436</v>
      </c>
      <c r="W3810" s="29">
        <v>46254</v>
      </c>
      <c r="X3810" s="101">
        <v>2</v>
      </c>
    </row>
    <row r="3811" spans="1:24" hidden="1">
      <c r="A3811">
        <v>2234</v>
      </c>
      <c r="B3811" s="2">
        <v>46254.654259259303</v>
      </c>
      <c r="C3811" s="2">
        <v>46254.654965277798</v>
      </c>
      <c r="D3811" s="1" t="s">
        <v>24</v>
      </c>
      <c r="E3811" s="1"/>
      <c r="F3811" s="29">
        <v>46254</v>
      </c>
      <c r="G3811" s="29">
        <v>46254</v>
      </c>
      <c r="H3811" s="1" t="s">
        <v>8297</v>
      </c>
      <c r="I3811" s="126" t="s">
        <v>8437</v>
      </c>
      <c r="J3811" s="175"/>
      <c r="K3811" s="171" t="s">
        <v>8437</v>
      </c>
      <c r="L3811" s="62">
        <v>23803550</v>
      </c>
      <c r="M3811" s="30">
        <v>5216633303115</v>
      </c>
      <c r="N3811" s="172" t="s">
        <v>37</v>
      </c>
      <c r="O3811" s="50">
        <v>21272.99</v>
      </c>
      <c r="P3811" s="97">
        <v>6153.54</v>
      </c>
      <c r="Q3811" s="42">
        <f>OfficeForms.Table[[#This Row],[ INFORMEDEPAGO ]]*0.3</f>
        <v>6381.8969999999999</v>
      </c>
      <c r="R3811" s="12">
        <f>(IF(O3811&lt;4172.98,0,MIN(O3811*0.3,O3811-4172.98)))-P3811</f>
        <v>228.35699999999997</v>
      </c>
      <c r="S3811" s="78">
        <v>46661</v>
      </c>
      <c r="T3811" s="1" t="s">
        <v>84</v>
      </c>
      <c r="U3811" s="97">
        <v>6153.54</v>
      </c>
      <c r="V3811" s="1"/>
      <c r="X3811" s="101">
        <v>2</v>
      </c>
    </row>
    <row r="3812" spans="1:24" hidden="1">
      <c r="A3812">
        <v>2235</v>
      </c>
      <c r="B3812" s="2">
        <v>46254.6613194444</v>
      </c>
      <c r="C3812" s="2">
        <v>46254.661874999998</v>
      </c>
      <c r="D3812" s="1" t="s">
        <v>24</v>
      </c>
      <c r="E3812" s="1"/>
      <c r="F3812" s="29">
        <v>46254</v>
      </c>
      <c r="G3812" s="29">
        <v>46254</v>
      </c>
      <c r="H3812" s="1" t="s">
        <v>1629</v>
      </c>
      <c r="I3812" s="126" t="s">
        <v>8438</v>
      </c>
      <c r="J3812" s="175">
        <v>10816122245</v>
      </c>
      <c r="K3812" s="171" t="s">
        <v>8439</v>
      </c>
      <c r="L3812" s="62">
        <v>2</v>
      </c>
      <c r="M3812" s="30">
        <v>5554044409</v>
      </c>
      <c r="N3812" s="172" t="s">
        <v>106</v>
      </c>
      <c r="O3812" s="50">
        <v>6262.86</v>
      </c>
      <c r="P3812" s="97">
        <v>1738.79</v>
      </c>
      <c r="Q3812" s="42">
        <f>OfficeForms.Table[[#This Row],[ INFORMEDEPAGO ]]*0.3</f>
        <v>1878.8579999999997</v>
      </c>
      <c r="R3812" s="12">
        <f>(IF(O3812&lt;4172.98,0,MIN(O3812*0.3,O3812-4172.98)))-P3812</f>
        <v>140.06799999999976</v>
      </c>
      <c r="S3812" s="78">
        <v>46235</v>
      </c>
      <c r="T3812" s="1" t="s">
        <v>7209</v>
      </c>
      <c r="U3812" s="97">
        <v>1738.79</v>
      </c>
      <c r="V3812" s="1"/>
      <c r="X3812" s="101">
        <v>2</v>
      </c>
    </row>
    <row r="3813" spans="1:24" hidden="1">
      <c r="A3813">
        <v>2236</v>
      </c>
      <c r="B3813" s="2">
        <v>46254.705925925897</v>
      </c>
      <c r="C3813" s="2">
        <v>46254.706481481502</v>
      </c>
      <c r="D3813" s="1" t="s">
        <v>24</v>
      </c>
      <c r="E3813" s="1"/>
      <c r="F3813" s="29">
        <v>46254</v>
      </c>
      <c r="G3813" s="29">
        <v>46254</v>
      </c>
      <c r="H3813" s="1" t="s">
        <v>8253</v>
      </c>
      <c r="I3813" s="126" t="s">
        <v>8440</v>
      </c>
      <c r="J3813" s="175"/>
      <c r="K3813" s="171" t="s">
        <v>8441</v>
      </c>
      <c r="L3813" s="62">
        <v>23809056</v>
      </c>
      <c r="M3813" s="30">
        <v>8443562001</v>
      </c>
      <c r="N3813" s="172" t="s">
        <v>28</v>
      </c>
      <c r="O3813" s="50">
        <v>10229.02</v>
      </c>
      <c r="P3813" s="97"/>
      <c r="Q3813" s="42">
        <f>OfficeForms.Table[[#This Row],[ INFORMEDEPAGO ]]*0.3</f>
        <v>3068.7060000000001</v>
      </c>
      <c r="R3813" s="12">
        <f>(IF(O3813&lt;4172.98,0,MIN(O3813*0.3,O3813-4172.98)))-P3813</f>
        <v>3068.7060000000001</v>
      </c>
      <c r="S3813" s="78"/>
      <c r="T3813" s="1"/>
      <c r="U3813" s="97"/>
      <c r="V3813" s="1" t="s">
        <v>8264</v>
      </c>
      <c r="W3813" s="29">
        <v>46254</v>
      </c>
      <c r="X3813" s="101">
        <v>1</v>
      </c>
    </row>
    <row r="3814" spans="1:24" hidden="1">
      <c r="A3814">
        <v>2237</v>
      </c>
      <c r="B3814" s="2">
        <v>46254.696423611102</v>
      </c>
      <c r="C3814" s="2">
        <v>46254.707430555602</v>
      </c>
      <c r="D3814" s="1" t="s">
        <v>24</v>
      </c>
      <c r="E3814" s="1"/>
      <c r="F3814" s="29">
        <v>46254</v>
      </c>
      <c r="G3814" s="29">
        <v>46254</v>
      </c>
      <c r="H3814" s="1" t="s">
        <v>8442</v>
      </c>
      <c r="I3814" s="126" t="s">
        <v>8443</v>
      </c>
      <c r="J3814" s="175" t="s">
        <v>8444</v>
      </c>
      <c r="K3814" s="171"/>
      <c r="L3814" s="62">
        <v>23808738</v>
      </c>
      <c r="M3814" s="30">
        <v>5216391213745</v>
      </c>
      <c r="N3814" s="172" t="s">
        <v>37</v>
      </c>
      <c r="O3814" s="52">
        <v>6777.8</v>
      </c>
      <c r="P3814" s="52">
        <v>1959.98</v>
      </c>
      <c r="Q3814" s="42">
        <f>OfficeForms.Table[[#This Row],[ INFORMEDEPAGO ]]*0.3</f>
        <v>2033.34</v>
      </c>
      <c r="R3814" s="12">
        <f>(IF(O3814&lt;4172.98,0,MIN(O3814*0.3,O3814-4172.98)))-P3814</f>
        <v>73.3599999999999</v>
      </c>
      <c r="S3814" s="78">
        <v>46419</v>
      </c>
      <c r="T3814" s="1" t="s">
        <v>8319</v>
      </c>
      <c r="U3814" s="97">
        <v>1055.94</v>
      </c>
      <c r="V3814" s="1"/>
      <c r="X3814" s="101">
        <v>2</v>
      </c>
    </row>
    <row r="3815" spans="1:24" hidden="1">
      <c r="A3815">
        <v>2238</v>
      </c>
      <c r="B3815" s="2">
        <v>46254.492615740703</v>
      </c>
      <c r="C3815" s="2">
        <v>46254.730243055601</v>
      </c>
      <c r="D3815" s="1" t="s">
        <v>24</v>
      </c>
      <c r="E3815" s="1"/>
      <c r="F3815" s="29">
        <v>46254</v>
      </c>
      <c r="G3815" s="29">
        <v>46254</v>
      </c>
      <c r="H3815" s="1" t="s">
        <v>8381</v>
      </c>
      <c r="I3815" s="126" t="s">
        <v>8445</v>
      </c>
      <c r="J3815" s="175" t="s">
        <v>8446</v>
      </c>
      <c r="K3815" s="171"/>
      <c r="L3815" s="62">
        <v>23807862</v>
      </c>
      <c r="M3815" s="30">
        <v>5216566753842</v>
      </c>
      <c r="N3815" s="172" t="s">
        <v>28</v>
      </c>
      <c r="O3815" s="52">
        <v>16470.3</v>
      </c>
      <c r="P3815" s="52">
        <v>1794</v>
      </c>
      <c r="Q3815" s="42">
        <f>OfficeForms.Table[[#This Row],[ INFORMEDEPAGO ]]*0.3</f>
        <v>4941.0899999999992</v>
      </c>
      <c r="R3815" s="12">
        <f>(IF(O3815&lt;4172.98,0,MIN(O3815*0.3,O3815-4172.98)))-P3815</f>
        <v>3147.0899999999992</v>
      </c>
      <c r="S3815" s="78">
        <v>46478</v>
      </c>
      <c r="T3815" s="1" t="s">
        <v>7209</v>
      </c>
      <c r="U3815" s="52">
        <v>1794</v>
      </c>
      <c r="V3815" s="1" t="s">
        <v>8409</v>
      </c>
      <c r="W3815" s="29">
        <v>46254</v>
      </c>
      <c r="X3815" s="101">
        <v>2</v>
      </c>
    </row>
    <row r="3816" spans="1:24" hidden="1">
      <c r="A3816">
        <v>2239</v>
      </c>
      <c r="B3816" s="2">
        <v>46254.734548611101</v>
      </c>
      <c r="C3816" s="2">
        <v>46254.735648148097</v>
      </c>
      <c r="D3816" s="1" t="s">
        <v>24</v>
      </c>
      <c r="E3816" s="1"/>
      <c r="F3816" s="29">
        <v>46254</v>
      </c>
      <c r="G3816" s="29">
        <v>46252</v>
      </c>
      <c r="H3816" s="1" t="s">
        <v>8200</v>
      </c>
      <c r="I3816" s="126" t="s">
        <v>8447</v>
      </c>
      <c r="J3816" s="175" t="s">
        <v>8448</v>
      </c>
      <c r="K3816" s="171"/>
      <c r="L3816" s="62">
        <v>23737248</v>
      </c>
      <c r="M3816" s="30">
        <v>5217772869346</v>
      </c>
      <c r="N3816" s="172" t="s">
        <v>98</v>
      </c>
      <c r="O3816" s="50"/>
      <c r="P3816" s="97"/>
      <c r="Q3816" s="42">
        <f>OfficeForms.Table[[#This Row],[ INFORMEDEPAGO ]]*0.3</f>
        <v>0</v>
      </c>
      <c r="R3816" s="12">
        <f>(IF(O3816&lt;4172.98,0,MIN(O3816*0.3,O3816-4172.98)))-P3816</f>
        <v>0</v>
      </c>
      <c r="S3816" s="78"/>
      <c r="T3816" s="1"/>
      <c r="U3816" s="97"/>
      <c r="V3816" s="1"/>
      <c r="X3816" s="101">
        <v>0</v>
      </c>
    </row>
    <row r="3817" spans="1:24" hidden="1">
      <c r="A3817">
        <v>2240</v>
      </c>
      <c r="B3817" s="2">
        <v>46254.740243055603</v>
      </c>
      <c r="C3817" s="2">
        <v>46254.740798611099</v>
      </c>
      <c r="D3817" s="1" t="s">
        <v>24</v>
      </c>
      <c r="E3817" s="1"/>
      <c r="F3817" s="29">
        <v>46254</v>
      </c>
      <c r="G3817" s="29">
        <v>46254</v>
      </c>
      <c r="H3817" s="1" t="s">
        <v>1629</v>
      </c>
      <c r="I3817" s="126" t="s">
        <v>8449</v>
      </c>
      <c r="J3817" s="175">
        <v>53826331984</v>
      </c>
      <c r="K3817" s="171" t="s">
        <v>8450</v>
      </c>
      <c r="L3817" s="62">
        <v>2</v>
      </c>
      <c r="M3817" s="30" t="s">
        <v>8451</v>
      </c>
      <c r="N3817" s="172" t="s">
        <v>37</v>
      </c>
      <c r="O3817" s="52">
        <v>26241.65</v>
      </c>
      <c r="P3817" s="52">
        <v>14401.82</v>
      </c>
      <c r="Q3817" s="42">
        <f>OfficeForms.Table[[#This Row],[ INFORMEDEPAGO ]]*0.3</f>
        <v>7872.4949999999999</v>
      </c>
      <c r="R3817" s="12">
        <f>(IF(O3817&lt;4172.98,0,MIN(O3817*0.3,O3817-4172.98)))-P3817</f>
        <v>-6529.3249999999998</v>
      </c>
      <c r="S3817" s="78">
        <v>46419</v>
      </c>
      <c r="T3817" s="1" t="s">
        <v>8452</v>
      </c>
      <c r="U3817" s="97">
        <v>2052.48</v>
      </c>
      <c r="V3817" s="1"/>
      <c r="X3817" s="101">
        <v>2</v>
      </c>
    </row>
    <row r="3818" spans="1:24" hidden="1">
      <c r="A3818">
        <v>2241</v>
      </c>
      <c r="B3818" s="2">
        <v>46254.716527777797</v>
      </c>
      <c r="C3818" s="2">
        <v>46254.747083333299</v>
      </c>
      <c r="D3818" s="1" t="s">
        <v>24</v>
      </c>
      <c r="E3818" s="1"/>
      <c r="F3818" s="29">
        <v>46254</v>
      </c>
      <c r="G3818" s="29">
        <v>46254</v>
      </c>
      <c r="H3818" s="1" t="s">
        <v>8271</v>
      </c>
      <c r="I3818" s="126" t="s">
        <v>8453</v>
      </c>
      <c r="J3818" s="175" t="s">
        <v>8454</v>
      </c>
      <c r="K3818" s="171" t="s">
        <v>8455</v>
      </c>
      <c r="L3818" s="62">
        <v>23808822</v>
      </c>
      <c r="M3818" s="30">
        <v>5216568157139</v>
      </c>
      <c r="N3818" s="172" t="s">
        <v>106</v>
      </c>
      <c r="O3818" s="52">
        <v>9081.52</v>
      </c>
      <c r="P3818" s="52">
        <v>2521.35</v>
      </c>
      <c r="Q3818" s="42">
        <f>OfficeForms.Table[[#This Row],[ INFORMEDEPAGO ]]*0.3</f>
        <v>2724.4560000000001</v>
      </c>
      <c r="R3818" s="12">
        <f>(IF(O3818&lt;4172.98,0,MIN(O3818*0.3,O3818-4172.98)))-P3818</f>
        <v>203.10600000000022</v>
      </c>
      <c r="S3818" s="78">
        <v>46204</v>
      </c>
      <c r="T3818" s="1" t="s">
        <v>7209</v>
      </c>
      <c r="U3818" s="52">
        <v>2521.35</v>
      </c>
      <c r="V3818" s="1" t="s">
        <v>8456</v>
      </c>
      <c r="W3818" s="29">
        <v>46254</v>
      </c>
      <c r="X3818" s="101">
        <v>2</v>
      </c>
    </row>
    <row r="3819" spans="1:24" hidden="1">
      <c r="A3819">
        <v>2242</v>
      </c>
      <c r="B3819" s="2">
        <v>46254.7495949074</v>
      </c>
      <c r="C3819" s="2">
        <v>46254.754027777803</v>
      </c>
      <c r="D3819" s="1" t="s">
        <v>24</v>
      </c>
      <c r="E3819" s="1"/>
      <c r="F3819" s="29">
        <v>46254</v>
      </c>
      <c r="G3819" s="29">
        <v>46254</v>
      </c>
      <c r="H3819" s="1" t="s">
        <v>8281</v>
      </c>
      <c r="I3819" s="126" t="s">
        <v>8457</v>
      </c>
      <c r="J3819" s="209" t="s">
        <v>8458</v>
      </c>
      <c r="K3819" s="171" t="s">
        <v>8459</v>
      </c>
      <c r="L3819" s="62">
        <v>23810928</v>
      </c>
      <c r="M3819" s="30">
        <v>5213310976472</v>
      </c>
      <c r="N3819" s="172" t="s">
        <v>37</v>
      </c>
      <c r="O3819" s="52">
        <v>6262.86</v>
      </c>
      <c r="P3819" s="52">
        <v>1878.49</v>
      </c>
      <c r="Q3819" s="42">
        <f>OfficeForms.Table[[#This Row],[ INFORMEDEPAGO ]]*0.3</f>
        <v>1878.8579999999997</v>
      </c>
      <c r="R3819" s="12">
        <f>(IF(O3819&lt;4172.98,0,MIN(O3819*0.3,O3819-4172.98)))-P3819</f>
        <v>0.36799999999971078</v>
      </c>
      <c r="S3819" s="78">
        <v>46966</v>
      </c>
      <c r="T3819" s="1" t="s">
        <v>7516</v>
      </c>
      <c r="U3819" s="97">
        <v>999.49</v>
      </c>
      <c r="V3819" s="1"/>
      <c r="X3819" s="101">
        <v>2</v>
      </c>
    </row>
    <row r="3820" spans="1:24" hidden="1">
      <c r="A3820">
        <v>2243</v>
      </c>
      <c r="B3820" s="2">
        <v>46254.654999999999</v>
      </c>
      <c r="C3820" s="2">
        <v>46254.777048611097</v>
      </c>
      <c r="D3820" s="1" t="s">
        <v>24</v>
      </c>
      <c r="E3820" s="1"/>
      <c r="F3820" s="29">
        <v>46254</v>
      </c>
      <c r="G3820" s="29">
        <v>46236</v>
      </c>
      <c r="H3820" s="1" t="s">
        <v>8297</v>
      </c>
      <c r="I3820" s="126" t="s">
        <v>8460</v>
      </c>
      <c r="J3820" s="175"/>
      <c r="K3820" s="171" t="s">
        <v>8461</v>
      </c>
      <c r="L3820" s="62">
        <v>23296752</v>
      </c>
      <c r="M3820" s="30">
        <v>5218712359494</v>
      </c>
      <c r="N3820" s="172" t="s">
        <v>98</v>
      </c>
      <c r="O3820" s="50"/>
      <c r="P3820" s="97"/>
      <c r="Q3820" s="42">
        <f>OfficeForms.Table[[#This Row],[ INFORMEDEPAGO ]]*0.3</f>
        <v>0</v>
      </c>
      <c r="R3820" s="12">
        <f>(IF(O3820&lt;4172.98,0,MIN(O3820*0.3,O3820-4172.98)))-P3820</f>
        <v>0</v>
      </c>
      <c r="S3820" s="78"/>
      <c r="T3820" s="1"/>
      <c r="U3820" s="97"/>
      <c r="V3820" s="1"/>
      <c r="X3820" s="101">
        <v>0</v>
      </c>
    </row>
    <row r="3821" spans="1:24" hidden="1">
      <c r="A3821">
        <v>2244</v>
      </c>
      <c r="B3821" s="2">
        <v>46255.350567129601</v>
      </c>
      <c r="C3821" s="2">
        <v>46255.351458333302</v>
      </c>
      <c r="D3821" s="1" t="s">
        <v>24</v>
      </c>
      <c r="E3821" s="1"/>
      <c r="F3821" s="29">
        <v>46255</v>
      </c>
      <c r="G3821" s="29">
        <v>46255</v>
      </c>
      <c r="H3821" s="1" t="s">
        <v>1629</v>
      </c>
      <c r="I3821" s="126" t="s">
        <v>8462</v>
      </c>
      <c r="J3821" s="175">
        <v>11684924215</v>
      </c>
      <c r="K3821" s="171" t="s">
        <v>8463</v>
      </c>
      <c r="L3821" s="62">
        <v>2</v>
      </c>
      <c r="M3821" s="30" t="s">
        <v>8464</v>
      </c>
      <c r="N3821" s="172" t="s">
        <v>47</v>
      </c>
      <c r="O3821" s="50">
        <v>4657.96</v>
      </c>
      <c r="P3821" s="97"/>
      <c r="Q3821" s="42">
        <f>OfficeForms.Table[[#This Row],[ INFORMEDEPAGO ]]*0.3</f>
        <v>1397.3879999999999</v>
      </c>
      <c r="R3821" s="12">
        <f t="shared" ref="R3821:R3826" si="233">(IF(O3821&lt;4172.98,0,MIN(O3821*0.3,O3821-4172.98)))-P3821</f>
        <v>484.98000000000047</v>
      </c>
      <c r="S3821" s="78"/>
      <c r="T3821" s="1"/>
      <c r="U3821" s="97"/>
      <c r="V3821" s="1"/>
      <c r="X3821" s="101">
        <v>1</v>
      </c>
    </row>
    <row r="3822" spans="1:24" hidden="1">
      <c r="A3822">
        <v>2245</v>
      </c>
      <c r="B3822" s="2">
        <v>46255.356712963003</v>
      </c>
      <c r="C3822" s="2">
        <v>46255.3577083333</v>
      </c>
      <c r="D3822" s="1" t="s">
        <v>24</v>
      </c>
      <c r="E3822" s="1"/>
      <c r="F3822" s="29">
        <v>46255</v>
      </c>
      <c r="G3822" s="29">
        <v>46252</v>
      </c>
      <c r="H3822" s="1" t="s">
        <v>8200</v>
      </c>
      <c r="I3822" s="126" t="s">
        <v>8465</v>
      </c>
      <c r="J3822" s="175" t="s">
        <v>8466</v>
      </c>
      <c r="K3822" s="171"/>
      <c r="L3822" s="62">
        <v>23737228</v>
      </c>
      <c r="M3822" s="30">
        <v>5218442806796</v>
      </c>
      <c r="N3822" s="172" t="s">
        <v>28</v>
      </c>
      <c r="O3822" s="50">
        <v>9277.0499999999993</v>
      </c>
      <c r="P3822" s="97"/>
      <c r="Q3822" s="42">
        <f>OfficeForms.Table[[#This Row],[ INFORMEDEPAGO ]]*0.3</f>
        <v>2783.1149999999998</v>
      </c>
      <c r="R3822" s="12">
        <f t="shared" si="233"/>
        <v>2783.1149999999998</v>
      </c>
      <c r="S3822" s="78"/>
      <c r="T3822" s="1"/>
      <c r="U3822" s="97"/>
      <c r="V3822" s="1" t="s">
        <v>8256</v>
      </c>
      <c r="W3822" s="29">
        <v>46255</v>
      </c>
      <c r="X3822" s="101">
        <v>1</v>
      </c>
    </row>
    <row r="3823" spans="1:24" hidden="1">
      <c r="A3823">
        <v>2246</v>
      </c>
      <c r="B3823" s="2">
        <v>46255.335509259297</v>
      </c>
      <c r="C3823" s="2">
        <v>46255.380335648202</v>
      </c>
      <c r="D3823" s="1" t="s">
        <v>24</v>
      </c>
      <c r="E3823" s="1"/>
      <c r="F3823" s="29">
        <v>46255</v>
      </c>
      <c r="G3823" s="29">
        <v>46253</v>
      </c>
      <c r="H3823" s="1" t="s">
        <v>8238</v>
      </c>
      <c r="I3823" s="126" t="s">
        <v>8467</v>
      </c>
      <c r="J3823" s="207"/>
      <c r="K3823" s="171" t="s">
        <v>8468</v>
      </c>
      <c r="L3823" s="62">
        <v>23764735</v>
      </c>
      <c r="M3823" s="30">
        <v>4441467983</v>
      </c>
      <c r="N3823" s="172" t="s">
        <v>98</v>
      </c>
      <c r="O3823" s="50"/>
      <c r="P3823" s="97"/>
      <c r="Q3823" s="42">
        <f>OfficeForms.Table[[#This Row],[ INFORMEDEPAGO ]]*0.3</f>
        <v>0</v>
      </c>
      <c r="R3823" s="12">
        <f t="shared" si="233"/>
        <v>0</v>
      </c>
      <c r="S3823" s="78"/>
      <c r="T3823" s="1"/>
      <c r="U3823" s="97"/>
      <c r="V3823" s="1"/>
      <c r="X3823" s="101">
        <v>0</v>
      </c>
    </row>
    <row r="3824" spans="1:24" hidden="1">
      <c r="A3824">
        <v>2247</v>
      </c>
      <c r="B3824" s="2">
        <v>46255.404490740701</v>
      </c>
      <c r="C3824" s="2">
        <v>46255.406574074099</v>
      </c>
      <c r="D3824" s="1" t="s">
        <v>24</v>
      </c>
      <c r="E3824" s="1"/>
      <c r="F3824" s="29">
        <v>46255</v>
      </c>
      <c r="G3824" s="29">
        <v>46252</v>
      </c>
      <c r="H3824" s="1" t="s">
        <v>269</v>
      </c>
      <c r="I3824" s="126" t="s">
        <v>8469</v>
      </c>
      <c r="J3824" s="207">
        <v>32897131259</v>
      </c>
      <c r="K3824" s="171" t="s">
        <v>8470</v>
      </c>
      <c r="L3824" s="62">
        <v>23741136</v>
      </c>
      <c r="M3824" s="30">
        <v>5218661370882</v>
      </c>
      <c r="N3824" s="172" t="s">
        <v>32</v>
      </c>
      <c r="O3824" s="43">
        <v>1610.93</v>
      </c>
      <c r="P3824" s="43">
        <v>402</v>
      </c>
      <c r="Q3824" s="42">
        <f>OfficeForms.Table[[#This Row],[ INFORMEDEPAGO ]]*0.3</f>
        <v>483.279</v>
      </c>
      <c r="R3824" s="12">
        <f t="shared" si="233"/>
        <v>-402</v>
      </c>
      <c r="S3824" s="78"/>
      <c r="T3824" s="1"/>
      <c r="U3824" s="97"/>
      <c r="V3824" s="1"/>
      <c r="X3824" s="101">
        <v>1</v>
      </c>
    </row>
    <row r="3825" spans="1:24" hidden="1">
      <c r="A3825">
        <v>2248</v>
      </c>
      <c r="B3825" s="2">
        <v>46255.382384259297</v>
      </c>
      <c r="C3825" s="2">
        <v>46255.415694444397</v>
      </c>
      <c r="D3825" s="1" t="s">
        <v>24</v>
      </c>
      <c r="E3825" s="1"/>
      <c r="F3825" s="29">
        <v>46255</v>
      </c>
      <c r="G3825" s="29">
        <v>46254</v>
      </c>
      <c r="H3825" s="1" t="s">
        <v>51</v>
      </c>
      <c r="I3825" s="126" t="s">
        <v>8471</v>
      </c>
      <c r="J3825" s="207">
        <v>53765730535</v>
      </c>
      <c r="K3825" s="171" t="s">
        <v>8472</v>
      </c>
      <c r="L3825" s="62">
        <v>23815346</v>
      </c>
      <c r="M3825" s="30">
        <v>5214434971822</v>
      </c>
      <c r="N3825" s="172" t="s">
        <v>37</v>
      </c>
      <c r="O3825" s="52">
        <v>11158.07</v>
      </c>
      <c r="P3825" s="52">
        <v>3095.64</v>
      </c>
      <c r="Q3825" s="42">
        <f>OfficeForms.Table[[#This Row],[ INFORMEDEPAGO ]]*0.3</f>
        <v>3347.4209999999998</v>
      </c>
      <c r="R3825" s="12">
        <f t="shared" si="233"/>
        <v>251.78099999999995</v>
      </c>
      <c r="S3825" s="78">
        <v>46388</v>
      </c>
      <c r="T3825" s="1" t="s">
        <v>7516</v>
      </c>
      <c r="U3825" s="97">
        <v>2080.23</v>
      </c>
      <c r="V3825" s="1"/>
      <c r="X3825" s="101">
        <v>2</v>
      </c>
    </row>
    <row r="3826" spans="1:24" hidden="1">
      <c r="A3826">
        <v>2249</v>
      </c>
      <c r="B3826" s="2">
        <v>46255.321863425903</v>
      </c>
      <c r="C3826" s="2">
        <v>46255.425879629598</v>
      </c>
      <c r="D3826" s="1" t="s">
        <v>24</v>
      </c>
      <c r="E3826" s="1"/>
      <c r="F3826" s="29">
        <v>46255</v>
      </c>
      <c r="G3826" s="29">
        <v>46255</v>
      </c>
      <c r="H3826" s="1" t="s">
        <v>2908</v>
      </c>
      <c r="I3826" s="126" t="s">
        <v>8473</v>
      </c>
      <c r="J3826" s="207">
        <v>32826473533</v>
      </c>
      <c r="K3826" s="171" t="s">
        <v>8474</v>
      </c>
      <c r="L3826" s="62">
        <v>2</v>
      </c>
      <c r="M3826" s="30">
        <v>8442180083</v>
      </c>
      <c r="N3826" s="172" t="s">
        <v>37</v>
      </c>
      <c r="O3826" s="52">
        <v>13217.85</v>
      </c>
      <c r="P3826" s="52">
        <v>3965.07</v>
      </c>
      <c r="Q3826" s="42">
        <f>OfficeForms.Table[[#This Row],[ INFORMEDEPAGO ]]*0.3</f>
        <v>3965.355</v>
      </c>
      <c r="R3826" s="12">
        <f t="shared" si="233"/>
        <v>0.28499999999985448</v>
      </c>
      <c r="S3826" s="78">
        <v>46327</v>
      </c>
      <c r="T3826" s="1" t="s">
        <v>7209</v>
      </c>
      <c r="U3826" s="97">
        <v>3669</v>
      </c>
      <c r="V3826" s="1"/>
      <c r="X3826" s="101">
        <v>2</v>
      </c>
    </row>
    <row r="3827" spans="1:24" hidden="1">
      <c r="A3827">
        <v>2250</v>
      </c>
      <c r="B3827" s="2">
        <v>46255.431469907402</v>
      </c>
      <c r="C3827" s="2">
        <v>46255.434305555602</v>
      </c>
      <c r="D3827" s="1" t="s">
        <v>24</v>
      </c>
      <c r="E3827" s="1"/>
      <c r="F3827" s="29">
        <v>46255</v>
      </c>
      <c r="G3827" s="29">
        <v>46255</v>
      </c>
      <c r="H3827" s="1" t="s">
        <v>1629</v>
      </c>
      <c r="I3827" s="126" t="s">
        <v>8475</v>
      </c>
      <c r="J3827" s="207" t="s">
        <v>8476</v>
      </c>
      <c r="K3827" s="171" t="s">
        <v>8477</v>
      </c>
      <c r="L3827" s="62">
        <v>2</v>
      </c>
      <c r="M3827" s="30">
        <v>3343839436</v>
      </c>
      <c r="N3827" s="172" t="s">
        <v>32</v>
      </c>
      <c r="O3827" s="50">
        <v>4451.3100000000004</v>
      </c>
      <c r="P3827" s="97"/>
      <c r="Q3827" s="42">
        <f>OfficeForms.Table[[#This Row],[ INFORMEDEPAGO ]]*0.3</f>
        <v>1335.393</v>
      </c>
      <c r="R3827" s="12">
        <f t="shared" ref="R3827:R3830" si="234">(IF(O3827&lt;4172.98,0,MIN(O3827*0.3,O3827-4172.98)))-P3827</f>
        <v>278.33000000000084</v>
      </c>
      <c r="S3827" s="78"/>
      <c r="T3827" s="1"/>
      <c r="U3827" s="97"/>
      <c r="V3827" s="1"/>
      <c r="X3827" s="101">
        <v>1</v>
      </c>
    </row>
    <row r="3828" spans="1:24" hidden="1">
      <c r="A3828">
        <v>2251</v>
      </c>
      <c r="B3828" s="2">
        <v>46255.334999999999</v>
      </c>
      <c r="C3828" s="2">
        <v>46255.440439814804</v>
      </c>
      <c r="D3828" s="1" t="s">
        <v>24</v>
      </c>
      <c r="E3828" s="1"/>
      <c r="F3828" s="29">
        <v>46255</v>
      </c>
      <c r="G3828" s="29">
        <v>46253</v>
      </c>
      <c r="H3828" s="1" t="s">
        <v>8297</v>
      </c>
      <c r="I3828" s="126" t="s">
        <v>8478</v>
      </c>
      <c r="J3828" s="207"/>
      <c r="K3828" s="171" t="s">
        <v>8479</v>
      </c>
      <c r="L3828" s="62">
        <v>23774532</v>
      </c>
      <c r="M3828" s="30">
        <v>5214772736540</v>
      </c>
      <c r="N3828" s="172" t="s">
        <v>28</v>
      </c>
      <c r="O3828" s="50">
        <v>10636.54</v>
      </c>
      <c r="P3828" s="97"/>
      <c r="Q3828" s="42">
        <f>OfficeForms.Table[[#This Row],[ INFORMEDEPAGO ]]*0.3</f>
        <v>3190.962</v>
      </c>
      <c r="R3828" s="12">
        <f t="shared" si="234"/>
        <v>3190.962</v>
      </c>
      <c r="S3828" s="78"/>
      <c r="T3828" s="1"/>
      <c r="U3828" s="97"/>
      <c r="V3828" s="1" t="s">
        <v>8264</v>
      </c>
      <c r="W3828" s="29">
        <v>46255</v>
      </c>
      <c r="X3828" s="101">
        <v>1</v>
      </c>
    </row>
    <row r="3829" spans="1:24" hidden="1">
      <c r="A3829">
        <v>2252</v>
      </c>
      <c r="B3829" s="2">
        <v>46255.440856481502</v>
      </c>
      <c r="C3829" s="2">
        <v>46255.441712963002</v>
      </c>
      <c r="D3829" s="1" t="s">
        <v>24</v>
      </c>
      <c r="E3829" s="1"/>
      <c r="F3829" s="29">
        <v>46255</v>
      </c>
      <c r="G3829" s="29">
        <v>46255</v>
      </c>
      <c r="H3829" s="1" t="s">
        <v>1629</v>
      </c>
      <c r="I3829" s="126" t="s">
        <v>8480</v>
      </c>
      <c r="J3829" s="207">
        <v>7836202171</v>
      </c>
      <c r="K3829" s="171" t="s">
        <v>8481</v>
      </c>
      <c r="L3829" s="62">
        <v>2</v>
      </c>
      <c r="M3829" s="30" t="s">
        <v>8482</v>
      </c>
      <c r="N3829" s="172" t="s">
        <v>37</v>
      </c>
      <c r="O3829" s="52">
        <v>7116.73</v>
      </c>
      <c r="P3829" s="52">
        <v>2045.91</v>
      </c>
      <c r="Q3829" s="42">
        <f>OfficeForms.Table[[#This Row],[ INFORMEDEPAGO ]]*0.3</f>
        <v>2135.0189999999998</v>
      </c>
      <c r="R3829" s="12">
        <f t="shared" si="234"/>
        <v>89.108999999999696</v>
      </c>
      <c r="S3829" s="78">
        <v>46569</v>
      </c>
      <c r="T3829" s="1" t="s">
        <v>7516</v>
      </c>
      <c r="U3829" s="52">
        <v>2045.91</v>
      </c>
      <c r="V3829" s="1"/>
      <c r="X3829" s="101">
        <v>2</v>
      </c>
    </row>
    <row r="3830" spans="1:24" hidden="1">
      <c r="A3830">
        <v>2253</v>
      </c>
      <c r="B3830" s="2">
        <v>46255.441921296297</v>
      </c>
      <c r="C3830" s="2">
        <v>46255.443136574097</v>
      </c>
      <c r="D3830" s="1" t="s">
        <v>24</v>
      </c>
      <c r="E3830" s="1"/>
      <c r="F3830" s="29">
        <v>46255</v>
      </c>
      <c r="G3830" s="29">
        <v>46255</v>
      </c>
      <c r="H3830" s="1" t="s">
        <v>1629</v>
      </c>
      <c r="I3830" s="126" t="s">
        <v>8483</v>
      </c>
      <c r="J3830" s="207" t="s">
        <v>8484</v>
      </c>
      <c r="K3830" s="171" t="s">
        <v>8485</v>
      </c>
      <c r="L3830" s="62">
        <v>2</v>
      </c>
      <c r="M3830" s="30" t="s">
        <v>8486</v>
      </c>
      <c r="N3830" s="172" t="s">
        <v>37</v>
      </c>
      <c r="O3830" s="43">
        <v>12119.6</v>
      </c>
      <c r="P3830" s="43">
        <v>3635.88</v>
      </c>
      <c r="Q3830" s="42">
        <f>OfficeForms.Table[[#This Row],[ INFORMEDEPAGO ]]*0.3</f>
        <v>3635.88</v>
      </c>
      <c r="R3830" s="12">
        <f t="shared" si="234"/>
        <v>0</v>
      </c>
      <c r="S3830" s="78">
        <v>46844</v>
      </c>
      <c r="T3830" s="1" t="s">
        <v>7516</v>
      </c>
      <c r="U3830" s="97">
        <v>1196.99</v>
      </c>
      <c r="V3830" s="1"/>
      <c r="X3830" s="101">
        <v>2</v>
      </c>
    </row>
    <row r="3831" spans="1:24" hidden="1">
      <c r="A3831">
        <v>2254</v>
      </c>
      <c r="B3831" s="2">
        <v>46255.4318055556</v>
      </c>
      <c r="C3831" s="2">
        <v>46255.446759259299</v>
      </c>
      <c r="D3831" s="1" t="s">
        <v>24</v>
      </c>
      <c r="E3831" s="1"/>
      <c r="F3831" s="29">
        <v>46255</v>
      </c>
      <c r="G3831" s="29">
        <v>46254</v>
      </c>
      <c r="H3831" s="1" t="s">
        <v>78</v>
      </c>
      <c r="I3831" s="126" t="s">
        <v>8487</v>
      </c>
      <c r="J3831" s="207" t="s">
        <v>8488</v>
      </c>
      <c r="K3831" s="171" t="s">
        <v>8489</v>
      </c>
      <c r="L3831" s="62">
        <v>23814286</v>
      </c>
      <c r="M3831" s="30">
        <v>5215623903699</v>
      </c>
      <c r="N3831" s="172" t="s">
        <v>37</v>
      </c>
      <c r="O3831" s="52">
        <v>23950.92</v>
      </c>
      <c r="P3831" s="52">
        <v>7184.49</v>
      </c>
      <c r="Q3831" s="42">
        <f>OfficeForms.Table[[#This Row],[ INFORMEDEPAGO ]]*0.3</f>
        <v>7185.2759999999989</v>
      </c>
      <c r="R3831" s="12">
        <f t="shared" ref="R3831" si="235">(IF(O3831&lt;4172.98,0,MIN(O3831*0.3,O3831-4172.98)))-P3831</f>
        <v>0.78599999999914871</v>
      </c>
      <c r="S3831" s="78">
        <v>46600</v>
      </c>
      <c r="T3831" s="1" t="s">
        <v>192</v>
      </c>
      <c r="U3831" s="97">
        <v>2585.84</v>
      </c>
      <c r="V3831" s="1"/>
      <c r="X3831" s="101">
        <v>2</v>
      </c>
    </row>
    <row r="3832" spans="1:24" hidden="1">
      <c r="A3832">
        <v>2255</v>
      </c>
      <c r="B3832" s="2">
        <v>46255.415740740696</v>
      </c>
      <c r="C3832" s="2">
        <v>46255.500185185199</v>
      </c>
      <c r="D3832" s="1" t="s">
        <v>24</v>
      </c>
      <c r="E3832" s="1"/>
      <c r="F3832" s="29">
        <v>46255</v>
      </c>
      <c r="G3832" s="29">
        <v>46255</v>
      </c>
      <c r="H3832" s="1" t="s">
        <v>51</v>
      </c>
      <c r="I3832" s="126" t="s">
        <v>8490</v>
      </c>
      <c r="J3832" s="207">
        <v>65836223076</v>
      </c>
      <c r="K3832" s="171" t="s">
        <v>8491</v>
      </c>
      <c r="L3832" s="62">
        <v>23812418</v>
      </c>
      <c r="M3832" s="30">
        <v>5217831512097</v>
      </c>
      <c r="N3832" s="172" t="s">
        <v>37</v>
      </c>
      <c r="O3832" s="43">
        <v>9154.02</v>
      </c>
      <c r="P3832" s="43">
        <v>2744.96</v>
      </c>
      <c r="Q3832" s="42">
        <f>OfficeForms.Table[[#This Row],[ INFORMEDEPAGO ]]*0.3</f>
        <v>2746.2060000000001</v>
      </c>
      <c r="R3832" s="12">
        <f>(IF(O3832&lt;4172.98,0,MIN(O3832*0.3,O3832-4172.98)))-P3832</f>
        <v>1.2460000000000946</v>
      </c>
      <c r="S3832" s="78">
        <v>46478</v>
      </c>
      <c r="T3832" s="1" t="s">
        <v>7209</v>
      </c>
      <c r="U3832" s="97">
        <v>2635.42</v>
      </c>
      <c r="V3832" s="1"/>
      <c r="X3832" s="101">
        <v>2</v>
      </c>
    </row>
    <row r="3833" spans="1:24" hidden="1">
      <c r="A3833">
        <v>2256</v>
      </c>
      <c r="B3833" s="2">
        <v>46255.501597222203</v>
      </c>
      <c r="C3833" s="2">
        <v>46255.502222222203</v>
      </c>
      <c r="D3833" s="1" t="s">
        <v>24</v>
      </c>
      <c r="E3833" s="1"/>
      <c r="F3833" s="29">
        <v>46255</v>
      </c>
      <c r="G3833" s="29">
        <v>46255</v>
      </c>
      <c r="H3833" s="1" t="s">
        <v>103</v>
      </c>
      <c r="I3833" s="126"/>
      <c r="J3833" s="207">
        <v>49826522002</v>
      </c>
      <c r="K3833" s="171"/>
      <c r="L3833" s="62">
        <v>1</v>
      </c>
      <c r="M3833" s="30">
        <v>8124248926</v>
      </c>
      <c r="N3833" s="172" t="s">
        <v>37</v>
      </c>
      <c r="O3833" s="43">
        <v>9760.32</v>
      </c>
      <c r="P3833" s="43">
        <v>2927.85</v>
      </c>
      <c r="Q3833" s="42">
        <f>OfficeForms.Table[[#This Row],[ INFORMEDEPAGO ]]*0.3</f>
        <v>2928.096</v>
      </c>
      <c r="R3833" s="12">
        <f>(IF(O3833&lt;4172.98,0,MIN(O3833*0.3,O3833-4172.98)))-P3833</f>
        <v>0.24600000000009459</v>
      </c>
      <c r="S3833" s="78">
        <v>46813</v>
      </c>
      <c r="T3833" s="1" t="s">
        <v>7516</v>
      </c>
      <c r="U3833" s="97">
        <v>2027.85</v>
      </c>
      <c r="V3833" s="1"/>
      <c r="X3833" s="101">
        <v>2</v>
      </c>
    </row>
    <row r="3834" spans="1:24" hidden="1">
      <c r="A3834">
        <v>2257</v>
      </c>
      <c r="B3834" s="2">
        <v>46255.500601851803</v>
      </c>
      <c r="C3834" s="2">
        <v>46255.511203703703</v>
      </c>
      <c r="D3834" s="1" t="s">
        <v>24</v>
      </c>
      <c r="E3834" s="1"/>
      <c r="F3834" s="29">
        <v>46255</v>
      </c>
      <c r="G3834" s="29">
        <v>46252</v>
      </c>
      <c r="H3834" s="1" t="s">
        <v>78</v>
      </c>
      <c r="I3834" s="126" t="s">
        <v>8492</v>
      </c>
      <c r="J3834" s="207">
        <v>3379590313</v>
      </c>
      <c r="K3834" s="171" t="s">
        <v>8493</v>
      </c>
      <c r="L3834" s="62">
        <v>23728574</v>
      </c>
      <c r="M3834" s="30">
        <v>5216561338446</v>
      </c>
      <c r="N3834" s="172" t="s">
        <v>74</v>
      </c>
      <c r="O3834" s="50"/>
      <c r="P3834" s="43"/>
      <c r="Q3834" s="42">
        <f>OfficeForms.Table[[#This Row],[ INFORMEDEPAGO ]]*0.3</f>
        <v>0</v>
      </c>
      <c r="R3834" s="12">
        <f>(IF(O3834&lt;4172.98,0,MIN(O3834*0.3,O3834-4172.98)))-P3834</f>
        <v>0</v>
      </c>
      <c r="S3834" s="78"/>
      <c r="T3834" s="1"/>
      <c r="U3834" s="97"/>
      <c r="V3834" s="1"/>
      <c r="X3834" s="101">
        <v>1</v>
      </c>
    </row>
    <row r="3835" spans="1:24" hidden="1">
      <c r="A3835">
        <v>2258</v>
      </c>
      <c r="B3835" s="2">
        <v>46255.500208333302</v>
      </c>
      <c r="C3835" s="2">
        <v>46255.527222222197</v>
      </c>
      <c r="D3835" s="1" t="s">
        <v>24</v>
      </c>
      <c r="E3835" s="1"/>
      <c r="F3835" s="29">
        <v>46255</v>
      </c>
      <c r="G3835" s="29">
        <v>46255</v>
      </c>
      <c r="H3835" s="1" t="s">
        <v>51</v>
      </c>
      <c r="I3835" s="126" t="s">
        <v>8494</v>
      </c>
      <c r="J3835" s="207" t="s">
        <v>8495</v>
      </c>
      <c r="K3835" s="171" t="s">
        <v>8496</v>
      </c>
      <c r="L3835" s="62">
        <v>23831856</v>
      </c>
      <c r="M3835" s="30">
        <v>5212722795841</v>
      </c>
      <c r="N3835" s="172" t="s">
        <v>37</v>
      </c>
      <c r="O3835" s="43">
        <v>7383.37</v>
      </c>
      <c r="P3835" s="43">
        <v>2132.9699999999998</v>
      </c>
      <c r="Q3835" s="42">
        <f>OfficeForms.Table[[#This Row],[ INFORMEDEPAGO ]]*0.3</f>
        <v>2215.011</v>
      </c>
      <c r="R3835" s="12">
        <f>(IF(O3835&lt;4172.98,0,MIN(O3835*0.3,O3835-4172.98)))-P3835</f>
        <v>82.041000000000167</v>
      </c>
      <c r="S3835" s="78">
        <v>46722</v>
      </c>
      <c r="T3835" s="1" t="s">
        <v>8338</v>
      </c>
      <c r="U3835" s="43">
        <v>2132.9699999999998</v>
      </c>
      <c r="V3835" s="1"/>
      <c r="X3835" s="101">
        <v>2</v>
      </c>
    </row>
    <row r="3836" spans="1:24" hidden="1">
      <c r="A3836">
        <v>2259</v>
      </c>
      <c r="B3836" s="2">
        <v>46255.527233796303</v>
      </c>
      <c r="C3836" s="2">
        <v>46255.534641203703</v>
      </c>
      <c r="D3836" s="1" t="s">
        <v>24</v>
      </c>
      <c r="E3836" s="1"/>
      <c r="F3836" s="29">
        <v>46255</v>
      </c>
      <c r="G3836" s="29">
        <v>46254</v>
      </c>
      <c r="H3836" s="1" t="s">
        <v>51</v>
      </c>
      <c r="I3836" s="126" t="s">
        <v>8497</v>
      </c>
      <c r="J3836" s="207">
        <v>43755854395</v>
      </c>
      <c r="K3836" s="171" t="s">
        <v>8498</v>
      </c>
      <c r="L3836" s="62">
        <v>23812786</v>
      </c>
      <c r="M3836" s="30">
        <v>5218211177914</v>
      </c>
      <c r="N3836" s="172" t="s">
        <v>32</v>
      </c>
      <c r="O3836" s="50">
        <f>14890.43-10548</f>
        <v>4342.43</v>
      </c>
      <c r="P3836" s="97">
        <v>848</v>
      </c>
      <c r="Q3836" s="42">
        <f>OfficeForms.Table[[#This Row],[ INFORMEDEPAGO ]]*0.3</f>
        <v>1302.729</v>
      </c>
      <c r="R3836" s="12">
        <f>(IF(O3836&lt;4172.98,0,MIN(O3836*0.3,O3836-4172.98)))-P3836</f>
        <v>-678.54999999999927</v>
      </c>
      <c r="S3836" s="78"/>
      <c r="T3836" s="1"/>
      <c r="U3836" s="97"/>
      <c r="V3836" s="1"/>
      <c r="X3836" s="101">
        <v>1</v>
      </c>
    </row>
    <row r="3837" spans="1:24" hidden="1">
      <c r="A3837">
        <v>2260</v>
      </c>
      <c r="B3837" s="2">
        <v>46255.5496643519</v>
      </c>
      <c r="C3837" s="2">
        <v>46255.550150463001</v>
      </c>
      <c r="D3837" s="1" t="s">
        <v>24</v>
      </c>
      <c r="E3837" s="1"/>
      <c r="F3837" s="29">
        <v>46255</v>
      </c>
      <c r="G3837" s="29">
        <v>46255</v>
      </c>
      <c r="H3837" s="1" t="s">
        <v>103</v>
      </c>
      <c r="I3837" s="126"/>
      <c r="J3837" s="208" t="s">
        <v>8499</v>
      </c>
      <c r="K3837" s="171"/>
      <c r="L3837" s="62">
        <v>1</v>
      </c>
      <c r="M3837" s="30">
        <v>5577159770</v>
      </c>
      <c r="N3837" s="172" t="s">
        <v>37</v>
      </c>
      <c r="O3837" s="43">
        <v>9081.52</v>
      </c>
      <c r="P3837" s="43">
        <v>2520.96</v>
      </c>
      <c r="Q3837" s="42">
        <f>OfficeForms.Table[[#This Row],[ INFORMEDEPAGO ]]*0.3</f>
        <v>2724.4560000000001</v>
      </c>
      <c r="R3837" s="12">
        <f>(IF(O3837&lt;4172.98,0,MIN(O3837*0.3,O3837-4172.98)))-P3837</f>
        <v>203.49600000000009</v>
      </c>
      <c r="S3837" s="78">
        <v>46357</v>
      </c>
      <c r="T3837" s="1" t="s">
        <v>8338</v>
      </c>
      <c r="U3837" s="43">
        <v>2520.96</v>
      </c>
      <c r="V3837" s="1"/>
      <c r="X3837" s="101">
        <v>2</v>
      </c>
    </row>
    <row r="3838" spans="1:24" hidden="1">
      <c r="A3838">
        <v>2261</v>
      </c>
      <c r="B3838" s="2">
        <v>46255.551793981504</v>
      </c>
      <c r="C3838" s="2">
        <v>46255.5536111111</v>
      </c>
      <c r="D3838" s="1" t="s">
        <v>24</v>
      </c>
      <c r="E3838" s="1"/>
      <c r="F3838" s="29">
        <v>46255</v>
      </c>
      <c r="G3838" s="29">
        <v>46255</v>
      </c>
      <c r="H3838" s="1" t="s">
        <v>2908</v>
      </c>
      <c r="I3838" s="126" t="s">
        <v>8500</v>
      </c>
      <c r="J3838" s="207">
        <v>30846701354</v>
      </c>
      <c r="K3838" s="171" t="s">
        <v>8501</v>
      </c>
      <c r="L3838" s="62">
        <v>2</v>
      </c>
      <c r="M3838" s="30">
        <v>5631196633</v>
      </c>
      <c r="N3838" s="172" t="s">
        <v>37</v>
      </c>
      <c r="O3838" s="50">
        <v>8181.55</v>
      </c>
      <c r="P3838" s="97">
        <v>2352.73</v>
      </c>
      <c r="Q3838" s="42">
        <f>OfficeForms.Table[[#This Row],[ INFORMEDEPAGO ]]*0.3</f>
        <v>2454.4650000000001</v>
      </c>
      <c r="R3838" s="12">
        <f>(IF(O3838&lt;4172.98,0,MIN(O3838*0.3,O3838-4172.98)))-P3838</f>
        <v>101.73500000000013</v>
      </c>
      <c r="S3838" s="78">
        <v>46600</v>
      </c>
      <c r="T3838" s="1" t="s">
        <v>259</v>
      </c>
      <c r="U3838" s="97">
        <v>2352.73</v>
      </c>
      <c r="V3838" s="1"/>
      <c r="X3838" s="101">
        <v>2</v>
      </c>
    </row>
    <row r="3839" spans="1:24" hidden="1">
      <c r="A3839">
        <v>2262</v>
      </c>
      <c r="B3839" s="2">
        <v>46255.425949074102</v>
      </c>
      <c r="C3839" s="2">
        <v>46255.5776273148</v>
      </c>
      <c r="D3839" s="1" t="s">
        <v>24</v>
      </c>
      <c r="E3839" s="1"/>
      <c r="F3839" s="29">
        <v>46255</v>
      </c>
      <c r="G3839" s="29">
        <v>46255</v>
      </c>
      <c r="H3839" s="1" t="s">
        <v>1625</v>
      </c>
      <c r="I3839" s="126" t="s">
        <v>8502</v>
      </c>
      <c r="J3839" s="207" t="s">
        <v>8503</v>
      </c>
      <c r="K3839" s="171" t="s">
        <v>8504</v>
      </c>
      <c r="L3839" s="62">
        <v>2</v>
      </c>
      <c r="M3839" s="30">
        <v>5527448778</v>
      </c>
      <c r="N3839" s="172" t="s">
        <v>28</v>
      </c>
      <c r="O3839" s="50">
        <v>57234.18</v>
      </c>
      <c r="P3839" s="97"/>
      <c r="Q3839" s="42">
        <f>OfficeForms.Table[[#This Row],[ INFORMEDEPAGO ]]*0.3</f>
        <v>17170.254000000001</v>
      </c>
      <c r="R3839" s="12">
        <f>(IF(O3839&lt;4172.98,0,MIN(O3839*0.3,O3839-4172.98)))-P3839</f>
        <v>17170.254000000001</v>
      </c>
      <c r="S3839" s="78"/>
      <c r="T3839" s="1"/>
      <c r="U3839" s="97"/>
      <c r="V3839" s="1"/>
      <c r="X3839" s="101">
        <v>1</v>
      </c>
    </row>
    <row r="3840" spans="1:24" hidden="1">
      <c r="A3840">
        <v>2263</v>
      </c>
      <c r="B3840" s="2">
        <v>46255.621307870402</v>
      </c>
      <c r="C3840" s="2">
        <v>46255.622997685197</v>
      </c>
      <c r="D3840" s="1" t="s">
        <v>24</v>
      </c>
      <c r="E3840" s="1"/>
      <c r="F3840" s="29">
        <v>46255</v>
      </c>
      <c r="G3840" s="29">
        <v>46249</v>
      </c>
      <c r="H3840" s="1" t="s">
        <v>8297</v>
      </c>
      <c r="I3840" s="126" t="s">
        <v>8505</v>
      </c>
      <c r="J3840" s="207">
        <v>83796006605</v>
      </c>
      <c r="K3840" s="171" t="s">
        <v>8506</v>
      </c>
      <c r="L3840" s="62">
        <v>23662598</v>
      </c>
      <c r="M3840" s="30">
        <v>5219371543936</v>
      </c>
      <c r="N3840" s="172" t="s">
        <v>130</v>
      </c>
      <c r="O3840" s="52">
        <v>5617.63</v>
      </c>
      <c r="P3840" s="52">
        <v>1178.06</v>
      </c>
      <c r="Q3840" s="42">
        <f>OfficeForms.Table[[#This Row],[ INFORMEDEPAGO ]]*0.3</f>
        <v>1685.289</v>
      </c>
      <c r="R3840" s="12">
        <f>(IF(O3840&lt;4172.98,0,MIN(O3840*0.3,O3840-4172.98)))-P3840</f>
        <v>266.5900000000006</v>
      </c>
      <c r="S3840" s="78">
        <v>45474</v>
      </c>
      <c r="T3840" s="1" t="s">
        <v>6855</v>
      </c>
      <c r="U3840" s="52">
        <v>1178.06</v>
      </c>
      <c r="V3840" s="1" t="s">
        <v>8316</v>
      </c>
      <c r="W3840" s="29">
        <v>46255</v>
      </c>
      <c r="X3840" s="101">
        <v>2</v>
      </c>
    </row>
    <row r="3841" spans="1:24" hidden="1">
      <c r="A3841">
        <v>2264</v>
      </c>
      <c r="B3841" s="2">
        <v>46255.623541666697</v>
      </c>
      <c r="C3841" s="2">
        <v>46255.624120370398</v>
      </c>
      <c r="D3841" s="1" t="s">
        <v>24</v>
      </c>
      <c r="E3841" s="1"/>
      <c r="F3841" s="29">
        <v>46255</v>
      </c>
      <c r="G3841" s="29">
        <v>46255</v>
      </c>
      <c r="H3841" s="1" t="s">
        <v>2908</v>
      </c>
      <c r="I3841" s="126" t="s">
        <v>8507</v>
      </c>
      <c r="J3841" s="207">
        <v>32755514737</v>
      </c>
      <c r="K3841" s="171" t="s">
        <v>8508</v>
      </c>
      <c r="L3841" s="62">
        <v>2</v>
      </c>
      <c r="M3841" s="30">
        <v>8443112867</v>
      </c>
      <c r="N3841" s="172" t="s">
        <v>28</v>
      </c>
      <c r="O3841" s="50">
        <v>8980.3700000000008</v>
      </c>
      <c r="P3841" s="97"/>
      <c r="Q3841" s="42">
        <f>OfficeForms.Table[[#This Row],[ INFORMEDEPAGO ]]*0.3</f>
        <v>2694.1110000000003</v>
      </c>
      <c r="R3841" s="12">
        <f>(IF(O3841&lt;4172.98,0,MIN(O3841*0.3,O3841-4172.98)))-P3841</f>
        <v>2694.1110000000003</v>
      </c>
      <c r="S3841" s="78"/>
      <c r="T3841" s="1"/>
      <c r="U3841" s="97"/>
      <c r="V3841" s="1"/>
      <c r="X3841" s="101">
        <v>1</v>
      </c>
    </row>
    <row r="3842" spans="1:24" hidden="1">
      <c r="A3842">
        <v>2265</v>
      </c>
      <c r="B3842" s="2">
        <v>46255.630034722199</v>
      </c>
      <c r="C3842" s="2">
        <v>46255.636840277803</v>
      </c>
      <c r="D3842" s="1" t="s">
        <v>24</v>
      </c>
      <c r="E3842" s="1"/>
      <c r="F3842" s="29">
        <v>46255</v>
      </c>
      <c r="G3842" s="29">
        <v>46255</v>
      </c>
      <c r="H3842" s="1" t="s">
        <v>78</v>
      </c>
      <c r="I3842" s="126" t="s">
        <v>8509</v>
      </c>
      <c r="J3842" s="207"/>
      <c r="K3842" s="171" t="s">
        <v>8510</v>
      </c>
      <c r="L3842" s="62">
        <v>23819870</v>
      </c>
      <c r="M3842" s="30">
        <v>5218180158985</v>
      </c>
      <c r="N3842" s="172" t="s">
        <v>263</v>
      </c>
      <c r="O3842" s="50">
        <v>7116.73</v>
      </c>
      <c r="P3842" s="97">
        <v>1750.44</v>
      </c>
      <c r="Q3842" s="42">
        <f>OfficeForms.Table[[#This Row],[ INFORMEDEPAGO ]]*0.3</f>
        <v>2135.0189999999998</v>
      </c>
      <c r="R3842" s="12">
        <f>(IF(O3842&lt;4172.98,0,MIN(O3842*0.3,O3842-4172.98)))-P3842</f>
        <v>384.57899999999972</v>
      </c>
      <c r="S3842" s="78">
        <v>45627</v>
      </c>
      <c r="T3842" s="1" t="s">
        <v>178</v>
      </c>
      <c r="U3842" s="97">
        <v>1750.44</v>
      </c>
      <c r="V3842" s="1" t="s">
        <v>8291</v>
      </c>
      <c r="W3842" s="29">
        <v>46255</v>
      </c>
      <c r="X3842" s="101">
        <v>2</v>
      </c>
    </row>
    <row r="3843" spans="1:24" hidden="1">
      <c r="A3843">
        <v>2266</v>
      </c>
      <c r="B3843" s="2">
        <v>46255.652719907397</v>
      </c>
      <c r="C3843" s="2">
        <v>46255.653379629599</v>
      </c>
      <c r="D3843" s="1" t="s">
        <v>24</v>
      </c>
      <c r="E3843" s="1"/>
      <c r="F3843" s="29">
        <v>46255</v>
      </c>
      <c r="G3843" s="29">
        <v>46255</v>
      </c>
      <c r="H3843" s="1" t="s">
        <v>1629</v>
      </c>
      <c r="I3843" s="126" t="s">
        <v>4681</v>
      </c>
      <c r="J3843" s="207">
        <v>57877104380</v>
      </c>
      <c r="K3843" s="171" t="s">
        <v>8511</v>
      </c>
      <c r="L3843" s="62">
        <v>2</v>
      </c>
      <c r="M3843" s="30" t="s">
        <v>8512</v>
      </c>
      <c r="N3843" s="172" t="s">
        <v>32</v>
      </c>
      <c r="O3843" s="50">
        <v>3112.01</v>
      </c>
      <c r="P3843" s="97"/>
      <c r="Q3843" s="42">
        <f>OfficeForms.Table[[#This Row],[ INFORMEDEPAGO ]]*0.3</f>
        <v>933.60300000000007</v>
      </c>
      <c r="R3843" s="12">
        <f>(IF(O3843&lt;4172.98,0,MIN(O3843*0.3,O3843-4172.98)))-P3843</f>
        <v>0</v>
      </c>
      <c r="S3843" s="78"/>
      <c r="T3843" s="1"/>
      <c r="U3843" s="97"/>
      <c r="V3843" s="1"/>
      <c r="X3843" s="101">
        <v>1</v>
      </c>
    </row>
    <row r="3844" spans="1:24" hidden="1">
      <c r="A3844">
        <v>2267</v>
      </c>
      <c r="B3844" s="2">
        <v>46255.663437499999</v>
      </c>
      <c r="C3844" s="2">
        <v>46255.664930555598</v>
      </c>
      <c r="D3844" s="1" t="s">
        <v>24</v>
      </c>
      <c r="E3844" s="1"/>
      <c r="F3844" s="29">
        <v>46255</v>
      </c>
      <c r="G3844" s="29">
        <v>46255</v>
      </c>
      <c r="H3844" s="1" t="s">
        <v>103</v>
      </c>
      <c r="I3844" s="126" t="s">
        <v>8513</v>
      </c>
      <c r="J3844" s="207"/>
      <c r="K3844" s="171" t="s">
        <v>8514</v>
      </c>
      <c r="L3844" s="62">
        <v>1</v>
      </c>
      <c r="M3844" s="30">
        <v>8992041432</v>
      </c>
      <c r="N3844" s="172" t="s">
        <v>28</v>
      </c>
      <c r="O3844" s="50">
        <f>40064.3-29427.76</f>
        <v>10636.540000000005</v>
      </c>
      <c r="P3844" s="97"/>
      <c r="Q3844" s="42">
        <f>OfficeForms.Table[[#This Row],[ INFORMEDEPAGO ]]*0.3</f>
        <v>3190.9620000000014</v>
      </c>
      <c r="R3844" s="12">
        <f>(IF(O3844&lt;4172.98,0,MIN(O3844*0.3,O3844-4172.98)))-P3844</f>
        <v>3190.9620000000014</v>
      </c>
      <c r="S3844" s="78"/>
      <c r="T3844" s="1"/>
      <c r="U3844" s="97"/>
      <c r="V3844" s="1"/>
      <c r="X3844" s="101">
        <v>1</v>
      </c>
    </row>
    <row r="3845" spans="1:24" hidden="1">
      <c r="A3845">
        <v>2268</v>
      </c>
      <c r="B3845" s="2">
        <v>46255.686458333301</v>
      </c>
      <c r="C3845" s="2">
        <v>46255.689467592601</v>
      </c>
      <c r="D3845" s="1" t="s">
        <v>24</v>
      </c>
      <c r="E3845" s="1"/>
      <c r="F3845" s="29">
        <v>46255</v>
      </c>
      <c r="G3845" s="29">
        <v>46254</v>
      </c>
      <c r="H3845" s="1" t="s">
        <v>78</v>
      </c>
      <c r="I3845" s="126" t="s">
        <v>8515</v>
      </c>
      <c r="J3845" s="207">
        <v>23927626699</v>
      </c>
      <c r="K3845" s="171" t="s">
        <v>8516</v>
      </c>
      <c r="L3845" s="62">
        <v>23813562</v>
      </c>
      <c r="M3845" s="30">
        <v>5216682470717</v>
      </c>
      <c r="N3845" s="172" t="s">
        <v>28</v>
      </c>
      <c r="O3845" s="50">
        <v>5636.59</v>
      </c>
      <c r="P3845" s="97"/>
      <c r="Q3845" s="42">
        <f>OfficeForms.Table[[#This Row],[ INFORMEDEPAGO ]]*0.3</f>
        <v>1690.9770000000001</v>
      </c>
      <c r="R3845" s="12">
        <f>(IF(O3845&lt;4172.98,0,MIN(O3845*0.3,O3845-4172.98)))-P3845</f>
        <v>1463.6100000000006</v>
      </c>
      <c r="S3845" s="78"/>
      <c r="T3845" s="1"/>
      <c r="U3845" s="97"/>
      <c r="V3845" s="1" t="s">
        <v>8356</v>
      </c>
      <c r="W3845" s="29">
        <v>46255</v>
      </c>
      <c r="X3845" s="101">
        <v>1</v>
      </c>
    </row>
    <row r="3846" spans="1:24" hidden="1">
      <c r="A3846">
        <v>2269</v>
      </c>
      <c r="B3846" s="2">
        <v>46255.7338773148</v>
      </c>
      <c r="C3846" s="2">
        <v>46255.735833333303</v>
      </c>
      <c r="D3846" s="1" t="s">
        <v>24</v>
      </c>
      <c r="E3846" s="1"/>
      <c r="F3846" s="29">
        <v>46255</v>
      </c>
      <c r="G3846" s="29">
        <v>46233</v>
      </c>
      <c r="H3846" s="1" t="s">
        <v>3036</v>
      </c>
      <c r="I3846" s="126" t="s">
        <v>8517</v>
      </c>
      <c r="J3846" s="207" t="s">
        <v>8518</v>
      </c>
      <c r="K3846" s="171" t="s">
        <v>8519</v>
      </c>
      <c r="L3846" s="62">
        <v>23234242</v>
      </c>
      <c r="M3846" s="30">
        <v>4423195126</v>
      </c>
      <c r="N3846" s="172" t="s">
        <v>37</v>
      </c>
      <c r="O3846" s="50">
        <v>7116.73</v>
      </c>
      <c r="P3846" s="97">
        <v>2138.54</v>
      </c>
      <c r="Q3846" s="42">
        <f>OfficeForms.Table[[#This Row],[ INFORMEDEPAGO ]]*0.3</f>
        <v>2135.0189999999998</v>
      </c>
      <c r="R3846" s="12">
        <f>(IF(O3846&lt;4172.98,0,MIN(O3846*0.3,O3846-4172.98)))-P3846</f>
        <v>-3.5210000000001855</v>
      </c>
      <c r="S3846" s="78">
        <v>46905</v>
      </c>
      <c r="T3846" s="1" t="s">
        <v>8319</v>
      </c>
      <c r="U3846" s="97">
        <v>2138.54</v>
      </c>
      <c r="V3846" s="1"/>
      <c r="X3846" s="101">
        <v>2</v>
      </c>
    </row>
    <row r="3847" spans="1:24" hidden="1">
      <c r="A3847">
        <v>2270</v>
      </c>
      <c r="B3847" s="2">
        <v>46256.339675925898</v>
      </c>
      <c r="C3847" s="2">
        <v>46256.340821759302</v>
      </c>
      <c r="D3847" s="1" t="s">
        <v>24</v>
      </c>
      <c r="E3847" s="1"/>
      <c r="F3847" s="29">
        <v>46256</v>
      </c>
      <c r="G3847" s="29">
        <v>46254</v>
      </c>
      <c r="H3847" s="1" t="s">
        <v>8297</v>
      </c>
      <c r="I3847" s="126" t="s">
        <v>8520</v>
      </c>
      <c r="J3847" s="207"/>
      <c r="K3847" s="171" t="s">
        <v>8521</v>
      </c>
      <c r="L3847" s="62">
        <v>23792118</v>
      </c>
      <c r="M3847" s="30">
        <v>5216866088375</v>
      </c>
      <c r="N3847" s="172" t="s">
        <v>32</v>
      </c>
      <c r="O3847" s="50">
        <v>2357.87</v>
      </c>
      <c r="P3847" s="97"/>
      <c r="Q3847" s="42">
        <f>OfficeForms.Table[[#This Row],[ INFORMEDEPAGO ]]*0.3</f>
        <v>707.36099999999999</v>
      </c>
      <c r="R3847" s="12">
        <f>(IF(O3847&lt;4172.98,0,MIN(O3847*0.3,O3847-4172.98)))-P3847</f>
        <v>0</v>
      </c>
      <c r="S3847" s="78"/>
      <c r="T3847" s="1"/>
      <c r="U3847" s="97"/>
      <c r="V3847" s="1"/>
      <c r="X3847" s="101">
        <v>1</v>
      </c>
    </row>
    <row r="3848" spans="1:24" hidden="1">
      <c r="A3848">
        <v>2271</v>
      </c>
      <c r="B3848" s="2">
        <v>46256.407800925903</v>
      </c>
      <c r="C3848" s="2">
        <v>46256.415034722202</v>
      </c>
      <c r="D3848" s="1" t="s">
        <v>24</v>
      </c>
      <c r="E3848" s="1"/>
      <c r="F3848" s="29">
        <v>46256</v>
      </c>
      <c r="G3848" s="29">
        <v>46253</v>
      </c>
      <c r="H3848" s="1" t="s">
        <v>8253</v>
      </c>
      <c r="I3848" s="126" t="s">
        <v>8522</v>
      </c>
      <c r="J3848" s="207"/>
      <c r="K3848" s="171" t="s">
        <v>8523</v>
      </c>
      <c r="L3848" s="62">
        <v>23780504</v>
      </c>
      <c r="M3848" s="30">
        <v>2226336902</v>
      </c>
      <c r="N3848" s="172" t="s">
        <v>37</v>
      </c>
      <c r="O3848" s="50">
        <v>42701.11</v>
      </c>
      <c r="P3848" s="97">
        <v>12810.22</v>
      </c>
      <c r="Q3848" s="42">
        <f>OfficeForms.Table[[#This Row],[ INFORMEDEPAGO ]]*0.3</f>
        <v>12810.333000000001</v>
      </c>
      <c r="R3848" s="12">
        <f>(IF(O3848&lt;4172.98,0,MIN(O3848*0.3,O3848-4172.98)))-P3848</f>
        <v>0.11300000000119326</v>
      </c>
      <c r="S3848" s="78">
        <v>46753</v>
      </c>
      <c r="T3848" s="1" t="s">
        <v>8319</v>
      </c>
      <c r="U3848" s="97">
        <v>7305.15</v>
      </c>
      <c r="V3848" s="1"/>
      <c r="X3848" s="101">
        <v>2</v>
      </c>
    </row>
    <row r="3849" spans="1:24" hidden="1">
      <c r="A3849">
        <v>2272</v>
      </c>
      <c r="B3849" s="2">
        <v>46256.496122685203</v>
      </c>
      <c r="C3849" s="2">
        <v>46256.5403703704</v>
      </c>
      <c r="D3849" s="1" t="s">
        <v>24</v>
      </c>
      <c r="E3849" s="1"/>
      <c r="F3849" s="29">
        <v>46256</v>
      </c>
      <c r="G3849" s="29">
        <v>46252</v>
      </c>
      <c r="H3849" s="1" t="s">
        <v>78</v>
      </c>
      <c r="I3849" s="126" t="s">
        <v>8524</v>
      </c>
      <c r="J3849" s="207">
        <v>71967660888</v>
      </c>
      <c r="K3849" s="171" t="s">
        <v>8525</v>
      </c>
      <c r="L3849" s="62">
        <v>23741132</v>
      </c>
      <c r="M3849" s="30">
        <v>5219987661581</v>
      </c>
      <c r="N3849" s="172" t="s">
        <v>37</v>
      </c>
      <c r="O3849" s="52">
        <v>8173.37</v>
      </c>
      <c r="P3849" s="52">
        <v>2364.75</v>
      </c>
      <c r="Q3849" s="42">
        <f>OfficeForms.Table[[#This Row],[ INFORMEDEPAGO ]]*0.3</f>
        <v>2452.011</v>
      </c>
      <c r="R3849" s="12">
        <f t="shared" ref="R3849:R3850" si="236">(IF(O3849&lt;4172.98,0,MIN(O3849*0.3,O3849-4172.98)))-P3849</f>
        <v>87.260999999999967</v>
      </c>
      <c r="S3849" s="78">
        <v>46296</v>
      </c>
      <c r="T3849" s="1" t="s">
        <v>7516</v>
      </c>
      <c r="U3849" s="97">
        <v>2269.2199999999998</v>
      </c>
      <c r="V3849" s="1"/>
      <c r="X3849" s="101">
        <v>2</v>
      </c>
    </row>
    <row r="3850" spans="1:24" hidden="1">
      <c r="A3850">
        <v>2273</v>
      </c>
      <c r="B3850" s="2">
        <v>46256.340925925899</v>
      </c>
      <c r="C3850" s="2">
        <v>46256.551238425898</v>
      </c>
      <c r="D3850" s="1" t="s">
        <v>24</v>
      </c>
      <c r="E3850" s="1"/>
      <c r="F3850" s="29">
        <v>46256</v>
      </c>
      <c r="G3850" s="29">
        <v>46250</v>
      </c>
      <c r="H3850" s="1" t="s">
        <v>8297</v>
      </c>
      <c r="I3850" s="126" t="s">
        <v>8526</v>
      </c>
      <c r="J3850" s="207">
        <v>22824500403</v>
      </c>
      <c r="K3850" s="171"/>
      <c r="L3850" s="62">
        <v>23673046</v>
      </c>
      <c r="M3850" s="30">
        <v>5216692740045</v>
      </c>
      <c r="N3850" s="172" t="s">
        <v>47</v>
      </c>
      <c r="O3850" s="50">
        <v>4813.6899999999996</v>
      </c>
      <c r="P3850" s="97"/>
      <c r="Q3850" s="42">
        <f>OfficeForms.Table[[#This Row],[ INFORMEDEPAGO ]]*0.3</f>
        <v>1444.1069999999997</v>
      </c>
      <c r="R3850" s="12">
        <f t="shared" si="236"/>
        <v>640.71</v>
      </c>
      <c r="S3850" s="78"/>
      <c r="T3850" s="1"/>
      <c r="U3850" s="97"/>
      <c r="V3850" s="1" t="s">
        <v>8233</v>
      </c>
      <c r="W3850" s="29">
        <v>46256</v>
      </c>
      <c r="X3850" s="101">
        <v>1</v>
      </c>
    </row>
    <row r="3851" spans="1:24" hidden="1">
      <c r="A3851">
        <v>2274</v>
      </c>
      <c r="B3851" s="2">
        <v>46256.582905092597</v>
      </c>
      <c r="C3851" s="2">
        <v>46256.5836921296</v>
      </c>
      <c r="D3851" s="1" t="s">
        <v>24</v>
      </c>
      <c r="E3851" s="1"/>
      <c r="F3851" s="29">
        <v>46256</v>
      </c>
      <c r="G3851" s="29">
        <v>46253</v>
      </c>
      <c r="H3851" s="1" t="s">
        <v>8253</v>
      </c>
      <c r="I3851" s="126" t="s">
        <v>8527</v>
      </c>
      <c r="J3851" s="207"/>
      <c r="K3851" s="171" t="s">
        <v>8528</v>
      </c>
      <c r="L3851" s="62">
        <v>23774644</v>
      </c>
      <c r="M3851" s="30">
        <v>6862629072</v>
      </c>
      <c r="N3851" s="172" t="s">
        <v>37</v>
      </c>
      <c r="O3851" s="52">
        <v>62741.49</v>
      </c>
      <c r="P3851" s="52">
        <v>18814.28</v>
      </c>
      <c r="Q3851" s="42">
        <f>OfficeForms.Table[[#This Row],[ INFORMEDEPAGO ]]*0.3</f>
        <v>18822.447</v>
      </c>
      <c r="R3851" s="12">
        <f t="shared" ref="R3851" si="237">(IF(O3851&lt;4172.98,0,MIN(O3851*0.3,O3851-4172.98)))-P3851</f>
        <v>8.1670000000012806</v>
      </c>
      <c r="S3851" s="74">
        <v>46631</v>
      </c>
      <c r="T3851" s="1" t="s">
        <v>8415</v>
      </c>
      <c r="U3851" s="97">
        <v>7212.82</v>
      </c>
      <c r="V3851" s="1"/>
      <c r="X3851" s="101">
        <v>2</v>
      </c>
    </row>
    <row r="3852" spans="1:24" hidden="1">
      <c r="A3852">
        <v>2275</v>
      </c>
      <c r="B3852" s="2">
        <v>46257.362650463001</v>
      </c>
      <c r="C3852" s="2">
        <v>46257.376631944397</v>
      </c>
      <c r="D3852" s="1" t="s">
        <v>24</v>
      </c>
      <c r="E3852" s="1"/>
      <c r="F3852" s="29">
        <v>46257</v>
      </c>
      <c r="G3852" s="29">
        <v>46253</v>
      </c>
      <c r="H3852" s="1" t="s">
        <v>8253</v>
      </c>
      <c r="I3852" s="126" t="s">
        <v>8529</v>
      </c>
      <c r="J3852" s="207">
        <v>43795716919</v>
      </c>
      <c r="K3852" s="171" t="s">
        <v>8530</v>
      </c>
      <c r="L3852" s="62">
        <v>23770112</v>
      </c>
      <c r="M3852" s="30">
        <v>8110413796</v>
      </c>
      <c r="N3852" s="172" t="s">
        <v>37</v>
      </c>
      <c r="O3852" s="52">
        <v>6994.55</v>
      </c>
      <c r="P3852" s="52">
        <v>2008.04</v>
      </c>
      <c r="Q3852" s="42">
        <f>OfficeForms.Table[[#This Row],[ INFORMEDEPAGO ]]*0.3</f>
        <v>2098.3649999999998</v>
      </c>
      <c r="R3852" s="12">
        <f>(IF(O3852&lt;4172.98,0,MIN(O3852*0.3,O3852-4172.98)))-P3852</f>
        <v>90.324999999999818</v>
      </c>
      <c r="S3852" s="78">
        <v>46508</v>
      </c>
      <c r="T3852" s="1" t="s">
        <v>7516</v>
      </c>
      <c r="U3852" s="97">
        <v>1840.4</v>
      </c>
      <c r="V3852" s="1"/>
      <c r="X3852" s="101">
        <v>2</v>
      </c>
    </row>
    <row r="3853" spans="1:24" hidden="1">
      <c r="A3853">
        <v>2276</v>
      </c>
      <c r="B3853" s="2">
        <v>46257.423252314802</v>
      </c>
      <c r="C3853" s="2">
        <v>46257.425289351901</v>
      </c>
      <c r="D3853" s="1" t="s">
        <v>24</v>
      </c>
      <c r="E3853" s="1"/>
      <c r="F3853" s="29">
        <v>46257</v>
      </c>
      <c r="G3853" s="29">
        <v>46253</v>
      </c>
      <c r="H3853" s="1" t="s">
        <v>8253</v>
      </c>
      <c r="I3853" s="126" t="s">
        <v>8531</v>
      </c>
      <c r="J3853" s="207"/>
      <c r="K3853" s="171" t="s">
        <v>8532</v>
      </c>
      <c r="L3853" s="62">
        <v>23775610</v>
      </c>
      <c r="M3853" s="30">
        <v>6691555567</v>
      </c>
      <c r="N3853" s="172" t="s">
        <v>37</v>
      </c>
      <c r="O3853" s="52">
        <v>9760.32</v>
      </c>
      <c r="P3853" s="52">
        <v>2815.64</v>
      </c>
      <c r="Q3853" s="42">
        <f>OfficeForms.Table[[#This Row],[ INFORMEDEPAGO ]]*0.3</f>
        <v>2928.096</v>
      </c>
      <c r="R3853" s="12">
        <f t="shared" ref="R3853:R3854" si="238">(IF(O3853&lt;4172.98,0,MIN(O3853*0.3,O3853-4172.98)))-P3853</f>
        <v>112.45600000000013</v>
      </c>
      <c r="S3853" s="78">
        <v>46569</v>
      </c>
      <c r="T3853" s="1" t="s">
        <v>7516</v>
      </c>
      <c r="U3853" s="97">
        <v>2815.64</v>
      </c>
      <c r="V3853" s="1"/>
      <c r="X3853" s="101">
        <v>2</v>
      </c>
    </row>
    <row r="3854" spans="1:24" hidden="1">
      <c r="A3854">
        <v>2277</v>
      </c>
      <c r="B3854" s="2">
        <v>46257.469409722202</v>
      </c>
      <c r="C3854" s="2">
        <v>46257.471550925897</v>
      </c>
      <c r="D3854" s="1" t="s">
        <v>24</v>
      </c>
      <c r="E3854" s="1"/>
      <c r="F3854" s="29">
        <v>46257</v>
      </c>
      <c r="G3854" s="29">
        <v>46254</v>
      </c>
      <c r="H3854" s="1" t="s">
        <v>8297</v>
      </c>
      <c r="I3854" s="126" t="s">
        <v>8533</v>
      </c>
      <c r="J3854" s="207">
        <v>65735103437</v>
      </c>
      <c r="K3854" s="171" t="s">
        <v>8534</v>
      </c>
      <c r="L3854" s="62">
        <v>23812196</v>
      </c>
      <c r="M3854" s="30">
        <v>5212281205645</v>
      </c>
      <c r="N3854" s="172" t="s">
        <v>28</v>
      </c>
      <c r="O3854" s="50">
        <v>20215.53</v>
      </c>
      <c r="P3854" s="97"/>
      <c r="Q3854" s="42">
        <f>OfficeForms.Table[[#This Row],[ INFORMEDEPAGO ]]*0.3</f>
        <v>6064.6589999999997</v>
      </c>
      <c r="R3854" s="12">
        <f t="shared" si="238"/>
        <v>6064.6589999999997</v>
      </c>
      <c r="S3854" s="78"/>
      <c r="T3854" s="1"/>
      <c r="U3854" s="97"/>
      <c r="V3854" s="1" t="s">
        <v>8535</v>
      </c>
      <c r="W3854" s="29">
        <v>46258</v>
      </c>
      <c r="X3854" s="101">
        <v>1</v>
      </c>
    </row>
    <row r="3855" spans="1:24" hidden="1">
      <c r="A3855">
        <v>2278</v>
      </c>
      <c r="B3855" s="2">
        <v>46258.357581018499</v>
      </c>
      <c r="C3855" s="2">
        <v>46258.360208333303</v>
      </c>
      <c r="D3855" s="1" t="s">
        <v>24</v>
      </c>
      <c r="E3855" s="1"/>
      <c r="F3855" s="29">
        <v>46258</v>
      </c>
      <c r="G3855" s="29">
        <v>46248</v>
      </c>
      <c r="H3855" s="1" t="s">
        <v>8297</v>
      </c>
      <c r="I3855" s="126" t="s">
        <v>8536</v>
      </c>
      <c r="J3855" s="207" t="s">
        <v>8537</v>
      </c>
      <c r="K3855" s="171" t="s">
        <v>8538</v>
      </c>
      <c r="L3855" s="62">
        <v>23646906</v>
      </c>
      <c r="M3855" s="30">
        <v>5218126853933</v>
      </c>
      <c r="N3855" s="172" t="s">
        <v>37</v>
      </c>
      <c r="O3855" s="52">
        <v>8657.0499999999993</v>
      </c>
      <c r="P3855" s="52">
        <v>2501.9699999999998</v>
      </c>
      <c r="Q3855" s="42">
        <f>OfficeForms.Table[[#This Row],[ INFORMEDEPAGO ]]*0.3</f>
        <v>2597.1149999999998</v>
      </c>
      <c r="R3855" s="12">
        <f t="shared" ref="R3855:R3857" si="239">(IF(O3855&lt;4172.98,0,MIN(O3855*0.3,O3855-4172.98)))-P3855</f>
        <v>95.144999999999982</v>
      </c>
      <c r="S3855" s="78">
        <v>46539</v>
      </c>
      <c r="T3855" s="1" t="s">
        <v>192</v>
      </c>
      <c r="U3855" s="97">
        <v>2323.81</v>
      </c>
      <c r="V3855" s="1"/>
      <c r="X3855" s="101">
        <v>2</v>
      </c>
    </row>
    <row r="3856" spans="1:24" hidden="1">
      <c r="A3856">
        <v>2279</v>
      </c>
      <c r="B3856" s="2">
        <v>46258.384756944397</v>
      </c>
      <c r="C3856" s="2">
        <v>46258.385428240697</v>
      </c>
      <c r="D3856" s="1" t="s">
        <v>24</v>
      </c>
      <c r="E3856" s="1"/>
      <c r="F3856" s="29">
        <v>46258</v>
      </c>
      <c r="G3856" s="29">
        <v>46254</v>
      </c>
      <c r="H3856" s="1" t="s">
        <v>8253</v>
      </c>
      <c r="I3856" s="126" t="s">
        <v>8539</v>
      </c>
      <c r="J3856" s="207"/>
      <c r="K3856" s="171" t="s">
        <v>8540</v>
      </c>
      <c r="L3856" s="62">
        <v>23804754</v>
      </c>
      <c r="M3856" s="30">
        <v>3339486504</v>
      </c>
      <c r="N3856" s="172" t="s">
        <v>32</v>
      </c>
      <c r="O3856" s="50">
        <v>2252.13</v>
      </c>
      <c r="P3856" s="97"/>
      <c r="Q3856" s="42">
        <f>OfficeForms.Table[[#This Row],[ INFORMEDEPAGO ]]*0.3</f>
        <v>675.63900000000001</v>
      </c>
      <c r="R3856" s="12">
        <f t="shared" si="239"/>
        <v>0</v>
      </c>
      <c r="S3856" s="78"/>
      <c r="T3856" s="1"/>
      <c r="U3856" s="97"/>
      <c r="V3856" s="1"/>
      <c r="X3856" s="101">
        <v>1</v>
      </c>
    </row>
    <row r="3857" spans="1:24" hidden="1">
      <c r="A3857">
        <v>2280</v>
      </c>
      <c r="B3857" s="2">
        <v>46258.324722222198</v>
      </c>
      <c r="C3857" s="2">
        <v>46258.393333333297</v>
      </c>
      <c r="D3857" s="1" t="s">
        <v>24</v>
      </c>
      <c r="E3857" s="1"/>
      <c r="F3857" s="29">
        <v>46258</v>
      </c>
      <c r="G3857" s="29">
        <v>46258</v>
      </c>
      <c r="H3857" s="1" t="s">
        <v>1625</v>
      </c>
      <c r="I3857" s="126" t="s">
        <v>8541</v>
      </c>
      <c r="J3857" s="207">
        <v>43786063511</v>
      </c>
      <c r="K3857" s="171" t="s">
        <v>8542</v>
      </c>
      <c r="L3857" s="62">
        <v>2</v>
      </c>
      <c r="M3857" s="30">
        <v>8134752896</v>
      </c>
      <c r="N3857" s="172" t="s">
        <v>37</v>
      </c>
      <c r="O3857" s="52">
        <v>6460.14</v>
      </c>
      <c r="P3857" s="52">
        <v>1791.2</v>
      </c>
      <c r="Q3857" s="42">
        <f>OfficeForms.Table[[#This Row],[ INFORMEDEPAGO ]]*0.3</f>
        <v>1938.0419999999999</v>
      </c>
      <c r="R3857" s="12">
        <f t="shared" si="239"/>
        <v>146.84199999999987</v>
      </c>
      <c r="S3857" s="78">
        <v>46327</v>
      </c>
      <c r="T3857" s="1" t="s">
        <v>8338</v>
      </c>
      <c r="U3857" s="97">
        <v>1577.41</v>
      </c>
      <c r="V3857" s="1"/>
      <c r="X3857" s="101">
        <v>2</v>
      </c>
    </row>
    <row r="3858" spans="1:24" hidden="1">
      <c r="A3858">
        <v>2281</v>
      </c>
      <c r="B3858" s="2">
        <v>46258.406932870399</v>
      </c>
      <c r="C3858" s="2">
        <v>46258.416365740697</v>
      </c>
      <c r="D3858" s="1" t="s">
        <v>24</v>
      </c>
      <c r="E3858" s="1"/>
      <c r="F3858" s="29">
        <v>46258</v>
      </c>
      <c r="G3858" s="29">
        <v>46251</v>
      </c>
      <c r="H3858" s="1" t="s">
        <v>8253</v>
      </c>
      <c r="I3858" s="126" t="s">
        <v>8543</v>
      </c>
      <c r="J3858" s="207"/>
      <c r="K3858" s="171" t="s">
        <v>8544</v>
      </c>
      <c r="L3858" s="62">
        <v>23699632</v>
      </c>
      <c r="M3858" s="30">
        <v>2228011035</v>
      </c>
      <c r="N3858" s="172" t="s">
        <v>32</v>
      </c>
      <c r="O3858" s="50">
        <v>3882.85</v>
      </c>
      <c r="P3858" s="97"/>
      <c r="Q3858" s="42">
        <f>OfficeForms.Table[[#This Row],[ INFORMEDEPAGO ]]*0.3</f>
        <v>1164.855</v>
      </c>
      <c r="R3858" s="12">
        <f t="shared" ref="R3858" si="240">(IF(O3858&lt;4172.98,0,MIN(O3858*0.3,O3858-4172.98)))-P3858</f>
        <v>0</v>
      </c>
      <c r="S3858" s="78"/>
      <c r="T3858" s="1"/>
      <c r="U3858" s="97"/>
      <c r="V3858" s="1"/>
      <c r="X3858" s="101">
        <v>1</v>
      </c>
    </row>
    <row r="3859" spans="1:24" hidden="1">
      <c r="A3859">
        <v>2282</v>
      </c>
      <c r="B3859" s="2">
        <v>46258.424421296302</v>
      </c>
      <c r="C3859" s="2">
        <v>46258.425451388903</v>
      </c>
      <c r="D3859" s="1" t="s">
        <v>24</v>
      </c>
      <c r="E3859" s="1"/>
      <c r="F3859" s="29">
        <v>46258</v>
      </c>
      <c r="G3859" s="29">
        <v>46253</v>
      </c>
      <c r="H3859" s="1" t="s">
        <v>8253</v>
      </c>
      <c r="I3859" s="126" t="s">
        <v>8545</v>
      </c>
      <c r="J3859" s="207" t="s">
        <v>8546</v>
      </c>
      <c r="K3859" s="171" t="s">
        <v>8334</v>
      </c>
      <c r="L3859" s="62">
        <v>23768850</v>
      </c>
      <c r="M3859" s="30">
        <v>8281003166</v>
      </c>
      <c r="N3859" s="172" t="s">
        <v>98</v>
      </c>
      <c r="O3859" s="50"/>
      <c r="P3859" s="97"/>
      <c r="Q3859" s="42">
        <f>OfficeForms.Table[[#This Row],[ INFORMEDEPAGO ]]*0.3</f>
        <v>0</v>
      </c>
      <c r="R3859" s="12">
        <f>(IF(O3859&lt;4172.98,0,MIN(O3859*0.3,O3859-4172.98)))-P3859</f>
        <v>0</v>
      </c>
      <c r="S3859" s="78"/>
      <c r="T3859" s="1"/>
      <c r="U3859" s="97"/>
      <c r="V3859" s="1"/>
      <c r="X3859" s="101">
        <v>0</v>
      </c>
    </row>
    <row r="3860" spans="1:24" hidden="1">
      <c r="A3860">
        <v>2283</v>
      </c>
      <c r="B3860" s="2">
        <v>46258.442951388897</v>
      </c>
      <c r="C3860" s="2">
        <v>46258.444849537002</v>
      </c>
      <c r="D3860" s="1" t="s">
        <v>24</v>
      </c>
      <c r="E3860" s="1"/>
      <c r="F3860" s="29">
        <v>46258</v>
      </c>
      <c r="G3860" s="29">
        <v>46258</v>
      </c>
      <c r="H3860" s="1" t="s">
        <v>1957</v>
      </c>
      <c r="I3860" s="126" t="s">
        <v>8547</v>
      </c>
      <c r="J3860" s="207">
        <v>26250601056</v>
      </c>
      <c r="K3860" s="171" t="s">
        <v>8548</v>
      </c>
      <c r="L3860" s="62">
        <v>2</v>
      </c>
      <c r="M3860" s="30">
        <v>8145388648</v>
      </c>
      <c r="N3860" s="172" t="s">
        <v>98</v>
      </c>
      <c r="O3860" s="50"/>
      <c r="P3860" s="97"/>
      <c r="Q3860" s="42">
        <f>OfficeForms.Table[[#This Row],[ INFORMEDEPAGO ]]*0.3</f>
        <v>0</v>
      </c>
      <c r="R3860" s="12">
        <f t="shared" ref="R3860:R3863" si="241">(IF(O3860&lt;4172.98,0,MIN(O3860*0.3,O3860-4172.98)))-P3860</f>
        <v>0</v>
      </c>
      <c r="S3860" s="78"/>
      <c r="T3860" s="1"/>
      <c r="U3860" s="97"/>
      <c r="V3860" s="1"/>
      <c r="X3860" s="101">
        <v>0</v>
      </c>
    </row>
    <row r="3861" spans="1:24" hidden="1">
      <c r="A3861">
        <v>2284</v>
      </c>
      <c r="B3861" s="2">
        <v>46258.443819444401</v>
      </c>
      <c r="C3861" s="2">
        <v>46258.490185185197</v>
      </c>
      <c r="D3861" s="1" t="s">
        <v>24</v>
      </c>
      <c r="E3861" s="1"/>
      <c r="F3861" s="29">
        <v>46258</v>
      </c>
      <c r="G3861" s="29">
        <v>46258</v>
      </c>
      <c r="H3861" s="1" t="s">
        <v>1625</v>
      </c>
      <c r="I3861" s="126" t="s">
        <v>8549</v>
      </c>
      <c r="J3861" s="207" t="s">
        <v>8550</v>
      </c>
      <c r="K3861" s="171" t="s">
        <v>8551</v>
      </c>
      <c r="L3861" s="62">
        <v>2</v>
      </c>
      <c r="M3861" s="30">
        <v>5657477554</v>
      </c>
      <c r="N3861" s="172" t="s">
        <v>37</v>
      </c>
      <c r="O3861" s="52">
        <v>5617.63</v>
      </c>
      <c r="P3861" s="52">
        <v>1443</v>
      </c>
      <c r="Q3861" s="42">
        <f>OfficeForms.Table[[#This Row],[ INFORMEDEPAGO ]]*0.3</f>
        <v>1685.289</v>
      </c>
      <c r="R3861" s="12">
        <f t="shared" si="241"/>
        <v>1.6500000000005457</v>
      </c>
      <c r="S3861" s="78">
        <v>46813</v>
      </c>
      <c r="T3861" s="1" t="s">
        <v>8338</v>
      </c>
      <c r="U3861" s="97">
        <v>1443</v>
      </c>
      <c r="V3861" s="1"/>
      <c r="X3861" s="101">
        <v>2</v>
      </c>
    </row>
    <row r="3862" spans="1:24" hidden="1">
      <c r="A3862">
        <v>2285</v>
      </c>
      <c r="B3862" s="2">
        <v>46258.490347222199</v>
      </c>
      <c r="C3862" s="2">
        <v>46258.494108796302</v>
      </c>
      <c r="D3862" s="1" t="s">
        <v>24</v>
      </c>
      <c r="E3862" s="1"/>
      <c r="F3862" s="29">
        <v>46258</v>
      </c>
      <c r="G3862" s="29">
        <v>46258</v>
      </c>
      <c r="H3862" s="1" t="s">
        <v>1625</v>
      </c>
      <c r="I3862" s="126" t="s">
        <v>8552</v>
      </c>
      <c r="J3862" s="207">
        <v>92936300448</v>
      </c>
      <c r="K3862" s="171" t="s">
        <v>4617</v>
      </c>
      <c r="L3862" s="62">
        <v>2</v>
      </c>
      <c r="M3862" s="30" t="s">
        <v>8553</v>
      </c>
      <c r="N3862" s="172" t="s">
        <v>37</v>
      </c>
      <c r="O3862" s="52">
        <v>9081.52</v>
      </c>
      <c r="P3862" s="52">
        <v>2693.06</v>
      </c>
      <c r="Q3862" s="42">
        <f>OfficeForms.Table[[#This Row],[ INFORMEDEPAGO ]]*0.3</f>
        <v>2724.4560000000001</v>
      </c>
      <c r="R3862" s="12">
        <f t="shared" si="241"/>
        <v>31.396000000000186</v>
      </c>
      <c r="S3862" s="78">
        <v>46784</v>
      </c>
      <c r="T3862" s="1" t="s">
        <v>7516</v>
      </c>
      <c r="U3862" s="97">
        <v>2693.06</v>
      </c>
      <c r="V3862" s="1"/>
      <c r="X3862" s="101">
        <v>2</v>
      </c>
    </row>
    <row r="3863" spans="1:24" hidden="1">
      <c r="A3863">
        <v>2286</v>
      </c>
      <c r="B3863" s="2">
        <v>46258.516134259298</v>
      </c>
      <c r="C3863" s="2">
        <v>46258.519293981502</v>
      </c>
      <c r="D3863" s="1" t="s">
        <v>24</v>
      </c>
      <c r="E3863" s="1"/>
      <c r="F3863" s="29">
        <v>46258</v>
      </c>
      <c r="G3863" s="29">
        <v>46258</v>
      </c>
      <c r="H3863" s="1" t="s">
        <v>1629</v>
      </c>
      <c r="I3863" s="126" t="s">
        <v>8554</v>
      </c>
      <c r="J3863" s="208" t="s">
        <v>8555</v>
      </c>
      <c r="K3863" s="171" t="s">
        <v>8556</v>
      </c>
      <c r="L3863" s="62">
        <v>2</v>
      </c>
      <c r="M3863" s="30" t="s">
        <v>8557</v>
      </c>
      <c r="N3863" s="172" t="s">
        <v>106</v>
      </c>
      <c r="O3863" s="52">
        <v>7920.51</v>
      </c>
      <c r="P3863" s="52">
        <v>2099.96</v>
      </c>
      <c r="Q3863" s="42">
        <f>OfficeForms.Table[[#This Row],[ INFORMEDEPAGO ]]*0.3</f>
        <v>2376.1529999999998</v>
      </c>
      <c r="R3863" s="12">
        <f t="shared" si="241"/>
        <v>276.19299999999976</v>
      </c>
      <c r="S3863" s="78">
        <v>45962</v>
      </c>
      <c r="T3863" s="1" t="s">
        <v>8338</v>
      </c>
      <c r="U3863" s="97">
        <v>2099.96</v>
      </c>
      <c r="V3863" s="1"/>
      <c r="X3863" s="101">
        <v>2</v>
      </c>
    </row>
    <row r="3864" spans="1:24" hidden="1">
      <c r="A3864">
        <v>2287</v>
      </c>
      <c r="B3864" s="2">
        <v>46258.532800925903</v>
      </c>
      <c r="C3864" s="2">
        <v>46258.533101851797</v>
      </c>
      <c r="D3864" s="1" t="s">
        <v>24</v>
      </c>
      <c r="E3864" s="1"/>
      <c r="F3864" s="29">
        <v>46258</v>
      </c>
      <c r="G3864" s="29">
        <v>46258</v>
      </c>
      <c r="H3864" s="1" t="s">
        <v>1957</v>
      </c>
      <c r="I3864" s="126" t="s">
        <v>8558</v>
      </c>
      <c r="J3864" s="207">
        <v>75826212419</v>
      </c>
      <c r="K3864" s="171" t="s">
        <v>7908</v>
      </c>
      <c r="L3864" s="62">
        <v>2</v>
      </c>
      <c r="M3864" s="30">
        <v>5544107574</v>
      </c>
      <c r="N3864" s="172" t="s">
        <v>106</v>
      </c>
      <c r="O3864" s="52">
        <v>7920.51</v>
      </c>
      <c r="P3864" s="52">
        <v>2199.0100000000002</v>
      </c>
      <c r="Q3864" s="42">
        <f>OfficeForms.Table[[#This Row],[ INFORMEDEPAGO ]]*0.3</f>
        <v>2376.1529999999998</v>
      </c>
      <c r="R3864" s="12">
        <f t="shared" ref="R3864:R3865" si="242">(IF(O3864&lt;4172.98,0,MIN(O3864*0.3,O3864-4172.98)))-P3864</f>
        <v>177.14299999999957</v>
      </c>
      <c r="S3864" s="78">
        <v>46204</v>
      </c>
      <c r="T3864" s="1" t="s">
        <v>7516</v>
      </c>
      <c r="U3864" s="97">
        <v>2199.0100000000002</v>
      </c>
      <c r="V3864" s="1"/>
      <c r="X3864" s="101">
        <v>2</v>
      </c>
    </row>
    <row r="3865" spans="1:24" hidden="1">
      <c r="A3865">
        <v>2288</v>
      </c>
      <c r="B3865" s="2">
        <v>46258.536956018499</v>
      </c>
      <c r="C3865" s="2">
        <v>46258.538495370398</v>
      </c>
      <c r="D3865" s="1" t="s">
        <v>24</v>
      </c>
      <c r="E3865" s="1"/>
      <c r="F3865" s="29">
        <v>46258</v>
      </c>
      <c r="G3865" s="29">
        <v>46258</v>
      </c>
      <c r="H3865" s="1" t="s">
        <v>1957</v>
      </c>
      <c r="I3865" s="126" t="s">
        <v>8559</v>
      </c>
      <c r="J3865" s="207" t="s">
        <v>8560</v>
      </c>
      <c r="K3865" s="171" t="s">
        <v>8561</v>
      </c>
      <c r="L3865" s="62">
        <v>2</v>
      </c>
      <c r="M3865" s="30">
        <v>4793195626</v>
      </c>
      <c r="N3865" s="172" t="s">
        <v>98</v>
      </c>
      <c r="O3865" s="50"/>
      <c r="P3865" s="97"/>
      <c r="Q3865" s="42">
        <f>OfficeForms.Table[[#This Row],[ INFORMEDEPAGO ]]*0.3</f>
        <v>0</v>
      </c>
      <c r="R3865" s="12">
        <f t="shared" si="242"/>
        <v>0</v>
      </c>
      <c r="S3865" s="78"/>
      <c r="T3865" s="1"/>
      <c r="U3865" s="97"/>
      <c r="V3865" s="1"/>
      <c r="X3865" s="101">
        <v>0</v>
      </c>
    </row>
    <row r="3866" spans="1:24" hidden="1">
      <c r="A3866">
        <v>2289</v>
      </c>
      <c r="B3866" s="2">
        <v>46258.494293981501</v>
      </c>
      <c r="C3866" s="2">
        <v>46258.606076388904</v>
      </c>
      <c r="D3866" s="1" t="s">
        <v>24</v>
      </c>
      <c r="E3866" s="1"/>
      <c r="F3866" s="29">
        <v>46258</v>
      </c>
      <c r="G3866" s="29">
        <v>46258</v>
      </c>
      <c r="H3866" s="1" t="s">
        <v>1625</v>
      </c>
      <c r="I3866" s="126" t="s">
        <v>8562</v>
      </c>
      <c r="J3866" s="207" t="s">
        <v>8563</v>
      </c>
      <c r="K3866" s="171" t="s">
        <v>8564</v>
      </c>
      <c r="L3866" s="62">
        <v>2</v>
      </c>
      <c r="M3866" s="30">
        <v>5520038585</v>
      </c>
      <c r="N3866" s="172" t="s">
        <v>28</v>
      </c>
      <c r="O3866" s="50">
        <v>8784.2900000000009</v>
      </c>
      <c r="P3866" s="97"/>
      <c r="Q3866" s="42">
        <f>OfficeForms.Table[[#This Row],[ INFORMEDEPAGO ]]*0.3</f>
        <v>2635.2870000000003</v>
      </c>
      <c r="R3866" s="12">
        <f t="shared" ref="R3866:R3867" si="243">(IF(O3866&lt;4172.98,0,MIN(O3866*0.3,O3866-4172.98)))-P3866</f>
        <v>2635.2870000000003</v>
      </c>
      <c r="S3866" s="78"/>
      <c r="T3866" s="1"/>
      <c r="U3866" s="97"/>
      <c r="V3866" s="1"/>
      <c r="X3866" s="101">
        <v>1</v>
      </c>
    </row>
    <row r="3867" spans="1:24" hidden="1">
      <c r="A3867">
        <v>2290</v>
      </c>
      <c r="B3867" s="2">
        <v>46258.606145833299</v>
      </c>
      <c r="C3867" s="2">
        <v>46258.6080671296</v>
      </c>
      <c r="D3867" s="1" t="s">
        <v>24</v>
      </c>
      <c r="E3867" s="1"/>
      <c r="F3867" s="29">
        <v>46258</v>
      </c>
      <c r="G3867" s="29">
        <v>46258</v>
      </c>
      <c r="H3867" s="1" t="s">
        <v>1625</v>
      </c>
      <c r="I3867" s="126" t="s">
        <v>8565</v>
      </c>
      <c r="J3867" s="207">
        <v>54775951293</v>
      </c>
      <c r="K3867" s="171" t="s">
        <v>8566</v>
      </c>
      <c r="L3867" s="62">
        <v>2</v>
      </c>
      <c r="M3867" s="30">
        <v>3312611425</v>
      </c>
      <c r="N3867" s="172" t="s">
        <v>37</v>
      </c>
      <c r="O3867" s="50">
        <v>21444.78</v>
      </c>
      <c r="P3867" s="97">
        <v>6433</v>
      </c>
      <c r="Q3867" s="42">
        <f>OfficeForms.Table[[#This Row],[ INFORMEDEPAGO ]]*0.3</f>
        <v>6433.4339999999993</v>
      </c>
      <c r="R3867" s="12">
        <f t="shared" si="243"/>
        <v>0.43399999999928696</v>
      </c>
      <c r="S3867" s="78">
        <v>46905</v>
      </c>
      <c r="T3867" s="1" t="s">
        <v>84</v>
      </c>
      <c r="U3867" s="97">
        <v>6433</v>
      </c>
      <c r="V3867" s="1"/>
      <c r="X3867" s="101">
        <v>2</v>
      </c>
    </row>
    <row r="3868" spans="1:24" hidden="1">
      <c r="A3868">
        <v>2291</v>
      </c>
      <c r="B3868" s="2">
        <v>46258.642627314803</v>
      </c>
      <c r="C3868" s="2">
        <v>46258.643564814804</v>
      </c>
      <c r="D3868" s="1" t="s">
        <v>24</v>
      </c>
      <c r="E3868" s="1"/>
      <c r="F3868" s="29">
        <v>46258</v>
      </c>
      <c r="G3868" s="29">
        <v>46253</v>
      </c>
      <c r="H3868" s="1" t="s">
        <v>8253</v>
      </c>
      <c r="I3868" s="126" t="s">
        <v>8567</v>
      </c>
      <c r="J3868" s="207">
        <v>2390727612</v>
      </c>
      <c r="K3868" s="171" t="s">
        <v>8532</v>
      </c>
      <c r="L3868" s="62">
        <v>23775610</v>
      </c>
      <c r="M3868" s="30">
        <v>6691555567</v>
      </c>
      <c r="N3868" s="172" t="s">
        <v>37</v>
      </c>
      <c r="O3868" s="50">
        <v>8784.2900000000009</v>
      </c>
      <c r="P3868" s="97">
        <v>2541.5</v>
      </c>
      <c r="Q3868" s="42">
        <f>OfficeForms.Table[[#This Row],[ INFORMEDEPAGO ]]*0.3</f>
        <v>2635.2870000000003</v>
      </c>
      <c r="R3868" s="12">
        <f t="shared" ref="R3868" si="244">(IF(O3868&lt;4172.98,0,MIN(O3868*0.3,O3868-4172.98)))-P3868</f>
        <v>93.787000000000262</v>
      </c>
      <c r="S3868" s="78">
        <v>46753</v>
      </c>
      <c r="T3868" s="1" t="s">
        <v>8319</v>
      </c>
      <c r="U3868" s="97">
        <v>2541.5</v>
      </c>
      <c r="V3868" s="1"/>
      <c r="X3868" s="101">
        <v>2</v>
      </c>
    </row>
    <row r="3869" spans="1:24" hidden="1">
      <c r="A3869">
        <v>2292</v>
      </c>
      <c r="B3869" s="2">
        <v>46258.643495370401</v>
      </c>
      <c r="C3869" s="2">
        <v>46258.645671296297</v>
      </c>
      <c r="D3869" s="1" t="s">
        <v>24</v>
      </c>
      <c r="E3869" s="1"/>
      <c r="F3869" s="29">
        <v>46258</v>
      </c>
      <c r="G3869" s="29">
        <v>46258</v>
      </c>
      <c r="H3869" s="1" t="s">
        <v>1629</v>
      </c>
      <c r="I3869" s="126" t="s">
        <v>7570</v>
      </c>
      <c r="J3869" s="207">
        <v>32806379924</v>
      </c>
      <c r="K3869" s="171" t="s">
        <v>7571</v>
      </c>
      <c r="L3869" s="62">
        <v>2</v>
      </c>
      <c r="M3869" s="30">
        <v>8441086848</v>
      </c>
      <c r="N3869" s="172" t="s">
        <v>37</v>
      </c>
      <c r="O3869" s="43">
        <v>4736.3900000000003</v>
      </c>
      <c r="P3869" s="43">
        <v>521.37</v>
      </c>
      <c r="Q3869" s="42">
        <f>OfficeForms.Table[[#This Row],[ INFORMEDEPAGO ]]*0.3</f>
        <v>1420.9170000000001</v>
      </c>
      <c r="R3869" s="12">
        <f>(IF(O3869&lt;4172.98,0,MIN(O3869*0.3,O3869-4172.98)))-P3869</f>
        <v>42.040000000000759</v>
      </c>
      <c r="S3869" s="78">
        <v>46357</v>
      </c>
      <c r="T3869" s="1" t="s">
        <v>7209</v>
      </c>
      <c r="U3869" s="97">
        <v>521.37</v>
      </c>
      <c r="V3869" s="1"/>
      <c r="X3869" s="101">
        <v>2</v>
      </c>
    </row>
    <row r="3870" spans="1:24" hidden="1">
      <c r="A3870">
        <v>2293</v>
      </c>
      <c r="B3870" s="2">
        <v>46258.682465277801</v>
      </c>
      <c r="C3870" s="2">
        <v>46258.684884259303</v>
      </c>
      <c r="D3870" s="1" t="s">
        <v>24</v>
      </c>
      <c r="E3870" s="1"/>
      <c r="F3870" s="29">
        <v>46258</v>
      </c>
      <c r="G3870" s="29">
        <v>46258</v>
      </c>
      <c r="H3870" s="1" t="s">
        <v>1629</v>
      </c>
      <c r="I3870" s="126" t="s">
        <v>8568</v>
      </c>
      <c r="J3870" s="207" t="s">
        <v>8569</v>
      </c>
      <c r="K3870" s="171" t="s">
        <v>8570</v>
      </c>
      <c r="L3870" s="62">
        <v>2</v>
      </c>
      <c r="M3870" s="30" t="s">
        <v>8571</v>
      </c>
      <c r="N3870" s="172" t="s">
        <v>32</v>
      </c>
      <c r="O3870" s="50">
        <v>3568.75</v>
      </c>
      <c r="P3870" s="97"/>
      <c r="Q3870" s="42">
        <f>OfficeForms.Table[[#This Row],[ INFORMEDEPAGO ]]*0.3</f>
        <v>1070.625</v>
      </c>
      <c r="R3870" s="12">
        <f>(IF(O3870&lt;4172.98,0,MIN(O3870*0.3,O3870-4172.98)))-P3870</f>
        <v>0</v>
      </c>
      <c r="S3870" s="78"/>
      <c r="T3870" s="1"/>
      <c r="U3870" s="97"/>
      <c r="V3870" s="1"/>
      <c r="X3870" s="101">
        <v>1</v>
      </c>
    </row>
    <row r="3871" spans="1:24" hidden="1">
      <c r="A3871">
        <v>2294</v>
      </c>
      <c r="B3871" s="2">
        <v>46258.6890277778</v>
      </c>
      <c r="C3871" s="2">
        <v>46258.689502314803</v>
      </c>
      <c r="D3871" s="1" t="s">
        <v>24</v>
      </c>
      <c r="E3871" s="1"/>
      <c r="F3871" s="29">
        <v>46258</v>
      </c>
      <c r="G3871" s="29">
        <v>46258</v>
      </c>
      <c r="H3871" s="1" t="s">
        <v>1629</v>
      </c>
      <c r="I3871" s="126" t="s">
        <v>8572</v>
      </c>
      <c r="J3871" s="207">
        <v>43846505790</v>
      </c>
      <c r="K3871" s="171" t="s">
        <v>8573</v>
      </c>
      <c r="L3871" s="62">
        <v>2</v>
      </c>
      <c r="M3871" s="30" t="s">
        <v>8574</v>
      </c>
      <c r="N3871" s="172" t="s">
        <v>28</v>
      </c>
      <c r="O3871" s="50">
        <v>10636.54</v>
      </c>
      <c r="P3871" s="97"/>
      <c r="Q3871" s="42">
        <f>OfficeForms.Table[[#This Row],[ INFORMEDEPAGO ]]*0.3</f>
        <v>3190.962</v>
      </c>
      <c r="R3871" s="12">
        <f>(IF(O3871&lt;4172.98,0,MIN(O3871*0.3,O3871-4172.98)))-P3871</f>
        <v>3190.962</v>
      </c>
      <c r="S3871" s="78"/>
      <c r="T3871" s="1"/>
      <c r="U3871" s="97"/>
      <c r="V3871" s="1"/>
      <c r="X3871" s="101">
        <v>1</v>
      </c>
    </row>
    <row r="3872" spans="1:24" hidden="1">
      <c r="A3872">
        <v>2295</v>
      </c>
      <c r="B3872" s="2">
        <v>46258.608090277798</v>
      </c>
      <c r="C3872" s="2">
        <v>46258.717372685198</v>
      </c>
      <c r="D3872" s="1" t="s">
        <v>24</v>
      </c>
      <c r="E3872" s="1"/>
      <c r="F3872" s="29">
        <v>46258</v>
      </c>
      <c r="G3872" s="29">
        <v>46258</v>
      </c>
      <c r="H3872" s="1" t="s">
        <v>1625</v>
      </c>
      <c r="I3872" s="126" t="s">
        <v>8575</v>
      </c>
      <c r="J3872" s="207">
        <v>55805802018</v>
      </c>
      <c r="K3872" s="171" t="s">
        <v>2194</v>
      </c>
      <c r="L3872" s="62">
        <v>2</v>
      </c>
      <c r="M3872" s="30">
        <v>3112474147</v>
      </c>
      <c r="N3872" s="172" t="s">
        <v>37</v>
      </c>
      <c r="O3872" s="50">
        <v>24234.17</v>
      </c>
      <c r="P3872" s="97">
        <v>7268.37</v>
      </c>
      <c r="Q3872" s="42">
        <f>OfficeForms.Table[[#This Row],[ INFORMEDEPAGO ]]*0.3</f>
        <v>7270.2509999999993</v>
      </c>
      <c r="R3872" s="12">
        <f t="shared" ref="R3872:R3874" si="245">(IF(O3872&lt;4172.98,0,MIN(O3872*0.3,O3872-4172.98)))-P3872</f>
        <v>1.8809999999994034</v>
      </c>
      <c r="S3872" s="78">
        <v>46478</v>
      </c>
      <c r="T3872" s="1" t="s">
        <v>8415</v>
      </c>
      <c r="U3872" s="97">
        <v>463.44</v>
      </c>
      <c r="V3872" s="1"/>
      <c r="X3872" s="101">
        <v>2</v>
      </c>
    </row>
    <row r="3873" spans="1:24" hidden="1">
      <c r="A3873">
        <v>2297</v>
      </c>
      <c r="B3873" s="2">
        <v>46258.738599536999</v>
      </c>
      <c r="C3873" s="2">
        <v>46258.7394444444</v>
      </c>
      <c r="D3873" s="1" t="s">
        <v>24</v>
      </c>
      <c r="E3873" s="1"/>
      <c r="F3873" s="29">
        <v>46258</v>
      </c>
      <c r="G3873" s="29">
        <v>46258</v>
      </c>
      <c r="H3873" s="1" t="s">
        <v>1957</v>
      </c>
      <c r="I3873" s="126" t="s">
        <v>8576</v>
      </c>
      <c r="J3873" s="207">
        <v>55744110556</v>
      </c>
      <c r="K3873" s="171" t="s">
        <v>8577</v>
      </c>
      <c r="L3873" s="62">
        <v>2</v>
      </c>
      <c r="M3873" s="30">
        <v>3114403126</v>
      </c>
      <c r="N3873" s="172" t="s">
        <v>37</v>
      </c>
      <c r="O3873" s="50">
        <v>7913.78</v>
      </c>
      <c r="P3873" s="97">
        <v>2374.13</v>
      </c>
      <c r="Q3873" s="42">
        <f>OfficeForms.Table[[#This Row],[ INFORMEDEPAGO ]]*0.3</f>
        <v>2374.134</v>
      </c>
      <c r="R3873" s="12">
        <f t="shared" ref="R3873" si="246">(IF(O3873&lt;4172.98,0,MIN(O3873*0.3,O3873-4172.98)))-P3873</f>
        <v>3.9999999999054126E-3</v>
      </c>
      <c r="S3873" s="78">
        <v>46935</v>
      </c>
      <c r="T3873" s="1" t="s">
        <v>6855</v>
      </c>
      <c r="U3873" s="97">
        <v>2374.13</v>
      </c>
      <c r="V3873" s="1"/>
      <c r="X3873" s="101">
        <v>2</v>
      </c>
    </row>
    <row r="3874" spans="1:24" hidden="1">
      <c r="A3874">
        <v>2298</v>
      </c>
      <c r="B3874" s="2">
        <v>46258.719942129603</v>
      </c>
      <c r="C3874" s="2">
        <v>46258.740995370397</v>
      </c>
      <c r="D3874" s="1" t="s">
        <v>24</v>
      </c>
      <c r="E3874" s="1"/>
      <c r="F3874" s="29">
        <v>46258</v>
      </c>
      <c r="G3874" s="29">
        <v>46258</v>
      </c>
      <c r="H3874" s="1" t="s">
        <v>1629</v>
      </c>
      <c r="I3874" s="126" t="s">
        <v>8578</v>
      </c>
      <c r="J3874" s="207">
        <v>32876276430</v>
      </c>
      <c r="K3874" s="171" t="s">
        <v>8579</v>
      </c>
      <c r="L3874" s="62">
        <v>2</v>
      </c>
      <c r="M3874" s="30" t="s">
        <v>8580</v>
      </c>
      <c r="N3874" s="172" t="s">
        <v>98</v>
      </c>
      <c r="O3874" s="50"/>
      <c r="P3874" s="97"/>
      <c r="Q3874" s="42">
        <f>OfficeForms.Table[[#This Row],[ INFORMEDEPAGO ]]*0.3</f>
        <v>0</v>
      </c>
      <c r="R3874" s="12">
        <f t="shared" si="245"/>
        <v>0</v>
      </c>
      <c r="S3874" s="78"/>
      <c r="T3874" s="1"/>
      <c r="U3874" s="97"/>
      <c r="V3874" s="1"/>
      <c r="X3874" s="101">
        <v>0</v>
      </c>
    </row>
    <row r="3875" spans="1:24" hidden="1">
      <c r="A3875">
        <v>2299</v>
      </c>
      <c r="B3875" s="2">
        <v>46259.359699074099</v>
      </c>
      <c r="C3875" s="2">
        <v>46259.3609490741</v>
      </c>
      <c r="D3875" s="1" t="s">
        <v>24</v>
      </c>
      <c r="E3875" s="1"/>
      <c r="F3875" s="29">
        <v>46259</v>
      </c>
      <c r="G3875" s="29">
        <v>46259</v>
      </c>
      <c r="H3875" s="1" t="s">
        <v>103</v>
      </c>
      <c r="I3875" s="126" t="s">
        <v>8581</v>
      </c>
      <c r="J3875" s="207">
        <v>8182580347</v>
      </c>
      <c r="K3875" s="171" t="s">
        <v>8582</v>
      </c>
      <c r="L3875" s="62">
        <v>1</v>
      </c>
      <c r="M3875" s="30">
        <v>9995281098</v>
      </c>
      <c r="N3875" s="172" t="s">
        <v>37</v>
      </c>
      <c r="O3875" s="50">
        <v>9081.52</v>
      </c>
      <c r="P3875" s="97">
        <v>2627.49</v>
      </c>
      <c r="Q3875" s="42">
        <f>OfficeForms.Table[[#This Row],[ INFORMEDEPAGO ]]*0.3</f>
        <v>2724.4560000000001</v>
      </c>
      <c r="R3875" s="12">
        <f t="shared" ref="R3875" si="247">(IF(O3875&lt;4172.98,0,MIN(O3875*0.3,O3875-4172.98)))-P3875</f>
        <v>96.966000000000349</v>
      </c>
      <c r="S3875" s="78">
        <v>46692</v>
      </c>
      <c r="T3875" s="1" t="s">
        <v>7516</v>
      </c>
      <c r="U3875" s="97">
        <v>2627.49</v>
      </c>
      <c r="V3875" s="1"/>
      <c r="X3875" s="101">
        <v>2</v>
      </c>
    </row>
    <row r="3876" spans="1:24" hidden="1">
      <c r="A3876">
        <v>2300</v>
      </c>
      <c r="B3876" s="2">
        <v>46259.335706018501</v>
      </c>
      <c r="C3876" s="2">
        <v>46259.378333333298</v>
      </c>
      <c r="D3876" s="1" t="s">
        <v>24</v>
      </c>
      <c r="E3876" s="1"/>
      <c r="F3876" s="29">
        <v>46259</v>
      </c>
      <c r="G3876" s="29">
        <v>46259</v>
      </c>
      <c r="H3876" s="1" t="s">
        <v>1629</v>
      </c>
      <c r="I3876" s="126" t="s">
        <v>5386</v>
      </c>
      <c r="J3876" s="207" t="s">
        <v>8583</v>
      </c>
      <c r="K3876" s="171" t="s">
        <v>5387</v>
      </c>
      <c r="L3876" s="62">
        <v>2</v>
      </c>
      <c r="M3876" s="30" t="s">
        <v>8584</v>
      </c>
      <c r="N3876" s="172" t="s">
        <v>37</v>
      </c>
      <c r="O3876" s="50">
        <v>10636.54</v>
      </c>
      <c r="P3876" s="97">
        <v>3189.99</v>
      </c>
      <c r="Q3876" s="42">
        <f>OfficeForms.Table[[#This Row],[ INFORMEDEPAGO ]]*0.3</f>
        <v>3190.962</v>
      </c>
      <c r="R3876" s="12">
        <f t="shared" ref="R3876" si="248">(IF(O3876&lt;4172.98,0,MIN(O3876*0.3,O3876-4172.98)))-P3876</f>
        <v>0.97200000000020736</v>
      </c>
      <c r="S3876" s="78">
        <v>46966</v>
      </c>
      <c r="T3876" s="1" t="s">
        <v>7516</v>
      </c>
      <c r="U3876" s="97">
        <v>3189.99</v>
      </c>
      <c r="V3876" s="1"/>
      <c r="X3876" s="101">
        <v>2</v>
      </c>
    </row>
    <row r="3877" spans="1:24" hidden="1">
      <c r="A3877">
        <v>2301</v>
      </c>
      <c r="B3877" s="2">
        <v>46259.401296296302</v>
      </c>
      <c r="C3877" s="2">
        <v>46259.402233796303</v>
      </c>
      <c r="D3877" s="1" t="s">
        <v>24</v>
      </c>
      <c r="E3877" s="1"/>
      <c r="F3877" s="29">
        <v>46259</v>
      </c>
      <c r="G3877" s="29">
        <v>46259</v>
      </c>
      <c r="H3877" s="1" t="s">
        <v>1629</v>
      </c>
      <c r="I3877" s="126" t="s">
        <v>8585</v>
      </c>
      <c r="J3877" s="207">
        <v>43886115948</v>
      </c>
      <c r="K3877" s="171" t="s">
        <v>8586</v>
      </c>
      <c r="L3877" s="62">
        <v>2</v>
      </c>
      <c r="M3877" s="30" t="s">
        <v>8587</v>
      </c>
      <c r="N3877" s="172" t="s">
        <v>37</v>
      </c>
      <c r="O3877" s="50">
        <v>27051.439999999999</v>
      </c>
      <c r="P3877" s="97">
        <v>8104.57</v>
      </c>
      <c r="Q3877" s="42">
        <f>OfficeForms.Table[[#This Row],[ INFORMEDEPAGO ]]*0.3</f>
        <v>8115.4319999999989</v>
      </c>
      <c r="R3877" s="12">
        <f t="shared" ref="R3877" si="249">(IF(O3877&lt;4172.98,0,MIN(O3877*0.3,O3877-4172.98)))-P3877</f>
        <v>10.861999999999171</v>
      </c>
      <c r="S3877" s="78">
        <v>46905</v>
      </c>
      <c r="T3877" s="1" t="s">
        <v>192</v>
      </c>
      <c r="U3877" s="97">
        <v>7809.23</v>
      </c>
      <c r="V3877" s="1"/>
      <c r="X3877" s="101">
        <v>2</v>
      </c>
    </row>
    <row r="3878" spans="1:24" hidden="1">
      <c r="A3878">
        <v>2302</v>
      </c>
      <c r="B3878" s="2">
        <v>46259.473587963003</v>
      </c>
      <c r="C3878" s="2">
        <v>46259.474050925899</v>
      </c>
      <c r="D3878" s="1" t="s">
        <v>24</v>
      </c>
      <c r="E3878" s="1"/>
      <c r="F3878" s="29">
        <v>46259</v>
      </c>
      <c r="G3878" s="29">
        <v>46259</v>
      </c>
      <c r="H3878" s="1" t="s">
        <v>1629</v>
      </c>
      <c r="I3878" s="126" t="s">
        <v>8588</v>
      </c>
      <c r="J3878" s="207" t="s">
        <v>8589</v>
      </c>
      <c r="K3878" s="171" t="s">
        <v>8590</v>
      </c>
      <c r="L3878" s="62">
        <v>2</v>
      </c>
      <c r="M3878" s="30" t="s">
        <v>8591</v>
      </c>
      <c r="N3878" s="172" t="s">
        <v>47</v>
      </c>
      <c r="O3878" s="50">
        <v>5310.46</v>
      </c>
      <c r="P3878" s="97">
        <v>283</v>
      </c>
      <c r="Q3878" s="42">
        <f>OfficeForms.Table[[#This Row],[ INFORMEDEPAGO ]]*0.3</f>
        <v>1593.1379999999999</v>
      </c>
      <c r="R3878" s="12">
        <f t="shared" ref="R3878" si="250">(IF(O3878&lt;4172.98,0,MIN(O3878*0.3,O3878-4172.98)))-P3878</f>
        <v>854.48000000000047</v>
      </c>
      <c r="S3878" s="78"/>
      <c r="T3878" s="1"/>
      <c r="U3878" s="97"/>
      <c r="V3878" s="1"/>
      <c r="X3878" s="101">
        <v>1</v>
      </c>
    </row>
    <row r="3879" spans="1:24" hidden="1">
      <c r="A3879">
        <v>2303</v>
      </c>
      <c r="B3879" s="2">
        <v>46259.474143518499</v>
      </c>
      <c r="C3879" s="2">
        <v>46259.519768518498</v>
      </c>
      <c r="D3879" s="1" t="s">
        <v>24</v>
      </c>
      <c r="E3879" s="1"/>
      <c r="F3879" s="29">
        <v>46259</v>
      </c>
      <c r="G3879" s="29">
        <v>46259</v>
      </c>
      <c r="H3879" s="1" t="s">
        <v>1629</v>
      </c>
      <c r="I3879" s="126" t="s">
        <v>8592</v>
      </c>
      <c r="J3879" s="207">
        <v>33866416895</v>
      </c>
      <c r="K3879" s="171" t="s">
        <v>8593</v>
      </c>
      <c r="L3879" s="62">
        <v>2</v>
      </c>
      <c r="M3879" s="30">
        <v>8135501748</v>
      </c>
      <c r="N3879" s="172" t="s">
        <v>37</v>
      </c>
      <c r="O3879" s="50">
        <v>9081.52</v>
      </c>
      <c r="P3879" s="97">
        <v>2723.46</v>
      </c>
      <c r="Q3879" s="42">
        <f>OfficeForms.Table[[#This Row],[ INFORMEDEPAGO ]]*0.3</f>
        <v>2724.4560000000001</v>
      </c>
      <c r="R3879" s="12">
        <f t="shared" ref="R3879" si="251">(IF(O3879&lt;4172.98,0,MIN(O3879*0.3,O3879-4172.98)))-P3879</f>
        <v>0.99600000000009459</v>
      </c>
      <c r="S3879" s="78">
        <v>46327</v>
      </c>
      <c r="T3879" s="1" t="s">
        <v>8338</v>
      </c>
      <c r="U3879" s="97">
        <v>2518.66</v>
      </c>
      <c r="V3879" s="1"/>
      <c r="X3879" s="101">
        <v>2</v>
      </c>
    </row>
    <row r="3880" spans="1:24" hidden="1">
      <c r="A3880">
        <v>2304</v>
      </c>
      <c r="B3880" s="2">
        <v>46259.316157407397</v>
      </c>
      <c r="C3880" s="2">
        <v>46259.541643518503</v>
      </c>
      <c r="D3880" s="1" t="s">
        <v>24</v>
      </c>
      <c r="E3880" s="1"/>
      <c r="F3880" s="29">
        <v>46259</v>
      </c>
      <c r="G3880" s="29">
        <v>46259</v>
      </c>
      <c r="H3880" s="1" t="s">
        <v>1625</v>
      </c>
      <c r="I3880" s="126" t="s">
        <v>8594</v>
      </c>
      <c r="J3880" s="207">
        <v>43946304144</v>
      </c>
      <c r="K3880" s="171" t="s">
        <v>8595</v>
      </c>
      <c r="L3880" s="62">
        <v>2</v>
      </c>
      <c r="M3880" s="30">
        <v>8129185118</v>
      </c>
      <c r="N3880" s="172" t="s">
        <v>37</v>
      </c>
      <c r="O3880" s="50">
        <v>9760.32</v>
      </c>
      <c r="P3880" s="97">
        <v>2823</v>
      </c>
      <c r="Q3880" s="42">
        <f>OfficeForms.Table[[#This Row],[ INFORMEDEPAGO ]]*0.3</f>
        <v>2928.096</v>
      </c>
      <c r="R3880" s="12">
        <f t="shared" ref="R3880" si="252">(IF(O3880&lt;4172.98,0,MIN(O3880*0.3,O3880-4172.98)))-P3880</f>
        <v>105.096</v>
      </c>
      <c r="S3880" s="78">
        <v>46722</v>
      </c>
      <c r="T3880" s="1" t="s">
        <v>178</v>
      </c>
      <c r="U3880" s="97">
        <v>2823</v>
      </c>
      <c r="V3880" s="1"/>
      <c r="X3880" s="101">
        <v>2</v>
      </c>
    </row>
    <row r="3881" spans="1:24" hidden="1">
      <c r="A3881">
        <v>2305</v>
      </c>
      <c r="B3881" s="2">
        <v>46259.558611111097</v>
      </c>
      <c r="C3881" s="2">
        <v>46259.5698611111</v>
      </c>
      <c r="D3881" s="1" t="s">
        <v>24</v>
      </c>
      <c r="E3881" s="1"/>
      <c r="F3881" s="29">
        <v>46259</v>
      </c>
      <c r="G3881" s="29">
        <v>46259</v>
      </c>
      <c r="H3881" s="1" t="s">
        <v>1629</v>
      </c>
      <c r="I3881" s="126" t="s">
        <v>8596</v>
      </c>
      <c r="J3881" s="207">
        <v>43806321725</v>
      </c>
      <c r="K3881" s="171" t="s">
        <v>7145</v>
      </c>
      <c r="L3881" s="62">
        <v>2</v>
      </c>
      <c r="M3881" s="30" t="s">
        <v>8597</v>
      </c>
      <c r="N3881" s="172" t="s">
        <v>37</v>
      </c>
      <c r="O3881" s="51">
        <v>7890.51</v>
      </c>
      <c r="P3881" s="91">
        <v>2375</v>
      </c>
      <c r="Q3881" s="42">
        <f>OfficeForms.Table[[#This Row],[ INFORMEDEPAGO ]]*0.3</f>
        <v>2367.1529999999998</v>
      </c>
      <c r="R3881" s="12">
        <f>(IF(O3881&lt;4172.98,0,MIN(O3881*0.3,O3881-4172.98)))-P3881</f>
        <v>-7.8470000000002074</v>
      </c>
      <c r="S3881" s="78">
        <v>46874</v>
      </c>
      <c r="T3881" s="1"/>
      <c r="U3881" s="97"/>
      <c r="V3881" s="1"/>
      <c r="X3881" s="101">
        <v>0</v>
      </c>
    </row>
    <row r="3882" spans="1:24" hidden="1">
      <c r="A3882">
        <v>2306</v>
      </c>
      <c r="B3882" s="2">
        <v>46259.569895833301</v>
      </c>
      <c r="C3882" s="2">
        <v>46259.571550925903</v>
      </c>
      <c r="D3882" s="1" t="s">
        <v>24</v>
      </c>
      <c r="E3882" s="1"/>
      <c r="F3882" s="29">
        <v>46259</v>
      </c>
      <c r="G3882" s="29">
        <v>46259</v>
      </c>
      <c r="H3882" s="1" t="s">
        <v>1629</v>
      </c>
      <c r="I3882" s="126" t="s">
        <v>8598</v>
      </c>
      <c r="J3882" s="207" t="s">
        <v>8599</v>
      </c>
      <c r="K3882" s="171" t="s">
        <v>8600</v>
      </c>
      <c r="L3882" s="62">
        <v>2</v>
      </c>
      <c r="M3882" s="30" t="s">
        <v>8601</v>
      </c>
      <c r="N3882" s="172" t="s">
        <v>28</v>
      </c>
      <c r="O3882" s="50">
        <v>5458.2</v>
      </c>
      <c r="P3882" s="97"/>
      <c r="Q3882" s="42">
        <f>OfficeForms.Table[[#This Row],[ INFORMEDEPAGO ]]*0.3</f>
        <v>1637.4599999999998</v>
      </c>
      <c r="R3882" s="12">
        <f t="shared" ref="R3882:R3884" si="253">(IF(O3882&lt;4172.98,0,MIN(O3882*0.3,O3882-4172.98)))-P3882</f>
        <v>1285.2200000000003</v>
      </c>
      <c r="S3882" s="78"/>
      <c r="T3882" s="1"/>
      <c r="U3882" s="97"/>
      <c r="V3882" s="1"/>
      <c r="X3882" s="101">
        <v>1</v>
      </c>
    </row>
    <row r="3883" spans="1:24" hidden="1">
      <c r="A3883">
        <v>2307</v>
      </c>
      <c r="B3883" s="2">
        <v>46259.573287036997</v>
      </c>
      <c r="C3883" s="2">
        <v>46259.576134259303</v>
      </c>
      <c r="D3883" s="1" t="s">
        <v>24</v>
      </c>
      <c r="E3883" s="1"/>
      <c r="F3883" s="29">
        <v>46259</v>
      </c>
      <c r="G3883" s="29">
        <v>46259</v>
      </c>
      <c r="H3883" s="1" t="s">
        <v>1629</v>
      </c>
      <c r="I3883" s="126" t="s">
        <v>8602</v>
      </c>
      <c r="J3883" s="207">
        <v>33907253760</v>
      </c>
      <c r="K3883" s="171" t="s">
        <v>8603</v>
      </c>
      <c r="L3883" s="62">
        <v>2</v>
      </c>
      <c r="M3883" s="30">
        <v>8443413188</v>
      </c>
      <c r="N3883" s="172" t="s">
        <v>37</v>
      </c>
      <c r="O3883" s="52">
        <v>7128.48</v>
      </c>
      <c r="P3883" s="52">
        <v>2138.52</v>
      </c>
      <c r="Q3883" s="42">
        <f>OfficeForms.Table[[#This Row],[ INFORMEDEPAGO ]]*0.3</f>
        <v>2138.5439999999999</v>
      </c>
      <c r="R3883" s="12">
        <f t="shared" si="253"/>
        <v>2.3999999999887223E-2</v>
      </c>
      <c r="S3883" s="78">
        <v>46966</v>
      </c>
      <c r="T3883" s="1" t="s">
        <v>192</v>
      </c>
      <c r="U3883" s="52">
        <v>2138.52</v>
      </c>
      <c r="V3883" s="1"/>
      <c r="X3883" s="101">
        <v>2</v>
      </c>
    </row>
    <row r="3884" spans="1:24" hidden="1">
      <c r="A3884">
        <v>2308</v>
      </c>
      <c r="B3884" s="2">
        <v>46259.541666666701</v>
      </c>
      <c r="C3884" s="2">
        <v>46259.608090277798</v>
      </c>
      <c r="D3884" s="1" t="s">
        <v>24</v>
      </c>
      <c r="E3884" s="1"/>
      <c r="F3884" s="29">
        <v>46259</v>
      </c>
      <c r="G3884" s="29">
        <v>46259</v>
      </c>
      <c r="H3884" s="1" t="s">
        <v>1625</v>
      </c>
      <c r="I3884" s="126" t="s">
        <v>8604</v>
      </c>
      <c r="J3884" s="207">
        <v>3796213597</v>
      </c>
      <c r="K3884" s="171" t="s">
        <v>8605</v>
      </c>
      <c r="L3884" s="62">
        <v>2</v>
      </c>
      <c r="M3884" s="30" t="s">
        <v>8606</v>
      </c>
      <c r="N3884" s="172" t="s">
        <v>28</v>
      </c>
      <c r="O3884" s="50">
        <v>25374.639999999999</v>
      </c>
      <c r="P3884" s="97"/>
      <c r="Q3884" s="42">
        <f>OfficeForms.Table[[#This Row],[ INFORMEDEPAGO ]]*0.3</f>
        <v>7612.3919999999998</v>
      </c>
      <c r="R3884" s="12">
        <f t="shared" si="253"/>
        <v>7612.3919999999998</v>
      </c>
      <c r="S3884" s="78"/>
      <c r="T3884" s="1"/>
      <c r="U3884" s="97"/>
      <c r="V3884" s="1"/>
      <c r="X3884" s="101">
        <v>1</v>
      </c>
    </row>
    <row r="3885" spans="1:24" hidden="1">
      <c r="A3885">
        <v>2309</v>
      </c>
      <c r="B3885" s="2">
        <v>46260.3573958333</v>
      </c>
      <c r="C3885" s="2">
        <v>46260.359490740702</v>
      </c>
      <c r="D3885" s="1" t="s">
        <v>24</v>
      </c>
      <c r="E3885" s="1"/>
      <c r="F3885" s="29">
        <v>46260</v>
      </c>
      <c r="G3885" s="29">
        <v>46260</v>
      </c>
      <c r="H3885" s="1" t="s">
        <v>1625</v>
      </c>
      <c r="I3885" s="126" t="s">
        <v>8607</v>
      </c>
      <c r="J3885" s="207">
        <v>75816513537</v>
      </c>
      <c r="K3885" s="171" t="s">
        <v>8608</v>
      </c>
      <c r="L3885" s="62">
        <v>2</v>
      </c>
      <c r="M3885" s="30" t="s">
        <v>8609</v>
      </c>
      <c r="N3885" s="172" t="s">
        <v>37</v>
      </c>
      <c r="O3885" s="50">
        <v>9760.32</v>
      </c>
      <c r="P3885" s="97">
        <v>2823.41</v>
      </c>
      <c r="Q3885" s="42">
        <f>OfficeForms.Table[[#This Row],[ INFORMEDEPAGO ]]*0.3</f>
        <v>2928.096</v>
      </c>
      <c r="R3885" s="12">
        <f t="shared" ref="R3885" si="254">(IF(O3885&lt;4172.98,0,MIN(O3885*0.3,O3885-4172.98)))-P3885</f>
        <v>104.68600000000015</v>
      </c>
      <c r="S3885" s="78">
        <v>46722</v>
      </c>
      <c r="T3885" s="1" t="s">
        <v>7516</v>
      </c>
      <c r="U3885" s="97">
        <v>2823.41</v>
      </c>
      <c r="V3885" s="1"/>
      <c r="X3885" s="101">
        <v>2</v>
      </c>
    </row>
    <row r="3886" spans="1:24" hidden="1">
      <c r="A3886">
        <v>2310</v>
      </c>
      <c r="B3886" s="2">
        <v>46260.334166666697</v>
      </c>
      <c r="C3886" s="2">
        <v>46260.402824074103</v>
      </c>
      <c r="D3886" s="1" t="s">
        <v>24</v>
      </c>
      <c r="E3886" s="1"/>
      <c r="F3886" s="29">
        <v>46260</v>
      </c>
      <c r="G3886" s="29">
        <v>46223</v>
      </c>
      <c r="H3886" s="1" t="s">
        <v>8297</v>
      </c>
      <c r="I3886" s="126" t="s">
        <v>2951</v>
      </c>
      <c r="J3886" s="207" t="s">
        <v>8610</v>
      </c>
      <c r="K3886" s="171" t="s">
        <v>8611</v>
      </c>
      <c r="L3886" s="62">
        <v>22859380</v>
      </c>
      <c r="M3886" s="30">
        <v>5215648786055</v>
      </c>
      <c r="N3886" s="172" t="s">
        <v>32</v>
      </c>
      <c r="O3886" s="50">
        <v>3565.2</v>
      </c>
      <c r="P3886" s="97"/>
      <c r="Q3886" s="42">
        <f>OfficeForms.Table[[#This Row],[ INFORMEDEPAGO ]]*0.3</f>
        <v>1069.56</v>
      </c>
      <c r="R3886" s="12">
        <f t="shared" ref="R3886:R3887" si="255">(IF(O3886&lt;4172.98,0,MIN(O3886*0.3,O3886-4172.98)))-P3886</f>
        <v>0</v>
      </c>
      <c r="S3886" s="78"/>
      <c r="T3886" s="1"/>
      <c r="U3886" s="97"/>
      <c r="V3886" s="1"/>
      <c r="X3886" s="101">
        <v>1</v>
      </c>
    </row>
    <row r="3887" spans="1:24" hidden="1">
      <c r="A3887">
        <v>2311</v>
      </c>
      <c r="B3887" s="2">
        <v>46260.359525462998</v>
      </c>
      <c r="C3887" s="2">
        <v>46260.409131944398</v>
      </c>
      <c r="D3887" s="1" t="s">
        <v>24</v>
      </c>
      <c r="E3887" s="1"/>
      <c r="F3887" s="29">
        <v>46260</v>
      </c>
      <c r="G3887" s="29">
        <v>46260</v>
      </c>
      <c r="H3887" s="1" t="s">
        <v>1625</v>
      </c>
      <c r="I3887" s="126" t="s">
        <v>8612</v>
      </c>
      <c r="J3887" s="207" t="s">
        <v>8613</v>
      </c>
      <c r="K3887" s="171" t="s">
        <v>8614</v>
      </c>
      <c r="L3887" s="62">
        <v>2</v>
      </c>
      <c r="M3887" s="30">
        <v>3322488759</v>
      </c>
      <c r="N3887" s="172" t="s">
        <v>32</v>
      </c>
      <c r="O3887" s="50">
        <v>4342.43</v>
      </c>
      <c r="P3887" s="97"/>
      <c r="Q3887" s="42">
        <f>OfficeForms.Table[[#This Row],[ INFORMEDEPAGO ]]*0.3</f>
        <v>1302.729</v>
      </c>
      <c r="R3887" s="12">
        <f t="shared" si="255"/>
        <v>169.45000000000073</v>
      </c>
      <c r="S3887" s="78"/>
      <c r="T3887" s="1"/>
      <c r="U3887" s="97"/>
      <c r="V3887" s="1"/>
      <c r="X3887" s="101">
        <v>1</v>
      </c>
    </row>
    <row r="3888" spans="1:24" hidden="1">
      <c r="A3888">
        <v>2312</v>
      </c>
      <c r="B3888" s="2">
        <v>46260.425949074102</v>
      </c>
      <c r="C3888" s="2">
        <v>46260.428310185198</v>
      </c>
      <c r="D3888" s="1" t="s">
        <v>24</v>
      </c>
      <c r="E3888" s="1"/>
      <c r="F3888" s="29">
        <v>46226</v>
      </c>
      <c r="G3888" s="29">
        <v>46257</v>
      </c>
      <c r="H3888" s="1" t="s">
        <v>8297</v>
      </c>
      <c r="I3888" s="126" t="s">
        <v>8615</v>
      </c>
      <c r="J3888" s="207">
        <v>3907401461</v>
      </c>
      <c r="K3888" s="171" t="s">
        <v>8616</v>
      </c>
      <c r="L3888" s="62">
        <v>23036098</v>
      </c>
      <c r="M3888" s="30">
        <v>5218187770489</v>
      </c>
      <c r="N3888" s="172" t="s">
        <v>37</v>
      </c>
      <c r="O3888" s="52">
        <v>6411.47</v>
      </c>
      <c r="P3888" s="52">
        <v>1922.97</v>
      </c>
      <c r="Q3888" s="42">
        <f>OfficeForms.Table[[#This Row],[ INFORMEDEPAGO ]]*0.3</f>
        <v>1923.441</v>
      </c>
      <c r="R3888" s="12">
        <f t="shared" ref="R3888:R3891" si="256">(IF(O3888&lt;4172.98,0,MIN(O3888*0.3,O3888-4172.98)))-P3888</f>
        <v>0.47100000000000364</v>
      </c>
      <c r="S3888" s="78">
        <v>46905</v>
      </c>
      <c r="T3888" s="1" t="s">
        <v>178</v>
      </c>
      <c r="U3888" s="97">
        <v>1922</v>
      </c>
      <c r="V3888" s="1"/>
    </row>
    <row r="3889" spans="1:24" hidden="1">
      <c r="A3889">
        <v>2313</v>
      </c>
      <c r="B3889" s="2">
        <v>46260.4866666667</v>
      </c>
      <c r="C3889" s="2">
        <v>46260.488287036998</v>
      </c>
      <c r="D3889" s="1" t="s">
        <v>24</v>
      </c>
      <c r="E3889" s="1"/>
      <c r="F3889" s="29">
        <v>46260</v>
      </c>
      <c r="G3889" s="29">
        <v>46228</v>
      </c>
      <c r="H3889" s="1" t="s">
        <v>8238</v>
      </c>
      <c r="I3889" s="126" t="s">
        <v>8617</v>
      </c>
      <c r="J3889" s="207"/>
      <c r="K3889" s="171" t="s">
        <v>8618</v>
      </c>
      <c r="L3889" s="62">
        <v>23092932</v>
      </c>
      <c r="M3889" s="30">
        <v>4771331278</v>
      </c>
      <c r="N3889" s="172" t="s">
        <v>98</v>
      </c>
      <c r="O3889" s="67"/>
      <c r="P3889" s="52"/>
      <c r="Q3889" s="42">
        <f>OfficeForms.Table[[#This Row],[ INFORMEDEPAGO ]]*0.3</f>
        <v>0</v>
      </c>
      <c r="R3889" s="12">
        <f t="shared" si="256"/>
        <v>0</v>
      </c>
      <c r="S3889" s="78"/>
      <c r="T3889" s="1"/>
      <c r="U3889" s="97"/>
      <c r="V3889" s="1"/>
      <c r="X3889" s="101">
        <v>0</v>
      </c>
    </row>
    <row r="3890" spans="1:24" hidden="1">
      <c r="A3890">
        <v>2314</v>
      </c>
      <c r="B3890" s="2">
        <v>46260.409166666701</v>
      </c>
      <c r="C3890" s="2">
        <v>46260.526759259301</v>
      </c>
      <c r="D3890" s="1" t="s">
        <v>24</v>
      </c>
      <c r="E3890" s="1"/>
      <c r="F3890" s="29">
        <v>46260</v>
      </c>
      <c r="G3890" s="29">
        <v>46260</v>
      </c>
      <c r="H3890" s="1" t="s">
        <v>1625</v>
      </c>
      <c r="I3890" s="126" t="s">
        <v>8619</v>
      </c>
      <c r="J3890" s="207">
        <v>41816506996</v>
      </c>
      <c r="K3890" s="171" t="s">
        <v>8620</v>
      </c>
      <c r="L3890" s="62">
        <v>2</v>
      </c>
      <c r="M3890" s="30">
        <v>4441361489</v>
      </c>
      <c r="N3890" s="172" t="s">
        <v>37</v>
      </c>
      <c r="O3890" s="67">
        <v>9760.32</v>
      </c>
      <c r="P3890" s="52">
        <v>2820.61</v>
      </c>
      <c r="Q3890" s="42">
        <f>OfficeForms.Table[[#This Row],[ INFORMEDEPAGO ]]*0.3</f>
        <v>2928.096</v>
      </c>
      <c r="R3890" s="12">
        <f t="shared" si="256"/>
        <v>107.48599999999988</v>
      </c>
      <c r="S3890" s="78">
        <v>46569</v>
      </c>
      <c r="T3890" s="1" t="s">
        <v>8415</v>
      </c>
      <c r="U3890" s="97">
        <v>2820.61</v>
      </c>
      <c r="V3890" s="1"/>
      <c r="X3890" s="101">
        <v>2</v>
      </c>
    </row>
    <row r="3891" spans="1:24" hidden="1">
      <c r="A3891">
        <v>2315</v>
      </c>
      <c r="B3891" s="2">
        <v>46260.526782407404</v>
      </c>
      <c r="C3891" s="2">
        <v>46260.527962963002</v>
      </c>
      <c r="D3891" s="1" t="s">
        <v>24</v>
      </c>
      <c r="E3891" s="1"/>
      <c r="F3891" s="29">
        <v>46260</v>
      </c>
      <c r="G3891" s="29">
        <v>46260</v>
      </c>
      <c r="H3891" s="1" t="s">
        <v>1625</v>
      </c>
      <c r="I3891" s="126" t="s">
        <v>8621</v>
      </c>
      <c r="J3891" s="207">
        <v>32796128471</v>
      </c>
      <c r="K3891" s="171" t="s">
        <v>8622</v>
      </c>
      <c r="L3891" s="62">
        <v>2</v>
      </c>
      <c r="M3891" s="30" t="s">
        <v>8623</v>
      </c>
      <c r="N3891" s="172" t="s">
        <v>130</v>
      </c>
      <c r="O3891" s="50">
        <v>4332.32</v>
      </c>
      <c r="P3891" s="52">
        <v>472.72</v>
      </c>
      <c r="Q3891" s="42">
        <f>OfficeForms.Table[[#This Row],[ INFORMEDEPAGO ]]*0.3</f>
        <v>1299.6959999999999</v>
      </c>
      <c r="R3891" s="12">
        <f t="shared" si="256"/>
        <v>-313.37999999999988</v>
      </c>
      <c r="S3891" s="78">
        <v>45689</v>
      </c>
      <c r="T3891" s="1" t="s">
        <v>8415</v>
      </c>
      <c r="U3891" s="97">
        <v>472.72</v>
      </c>
      <c r="V3891" s="1"/>
      <c r="X3891" s="101">
        <v>2</v>
      </c>
    </row>
    <row r="3892" spans="1:24" hidden="1">
      <c r="A3892">
        <v>2316</v>
      </c>
      <c r="B3892" s="2">
        <v>46260.527997685203</v>
      </c>
      <c r="C3892" s="2">
        <v>46260.537662037001</v>
      </c>
      <c r="D3892" s="1" t="s">
        <v>24</v>
      </c>
      <c r="E3892" s="1"/>
      <c r="F3892" s="29">
        <v>46260</v>
      </c>
      <c r="G3892" s="29">
        <v>46260</v>
      </c>
      <c r="H3892" s="1" t="s">
        <v>1625</v>
      </c>
      <c r="I3892" s="126" t="s">
        <v>8624</v>
      </c>
      <c r="J3892" s="207" t="s">
        <v>8625</v>
      </c>
      <c r="K3892" s="171" t="s">
        <v>8626</v>
      </c>
      <c r="L3892" s="62">
        <v>2</v>
      </c>
      <c r="M3892" s="30">
        <v>5548471031</v>
      </c>
      <c r="N3892" s="172" t="s">
        <v>37</v>
      </c>
      <c r="O3892" s="50">
        <v>20620.580000000002</v>
      </c>
      <c r="P3892" s="99">
        <v>6185.78</v>
      </c>
      <c r="Q3892" s="42">
        <f>OfficeForms.Table[[#This Row],[ INFORMEDEPAGO ]]*0.3</f>
        <v>6186.174</v>
      </c>
      <c r="R3892" s="12">
        <f t="shared" ref="R3892" si="257">(IF(O3892&lt;4172.98,0,MIN(O3892*0.3,O3892-4172.98)))-P3892</f>
        <v>0.39400000000023283</v>
      </c>
      <c r="S3892" s="78">
        <v>46569</v>
      </c>
      <c r="T3892" s="1" t="s">
        <v>84</v>
      </c>
      <c r="U3892" s="97">
        <v>5559.78</v>
      </c>
      <c r="V3892" s="1"/>
      <c r="X3892" s="101">
        <v>2</v>
      </c>
    </row>
    <row r="3893" spans="1:24" hidden="1">
      <c r="A3893">
        <v>2317</v>
      </c>
      <c r="B3893" s="2">
        <v>46260.643379629597</v>
      </c>
      <c r="C3893" s="2">
        <v>46260.645567129599</v>
      </c>
      <c r="D3893" s="1" t="s">
        <v>24</v>
      </c>
      <c r="E3893" s="1"/>
      <c r="F3893" s="29">
        <v>46260</v>
      </c>
      <c r="G3893" s="29">
        <v>46222</v>
      </c>
      <c r="H3893" s="1" t="s">
        <v>8297</v>
      </c>
      <c r="I3893" s="126" t="s">
        <v>8627</v>
      </c>
      <c r="J3893" s="207">
        <v>32826372024</v>
      </c>
      <c r="K3893" s="171" t="s">
        <v>8628</v>
      </c>
      <c r="L3893" s="62">
        <v>22829318</v>
      </c>
      <c r="M3893" s="30">
        <v>5214464953092</v>
      </c>
      <c r="N3893" s="172" t="s">
        <v>37</v>
      </c>
      <c r="O3893" s="52">
        <v>9081.52</v>
      </c>
      <c r="P3893" s="52">
        <v>2724.46</v>
      </c>
      <c r="Q3893" s="42">
        <f>OfficeForms.Table[[#This Row],[ INFORMEDEPAGO ]]*0.3</f>
        <v>2724.4560000000001</v>
      </c>
      <c r="R3893" s="12">
        <f t="shared" ref="R3893" si="258">(IF(O3893&lt;4172.98,0,MIN(O3893*0.3,O3893-4172.98)))-P3893</f>
        <v>-3.9999999999054126E-3</v>
      </c>
      <c r="S3893" s="78">
        <v>46235</v>
      </c>
      <c r="T3893" s="1"/>
      <c r="U3893" s="97"/>
      <c r="V3893" s="1"/>
      <c r="X3893" s="101">
        <v>2</v>
      </c>
    </row>
    <row r="3894" spans="1:24" hidden="1">
      <c r="A3894">
        <v>2318</v>
      </c>
      <c r="B3894" s="2">
        <v>46260.532997685201</v>
      </c>
      <c r="C3894" s="2">
        <v>46260.650706018503</v>
      </c>
      <c r="D3894" s="1" t="s">
        <v>24</v>
      </c>
      <c r="E3894" s="1"/>
      <c r="F3894" s="29">
        <v>46260</v>
      </c>
      <c r="G3894" s="29">
        <v>46225</v>
      </c>
      <c r="H3894" s="1" t="s">
        <v>8238</v>
      </c>
      <c r="I3894" s="126" t="s">
        <v>8629</v>
      </c>
      <c r="J3894" s="207"/>
      <c r="K3894" s="171" t="s">
        <v>8630</v>
      </c>
      <c r="L3894" s="62">
        <v>23026134</v>
      </c>
      <c r="M3894" s="30">
        <v>4438206983</v>
      </c>
      <c r="N3894" s="172" t="s">
        <v>32</v>
      </c>
      <c r="O3894" s="50">
        <v>1222.1400000000001</v>
      </c>
      <c r="P3894" s="97"/>
      <c r="Q3894" s="42">
        <f>OfficeForms.Table[[#This Row],[ INFORMEDEPAGO ]]*0.3</f>
        <v>366.642</v>
      </c>
      <c r="R3894" s="12">
        <f t="shared" ref="R3894" si="259">(IF(O3894&lt;4172.98,0,MIN(O3894*0.3,O3894-4172.98)))-P3894</f>
        <v>0</v>
      </c>
      <c r="S3894" s="78"/>
      <c r="T3894" s="1"/>
      <c r="U3894" s="97"/>
      <c r="V3894" s="1"/>
      <c r="X3894" s="101">
        <v>1</v>
      </c>
    </row>
    <row r="3895" spans="1:24" hidden="1">
      <c r="A3895">
        <v>2319</v>
      </c>
      <c r="B3895" s="2">
        <v>46261.326064814799</v>
      </c>
      <c r="C3895" s="2">
        <v>46261.334745370397</v>
      </c>
      <c r="D3895" s="1" t="s">
        <v>24</v>
      </c>
      <c r="E3895" s="1"/>
      <c r="F3895" s="29">
        <v>46261</v>
      </c>
      <c r="G3895" s="29">
        <v>46261</v>
      </c>
      <c r="H3895" s="1" t="s">
        <v>1625</v>
      </c>
      <c r="I3895" s="126" t="s">
        <v>8631</v>
      </c>
      <c r="J3895" s="207" t="s">
        <v>8632</v>
      </c>
      <c r="K3895" s="171" t="s">
        <v>8633</v>
      </c>
      <c r="L3895" s="62">
        <v>2</v>
      </c>
      <c r="M3895" s="30">
        <v>5533406783</v>
      </c>
      <c r="N3895" s="172" t="s">
        <v>37</v>
      </c>
      <c r="O3895" s="50">
        <v>5756.54</v>
      </c>
      <c r="P3895" s="97">
        <v>1444.75</v>
      </c>
      <c r="Q3895" s="42">
        <f>OfficeForms.Table[[#This Row],[ INFORMEDEPAGO ]]*0.3</f>
        <v>1726.962</v>
      </c>
      <c r="R3895" s="12">
        <f t="shared" ref="R3895:R3897" si="260">(IF(O3895&lt;4172.98,0,MIN(O3895*0.3,O3895-4172.98)))-P3895</f>
        <v>138.8100000000004</v>
      </c>
      <c r="S3895" s="78">
        <v>46266</v>
      </c>
      <c r="T3895" s="1" t="s">
        <v>192</v>
      </c>
      <c r="U3895" s="97">
        <v>1444.75</v>
      </c>
      <c r="V3895" s="1"/>
      <c r="X3895" s="101">
        <v>2</v>
      </c>
    </row>
    <row r="3896" spans="1:24" hidden="1">
      <c r="A3896">
        <v>2320</v>
      </c>
      <c r="B3896" s="2">
        <v>46261.334780092599</v>
      </c>
      <c r="C3896" s="2">
        <v>46261.368506944404</v>
      </c>
      <c r="D3896" s="1" t="s">
        <v>24</v>
      </c>
      <c r="E3896" s="1"/>
      <c r="F3896" s="29">
        <v>46261</v>
      </c>
      <c r="G3896" s="29">
        <v>46261</v>
      </c>
      <c r="H3896" s="1" t="s">
        <v>1625</v>
      </c>
      <c r="I3896" s="126" t="s">
        <v>8634</v>
      </c>
      <c r="J3896" s="207" t="s">
        <v>8635</v>
      </c>
      <c r="K3896" s="171" t="s">
        <v>8636</v>
      </c>
      <c r="L3896" s="62">
        <v>2</v>
      </c>
      <c r="M3896" s="30">
        <v>4443323434</v>
      </c>
      <c r="N3896" s="172" t="s">
        <v>37</v>
      </c>
      <c r="O3896" s="50">
        <v>10636.54</v>
      </c>
      <c r="P3896" s="97">
        <v>3190.06</v>
      </c>
      <c r="Q3896" s="42">
        <f>OfficeForms.Table[[#This Row],[ INFORMEDEPAGO ]]*0.3</f>
        <v>3190.962</v>
      </c>
      <c r="R3896" s="12">
        <f t="shared" si="260"/>
        <v>0.90200000000004366</v>
      </c>
      <c r="S3896" s="78">
        <v>46935</v>
      </c>
      <c r="T3896" s="1" t="s">
        <v>84</v>
      </c>
      <c r="U3896" s="97">
        <v>3190.06</v>
      </c>
      <c r="V3896" s="1"/>
      <c r="X3896" s="101">
        <v>2</v>
      </c>
    </row>
    <row r="3897" spans="1:24" hidden="1">
      <c r="A3897">
        <v>2321</v>
      </c>
      <c r="B3897" s="2">
        <v>46261.371550925898</v>
      </c>
      <c r="C3897" s="2">
        <v>46261.373055555603</v>
      </c>
      <c r="D3897" s="1" t="s">
        <v>24</v>
      </c>
      <c r="E3897" s="1"/>
      <c r="F3897" s="29">
        <v>46261</v>
      </c>
      <c r="G3897" s="29">
        <v>46226</v>
      </c>
      <c r="H3897" s="1" t="s">
        <v>8253</v>
      </c>
      <c r="I3897" s="126" t="s">
        <v>8637</v>
      </c>
      <c r="J3897" s="207"/>
      <c r="K3897" s="171" t="s">
        <v>8638</v>
      </c>
      <c r="L3897" s="62">
        <v>23036638</v>
      </c>
      <c r="M3897" s="30">
        <v>2711848623</v>
      </c>
      <c r="N3897" s="172" t="s">
        <v>130</v>
      </c>
      <c r="O3897" s="50">
        <v>6779.25</v>
      </c>
      <c r="P3897" s="97">
        <v>2033.77</v>
      </c>
      <c r="Q3897" s="42">
        <f>OfficeForms.Table[[#This Row],[ INFORMEDEPAGO ]]*0.3</f>
        <v>2033.7749999999999</v>
      </c>
      <c r="R3897" s="12">
        <f t="shared" si="260"/>
        <v>4.9999999998817657E-3</v>
      </c>
      <c r="S3897" s="78">
        <v>46235</v>
      </c>
      <c r="T3897" s="1" t="s">
        <v>8338</v>
      </c>
      <c r="U3897" s="97">
        <v>690.88</v>
      </c>
      <c r="V3897" s="1"/>
      <c r="X3897" s="101">
        <v>2</v>
      </c>
    </row>
    <row r="3898" spans="1:24" hidden="1">
      <c r="A3898">
        <v>2322</v>
      </c>
      <c r="B3898" s="2">
        <v>46261.368541666699</v>
      </c>
      <c r="C3898" s="2">
        <v>46261.425844907397</v>
      </c>
      <c r="D3898" s="1" t="s">
        <v>24</v>
      </c>
      <c r="E3898" s="1"/>
      <c r="F3898" s="29">
        <v>46261</v>
      </c>
      <c r="G3898" s="29">
        <v>46261</v>
      </c>
      <c r="H3898" s="1" t="s">
        <v>1625</v>
      </c>
      <c r="I3898" s="126" t="s">
        <v>8639</v>
      </c>
      <c r="J3898" s="207">
        <v>88826603123</v>
      </c>
      <c r="K3898" s="171" t="s">
        <v>8640</v>
      </c>
      <c r="L3898" s="62">
        <v>2</v>
      </c>
      <c r="M3898" s="30">
        <v>6644920389</v>
      </c>
      <c r="N3898" s="172" t="s">
        <v>37</v>
      </c>
      <c r="O3898" s="50">
        <v>10639.54</v>
      </c>
      <c r="P3898" s="97">
        <v>3182.35</v>
      </c>
      <c r="Q3898" s="42">
        <f>OfficeForms.Table[[#This Row],[ INFORMEDEPAGO ]]*0.3</f>
        <v>3191.8620000000001</v>
      </c>
      <c r="R3898" s="12">
        <f t="shared" ref="R3898:R3900" si="261">(IF(O3898&lt;4172.98,0,MIN(O3898*0.3,O3898-4172.98)))-P3898</f>
        <v>9.512000000000171</v>
      </c>
      <c r="S3898" s="78">
        <v>46844</v>
      </c>
      <c r="T3898" s="1" t="s">
        <v>178</v>
      </c>
      <c r="U3898" s="97">
        <v>1545</v>
      </c>
      <c r="V3898" s="1"/>
      <c r="X3898" s="101">
        <v>2</v>
      </c>
    </row>
    <row r="3899" spans="1:24" hidden="1">
      <c r="A3899">
        <v>2323</v>
      </c>
      <c r="B3899" s="2">
        <v>46261.432638888902</v>
      </c>
      <c r="C3899" s="2">
        <v>46261.433125000003</v>
      </c>
      <c r="D3899" s="1" t="s">
        <v>24</v>
      </c>
      <c r="E3899" s="1"/>
      <c r="F3899" s="29">
        <v>46261</v>
      </c>
      <c r="G3899" s="29">
        <v>46261</v>
      </c>
      <c r="H3899" s="1" t="s">
        <v>1625</v>
      </c>
      <c r="I3899" s="126" t="s">
        <v>8641</v>
      </c>
      <c r="J3899" s="207">
        <v>3280614341</v>
      </c>
      <c r="K3899" s="171" t="s">
        <v>8642</v>
      </c>
      <c r="L3899" s="62">
        <v>2</v>
      </c>
      <c r="M3899" s="30">
        <v>8445874390</v>
      </c>
      <c r="N3899" s="172" t="s">
        <v>37</v>
      </c>
      <c r="O3899" s="50">
        <v>7116.73</v>
      </c>
      <c r="P3899" s="97">
        <v>2132.7600000000002</v>
      </c>
      <c r="Q3899" s="42">
        <f>OfficeForms.Table[[#This Row],[ INFORMEDEPAGO ]]*0.3</f>
        <v>2135.0189999999998</v>
      </c>
      <c r="R3899" s="12">
        <f t="shared" si="261"/>
        <v>2.2589999999995598</v>
      </c>
      <c r="S3899" s="78">
        <v>46388</v>
      </c>
      <c r="T3899" s="1" t="s">
        <v>6855</v>
      </c>
      <c r="U3899" s="97">
        <v>1020</v>
      </c>
      <c r="V3899" s="1"/>
      <c r="X3899" s="101">
        <v>2</v>
      </c>
    </row>
    <row r="3900" spans="1:24" hidden="1">
      <c r="A3900">
        <v>2324</v>
      </c>
      <c r="B3900" s="2">
        <v>46261.378460648099</v>
      </c>
      <c r="C3900" s="2">
        <v>46261.4617013889</v>
      </c>
      <c r="D3900" s="1" t="s">
        <v>24</v>
      </c>
      <c r="E3900" s="1"/>
      <c r="F3900" s="29">
        <v>46228</v>
      </c>
      <c r="G3900" s="29">
        <v>46260</v>
      </c>
      <c r="H3900" s="1" t="s">
        <v>8238</v>
      </c>
      <c r="I3900" s="126" t="s">
        <v>8617</v>
      </c>
      <c r="J3900" s="207" t="s">
        <v>8643</v>
      </c>
      <c r="K3900" s="171" t="s">
        <v>8618</v>
      </c>
      <c r="L3900" s="62">
        <v>23092932</v>
      </c>
      <c r="M3900" s="30">
        <v>4771331278</v>
      </c>
      <c r="N3900" s="172" t="s">
        <v>74</v>
      </c>
      <c r="O3900" s="50"/>
      <c r="P3900" s="97"/>
      <c r="Q3900" s="42">
        <f>OfficeForms.Table[[#This Row],[ INFORMEDEPAGO ]]*0.3</f>
        <v>0</v>
      </c>
      <c r="R3900" s="12">
        <f t="shared" si="261"/>
        <v>0</v>
      </c>
      <c r="S3900" s="78"/>
      <c r="T3900" s="1"/>
      <c r="U3900" s="97"/>
      <c r="V3900" s="1"/>
    </row>
    <row r="3901" spans="1:24" hidden="1">
      <c r="A3901">
        <v>2325</v>
      </c>
      <c r="B3901" s="2">
        <v>46261.433148148099</v>
      </c>
      <c r="C3901" s="2">
        <v>46261.494872685202</v>
      </c>
      <c r="D3901" s="1" t="s">
        <v>24</v>
      </c>
      <c r="E3901" s="1"/>
      <c r="F3901" s="29">
        <v>46261</v>
      </c>
      <c r="G3901" s="29">
        <v>46261</v>
      </c>
      <c r="H3901" s="1" t="s">
        <v>1625</v>
      </c>
      <c r="I3901" s="126" t="s">
        <v>7262</v>
      </c>
      <c r="J3901" s="207" t="s">
        <v>8644</v>
      </c>
      <c r="K3901" s="171" t="s">
        <v>7263</v>
      </c>
      <c r="L3901" s="62">
        <v>2</v>
      </c>
      <c r="M3901" s="30" t="s">
        <v>8645</v>
      </c>
      <c r="N3901" s="172" t="s">
        <v>37</v>
      </c>
      <c r="O3901" s="50">
        <v>9760.32</v>
      </c>
      <c r="P3901" s="97">
        <v>2911.22</v>
      </c>
      <c r="Q3901" s="42">
        <f>OfficeForms.Table[[#This Row],[ INFORMEDEPAGO ]]*0.3</f>
        <v>2928.096</v>
      </c>
      <c r="R3901" s="12">
        <f>(IF(O3901&lt;4172.98,0,MIN(O3901*0.3,O3901-4172.98)))-P3901</f>
        <v>16.876000000000204</v>
      </c>
      <c r="S3901" s="78">
        <v>46692</v>
      </c>
      <c r="T3901" s="1" t="s">
        <v>8415</v>
      </c>
      <c r="U3901" s="97">
        <v>2343.62</v>
      </c>
      <c r="V3901" s="1"/>
      <c r="X3901" s="101">
        <v>2</v>
      </c>
    </row>
    <row r="3902" spans="1:24" hidden="1">
      <c r="A3902">
        <v>2326</v>
      </c>
      <c r="B3902" s="2">
        <v>46261.494907407403</v>
      </c>
      <c r="C3902" s="2">
        <v>46261.508611111101</v>
      </c>
      <c r="D3902" s="1" t="s">
        <v>24</v>
      </c>
      <c r="E3902" s="1"/>
      <c r="F3902" s="29">
        <v>46261</v>
      </c>
      <c r="G3902" s="29">
        <v>46261</v>
      </c>
      <c r="H3902" s="1" t="s">
        <v>1625</v>
      </c>
      <c r="I3902" s="126" t="s">
        <v>8646</v>
      </c>
      <c r="J3902" s="207">
        <v>5481590085</v>
      </c>
      <c r="K3902" s="171" t="s">
        <v>8647</v>
      </c>
      <c r="L3902" s="62">
        <v>2</v>
      </c>
      <c r="M3902" s="30">
        <v>3343345270</v>
      </c>
      <c r="N3902" s="172" t="s">
        <v>32</v>
      </c>
      <c r="O3902" s="50">
        <v>3755.45</v>
      </c>
      <c r="P3902" s="97">
        <v>848</v>
      </c>
      <c r="Q3902" s="42">
        <f>OfficeForms.Table[[#This Row],[ INFORMEDEPAGO ]]*0.3</f>
        <v>1126.635</v>
      </c>
      <c r="R3902" s="12">
        <f>(IF(O3902&lt;4172.98,0,MIN(O3902*0.3,O3902-4172.98)))-P3902</f>
        <v>-848</v>
      </c>
      <c r="S3902" s="78"/>
      <c r="T3902" s="1"/>
      <c r="U3902" s="97"/>
      <c r="V3902" s="1"/>
      <c r="X3902" s="101">
        <v>1</v>
      </c>
    </row>
    <row r="3903" spans="1:24" hidden="1">
      <c r="A3903">
        <v>2327</v>
      </c>
      <c r="B3903" s="2">
        <v>46261.508634259299</v>
      </c>
      <c r="C3903" s="2">
        <v>46261.513993055603</v>
      </c>
      <c r="D3903" s="1" t="s">
        <v>24</v>
      </c>
      <c r="E3903" s="1"/>
      <c r="F3903" s="29">
        <v>46261</v>
      </c>
      <c r="G3903" s="29">
        <v>46261</v>
      </c>
      <c r="H3903" s="1" t="s">
        <v>1625</v>
      </c>
      <c r="I3903" s="126" t="s">
        <v>8648</v>
      </c>
      <c r="J3903" s="207">
        <v>12836721089</v>
      </c>
      <c r="K3903" s="171" t="s">
        <v>8649</v>
      </c>
      <c r="L3903" s="62">
        <v>2</v>
      </c>
      <c r="M3903" s="30" t="s">
        <v>8650</v>
      </c>
      <c r="N3903" s="172" t="s">
        <v>28</v>
      </c>
      <c r="O3903" s="50">
        <f>6256.6+879</f>
        <v>7135.6</v>
      </c>
      <c r="P3903" s="97">
        <v>879</v>
      </c>
      <c r="Q3903" s="42">
        <f>OfficeForms.Table[[#This Row],[ INFORMEDEPAGO ]]*0.3</f>
        <v>2140.6799999999998</v>
      </c>
      <c r="R3903" s="12">
        <f>(IF(O3903&lt;4172.98,0,MIN(O3903*0.3,O3903-4172.98)))-P3903</f>
        <v>1261.6799999999998</v>
      </c>
      <c r="S3903" s="78"/>
      <c r="T3903" s="1"/>
      <c r="U3903" s="97"/>
      <c r="V3903" s="1"/>
      <c r="X3903" s="101">
        <v>1</v>
      </c>
    </row>
    <row r="3904" spans="1:24" hidden="1">
      <c r="A3904">
        <v>2328</v>
      </c>
      <c r="B3904" s="2">
        <v>46261.514027777797</v>
      </c>
      <c r="C3904" s="2">
        <v>46261.516875000001</v>
      </c>
      <c r="D3904" s="1" t="s">
        <v>24</v>
      </c>
      <c r="E3904" s="1"/>
      <c r="F3904" s="29">
        <v>46261</v>
      </c>
      <c r="G3904" s="29">
        <v>46261</v>
      </c>
      <c r="H3904" s="1" t="s">
        <v>1625</v>
      </c>
      <c r="I3904" s="126" t="s">
        <v>8651</v>
      </c>
      <c r="J3904" s="207">
        <v>5469491154</v>
      </c>
      <c r="K3904" s="171" t="s">
        <v>8652</v>
      </c>
      <c r="L3904" s="62">
        <v>2</v>
      </c>
      <c r="M3904" s="30">
        <v>3330346222</v>
      </c>
      <c r="N3904" s="172" t="s">
        <v>32</v>
      </c>
      <c r="O3904" s="50">
        <v>3855.42</v>
      </c>
      <c r="P3904" s="97"/>
      <c r="Q3904" s="42">
        <f>OfficeForms.Table[[#This Row],[ INFORMEDEPAGO ]]*0.3</f>
        <v>1156.626</v>
      </c>
      <c r="R3904" s="12">
        <f>(IF(O3904&lt;4172.98,0,MIN(O3904*0.3,O3904-4172.98)))-P3904</f>
        <v>0</v>
      </c>
      <c r="S3904" s="78"/>
      <c r="T3904" s="1"/>
      <c r="U3904" s="97"/>
      <c r="V3904" s="1"/>
      <c r="X3904" s="101">
        <v>1</v>
      </c>
    </row>
    <row r="3905" spans="1:24" hidden="1">
      <c r="A3905">
        <v>2329</v>
      </c>
      <c r="B3905" s="2">
        <v>46261.516909722202</v>
      </c>
      <c r="C3905" s="2">
        <v>46261.5262268519</v>
      </c>
      <c r="D3905" s="1" t="s">
        <v>24</v>
      </c>
      <c r="E3905" s="1"/>
      <c r="F3905" s="29">
        <v>46261</v>
      </c>
      <c r="G3905" s="29">
        <v>46261</v>
      </c>
      <c r="H3905" s="1" t="s">
        <v>1625</v>
      </c>
      <c r="I3905" s="126" t="s">
        <v>8653</v>
      </c>
      <c r="J3905" s="207">
        <v>53826331984</v>
      </c>
      <c r="K3905" s="171" t="s">
        <v>8450</v>
      </c>
      <c r="L3905" s="62">
        <v>2</v>
      </c>
      <c r="M3905" s="30" t="s">
        <v>8654</v>
      </c>
      <c r="N3905" s="172" t="s">
        <v>37</v>
      </c>
      <c r="O3905" s="52">
        <v>26241.65</v>
      </c>
      <c r="P3905" s="52">
        <v>14401.82</v>
      </c>
      <c r="Q3905" s="42">
        <f>OfficeForms.Table[[#This Row],[ INFORMEDEPAGO ]]*0.3</f>
        <v>7872.4949999999999</v>
      </c>
      <c r="R3905" s="12">
        <f>(IF(O3905&lt;4172.98,0,MIN(O3905*0.3,O3905-4172.98)))-P3905</f>
        <v>-6529.3249999999998</v>
      </c>
      <c r="S3905" s="78">
        <v>46419</v>
      </c>
      <c r="T3905" s="1" t="s">
        <v>8452</v>
      </c>
      <c r="U3905" s="97">
        <v>2052.48</v>
      </c>
      <c r="V3905" s="1"/>
      <c r="X3905" s="101">
        <v>2</v>
      </c>
    </row>
    <row r="3906" spans="1:24" hidden="1">
      <c r="A3906">
        <v>2330</v>
      </c>
      <c r="B3906" s="2">
        <v>46261.572025463</v>
      </c>
      <c r="C3906" s="2">
        <v>46261.572627314803</v>
      </c>
      <c r="D3906" s="1" t="s">
        <v>24</v>
      </c>
      <c r="E3906" s="1"/>
      <c r="F3906" s="29">
        <v>46261</v>
      </c>
      <c r="G3906" s="29">
        <v>46261</v>
      </c>
      <c r="H3906" s="1" t="s">
        <v>1625</v>
      </c>
      <c r="I3906" s="126" t="s">
        <v>8655</v>
      </c>
      <c r="J3906" s="207">
        <v>43816481394</v>
      </c>
      <c r="K3906" s="171" t="s">
        <v>8656</v>
      </c>
      <c r="L3906" s="62">
        <v>2</v>
      </c>
      <c r="M3906" s="30" t="s">
        <v>8657</v>
      </c>
      <c r="N3906" s="172" t="s">
        <v>37</v>
      </c>
      <c r="O3906" s="67">
        <v>13452.92</v>
      </c>
      <c r="P3906" s="99">
        <v>3882.85</v>
      </c>
      <c r="Q3906" s="42">
        <f>OfficeForms.Table[[#This Row],[ INFORMEDEPAGO ]]*0.3</f>
        <v>4035.8759999999997</v>
      </c>
      <c r="R3906" s="12">
        <f>(IF(O3906&lt;4172.98,0,MIN(O3906*0.3,O3906-4172.98)))-P3906</f>
        <v>153.02599999999984</v>
      </c>
      <c r="S3906" s="78">
        <v>46753</v>
      </c>
      <c r="T3906" s="1" t="s">
        <v>84</v>
      </c>
      <c r="U3906" s="97">
        <v>3882.85</v>
      </c>
      <c r="V3906" s="1"/>
      <c r="X3906" s="101">
        <v>2</v>
      </c>
    </row>
    <row r="3907" spans="1:24" hidden="1">
      <c r="A3907">
        <v>2331</v>
      </c>
      <c r="B3907" s="2">
        <v>46261.5753356481</v>
      </c>
      <c r="C3907" s="2">
        <v>46261.575752314799</v>
      </c>
      <c r="D3907" s="1" t="s">
        <v>24</v>
      </c>
      <c r="E3907" s="1"/>
      <c r="F3907" s="29">
        <v>46261</v>
      </c>
      <c r="G3907" s="29">
        <v>46261</v>
      </c>
      <c r="H3907" s="1" t="s">
        <v>1625</v>
      </c>
      <c r="I3907" s="126" t="s">
        <v>8658</v>
      </c>
      <c r="J3907" s="207">
        <v>76796300168</v>
      </c>
      <c r="K3907" s="171" t="s">
        <v>8659</v>
      </c>
      <c r="L3907" s="62">
        <v>2</v>
      </c>
      <c r="M3907" s="30">
        <v>5542155268</v>
      </c>
      <c r="N3907" s="172" t="s">
        <v>37</v>
      </c>
      <c r="O3907" s="50">
        <v>12892.85</v>
      </c>
      <c r="P3907" s="97">
        <v>3866.49</v>
      </c>
      <c r="Q3907" s="42">
        <f>OfficeForms.Table[[#This Row],[ INFORMEDEPAGO ]]*0.3</f>
        <v>3867.855</v>
      </c>
      <c r="R3907" s="12">
        <f>(IF(O3907&lt;4172.98,0,MIN(O3907*0.3,O3907-4172.98)))-P3907</f>
        <v>1.3650000000002365</v>
      </c>
      <c r="S3907" s="78">
        <v>46357</v>
      </c>
      <c r="T3907" s="1" t="s">
        <v>6855</v>
      </c>
      <c r="U3907" s="97">
        <v>2991.71</v>
      </c>
      <c r="V3907" s="1"/>
      <c r="X3907" s="101">
        <v>2</v>
      </c>
    </row>
    <row r="3908" spans="1:24" hidden="1">
      <c r="A3908">
        <v>2332</v>
      </c>
      <c r="B3908" s="2">
        <v>46261.575775463003</v>
      </c>
      <c r="C3908" s="2">
        <v>46261.673032407401</v>
      </c>
      <c r="D3908" s="1" t="s">
        <v>24</v>
      </c>
      <c r="E3908" s="1"/>
      <c r="F3908" s="29">
        <v>46261</v>
      </c>
      <c r="G3908" s="29">
        <v>46261</v>
      </c>
      <c r="H3908" s="1" t="s">
        <v>1625</v>
      </c>
      <c r="I3908" s="126" t="s">
        <v>7069</v>
      </c>
      <c r="J3908" s="207" t="s">
        <v>8660</v>
      </c>
      <c r="K3908" s="171" t="s">
        <v>8661</v>
      </c>
      <c r="L3908" s="62">
        <v>2</v>
      </c>
      <c r="M3908" s="30" t="s">
        <v>8662</v>
      </c>
      <c r="N3908" s="172" t="s">
        <v>37</v>
      </c>
      <c r="O3908" s="50">
        <v>7920.51</v>
      </c>
      <c r="P3908" s="97">
        <v>2289.25</v>
      </c>
      <c r="Q3908" s="42">
        <f>OfficeForms.Table[[#This Row],[ INFORMEDEPAGO ]]*0.3</f>
        <v>2376.1529999999998</v>
      </c>
      <c r="R3908" s="12">
        <f t="shared" ref="R3908:R3909" si="262">(IF(O3908&lt;4172.98,0,MIN(O3908*0.3,O3908-4172.98)))-P3908</f>
        <v>86.902999999999793</v>
      </c>
      <c r="S3908" s="78">
        <v>46722</v>
      </c>
      <c r="T3908" s="1" t="s">
        <v>7516</v>
      </c>
      <c r="U3908" s="97">
        <v>2376.1999999999998</v>
      </c>
      <c r="V3908" s="1"/>
      <c r="X3908" s="101">
        <v>2</v>
      </c>
    </row>
    <row r="3909" spans="1:24" hidden="1">
      <c r="A3909">
        <v>2334</v>
      </c>
      <c r="B3909" s="2">
        <v>46262.318888888898</v>
      </c>
      <c r="C3909" s="2">
        <v>46262.320787037002</v>
      </c>
      <c r="D3909" s="1" t="s">
        <v>24</v>
      </c>
      <c r="E3909" s="1"/>
      <c r="F3909" s="29">
        <v>46262</v>
      </c>
      <c r="G3909" s="29">
        <v>46262</v>
      </c>
      <c r="H3909" s="1" t="s">
        <v>1625</v>
      </c>
      <c r="I3909" s="126" t="s">
        <v>8663</v>
      </c>
      <c r="J3909" s="207">
        <v>74917522232</v>
      </c>
      <c r="K3909" s="171" t="s">
        <v>8664</v>
      </c>
      <c r="L3909" s="62">
        <v>2</v>
      </c>
      <c r="M3909" s="30">
        <v>3313500609</v>
      </c>
      <c r="N3909" s="172" t="s">
        <v>37</v>
      </c>
      <c r="O3909" s="50">
        <v>12871.4</v>
      </c>
      <c r="P3909" s="97">
        <v>3723.61</v>
      </c>
      <c r="Q3909" s="42">
        <f>OfficeForms.Table[[#This Row],[ INFORMEDEPAGO ]]*0.3</f>
        <v>3861.4199999999996</v>
      </c>
      <c r="R3909" s="12">
        <f t="shared" si="262"/>
        <v>137.80999999999949</v>
      </c>
      <c r="S3909" s="78">
        <v>46508</v>
      </c>
      <c r="T3909" s="1" t="s">
        <v>192</v>
      </c>
      <c r="U3909" s="97">
        <v>3723.61</v>
      </c>
      <c r="V3909" s="1"/>
      <c r="X3909" s="101">
        <v>2</v>
      </c>
    </row>
    <row r="3910" spans="1:24" hidden="1">
      <c r="A3910">
        <v>2335</v>
      </c>
      <c r="B3910" s="2">
        <v>46262.320821759298</v>
      </c>
      <c r="C3910" s="2">
        <v>46262.389629629601</v>
      </c>
      <c r="D3910" s="1" t="s">
        <v>24</v>
      </c>
      <c r="E3910" s="1"/>
      <c r="F3910" s="29">
        <v>46262</v>
      </c>
      <c r="G3910" s="29">
        <v>46262</v>
      </c>
      <c r="H3910" s="1" t="s">
        <v>1625</v>
      </c>
      <c r="I3910" s="126" t="s">
        <v>8665</v>
      </c>
      <c r="J3910" s="207" t="s">
        <v>8666</v>
      </c>
      <c r="K3910" s="171" t="s">
        <v>8667</v>
      </c>
      <c r="L3910" s="62">
        <v>2</v>
      </c>
      <c r="M3910" s="30" t="s">
        <v>8668</v>
      </c>
      <c r="N3910" s="172" t="s">
        <v>37</v>
      </c>
      <c r="O3910" s="50">
        <v>9081.52</v>
      </c>
      <c r="P3910" s="97">
        <v>2723</v>
      </c>
      <c r="Q3910" s="42">
        <f>OfficeForms.Table[[#This Row],[ INFORMEDEPAGO ]]*0.3</f>
        <v>2724.4560000000001</v>
      </c>
      <c r="R3910" s="12">
        <f t="shared" ref="R3910" si="263">(IF(O3910&lt;4172.98,0,MIN(O3910*0.3,O3910-4172.98)))-P3910</f>
        <v>1.456000000000131</v>
      </c>
      <c r="S3910" s="78">
        <v>46296</v>
      </c>
      <c r="T3910" s="1" t="s">
        <v>8319</v>
      </c>
      <c r="U3910" s="97">
        <v>2518</v>
      </c>
      <c r="V3910" s="1"/>
      <c r="X3910" s="101">
        <v>2</v>
      </c>
    </row>
    <row r="3911" spans="1:24" hidden="1">
      <c r="A3911">
        <v>2336</v>
      </c>
      <c r="B3911" s="2">
        <v>46262.389652777798</v>
      </c>
      <c r="C3911" s="2">
        <v>46262.424722222197</v>
      </c>
      <c r="D3911" s="1" t="s">
        <v>24</v>
      </c>
      <c r="E3911" s="1"/>
      <c r="F3911" s="29">
        <v>46262</v>
      </c>
      <c r="G3911" s="29">
        <v>46262</v>
      </c>
      <c r="H3911" s="1" t="s">
        <v>1625</v>
      </c>
      <c r="I3911" s="126" t="s">
        <v>4558</v>
      </c>
      <c r="J3911" s="207">
        <v>81775903545</v>
      </c>
      <c r="K3911" s="171" t="s">
        <v>4559</v>
      </c>
      <c r="L3911" s="62">
        <v>2</v>
      </c>
      <c r="M3911" s="30">
        <v>9381402438</v>
      </c>
      <c r="N3911" s="172" t="s">
        <v>37</v>
      </c>
      <c r="O3911" s="50">
        <v>12777.55</v>
      </c>
      <c r="P3911" s="97">
        <v>3832.13</v>
      </c>
      <c r="Q3911" s="42">
        <f>OfficeForms.Table[[#This Row],[ INFORMEDEPAGO ]]*0.3</f>
        <v>3833.2649999999994</v>
      </c>
      <c r="R3911" s="12">
        <f t="shared" ref="R3911:R3912" si="264">(IF(O3911&lt;4172.98,0,MIN(O3911*0.3,O3911-4172.98)))-P3911</f>
        <v>1.1349999999993088</v>
      </c>
      <c r="S3911" s="78">
        <v>46357</v>
      </c>
      <c r="T3911" s="1" t="s">
        <v>6855</v>
      </c>
      <c r="U3911" s="97">
        <v>387</v>
      </c>
      <c r="V3911" s="1"/>
      <c r="X3911" s="101">
        <v>2</v>
      </c>
    </row>
    <row r="3912" spans="1:24" hidden="1">
      <c r="A3912">
        <v>2337</v>
      </c>
      <c r="B3912" s="2">
        <v>46262.433541666702</v>
      </c>
      <c r="C3912" s="2">
        <v>46262.437962962998</v>
      </c>
      <c r="D3912" s="1" t="s">
        <v>24</v>
      </c>
      <c r="E3912" s="1"/>
      <c r="F3912" s="29">
        <v>46262</v>
      </c>
      <c r="G3912" s="29">
        <v>46262</v>
      </c>
      <c r="H3912" s="1" t="s">
        <v>1625</v>
      </c>
      <c r="I3912" s="126" t="s">
        <v>8669</v>
      </c>
      <c r="J3912" s="207">
        <v>19846520609</v>
      </c>
      <c r="K3912" s="171" t="s">
        <v>8670</v>
      </c>
      <c r="L3912" s="62">
        <v>2</v>
      </c>
      <c r="M3912" s="30" t="s">
        <v>8671</v>
      </c>
      <c r="N3912" s="172" t="s">
        <v>47</v>
      </c>
      <c r="O3912" s="50">
        <v>8181.55</v>
      </c>
      <c r="P3912" s="97">
        <f>763.7+656.32</f>
        <v>1420.02</v>
      </c>
      <c r="Q3912" s="42">
        <f>OfficeForms.Table[[#This Row],[ INFORMEDEPAGO ]]*0.3</f>
        <v>2454.4650000000001</v>
      </c>
      <c r="R3912" s="12">
        <f t="shared" si="264"/>
        <v>1034.4450000000002</v>
      </c>
      <c r="S3912" s="78">
        <v>46508</v>
      </c>
      <c r="T3912" s="1" t="s">
        <v>8319</v>
      </c>
      <c r="U3912" s="97">
        <v>763.7</v>
      </c>
      <c r="V3912" s="1"/>
      <c r="X3912" s="101">
        <v>2</v>
      </c>
    </row>
    <row r="3913" spans="1:24" hidden="1">
      <c r="A3913">
        <v>2338</v>
      </c>
      <c r="B3913" s="2">
        <v>46262.439710648097</v>
      </c>
      <c r="C3913" s="2">
        <v>46262.518900463001</v>
      </c>
      <c r="D3913" s="1" t="s">
        <v>24</v>
      </c>
      <c r="E3913" s="1"/>
      <c r="F3913" s="29">
        <v>46262</v>
      </c>
      <c r="G3913" s="29">
        <v>46262</v>
      </c>
      <c r="H3913" s="1" t="s">
        <v>1625</v>
      </c>
      <c r="I3913" s="126" t="s">
        <v>4946</v>
      </c>
      <c r="J3913" s="207">
        <v>43755811379</v>
      </c>
      <c r="K3913" s="171" t="s">
        <v>4947</v>
      </c>
      <c r="L3913" s="62">
        <v>2</v>
      </c>
      <c r="M3913" s="30">
        <v>8114833869</v>
      </c>
      <c r="N3913" s="171" t="s">
        <v>37</v>
      </c>
      <c r="O3913" s="52">
        <v>7920.51</v>
      </c>
      <c r="P3913" s="99">
        <v>2291</v>
      </c>
      <c r="Q3913" s="42">
        <f>OfficeForms.Table[[#This Row],[ INFORMEDEPAGO ]]*0.3</f>
        <v>2376.1529999999998</v>
      </c>
      <c r="R3913" s="12">
        <f>(IF(O3913&lt;4172.98,0,MIN(O3913*0.3,O3913-4172.98)))-P3913</f>
        <v>85.152999999999793</v>
      </c>
      <c r="S3913" s="78">
        <v>46753</v>
      </c>
      <c r="T3913" s="1" t="s">
        <v>259</v>
      </c>
      <c r="U3913" s="97">
        <v>2291</v>
      </c>
      <c r="V3913" s="1"/>
      <c r="X3913" s="101">
        <v>0</v>
      </c>
    </row>
    <row r="3914" spans="1:24" hidden="1">
      <c r="A3914">
        <v>2339</v>
      </c>
      <c r="B3914" s="2">
        <v>46262.518923611096</v>
      </c>
      <c r="C3914" s="2">
        <v>46262.523564814801</v>
      </c>
      <c r="D3914" s="1" t="s">
        <v>24</v>
      </c>
      <c r="E3914" s="1"/>
      <c r="F3914" s="29">
        <v>46262</v>
      </c>
      <c r="G3914" s="29">
        <v>46262</v>
      </c>
      <c r="H3914" s="1" t="s">
        <v>1625</v>
      </c>
      <c r="I3914" s="126" t="s">
        <v>8672</v>
      </c>
      <c r="J3914" s="207">
        <v>78856518622</v>
      </c>
      <c r="K3914" s="171" t="s">
        <v>8673</v>
      </c>
      <c r="L3914" s="62">
        <v>2</v>
      </c>
      <c r="M3914" s="30">
        <v>9513770541</v>
      </c>
      <c r="N3914" s="172" t="s">
        <v>37</v>
      </c>
      <c r="O3914" s="52">
        <v>9760.32</v>
      </c>
      <c r="P3914" s="52">
        <v>2926.65</v>
      </c>
      <c r="Q3914" s="42">
        <f>OfficeForms.Table[[#This Row],[ INFORMEDEPAGO ]]*0.3</f>
        <v>2928.096</v>
      </c>
      <c r="R3914" s="12">
        <f>(IF(O3914&lt;4172.98,0,MIN(O3914*0.3,O3914-4172.98)))-P3914</f>
        <v>1.4459999999999127</v>
      </c>
      <c r="S3914" s="78">
        <v>46874</v>
      </c>
      <c r="T3914" s="1" t="s">
        <v>7516</v>
      </c>
      <c r="U3914" s="52">
        <v>2926.65</v>
      </c>
      <c r="V3914" s="1"/>
      <c r="X3914" s="101">
        <v>2</v>
      </c>
    </row>
    <row r="3915" spans="1:24" hidden="1">
      <c r="A3915">
        <v>2340</v>
      </c>
      <c r="B3915" s="2">
        <v>46262.523599537002</v>
      </c>
      <c r="C3915" s="2">
        <v>46262.718067129601</v>
      </c>
      <c r="D3915" s="1" t="s">
        <v>24</v>
      </c>
      <c r="E3915" s="1"/>
      <c r="F3915" s="29">
        <v>46262</v>
      </c>
      <c r="G3915" s="29">
        <v>46262</v>
      </c>
      <c r="H3915" s="1" t="s">
        <v>1625</v>
      </c>
      <c r="I3915" s="126" t="s">
        <v>484</v>
      </c>
      <c r="J3915" s="207">
        <v>54786028677</v>
      </c>
      <c r="K3915" s="171" t="s">
        <v>485</v>
      </c>
      <c r="L3915" s="62">
        <v>2</v>
      </c>
      <c r="M3915" s="30" t="s">
        <v>8674</v>
      </c>
      <c r="N3915" s="172" t="s">
        <v>37</v>
      </c>
      <c r="O3915" s="52">
        <v>9081.51</v>
      </c>
      <c r="P3915" s="52">
        <v>2521.34</v>
      </c>
      <c r="Q3915" s="42">
        <f>OfficeForms.Table[[#This Row],[ INFORMEDEPAGO ]]*0.3</f>
        <v>2724.453</v>
      </c>
      <c r="R3915" s="12">
        <f t="shared" ref="R3915:R3916" si="265">(IF(O3915&lt;4172.98,0,MIN(O3915*0.3,O3915-4172.98)))-P3915</f>
        <v>203.11299999999983</v>
      </c>
      <c r="S3915" s="78">
        <v>46296</v>
      </c>
      <c r="T3915" s="1" t="s">
        <v>7209</v>
      </c>
      <c r="U3915" s="52">
        <v>2521.34</v>
      </c>
      <c r="V3915" s="1"/>
      <c r="X3915" s="101">
        <v>2</v>
      </c>
    </row>
    <row r="3916" spans="1:24" hidden="1">
      <c r="A3916">
        <v>2341</v>
      </c>
      <c r="B3916" s="2">
        <v>46262.726261574098</v>
      </c>
      <c r="C3916" s="2">
        <v>46262.727569444403</v>
      </c>
      <c r="D3916" s="1" t="s">
        <v>24</v>
      </c>
      <c r="E3916" s="1"/>
      <c r="F3916" s="29">
        <v>46262</v>
      </c>
      <c r="G3916" s="29">
        <v>46262</v>
      </c>
      <c r="H3916" s="1" t="s">
        <v>1625</v>
      </c>
      <c r="I3916" s="126" t="s">
        <v>8675</v>
      </c>
      <c r="J3916" s="207">
        <v>54796329784</v>
      </c>
      <c r="K3916" s="171" t="s">
        <v>8676</v>
      </c>
      <c r="L3916" s="62">
        <v>2</v>
      </c>
      <c r="M3916" s="30" t="s">
        <v>8677</v>
      </c>
      <c r="N3916" s="172" t="s">
        <v>37</v>
      </c>
      <c r="O3916" s="52">
        <v>7920.51</v>
      </c>
      <c r="P3916" s="52">
        <v>2371.92</v>
      </c>
      <c r="Q3916" s="42">
        <f>OfficeForms.Table[[#This Row],[ INFORMEDEPAGO ]]*0.3</f>
        <v>2376.1529999999998</v>
      </c>
      <c r="R3916" s="12">
        <f t="shared" si="265"/>
        <v>4.2329999999997199</v>
      </c>
      <c r="S3916" s="78">
        <v>46813</v>
      </c>
      <c r="T3916" s="1" t="s">
        <v>178</v>
      </c>
      <c r="U3916" s="52">
        <v>2371.92</v>
      </c>
      <c r="V3916" s="1"/>
      <c r="X3916" s="101">
        <v>2</v>
      </c>
    </row>
    <row r="3917" spans="1:24" hidden="1">
      <c r="A3917">
        <v>2342</v>
      </c>
      <c r="B3917" s="2">
        <v>46263.330312500002</v>
      </c>
      <c r="C3917" s="2">
        <v>46263.332847222198</v>
      </c>
      <c r="D3917" s="1" t="s">
        <v>24</v>
      </c>
      <c r="E3917" s="1"/>
      <c r="F3917" s="29">
        <v>46263</v>
      </c>
      <c r="G3917" s="29">
        <v>46263</v>
      </c>
      <c r="H3917" s="1" t="s">
        <v>1625</v>
      </c>
      <c r="I3917" s="126" t="s">
        <v>8678</v>
      </c>
      <c r="J3917" s="207">
        <v>12926311635</v>
      </c>
      <c r="K3917" s="171" t="s">
        <v>8679</v>
      </c>
      <c r="L3917" s="62">
        <v>2</v>
      </c>
      <c r="M3917" s="30">
        <v>4321455819</v>
      </c>
      <c r="N3917" s="172" t="s">
        <v>28</v>
      </c>
      <c r="O3917" s="67">
        <v>9760.32</v>
      </c>
      <c r="P3917" s="99"/>
      <c r="Q3917" s="42">
        <f>OfficeForms.Table[[#This Row],[ INFORMEDEPAGO ]]*0.3</f>
        <v>2928.096</v>
      </c>
      <c r="R3917" s="12">
        <f t="shared" ref="R3917" si="266">(IF(O3917&lt;4172.98,0,MIN(O3917*0.3,O3917-4172.98)))-P3917</f>
        <v>2928.096</v>
      </c>
      <c r="S3917" s="78"/>
      <c r="T3917" s="1"/>
      <c r="U3917" s="99"/>
      <c r="V3917" s="1"/>
      <c r="X3917" s="101">
        <v>1</v>
      </c>
    </row>
    <row r="3918" spans="1:24" hidden="1">
      <c r="A3918">
        <v>2343</v>
      </c>
      <c r="B3918" s="2">
        <v>46263.481828703698</v>
      </c>
      <c r="C3918" s="2">
        <v>46263.483460648102</v>
      </c>
      <c r="D3918" s="1" t="s">
        <v>24</v>
      </c>
      <c r="E3918" s="1"/>
      <c r="F3918" s="29">
        <v>46263</v>
      </c>
      <c r="G3918" s="29">
        <v>46241</v>
      </c>
      <c r="H3918" s="1" t="s">
        <v>110</v>
      </c>
      <c r="I3918" s="126" t="s">
        <v>8680</v>
      </c>
      <c r="J3918" s="207">
        <v>25947642184</v>
      </c>
      <c r="K3918" s="171"/>
      <c r="L3918" s="62">
        <v>23460044</v>
      </c>
      <c r="M3918" s="30">
        <v>5216647610662</v>
      </c>
      <c r="N3918" s="172" t="s">
        <v>47</v>
      </c>
      <c r="O3918" s="67">
        <v>9936.06</v>
      </c>
      <c r="P3918" s="99">
        <v>2100</v>
      </c>
      <c r="Q3918" s="42">
        <f>OfficeForms.Table[[#This Row],[ INFORMEDEPAGO ]]*0.3</f>
        <v>2980.8179999999998</v>
      </c>
      <c r="R3918" s="12">
        <f t="shared" ref="R3918" si="267">(IF(O3918&lt;4172.98,0,MIN(O3918*0.3,O3918-4172.98)))-P3918</f>
        <v>880.81799999999976</v>
      </c>
      <c r="S3918" s="78">
        <v>46266</v>
      </c>
      <c r="T3918" s="1" t="s">
        <v>7516</v>
      </c>
      <c r="U3918" s="99">
        <v>2100</v>
      </c>
      <c r="V3918" s="1"/>
      <c r="X3918" s="101">
        <v>2</v>
      </c>
    </row>
    <row r="3919" spans="1:24" hidden="1">
      <c r="A3919">
        <v>2344</v>
      </c>
      <c r="B3919" s="2">
        <v>46263.499201388899</v>
      </c>
      <c r="C3919" s="2">
        <v>46263.500023148197</v>
      </c>
      <c r="D3919" s="1" t="s">
        <v>24</v>
      </c>
      <c r="E3919" s="1"/>
      <c r="F3919" s="29">
        <v>46263</v>
      </c>
      <c r="G3919" s="29">
        <v>46263</v>
      </c>
      <c r="H3919" s="1" t="s">
        <v>1625</v>
      </c>
      <c r="I3919" s="126" t="s">
        <v>8681</v>
      </c>
      <c r="J3919" s="207">
        <v>42835501042</v>
      </c>
      <c r="K3919" s="171" t="s">
        <v>8682</v>
      </c>
      <c r="L3919" s="62">
        <v>2</v>
      </c>
      <c r="M3919" s="30" t="s">
        <v>8683</v>
      </c>
      <c r="N3919" s="172" t="s">
        <v>37</v>
      </c>
      <c r="O3919" s="52">
        <v>45074.25</v>
      </c>
      <c r="P3919" s="52">
        <v>13522.28</v>
      </c>
      <c r="Q3919" s="42">
        <f>OfficeForms.Table[[#This Row],[ INFORMEDEPAGO ]]*0.3</f>
        <v>13522.275</v>
      </c>
      <c r="R3919" s="12">
        <f t="shared" ref="R3919" si="268">(IF(O3919&lt;4172.98,0,MIN(O3919*0.3,O3919-4172.98)))-P3919</f>
        <v>-5.0000000010186341E-3</v>
      </c>
      <c r="S3919" s="78">
        <v>46600</v>
      </c>
      <c r="T3919" s="1" t="s">
        <v>7516</v>
      </c>
      <c r="U3919" s="99">
        <v>10111.49</v>
      </c>
      <c r="V3919" s="1"/>
      <c r="X3919" s="101">
        <v>2</v>
      </c>
    </row>
    <row r="3920" spans="1:24" hidden="1">
      <c r="A3920">
        <v>2345</v>
      </c>
      <c r="B3920" s="2">
        <v>46263.5179166667</v>
      </c>
      <c r="C3920" s="2">
        <v>46263.519444444399</v>
      </c>
      <c r="D3920" s="1" t="s">
        <v>24</v>
      </c>
      <c r="E3920" s="1"/>
      <c r="F3920" s="29">
        <v>46263</v>
      </c>
      <c r="G3920" s="29">
        <v>46194</v>
      </c>
      <c r="H3920" s="1" t="s">
        <v>8238</v>
      </c>
      <c r="I3920" s="126" t="s">
        <v>8684</v>
      </c>
      <c r="J3920" s="207"/>
      <c r="K3920" s="171" t="s">
        <v>8685</v>
      </c>
      <c r="L3920" s="62">
        <v>21876970</v>
      </c>
      <c r="M3920" s="30">
        <v>2761274528</v>
      </c>
      <c r="N3920" s="172" t="s">
        <v>32</v>
      </c>
      <c r="O3920" s="50">
        <v>3788.43</v>
      </c>
      <c r="P3920" s="97">
        <v>848</v>
      </c>
      <c r="Q3920" s="42">
        <f>OfficeForms.Table[[#This Row],[ INFORMEDEPAGO ]]*0.3</f>
        <v>1136.529</v>
      </c>
      <c r="R3920" s="12">
        <f t="shared" ref="R3920" si="269">(IF(O3920&lt;4172.98,0,MIN(O3920*0.3,O3920-4172.98)))-P3920</f>
        <v>-848</v>
      </c>
      <c r="S3920" s="78"/>
      <c r="T3920" s="1"/>
      <c r="U3920" s="97"/>
      <c r="V3920" s="1"/>
      <c r="X3920" s="101">
        <v>1</v>
      </c>
    </row>
    <row r="3921" spans="1:24" hidden="1">
      <c r="A3921">
        <v>2346</v>
      </c>
      <c r="B3921" s="2">
        <v>46265.349502314799</v>
      </c>
      <c r="C3921" s="2">
        <v>46265.364282407398</v>
      </c>
      <c r="D3921" s="1" t="s">
        <v>24</v>
      </c>
      <c r="E3921" s="1"/>
      <c r="F3921" s="29">
        <v>46265</v>
      </c>
      <c r="G3921" s="29">
        <v>46241</v>
      </c>
      <c r="H3921" s="1" t="s">
        <v>8297</v>
      </c>
      <c r="I3921" s="126" t="s">
        <v>8686</v>
      </c>
      <c r="J3921" s="207">
        <v>54815615163</v>
      </c>
      <c r="K3921" s="171" t="s">
        <v>8687</v>
      </c>
      <c r="L3921" s="62">
        <v>23449412</v>
      </c>
      <c r="M3921" s="30">
        <v>523339097533</v>
      </c>
      <c r="N3921" s="172" t="s">
        <v>37</v>
      </c>
      <c r="O3921" s="52">
        <v>7363.38</v>
      </c>
      <c r="P3921" s="52">
        <v>2130.41</v>
      </c>
      <c r="Q3921" s="42">
        <f>OfficeForms.Table[[#This Row],[ INFORMEDEPAGO ]]*0.3</f>
        <v>2209.0140000000001</v>
      </c>
      <c r="R3921" s="12">
        <f t="shared" ref="R3921" si="270">(IF(O3921&lt;4172.98,0,MIN(O3921*0.3,O3921-4172.98)))-P3921</f>
        <v>78.604000000000269</v>
      </c>
      <c r="S3921" s="78">
        <v>46631</v>
      </c>
      <c r="T3921" s="1" t="s">
        <v>8319</v>
      </c>
      <c r="U3921" s="52">
        <v>2130.41</v>
      </c>
      <c r="V3921" s="1"/>
      <c r="X3921" s="101">
        <v>2</v>
      </c>
    </row>
    <row r="3922" spans="1:24" hidden="1">
      <c r="A3922">
        <v>2347</v>
      </c>
      <c r="B3922" s="2">
        <v>46265.396168981497</v>
      </c>
      <c r="C3922" s="2">
        <v>46265.396620370397</v>
      </c>
      <c r="D3922" s="1" t="s">
        <v>24</v>
      </c>
      <c r="E3922" s="1"/>
      <c r="F3922" s="29">
        <v>46265</v>
      </c>
      <c r="G3922" s="29">
        <v>46265</v>
      </c>
      <c r="H3922" s="1" t="s">
        <v>269</v>
      </c>
      <c r="I3922" s="126" t="s">
        <v>8688</v>
      </c>
      <c r="J3922" s="175" t="s">
        <v>8689</v>
      </c>
      <c r="K3922" s="171" t="s">
        <v>8690</v>
      </c>
      <c r="L3922" s="62">
        <v>24117438</v>
      </c>
      <c r="M3922" s="30">
        <v>5212283666861</v>
      </c>
      <c r="N3922" s="172" t="s">
        <v>28</v>
      </c>
      <c r="O3922" s="67">
        <v>37235.910000000003</v>
      </c>
      <c r="P3922" s="99"/>
      <c r="Q3922" s="42">
        <f>OfficeForms.Table[[#This Row],[ INFORMEDEPAGO ]]*0.3</f>
        <v>11170.773000000001</v>
      </c>
      <c r="R3922" s="12">
        <f>(IF(O3922&lt;4172.98,0,MIN(O3922*0.3,O3922-4172.98)))-P3922</f>
        <v>11170.773000000001</v>
      </c>
      <c r="S3922" s="78"/>
      <c r="T3922" s="1"/>
      <c r="U3922" s="99"/>
      <c r="V3922" s="1" t="s">
        <v>8535</v>
      </c>
      <c r="W3922" s="29">
        <v>46265</v>
      </c>
      <c r="X3922" s="101">
        <v>1</v>
      </c>
    </row>
    <row r="3923" spans="1:24" hidden="1">
      <c r="A3923">
        <v>2348</v>
      </c>
      <c r="B3923" s="2">
        <v>46265.484710648103</v>
      </c>
      <c r="C3923" s="2">
        <v>46265.485706018502</v>
      </c>
      <c r="D3923" s="1" t="s">
        <v>24</v>
      </c>
      <c r="E3923" s="1"/>
      <c r="F3923" s="29">
        <v>46265</v>
      </c>
      <c r="G3923" s="29">
        <v>46265</v>
      </c>
      <c r="H3923" s="1" t="s">
        <v>269</v>
      </c>
      <c r="I3923" s="126" t="s">
        <v>8691</v>
      </c>
      <c r="J3923" s="175" t="s">
        <v>8692</v>
      </c>
      <c r="K3923" s="171" t="s">
        <v>8693</v>
      </c>
      <c r="L3923" s="62">
        <v>24114292</v>
      </c>
      <c r="M3923" s="30">
        <v>5213329398133</v>
      </c>
      <c r="N3923" s="172" t="s">
        <v>32</v>
      </c>
      <c r="O3923" s="43">
        <v>4336.66</v>
      </c>
      <c r="P3923" s="43">
        <v>848</v>
      </c>
      <c r="Q3923" s="42">
        <f>OfficeForms.Table[[#This Row],[ INFORMEDEPAGO ]]*0.3</f>
        <v>1300.9979999999998</v>
      </c>
      <c r="R3923" s="12">
        <f>(IF(O3923&lt;4172.98,0,MIN(O3923*0.3,O3923-4172.98)))-P3923</f>
        <v>-684.31999999999971</v>
      </c>
      <c r="S3923" s="78"/>
      <c r="T3923" s="1"/>
      <c r="U3923" s="97"/>
      <c r="V3923" s="1"/>
      <c r="X3923" s="101">
        <v>1</v>
      </c>
    </row>
    <row r="3924" spans="1:24" hidden="1">
      <c r="A3924">
        <v>2349</v>
      </c>
      <c r="B3924" s="2">
        <v>46265.322314814803</v>
      </c>
      <c r="C3924" s="2">
        <v>46265.487129629597</v>
      </c>
      <c r="D3924" s="1" t="s">
        <v>24</v>
      </c>
      <c r="E3924" s="1"/>
      <c r="F3924" s="29">
        <v>46265</v>
      </c>
      <c r="G3924" s="29">
        <v>46265</v>
      </c>
      <c r="H3924" s="1" t="s">
        <v>1625</v>
      </c>
      <c r="I3924" s="126" t="s">
        <v>8694</v>
      </c>
      <c r="J3924" s="175">
        <v>4380642432</v>
      </c>
      <c r="K3924" s="171" t="s">
        <v>8695</v>
      </c>
      <c r="L3924" s="62">
        <v>2</v>
      </c>
      <c r="M3924" s="30">
        <v>8120095557</v>
      </c>
      <c r="N3924" s="172" t="s">
        <v>37</v>
      </c>
      <c r="O3924" s="43">
        <v>11703.96</v>
      </c>
      <c r="P3924" s="43">
        <v>3233.47</v>
      </c>
      <c r="Q3924" s="42">
        <f>OfficeForms.Table[[#This Row],[ INFORMEDEPAGO ]]*0.3</f>
        <v>3511.1879999999996</v>
      </c>
      <c r="R3924" s="12">
        <f>(IF(O3924&lt;4172.98,0,MIN(O3924*0.3,O3924-4172.98)))-P3924</f>
        <v>277.71799999999985</v>
      </c>
      <c r="S3924" s="78">
        <v>46327</v>
      </c>
      <c r="T3924" s="1" t="s">
        <v>8696</v>
      </c>
      <c r="U3924" s="43">
        <v>3233.47</v>
      </c>
      <c r="V3924" s="1"/>
      <c r="X3924" s="101">
        <v>2</v>
      </c>
    </row>
    <row r="3925" spans="1:24" hidden="1">
      <c r="A3925">
        <v>2350</v>
      </c>
      <c r="B3925" s="2">
        <v>46265.466967592598</v>
      </c>
      <c r="C3925" s="2">
        <v>46265.496805555602</v>
      </c>
      <c r="D3925" s="1" t="s">
        <v>24</v>
      </c>
      <c r="E3925" s="1"/>
      <c r="F3925" s="29">
        <v>46265</v>
      </c>
      <c r="G3925" s="29">
        <v>46264</v>
      </c>
      <c r="H3925" s="1" t="s">
        <v>78</v>
      </c>
      <c r="I3925" s="126" t="s">
        <v>8697</v>
      </c>
      <c r="J3925" s="175">
        <v>88855701012</v>
      </c>
      <c r="K3925" s="171" t="s">
        <v>8698</v>
      </c>
      <c r="L3925" s="62">
        <v>24113284</v>
      </c>
      <c r="M3925" s="30">
        <v>5215585508677</v>
      </c>
      <c r="N3925" s="172" t="s">
        <v>37</v>
      </c>
      <c r="O3925" s="50">
        <v>7920.51</v>
      </c>
      <c r="P3925" s="97">
        <v>2275.67</v>
      </c>
      <c r="Q3925" s="42">
        <f>OfficeForms.Table[[#This Row],[ INFORMEDEPAGO ]]*0.3</f>
        <v>2376.1529999999998</v>
      </c>
      <c r="R3925" s="12">
        <f t="shared" ref="R3925:R3927" si="271">(IF(O3925&lt;4172.98,0,MIN(O3925*0.3,O3925-4172.98)))-P3925</f>
        <v>100.48299999999972</v>
      </c>
      <c r="S3925" s="78">
        <v>46569</v>
      </c>
      <c r="T3925" s="1" t="s">
        <v>259</v>
      </c>
      <c r="U3925" s="97">
        <v>2275.67</v>
      </c>
      <c r="V3925" s="1"/>
      <c r="X3925" s="101">
        <v>2</v>
      </c>
    </row>
    <row r="3926" spans="1:24" hidden="1">
      <c r="A3926">
        <v>2351</v>
      </c>
      <c r="B3926" s="2">
        <v>46265.499259259297</v>
      </c>
      <c r="C3926" s="2">
        <v>46265.5</v>
      </c>
      <c r="D3926" s="1" t="s">
        <v>24</v>
      </c>
      <c r="E3926" s="1"/>
      <c r="F3926" s="29">
        <v>46265</v>
      </c>
      <c r="G3926" s="29">
        <v>46265</v>
      </c>
      <c r="H3926" s="1" t="s">
        <v>1625</v>
      </c>
      <c r="I3926" s="126" t="s">
        <v>8699</v>
      </c>
      <c r="J3926" s="175">
        <v>17856524594</v>
      </c>
      <c r="K3926" s="171" t="s">
        <v>8700</v>
      </c>
      <c r="L3926" s="62">
        <v>2</v>
      </c>
      <c r="M3926" s="30">
        <v>3310889433</v>
      </c>
      <c r="N3926" s="172" t="s">
        <v>37</v>
      </c>
      <c r="O3926" s="50">
        <v>9760.32</v>
      </c>
      <c r="P3926" s="97">
        <v>2792.71</v>
      </c>
      <c r="Q3926" s="42">
        <f>OfficeForms.Table[[#This Row],[ INFORMEDEPAGO ]]*0.3</f>
        <v>2928.096</v>
      </c>
      <c r="R3926" s="12">
        <f t="shared" si="271"/>
        <v>135.38599999999997</v>
      </c>
      <c r="S3926" s="78">
        <v>46722</v>
      </c>
      <c r="T3926" s="1" t="s">
        <v>192</v>
      </c>
      <c r="U3926" s="97">
        <v>2792</v>
      </c>
      <c r="V3926" s="1"/>
      <c r="X3926" s="101">
        <v>2</v>
      </c>
    </row>
    <row r="3927" spans="1:24" hidden="1">
      <c r="A3927">
        <v>2352</v>
      </c>
      <c r="B3927" s="2">
        <v>46265.5019791667</v>
      </c>
      <c r="C3927" s="2">
        <v>46265.502442129597</v>
      </c>
      <c r="D3927" s="1" t="s">
        <v>24</v>
      </c>
      <c r="E3927" s="1"/>
      <c r="F3927" s="29">
        <v>46265</v>
      </c>
      <c r="G3927" s="29">
        <v>46265</v>
      </c>
      <c r="H3927" s="1" t="s">
        <v>1625</v>
      </c>
      <c r="I3927" s="126" t="s">
        <v>8701</v>
      </c>
      <c r="J3927" s="175">
        <v>81806309225</v>
      </c>
      <c r="K3927" s="171" t="s">
        <v>8702</v>
      </c>
      <c r="L3927" s="62">
        <v>2</v>
      </c>
      <c r="M3927" s="30">
        <v>9821213288</v>
      </c>
      <c r="N3927" s="172" t="s">
        <v>37</v>
      </c>
      <c r="O3927" s="50">
        <v>20259.759999999998</v>
      </c>
      <c r="P3927" s="97">
        <v>6074.03</v>
      </c>
      <c r="Q3927" s="42">
        <f>OfficeForms.Table[[#This Row],[ INFORMEDEPAGO ]]*0.3</f>
        <v>6077.927999999999</v>
      </c>
      <c r="R3927" s="12">
        <f t="shared" si="271"/>
        <v>3.8979999999992287</v>
      </c>
      <c r="S3927" s="78">
        <v>46419</v>
      </c>
      <c r="T3927" s="1" t="s">
        <v>8398</v>
      </c>
      <c r="U3927" s="97">
        <v>1858.18</v>
      </c>
      <c r="V3927" s="1"/>
      <c r="X3927" s="101">
        <v>2</v>
      </c>
    </row>
    <row r="3928" spans="1:24" hidden="1">
      <c r="A3928">
        <v>2353</v>
      </c>
      <c r="B3928" s="2">
        <v>46265.502523148098</v>
      </c>
      <c r="C3928" s="2">
        <v>46265.524942129603</v>
      </c>
      <c r="D3928" s="1" t="s">
        <v>24</v>
      </c>
      <c r="E3928" s="1"/>
      <c r="F3928" s="29">
        <v>46265</v>
      </c>
      <c r="G3928" s="29">
        <v>46265</v>
      </c>
      <c r="H3928" s="1" t="s">
        <v>1625</v>
      </c>
      <c r="I3928" s="126" t="s">
        <v>8703</v>
      </c>
      <c r="J3928" s="175">
        <v>21106700103</v>
      </c>
      <c r="K3928" s="171" t="s">
        <v>8704</v>
      </c>
      <c r="L3928" s="62">
        <v>2</v>
      </c>
      <c r="M3928" s="30">
        <v>21106700103</v>
      </c>
      <c r="N3928" s="172" t="s">
        <v>74</v>
      </c>
      <c r="O3928" s="50"/>
      <c r="P3928" s="97"/>
      <c r="Q3928" s="42">
        <f>OfficeForms.Table[[#This Row],[ INFORMEDEPAGO ]]*0.3</f>
        <v>0</v>
      </c>
      <c r="R3928" s="12">
        <f>(IF(O3928&lt;4172.98,0,MIN(O3928*0.3,O3928-4172.98)))-P3928</f>
        <v>0</v>
      </c>
      <c r="S3928" s="78"/>
      <c r="T3928" s="1"/>
      <c r="U3928" s="97"/>
      <c r="V3928" s="1"/>
      <c r="X3928" s="101">
        <v>1</v>
      </c>
    </row>
    <row r="3929" spans="1:24" hidden="1">
      <c r="A3929">
        <v>2354</v>
      </c>
      <c r="B3929" s="2">
        <v>46265.524953703702</v>
      </c>
      <c r="C3929" s="2">
        <v>46265.527465277803</v>
      </c>
      <c r="D3929" s="1" t="s">
        <v>24</v>
      </c>
      <c r="E3929" s="1"/>
      <c r="F3929" s="29">
        <v>46265</v>
      </c>
      <c r="G3929" s="29">
        <v>46265</v>
      </c>
      <c r="H3929" s="1" t="s">
        <v>1625</v>
      </c>
      <c r="I3929" s="126" t="s">
        <v>8705</v>
      </c>
      <c r="J3929" s="175" t="s">
        <v>8706</v>
      </c>
      <c r="K3929" s="171" t="s">
        <v>8707</v>
      </c>
      <c r="L3929" s="62">
        <v>2</v>
      </c>
      <c r="M3929" s="30">
        <v>8130897208</v>
      </c>
      <c r="N3929" s="172" t="s">
        <v>106</v>
      </c>
      <c r="O3929" s="52">
        <v>18191.53</v>
      </c>
      <c r="P3929" s="52">
        <v>5456.5</v>
      </c>
      <c r="Q3929" s="42">
        <f>OfficeForms.Table[[#This Row],[ INFORMEDEPAGO ]]*0.3</f>
        <v>5457.4589999999998</v>
      </c>
      <c r="R3929" s="12">
        <f>(IF(O3929&lt;4172.98,0,MIN(O3929*0.3,O3929-4172.98)))-P3929</f>
        <v>0.95899999999983265</v>
      </c>
      <c r="S3929" s="78">
        <v>46266</v>
      </c>
      <c r="T3929" s="78" t="s">
        <v>8708</v>
      </c>
      <c r="U3929" s="52">
        <v>4670.3</v>
      </c>
      <c r="V3929" s="1"/>
      <c r="X3929" s="101">
        <v>2</v>
      </c>
    </row>
    <row r="3930" spans="1:24" hidden="1">
      <c r="A3930">
        <v>2355</v>
      </c>
      <c r="B3930" s="2">
        <v>46265.502048611103</v>
      </c>
      <c r="C3930" s="2">
        <v>46265.531076388899</v>
      </c>
      <c r="D3930" s="1" t="s">
        <v>24</v>
      </c>
      <c r="E3930" s="1"/>
      <c r="F3930" s="29">
        <v>46265</v>
      </c>
      <c r="G3930" s="29">
        <v>46264</v>
      </c>
      <c r="H3930" s="1" t="s">
        <v>51</v>
      </c>
      <c r="I3930" s="126" t="s">
        <v>8709</v>
      </c>
      <c r="J3930" s="175"/>
      <c r="K3930" s="171" t="s">
        <v>8710</v>
      </c>
      <c r="L3930" s="62">
        <v>24113760</v>
      </c>
      <c r="M3930" s="30">
        <v>5218715471033</v>
      </c>
      <c r="N3930" s="172" t="s">
        <v>37</v>
      </c>
      <c r="O3930" s="43">
        <v>10636.54</v>
      </c>
      <c r="P3930" s="43">
        <v>3190.96</v>
      </c>
      <c r="Q3930" s="42">
        <f>OfficeForms.Table[[#This Row],[ INFORMEDEPAGO ]]*0.3</f>
        <v>3190.962</v>
      </c>
      <c r="R3930" s="12">
        <f>(IF(O3930&lt;4172.98,0,MIN(O3930*0.3,O3930-4172.98)))-P3930</f>
        <v>1.9999999999527063E-3</v>
      </c>
      <c r="S3930" s="78">
        <v>46905</v>
      </c>
      <c r="T3930" s="1" t="s">
        <v>178</v>
      </c>
      <c r="U3930" s="43">
        <v>3190.96</v>
      </c>
      <c r="V3930" s="1"/>
      <c r="X3930" s="101">
        <v>2</v>
      </c>
    </row>
    <row r="3931" spans="1:24" hidden="1">
      <c r="A3931">
        <v>2356</v>
      </c>
      <c r="B3931" s="2">
        <v>46265.516574074099</v>
      </c>
      <c r="C3931" s="2">
        <v>46265.531122685199</v>
      </c>
      <c r="D3931" s="1" t="s">
        <v>24</v>
      </c>
      <c r="E3931" s="1"/>
      <c r="F3931" s="29">
        <v>46265</v>
      </c>
      <c r="G3931" s="29">
        <v>46264</v>
      </c>
      <c r="H3931" s="1" t="s">
        <v>51</v>
      </c>
      <c r="I3931" s="126" t="s">
        <v>8711</v>
      </c>
      <c r="J3931" s="175" t="s">
        <v>8712</v>
      </c>
      <c r="K3931" s="171" t="s">
        <v>8713</v>
      </c>
      <c r="L3931" s="62">
        <v>24114178</v>
      </c>
      <c r="M3931" s="30">
        <v>5219994215990</v>
      </c>
      <c r="N3931" s="172" t="s">
        <v>106</v>
      </c>
      <c r="O3931" s="43">
        <v>7921.51</v>
      </c>
      <c r="P3931" s="43">
        <v>2188.77</v>
      </c>
      <c r="Q3931" s="42">
        <f>OfficeForms.Table[[#This Row],[ INFORMEDEPAGO ]]*0.3</f>
        <v>2376.453</v>
      </c>
      <c r="R3931" s="12">
        <f>(IF(O3931&lt;4172.98,0,MIN(O3931*0.3,O3931-4172.98)))-P3931</f>
        <v>187.68299999999999</v>
      </c>
      <c r="S3931" s="78">
        <v>46143</v>
      </c>
      <c r="T3931" s="1" t="s">
        <v>7209</v>
      </c>
      <c r="U3931" s="43">
        <v>2188.77</v>
      </c>
      <c r="V3931" s="1" t="s">
        <v>8350</v>
      </c>
      <c r="W3931" s="29">
        <v>46265</v>
      </c>
      <c r="X3931" s="101">
        <v>2</v>
      </c>
    </row>
    <row r="3932" spans="1:24" hidden="1">
      <c r="A3932">
        <v>2357</v>
      </c>
      <c r="B3932" s="2">
        <v>46265.521111111098</v>
      </c>
      <c r="C3932" s="2">
        <v>46265.531145833302</v>
      </c>
      <c r="D3932" s="1" t="s">
        <v>24</v>
      </c>
      <c r="E3932" s="1"/>
      <c r="F3932" s="29">
        <v>46265</v>
      </c>
      <c r="G3932" s="29">
        <v>46264</v>
      </c>
      <c r="H3932" s="1" t="s">
        <v>51</v>
      </c>
      <c r="I3932" s="126" t="s">
        <v>8714</v>
      </c>
      <c r="J3932" s="175"/>
      <c r="K3932" s="171" t="s">
        <v>8715</v>
      </c>
      <c r="L3932" s="62">
        <v>24115106</v>
      </c>
      <c r="M3932" s="30">
        <v>5218112056285</v>
      </c>
      <c r="N3932" s="172" t="s">
        <v>28</v>
      </c>
      <c r="O3932" s="50">
        <v>10636.54</v>
      </c>
      <c r="P3932" s="97"/>
      <c r="Q3932" s="42">
        <f>OfficeForms.Table[[#This Row],[ INFORMEDEPAGO ]]*0.3</f>
        <v>3190.962</v>
      </c>
      <c r="R3932" s="12">
        <f>(IF(O3932&lt;4172.98,0,MIN(O3932*0.3,O3932-4172.98)))-P3932</f>
        <v>3190.962</v>
      </c>
      <c r="S3932" s="78"/>
      <c r="T3932" s="1"/>
      <c r="U3932" s="97"/>
      <c r="V3932" s="1" t="s">
        <v>8716</v>
      </c>
      <c r="W3932" s="29">
        <v>46265</v>
      </c>
      <c r="X3932" s="101">
        <v>1</v>
      </c>
    </row>
    <row r="3933" spans="1:24" hidden="1">
      <c r="A3933">
        <v>2358</v>
      </c>
      <c r="B3933" s="2">
        <v>46265.524074074099</v>
      </c>
      <c r="C3933" s="2">
        <v>46265.531180555598</v>
      </c>
      <c r="D3933" s="1" t="s">
        <v>24</v>
      </c>
      <c r="E3933" s="1"/>
      <c r="F3933" s="29">
        <v>46265</v>
      </c>
      <c r="G3933" s="29">
        <v>46264</v>
      </c>
      <c r="H3933" s="1" t="s">
        <v>51</v>
      </c>
      <c r="I3933" s="126" t="s">
        <v>8717</v>
      </c>
      <c r="J3933" s="175">
        <v>43896619707</v>
      </c>
      <c r="K3933" s="171" t="s">
        <v>8718</v>
      </c>
      <c r="L3933" s="62">
        <v>24117976</v>
      </c>
      <c r="M3933" s="30">
        <v>5218110477727</v>
      </c>
      <c r="N3933" s="172" t="s">
        <v>37</v>
      </c>
      <c r="O3933" s="43">
        <v>10636.54</v>
      </c>
      <c r="P3933" s="43">
        <v>3187.8</v>
      </c>
      <c r="Q3933" s="42">
        <f>OfficeForms.Table[[#This Row],[ INFORMEDEPAGO ]]*0.3</f>
        <v>3190.962</v>
      </c>
      <c r="R3933" s="12">
        <f>(IF(O3933&lt;4172.98,0,MIN(O3933*0.3,O3933-4172.98)))-P3933</f>
        <v>3.1619999999998072</v>
      </c>
      <c r="S3933" s="78">
        <v>46935</v>
      </c>
      <c r="T3933" s="1" t="s">
        <v>7209</v>
      </c>
      <c r="U3933" s="43">
        <v>3187.8</v>
      </c>
      <c r="V3933" s="1"/>
      <c r="X3933" s="101">
        <v>2</v>
      </c>
    </row>
    <row r="3934" spans="1:24" hidden="1">
      <c r="A3934">
        <v>2359</v>
      </c>
      <c r="B3934" s="2">
        <v>46265.542708333298</v>
      </c>
      <c r="C3934" s="2">
        <v>46265.570868055598</v>
      </c>
      <c r="D3934" s="1" t="s">
        <v>24</v>
      </c>
      <c r="E3934" s="1"/>
      <c r="F3934" s="29">
        <v>46265</v>
      </c>
      <c r="G3934" s="29">
        <v>46265</v>
      </c>
      <c r="H3934" s="1" t="s">
        <v>1625</v>
      </c>
      <c r="I3934" s="126" t="s">
        <v>8719</v>
      </c>
      <c r="J3934" s="175">
        <v>49804704853</v>
      </c>
      <c r="K3934" s="171" t="s">
        <v>8720</v>
      </c>
      <c r="L3934" s="62">
        <v>2</v>
      </c>
      <c r="M3934" s="30">
        <v>8991912210</v>
      </c>
      <c r="N3934" s="172" t="s">
        <v>37</v>
      </c>
      <c r="O3934" s="50">
        <v>8784.2900000000009</v>
      </c>
      <c r="P3934" s="97">
        <v>2541.5</v>
      </c>
      <c r="Q3934" s="42">
        <f>OfficeForms.Table[[#This Row],[ INFORMEDEPAGO ]]*0.3</f>
        <v>2635.2870000000003</v>
      </c>
      <c r="R3934" s="12">
        <f>(IF(O3934&lt;4172.98,0,MIN(O3934*0.3,O3934-4172.98)))-P3934</f>
        <v>93.787000000000262</v>
      </c>
      <c r="S3934" s="78">
        <v>46508</v>
      </c>
      <c r="T3934" s="1" t="s">
        <v>7516</v>
      </c>
      <c r="U3934" s="97">
        <v>2541.5</v>
      </c>
      <c r="V3934" s="1"/>
      <c r="X3934" s="101">
        <v>2</v>
      </c>
    </row>
    <row r="3935" spans="1:24" hidden="1">
      <c r="A3935">
        <v>2360</v>
      </c>
      <c r="B3935" s="2">
        <v>46265.584432870397</v>
      </c>
      <c r="C3935" s="2">
        <v>46265.586724537003</v>
      </c>
      <c r="D3935" s="1" t="s">
        <v>24</v>
      </c>
      <c r="E3935" s="1"/>
      <c r="F3935" s="29">
        <v>46265</v>
      </c>
      <c r="G3935" s="29">
        <v>46265</v>
      </c>
      <c r="H3935" s="1" t="s">
        <v>8721</v>
      </c>
      <c r="I3935" s="126" t="s">
        <v>8722</v>
      </c>
      <c r="J3935" s="175">
        <v>32765934099</v>
      </c>
      <c r="K3935" s="171" t="s">
        <v>8723</v>
      </c>
      <c r="L3935" s="62">
        <v>24131566</v>
      </c>
      <c r="M3935" s="30">
        <v>5218715855558</v>
      </c>
      <c r="N3935" s="172" t="s">
        <v>98</v>
      </c>
      <c r="O3935" s="50"/>
      <c r="P3935" s="97"/>
      <c r="Q3935" s="42">
        <f>OfficeForms.Table[[#This Row],[ INFORMEDEPAGO ]]*0.3</f>
        <v>0</v>
      </c>
      <c r="R3935" s="12">
        <f>(IF(O3935&lt;4172.98,0,MIN(O3935*0.3,O3935-4172.98)))-P3935</f>
        <v>0</v>
      </c>
      <c r="S3935" s="78"/>
      <c r="T3935" s="1"/>
      <c r="U3935" s="97"/>
      <c r="V3935" s="1"/>
      <c r="X3935" s="101">
        <v>0</v>
      </c>
    </row>
    <row r="3936" spans="1:24" hidden="1">
      <c r="A3936">
        <v>2361</v>
      </c>
      <c r="B3936" s="2">
        <v>46265.595092592601</v>
      </c>
      <c r="C3936" s="2">
        <v>46265.595474537004</v>
      </c>
      <c r="D3936" s="1" t="s">
        <v>24</v>
      </c>
      <c r="E3936" s="1"/>
      <c r="F3936" s="29">
        <v>46265</v>
      </c>
      <c r="G3936" s="29">
        <v>46265</v>
      </c>
      <c r="H3936" s="1" t="s">
        <v>269</v>
      </c>
      <c r="I3936" s="126" t="s">
        <v>8724</v>
      </c>
      <c r="J3936" s="207" t="s">
        <v>8725</v>
      </c>
      <c r="K3936" s="171" t="s">
        <v>8726</v>
      </c>
      <c r="L3936" s="62">
        <v>24112678</v>
      </c>
      <c r="M3936" s="30">
        <v>5216566594903</v>
      </c>
      <c r="N3936" s="172" t="s">
        <v>74</v>
      </c>
      <c r="O3936" s="50"/>
      <c r="P3936" s="97"/>
      <c r="Q3936" s="42">
        <f>OfficeForms.Table[[#This Row],[ INFORMEDEPAGO ]]*0.3</f>
        <v>0</v>
      </c>
      <c r="R3936" s="12">
        <f>(IF(O3936&lt;4172.98,0,MIN(O3936*0.3,O3936-4172.98)))-P3936</f>
        <v>0</v>
      </c>
      <c r="S3936" s="78"/>
      <c r="T3936" s="1"/>
      <c r="U3936" s="97"/>
      <c r="V3936" s="1"/>
      <c r="X3936" s="101">
        <v>1</v>
      </c>
    </row>
    <row r="3937" spans="1:24" hidden="1">
      <c r="A3937">
        <v>2362</v>
      </c>
      <c r="B3937" s="2">
        <v>46265.5183217593</v>
      </c>
      <c r="C3937" s="2">
        <v>46265.599687499998</v>
      </c>
      <c r="D3937" s="1" t="s">
        <v>24</v>
      </c>
      <c r="E3937" s="1"/>
      <c r="F3937" s="29">
        <v>46265</v>
      </c>
      <c r="G3937" s="29">
        <v>46253</v>
      </c>
      <c r="H3937" s="1" t="s">
        <v>8238</v>
      </c>
      <c r="I3937" s="126" t="s">
        <v>8727</v>
      </c>
      <c r="J3937" s="207"/>
      <c r="K3937" s="171" t="s">
        <v>8728</v>
      </c>
      <c r="L3937" s="62">
        <v>23768092</v>
      </c>
      <c r="M3937" s="30">
        <v>5542201925</v>
      </c>
      <c r="N3937" s="172" t="s">
        <v>235</v>
      </c>
      <c r="O3937" s="50"/>
      <c r="P3937" s="97"/>
      <c r="Q3937" s="42">
        <f>OfficeForms.Table[[#This Row],[ INFORMEDEPAGO ]]*0.3</f>
        <v>0</v>
      </c>
      <c r="R3937" s="12">
        <f>(IF(O3937&lt;4172.98,0,MIN(O3937*0.3,O3937-4172.98)))-P3937</f>
        <v>0</v>
      </c>
      <c r="S3937" s="78"/>
      <c r="T3937" s="1"/>
      <c r="U3937" s="97"/>
      <c r="V3937" s="1"/>
      <c r="X3937" s="101">
        <v>1</v>
      </c>
    </row>
    <row r="3938" spans="1:24" hidden="1">
      <c r="A3938">
        <v>2363</v>
      </c>
      <c r="B3938" s="2">
        <v>46265.531099537002</v>
      </c>
      <c r="C3938" s="2">
        <v>46265.599872685198</v>
      </c>
      <c r="D3938" s="1" t="s">
        <v>24</v>
      </c>
      <c r="E3938" s="1"/>
      <c r="F3938" s="29">
        <v>46265</v>
      </c>
      <c r="G3938" s="29">
        <v>46265</v>
      </c>
      <c r="H3938" s="1" t="s">
        <v>51</v>
      </c>
      <c r="I3938" s="126" t="s">
        <v>8729</v>
      </c>
      <c r="J3938" s="207" t="s">
        <v>8730</v>
      </c>
      <c r="K3938" s="171" t="s">
        <v>8731</v>
      </c>
      <c r="L3938" s="62">
        <v>24118172</v>
      </c>
      <c r="M3938" s="30">
        <v>5217444734971</v>
      </c>
      <c r="N3938" s="172" t="s">
        <v>28</v>
      </c>
      <c r="O3938" s="50">
        <v>5642.22</v>
      </c>
      <c r="P3938" s="97"/>
      <c r="Q3938" s="42">
        <f>OfficeForms.Table[[#This Row],[ INFORMEDEPAGO ]]*0.3</f>
        <v>1692.6659999999999</v>
      </c>
      <c r="R3938" s="12">
        <f>(IF(O3938&lt;4172.98,0,MIN(O3938*0.3,O3938-4172.98)))-P3938</f>
        <v>1469.2400000000007</v>
      </c>
      <c r="S3938" s="78"/>
      <c r="T3938" s="1"/>
      <c r="U3938" s="97"/>
      <c r="V3938" s="1" t="s">
        <v>8436</v>
      </c>
      <c r="W3938" s="29">
        <v>46265</v>
      </c>
      <c r="X3938" s="101">
        <v>1</v>
      </c>
    </row>
    <row r="3939" spans="1:24" hidden="1">
      <c r="A3939">
        <v>2364</v>
      </c>
      <c r="B3939" s="2">
        <v>46265.541944444398</v>
      </c>
      <c r="C3939" s="2">
        <v>46265.600231481498</v>
      </c>
      <c r="D3939" s="1" t="s">
        <v>24</v>
      </c>
      <c r="E3939" s="1"/>
      <c r="F3939" s="29">
        <v>46265</v>
      </c>
      <c r="G3939" s="29">
        <v>46265</v>
      </c>
      <c r="H3939" s="1" t="s">
        <v>51</v>
      </c>
      <c r="I3939" s="126" t="s">
        <v>8732</v>
      </c>
      <c r="J3939" s="207"/>
      <c r="K3939" s="171" t="s">
        <v>8733</v>
      </c>
      <c r="L3939" s="62">
        <v>24120922</v>
      </c>
      <c r="M3939" s="30">
        <v>5217221642447</v>
      </c>
      <c r="N3939" s="172" t="s">
        <v>28</v>
      </c>
      <c r="O3939" s="50">
        <v>10636.54</v>
      </c>
      <c r="P3939" s="97"/>
      <c r="Q3939" s="42">
        <f>OfficeForms.Table[[#This Row],[ INFORMEDEPAGO ]]*0.3</f>
        <v>3190.962</v>
      </c>
      <c r="R3939" s="12">
        <f>(IF(O3939&lt;4172.98,0,MIN(O3939*0.3,O3939-4172.98)))-P3939</f>
        <v>3190.962</v>
      </c>
      <c r="S3939" s="78"/>
      <c r="T3939" s="1"/>
      <c r="U3939" s="97"/>
      <c r="V3939" s="1" t="s">
        <v>8734</v>
      </c>
      <c r="W3939" s="29">
        <v>46265</v>
      </c>
      <c r="X3939" s="101">
        <v>1</v>
      </c>
    </row>
    <row r="3940" spans="1:24" hidden="1">
      <c r="A3940">
        <v>2365</v>
      </c>
      <c r="B3940" s="2">
        <v>46265.5311574074</v>
      </c>
      <c r="C3940" s="2">
        <v>46265.600787037001</v>
      </c>
      <c r="D3940" s="1" t="s">
        <v>24</v>
      </c>
      <c r="E3940" s="1"/>
      <c r="F3940" s="29">
        <v>46265</v>
      </c>
      <c r="G3940" s="29">
        <v>46265</v>
      </c>
      <c r="H3940" s="1" t="s">
        <v>51</v>
      </c>
      <c r="I3940" s="126" t="s">
        <v>8735</v>
      </c>
      <c r="J3940" s="207">
        <v>78856502915</v>
      </c>
      <c r="K3940" s="171" t="s">
        <v>8736</v>
      </c>
      <c r="L3940" s="62">
        <v>24127530</v>
      </c>
      <c r="M3940" s="30">
        <v>5216635229713</v>
      </c>
      <c r="N3940" s="172" t="s">
        <v>37</v>
      </c>
      <c r="O3940" s="43">
        <v>11029.03</v>
      </c>
      <c r="P3940" s="43">
        <v>3306.28</v>
      </c>
      <c r="Q3940" s="42">
        <f>OfficeForms.Table[[#This Row],[ INFORMEDEPAGO ]]*0.3</f>
        <v>3308.7090000000003</v>
      </c>
      <c r="R3940" s="12">
        <f>(IF(O3940&lt;4172.98,0,MIN(O3940*0.3,O3940-4172.98)))-P3940</f>
        <v>2.4290000000000873</v>
      </c>
      <c r="S3940" s="78">
        <v>46844</v>
      </c>
      <c r="T3940" s="1" t="s">
        <v>8415</v>
      </c>
      <c r="U3940" s="43">
        <v>3306.28</v>
      </c>
      <c r="V3940" s="1"/>
      <c r="X3940" s="101">
        <v>2</v>
      </c>
    </row>
    <row r="3941" spans="1:24" hidden="1">
      <c r="A3941">
        <v>2366</v>
      </c>
      <c r="B3941" s="2">
        <v>46265.597777777803</v>
      </c>
      <c r="C3941" s="2">
        <v>46265.605497685203</v>
      </c>
      <c r="D3941" s="1" t="s">
        <v>24</v>
      </c>
      <c r="E3941" s="1"/>
      <c r="F3941" s="29">
        <v>46265</v>
      </c>
      <c r="G3941" s="29">
        <v>46265</v>
      </c>
      <c r="H3941" s="1" t="s">
        <v>78</v>
      </c>
      <c r="I3941" s="126" t="s">
        <v>8737</v>
      </c>
      <c r="J3941" s="207" t="s">
        <v>8738</v>
      </c>
      <c r="K3941" s="171" t="s">
        <v>8739</v>
      </c>
      <c r="L3941" s="62">
        <v>24127410</v>
      </c>
      <c r="M3941" s="30">
        <v>5213751217411</v>
      </c>
      <c r="N3941" s="172" t="s">
        <v>32</v>
      </c>
      <c r="O3941" s="50">
        <v>4332.32</v>
      </c>
      <c r="P3941" s="97"/>
      <c r="Q3941" s="42">
        <f>OfficeForms.Table[[#This Row],[ INFORMEDEPAGO ]]*0.3</f>
        <v>1299.6959999999999</v>
      </c>
      <c r="R3941" s="12">
        <f t="shared" ref="R3941:R3942" si="272">(IF(O3941&lt;4172.98,0,MIN(O3941*0.3,O3941-4172.98)))-P3941</f>
        <v>159.34000000000015</v>
      </c>
      <c r="S3941" s="78"/>
      <c r="T3941" s="1"/>
      <c r="U3941" s="97"/>
      <c r="V3941" s="1"/>
      <c r="X3941" s="101">
        <v>1</v>
      </c>
    </row>
    <row r="3942" spans="1:24" hidden="1">
      <c r="A3942">
        <v>2367</v>
      </c>
      <c r="B3942" s="2">
        <v>46265.605706018498</v>
      </c>
      <c r="C3942" s="2">
        <v>46265.606064814798</v>
      </c>
      <c r="D3942" s="1" t="s">
        <v>24</v>
      </c>
      <c r="E3942" s="1"/>
      <c r="F3942" s="29">
        <v>46265</v>
      </c>
      <c r="G3942" s="29">
        <v>46265</v>
      </c>
      <c r="H3942" s="1" t="s">
        <v>269</v>
      </c>
      <c r="I3942" s="126" t="s">
        <v>8740</v>
      </c>
      <c r="J3942" s="207"/>
      <c r="K3942" s="171" t="s">
        <v>8741</v>
      </c>
      <c r="L3942" s="62">
        <v>24112100</v>
      </c>
      <c r="M3942" s="30">
        <v>5212462966441</v>
      </c>
      <c r="N3942" s="172" t="s">
        <v>47</v>
      </c>
      <c r="O3942" s="50">
        <v>4931.3599999999997</v>
      </c>
      <c r="P3942" s="97"/>
      <c r="Q3942" s="42">
        <f>OfficeForms.Table[[#This Row],[ INFORMEDEPAGO ]]*0.3</f>
        <v>1479.4079999999999</v>
      </c>
      <c r="R3942" s="12">
        <f t="shared" si="272"/>
        <v>758.38000000000011</v>
      </c>
      <c r="S3942" s="78"/>
      <c r="T3942" s="1"/>
      <c r="U3942" s="97"/>
      <c r="V3942" s="1" t="s">
        <v>8233</v>
      </c>
      <c r="W3942" s="29">
        <v>46265</v>
      </c>
      <c r="X3942" s="101">
        <v>1</v>
      </c>
    </row>
    <row r="3943" spans="1:24" hidden="1">
      <c r="A3943">
        <v>2368</v>
      </c>
      <c r="B3943" s="2">
        <v>46265.612141203703</v>
      </c>
      <c r="C3943" s="2">
        <v>46265.619386574101</v>
      </c>
      <c r="D3943" s="1" t="s">
        <v>24</v>
      </c>
      <c r="E3943" s="1"/>
      <c r="F3943" s="29">
        <v>46265</v>
      </c>
      <c r="G3943" s="29">
        <v>46265</v>
      </c>
      <c r="H3943" s="1" t="s">
        <v>78</v>
      </c>
      <c r="I3943" s="126" t="s">
        <v>8742</v>
      </c>
      <c r="J3943" s="207">
        <v>82795302338</v>
      </c>
      <c r="K3943" s="171" t="s">
        <v>8743</v>
      </c>
      <c r="L3943" s="62">
        <v>24123358</v>
      </c>
      <c r="M3943" s="30">
        <v>5219871058155</v>
      </c>
      <c r="N3943" s="172" t="s">
        <v>28</v>
      </c>
      <c r="O3943" s="50">
        <v>19872.09</v>
      </c>
      <c r="P3943" s="97"/>
      <c r="Q3943" s="42">
        <f>OfficeForms.Table[[#This Row],[ INFORMEDEPAGO ]]*0.3</f>
        <v>5961.6269999999995</v>
      </c>
      <c r="R3943" s="12">
        <f>(IF(O3943&lt;4172.98,0,MIN(O3943*0.3,O3943-4172.98)))-P3943</f>
        <v>5961.6269999999995</v>
      </c>
      <c r="S3943" s="78"/>
      <c r="T3943" s="1"/>
      <c r="U3943" s="97"/>
      <c r="V3943" s="1" t="s">
        <v>8734</v>
      </c>
      <c r="W3943" s="29">
        <v>46265</v>
      </c>
      <c r="X3943" s="101">
        <v>1</v>
      </c>
    </row>
    <row r="3944" spans="1:24" hidden="1">
      <c r="A3944">
        <v>2369</v>
      </c>
      <c r="B3944" s="2">
        <v>46265.599884259304</v>
      </c>
      <c r="C3944" s="2">
        <v>46265.6257638889</v>
      </c>
      <c r="D3944" s="1" t="s">
        <v>24</v>
      </c>
      <c r="E3944" s="1"/>
      <c r="F3944" s="29">
        <v>46265</v>
      </c>
      <c r="G3944" s="29">
        <v>46265</v>
      </c>
      <c r="H3944" s="1" t="s">
        <v>51</v>
      </c>
      <c r="I3944" s="126" t="s">
        <v>8744</v>
      </c>
      <c r="J3944" s="207">
        <v>34816503907</v>
      </c>
      <c r="K3944" s="171" t="s">
        <v>8745</v>
      </c>
      <c r="L3944" s="62">
        <v>24126400</v>
      </c>
      <c r="M3944" s="30">
        <v>5216563492054</v>
      </c>
      <c r="N3944" s="172" t="s">
        <v>37</v>
      </c>
      <c r="O3944" s="52">
        <v>36087.370000000003</v>
      </c>
      <c r="P3944" s="52">
        <v>10826.05</v>
      </c>
      <c r="Q3944" s="42">
        <f>OfficeForms.Table[[#This Row],[ INFORMEDEPAGO ]]*0.3</f>
        <v>10826.211000000001</v>
      </c>
      <c r="R3944" s="12">
        <f t="shared" ref="R3944:R3945" si="273">(IF(O3944&lt;4172.98,0,MIN(O3944*0.3,O3944-4172.98)))-P3944</f>
        <v>0.1610000000018772</v>
      </c>
      <c r="S3944" s="78">
        <v>46905</v>
      </c>
      <c r="T3944" s="1" t="s">
        <v>192</v>
      </c>
      <c r="U3944" s="52">
        <v>10826.05</v>
      </c>
      <c r="V3944" s="1"/>
      <c r="X3944" s="101">
        <v>2</v>
      </c>
    </row>
    <row r="3945" spans="1:24" hidden="1">
      <c r="A3945">
        <v>2370</v>
      </c>
      <c r="B3945" s="2">
        <v>46265.621319444399</v>
      </c>
      <c r="C3945" s="2">
        <v>46265.630127314798</v>
      </c>
      <c r="D3945" s="1" t="s">
        <v>24</v>
      </c>
      <c r="E3945" s="1"/>
      <c r="F3945" s="29">
        <v>46265</v>
      </c>
      <c r="G3945" s="29">
        <v>46265</v>
      </c>
      <c r="H3945" s="1" t="s">
        <v>78</v>
      </c>
      <c r="I3945" s="126" t="s">
        <v>8746</v>
      </c>
      <c r="J3945" s="207">
        <v>34745200484</v>
      </c>
      <c r="K3945" s="171" t="s">
        <v>8747</v>
      </c>
      <c r="L3945" s="62">
        <v>24126774</v>
      </c>
      <c r="M3945" s="30">
        <v>5214491852402</v>
      </c>
      <c r="N3945" s="172" t="s">
        <v>32</v>
      </c>
      <c r="O3945" s="50">
        <v>3869.36</v>
      </c>
      <c r="P3945" s="97"/>
      <c r="Q3945" s="42">
        <f>OfficeForms.Table[[#This Row],[ INFORMEDEPAGO ]]*0.3</f>
        <v>1160.808</v>
      </c>
      <c r="R3945" s="12">
        <f t="shared" si="273"/>
        <v>0</v>
      </c>
      <c r="S3945" s="78"/>
      <c r="T3945" s="1"/>
      <c r="U3945" s="97"/>
      <c r="V3945" s="1"/>
      <c r="X3945" s="101">
        <v>1</v>
      </c>
    </row>
    <row r="3946" spans="1:24" hidden="1">
      <c r="A3946">
        <v>2371</v>
      </c>
      <c r="B3946" s="2">
        <v>46265.630150463003</v>
      </c>
      <c r="C3946" s="2">
        <v>46265.638310185197</v>
      </c>
      <c r="D3946" s="1" t="s">
        <v>24</v>
      </c>
      <c r="E3946" s="1"/>
      <c r="F3946" s="29">
        <v>46265</v>
      </c>
      <c r="G3946" s="29">
        <v>46265</v>
      </c>
      <c r="H3946" s="1" t="s">
        <v>78</v>
      </c>
      <c r="I3946" s="126" t="s">
        <v>8737</v>
      </c>
      <c r="J3946" s="207">
        <v>5480522424</v>
      </c>
      <c r="K3946" s="171" t="s">
        <v>8739</v>
      </c>
      <c r="L3946" s="62">
        <v>24127410</v>
      </c>
      <c r="M3946" s="30">
        <v>5213751217411</v>
      </c>
      <c r="N3946" s="172" t="s">
        <v>32</v>
      </c>
      <c r="O3946" s="50">
        <v>3869.36</v>
      </c>
      <c r="P3946" s="97"/>
      <c r="Q3946" s="42">
        <f>OfficeForms.Table[[#This Row],[ INFORMEDEPAGO ]]*0.3</f>
        <v>1160.808</v>
      </c>
      <c r="R3946" s="12">
        <f t="shared" ref="R3946:R3947" si="274">(IF(O3946&lt;4172.98,0,MIN(O3946*0.3,O3946-4172.98)))-P3946</f>
        <v>0</v>
      </c>
      <c r="S3946" s="78"/>
      <c r="T3946" s="1"/>
      <c r="U3946" s="97"/>
      <c r="V3946" s="1"/>
      <c r="X3946" s="101">
        <v>1</v>
      </c>
    </row>
    <row r="3947" spans="1:24" hidden="1">
      <c r="A3947">
        <v>2372</v>
      </c>
      <c r="B3947" s="2">
        <v>46265.634652777801</v>
      </c>
      <c r="C3947" s="2">
        <v>46265.638715277797</v>
      </c>
      <c r="D3947" s="1" t="s">
        <v>24</v>
      </c>
      <c r="E3947" s="1"/>
      <c r="F3947" s="29">
        <v>46265</v>
      </c>
      <c r="G3947" s="29">
        <v>46265</v>
      </c>
      <c r="H3947" s="1" t="s">
        <v>269</v>
      </c>
      <c r="I3947" s="126" t="s">
        <v>8748</v>
      </c>
      <c r="J3947" s="207" t="s">
        <v>8749</v>
      </c>
      <c r="K3947" s="171" t="s">
        <v>8750</v>
      </c>
      <c r="L3947" s="62">
        <v>24118148</v>
      </c>
      <c r="M3947" s="30">
        <v>5212292254903</v>
      </c>
      <c r="N3947" s="172" t="s">
        <v>106</v>
      </c>
      <c r="O3947" s="52">
        <v>13805.41</v>
      </c>
      <c r="P3947" s="52">
        <v>3832.87</v>
      </c>
      <c r="Q3947" s="42">
        <f>OfficeForms.Table[[#This Row],[ INFORMEDEPAGO ]]*0.3</f>
        <v>4141.6229999999996</v>
      </c>
      <c r="R3947" s="12">
        <f t="shared" si="274"/>
        <v>308.7529999999997</v>
      </c>
      <c r="S3947" s="78">
        <v>46266</v>
      </c>
      <c r="T3947" s="1" t="s">
        <v>6855</v>
      </c>
      <c r="U3947" s="52">
        <v>3832.87</v>
      </c>
      <c r="V3947" s="1" t="s">
        <v>8716</v>
      </c>
      <c r="W3947" s="29">
        <v>46265</v>
      </c>
      <c r="X3947" s="101">
        <v>2</v>
      </c>
    </row>
    <row r="3948" spans="1:24" hidden="1">
      <c r="A3948">
        <v>2373</v>
      </c>
      <c r="B3948" s="2">
        <v>46265.625775462999</v>
      </c>
      <c r="C3948" s="2">
        <v>46265.652604166702</v>
      </c>
      <c r="D3948" s="1" t="s">
        <v>24</v>
      </c>
      <c r="E3948" s="1"/>
      <c r="F3948" s="29">
        <v>46265</v>
      </c>
      <c r="G3948" s="29">
        <v>46265</v>
      </c>
      <c r="H3948" s="1" t="s">
        <v>51</v>
      </c>
      <c r="I3948" s="126" t="s">
        <v>8751</v>
      </c>
      <c r="J3948" s="207"/>
      <c r="K3948" s="171" t="s">
        <v>8752</v>
      </c>
      <c r="L3948" s="62">
        <v>24123336</v>
      </c>
      <c r="M3948" s="30">
        <v>5215582909700</v>
      </c>
      <c r="N3948" s="172" t="s">
        <v>98</v>
      </c>
      <c r="O3948" s="50"/>
      <c r="P3948" s="97"/>
      <c r="Q3948" s="42">
        <f>OfficeForms.Table[[#This Row],[ INFORMEDEPAGO ]]*0.3</f>
        <v>0</v>
      </c>
      <c r="R3948" s="12">
        <f t="shared" ref="R3948" si="275">(IF(O3948&lt;4172.98,0,MIN(O3948*0.3,O3948-4172.98)))-P3948</f>
        <v>0</v>
      </c>
      <c r="S3948" s="78"/>
      <c r="T3948" s="1"/>
      <c r="U3948" s="97"/>
      <c r="V3948" s="1"/>
      <c r="X3948" s="101">
        <v>0</v>
      </c>
    </row>
    <row r="3949" spans="1:24" hidden="1">
      <c r="A3949">
        <v>2374</v>
      </c>
      <c r="B3949" s="2">
        <v>46265.647754629601</v>
      </c>
      <c r="C3949" s="2">
        <v>46265.665520833303</v>
      </c>
      <c r="D3949" s="1" t="s">
        <v>24</v>
      </c>
      <c r="E3949" s="1"/>
      <c r="F3949" s="29">
        <v>46265</v>
      </c>
      <c r="G3949" s="29">
        <v>46264</v>
      </c>
      <c r="H3949" s="1" t="s">
        <v>51</v>
      </c>
      <c r="I3949" s="126" t="s">
        <v>8753</v>
      </c>
      <c r="J3949" s="207">
        <v>11836411527</v>
      </c>
      <c r="K3949" s="171" t="s">
        <v>8754</v>
      </c>
      <c r="L3949" s="62">
        <v>24117474</v>
      </c>
      <c r="M3949" s="30">
        <v>5216142705588</v>
      </c>
      <c r="N3949" s="172" t="s">
        <v>28</v>
      </c>
      <c r="O3949" s="52">
        <v>26742.560000000001</v>
      </c>
      <c r="P3949" s="52">
        <v>4057.65</v>
      </c>
      <c r="Q3949" s="42">
        <f>OfficeForms.Table[[#This Row],[ INFORMEDEPAGO ]]*0.3</f>
        <v>8022.768</v>
      </c>
      <c r="R3949" s="12">
        <f t="shared" ref="R3949" si="276">(IF(O3949&lt;4172.98,0,MIN(O3949*0.3,O3949-4172.98)))-P3949</f>
        <v>3965.1179999999999</v>
      </c>
      <c r="S3949" s="78">
        <v>46419</v>
      </c>
      <c r="T3949" s="1" t="s">
        <v>8696</v>
      </c>
      <c r="U3949" s="97">
        <v>4057.65</v>
      </c>
      <c r="V3949" s="1" t="s">
        <v>8264</v>
      </c>
      <c r="W3949" s="29">
        <v>46265</v>
      </c>
      <c r="X3949" s="101">
        <v>2</v>
      </c>
    </row>
    <row r="3950" spans="1:24" hidden="1">
      <c r="A3950">
        <v>2375</v>
      </c>
      <c r="B3950" s="2">
        <v>46265.665532407402</v>
      </c>
      <c r="C3950" s="2">
        <v>46265.6731828704</v>
      </c>
      <c r="D3950" s="1" t="s">
        <v>24</v>
      </c>
      <c r="E3950" s="1"/>
      <c r="F3950" s="29">
        <v>46265</v>
      </c>
      <c r="G3950" s="29">
        <v>46265</v>
      </c>
      <c r="H3950" s="1" t="s">
        <v>51</v>
      </c>
      <c r="I3950" s="126" t="s">
        <v>8755</v>
      </c>
      <c r="J3950" s="207"/>
      <c r="K3950" s="171" t="s">
        <v>8756</v>
      </c>
      <c r="L3950" s="62">
        <v>24129994</v>
      </c>
      <c r="M3950" s="30">
        <v>5214498985165</v>
      </c>
      <c r="N3950" s="172" t="s">
        <v>37</v>
      </c>
      <c r="O3950" s="43">
        <v>6962.69</v>
      </c>
      <c r="P3950" s="43">
        <v>2011.72</v>
      </c>
      <c r="Q3950" s="42">
        <f>OfficeForms.Table[[#This Row],[ INFORMEDEPAGO ]]*0.3</f>
        <v>2088.8069999999998</v>
      </c>
      <c r="R3950" s="12">
        <f t="shared" ref="R3950" si="277">(IF(O3950&lt;4172.98,0,MIN(O3950*0.3,O3950-4172.98)))-P3950</f>
        <v>77.086999999999762</v>
      </c>
      <c r="S3950" s="78">
        <v>46447</v>
      </c>
      <c r="T3950" s="1" t="s">
        <v>8757</v>
      </c>
      <c r="U3950" s="97">
        <v>2011.72</v>
      </c>
      <c r="V3950" s="1"/>
      <c r="X3950" s="101">
        <v>2</v>
      </c>
    </row>
    <row r="3951" spans="1:24" hidden="1">
      <c r="A3951">
        <v>2376</v>
      </c>
      <c r="B3951" s="2">
        <v>46265.681180555599</v>
      </c>
      <c r="C3951" s="2">
        <v>46265.682766203703</v>
      </c>
      <c r="D3951" s="1" t="s">
        <v>24</v>
      </c>
      <c r="E3951" s="1"/>
      <c r="F3951" s="29">
        <v>46265</v>
      </c>
      <c r="G3951" s="29">
        <v>46265</v>
      </c>
      <c r="H3951" s="1" t="s">
        <v>8721</v>
      </c>
      <c r="I3951" s="126" t="s">
        <v>8758</v>
      </c>
      <c r="J3951" s="207" t="s">
        <v>8759</v>
      </c>
      <c r="K3951" s="171" t="s">
        <v>8760</v>
      </c>
      <c r="L3951" s="62">
        <v>24134424</v>
      </c>
      <c r="M3951" s="30">
        <v>5218332616906</v>
      </c>
      <c r="N3951" s="172" t="s">
        <v>37</v>
      </c>
      <c r="O3951" s="43">
        <v>23412.799999999999</v>
      </c>
      <c r="P3951" s="43">
        <v>7021.57</v>
      </c>
      <c r="Q3951" s="42">
        <f>OfficeForms.Table[[#This Row],[ INFORMEDEPAGO ]]*0.3</f>
        <v>7023.8399999999992</v>
      </c>
      <c r="R3951" s="12">
        <f>(IF(O3951&lt;4172.98,0,MIN(O3951*0.3,O3951-4172.98)))-P3951</f>
        <v>2.2699999999995271</v>
      </c>
      <c r="S3951" s="78">
        <v>46600</v>
      </c>
      <c r="T3951" s="1" t="s">
        <v>8338</v>
      </c>
      <c r="U3951" s="97">
        <v>6035.79</v>
      </c>
      <c r="V3951" s="1"/>
      <c r="X3951" s="101">
        <v>2</v>
      </c>
    </row>
    <row r="3952" spans="1:24" hidden="1">
      <c r="A3952">
        <v>2377</v>
      </c>
      <c r="B3952" s="2">
        <v>46265.587025462999</v>
      </c>
      <c r="C3952" s="2">
        <v>46265.684976851902</v>
      </c>
      <c r="D3952" s="1" t="s">
        <v>24</v>
      </c>
      <c r="E3952" s="1"/>
      <c r="F3952" s="29">
        <v>46265</v>
      </c>
      <c r="G3952" s="29">
        <v>46265</v>
      </c>
      <c r="H3952" s="1" t="s">
        <v>8721</v>
      </c>
      <c r="I3952" s="126" t="s">
        <v>8761</v>
      </c>
      <c r="J3952" s="207">
        <v>2483656995</v>
      </c>
      <c r="K3952" s="171" t="s">
        <v>8762</v>
      </c>
      <c r="L3952" s="62">
        <v>24131178</v>
      </c>
      <c r="M3952" s="30">
        <v>5218671988164</v>
      </c>
      <c r="N3952" s="172" t="s">
        <v>28</v>
      </c>
      <c r="O3952" s="50">
        <v>11029.03</v>
      </c>
      <c r="P3952" s="97"/>
      <c r="Q3952" s="42">
        <f>OfficeForms.Table[[#This Row],[ INFORMEDEPAGO ]]*0.3</f>
        <v>3308.7090000000003</v>
      </c>
      <c r="R3952" s="12">
        <f>(IF(O3952&lt;4172.98,0,MIN(O3952*0.3,O3952-4172.98)))-P3952</f>
        <v>3308.7090000000003</v>
      </c>
      <c r="S3952" s="78"/>
      <c r="T3952" s="1"/>
      <c r="U3952" s="97"/>
      <c r="V3952" s="1" t="s">
        <v>8734</v>
      </c>
      <c r="W3952" s="29">
        <v>46265</v>
      </c>
      <c r="X3952" s="101">
        <v>1</v>
      </c>
    </row>
    <row r="3953" spans="1:24" hidden="1">
      <c r="A3953">
        <v>2378</v>
      </c>
      <c r="B3953" s="2">
        <v>46265.687673611101</v>
      </c>
      <c r="C3953" s="2">
        <v>46265.688287037003</v>
      </c>
      <c r="D3953" s="1" t="s">
        <v>24</v>
      </c>
      <c r="E3953" s="1"/>
      <c r="F3953" s="29">
        <v>46265</v>
      </c>
      <c r="G3953" s="29">
        <v>46265</v>
      </c>
      <c r="H3953" s="1" t="s">
        <v>269</v>
      </c>
      <c r="I3953" s="126" t="s">
        <v>8763</v>
      </c>
      <c r="J3953" s="175" t="s">
        <v>8764</v>
      </c>
      <c r="K3953" s="171" t="s">
        <v>8765</v>
      </c>
      <c r="L3953" s="62">
        <v>24123274</v>
      </c>
      <c r="M3953" s="30">
        <v>5215522749941</v>
      </c>
      <c r="N3953" s="172" t="s">
        <v>37</v>
      </c>
      <c r="O3953" s="50">
        <v>5617.63</v>
      </c>
      <c r="P3953" s="97">
        <v>1334.17</v>
      </c>
      <c r="Q3953" s="42">
        <f>OfficeForms.Table[[#This Row],[ INFORMEDEPAGO ]]*0.3</f>
        <v>1685.289</v>
      </c>
      <c r="R3953" s="12">
        <f>(IF(O3953&lt;4172.98,0,MIN(O3953*0.3,O3953-4172.98)))-P3953</f>
        <v>110.48000000000047</v>
      </c>
      <c r="S3953" s="78">
        <v>46357</v>
      </c>
      <c r="T3953" s="1" t="s">
        <v>8398</v>
      </c>
      <c r="U3953" s="97">
        <v>1334.17</v>
      </c>
      <c r="V3953" s="1"/>
      <c r="X3953" s="101">
        <v>2</v>
      </c>
    </row>
    <row r="3954" spans="1:24" hidden="1">
      <c r="A3954">
        <v>2379</v>
      </c>
      <c r="B3954" s="2">
        <v>46265.708900463003</v>
      </c>
      <c r="C3954" s="2">
        <v>46265.7098148148</v>
      </c>
      <c r="D3954" s="1" t="s">
        <v>24</v>
      </c>
      <c r="E3954" s="1"/>
      <c r="F3954" s="29">
        <v>46265</v>
      </c>
      <c r="G3954" s="29">
        <v>46265</v>
      </c>
      <c r="H3954" s="1" t="s">
        <v>269</v>
      </c>
      <c r="I3954" s="126" t="s">
        <v>8766</v>
      </c>
      <c r="J3954" s="175" t="s">
        <v>8767</v>
      </c>
      <c r="K3954" s="171" t="s">
        <v>8768</v>
      </c>
      <c r="L3954" s="62">
        <v>24127866</v>
      </c>
      <c r="M3954" s="30">
        <v>5218342687555</v>
      </c>
      <c r="N3954" s="172" t="s">
        <v>130</v>
      </c>
      <c r="O3954" s="50">
        <v>4813.1000000000004</v>
      </c>
      <c r="P3954" s="97">
        <v>565.59</v>
      </c>
      <c r="Q3954" s="42">
        <f>OfficeForms.Table[[#This Row],[ INFORMEDEPAGO ]]*0.3</f>
        <v>1443.93</v>
      </c>
      <c r="R3954" s="12">
        <f t="shared" ref="R3954:R3955" si="278">(IF(O3954&lt;4172.98,0,MIN(O3954*0.3,O3954-4172.98)))-P3954</f>
        <v>74.530000000000769</v>
      </c>
      <c r="S3954" s="78">
        <v>45931</v>
      </c>
      <c r="T3954" s="1" t="s">
        <v>8398</v>
      </c>
      <c r="U3954" s="97">
        <v>565.59</v>
      </c>
      <c r="V3954" s="1" t="s">
        <v>8316</v>
      </c>
      <c r="W3954" s="29">
        <v>46265</v>
      </c>
      <c r="X3954" s="101">
        <v>2</v>
      </c>
    </row>
    <row r="3955" spans="1:24" hidden="1">
      <c r="A3955">
        <v>2380</v>
      </c>
      <c r="B3955" s="2">
        <v>46265.712974536997</v>
      </c>
      <c r="C3955" s="2">
        <v>46265.713703703703</v>
      </c>
      <c r="D3955" s="1" t="s">
        <v>24</v>
      </c>
      <c r="E3955" s="1"/>
      <c r="F3955" s="29">
        <v>46265</v>
      </c>
      <c r="G3955" s="29">
        <v>46265</v>
      </c>
      <c r="H3955" s="1" t="s">
        <v>269</v>
      </c>
      <c r="I3955" s="126" t="s">
        <v>8769</v>
      </c>
      <c r="J3955" s="207" t="s">
        <v>8770</v>
      </c>
      <c r="K3955" s="171" t="s">
        <v>8771</v>
      </c>
      <c r="L3955" s="62">
        <v>24128704</v>
      </c>
      <c r="M3955" s="30">
        <v>5213318797099</v>
      </c>
      <c r="N3955" s="172" t="s">
        <v>37</v>
      </c>
      <c r="O3955" s="50">
        <v>7270.12</v>
      </c>
      <c r="P3955" s="97">
        <v>2018.44</v>
      </c>
      <c r="Q3955" s="42">
        <f>OfficeForms.Table[[#This Row],[ INFORMEDEPAGO ]]*0.3</f>
        <v>2181.0360000000001</v>
      </c>
      <c r="R3955" s="12">
        <f t="shared" si="278"/>
        <v>162.596</v>
      </c>
      <c r="S3955" s="78">
        <v>46296</v>
      </c>
      <c r="T3955" s="1" t="s">
        <v>7516</v>
      </c>
      <c r="U3955" s="97">
        <v>2018.44</v>
      </c>
      <c r="V3955" s="1"/>
      <c r="X3955" s="101">
        <v>2</v>
      </c>
    </row>
    <row r="3956" spans="1:24" hidden="1">
      <c r="A3956">
        <v>2381</v>
      </c>
      <c r="B3956" s="2">
        <v>46265.570891203701</v>
      </c>
      <c r="C3956" s="2">
        <v>46265.739537037</v>
      </c>
      <c r="D3956" s="1" t="s">
        <v>24</v>
      </c>
      <c r="E3956" s="1"/>
      <c r="F3956" s="29">
        <v>46265</v>
      </c>
      <c r="G3956" s="29">
        <v>46265</v>
      </c>
      <c r="H3956" s="1" t="s">
        <v>1625</v>
      </c>
      <c r="I3956" s="126" t="s">
        <v>8772</v>
      </c>
      <c r="J3956" s="207" t="s">
        <v>8773</v>
      </c>
      <c r="K3956" s="171" t="s">
        <v>8774</v>
      </c>
      <c r="L3956" s="62">
        <v>2</v>
      </c>
      <c r="M3956" s="30">
        <v>8116731142</v>
      </c>
      <c r="N3956" s="172" t="s">
        <v>37</v>
      </c>
      <c r="O3956" s="50">
        <v>10636.54</v>
      </c>
      <c r="P3956" s="97">
        <v>3187.8</v>
      </c>
      <c r="Q3956" s="42">
        <f>OfficeForms.Table[[#This Row],[ INFORMEDEPAGO ]]*0.3</f>
        <v>3190.962</v>
      </c>
      <c r="R3956" s="12">
        <f t="shared" ref="R3956" si="279">(IF(O3956&lt;4172.98,0,MIN(O3956*0.3,O3956-4172.98)))-P3956</f>
        <v>3.1619999999998072</v>
      </c>
      <c r="S3956" s="78">
        <v>46966</v>
      </c>
      <c r="T3956" s="78">
        <v>46966</v>
      </c>
      <c r="U3956" s="97">
        <v>3187.8</v>
      </c>
      <c r="V3956" s="1"/>
      <c r="X3956" s="101">
        <v>2</v>
      </c>
    </row>
    <row r="3957" spans="1:24">
      <c r="A3957">
        <v>2382</v>
      </c>
      <c r="B3957" s="2">
        <v>46266.316956018498</v>
      </c>
      <c r="C3957" s="2">
        <v>46266.355543981503</v>
      </c>
      <c r="D3957" s="1" t="s">
        <v>24</v>
      </c>
      <c r="E3957" s="1"/>
      <c r="F3957" s="29">
        <v>46266</v>
      </c>
      <c r="G3957" s="29">
        <v>46266</v>
      </c>
      <c r="H3957" s="1" t="s">
        <v>1625</v>
      </c>
      <c r="I3957" s="126" t="s">
        <v>8775</v>
      </c>
      <c r="J3957" s="207">
        <v>32856670255</v>
      </c>
      <c r="K3957" s="171" t="s">
        <v>8776</v>
      </c>
      <c r="L3957" s="62">
        <v>2</v>
      </c>
      <c r="M3957" s="30" t="s">
        <v>8777</v>
      </c>
      <c r="N3957" s="172" t="s">
        <v>37</v>
      </c>
      <c r="O3957" s="50">
        <v>9760.32</v>
      </c>
      <c r="P3957" s="97">
        <v>2926.58</v>
      </c>
      <c r="Q3957" s="42">
        <f>OfficeForms.Table[[#This Row],[ INFORMEDEPAGO ]]*0.3</f>
        <v>2928.096</v>
      </c>
      <c r="R3957" s="12">
        <f t="shared" ref="R3957" si="280">(IF(O3957&lt;4172.98,0,MIN(O3957*0.3,O3957-4172.98)))-P3957</f>
        <v>1.5160000000000764</v>
      </c>
      <c r="S3957" s="78">
        <v>46508</v>
      </c>
      <c r="T3957" s="212" t="s">
        <v>7209</v>
      </c>
      <c r="U3957" s="97">
        <v>2544.0500000000002</v>
      </c>
      <c r="V3957" s="1"/>
    </row>
    <row r="3958" spans="1:24">
      <c r="A3958">
        <v>2383</v>
      </c>
      <c r="B3958" s="2">
        <v>46266.337951388901</v>
      </c>
      <c r="C3958" s="2">
        <v>46266.362685185202</v>
      </c>
      <c r="D3958" s="1" t="s">
        <v>24</v>
      </c>
      <c r="E3958" s="1"/>
      <c r="F3958" s="29">
        <v>46266</v>
      </c>
      <c r="G3958" s="29">
        <v>46265</v>
      </c>
      <c r="H3958" s="1" t="s">
        <v>8297</v>
      </c>
      <c r="I3958" s="126" t="s">
        <v>8778</v>
      </c>
      <c r="J3958" s="207" t="s">
        <v>8779</v>
      </c>
      <c r="K3958" s="171"/>
      <c r="L3958" s="119">
        <v>24136674</v>
      </c>
      <c r="M3958" s="30">
        <v>5214611462487</v>
      </c>
      <c r="N3958" s="172" t="s">
        <v>37</v>
      </c>
      <c r="O3958" s="50">
        <v>9081.52</v>
      </c>
      <c r="P3958" s="97">
        <v>2696.2</v>
      </c>
      <c r="Q3958" s="42">
        <f>OfficeForms.Table[[#This Row],[ INFORMEDEPAGO ]]*0.3</f>
        <v>2724.4560000000001</v>
      </c>
      <c r="R3958" s="12">
        <f t="shared" ref="R3958" si="281">(IF(O3958&lt;4172.98,0,MIN(O3958*0.3,O3958-4172.98)))-P3958</f>
        <v>28.256000000000313</v>
      </c>
      <c r="S3958" s="78">
        <v>46905</v>
      </c>
      <c r="T3958" s="212" t="s">
        <v>7516</v>
      </c>
      <c r="U3958" s="97">
        <v>2696.2</v>
      </c>
      <c r="V3958" s="1"/>
    </row>
    <row r="3959" spans="1:24">
      <c r="A3959">
        <v>2384</v>
      </c>
      <c r="B3959" s="2">
        <v>46266.362719907404</v>
      </c>
      <c r="C3959" s="2">
        <v>46266.393761574102</v>
      </c>
      <c r="D3959" s="1" t="s">
        <v>24</v>
      </c>
      <c r="E3959" s="1"/>
      <c r="F3959" s="29">
        <v>46266</v>
      </c>
      <c r="G3959" s="29">
        <v>46266</v>
      </c>
      <c r="H3959" s="1" t="s">
        <v>8297</v>
      </c>
      <c r="I3959" s="126" t="s">
        <v>8780</v>
      </c>
      <c r="J3959" s="208" t="s">
        <v>8781</v>
      </c>
      <c r="K3959" s="171"/>
      <c r="L3959" s="62">
        <v>24153432</v>
      </c>
      <c r="M3959" s="30">
        <v>5218441100397</v>
      </c>
      <c r="N3959" s="172" t="s">
        <v>28</v>
      </c>
      <c r="O3959" s="50">
        <v>29895.68</v>
      </c>
      <c r="P3959" s="97"/>
      <c r="Q3959" s="42">
        <f>OfficeForms.Table[[#This Row],[ INFORMEDEPAGO ]]*0.3</f>
        <v>8968.7039999999997</v>
      </c>
      <c r="R3959" s="12">
        <f t="shared" ref="R3959:R3960" si="282">(IF(O3959&lt;4172.98,0,MIN(O3959*0.3,O3959-4172.98)))-P3959</f>
        <v>8968.7039999999997</v>
      </c>
      <c r="S3959" s="78"/>
      <c r="T3959" s="212"/>
      <c r="U3959" s="97"/>
      <c r="V3959" s="1" t="s">
        <v>8456</v>
      </c>
      <c r="W3959" s="29">
        <v>46266</v>
      </c>
    </row>
    <row r="3960" spans="1:24">
      <c r="A3960">
        <v>2385</v>
      </c>
      <c r="B3960" s="2">
        <v>46266.402962963002</v>
      </c>
      <c r="C3960" s="2">
        <v>46266.403518518498</v>
      </c>
      <c r="D3960" s="1" t="s">
        <v>24</v>
      </c>
      <c r="E3960" s="1"/>
      <c r="F3960" s="29">
        <v>46266</v>
      </c>
      <c r="G3960" s="29">
        <v>46266</v>
      </c>
      <c r="H3960" s="1" t="s">
        <v>1625</v>
      </c>
      <c r="I3960" s="126" t="s">
        <v>8782</v>
      </c>
      <c r="J3960" s="207" t="s">
        <v>8783</v>
      </c>
      <c r="K3960" s="171" t="s">
        <v>8784</v>
      </c>
      <c r="L3960" s="62">
        <v>2</v>
      </c>
      <c r="M3960" s="30" t="s">
        <v>8785</v>
      </c>
      <c r="N3960" s="172" t="s">
        <v>37</v>
      </c>
      <c r="O3960" s="50">
        <v>5656.49</v>
      </c>
      <c r="P3960" s="97">
        <v>1429</v>
      </c>
      <c r="Q3960" s="42">
        <f>OfficeForms.Table[[#This Row],[ INFORMEDEPAGO ]]*0.3</f>
        <v>1696.9469999999999</v>
      </c>
      <c r="R3960" s="12">
        <f t="shared" si="282"/>
        <v>54.510000000000218</v>
      </c>
      <c r="S3960" s="78">
        <v>46419</v>
      </c>
      <c r="T3960" s="212" t="s">
        <v>8415</v>
      </c>
      <c r="U3960" s="97">
        <v>1429</v>
      </c>
      <c r="V3960" s="1"/>
    </row>
    <row r="3961" spans="1:24">
      <c r="A3961">
        <v>2386</v>
      </c>
      <c r="B3961" s="2">
        <v>46266.4078703704</v>
      </c>
      <c r="C3961" s="2">
        <v>46266.418553240699</v>
      </c>
      <c r="D3961" s="1" t="s">
        <v>24</v>
      </c>
      <c r="E3961" s="1"/>
      <c r="F3961" s="29">
        <v>46266</v>
      </c>
      <c r="G3961" s="29">
        <v>46266</v>
      </c>
      <c r="H3961" s="1" t="s">
        <v>8253</v>
      </c>
      <c r="I3961" s="126" t="s">
        <v>8786</v>
      </c>
      <c r="J3961" s="207"/>
      <c r="K3961" s="171" t="s">
        <v>8787</v>
      </c>
      <c r="L3961" s="62">
        <v>24153904</v>
      </c>
      <c r="M3961" s="30">
        <v>8777885360</v>
      </c>
      <c r="N3961" s="172" t="s">
        <v>37</v>
      </c>
      <c r="O3961" s="50">
        <v>11108.37</v>
      </c>
      <c r="P3961" s="97">
        <v>3332.13</v>
      </c>
      <c r="Q3961" s="42">
        <f>OfficeForms.Table[[#This Row],[ INFORMEDEPAGO ]]*0.3</f>
        <v>3332.511</v>
      </c>
      <c r="R3961" s="12">
        <f t="shared" ref="R3961" si="283">(IF(O3961&lt;4172.98,0,MIN(O3961*0.3,O3961-4172.98)))-P3961</f>
        <v>0.38099999999985812</v>
      </c>
      <c r="S3961" s="78">
        <v>46388</v>
      </c>
      <c r="T3961" s="212" t="s">
        <v>8338</v>
      </c>
      <c r="U3961" s="97">
        <v>2638.75</v>
      </c>
      <c r="V3961" s="1"/>
    </row>
    <row r="3962" spans="1:24">
      <c r="A3962">
        <v>2387</v>
      </c>
      <c r="B3962" s="2">
        <v>46266.438159722202</v>
      </c>
      <c r="C3962" s="2">
        <v>46266.439108796301</v>
      </c>
      <c r="D3962" s="1" t="s">
        <v>24</v>
      </c>
      <c r="E3962" s="1"/>
      <c r="F3962" s="29">
        <v>46266</v>
      </c>
      <c r="G3962" s="29">
        <v>46245</v>
      </c>
      <c r="H3962" s="1" t="s">
        <v>26</v>
      </c>
      <c r="I3962" s="126" t="s">
        <v>8788</v>
      </c>
      <c r="J3962" s="207" t="s">
        <v>7308</v>
      </c>
      <c r="K3962" s="171"/>
      <c r="L3962" s="62">
        <v>23547118</v>
      </c>
      <c r="M3962" s="30">
        <v>5213111586783</v>
      </c>
      <c r="N3962" s="172" t="s">
        <v>28</v>
      </c>
      <c r="O3962" s="50">
        <f>21627.63-10991.09</f>
        <v>10636.54</v>
      </c>
      <c r="P3962" s="97"/>
      <c r="Q3962" s="42">
        <f>OfficeForms.Table[[#This Row],[ INFORMEDEPAGO ]]*0.3</f>
        <v>3190.962</v>
      </c>
      <c r="R3962" s="12">
        <f>(IF(O3962&lt;4172.98,0,MIN(O3962*0.3,O3962-4172.98)))-P3962</f>
        <v>3190.962</v>
      </c>
      <c r="S3962" s="78"/>
      <c r="T3962" s="212"/>
      <c r="U3962" s="97"/>
      <c r="V3962" s="1" t="s">
        <v>8436</v>
      </c>
    </row>
    <row r="3963" spans="1:24">
      <c r="A3963">
        <v>2388</v>
      </c>
      <c r="B3963" s="2">
        <v>46266.439687500002</v>
      </c>
      <c r="C3963" s="2">
        <v>46266.442534722199</v>
      </c>
      <c r="D3963" s="1" t="s">
        <v>24</v>
      </c>
      <c r="E3963" s="1"/>
      <c r="F3963" s="29">
        <v>46266</v>
      </c>
      <c r="G3963" s="29">
        <v>46234</v>
      </c>
      <c r="H3963" s="1" t="s">
        <v>5605</v>
      </c>
      <c r="I3963" s="126" t="s">
        <v>5606</v>
      </c>
      <c r="J3963" s="207" t="s">
        <v>8789</v>
      </c>
      <c r="K3963" s="171" t="s">
        <v>5607</v>
      </c>
      <c r="L3963" s="62">
        <v>23236642</v>
      </c>
      <c r="M3963" s="30">
        <v>9932137178</v>
      </c>
      <c r="N3963" s="172" t="s">
        <v>28</v>
      </c>
      <c r="O3963" s="50">
        <v>7116.73</v>
      </c>
      <c r="P3963" s="97"/>
      <c r="Q3963" s="42">
        <f>OfficeForms.Table[[#This Row],[ INFORMEDEPAGO ]]*0.3</f>
        <v>2135.0189999999998</v>
      </c>
      <c r="R3963" s="12">
        <f>(IF(O3963&lt;4172.98,0,MIN(O3963*0.3,O3963-4172.98)))-P3963</f>
        <v>2135.0189999999998</v>
      </c>
      <c r="S3963" s="78"/>
      <c r="T3963" s="212"/>
      <c r="U3963" s="97"/>
      <c r="V3963" s="1" t="s">
        <v>8734</v>
      </c>
    </row>
    <row r="3964" spans="1:24">
      <c r="A3964">
        <v>2389</v>
      </c>
      <c r="B3964" s="2">
        <v>46266.439895833297</v>
      </c>
      <c r="C3964" s="2">
        <v>46266.445844907401</v>
      </c>
      <c r="D3964" s="1" t="s">
        <v>24</v>
      </c>
      <c r="E3964" s="1"/>
      <c r="F3964" s="29">
        <v>46266</v>
      </c>
      <c r="G3964" s="29">
        <v>46265</v>
      </c>
      <c r="H3964" s="1" t="s">
        <v>51</v>
      </c>
      <c r="I3964" s="126" t="s">
        <v>8790</v>
      </c>
      <c r="J3964" s="207" t="s">
        <v>8791</v>
      </c>
      <c r="K3964" s="171" t="s">
        <v>8792</v>
      </c>
      <c r="L3964" s="62">
        <v>24141062</v>
      </c>
      <c r="M3964" s="30">
        <v>5216681837067</v>
      </c>
      <c r="N3964" s="172" t="s">
        <v>32</v>
      </c>
      <c r="O3964" s="50">
        <v>3491.37</v>
      </c>
      <c r="P3964" s="97"/>
      <c r="Q3964" s="42">
        <f>OfficeForms.Table[[#This Row],[ INFORMEDEPAGO ]]*0.3</f>
        <v>1047.4109999999998</v>
      </c>
      <c r="R3964" s="12">
        <f>(IF(O3964&lt;4172.98,0,MIN(O3964*0.3,O3964-4172.98)))-P3964</f>
        <v>0</v>
      </c>
      <c r="S3964" s="78"/>
      <c r="T3964" s="212"/>
      <c r="U3964" s="97"/>
      <c r="V3964" s="1"/>
    </row>
    <row r="3965" spans="1:24">
      <c r="A3965">
        <v>2390</v>
      </c>
      <c r="B3965" s="2">
        <v>46266.443541666697</v>
      </c>
      <c r="C3965" s="2">
        <v>46266.446516203701</v>
      </c>
      <c r="D3965" s="1" t="s">
        <v>24</v>
      </c>
      <c r="E3965" s="1"/>
      <c r="F3965" s="29">
        <v>46266</v>
      </c>
      <c r="G3965" s="29">
        <v>46266</v>
      </c>
      <c r="H3965" s="1" t="s">
        <v>51</v>
      </c>
      <c r="I3965" s="126" t="s">
        <v>8793</v>
      </c>
      <c r="J3965" s="207">
        <v>13816410263</v>
      </c>
      <c r="K3965" s="171" t="s">
        <v>8794</v>
      </c>
      <c r="L3965" s="62">
        <v>24151192</v>
      </c>
      <c r="M3965" s="30">
        <v>5217731841593</v>
      </c>
      <c r="N3965" s="172" t="s">
        <v>37</v>
      </c>
      <c r="O3965" s="50">
        <v>10590.5</v>
      </c>
      <c r="P3965" s="97">
        <v>3112.54</v>
      </c>
      <c r="Q3965" s="42">
        <f>OfficeForms.Table[[#This Row],[ INFORMEDEPAGO ]]*0.3</f>
        <v>3177.15</v>
      </c>
      <c r="R3965" s="12">
        <f>(IF(O3965&lt;4172.98,0,MIN(O3965*0.3,O3965-4172.98)))-P3965</f>
        <v>64.610000000000127</v>
      </c>
      <c r="S3965" s="78">
        <v>46784</v>
      </c>
      <c r="T3965" s="212" t="s">
        <v>8415</v>
      </c>
      <c r="U3965" s="97">
        <v>3113.54</v>
      </c>
      <c r="V3965" s="1"/>
    </row>
    <row r="3966" spans="1:24">
      <c r="A3966">
        <v>2391</v>
      </c>
      <c r="B3966" s="2">
        <v>46266.447129629603</v>
      </c>
      <c r="C3966" s="2">
        <v>46266.447997685202</v>
      </c>
      <c r="D3966" s="1" t="s">
        <v>24</v>
      </c>
      <c r="E3966" s="1"/>
      <c r="F3966" s="29">
        <v>46266</v>
      </c>
      <c r="G3966" s="29">
        <v>46265</v>
      </c>
      <c r="H3966" s="1" t="s">
        <v>8297</v>
      </c>
      <c r="I3966" s="126" t="s">
        <v>8795</v>
      </c>
      <c r="J3966" s="207"/>
      <c r="K3966" s="171" t="s">
        <v>8796</v>
      </c>
      <c r="L3966" s="62">
        <v>24135908</v>
      </c>
      <c r="M3966" s="30">
        <v>5216681995205</v>
      </c>
      <c r="N3966" s="172" t="s">
        <v>32</v>
      </c>
      <c r="O3966" s="50">
        <v>3565.21</v>
      </c>
      <c r="P3966" s="97">
        <v>848</v>
      </c>
      <c r="Q3966" s="42">
        <f>OfficeForms.Table[[#This Row],[ INFORMEDEPAGO ]]*0.3</f>
        <v>1069.5629999999999</v>
      </c>
      <c r="R3966" s="12">
        <f>(IF(O3966&lt;4172.98,0,MIN(O3966*0.3,O3966-4172.98)))-P3966</f>
        <v>-848</v>
      </c>
      <c r="S3966" s="78"/>
      <c r="T3966" s="212"/>
      <c r="U3966" s="97"/>
      <c r="V3966" s="1"/>
    </row>
    <row r="3967" spans="1:24">
      <c r="A3967">
        <v>2392</v>
      </c>
      <c r="B3967" s="2">
        <v>46266.447222222203</v>
      </c>
      <c r="C3967" s="2">
        <v>46266.448831018497</v>
      </c>
      <c r="D3967" s="1" t="s">
        <v>24</v>
      </c>
      <c r="E3967" s="1"/>
      <c r="F3967" s="29">
        <v>46266</v>
      </c>
      <c r="G3967" s="29">
        <v>46247</v>
      </c>
      <c r="H3967" s="1" t="s">
        <v>8238</v>
      </c>
      <c r="I3967" s="126" t="s">
        <v>8797</v>
      </c>
      <c r="J3967" s="207"/>
      <c r="K3967" s="171" t="s">
        <v>8798</v>
      </c>
      <c r="L3967" s="62">
        <v>23608934</v>
      </c>
      <c r="M3967" s="30">
        <v>6675765220</v>
      </c>
      <c r="N3967" s="172" t="s">
        <v>37</v>
      </c>
      <c r="O3967" s="50">
        <v>6262.86</v>
      </c>
      <c r="P3967" s="97">
        <v>1811.99</v>
      </c>
      <c r="Q3967" s="42">
        <f>OfficeForms.Table[[#This Row],[ INFORMEDEPAGO ]]*0.3</f>
        <v>1878.8579999999997</v>
      </c>
      <c r="R3967" s="12">
        <f>(IF(O3967&lt;4172.98,0,MIN(O3967*0.3,O3967-4172.98)))-P3967</f>
        <v>66.867999999999711</v>
      </c>
      <c r="S3967" s="78">
        <v>46784</v>
      </c>
      <c r="T3967" s="212" t="s">
        <v>7209</v>
      </c>
      <c r="U3967" s="97">
        <v>963.99</v>
      </c>
      <c r="V3967" s="1"/>
    </row>
    <row r="3968" spans="1:24">
      <c r="A3968">
        <v>2393</v>
      </c>
      <c r="B3968" s="2">
        <v>46266.449687499997</v>
      </c>
      <c r="C3968" s="2">
        <v>46266.450925925899</v>
      </c>
      <c r="D3968" s="1" t="s">
        <v>24</v>
      </c>
      <c r="E3968" s="1"/>
      <c r="F3968" s="29">
        <v>46266</v>
      </c>
      <c r="G3968" s="29">
        <v>46266</v>
      </c>
      <c r="H3968" s="1" t="s">
        <v>8297</v>
      </c>
      <c r="I3968" s="126" t="s">
        <v>8799</v>
      </c>
      <c r="J3968" s="207"/>
      <c r="K3968" s="171" t="s">
        <v>8800</v>
      </c>
      <c r="L3968" s="62">
        <v>24153960</v>
      </c>
      <c r="M3968" s="30">
        <v>5213311597124</v>
      </c>
      <c r="N3968" s="172" t="s">
        <v>37</v>
      </c>
      <c r="O3968" s="50">
        <v>9881.5</v>
      </c>
      <c r="P3968" s="97">
        <f>370.85+3159</f>
        <v>3529.85</v>
      </c>
      <c r="Q3968" s="42">
        <f>OfficeForms.Table[[#This Row],[ INFORMEDEPAGO ]]*0.3</f>
        <v>2964.45</v>
      </c>
      <c r="R3968" s="12">
        <f t="shared" ref="R3968:R3970" si="284">(IF(O3968&lt;4172.98,0,MIN(O3968*0.3,O3968-4172.98)))-P3968</f>
        <v>-565.40000000000009</v>
      </c>
      <c r="S3968" s="78">
        <v>46447</v>
      </c>
      <c r="T3968" s="212" t="s">
        <v>8338</v>
      </c>
      <c r="U3968" s="97">
        <v>3159</v>
      </c>
      <c r="V3968" s="1"/>
    </row>
    <row r="3969" spans="1:23">
      <c r="A3969">
        <v>2394</v>
      </c>
      <c r="B3969" s="2">
        <v>46266.454270833303</v>
      </c>
      <c r="C3969" s="2">
        <v>46266.455358796302</v>
      </c>
      <c r="D3969" s="1" t="s">
        <v>24</v>
      </c>
      <c r="E3969" s="1"/>
      <c r="F3969" s="29">
        <v>46266</v>
      </c>
      <c r="G3969" s="29">
        <v>46266</v>
      </c>
      <c r="H3969" s="1" t="s">
        <v>8297</v>
      </c>
      <c r="I3969" s="126" t="s">
        <v>8801</v>
      </c>
      <c r="J3969" s="207" t="s">
        <v>8802</v>
      </c>
      <c r="K3969" s="171" t="s">
        <v>8803</v>
      </c>
      <c r="L3969" s="62">
        <v>24154322</v>
      </c>
      <c r="M3969" s="30">
        <v>5214442872266</v>
      </c>
      <c r="N3969" s="172" t="s">
        <v>74</v>
      </c>
      <c r="O3969" s="50"/>
      <c r="P3969" s="97"/>
      <c r="Q3969" s="42">
        <f>OfficeForms.Table[[#This Row],[ INFORMEDEPAGO ]]*0.3</f>
        <v>0</v>
      </c>
      <c r="R3969" s="12">
        <f t="shared" si="284"/>
        <v>0</v>
      </c>
      <c r="S3969" s="78"/>
      <c r="T3969" s="212"/>
      <c r="U3969" s="97"/>
      <c r="V3969" s="1"/>
    </row>
    <row r="3970" spans="1:23">
      <c r="A3970">
        <v>2395</v>
      </c>
      <c r="B3970" s="2">
        <v>46266.4035532407</v>
      </c>
      <c r="C3970" s="2">
        <v>46266.457372685203</v>
      </c>
      <c r="D3970" s="1" t="s">
        <v>24</v>
      </c>
      <c r="E3970" s="1"/>
      <c r="F3970" s="29">
        <v>46266</v>
      </c>
      <c r="G3970" s="29">
        <v>46266</v>
      </c>
      <c r="H3970" s="1" t="s">
        <v>1625</v>
      </c>
      <c r="I3970" s="126" t="s">
        <v>8804</v>
      </c>
      <c r="J3970" s="207">
        <v>43876201518</v>
      </c>
      <c r="K3970" s="171" t="s">
        <v>8805</v>
      </c>
      <c r="L3970" s="62">
        <v>2</v>
      </c>
      <c r="M3970" s="30">
        <v>8112599564</v>
      </c>
      <c r="N3970" s="172" t="s">
        <v>37</v>
      </c>
      <c r="O3970" s="50">
        <v>8539.89</v>
      </c>
      <c r="P3970" s="97">
        <v>2470.77</v>
      </c>
      <c r="Q3970" s="42">
        <f>OfficeForms.Table[[#This Row],[ INFORMEDEPAGO ]]*0.3</f>
        <v>2561.9669999999996</v>
      </c>
      <c r="R3970" s="12">
        <f t="shared" si="284"/>
        <v>91.196999999999662</v>
      </c>
      <c r="S3970" s="78">
        <v>46539</v>
      </c>
      <c r="T3970" s="212" t="s">
        <v>7516</v>
      </c>
      <c r="U3970" s="97">
        <v>2470.77</v>
      </c>
      <c r="V3970" s="1"/>
    </row>
    <row r="3971" spans="1:23">
      <c r="A3971">
        <v>2396</v>
      </c>
      <c r="B3971" s="2">
        <v>46266.459490740701</v>
      </c>
      <c r="C3971" s="2">
        <v>46266.459953703699</v>
      </c>
      <c r="D3971" s="1" t="s">
        <v>24</v>
      </c>
      <c r="E3971" s="1"/>
      <c r="F3971" s="29">
        <v>46266</v>
      </c>
      <c r="G3971" s="29">
        <v>46266</v>
      </c>
      <c r="H3971" s="1" t="s">
        <v>269</v>
      </c>
      <c r="I3971" s="126" t="s">
        <v>8806</v>
      </c>
      <c r="J3971" s="207"/>
      <c r="K3971" s="171" t="s">
        <v>8807</v>
      </c>
      <c r="L3971" s="62">
        <v>24117498</v>
      </c>
      <c r="M3971" s="30">
        <v>5216623657775</v>
      </c>
      <c r="N3971" s="172" t="s">
        <v>37</v>
      </c>
      <c r="O3971" s="50">
        <v>13273.31</v>
      </c>
      <c r="P3971" s="97">
        <v>3977.21</v>
      </c>
      <c r="Q3971" s="42">
        <f>OfficeForms.Table[[#This Row],[ INFORMEDEPAGO ]]*0.3</f>
        <v>3981.9929999999995</v>
      </c>
      <c r="R3971" s="12">
        <f t="shared" ref="R3971:R3975" si="285">(IF(O3971&lt;4172.98,0,MIN(O3971*0.3,O3971-4172.98)))-P3971</f>
        <v>4.782999999999447</v>
      </c>
      <c r="S3971" s="78">
        <v>46478</v>
      </c>
      <c r="T3971" s="212" t="s">
        <v>8319</v>
      </c>
      <c r="U3971" s="97">
        <v>3840.29</v>
      </c>
      <c r="V3971" s="1"/>
    </row>
    <row r="3972" spans="1:23">
      <c r="A3972">
        <v>2397</v>
      </c>
      <c r="B3972" s="2">
        <v>46266.434872685197</v>
      </c>
      <c r="C3972" s="2">
        <v>46266.461064814801</v>
      </c>
      <c r="D3972" s="1" t="s">
        <v>24</v>
      </c>
      <c r="E3972" s="1"/>
      <c r="F3972" s="29">
        <v>46266</v>
      </c>
      <c r="G3972" s="29">
        <v>46265</v>
      </c>
      <c r="H3972" s="1" t="s">
        <v>8721</v>
      </c>
      <c r="I3972" s="126" t="s">
        <v>8808</v>
      </c>
      <c r="J3972" s="207"/>
      <c r="K3972" s="171" t="s">
        <v>8809</v>
      </c>
      <c r="L3972" s="62">
        <v>24130534</v>
      </c>
      <c r="M3972" s="30">
        <v>5219992333696</v>
      </c>
      <c r="N3972" s="172" t="s">
        <v>28</v>
      </c>
      <c r="O3972" s="50">
        <v>31212.5</v>
      </c>
      <c r="P3972" s="97"/>
      <c r="Q3972" s="42">
        <f>OfficeForms.Table[[#This Row],[ INFORMEDEPAGO ]]*0.3</f>
        <v>9363.75</v>
      </c>
      <c r="R3972" s="12">
        <f t="shared" si="285"/>
        <v>9363.75</v>
      </c>
      <c r="S3972" s="78"/>
      <c r="T3972" s="212"/>
      <c r="U3972" s="97"/>
      <c r="V3972" s="1" t="s">
        <v>8716</v>
      </c>
      <c r="W3972" s="29">
        <v>46266</v>
      </c>
    </row>
    <row r="3973" spans="1:23">
      <c r="A3973">
        <v>2398</v>
      </c>
      <c r="B3973" s="2">
        <v>46266.461261574099</v>
      </c>
      <c r="C3973" s="2">
        <v>46266.461909722202</v>
      </c>
      <c r="D3973" s="1" t="s">
        <v>24</v>
      </c>
      <c r="E3973" s="1"/>
      <c r="F3973" s="29">
        <v>46266</v>
      </c>
      <c r="G3973" s="29">
        <v>46266</v>
      </c>
      <c r="H3973" s="1" t="s">
        <v>269</v>
      </c>
      <c r="I3973" s="126" t="s">
        <v>8810</v>
      </c>
      <c r="J3973" s="207" t="s">
        <v>8811</v>
      </c>
      <c r="K3973" s="171" t="s">
        <v>8812</v>
      </c>
      <c r="L3973" s="62">
        <v>24150794</v>
      </c>
      <c r="M3973" s="30">
        <v>5215562550018</v>
      </c>
      <c r="N3973" s="172" t="s">
        <v>263</v>
      </c>
      <c r="O3973" s="50">
        <v>12155.49</v>
      </c>
      <c r="P3973" s="97">
        <v>3216.2</v>
      </c>
      <c r="Q3973" s="42">
        <f>OfficeForms.Table[[#This Row],[ INFORMEDEPAGO ]]*0.3</f>
        <v>3646.6469999999999</v>
      </c>
      <c r="R3973" s="12">
        <f t="shared" si="285"/>
        <v>430.44700000000012</v>
      </c>
      <c r="S3973" s="78">
        <v>45748</v>
      </c>
      <c r="T3973" s="212" t="s">
        <v>192</v>
      </c>
      <c r="U3973" s="97">
        <v>3216.2</v>
      </c>
      <c r="V3973" s="1" t="s">
        <v>8291</v>
      </c>
      <c r="W3973" s="29">
        <v>46266</v>
      </c>
    </row>
    <row r="3974" spans="1:23">
      <c r="A3974">
        <v>2399</v>
      </c>
      <c r="B3974" s="2">
        <v>46266.461180555598</v>
      </c>
      <c r="C3974" s="2">
        <v>46266.4621990741</v>
      </c>
      <c r="D3974" s="1" t="s">
        <v>24</v>
      </c>
      <c r="E3974" s="1"/>
      <c r="F3974" s="29">
        <v>46266</v>
      </c>
      <c r="G3974" s="29">
        <v>46248</v>
      </c>
      <c r="H3974" s="1" t="s">
        <v>8238</v>
      </c>
      <c r="I3974" s="126" t="s">
        <v>8813</v>
      </c>
      <c r="J3974" s="207"/>
      <c r="K3974" s="171" t="s">
        <v>8814</v>
      </c>
      <c r="L3974" s="62">
        <v>23637202</v>
      </c>
      <c r="M3974" s="30">
        <v>4524803866</v>
      </c>
      <c r="N3974" s="172" t="s">
        <v>47</v>
      </c>
      <c r="O3974" s="50">
        <v>4785.93</v>
      </c>
      <c r="P3974" s="97"/>
      <c r="Q3974" s="42">
        <f>OfficeForms.Table[[#This Row],[ INFORMEDEPAGO ]]*0.3</f>
        <v>1435.779</v>
      </c>
      <c r="R3974" s="12">
        <f t="shared" si="285"/>
        <v>612.95000000000073</v>
      </c>
      <c r="S3974" s="78"/>
      <c r="T3974" s="212"/>
      <c r="U3974" s="97"/>
      <c r="V3974" s="1" t="s">
        <v>8233</v>
      </c>
      <c r="W3974" s="29">
        <v>46266</v>
      </c>
    </row>
    <row r="3975" spans="1:23">
      <c r="A3975">
        <v>2400</v>
      </c>
      <c r="B3975" s="2">
        <v>46266.458587963003</v>
      </c>
      <c r="C3975" s="2">
        <v>46266.465648148202</v>
      </c>
      <c r="D3975" s="1" t="s">
        <v>24</v>
      </c>
      <c r="E3975" s="1"/>
      <c r="F3975" s="29">
        <v>46266</v>
      </c>
      <c r="G3975" s="29">
        <v>46265</v>
      </c>
      <c r="H3975" s="1" t="s">
        <v>78</v>
      </c>
      <c r="I3975" s="126" t="s">
        <v>8815</v>
      </c>
      <c r="J3975" s="207">
        <v>41684810728</v>
      </c>
      <c r="K3975" s="171" t="s">
        <v>8816</v>
      </c>
      <c r="L3975" s="62">
        <v>24143760</v>
      </c>
      <c r="M3975" s="30">
        <v>5214444819100</v>
      </c>
      <c r="N3975" s="172" t="s">
        <v>32</v>
      </c>
      <c r="O3975" s="50">
        <f>3965.69+848</f>
        <v>4813.6900000000005</v>
      </c>
      <c r="P3975" s="97">
        <v>848</v>
      </c>
      <c r="Q3975" s="42">
        <f>OfficeForms.Table[[#This Row],[ INFORMEDEPAGO ]]*0.3</f>
        <v>1444.1070000000002</v>
      </c>
      <c r="R3975" s="12">
        <f t="shared" si="285"/>
        <v>-207.28999999999905</v>
      </c>
      <c r="S3975" s="78"/>
      <c r="T3975" s="212"/>
      <c r="U3975" s="97"/>
      <c r="V3975" s="1"/>
    </row>
    <row r="3976" spans="1:23">
      <c r="A3976">
        <v>2401</v>
      </c>
      <c r="B3976" s="2">
        <v>46266.446539351797</v>
      </c>
      <c r="C3976" s="2">
        <v>46266.469363425902</v>
      </c>
      <c r="D3976" s="1" t="s">
        <v>24</v>
      </c>
      <c r="E3976" s="1"/>
      <c r="F3976" s="29">
        <v>46266</v>
      </c>
      <c r="G3976" s="29">
        <v>46265</v>
      </c>
      <c r="H3976" s="1" t="s">
        <v>51</v>
      </c>
      <c r="I3976" s="126" t="s">
        <v>8817</v>
      </c>
      <c r="J3976" s="207" t="s">
        <v>8818</v>
      </c>
      <c r="K3976" s="171" t="s">
        <v>8819</v>
      </c>
      <c r="L3976" s="62">
        <v>24143202</v>
      </c>
      <c r="M3976" s="30">
        <v>5212271118624</v>
      </c>
      <c r="N3976" s="172" t="s">
        <v>37</v>
      </c>
      <c r="O3976" s="50">
        <v>9250.59</v>
      </c>
      <c r="P3976" s="97">
        <v>2676.41</v>
      </c>
      <c r="Q3976" s="42">
        <f>OfficeForms.Table[[#This Row],[ INFORMEDEPAGO ]]*0.3</f>
        <v>2775.1770000000001</v>
      </c>
      <c r="R3976" s="12">
        <f t="shared" ref="R3976" si="286">(IF(O3976&lt;4172.98,0,MIN(O3976*0.3,O3976-4172.98)))-P3976</f>
        <v>98.76700000000028</v>
      </c>
      <c r="S3976" s="78">
        <v>46419</v>
      </c>
      <c r="T3976" s="212" t="s">
        <v>7516</v>
      </c>
      <c r="U3976" s="97">
        <v>2676.41</v>
      </c>
      <c r="V3976" s="1"/>
    </row>
    <row r="3977" spans="1:23">
      <c r="A3977">
        <v>2402</v>
      </c>
      <c r="B3977" s="2">
        <v>46266.457407407397</v>
      </c>
      <c r="C3977" s="2">
        <v>46266.486863425896</v>
      </c>
      <c r="D3977" s="1" t="s">
        <v>24</v>
      </c>
      <c r="E3977" s="1"/>
      <c r="F3977" s="29">
        <v>46266</v>
      </c>
      <c r="G3977" s="29">
        <v>46266</v>
      </c>
      <c r="H3977" s="1" t="s">
        <v>1625</v>
      </c>
      <c r="I3977" s="126" t="s">
        <v>8820</v>
      </c>
      <c r="J3977" s="207">
        <v>94018011604</v>
      </c>
      <c r="K3977" s="171" t="s">
        <v>8821</v>
      </c>
      <c r="L3977" s="62">
        <v>2</v>
      </c>
      <c r="M3977" s="30">
        <v>5514577458</v>
      </c>
      <c r="N3977" s="172" t="s">
        <v>74</v>
      </c>
      <c r="O3977" s="50"/>
      <c r="P3977" s="97"/>
      <c r="Q3977" s="42">
        <f>OfficeForms.Table[[#This Row],[ INFORMEDEPAGO ]]*0.3</f>
        <v>0</v>
      </c>
      <c r="R3977" s="12">
        <f>(IF(O3977&lt;4172.98,0,MIN(O3977*0.3,O3977-4172.98)))-P3977</f>
        <v>0</v>
      </c>
      <c r="S3977" s="78"/>
      <c r="T3977" s="212"/>
      <c r="U3977" s="97"/>
      <c r="V3977" s="1"/>
    </row>
    <row r="3978" spans="1:23">
      <c r="A3978">
        <v>2403</v>
      </c>
      <c r="B3978" s="2">
        <v>46266.497245370403</v>
      </c>
      <c r="C3978" s="2">
        <v>46266.497893518499</v>
      </c>
      <c r="D3978" s="1" t="s">
        <v>24</v>
      </c>
      <c r="E3978" s="1"/>
      <c r="F3978" s="29">
        <v>46266</v>
      </c>
      <c r="G3978" s="29">
        <v>46266</v>
      </c>
      <c r="H3978" s="1" t="s">
        <v>269</v>
      </c>
      <c r="I3978" s="126" t="s">
        <v>8822</v>
      </c>
      <c r="J3978" s="207" t="s">
        <v>8823</v>
      </c>
      <c r="K3978" s="171" t="s">
        <v>8824</v>
      </c>
      <c r="L3978" s="62">
        <v>24144690</v>
      </c>
      <c r="M3978" s="30">
        <v>5216942746935</v>
      </c>
      <c r="N3978" s="172" t="s">
        <v>32</v>
      </c>
      <c r="O3978" s="50">
        <v>3635.76</v>
      </c>
      <c r="P3978" s="97"/>
      <c r="Q3978" s="42">
        <f>OfficeForms.Table[[#This Row],[ INFORMEDEPAGO ]]*0.3</f>
        <v>1090.7280000000001</v>
      </c>
      <c r="R3978" s="12">
        <f>(IF(O3978&lt;4172.98,0,MIN(O3978*0.3,O3978-4172.98)))-P3978</f>
        <v>0</v>
      </c>
      <c r="S3978" s="78"/>
      <c r="T3978" s="212"/>
      <c r="U3978" s="97"/>
      <c r="V3978" s="1"/>
    </row>
    <row r="3979" spans="1:23">
      <c r="A3979">
        <v>2404</v>
      </c>
      <c r="B3979" s="2">
        <v>46266.5003125</v>
      </c>
      <c r="C3979" s="2">
        <v>46266.501180555599</v>
      </c>
      <c r="D3979" s="1" t="s">
        <v>24</v>
      </c>
      <c r="E3979" s="1"/>
      <c r="F3979" s="29">
        <v>46266</v>
      </c>
      <c r="G3979" s="29">
        <v>46266</v>
      </c>
      <c r="H3979" s="1" t="s">
        <v>8297</v>
      </c>
      <c r="I3979" s="126" t="s">
        <v>8825</v>
      </c>
      <c r="J3979" s="207"/>
      <c r="K3979" s="171" t="s">
        <v>8826</v>
      </c>
      <c r="L3979" s="62">
        <v>24157156</v>
      </c>
      <c r="M3979" s="30">
        <v>5212219833633</v>
      </c>
      <c r="N3979" s="172" t="s">
        <v>37</v>
      </c>
      <c r="O3979" s="52">
        <v>9760.32</v>
      </c>
      <c r="P3979" s="52">
        <v>2927.71</v>
      </c>
      <c r="Q3979" s="42">
        <f>OfficeForms.Table[[#This Row],[ INFORMEDEPAGO ]]*0.3</f>
        <v>2928.096</v>
      </c>
      <c r="R3979" s="12">
        <f>(IF(O3979&lt;4172.98,0,MIN(O3979*0.3,O3979-4172.98)))-P3979</f>
        <v>0.38599999999996726</v>
      </c>
      <c r="S3979" s="78">
        <v>46966</v>
      </c>
      <c r="T3979" s="212" t="s">
        <v>259</v>
      </c>
      <c r="U3979" s="52">
        <v>2927.71</v>
      </c>
      <c r="V3979" s="1"/>
    </row>
    <row r="3980" spans="1:23">
      <c r="A3980">
        <v>2405</v>
      </c>
      <c r="B3980" s="2">
        <v>46266.502326388902</v>
      </c>
      <c r="C3980" s="2">
        <v>46266.502939814804</v>
      </c>
      <c r="D3980" s="1" t="s">
        <v>24</v>
      </c>
      <c r="E3980" s="1"/>
      <c r="F3980" s="29">
        <v>46266</v>
      </c>
      <c r="G3980" s="29">
        <v>46266</v>
      </c>
      <c r="H3980" s="1" t="s">
        <v>269</v>
      </c>
      <c r="I3980" s="126" t="s">
        <v>8827</v>
      </c>
      <c r="J3980" s="207"/>
      <c r="K3980" s="171" t="s">
        <v>8828</v>
      </c>
      <c r="L3980" s="62">
        <v>24144072</v>
      </c>
      <c r="M3980" s="30">
        <v>5218771174848</v>
      </c>
      <c r="N3980" s="172" t="s">
        <v>32</v>
      </c>
      <c r="O3980" s="50">
        <v>4346.2</v>
      </c>
      <c r="P3980" s="97"/>
      <c r="Q3980" s="42">
        <f>OfficeForms.Table[[#This Row],[ INFORMEDEPAGO ]]*0.3</f>
        <v>1303.8599999999999</v>
      </c>
      <c r="R3980" s="12">
        <f>(IF(O3980&lt;4172.98,0,MIN(O3980*0.3,O3980-4172.98)))-P3980</f>
        <v>173.22000000000025</v>
      </c>
      <c r="S3980" s="78"/>
      <c r="T3980" s="212"/>
      <c r="U3980" s="97"/>
      <c r="V3980" s="1"/>
    </row>
    <row r="3981" spans="1:23">
      <c r="A3981">
        <v>2406</v>
      </c>
      <c r="B3981" s="2">
        <v>46266.5062847222</v>
      </c>
      <c r="C3981" s="2">
        <v>46266.506967592599</v>
      </c>
      <c r="D3981" s="1" t="s">
        <v>24</v>
      </c>
      <c r="E3981" s="1"/>
      <c r="F3981" s="29">
        <v>46266</v>
      </c>
      <c r="G3981" s="29">
        <v>46266</v>
      </c>
      <c r="H3981" s="1" t="s">
        <v>8253</v>
      </c>
      <c r="I3981" s="126" t="s">
        <v>8829</v>
      </c>
      <c r="J3981" s="208">
        <v>31745601976</v>
      </c>
      <c r="K3981" s="171" t="s">
        <v>8830</v>
      </c>
      <c r="L3981" s="62">
        <v>24157424</v>
      </c>
      <c r="M3981" s="30">
        <v>6182464156</v>
      </c>
      <c r="N3981" s="172" t="s">
        <v>32</v>
      </c>
      <c r="O3981" s="50">
        <f>2694.29+848</f>
        <v>3542.29</v>
      </c>
      <c r="P3981" s="97">
        <v>848</v>
      </c>
      <c r="Q3981" s="42">
        <f>OfficeForms.Table[[#This Row],[ INFORMEDEPAGO ]]*0.3</f>
        <v>1062.6869999999999</v>
      </c>
      <c r="R3981" s="12">
        <f>(IF(O3981&lt;4172.98,0,MIN(O3981*0.3,O3981-4172.98)))-P3981</f>
        <v>-848</v>
      </c>
      <c r="S3981" s="78"/>
      <c r="T3981" s="212"/>
      <c r="U3981" s="97"/>
      <c r="V3981" s="1"/>
    </row>
    <row r="3982" spans="1:23">
      <c r="A3982">
        <v>2407</v>
      </c>
      <c r="B3982" s="2">
        <v>46266.465671296297</v>
      </c>
      <c r="C3982" s="2">
        <v>46266.517766203702</v>
      </c>
      <c r="D3982" s="1" t="s">
        <v>24</v>
      </c>
      <c r="E3982" s="1"/>
      <c r="F3982" s="29">
        <v>46266</v>
      </c>
      <c r="G3982" s="29">
        <v>46265</v>
      </c>
      <c r="H3982" s="1" t="s">
        <v>8721</v>
      </c>
      <c r="I3982" s="126" t="s">
        <v>8831</v>
      </c>
      <c r="J3982" s="208" t="s">
        <v>8832</v>
      </c>
      <c r="K3982" s="171" t="s">
        <v>8833</v>
      </c>
      <c r="L3982" s="62">
        <v>24134456</v>
      </c>
      <c r="M3982" s="30">
        <v>5212292259441</v>
      </c>
      <c r="N3982" s="172" t="s">
        <v>32</v>
      </c>
      <c r="O3982" s="50">
        <v>3147.87</v>
      </c>
      <c r="P3982" s="97"/>
      <c r="Q3982" s="42">
        <f>OfficeForms.Table[[#This Row],[ INFORMEDEPAGO ]]*0.3</f>
        <v>944.36099999999988</v>
      </c>
      <c r="R3982" s="12">
        <f>(IF(O3982&lt;4172.98,0,MIN(O3982*0.3,O3982-4172.98)))-P3982</f>
        <v>0</v>
      </c>
      <c r="S3982" s="78"/>
      <c r="T3982" s="212"/>
      <c r="U3982" s="97"/>
      <c r="V3982" s="1"/>
    </row>
    <row r="3983" spans="1:23">
      <c r="A3983">
        <v>2408</v>
      </c>
      <c r="B3983" s="2">
        <v>46266.528310185196</v>
      </c>
      <c r="C3983" s="2">
        <v>46266.5289583333</v>
      </c>
      <c r="D3983" s="1" t="s">
        <v>24</v>
      </c>
      <c r="E3983" s="1"/>
      <c r="F3983" s="29">
        <v>46266</v>
      </c>
      <c r="G3983" s="29">
        <v>46266</v>
      </c>
      <c r="H3983" s="1" t="s">
        <v>8253</v>
      </c>
      <c r="I3983" s="126" t="s">
        <v>8834</v>
      </c>
      <c r="J3983" s="207"/>
      <c r="K3983" s="171" t="s">
        <v>8835</v>
      </c>
      <c r="L3983" s="62">
        <v>24156484</v>
      </c>
      <c r="M3983" s="30">
        <v>9983006973</v>
      </c>
      <c r="N3983" s="172" t="s">
        <v>37</v>
      </c>
      <c r="O3983" s="50">
        <v>27060.42</v>
      </c>
      <c r="P3983" s="97">
        <v>7829.23</v>
      </c>
      <c r="Q3983" s="42">
        <f>OfficeForms.Table[[#This Row],[ INFORMEDEPAGO ]]*0.3</f>
        <v>8118.1259999999993</v>
      </c>
      <c r="R3983" s="12">
        <f t="shared" ref="R3983:R3984" si="287">(IF(O3983&lt;4172.98,0,MIN(O3983*0.3,O3983-4172.98)))-P3983</f>
        <v>288.89599999999973</v>
      </c>
      <c r="S3983" s="78">
        <v>46722</v>
      </c>
      <c r="T3983" s="212" t="s">
        <v>7209</v>
      </c>
      <c r="U3983" s="97">
        <v>7829.23</v>
      </c>
      <c r="V3983" s="1"/>
    </row>
    <row r="3984" spans="1:23">
      <c r="A3984">
        <v>2409</v>
      </c>
      <c r="B3984" s="2">
        <v>46266.517789351899</v>
      </c>
      <c r="C3984" s="2">
        <v>46266.529212963003</v>
      </c>
      <c r="D3984" s="1" t="s">
        <v>24</v>
      </c>
      <c r="E3984" s="1"/>
      <c r="F3984" s="29">
        <v>46266</v>
      </c>
      <c r="G3984" s="29">
        <v>46265</v>
      </c>
      <c r="H3984" s="1" t="s">
        <v>8721</v>
      </c>
      <c r="I3984" s="126" t="s">
        <v>8836</v>
      </c>
      <c r="J3984" s="207" t="s">
        <v>8837</v>
      </c>
      <c r="K3984" s="171" t="s">
        <v>8838</v>
      </c>
      <c r="L3984" s="62">
        <v>24133002</v>
      </c>
      <c r="M3984" s="30">
        <v>5217776221672</v>
      </c>
      <c r="N3984" s="172" t="s">
        <v>74</v>
      </c>
      <c r="O3984" s="50"/>
      <c r="P3984" s="97"/>
      <c r="Q3984" s="42">
        <f>OfficeForms.Table[[#This Row],[ INFORMEDEPAGO ]]*0.3</f>
        <v>0</v>
      </c>
      <c r="R3984" s="12">
        <f t="shared" si="287"/>
        <v>0</v>
      </c>
      <c r="S3984" s="78"/>
      <c r="T3984" s="212"/>
      <c r="U3984" s="97"/>
      <c r="V3984" s="1"/>
    </row>
    <row r="3985" spans="1:24">
      <c r="A3985">
        <v>2410</v>
      </c>
      <c r="B3985" s="2">
        <v>46266.537812499999</v>
      </c>
      <c r="C3985" s="2">
        <v>46266.538182870398</v>
      </c>
      <c r="D3985" s="1" t="s">
        <v>24</v>
      </c>
      <c r="E3985" s="1"/>
      <c r="F3985" s="29">
        <v>46266</v>
      </c>
      <c r="G3985" s="29">
        <v>46265</v>
      </c>
      <c r="H3985" s="1" t="s">
        <v>269</v>
      </c>
      <c r="I3985" s="126" t="s">
        <v>8839</v>
      </c>
      <c r="J3985" s="207"/>
      <c r="K3985" s="171" t="s">
        <v>8840</v>
      </c>
      <c r="L3985" s="62">
        <v>24143132</v>
      </c>
      <c r="M3985" s="30">
        <v>5219616551965</v>
      </c>
      <c r="N3985" s="172" t="s">
        <v>98</v>
      </c>
      <c r="O3985" s="50"/>
      <c r="P3985" s="97"/>
      <c r="Q3985" s="42">
        <f>OfficeForms.Table[[#This Row],[ INFORMEDEPAGO ]]*0.3</f>
        <v>0</v>
      </c>
      <c r="R3985" s="12">
        <f>(IF(O3985&lt;4172.98,0,MIN(O3985*0.3,O3985-4172.98)))-P3985</f>
        <v>0</v>
      </c>
      <c r="S3985" s="78"/>
      <c r="T3985" s="212"/>
      <c r="U3985" s="97"/>
      <c r="V3985" s="1"/>
    </row>
    <row r="3986" spans="1:24">
      <c r="A3986">
        <v>2411</v>
      </c>
      <c r="B3986" s="2">
        <v>46266.529247685197</v>
      </c>
      <c r="C3986" s="2">
        <v>46266.590972222199</v>
      </c>
      <c r="D3986" s="1" t="s">
        <v>24</v>
      </c>
      <c r="E3986" s="1"/>
      <c r="F3986" s="29">
        <v>46266</v>
      </c>
      <c r="G3986" s="29">
        <v>46265</v>
      </c>
      <c r="H3986" s="1" t="s">
        <v>8721</v>
      </c>
      <c r="I3986" s="126" t="s">
        <v>8841</v>
      </c>
      <c r="J3986" s="207" t="s">
        <v>8842</v>
      </c>
      <c r="K3986" s="171" t="s">
        <v>8843</v>
      </c>
      <c r="L3986" s="62">
        <v>24134366</v>
      </c>
      <c r="M3986" s="30">
        <v>5218129172160</v>
      </c>
      <c r="N3986" s="172" t="s">
        <v>32</v>
      </c>
      <c r="O3986" s="50">
        <f>4368.58+848</f>
        <v>5216.58</v>
      </c>
      <c r="P3986" s="97">
        <v>848</v>
      </c>
      <c r="Q3986" s="42">
        <f>OfficeForms.Table[[#This Row],[ INFORMEDEPAGO ]]*0.3</f>
        <v>1564.9739999999999</v>
      </c>
      <c r="R3986" s="12">
        <f t="shared" ref="R3986:R3987" si="288">(IF(O3986&lt;4172.98,0,MIN(O3986*0.3,O3986-4172.98)))-P3986</f>
        <v>195.60000000000036</v>
      </c>
      <c r="S3986" s="78"/>
      <c r="T3986" s="212"/>
      <c r="U3986" s="97"/>
      <c r="V3986" s="1"/>
    </row>
    <row r="3987" spans="1:24">
      <c r="A3987">
        <v>2413</v>
      </c>
      <c r="B3987" s="2">
        <v>46266.539629629602</v>
      </c>
      <c r="C3987" s="2">
        <v>46266.597118055601</v>
      </c>
      <c r="D3987" s="1" t="s">
        <v>24</v>
      </c>
      <c r="E3987" s="1"/>
      <c r="F3987" s="29">
        <v>46266</v>
      </c>
      <c r="G3987" s="29">
        <v>46265</v>
      </c>
      <c r="H3987" s="1" t="s">
        <v>78</v>
      </c>
      <c r="I3987" s="126" t="s">
        <v>8844</v>
      </c>
      <c r="J3987" s="207">
        <v>49735730753</v>
      </c>
      <c r="K3987" s="171" t="s">
        <v>8845</v>
      </c>
      <c r="L3987" s="62">
        <v>24143942</v>
      </c>
      <c r="M3987" s="30">
        <v>5218332936862</v>
      </c>
      <c r="N3987" s="172" t="s">
        <v>106</v>
      </c>
      <c r="O3987" s="50">
        <v>18405.73</v>
      </c>
      <c r="P3987" s="97">
        <v>5317.06</v>
      </c>
      <c r="Q3987" s="42">
        <f>OfficeForms.Table[[#This Row],[ INFORMEDEPAGO ]]*0.3</f>
        <v>5521.7190000000001</v>
      </c>
      <c r="R3987" s="12">
        <f t="shared" si="288"/>
        <v>204.65899999999965</v>
      </c>
      <c r="S3987" s="78">
        <v>46054</v>
      </c>
      <c r="T3987" s="212" t="s">
        <v>7516</v>
      </c>
      <c r="U3987" s="97">
        <f>4294.27+318.54</f>
        <v>4612.8100000000004</v>
      </c>
      <c r="V3987" s="1" t="s">
        <v>8264</v>
      </c>
      <c r="W3987" s="29">
        <v>46266</v>
      </c>
    </row>
    <row r="3988" spans="1:24">
      <c r="A3988">
        <v>2414</v>
      </c>
      <c r="B3988" s="2">
        <v>46266.603761574101</v>
      </c>
      <c r="C3988" s="2">
        <v>46266.605798611097</v>
      </c>
      <c r="D3988" s="1" t="s">
        <v>24</v>
      </c>
      <c r="E3988" s="1"/>
      <c r="F3988" s="29">
        <v>46266</v>
      </c>
      <c r="G3988" s="29">
        <v>46266</v>
      </c>
      <c r="H3988" s="1" t="s">
        <v>103</v>
      </c>
      <c r="I3988" s="126" t="s">
        <v>684</v>
      </c>
      <c r="J3988" s="207">
        <v>49715425952</v>
      </c>
      <c r="K3988" s="171"/>
      <c r="L3988" s="62">
        <v>1</v>
      </c>
      <c r="M3988" s="30">
        <v>8672528546</v>
      </c>
      <c r="N3988" s="172" t="s">
        <v>37</v>
      </c>
      <c r="O3988" s="50">
        <v>24981.96</v>
      </c>
      <c r="P3988" s="97">
        <v>7227.88</v>
      </c>
      <c r="Q3988" s="42">
        <f>OfficeForms.Table[[#This Row],[ INFORMEDEPAGO ]]*0.3</f>
        <v>7494.5879999999997</v>
      </c>
      <c r="R3988" s="12">
        <f t="shared" ref="R3988:R3989" si="289">(IF(O3988&lt;4172.98,0,MIN(O3988*0.3,O3988-4172.98)))-P3988</f>
        <v>266.70799999999963</v>
      </c>
      <c r="S3988" s="78">
        <v>46661</v>
      </c>
      <c r="T3988" s="212" t="s">
        <v>7209</v>
      </c>
      <c r="U3988" s="97">
        <v>7227.88</v>
      </c>
      <c r="V3988" s="1"/>
    </row>
    <row r="3989" spans="1:24">
      <c r="A3989">
        <v>2415</v>
      </c>
      <c r="B3989" s="2">
        <v>46266.604143518503</v>
      </c>
      <c r="C3989" s="2">
        <v>46266.605810185203</v>
      </c>
      <c r="D3989" s="1" t="s">
        <v>24</v>
      </c>
      <c r="E3989" s="1"/>
      <c r="F3989" s="29">
        <v>46266</v>
      </c>
      <c r="G3989" s="29">
        <v>46265</v>
      </c>
      <c r="H3989" s="1" t="s">
        <v>8297</v>
      </c>
      <c r="I3989" s="126" t="s">
        <v>8846</v>
      </c>
      <c r="J3989" s="207">
        <v>53825306573</v>
      </c>
      <c r="K3989" s="171" t="s">
        <v>8847</v>
      </c>
      <c r="L3989" s="62">
        <v>24137568</v>
      </c>
      <c r="M3989" s="30">
        <v>4521770393</v>
      </c>
      <c r="N3989" s="172" t="s">
        <v>37</v>
      </c>
      <c r="O3989" s="50">
        <v>6570.84</v>
      </c>
      <c r="P3989" s="97">
        <v>1822.71</v>
      </c>
      <c r="Q3989" s="42">
        <f>OfficeForms.Table[[#This Row],[ INFORMEDEPAGO ]]*0.3</f>
        <v>1971.252</v>
      </c>
      <c r="R3989" s="12">
        <f t="shared" si="289"/>
        <v>148.54199999999992</v>
      </c>
      <c r="S3989" s="78">
        <v>46388</v>
      </c>
      <c r="T3989" s="212" t="s">
        <v>8338</v>
      </c>
      <c r="U3989" s="97">
        <v>1609.86</v>
      </c>
      <c r="V3989" s="1"/>
    </row>
    <row r="3990" spans="1:24">
      <c r="A3990">
        <v>2416</v>
      </c>
      <c r="B3990" s="2">
        <v>46266.614224536999</v>
      </c>
      <c r="C3990" s="2">
        <v>46266.614965277797</v>
      </c>
      <c r="D3990" s="1" t="s">
        <v>24</v>
      </c>
      <c r="E3990" s="1"/>
      <c r="F3990" s="29">
        <v>46266</v>
      </c>
      <c r="G3990" s="29">
        <v>46266</v>
      </c>
      <c r="H3990" s="1" t="s">
        <v>8253</v>
      </c>
      <c r="I3990" s="126" t="s">
        <v>8848</v>
      </c>
      <c r="J3990" s="207">
        <v>10816004815</v>
      </c>
      <c r="K3990" s="171" t="s">
        <v>8849</v>
      </c>
      <c r="L3990" s="62">
        <v>24155416</v>
      </c>
      <c r="M3990" s="30">
        <v>7713397243</v>
      </c>
      <c r="N3990" s="172" t="s">
        <v>28</v>
      </c>
      <c r="O3990" s="50">
        <v>5617.63</v>
      </c>
      <c r="P3990" s="97"/>
      <c r="Q3990" s="42">
        <f>OfficeForms.Table[[#This Row],[ INFORMEDEPAGO ]]*0.3</f>
        <v>1685.289</v>
      </c>
      <c r="R3990" s="12">
        <f>(IF(O3990&lt;4172.98,0,MIN(O3990*0.3,O3990-4172.98)))-P3990</f>
        <v>1444.6500000000005</v>
      </c>
      <c r="S3990" s="78"/>
      <c r="T3990" s="212"/>
      <c r="U3990" s="97"/>
      <c r="V3990" s="1" t="s">
        <v>8436</v>
      </c>
      <c r="W3990" s="29">
        <v>46266</v>
      </c>
    </row>
    <row r="3991" spans="1:24">
      <c r="A3991">
        <v>2417</v>
      </c>
      <c r="B3991" s="2">
        <v>46266.613622685203</v>
      </c>
      <c r="C3991" s="2">
        <v>46266.620324074102</v>
      </c>
      <c r="D3991" s="1" t="s">
        <v>24</v>
      </c>
      <c r="E3991" s="1"/>
      <c r="F3991" s="29">
        <v>46266</v>
      </c>
      <c r="G3991" s="29">
        <v>46266</v>
      </c>
      <c r="H3991" s="1" t="s">
        <v>78</v>
      </c>
      <c r="I3991" s="126" t="s">
        <v>8850</v>
      </c>
      <c r="J3991" s="207"/>
      <c r="K3991" s="171" t="s">
        <v>8851</v>
      </c>
      <c r="L3991" s="62">
        <v>24150934</v>
      </c>
      <c r="M3991" s="30">
        <v>5215512866419</v>
      </c>
      <c r="N3991" s="172" t="s">
        <v>47</v>
      </c>
      <c r="O3991" s="50">
        <v>5060.93</v>
      </c>
      <c r="P3991" s="97"/>
      <c r="Q3991" s="42">
        <f>OfficeForms.Table[[#This Row],[ INFORMEDEPAGO ]]*0.3</f>
        <v>1518.279</v>
      </c>
      <c r="R3991" s="12">
        <f>(IF(O3991&lt;4172.98,0,MIN(O3991*0.3,O3991-4172.98)))-P3991</f>
        <v>887.95000000000073</v>
      </c>
      <c r="S3991" s="78"/>
      <c r="T3991" s="212"/>
      <c r="U3991" s="97"/>
      <c r="V3991" s="1" t="s">
        <v>8233</v>
      </c>
      <c r="W3991" s="29">
        <v>46266</v>
      </c>
    </row>
    <row r="3992" spans="1:24">
      <c r="A3992">
        <v>2418</v>
      </c>
      <c r="B3992" s="2">
        <v>46266.6031365741</v>
      </c>
      <c r="C3992" s="2">
        <v>46266.623645833301</v>
      </c>
      <c r="D3992" s="1" t="s">
        <v>24</v>
      </c>
      <c r="E3992" s="1"/>
      <c r="F3992" s="29">
        <v>46266</v>
      </c>
      <c r="G3992" s="29">
        <v>46266</v>
      </c>
      <c r="H3992" s="1" t="s">
        <v>51</v>
      </c>
      <c r="I3992" s="126" t="s">
        <v>8852</v>
      </c>
      <c r="J3992" s="207" t="s">
        <v>8853</v>
      </c>
      <c r="K3992" s="171" t="s">
        <v>8854</v>
      </c>
      <c r="L3992" s="62">
        <v>24143988</v>
      </c>
      <c r="M3992" s="30">
        <v>5216641204200</v>
      </c>
      <c r="N3992" s="172" t="s">
        <v>28</v>
      </c>
      <c r="O3992" s="50">
        <v>39970.82</v>
      </c>
      <c r="P3992" s="97"/>
      <c r="Q3992" s="42">
        <f>OfficeForms.Table[[#This Row],[ INFORMEDEPAGO ]]*0.3</f>
        <v>11991.245999999999</v>
      </c>
      <c r="R3992" s="12">
        <f>(IF(O3992&lt;4172.98,0,MIN(O3992*0.3,O3992-4172.98)))-P3992</f>
        <v>11991.245999999999</v>
      </c>
      <c r="S3992" s="78"/>
      <c r="T3992" s="212"/>
      <c r="U3992" s="97"/>
      <c r="V3992" s="1" t="s">
        <v>8456</v>
      </c>
      <c r="W3992" s="29">
        <v>46266</v>
      </c>
    </row>
    <row r="3993" spans="1:24">
      <c r="A3993">
        <v>2419</v>
      </c>
      <c r="B3993" s="2">
        <v>46266.623668981498</v>
      </c>
      <c r="C3993" s="2">
        <v>46266.633182870399</v>
      </c>
      <c r="D3993" s="1" t="s">
        <v>24</v>
      </c>
      <c r="E3993" s="1"/>
      <c r="F3993" s="29">
        <v>46266</v>
      </c>
      <c r="G3993" s="29">
        <v>46266</v>
      </c>
      <c r="H3993" s="1" t="s">
        <v>51</v>
      </c>
      <c r="I3993" s="126" t="s">
        <v>8855</v>
      </c>
      <c r="J3993" s="175" t="s">
        <v>8856</v>
      </c>
      <c r="K3993" s="171" t="s">
        <v>8857</v>
      </c>
      <c r="L3993" s="62">
        <v>24147582</v>
      </c>
      <c r="M3993" s="30">
        <v>5215548439985</v>
      </c>
      <c r="N3993" s="172" t="s">
        <v>37</v>
      </c>
      <c r="O3993" s="43">
        <v>5037.79</v>
      </c>
      <c r="P3993" s="43">
        <v>1230</v>
      </c>
      <c r="Q3993" s="42">
        <f>OfficeForms.Table[[#This Row],[ INFORMEDEPAGO ]]*0.3</f>
        <v>1511.337</v>
      </c>
      <c r="R3993" s="12">
        <f>(IF(O3993&lt;4172.98,0,MIN(O3993*0.3,O3993-4172.98)))-P3993</f>
        <v>-365.1899999999996</v>
      </c>
      <c r="S3993" s="78">
        <v>46447</v>
      </c>
      <c r="T3993" s="212" t="s">
        <v>6855</v>
      </c>
      <c r="U3993" s="43">
        <v>1230</v>
      </c>
      <c r="V3993" s="1"/>
    </row>
    <row r="3994" spans="1:24">
      <c r="A3994">
        <v>2420</v>
      </c>
      <c r="B3994" s="2">
        <v>46266.626469907402</v>
      </c>
      <c r="C3994" s="2">
        <v>46266.634004629603</v>
      </c>
      <c r="D3994" s="1" t="s">
        <v>24</v>
      </c>
      <c r="E3994" s="1"/>
      <c r="F3994" s="29">
        <v>46266</v>
      </c>
      <c r="G3994" s="29">
        <v>46265</v>
      </c>
      <c r="H3994" s="1" t="s">
        <v>51</v>
      </c>
      <c r="I3994" s="126" t="s">
        <v>8858</v>
      </c>
      <c r="J3994" s="175" t="s">
        <v>8859</v>
      </c>
      <c r="K3994" s="171" t="s">
        <v>8860</v>
      </c>
      <c r="L3994" s="62">
        <v>24143752</v>
      </c>
      <c r="M3994" s="30">
        <v>5212216276417</v>
      </c>
      <c r="N3994" s="172" t="s">
        <v>37</v>
      </c>
      <c r="O3994" s="43">
        <v>14335.34</v>
      </c>
      <c r="P3994" s="43">
        <v>4297.59</v>
      </c>
      <c r="Q3994" s="42">
        <f>OfficeForms.Table[[#This Row],[ INFORMEDEPAGO ]]*0.3</f>
        <v>4300.6019999999999</v>
      </c>
      <c r="R3994" s="12">
        <f>(IF(O3994&lt;4172.98,0,MIN(O3994*0.3,O3994-4172.98)))-P3994</f>
        <v>3.0119999999997162</v>
      </c>
      <c r="S3994" s="78">
        <v>46784</v>
      </c>
      <c r="T3994" s="212" t="s">
        <v>259</v>
      </c>
      <c r="U3994" s="43">
        <v>4297.59</v>
      </c>
      <c r="V3994" s="1"/>
    </row>
    <row r="3995" spans="1:24">
      <c r="A3995">
        <v>2421</v>
      </c>
      <c r="B3995" s="2">
        <v>46266.630891203698</v>
      </c>
      <c r="C3995" s="2">
        <v>46266.635543981502</v>
      </c>
      <c r="D3995" s="1" t="s">
        <v>24</v>
      </c>
      <c r="E3995" s="1"/>
      <c r="F3995" s="29">
        <v>46266</v>
      </c>
      <c r="G3995" s="29">
        <v>46266</v>
      </c>
      <c r="H3995" s="1" t="s">
        <v>78</v>
      </c>
      <c r="I3995" s="126" t="s">
        <v>8861</v>
      </c>
      <c r="J3995" s="207">
        <v>31876512984</v>
      </c>
      <c r="K3995" s="171" t="s">
        <v>8862</v>
      </c>
      <c r="L3995" s="62">
        <v>24153144</v>
      </c>
      <c r="M3995" s="30">
        <v>5216183290969</v>
      </c>
      <c r="N3995" s="172" t="s">
        <v>28</v>
      </c>
      <c r="O3995" s="50">
        <v>10636.54</v>
      </c>
      <c r="P3995" s="97"/>
      <c r="Q3995" s="42">
        <f>OfficeForms.Table[[#This Row],[ INFORMEDEPAGO ]]*0.3</f>
        <v>3190.962</v>
      </c>
      <c r="R3995" s="12">
        <f>(IF(O3995&lt;4172.98,0,MIN(O3995*0.3,O3995-4172.98)))-P3995</f>
        <v>3190.962</v>
      </c>
      <c r="S3995" s="78"/>
      <c r="T3995" s="212"/>
      <c r="U3995" s="97"/>
      <c r="V3995" s="1" t="s">
        <v>8264</v>
      </c>
      <c r="W3995" s="29">
        <v>46266</v>
      </c>
    </row>
    <row r="3996" spans="1:24">
      <c r="A3996">
        <v>2422</v>
      </c>
      <c r="B3996" s="2">
        <v>46266.638148148202</v>
      </c>
      <c r="C3996" s="2">
        <v>46266.638784722199</v>
      </c>
      <c r="D3996" s="1" t="s">
        <v>24</v>
      </c>
      <c r="E3996" s="1"/>
      <c r="F3996" s="29">
        <v>46266</v>
      </c>
      <c r="G3996" s="29">
        <v>46266</v>
      </c>
      <c r="H3996" s="1" t="s">
        <v>8253</v>
      </c>
      <c r="I3996" s="126" t="s">
        <v>8863</v>
      </c>
      <c r="J3996" s="207">
        <v>43865804306</v>
      </c>
      <c r="K3996" s="171" t="s">
        <v>8864</v>
      </c>
      <c r="L3996" s="62">
        <v>24156254</v>
      </c>
      <c r="M3996" s="30">
        <v>8110393719</v>
      </c>
      <c r="N3996" s="172" t="s">
        <v>47</v>
      </c>
      <c r="O3996" s="50">
        <v>19103.169999999998</v>
      </c>
      <c r="P3996" s="97">
        <v>5303.27</v>
      </c>
      <c r="Q3996" s="42">
        <f>OfficeForms.Table[[#This Row],[ INFORMEDEPAGO ]]*0.3</f>
        <v>5730.9509999999991</v>
      </c>
      <c r="R3996" s="12">
        <f>(IF(O3996&lt;4172.98,0,MIN(O3996*0.3,O3996-4172.98)))-P3996</f>
        <v>427.68099999999868</v>
      </c>
      <c r="S3996" s="78">
        <v>46327</v>
      </c>
      <c r="T3996" s="212" t="s">
        <v>8338</v>
      </c>
      <c r="U3996" s="97">
        <v>5303.27</v>
      </c>
      <c r="V3996" s="1" t="s">
        <v>8233</v>
      </c>
      <c r="W3996" s="29">
        <v>46266</v>
      </c>
    </row>
    <row r="3997" spans="1:24">
      <c r="A3997">
        <v>2423</v>
      </c>
      <c r="B3997" s="2">
        <v>46266.603159722203</v>
      </c>
      <c r="C3997" s="2">
        <v>46266.6393634259</v>
      </c>
      <c r="D3997" s="1" t="s">
        <v>24</v>
      </c>
      <c r="E3997" s="1"/>
      <c r="F3997" s="29">
        <v>46266</v>
      </c>
      <c r="G3997" s="29">
        <v>46265</v>
      </c>
      <c r="H3997" s="1" t="s">
        <v>8721</v>
      </c>
      <c r="I3997" s="126" t="s">
        <v>8865</v>
      </c>
      <c r="J3997" s="207">
        <v>22786203392</v>
      </c>
      <c r="K3997" s="171" t="s">
        <v>8866</v>
      </c>
      <c r="L3997" s="62">
        <v>24133218</v>
      </c>
      <c r="M3997" s="30">
        <v>5216122046141</v>
      </c>
      <c r="N3997" s="172" t="s">
        <v>28</v>
      </c>
      <c r="O3997" s="50">
        <f>136443.04-126682.72</f>
        <v>9760.320000000007</v>
      </c>
      <c r="P3997" s="97"/>
      <c r="Q3997" s="42">
        <f>OfficeForms.Table[[#This Row],[ INFORMEDEPAGO ]]*0.3</f>
        <v>2928.0960000000018</v>
      </c>
      <c r="R3997" s="12">
        <f>(IF(O3997&lt;4172.98,0,MIN(O3997*0.3,O3997-4172.98)))-P3997</f>
        <v>2928.0960000000018</v>
      </c>
      <c r="S3997" s="78"/>
      <c r="T3997" s="212"/>
      <c r="U3997" s="97"/>
      <c r="V3997" s="1" t="s">
        <v>8280</v>
      </c>
      <c r="W3997" s="29">
        <v>46266</v>
      </c>
    </row>
    <row r="3998" spans="1:24">
      <c r="A3998">
        <v>2424</v>
      </c>
      <c r="B3998" s="2">
        <v>46266.640590277799</v>
      </c>
      <c r="C3998" s="2">
        <v>46266.642094907402</v>
      </c>
      <c r="D3998" s="1" t="s">
        <v>24</v>
      </c>
      <c r="E3998" s="1"/>
      <c r="F3998" s="29">
        <v>46266</v>
      </c>
      <c r="G3998" s="29">
        <v>46266</v>
      </c>
      <c r="H3998" s="1" t="s">
        <v>8297</v>
      </c>
      <c r="I3998" s="126" t="s">
        <v>8867</v>
      </c>
      <c r="J3998" s="207">
        <v>84906917061</v>
      </c>
      <c r="K3998" s="171"/>
      <c r="L3998" s="62">
        <v>24166848</v>
      </c>
      <c r="M3998" s="30">
        <v>5219845200715</v>
      </c>
      <c r="N3998" s="172" t="s">
        <v>32</v>
      </c>
      <c r="O3998" s="50">
        <v>3781.44</v>
      </c>
      <c r="P3998" s="97"/>
      <c r="Q3998" s="42">
        <f>OfficeForms.Table[[#This Row],[ INFORMEDEPAGO ]]*0.3</f>
        <v>1134.432</v>
      </c>
      <c r="R3998" s="12">
        <f>(IF(O3998&lt;4172.98,0,MIN(O3998*0.3,O3998-4172.98)))-P3998</f>
        <v>0</v>
      </c>
      <c r="S3998" s="78"/>
      <c r="T3998" s="212"/>
      <c r="U3998" s="97"/>
      <c r="V3998" s="1"/>
    </row>
    <row r="3999" spans="1:24">
      <c r="A3999">
        <v>2425</v>
      </c>
      <c r="B3999" s="2">
        <v>46266.646446759303</v>
      </c>
      <c r="C3999" s="2">
        <v>46266.648113425901</v>
      </c>
      <c r="D3999" s="1" t="s">
        <v>24</v>
      </c>
      <c r="E3999" s="1"/>
      <c r="F3999" s="29">
        <v>46266</v>
      </c>
      <c r="G3999" s="29">
        <v>46265</v>
      </c>
      <c r="H3999" s="1" t="s">
        <v>8238</v>
      </c>
      <c r="I3999" s="126" t="s">
        <v>8868</v>
      </c>
      <c r="J3999" s="207"/>
      <c r="K3999" s="171" t="s">
        <v>8869</v>
      </c>
      <c r="L3999" s="62">
        <v>24167800</v>
      </c>
      <c r="M3999" s="30">
        <v>7551027655</v>
      </c>
      <c r="N3999" s="172" t="s">
        <v>28</v>
      </c>
      <c r="O3999" s="50">
        <v>22537.38</v>
      </c>
      <c r="P3999" s="97"/>
      <c r="Q3999" s="42">
        <f>OfficeForms.Table[[#This Row],[ INFORMEDEPAGO ]]*0.3</f>
        <v>6761.2139999999999</v>
      </c>
      <c r="R3999" s="12">
        <f>(IF(O3999&lt;4172.98,0,MIN(O3999*0.3,O3999-4172.98)))-P3999</f>
        <v>6761.2139999999999</v>
      </c>
      <c r="S3999" s="78"/>
      <c r="T3999" s="212"/>
      <c r="U3999" s="97"/>
      <c r="V3999" s="1" t="s">
        <v>8535</v>
      </c>
      <c r="W3999" s="29">
        <v>46266</v>
      </c>
      <c r="X3999" s="101">
        <v>1</v>
      </c>
    </row>
    <row r="4000" spans="1:24">
      <c r="A4000">
        <v>2426</v>
      </c>
      <c r="B4000" s="2">
        <v>46266.667870370402</v>
      </c>
      <c r="C4000" s="2">
        <v>46266.672905092601</v>
      </c>
      <c r="D4000" s="1" t="s">
        <v>24</v>
      </c>
      <c r="E4000" s="1"/>
      <c r="F4000" s="29">
        <v>46266</v>
      </c>
      <c r="G4000" s="29">
        <v>46266</v>
      </c>
      <c r="H4000" s="1" t="s">
        <v>8297</v>
      </c>
      <c r="I4000" s="126" t="s">
        <v>8870</v>
      </c>
      <c r="J4000" s="207"/>
      <c r="K4000" s="171" t="s">
        <v>8871</v>
      </c>
      <c r="L4000" s="62">
        <v>24162118</v>
      </c>
      <c r="M4000" s="30">
        <v>5212431089626</v>
      </c>
      <c r="N4000" s="172" t="s">
        <v>28</v>
      </c>
      <c r="O4000" s="50">
        <v>10636.54</v>
      </c>
      <c r="P4000" s="97"/>
      <c r="Q4000" s="42">
        <f>OfficeForms.Table[[#This Row],[ INFORMEDEPAGO ]]*0.3</f>
        <v>3190.962</v>
      </c>
      <c r="R4000" s="12">
        <f>(IF(O4000&lt;4172.98,0,MIN(O4000*0.3,O4000-4172.98)))-P4000</f>
        <v>3190.962</v>
      </c>
      <c r="S4000" s="78"/>
      <c r="T4000" s="212"/>
      <c r="U4000" s="97"/>
      <c r="V4000" s="1" t="s">
        <v>8291</v>
      </c>
      <c r="W4000" s="29">
        <v>46266</v>
      </c>
    </row>
    <row r="4001" spans="1:24">
      <c r="A4001">
        <v>2427</v>
      </c>
      <c r="B4001" s="2">
        <v>46266.637615740699</v>
      </c>
      <c r="C4001" s="2">
        <v>46266.685763888898</v>
      </c>
      <c r="D4001" s="1" t="s">
        <v>24</v>
      </c>
      <c r="E4001" s="1"/>
      <c r="F4001" s="29">
        <v>46266</v>
      </c>
      <c r="G4001" s="29">
        <v>46266</v>
      </c>
      <c r="H4001" s="1" t="s">
        <v>78</v>
      </c>
      <c r="I4001" s="126" t="s">
        <v>8872</v>
      </c>
      <c r="J4001" s="207"/>
      <c r="K4001" s="171" t="s">
        <v>8873</v>
      </c>
      <c r="L4001" s="62">
        <v>24150606</v>
      </c>
      <c r="M4001" s="30">
        <v>5215522615493</v>
      </c>
      <c r="N4001" s="172" t="s">
        <v>37</v>
      </c>
      <c r="O4001" s="52">
        <v>7920.51</v>
      </c>
      <c r="P4001" s="52">
        <v>2373.56</v>
      </c>
      <c r="Q4001" s="42">
        <f>OfficeForms.Table[[#This Row],[ INFORMEDEPAGO ]]*0.3</f>
        <v>2376.1529999999998</v>
      </c>
      <c r="R4001" s="12">
        <f t="shared" ref="R4001:R4002" si="290">(IF(O4001&lt;4172.98,0,MIN(O4001*0.3,O4001-4172.98)))-P4001</f>
        <v>2.5929999999998472</v>
      </c>
      <c r="S4001" s="78">
        <v>46661</v>
      </c>
      <c r="T4001" s="212" t="s">
        <v>178</v>
      </c>
      <c r="U4001" s="97">
        <v>820.91</v>
      </c>
      <c r="V4001" s="1"/>
    </row>
    <row r="4002" spans="1:24">
      <c r="A4002">
        <v>2428</v>
      </c>
      <c r="B4002" s="2">
        <v>46266.686574074098</v>
      </c>
      <c r="C4002" s="2">
        <v>46266.687430555598</v>
      </c>
      <c r="D4002" s="1" t="s">
        <v>24</v>
      </c>
      <c r="E4002" s="1"/>
      <c r="F4002" s="29">
        <v>46266</v>
      </c>
      <c r="G4002" s="29">
        <v>46265</v>
      </c>
      <c r="H4002" s="1" t="s">
        <v>8238</v>
      </c>
      <c r="I4002" s="126" t="s">
        <v>8874</v>
      </c>
      <c r="J4002" s="207">
        <v>24705416899</v>
      </c>
      <c r="K4002" s="171"/>
      <c r="L4002" s="62">
        <v>24157472</v>
      </c>
      <c r="M4002" s="30">
        <v>6462266843</v>
      </c>
      <c r="N4002" s="172" t="s">
        <v>47</v>
      </c>
      <c r="O4002" s="52">
        <v>42004.43</v>
      </c>
      <c r="P4002" s="52">
        <v>12138.33</v>
      </c>
      <c r="Q4002" s="42">
        <f>OfficeForms.Table[[#This Row],[ INFORMEDEPAGO ]]*0.3</f>
        <v>12601.329</v>
      </c>
      <c r="R4002" s="12">
        <f t="shared" si="290"/>
        <v>462.9989999999998</v>
      </c>
      <c r="S4002" s="78">
        <v>46600</v>
      </c>
      <c r="T4002" s="212" t="s">
        <v>8338</v>
      </c>
      <c r="U4002" s="52">
        <v>12138.33</v>
      </c>
      <c r="V4002" s="1" t="s">
        <v>8233</v>
      </c>
      <c r="W4002" s="29">
        <v>46266</v>
      </c>
      <c r="X4002" s="101">
        <v>2</v>
      </c>
    </row>
    <row r="4003" spans="1:24">
      <c r="A4003">
        <v>2429</v>
      </c>
      <c r="B4003" s="2">
        <v>46266.689606481501</v>
      </c>
      <c r="C4003" s="2">
        <v>46266.689942129597</v>
      </c>
      <c r="D4003" s="1" t="s">
        <v>24</v>
      </c>
      <c r="E4003" s="1"/>
      <c r="F4003" s="29">
        <v>46266</v>
      </c>
      <c r="G4003" s="29">
        <v>46266</v>
      </c>
      <c r="H4003" s="1" t="s">
        <v>1625</v>
      </c>
      <c r="I4003" s="126" t="s">
        <v>8875</v>
      </c>
      <c r="J4003" s="207">
        <v>32816305323</v>
      </c>
      <c r="K4003" s="171" t="s">
        <v>8876</v>
      </c>
      <c r="L4003" s="62">
        <v>2</v>
      </c>
      <c r="M4003" s="30">
        <v>8129094803</v>
      </c>
      <c r="N4003" s="172" t="s">
        <v>37</v>
      </c>
      <c r="O4003" s="52">
        <v>5055.87</v>
      </c>
      <c r="P4003" s="52">
        <v>1202</v>
      </c>
      <c r="Q4003" s="42">
        <f>OfficeForms.Table[[#This Row],[ INFORMEDEPAGO ]]*0.3</f>
        <v>1516.761</v>
      </c>
      <c r="R4003" s="12">
        <f t="shared" ref="R4003" si="291">(IF(O4003&lt;4172.98,0,MIN(O4003*0.3,O4003-4172.98)))-P4003</f>
        <v>-319.10999999999967</v>
      </c>
      <c r="S4003" s="78">
        <v>46419</v>
      </c>
      <c r="T4003" s="212" t="s">
        <v>7516</v>
      </c>
      <c r="U4003" s="52">
        <v>1202</v>
      </c>
      <c r="V4003" s="1"/>
    </row>
    <row r="4004" spans="1:24">
      <c r="A4004">
        <v>2430</v>
      </c>
      <c r="B4004" s="2">
        <v>46266.6950462963</v>
      </c>
      <c r="C4004" s="2">
        <v>46266.6957175926</v>
      </c>
      <c r="D4004" s="1" t="s">
        <v>24</v>
      </c>
      <c r="E4004" s="1"/>
      <c r="F4004" s="29">
        <v>46266</v>
      </c>
      <c r="G4004" s="29">
        <v>46266</v>
      </c>
      <c r="H4004" s="1" t="s">
        <v>8253</v>
      </c>
      <c r="I4004" s="126" t="s">
        <v>8877</v>
      </c>
      <c r="J4004" s="207"/>
      <c r="K4004" s="171" t="s">
        <v>8878</v>
      </c>
      <c r="L4004" s="62">
        <v>24158392</v>
      </c>
      <c r="M4004" s="30">
        <v>5582197233</v>
      </c>
      <c r="N4004" s="172" t="s">
        <v>32</v>
      </c>
      <c r="O4004" s="52">
        <v>3879.3</v>
      </c>
      <c r="P4004" s="52">
        <v>879</v>
      </c>
      <c r="Q4004" s="42">
        <f>OfficeForms.Table[[#This Row],[ INFORMEDEPAGO ]]*0.3</f>
        <v>1163.79</v>
      </c>
      <c r="R4004" s="12">
        <f t="shared" ref="R4004:R4005" si="292">(IF(O4004&lt;4172.98,0,MIN(O4004*0.3,O4004-4172.98)))-P4004</f>
        <v>-879</v>
      </c>
      <c r="S4004" s="78"/>
      <c r="T4004" s="212"/>
      <c r="U4004" s="97"/>
      <c r="V4004" s="1"/>
    </row>
    <row r="4005" spans="1:24">
      <c r="A4005">
        <v>2431</v>
      </c>
      <c r="B4005" s="2">
        <v>46266.697175925903</v>
      </c>
      <c r="C4005" s="2">
        <v>46266.6977430556</v>
      </c>
      <c r="D4005" s="1" t="s">
        <v>24</v>
      </c>
      <c r="E4005" s="1"/>
      <c r="F4005" s="29">
        <v>46266</v>
      </c>
      <c r="G4005" s="29">
        <v>46266</v>
      </c>
      <c r="H4005" s="1" t="s">
        <v>269</v>
      </c>
      <c r="I4005" s="126" t="s">
        <v>8879</v>
      </c>
      <c r="J4005" s="175" t="s">
        <v>8880</v>
      </c>
      <c r="K4005" s="171" t="s">
        <v>8881</v>
      </c>
      <c r="L4005" s="62">
        <v>24152474</v>
      </c>
      <c r="M4005" s="30">
        <v>5214774085467</v>
      </c>
      <c r="N4005" s="172" t="s">
        <v>37</v>
      </c>
      <c r="O4005" s="50">
        <v>6422.04</v>
      </c>
      <c r="P4005" s="97">
        <v>1922.51</v>
      </c>
      <c r="Q4005" s="42">
        <f>OfficeForms.Table[[#This Row],[ INFORMEDEPAGO ]]*0.3</f>
        <v>1926.6119999999999</v>
      </c>
      <c r="R4005" s="12">
        <f t="shared" si="292"/>
        <v>4.1019999999998618</v>
      </c>
      <c r="S4005" s="78">
        <v>46966</v>
      </c>
      <c r="T4005" s="212" t="s">
        <v>259</v>
      </c>
      <c r="U4005" s="97">
        <v>1922.51</v>
      </c>
      <c r="V4005" s="1"/>
    </row>
    <row r="4006" spans="1:24">
      <c r="A4006">
        <v>2432</v>
      </c>
      <c r="B4006" s="2">
        <v>46266.6983680556</v>
      </c>
      <c r="C4006" s="2">
        <v>46266.7160069444</v>
      </c>
      <c r="D4006" s="1" t="s">
        <v>24</v>
      </c>
      <c r="E4006" s="1"/>
      <c r="F4006" s="29">
        <v>46266</v>
      </c>
      <c r="G4006" s="29">
        <v>46265</v>
      </c>
      <c r="H4006" s="1" t="s">
        <v>8721</v>
      </c>
      <c r="I4006" s="126" t="s">
        <v>8882</v>
      </c>
      <c r="J4006" s="175"/>
      <c r="K4006" s="171" t="s">
        <v>8883</v>
      </c>
      <c r="L4006" s="62">
        <v>24133440</v>
      </c>
      <c r="M4006" s="30">
        <v>5217551312885</v>
      </c>
      <c r="N4006" s="172" t="s">
        <v>37</v>
      </c>
      <c r="O4006" s="52">
        <v>49321.94</v>
      </c>
      <c r="P4006" s="52">
        <v>14796.41</v>
      </c>
      <c r="Q4006" s="42">
        <f>OfficeForms.Table[[#This Row],[ INFORMEDEPAGO ]]*0.3</f>
        <v>14796.582</v>
      </c>
      <c r="R4006" s="12">
        <f t="shared" ref="R4006" si="293">(IF(O4006&lt;4172.98,0,MIN(O4006*0.3,O4006-4172.98)))-P4006</f>
        <v>0.17200000000048021</v>
      </c>
      <c r="S4006" s="78">
        <v>46388</v>
      </c>
      <c r="T4006" s="212" t="s">
        <v>7516</v>
      </c>
      <c r="U4006" s="97">
        <v>10324.01</v>
      </c>
      <c r="V4006" s="1"/>
    </row>
    <row r="4007" spans="1:24">
      <c r="A4007">
        <v>2433</v>
      </c>
      <c r="B4007" s="2">
        <v>46266.689953703702</v>
      </c>
      <c r="C4007" s="2">
        <v>46266.7264236111</v>
      </c>
      <c r="D4007" s="1" t="s">
        <v>24</v>
      </c>
      <c r="E4007" s="1"/>
      <c r="F4007" s="29">
        <v>46266</v>
      </c>
      <c r="G4007" s="29">
        <v>46266</v>
      </c>
      <c r="H4007" s="1" t="s">
        <v>1625</v>
      </c>
      <c r="I4007" s="126" t="s">
        <v>8884</v>
      </c>
      <c r="J4007" s="175" t="s">
        <v>8885</v>
      </c>
      <c r="K4007" s="171" t="s">
        <v>8886</v>
      </c>
      <c r="L4007" s="62">
        <v>2</v>
      </c>
      <c r="M4007" s="30">
        <v>7451578735</v>
      </c>
      <c r="N4007" s="172" t="s">
        <v>32</v>
      </c>
      <c r="O4007" s="52">
        <v>3961.31</v>
      </c>
      <c r="P4007" s="52">
        <v>879</v>
      </c>
      <c r="Q4007" s="42">
        <f>OfficeForms.Table[[#This Row],[ INFORMEDEPAGO ]]*0.3</f>
        <v>1188.393</v>
      </c>
      <c r="R4007" s="12">
        <f t="shared" ref="R4007" si="294">(IF(O4007&lt;4172.98,0,MIN(O4007*0.3,O4007-4172.98)))-P4007</f>
        <v>-879</v>
      </c>
      <c r="S4007" s="78"/>
      <c r="T4007" s="212"/>
      <c r="U4007" s="97"/>
      <c r="V4007" s="1"/>
    </row>
    <row r="4008" spans="1:24">
      <c r="A4008">
        <v>2434</v>
      </c>
      <c r="B4008" s="2">
        <v>46267.275034722203</v>
      </c>
      <c r="C4008" s="2">
        <v>46267.275636574101</v>
      </c>
      <c r="D4008" s="1" t="s">
        <v>24</v>
      </c>
      <c r="E4008" s="1"/>
      <c r="F4008" s="29">
        <v>46267</v>
      </c>
      <c r="G4008" s="29">
        <v>46267</v>
      </c>
      <c r="H4008" s="1" t="s">
        <v>103</v>
      </c>
      <c r="I4008" s="126" t="s">
        <v>684</v>
      </c>
      <c r="J4008" s="175">
        <v>49786004819</v>
      </c>
      <c r="K4008" s="171"/>
      <c r="L4008" s="62">
        <v>1</v>
      </c>
      <c r="M4008" s="30">
        <v>8331859864</v>
      </c>
      <c r="N4008" s="172" t="s">
        <v>98</v>
      </c>
      <c r="O4008" s="67"/>
      <c r="P4008" s="99"/>
      <c r="Q4008" s="42">
        <f>OfficeForms.Table[[#This Row],[ INFORMEDEPAGO ]]*0.3</f>
        <v>0</v>
      </c>
      <c r="R4008" s="12">
        <f t="shared" ref="R4008:R4009" si="295">(IF(O4008&lt;4172.98,0,MIN(O4008*0.3,O4008-4172.98)))-P4008</f>
        <v>0</v>
      </c>
      <c r="S4008" s="78"/>
      <c r="T4008" s="212"/>
      <c r="U4008" s="97"/>
      <c r="V4008" s="1"/>
    </row>
    <row r="4009" spans="1:24">
      <c r="A4009">
        <v>2435</v>
      </c>
      <c r="B4009" s="2">
        <v>46267.322708333297</v>
      </c>
      <c r="C4009" s="2">
        <v>46267.369421296302</v>
      </c>
      <c r="D4009" s="1" t="s">
        <v>24</v>
      </c>
      <c r="E4009" s="1"/>
      <c r="F4009" s="29">
        <v>46267</v>
      </c>
      <c r="G4009" s="29">
        <v>46267</v>
      </c>
      <c r="H4009" s="1" t="s">
        <v>1625</v>
      </c>
      <c r="I4009" s="126" t="s">
        <v>8887</v>
      </c>
      <c r="J4009" s="175">
        <v>7087720551</v>
      </c>
      <c r="K4009" s="171" t="s">
        <v>8888</v>
      </c>
      <c r="L4009" s="62">
        <v>2</v>
      </c>
      <c r="M4009" s="30" t="s">
        <v>8889</v>
      </c>
      <c r="N4009" s="172" t="s">
        <v>47</v>
      </c>
      <c r="O4009" s="67">
        <v>5642.22</v>
      </c>
      <c r="P4009" s="99">
        <f>1469.23-848</f>
        <v>621.23</v>
      </c>
      <c r="Q4009" s="42">
        <f>OfficeForms.Table[[#This Row],[ INFORMEDEPAGO ]]*0.3</f>
        <v>1692.6659999999999</v>
      </c>
      <c r="R4009" s="12">
        <f t="shared" si="295"/>
        <v>848.01000000000067</v>
      </c>
      <c r="S4009" s="78">
        <v>46966</v>
      </c>
      <c r="T4009" s="212" t="s">
        <v>7209</v>
      </c>
      <c r="U4009" s="97">
        <v>621.23</v>
      </c>
      <c r="V4009" s="1"/>
    </row>
    <row r="4010" spans="1:24">
      <c r="A4010">
        <v>2436</v>
      </c>
      <c r="B4010" s="2">
        <v>46267.369456018503</v>
      </c>
      <c r="C4010" s="2">
        <v>46267.4062037037</v>
      </c>
      <c r="D4010" s="1" t="s">
        <v>24</v>
      </c>
      <c r="E4010" s="1"/>
      <c r="F4010" s="29">
        <v>46267</v>
      </c>
      <c r="G4010" s="29">
        <v>46267</v>
      </c>
      <c r="H4010" s="1" t="s">
        <v>1625</v>
      </c>
      <c r="I4010" s="126" t="s">
        <v>8890</v>
      </c>
      <c r="J4010" s="175">
        <v>43826478547</v>
      </c>
      <c r="K4010" s="171" t="s">
        <v>8891</v>
      </c>
      <c r="L4010" s="62">
        <v>2</v>
      </c>
      <c r="M4010" s="30">
        <v>8184671699</v>
      </c>
      <c r="N4010" s="172" t="s">
        <v>37</v>
      </c>
      <c r="O4010" s="52">
        <v>16209.71</v>
      </c>
      <c r="P4010" s="52">
        <v>4862.91</v>
      </c>
      <c r="Q4010" s="42">
        <f>OfficeForms.Table[[#This Row],[ INFORMEDEPAGO ]]*0.3</f>
        <v>4862.9129999999996</v>
      </c>
      <c r="R4010" s="12">
        <f t="shared" ref="R4010:R4014" si="296">(IF(O4010&lt;4172.98,0,MIN(O4010*0.3,O4010-4172.98)))-P4010</f>
        <v>2.9999999997016857E-3</v>
      </c>
      <c r="S4010" s="78">
        <v>46569</v>
      </c>
      <c r="T4010" s="212" t="s">
        <v>7209</v>
      </c>
      <c r="U4010" s="97">
        <v>4689.8599999999997</v>
      </c>
      <c r="V4010" s="1"/>
    </row>
    <row r="4011" spans="1:24">
      <c r="A4011">
        <v>2437</v>
      </c>
      <c r="B4011" s="2">
        <v>46267.4239930556</v>
      </c>
      <c r="C4011" s="2">
        <v>46267.426712963003</v>
      </c>
      <c r="D4011" s="1" t="s">
        <v>24</v>
      </c>
      <c r="E4011" s="1"/>
      <c r="F4011" s="29">
        <v>46267</v>
      </c>
      <c r="G4011" s="29">
        <v>46266</v>
      </c>
      <c r="H4011" s="1" t="s">
        <v>269</v>
      </c>
      <c r="I4011" s="126" t="s">
        <v>8892</v>
      </c>
      <c r="J4011" s="207" t="s">
        <v>8893</v>
      </c>
      <c r="K4011" s="171" t="s">
        <v>8894</v>
      </c>
      <c r="L4011" s="62">
        <v>24151366</v>
      </c>
      <c r="M4011" s="30">
        <v>5214442855532</v>
      </c>
      <c r="N4011" s="172" t="s">
        <v>28</v>
      </c>
      <c r="O4011" s="67">
        <v>8173.36</v>
      </c>
      <c r="P4011" s="99"/>
      <c r="Q4011" s="42">
        <f>OfficeForms.Table[[#This Row],[ INFORMEDEPAGO ]]*0.3</f>
        <v>2452.0079999999998</v>
      </c>
      <c r="R4011" s="12">
        <f t="shared" si="296"/>
        <v>2452.0079999999998</v>
      </c>
      <c r="S4011" s="78"/>
      <c r="T4011" s="212"/>
      <c r="U4011" s="97"/>
      <c r="V4011" s="1" t="s">
        <v>8264</v>
      </c>
      <c r="W4011" s="29">
        <v>46267</v>
      </c>
    </row>
    <row r="4012" spans="1:24">
      <c r="A4012">
        <v>2438</v>
      </c>
      <c r="B4012" s="2">
        <v>46267.427696759303</v>
      </c>
      <c r="C4012" s="2">
        <v>46267.428124999999</v>
      </c>
      <c r="D4012" s="1" t="s">
        <v>24</v>
      </c>
      <c r="E4012" s="1"/>
      <c r="F4012" s="29">
        <v>46267</v>
      </c>
      <c r="G4012" s="29">
        <v>46266</v>
      </c>
      <c r="H4012" s="1" t="s">
        <v>269</v>
      </c>
      <c r="I4012" s="126" t="s">
        <v>8895</v>
      </c>
      <c r="J4012" s="207" t="s">
        <v>8896</v>
      </c>
      <c r="K4012" s="171"/>
      <c r="L4012" s="62">
        <v>24179268</v>
      </c>
      <c r="M4012" s="30">
        <v>5216624248987</v>
      </c>
      <c r="N4012" s="172" t="s">
        <v>37</v>
      </c>
      <c r="O4012" s="67">
        <v>5617.63</v>
      </c>
      <c r="P4012" s="99">
        <v>1383.22</v>
      </c>
      <c r="Q4012" s="42">
        <f>OfficeForms.Table[[#This Row],[ INFORMEDEPAGO ]]*0.3</f>
        <v>1685.289</v>
      </c>
      <c r="R4012" s="12">
        <f t="shared" si="296"/>
        <v>61.430000000000518</v>
      </c>
      <c r="S4012" s="78">
        <v>46569</v>
      </c>
      <c r="T4012" s="212" t="s">
        <v>8897</v>
      </c>
      <c r="U4012" s="97">
        <v>556.77</v>
      </c>
      <c r="V4012" s="1"/>
    </row>
    <row r="4013" spans="1:24">
      <c r="A4013">
        <v>2439</v>
      </c>
      <c r="B4013" s="2">
        <v>46267.433611111097</v>
      </c>
      <c r="C4013" s="2">
        <v>46267.434421296297</v>
      </c>
      <c r="D4013" s="1" t="s">
        <v>24</v>
      </c>
      <c r="E4013" s="1"/>
      <c r="F4013" s="29">
        <v>46267</v>
      </c>
      <c r="G4013" s="29">
        <v>46264</v>
      </c>
      <c r="H4013" s="1" t="s">
        <v>8238</v>
      </c>
      <c r="I4013" s="126" t="s">
        <v>8898</v>
      </c>
      <c r="J4013" s="175"/>
      <c r="K4013" s="171" t="s">
        <v>8899</v>
      </c>
      <c r="L4013" s="62">
        <v>24156070</v>
      </c>
      <c r="M4013" s="30">
        <v>6561768376</v>
      </c>
      <c r="N4013" s="172" t="s">
        <v>37</v>
      </c>
      <c r="O4013" s="67">
        <v>12730.34</v>
      </c>
      <c r="P4013" s="99">
        <v>3680.15</v>
      </c>
      <c r="Q4013" s="42">
        <f>OfficeForms.Table[[#This Row],[ INFORMEDEPAGO ]]*0.3</f>
        <v>3819.1019999999999</v>
      </c>
      <c r="R4013" s="12">
        <f t="shared" si="296"/>
        <v>138.95199999999977</v>
      </c>
      <c r="S4013" s="78">
        <v>46508</v>
      </c>
      <c r="T4013" s="212" t="s">
        <v>259</v>
      </c>
      <c r="U4013" s="97">
        <v>2262.433</v>
      </c>
      <c r="V4013" s="1"/>
    </row>
    <row r="4014" spans="1:24">
      <c r="A4014">
        <v>2440</v>
      </c>
      <c r="B4014" s="2">
        <v>46267.423680555599</v>
      </c>
      <c r="C4014" s="2">
        <v>46267.436006944401</v>
      </c>
      <c r="D4014" s="1" t="s">
        <v>24</v>
      </c>
      <c r="E4014" s="1"/>
      <c r="F4014" s="29">
        <v>46267</v>
      </c>
      <c r="G4014" s="29">
        <v>46233</v>
      </c>
      <c r="H4014" s="1" t="s">
        <v>8297</v>
      </c>
      <c r="I4014" s="126" t="s">
        <v>8900</v>
      </c>
      <c r="J4014" s="175">
        <v>84816402501</v>
      </c>
      <c r="K4014" s="171" t="s">
        <v>8901</v>
      </c>
      <c r="L4014" s="62">
        <v>23261044</v>
      </c>
      <c r="M4014" s="30">
        <v>5219889679408</v>
      </c>
      <c r="N4014" s="172" t="s">
        <v>263</v>
      </c>
      <c r="O4014" s="67">
        <v>9504.7000000000007</v>
      </c>
      <c r="P4014" s="99">
        <v>2622.91</v>
      </c>
      <c r="Q4014" s="42">
        <f>OfficeForms.Table[[#This Row],[ INFORMEDEPAGO ]]*0.3</f>
        <v>2851.4100000000003</v>
      </c>
      <c r="R4014" s="12">
        <f t="shared" si="296"/>
        <v>228.50000000000045</v>
      </c>
      <c r="S4014" s="78">
        <v>46266</v>
      </c>
      <c r="T4014" s="212" t="s">
        <v>178</v>
      </c>
      <c r="U4014" s="97">
        <v>2622.91</v>
      </c>
      <c r="V4014" s="1" t="s">
        <v>8291</v>
      </c>
      <c r="W4014" s="29">
        <v>46267</v>
      </c>
    </row>
    <row r="4015" spans="1:24">
      <c r="A4015">
        <v>2441</v>
      </c>
      <c r="B4015" s="2">
        <v>46267.437071759297</v>
      </c>
      <c r="C4015" s="2">
        <v>46267.437881944403</v>
      </c>
      <c r="D4015" s="1" t="s">
        <v>24</v>
      </c>
      <c r="E4015" s="1"/>
      <c r="F4015" s="29">
        <v>46267</v>
      </c>
      <c r="G4015" s="29">
        <v>46266</v>
      </c>
      <c r="H4015" s="1" t="s">
        <v>269</v>
      </c>
      <c r="I4015" s="126" t="s">
        <v>8902</v>
      </c>
      <c r="J4015" s="207" t="s">
        <v>8903</v>
      </c>
      <c r="K4015" s="171" t="s">
        <v>8904</v>
      </c>
      <c r="L4015" s="62">
        <v>24179372</v>
      </c>
      <c r="M4015" s="30">
        <v>5216643034108</v>
      </c>
      <c r="N4015" s="172" t="s">
        <v>130</v>
      </c>
      <c r="O4015" s="67">
        <v>5121.62</v>
      </c>
      <c r="P4015" s="99">
        <v>761.39</v>
      </c>
      <c r="Q4015" s="42">
        <f>OfficeForms.Table[[#This Row],[ INFORMEDEPAGO ]]*0.3</f>
        <v>1536.4859999999999</v>
      </c>
      <c r="R4015" s="12">
        <f t="shared" ref="R4015:R4018" si="297">(IF(O4015&lt;4172.98,0,MIN(O4015*0.3,O4015-4172.98)))-P4015</f>
        <v>187.25000000000034</v>
      </c>
      <c r="S4015" s="78">
        <v>45536</v>
      </c>
      <c r="T4015" s="212" t="s">
        <v>8398</v>
      </c>
      <c r="U4015" s="97">
        <v>761.39</v>
      </c>
      <c r="V4015" s="1" t="s">
        <v>8316</v>
      </c>
      <c r="W4015" s="29">
        <v>46267</v>
      </c>
    </row>
    <row r="4016" spans="1:24">
      <c r="A4016">
        <v>2442</v>
      </c>
      <c r="B4016" s="2">
        <v>46267.437337962998</v>
      </c>
      <c r="C4016" s="2">
        <v>46267.438969907402</v>
      </c>
      <c r="D4016" s="1" t="s">
        <v>24</v>
      </c>
      <c r="E4016" s="1"/>
      <c r="F4016" s="29">
        <v>46267</v>
      </c>
      <c r="G4016" s="29">
        <v>46267</v>
      </c>
      <c r="H4016" s="1" t="s">
        <v>8253</v>
      </c>
      <c r="I4016" s="126" t="s">
        <v>8905</v>
      </c>
      <c r="J4016" s="207"/>
      <c r="K4016" s="171" t="s">
        <v>8906</v>
      </c>
      <c r="L4016" s="62">
        <v>24191050</v>
      </c>
      <c r="M4016" s="30">
        <v>8337295437</v>
      </c>
      <c r="N4016" s="172" t="s">
        <v>37</v>
      </c>
      <c r="O4016" s="67">
        <v>5060.93</v>
      </c>
      <c r="P4016" s="99">
        <v>885.23</v>
      </c>
      <c r="Q4016" s="42">
        <f>OfficeForms.Table[[#This Row],[ INFORMEDEPAGO ]]*0.3</f>
        <v>1518.279</v>
      </c>
      <c r="R4016" s="12">
        <f t="shared" si="297"/>
        <v>2.7200000000007094</v>
      </c>
      <c r="S4016" s="78">
        <v>46478</v>
      </c>
      <c r="T4016" s="212" t="s">
        <v>259</v>
      </c>
      <c r="U4016" s="97">
        <v>678.73</v>
      </c>
      <c r="V4016" s="1"/>
    </row>
    <row r="4017" spans="1:23">
      <c r="A4017">
        <v>2443</v>
      </c>
      <c r="B4017" s="2">
        <v>46267.406238425901</v>
      </c>
      <c r="C4017" s="2">
        <v>46267.440405092602</v>
      </c>
      <c r="D4017" s="1" t="s">
        <v>24</v>
      </c>
      <c r="E4017" s="1"/>
      <c r="F4017" s="29">
        <v>46267</v>
      </c>
      <c r="G4017" s="29">
        <v>46267</v>
      </c>
      <c r="H4017" s="1" t="s">
        <v>1625</v>
      </c>
      <c r="I4017" s="126" t="s">
        <v>8907</v>
      </c>
      <c r="J4017" s="207" t="s">
        <v>8908</v>
      </c>
      <c r="K4017" s="171" t="s">
        <v>8909</v>
      </c>
      <c r="L4017" s="62">
        <v>2</v>
      </c>
      <c r="M4017" s="30">
        <v>8119945530</v>
      </c>
      <c r="N4017" s="172" t="s">
        <v>106</v>
      </c>
      <c r="O4017" s="43">
        <v>7920.51</v>
      </c>
      <c r="P4017" s="43">
        <v>2197.7199999999998</v>
      </c>
      <c r="Q4017" s="42">
        <f>OfficeForms.Table[[#This Row],[ INFORMEDEPAGO ]]*0.3</f>
        <v>2376.1529999999998</v>
      </c>
      <c r="R4017" s="12">
        <f t="shared" si="297"/>
        <v>178.43299999999999</v>
      </c>
      <c r="S4017" s="78">
        <v>46204</v>
      </c>
      <c r="T4017" s="212" t="s">
        <v>7209</v>
      </c>
      <c r="U4017" s="97">
        <v>2197.7199999999998</v>
      </c>
      <c r="V4017" s="1"/>
    </row>
    <row r="4018" spans="1:23">
      <c r="A4018">
        <v>2444</v>
      </c>
      <c r="B4018" s="2">
        <v>46267.444467592599</v>
      </c>
      <c r="C4018" s="2">
        <v>46267.445011574098</v>
      </c>
      <c r="D4018" s="1" t="s">
        <v>24</v>
      </c>
      <c r="E4018" s="1"/>
      <c r="F4018" s="29">
        <v>46267</v>
      </c>
      <c r="G4018" s="29">
        <v>46266</v>
      </c>
      <c r="H4018" s="1" t="s">
        <v>269</v>
      </c>
      <c r="I4018" s="126" t="s">
        <v>8910</v>
      </c>
      <c r="J4018" s="207" t="s">
        <v>8911</v>
      </c>
      <c r="K4018" s="171" t="s">
        <v>8912</v>
      </c>
      <c r="L4018" s="62">
        <v>24174758</v>
      </c>
      <c r="M4018" s="30">
        <v>5215623571098</v>
      </c>
      <c r="N4018" s="172" t="s">
        <v>28</v>
      </c>
      <c r="O4018" s="67">
        <v>20668.52</v>
      </c>
      <c r="P4018" s="99"/>
      <c r="Q4018" s="42">
        <f>OfficeForms.Table[[#This Row],[ INFORMEDEPAGO ]]*0.3</f>
        <v>6200.5559999999996</v>
      </c>
      <c r="R4018" s="12">
        <f t="shared" si="297"/>
        <v>6200.5559999999996</v>
      </c>
      <c r="S4018" s="78"/>
      <c r="T4018" s="212"/>
      <c r="U4018" s="97"/>
      <c r="V4018" s="1" t="s">
        <v>8716</v>
      </c>
      <c r="W4018" s="29">
        <v>46267</v>
      </c>
    </row>
    <row r="4019" spans="1:23">
      <c r="A4019">
        <v>2445</v>
      </c>
      <c r="B4019" s="2">
        <v>46267.446192129602</v>
      </c>
      <c r="C4019" s="2">
        <v>46267.448171296302</v>
      </c>
      <c r="D4019" s="1" t="s">
        <v>24</v>
      </c>
      <c r="E4019" s="1"/>
      <c r="F4019" s="29">
        <v>46267</v>
      </c>
      <c r="G4019" s="29">
        <v>46265</v>
      </c>
      <c r="H4019" s="1" t="s">
        <v>8238</v>
      </c>
      <c r="I4019" s="126" t="s">
        <v>8913</v>
      </c>
      <c r="J4019" s="207"/>
      <c r="K4019" s="171" t="s">
        <v>8914</v>
      </c>
      <c r="L4019" s="62">
        <v>24135746</v>
      </c>
      <c r="M4019" s="30">
        <v>3113965877</v>
      </c>
      <c r="N4019" s="172" t="s">
        <v>28</v>
      </c>
      <c r="O4019" s="67">
        <v>6443.71</v>
      </c>
      <c r="P4019" s="99"/>
      <c r="Q4019" s="42">
        <f>OfficeForms.Table[[#This Row],[ INFORMEDEPAGO ]]*0.3</f>
        <v>1933.1129999999998</v>
      </c>
      <c r="R4019" s="12">
        <f>(IF(O4019&lt;4172.98,0,MIN(O4019*0.3,O4019-4172.98)))-P4019</f>
        <v>1933.1129999999998</v>
      </c>
      <c r="S4019" s="78"/>
      <c r="T4019" s="212"/>
      <c r="U4019" s="97"/>
      <c r="V4019" s="1" t="s">
        <v>8915</v>
      </c>
      <c r="W4019" s="29">
        <v>46267</v>
      </c>
    </row>
    <row r="4020" spans="1:23">
      <c r="A4020">
        <v>2446</v>
      </c>
      <c r="B4020" s="2">
        <v>46267.441655092603</v>
      </c>
      <c r="C4020" s="2">
        <v>46267.450115740699</v>
      </c>
      <c r="D4020" s="1" t="s">
        <v>24</v>
      </c>
      <c r="E4020" s="1"/>
      <c r="F4020" s="29">
        <v>46267</v>
      </c>
      <c r="G4020" s="29">
        <v>46267</v>
      </c>
      <c r="H4020" s="1" t="s">
        <v>51</v>
      </c>
      <c r="I4020" s="126" t="s">
        <v>8916</v>
      </c>
      <c r="J4020" s="207">
        <v>88836313986</v>
      </c>
      <c r="K4020" s="171" t="s">
        <v>8917</v>
      </c>
      <c r="L4020" s="62">
        <v>24189214</v>
      </c>
      <c r="M4020" s="30">
        <v>5214443485459</v>
      </c>
      <c r="N4020" s="172" t="s">
        <v>28</v>
      </c>
      <c r="O4020" s="67">
        <v>12234.97</v>
      </c>
      <c r="P4020" s="99"/>
      <c r="Q4020" s="42">
        <f>OfficeForms.Table[[#This Row],[ INFORMEDEPAGO ]]*0.3</f>
        <v>3670.4909999999995</v>
      </c>
      <c r="R4020" s="12">
        <f>(IF(O4020&lt;4172.98,0,MIN(O4020*0.3,O4020-4172.98)))-P4020</f>
        <v>3670.4909999999995</v>
      </c>
      <c r="S4020" s="78"/>
      <c r="T4020" s="212"/>
      <c r="U4020" s="97"/>
      <c r="V4020" s="1" t="s">
        <v>8456</v>
      </c>
      <c r="W4020" s="29">
        <v>46267</v>
      </c>
    </row>
    <row r="4021" spans="1:23">
      <c r="A4021">
        <v>2447</v>
      </c>
      <c r="B4021" s="2">
        <v>46267.454849537004</v>
      </c>
      <c r="C4021" s="2">
        <v>46267.455532407403</v>
      </c>
      <c r="D4021" s="1" t="s">
        <v>24</v>
      </c>
      <c r="E4021" s="1"/>
      <c r="F4021" s="29">
        <v>46267</v>
      </c>
      <c r="G4021" s="29">
        <v>46267</v>
      </c>
      <c r="H4021" s="1" t="s">
        <v>103</v>
      </c>
      <c r="I4021" s="126" t="s">
        <v>8918</v>
      </c>
      <c r="J4021" s="207"/>
      <c r="K4021" s="171" t="s">
        <v>8919</v>
      </c>
      <c r="L4021" s="62">
        <v>1</v>
      </c>
      <c r="M4021" s="30">
        <v>8682177899</v>
      </c>
      <c r="N4021" s="172" t="s">
        <v>28</v>
      </c>
      <c r="O4021" s="50">
        <v>6411.47</v>
      </c>
      <c r="P4021" s="97"/>
      <c r="Q4021" s="42">
        <f>OfficeForms.Table[[#This Row],[ INFORMEDEPAGO ]]*0.3</f>
        <v>1923.441</v>
      </c>
      <c r="R4021" s="12">
        <f>(IF(O4021&lt;4172.98,0,MIN(O4021*0.3,O4021-4172.98)))-P4021</f>
        <v>1923.441</v>
      </c>
      <c r="S4021" s="78"/>
      <c r="T4021" s="212"/>
      <c r="U4021" s="97"/>
      <c r="V4021" s="1"/>
    </row>
    <row r="4022" spans="1:23">
      <c r="A4022">
        <v>2448</v>
      </c>
      <c r="B4022" s="2">
        <v>46267.455358796302</v>
      </c>
      <c r="C4022" s="2">
        <v>46267.456307870401</v>
      </c>
      <c r="D4022" s="1" t="s">
        <v>24</v>
      </c>
      <c r="E4022" s="1"/>
      <c r="F4022" s="29">
        <v>46267</v>
      </c>
      <c r="G4022" s="29">
        <v>46265</v>
      </c>
      <c r="H4022" s="1" t="s">
        <v>8238</v>
      </c>
      <c r="I4022" s="126" t="s">
        <v>8920</v>
      </c>
      <c r="J4022" s="207"/>
      <c r="K4022" s="171" t="s">
        <v>8921</v>
      </c>
      <c r="L4022" s="62">
        <v>24136262</v>
      </c>
      <c r="M4022" s="30">
        <v>7441769538</v>
      </c>
      <c r="N4022" s="172" t="s">
        <v>37</v>
      </c>
      <c r="O4022" s="43">
        <v>7920.51</v>
      </c>
      <c r="P4022" s="43">
        <v>2376.0300000000002</v>
      </c>
      <c r="Q4022" s="42">
        <f>OfficeForms.Table[[#This Row],[ INFORMEDEPAGO ]]*0.3</f>
        <v>2376.1529999999998</v>
      </c>
      <c r="R4022" s="12">
        <f>(IF(O4022&lt;4172.98,0,MIN(O4022*0.3,O4022-4172.98)))-P4022</f>
        <v>0.12299999999959255</v>
      </c>
      <c r="S4022" s="78">
        <v>46784</v>
      </c>
      <c r="T4022" s="212" t="s">
        <v>7516</v>
      </c>
      <c r="U4022" s="97">
        <v>2202.4699999999998</v>
      </c>
      <c r="V4022" s="1"/>
    </row>
    <row r="4023" spans="1:23">
      <c r="A4023">
        <v>2449</v>
      </c>
      <c r="B4023" s="2">
        <v>46267.4676736111</v>
      </c>
      <c r="C4023" s="2">
        <v>46267.468587962998</v>
      </c>
      <c r="D4023" s="1" t="s">
        <v>24</v>
      </c>
      <c r="E4023" s="1"/>
      <c r="F4023" s="29">
        <v>46267</v>
      </c>
      <c r="G4023" s="29">
        <v>46266</v>
      </c>
      <c r="H4023" s="1" t="s">
        <v>8253</v>
      </c>
      <c r="I4023" s="126" t="s">
        <v>8922</v>
      </c>
      <c r="J4023" s="207">
        <v>1725706483</v>
      </c>
      <c r="K4023" s="171" t="s">
        <v>8923</v>
      </c>
      <c r="L4023" s="62">
        <v>24175378</v>
      </c>
      <c r="M4023" s="30">
        <v>7294799449</v>
      </c>
      <c r="N4023" s="172" t="s">
        <v>47</v>
      </c>
      <c r="O4023" s="43">
        <v>24667.47</v>
      </c>
      <c r="P4023" s="43">
        <v>6724.99</v>
      </c>
      <c r="Q4023" s="42">
        <f>OfficeForms.Table[[#This Row],[ INFORMEDEPAGO ]]*0.3</f>
        <v>7400.241</v>
      </c>
      <c r="R4023" s="12">
        <f>(IF(O4023&lt;4172.98,0,MIN(O4023*0.3,O4023-4172.98)))-P4023</f>
        <v>675.2510000000002</v>
      </c>
      <c r="S4023" s="78">
        <v>46296</v>
      </c>
      <c r="T4023" s="212" t="s">
        <v>7516</v>
      </c>
      <c r="U4023" s="97">
        <v>6223.63</v>
      </c>
      <c r="V4023" s="1" t="s">
        <v>8233</v>
      </c>
      <c r="W4023" s="29">
        <v>46267</v>
      </c>
    </row>
    <row r="4024" spans="1:23">
      <c r="A4024">
        <v>2450</v>
      </c>
      <c r="B4024" s="2">
        <v>46267.476006944402</v>
      </c>
      <c r="C4024" s="2">
        <v>46267.477152777799</v>
      </c>
      <c r="D4024" s="1" t="s">
        <v>24</v>
      </c>
      <c r="E4024" s="1"/>
      <c r="F4024" s="29">
        <v>46267</v>
      </c>
      <c r="G4024" s="29">
        <v>46267</v>
      </c>
      <c r="H4024" s="1" t="s">
        <v>8253</v>
      </c>
      <c r="I4024" s="126" t="s">
        <v>8924</v>
      </c>
      <c r="J4024" s="207">
        <v>81896400116</v>
      </c>
      <c r="K4024" s="171" t="s">
        <v>8925</v>
      </c>
      <c r="L4024" s="62">
        <v>24190126</v>
      </c>
      <c r="M4024" s="30">
        <v>9812001388</v>
      </c>
      <c r="N4024" s="172" t="s">
        <v>37</v>
      </c>
      <c r="O4024" s="50">
        <v>15697.51</v>
      </c>
      <c r="P4024" s="97">
        <v>4541</v>
      </c>
      <c r="Q4024" s="42">
        <f>OfficeForms.Table[[#This Row],[ INFORMEDEPAGO ]]*0.3</f>
        <v>4709.2529999999997</v>
      </c>
      <c r="R4024" s="12">
        <f>(IF(O4024&lt;4172.98,0,MIN(O4024*0.3,O4024-4172.98)))-P4024</f>
        <v>168.2529999999997</v>
      </c>
      <c r="S4024" s="78">
        <v>46447</v>
      </c>
      <c r="T4024" s="212" t="s">
        <v>7209</v>
      </c>
      <c r="U4024" s="97">
        <v>4541</v>
      </c>
      <c r="V4024" s="1"/>
    </row>
    <row r="4025" spans="1:23">
      <c r="A4025">
        <v>2451</v>
      </c>
      <c r="B4025" s="2">
        <v>46267.449467592603</v>
      </c>
      <c r="C4025" s="2">
        <v>46267.492465277799</v>
      </c>
      <c r="D4025" s="1" t="s">
        <v>24</v>
      </c>
      <c r="E4025" s="1"/>
      <c r="F4025" s="29">
        <v>46267</v>
      </c>
      <c r="G4025" s="29">
        <v>46266</v>
      </c>
      <c r="H4025" s="1" t="s">
        <v>51</v>
      </c>
      <c r="I4025" s="126" t="s">
        <v>8926</v>
      </c>
      <c r="J4025" s="207">
        <v>12825916666</v>
      </c>
      <c r="K4025" s="171" t="s">
        <v>8927</v>
      </c>
      <c r="L4025" s="62">
        <v>24179344</v>
      </c>
      <c r="M4025" s="30">
        <v>5214778801259</v>
      </c>
      <c r="N4025" s="172" t="s">
        <v>28</v>
      </c>
      <c r="O4025" s="43">
        <v>9760.32</v>
      </c>
      <c r="P4025" s="43">
        <v>879</v>
      </c>
      <c r="Q4025" s="42">
        <f>OfficeForms.Table[[#This Row],[ INFORMEDEPAGO ]]*0.3</f>
        <v>2928.096</v>
      </c>
      <c r="R4025" s="12">
        <f t="shared" ref="R4025:R4026" si="298">(IF(O4025&lt;4172.98,0,MIN(O4025*0.3,O4025-4172.98)))-P4025</f>
        <v>2049.096</v>
      </c>
      <c r="S4025" s="78"/>
      <c r="T4025" s="212"/>
      <c r="U4025" s="97"/>
      <c r="V4025" s="1" t="s">
        <v>8280</v>
      </c>
      <c r="W4025" s="29">
        <v>46267</v>
      </c>
    </row>
    <row r="4026" spans="1:23">
      <c r="A4026">
        <v>2452</v>
      </c>
      <c r="B4026" s="2">
        <v>46267.473518518498</v>
      </c>
      <c r="C4026" s="2">
        <v>46267.4925</v>
      </c>
      <c r="D4026" s="1" t="s">
        <v>24</v>
      </c>
      <c r="E4026" s="1"/>
      <c r="F4026" s="29">
        <v>46267</v>
      </c>
      <c r="G4026" s="29">
        <v>46266</v>
      </c>
      <c r="H4026" s="1" t="s">
        <v>51</v>
      </c>
      <c r="I4026" s="126" t="s">
        <v>8926</v>
      </c>
      <c r="J4026" s="207">
        <v>12816421106</v>
      </c>
      <c r="K4026" s="171" t="s">
        <v>8927</v>
      </c>
      <c r="L4026" s="62">
        <v>24179344</v>
      </c>
      <c r="M4026" s="30">
        <v>5214778801259</v>
      </c>
      <c r="N4026" s="172" t="s">
        <v>98</v>
      </c>
      <c r="O4026" s="50"/>
      <c r="P4026" s="97"/>
      <c r="Q4026" s="42">
        <f>OfficeForms.Table[[#This Row],[ INFORMEDEPAGO ]]*0.3</f>
        <v>0</v>
      </c>
      <c r="R4026" s="12">
        <f t="shared" si="298"/>
        <v>0</v>
      </c>
      <c r="S4026" s="78"/>
      <c r="T4026" s="212"/>
      <c r="U4026" s="97"/>
      <c r="V4026" s="1"/>
    </row>
    <row r="4027" spans="1:23">
      <c r="A4027">
        <v>2453</v>
      </c>
      <c r="B4027" s="2">
        <v>46267.492511574099</v>
      </c>
      <c r="C4027" s="2">
        <v>46267.501087962999</v>
      </c>
      <c r="D4027" s="1" t="s">
        <v>24</v>
      </c>
      <c r="E4027" s="1"/>
      <c r="F4027" s="29">
        <v>46267</v>
      </c>
      <c r="G4027" s="29">
        <v>46267</v>
      </c>
      <c r="H4027" s="1" t="s">
        <v>51</v>
      </c>
      <c r="I4027" s="126" t="s">
        <v>8928</v>
      </c>
      <c r="J4027" s="207"/>
      <c r="K4027" s="171" t="s">
        <v>8929</v>
      </c>
      <c r="L4027" s="62">
        <v>24191320</v>
      </c>
      <c r="M4027" s="30">
        <v>5214521085137</v>
      </c>
      <c r="N4027" s="172" t="s">
        <v>37</v>
      </c>
      <c r="O4027" s="43">
        <v>9081.52</v>
      </c>
      <c r="P4027" s="43">
        <v>2724.46</v>
      </c>
      <c r="Q4027" s="42">
        <f>OfficeForms.Table[[#This Row],[ INFORMEDEPAGO ]]*0.3</f>
        <v>2724.4560000000001</v>
      </c>
      <c r="R4027" s="12">
        <f>(IF(O4027&lt;4172.98,0,MIN(O4027*0.3,O4027-4172.98)))-P4027</f>
        <v>-3.9999999999054126E-3</v>
      </c>
      <c r="S4027" s="78">
        <v>46905</v>
      </c>
      <c r="T4027" s="212" t="s">
        <v>8930</v>
      </c>
      <c r="U4027" s="43">
        <v>2724.46</v>
      </c>
      <c r="V4027" s="1"/>
    </row>
    <row r="4028" spans="1:23">
      <c r="A4028">
        <v>2454</v>
      </c>
      <c r="B4028" s="2">
        <v>46267.501400462999</v>
      </c>
      <c r="C4028" s="2">
        <v>46267.502164351899</v>
      </c>
      <c r="D4028" s="1" t="s">
        <v>24</v>
      </c>
      <c r="E4028" s="1"/>
      <c r="F4028" s="29">
        <v>46267</v>
      </c>
      <c r="G4028" s="29">
        <v>46267</v>
      </c>
      <c r="H4028" s="1" t="s">
        <v>8721</v>
      </c>
      <c r="I4028" s="126" t="s">
        <v>8931</v>
      </c>
      <c r="J4028" s="175" t="s">
        <v>8932</v>
      </c>
      <c r="K4028" s="171" t="s">
        <v>8933</v>
      </c>
      <c r="L4028" s="62">
        <v>24189738</v>
      </c>
      <c r="M4028" s="30">
        <v>5213123193951</v>
      </c>
      <c r="N4028" s="172" t="s">
        <v>28</v>
      </c>
      <c r="O4028" s="50">
        <v>48451.72</v>
      </c>
      <c r="P4028" s="97"/>
      <c r="Q4028" s="42">
        <f>OfficeForms.Table[[#This Row],[ INFORMEDEPAGO ]]*0.3</f>
        <v>14535.516</v>
      </c>
      <c r="R4028" s="12">
        <f>(IF(O4028&lt;4172.98,0,MIN(O4028*0.3,O4028-4172.98)))-P4028</f>
        <v>14535.516</v>
      </c>
      <c r="S4028" s="78"/>
      <c r="T4028" s="212"/>
      <c r="U4028" s="97"/>
      <c r="V4028" s="1" t="s">
        <v>8535</v>
      </c>
      <c r="W4028" s="29">
        <v>46267</v>
      </c>
    </row>
    <row r="4029" spans="1:23">
      <c r="A4029">
        <v>2455</v>
      </c>
      <c r="B4029" s="2">
        <v>46267.501770833303</v>
      </c>
      <c r="C4029" s="2">
        <v>46267.502280092602</v>
      </c>
      <c r="D4029" s="1" t="s">
        <v>24</v>
      </c>
      <c r="E4029" s="1"/>
      <c r="F4029" s="29">
        <v>46267</v>
      </c>
      <c r="G4029" s="29">
        <v>46267</v>
      </c>
      <c r="H4029" s="1" t="s">
        <v>8253</v>
      </c>
      <c r="I4029" s="126" t="s">
        <v>8934</v>
      </c>
      <c r="J4029" s="207"/>
      <c r="K4029" s="171" t="s">
        <v>8935</v>
      </c>
      <c r="L4029" s="62">
        <v>24187756</v>
      </c>
      <c r="M4029" s="30">
        <v>6145150396</v>
      </c>
      <c r="N4029" s="172" t="s">
        <v>106</v>
      </c>
      <c r="O4029" s="43">
        <v>60231.26</v>
      </c>
      <c r="P4029" s="43">
        <v>14306.98</v>
      </c>
      <c r="Q4029" s="42">
        <f>OfficeForms.Table[[#This Row],[ INFORMEDEPAGO ]]*0.3</f>
        <v>18069.378000000001</v>
      </c>
      <c r="R4029" s="12">
        <f>(IF(O4029&lt;4172.98,0,MIN(O4029*0.3,O4029-4172.98)))-P4029</f>
        <v>3762.398000000001</v>
      </c>
      <c r="S4029" s="78">
        <v>46235</v>
      </c>
      <c r="T4029" s="212" t="s">
        <v>8338</v>
      </c>
      <c r="U4029" s="97">
        <v>14306.98</v>
      </c>
      <c r="V4029" s="1" t="s">
        <v>8936</v>
      </c>
      <c r="W4029" s="29">
        <v>46267</v>
      </c>
    </row>
    <row r="4030" spans="1:23">
      <c r="A4030">
        <v>2456</v>
      </c>
      <c r="B4030" s="2">
        <v>46267.507337962998</v>
      </c>
      <c r="C4030" s="2">
        <v>46267.508148148103</v>
      </c>
      <c r="D4030" s="1" t="s">
        <v>24</v>
      </c>
      <c r="E4030" s="1"/>
      <c r="F4030" s="29">
        <v>46267</v>
      </c>
      <c r="G4030" s="29">
        <v>46266</v>
      </c>
      <c r="H4030" s="1" t="s">
        <v>8253</v>
      </c>
      <c r="I4030" s="126" t="s">
        <v>8937</v>
      </c>
      <c r="J4030" s="207">
        <v>11654837373</v>
      </c>
      <c r="K4030" s="171" t="s">
        <v>8938</v>
      </c>
      <c r="L4030" s="62">
        <v>24178818</v>
      </c>
      <c r="M4030" s="30">
        <v>5569673223</v>
      </c>
      <c r="N4030" s="172" t="s">
        <v>37</v>
      </c>
      <c r="O4030" s="43">
        <v>90436.35</v>
      </c>
      <c r="P4030" s="43">
        <v>27130.52</v>
      </c>
      <c r="Q4030" s="42">
        <f>OfficeForms.Table[[#This Row],[ INFORMEDEPAGO ]]*0.3</f>
        <v>27130.905000000002</v>
      </c>
      <c r="R4030" s="12">
        <f>(IF(O4030&lt;4172.98,0,MIN(O4030*0.3,O4030-4172.98)))-P4030</f>
        <v>0.38500000000203727</v>
      </c>
      <c r="S4030" s="78">
        <v>46447</v>
      </c>
      <c r="T4030" s="212" t="s">
        <v>8338</v>
      </c>
      <c r="U4030" s="97">
        <v>1052</v>
      </c>
      <c r="V4030" s="1"/>
    </row>
    <row r="4031" spans="1:23">
      <c r="A4031">
        <v>2457</v>
      </c>
      <c r="B4031" s="2">
        <v>46267.502581018503</v>
      </c>
      <c r="C4031" s="2">
        <v>46267.514016203699</v>
      </c>
      <c r="D4031" s="1" t="s">
        <v>24</v>
      </c>
      <c r="E4031" s="1"/>
      <c r="F4031" s="29">
        <v>46267</v>
      </c>
      <c r="G4031" s="29">
        <v>46267</v>
      </c>
      <c r="H4031" s="1" t="s">
        <v>8721</v>
      </c>
      <c r="I4031" s="126" t="s">
        <v>8939</v>
      </c>
      <c r="J4031" s="207" t="s">
        <v>8940</v>
      </c>
      <c r="K4031" s="171" t="s">
        <v>8941</v>
      </c>
      <c r="L4031" s="62">
        <v>24186972</v>
      </c>
      <c r="M4031" s="30">
        <v>5216566587216</v>
      </c>
      <c r="N4031" s="172" t="s">
        <v>37</v>
      </c>
      <c r="O4031" s="43">
        <v>10636.54</v>
      </c>
      <c r="P4031" s="43">
        <v>3187.4</v>
      </c>
      <c r="Q4031" s="42">
        <f>OfficeForms.Table[[#This Row],[ INFORMEDEPAGO ]]*0.3</f>
        <v>3190.962</v>
      </c>
      <c r="R4031" s="12">
        <f>(IF(O4031&lt;4172.98,0,MIN(O4031*0.3,O4031-4172.98)))-P4031</f>
        <v>3.5619999999998981</v>
      </c>
      <c r="S4031" s="78">
        <v>46874</v>
      </c>
      <c r="T4031" s="212" t="s">
        <v>178</v>
      </c>
      <c r="U4031" s="43">
        <v>3187.4</v>
      </c>
      <c r="V4031" s="1"/>
    </row>
    <row r="4032" spans="1:23">
      <c r="A4032">
        <v>2458</v>
      </c>
      <c r="B4032" s="2">
        <v>46267.447939814803</v>
      </c>
      <c r="C4032" s="2">
        <v>46267.518530092602</v>
      </c>
      <c r="D4032" s="1" t="s">
        <v>24</v>
      </c>
      <c r="E4032" s="1"/>
      <c r="F4032" s="29">
        <v>46267</v>
      </c>
      <c r="G4032" s="29">
        <v>46267</v>
      </c>
      <c r="H4032" s="1" t="s">
        <v>78</v>
      </c>
      <c r="I4032" s="126" t="s">
        <v>8942</v>
      </c>
      <c r="J4032" s="207">
        <v>23816502985</v>
      </c>
      <c r="K4032" s="171" t="s">
        <v>8943</v>
      </c>
      <c r="L4032" s="62">
        <v>24194052</v>
      </c>
      <c r="M4032" s="30">
        <v>5216671396727</v>
      </c>
      <c r="N4032" s="172" t="s">
        <v>37</v>
      </c>
      <c r="O4032" s="52">
        <v>9760.32</v>
      </c>
      <c r="P4032" s="52">
        <v>2810.29</v>
      </c>
      <c r="Q4032" s="42">
        <f>OfficeForms.Table[[#This Row],[ INFORMEDEPAGO ]]*0.3</f>
        <v>2928.096</v>
      </c>
      <c r="R4032" s="12">
        <f>(IF(O4032&lt;4172.98,0,MIN(O4032*0.3,O4032-4172.98)))-P4032</f>
        <v>117.80600000000004</v>
      </c>
      <c r="S4032" s="78">
        <v>46722</v>
      </c>
      <c r="T4032" s="212" t="s">
        <v>259</v>
      </c>
      <c r="U4032" s="97">
        <v>2810.29</v>
      </c>
      <c r="V4032" s="1"/>
    </row>
    <row r="4033" spans="1:23">
      <c r="A4033">
        <v>2459</v>
      </c>
      <c r="B4033" s="2">
        <v>46267.493750000001</v>
      </c>
      <c r="C4033" s="2">
        <v>46267.5186805556</v>
      </c>
      <c r="D4033" s="1" t="s">
        <v>24</v>
      </c>
      <c r="E4033" s="1"/>
      <c r="F4033" s="29">
        <v>46267</v>
      </c>
      <c r="G4033" s="29">
        <v>46266</v>
      </c>
      <c r="H4033" s="1" t="s">
        <v>8238</v>
      </c>
      <c r="I4033" s="126" t="s">
        <v>8944</v>
      </c>
      <c r="J4033" s="207">
        <v>10210587316</v>
      </c>
      <c r="K4033" s="171" t="s">
        <v>8945</v>
      </c>
      <c r="L4033" s="62">
        <v>24181010</v>
      </c>
      <c r="M4033" s="30">
        <v>9191739043</v>
      </c>
      <c r="N4033" s="172" t="s">
        <v>98</v>
      </c>
      <c r="O4033" s="50"/>
      <c r="P4033" s="97"/>
      <c r="Q4033" s="42">
        <f>OfficeForms.Table[[#This Row],[ INFORMEDEPAGO ]]*0.3</f>
        <v>0</v>
      </c>
      <c r="R4033" s="12">
        <f>(IF(O4033&lt;4172.98,0,MIN(O4033*0.3,O4033-4172.98)))-P4033</f>
        <v>0</v>
      </c>
      <c r="S4033" s="78"/>
      <c r="T4033" s="212"/>
      <c r="U4033" s="97"/>
      <c r="V4033" s="1"/>
    </row>
    <row r="4034" spans="1:23">
      <c r="A4034">
        <v>2460</v>
      </c>
      <c r="B4034" s="2">
        <v>46267.501111111102</v>
      </c>
      <c r="C4034" s="2">
        <v>46267.521203703698</v>
      </c>
      <c r="D4034" s="1" t="s">
        <v>24</v>
      </c>
      <c r="E4034" s="1"/>
      <c r="F4034" s="29">
        <v>46267</v>
      </c>
      <c r="G4034" s="29">
        <v>46266</v>
      </c>
      <c r="H4034" s="1" t="s">
        <v>51</v>
      </c>
      <c r="I4034" s="126" t="s">
        <v>8946</v>
      </c>
      <c r="J4034" s="207"/>
      <c r="K4034" s="171" t="s">
        <v>8947</v>
      </c>
      <c r="L4034" s="62">
        <v>24177214</v>
      </c>
      <c r="M4034" s="30">
        <v>5217821062062</v>
      </c>
      <c r="N4034" s="172" t="s">
        <v>47</v>
      </c>
      <c r="O4034" s="43">
        <v>7116.73</v>
      </c>
      <c r="P4034" s="43">
        <v>1637.96</v>
      </c>
      <c r="Q4034" s="42">
        <f>OfficeForms.Table[[#This Row],[ INFORMEDEPAGO ]]*0.3</f>
        <v>2135.0189999999998</v>
      </c>
      <c r="R4034" s="12">
        <f>(IF(O4034&lt;4172.98,0,MIN(O4034*0.3,O4034-4172.98)))-P4034</f>
        <v>497.05899999999974</v>
      </c>
      <c r="S4034" s="78">
        <v>46508</v>
      </c>
      <c r="T4034" s="212" t="s">
        <v>7516</v>
      </c>
      <c r="U4034" s="43">
        <v>1637.96</v>
      </c>
      <c r="V4034" s="1" t="s">
        <v>8316</v>
      </c>
      <c r="W4034" s="29">
        <v>46267</v>
      </c>
    </row>
    <row r="4035" spans="1:23">
      <c r="A4035">
        <v>2461</v>
      </c>
      <c r="B4035" s="2">
        <v>46267.522337962997</v>
      </c>
      <c r="C4035" s="2">
        <v>46267.523402777799</v>
      </c>
      <c r="D4035" s="1" t="s">
        <v>24</v>
      </c>
      <c r="E4035" s="1"/>
      <c r="F4035" s="29">
        <v>46267</v>
      </c>
      <c r="G4035" s="29">
        <v>46266</v>
      </c>
      <c r="H4035" s="1" t="s">
        <v>8253</v>
      </c>
      <c r="I4035" s="126" t="s">
        <v>8948</v>
      </c>
      <c r="J4035" s="207">
        <v>3394778685</v>
      </c>
      <c r="K4035" s="171" t="s">
        <v>8949</v>
      </c>
      <c r="L4035" s="62">
        <v>24153964</v>
      </c>
      <c r="M4035" s="30">
        <v>6562977477</v>
      </c>
      <c r="N4035" s="172" t="s">
        <v>32</v>
      </c>
      <c r="O4035" s="50">
        <v>4072.58</v>
      </c>
      <c r="P4035" s="97"/>
      <c r="Q4035" s="42">
        <f>OfficeForms.Table[[#This Row],[ INFORMEDEPAGO ]]*0.3</f>
        <v>1221.7739999999999</v>
      </c>
      <c r="R4035" s="12">
        <f>(IF(O4035&lt;4172.98,0,MIN(O4035*0.3,O4035-4172.98)))-P4035</f>
        <v>0</v>
      </c>
      <c r="S4035" s="78"/>
      <c r="T4035" s="212"/>
      <c r="U4035" s="97"/>
      <c r="V4035" s="1"/>
    </row>
    <row r="4036" spans="1:23">
      <c r="A4036">
        <v>2462</v>
      </c>
      <c r="B4036" s="2">
        <v>46267.526064814803</v>
      </c>
      <c r="C4036" s="2">
        <v>46267.526932870402</v>
      </c>
      <c r="D4036" s="1" t="s">
        <v>24</v>
      </c>
      <c r="E4036" s="1"/>
      <c r="F4036" s="29">
        <v>46267</v>
      </c>
      <c r="G4036" s="29">
        <v>46267</v>
      </c>
      <c r="H4036" s="1" t="s">
        <v>8238</v>
      </c>
      <c r="I4036" s="126" t="s">
        <v>8950</v>
      </c>
      <c r="J4036" s="207"/>
      <c r="K4036" s="171" t="s">
        <v>8951</v>
      </c>
      <c r="L4036" s="62">
        <v>24183770</v>
      </c>
      <c r="M4036" s="30">
        <v>7341414783</v>
      </c>
      <c r="N4036" s="172" t="s">
        <v>98</v>
      </c>
      <c r="O4036" s="50"/>
      <c r="P4036" s="97"/>
      <c r="Q4036" s="42">
        <f>OfficeForms.Table[[#This Row],[ INFORMEDEPAGO ]]*0.3</f>
        <v>0</v>
      </c>
      <c r="R4036" s="12">
        <f>(IF(O4036&lt;4172.98,0,MIN(O4036*0.3,O4036-4172.98)))-P4036</f>
        <v>0</v>
      </c>
      <c r="S4036" s="78"/>
      <c r="T4036" s="212"/>
      <c r="U4036" s="97"/>
      <c r="V4036" s="1"/>
    </row>
    <row r="4037" spans="1:23">
      <c r="A4037">
        <v>2463</v>
      </c>
      <c r="B4037" s="2">
        <v>46267.525648148097</v>
      </c>
      <c r="C4037" s="2">
        <v>46267.5296296296</v>
      </c>
      <c r="D4037" s="1" t="s">
        <v>24</v>
      </c>
      <c r="E4037" s="1"/>
      <c r="F4037" s="29">
        <v>46267</v>
      </c>
      <c r="G4037" s="29">
        <v>46266</v>
      </c>
      <c r="H4037" s="1" t="s">
        <v>78</v>
      </c>
      <c r="I4037" s="126" t="s">
        <v>8952</v>
      </c>
      <c r="J4037" s="207">
        <v>43826634792</v>
      </c>
      <c r="K4037" s="171" t="s">
        <v>8953</v>
      </c>
      <c r="L4037" s="62">
        <v>24173800</v>
      </c>
      <c r="M4037" s="30">
        <v>5218119598052</v>
      </c>
      <c r="N4037" s="172" t="s">
        <v>37</v>
      </c>
      <c r="O4037" s="52">
        <v>10718.75</v>
      </c>
      <c r="P4037" s="52">
        <v>3211.25</v>
      </c>
      <c r="Q4037" s="42">
        <f>OfficeForms.Table[[#This Row],[ INFORMEDEPAGO ]]*0.3</f>
        <v>3215.625</v>
      </c>
      <c r="R4037" s="12">
        <f>(IF(O4037&lt;4172.98,0,MIN(O4037*0.3,O4037-4172.98)))-P4037</f>
        <v>4.375</v>
      </c>
      <c r="S4037" s="78">
        <v>46419</v>
      </c>
      <c r="T4037" s="212" t="s">
        <v>7209</v>
      </c>
      <c r="U4037" s="97">
        <v>2474.06</v>
      </c>
      <c r="V4037" s="1"/>
    </row>
    <row r="4038" spans="1:23">
      <c r="A4038">
        <v>2464</v>
      </c>
      <c r="B4038" s="2">
        <v>46267.514062499999</v>
      </c>
      <c r="C4038" s="2">
        <v>46267.574340277803</v>
      </c>
      <c r="D4038" s="1" t="s">
        <v>24</v>
      </c>
      <c r="E4038" s="1"/>
      <c r="F4038" s="29">
        <v>46267</v>
      </c>
      <c r="G4038" s="29">
        <v>46267</v>
      </c>
      <c r="H4038" s="1" t="s">
        <v>8721</v>
      </c>
      <c r="I4038" s="126" t="s">
        <v>8954</v>
      </c>
      <c r="J4038" s="207"/>
      <c r="K4038" s="171" t="s">
        <v>8955</v>
      </c>
      <c r="L4038" s="62">
        <v>24174738</v>
      </c>
      <c r="M4038" s="30">
        <v>5215574797916</v>
      </c>
      <c r="N4038" s="172" t="s">
        <v>106</v>
      </c>
      <c r="O4038" s="43">
        <v>7920.51</v>
      </c>
      <c r="P4038" s="43">
        <v>2196.71</v>
      </c>
      <c r="Q4038" s="42">
        <f>OfficeForms.Table[[#This Row],[ INFORMEDEPAGO ]]*0.3</f>
        <v>2376.1529999999998</v>
      </c>
      <c r="R4038" s="12">
        <f>(IF(O4038&lt;4172.98,0,MIN(O4038*0.3,O4038-4172.98)))-P4038</f>
        <v>179.44299999999976</v>
      </c>
      <c r="S4038" s="78">
        <v>46143</v>
      </c>
      <c r="T4038" s="212" t="s">
        <v>8319</v>
      </c>
      <c r="U4038" s="43">
        <v>2196.71</v>
      </c>
      <c r="V4038" s="1" t="s">
        <v>8936</v>
      </c>
      <c r="W4038" s="29">
        <v>46267</v>
      </c>
    </row>
    <row r="4039" spans="1:23">
      <c r="A4039">
        <v>2465</v>
      </c>
      <c r="B4039" s="2">
        <v>46267.575405092597</v>
      </c>
      <c r="C4039" s="2">
        <v>46267.576412037</v>
      </c>
      <c r="D4039" s="1" t="s">
        <v>24</v>
      </c>
      <c r="E4039" s="1"/>
      <c r="F4039" s="29">
        <v>46267</v>
      </c>
      <c r="G4039" s="29">
        <v>46266</v>
      </c>
      <c r="H4039" s="1" t="s">
        <v>8253</v>
      </c>
      <c r="I4039" s="126" t="s">
        <v>8956</v>
      </c>
      <c r="J4039" s="207"/>
      <c r="K4039" s="171" t="s">
        <v>8957</v>
      </c>
      <c r="L4039" s="62">
        <v>24167074</v>
      </c>
      <c r="M4039" s="30">
        <v>8445917860</v>
      </c>
      <c r="N4039" s="172" t="s">
        <v>47</v>
      </c>
      <c r="O4039" s="43">
        <v>5803.64</v>
      </c>
      <c r="P4039" s="43">
        <v>614.97</v>
      </c>
      <c r="Q4039" s="42">
        <f>OfficeForms.Table[[#This Row],[ INFORMEDEPAGO ]]*0.3</f>
        <v>1741.0920000000001</v>
      </c>
      <c r="R4039" s="12">
        <f>(IF(O4039&lt;4172.98,0,MIN(O4039*0.3,O4039-4172.98)))-P4039</f>
        <v>1015.6900000000007</v>
      </c>
      <c r="S4039" s="78">
        <v>45536</v>
      </c>
      <c r="T4039" s="212" t="s">
        <v>6855</v>
      </c>
      <c r="U4039" s="43">
        <v>614.97</v>
      </c>
      <c r="V4039" s="1" t="s">
        <v>8233</v>
      </c>
      <c r="W4039" s="29">
        <v>46267</v>
      </c>
    </row>
    <row r="4040" spans="1:23">
      <c r="A4040">
        <v>2466</v>
      </c>
      <c r="B4040" s="2">
        <v>46267.588125000002</v>
      </c>
      <c r="C4040" s="2">
        <v>46267.589212963001</v>
      </c>
      <c r="D4040" s="1" t="s">
        <v>24</v>
      </c>
      <c r="E4040" s="1"/>
      <c r="F4040" s="29">
        <v>46267</v>
      </c>
      <c r="G4040" s="29">
        <v>46267</v>
      </c>
      <c r="H4040" s="1" t="s">
        <v>8238</v>
      </c>
      <c r="I4040" s="126" t="s">
        <v>8958</v>
      </c>
      <c r="J4040" s="207"/>
      <c r="K4040" s="171" t="s">
        <v>8959</v>
      </c>
      <c r="L4040" s="62">
        <v>24193648</v>
      </c>
      <c r="M4040" s="30">
        <v>4421524039</v>
      </c>
      <c r="N4040" s="172" t="s">
        <v>28</v>
      </c>
      <c r="O4040" s="50">
        <v>9019.81</v>
      </c>
      <c r="P4040" s="97"/>
      <c r="Q4040" s="42">
        <f>OfficeForms.Table[[#This Row],[ INFORMEDEPAGO ]]*0.3</f>
        <v>2705.9429999999998</v>
      </c>
      <c r="R4040" s="12">
        <f>(IF(O4040&lt;4172.98,0,MIN(O4040*0.3,O4040-4172.98)))-P4040</f>
        <v>2705.9429999999998</v>
      </c>
      <c r="S4040" s="78"/>
      <c r="T4040" s="212"/>
      <c r="U4040" s="97"/>
      <c r="V4040" s="1" t="s">
        <v>8960</v>
      </c>
    </row>
    <row r="4041" spans="1:23">
      <c r="A4041">
        <v>2467</v>
      </c>
      <c r="B4041" s="2">
        <v>46267.578402777799</v>
      </c>
      <c r="C4041" s="2">
        <v>46267.589571759301</v>
      </c>
      <c r="D4041" s="1" t="s">
        <v>24</v>
      </c>
      <c r="E4041" s="1"/>
      <c r="F4041" s="29">
        <v>46267</v>
      </c>
      <c r="G4041" s="29">
        <v>46267</v>
      </c>
      <c r="H4041" s="1" t="s">
        <v>8253</v>
      </c>
      <c r="I4041" s="126" t="s">
        <v>8961</v>
      </c>
      <c r="J4041" s="207" t="s">
        <v>8962</v>
      </c>
      <c r="K4041" s="171" t="s">
        <v>8963</v>
      </c>
      <c r="L4041" s="62">
        <v>24193692</v>
      </c>
      <c r="M4041" s="30">
        <v>5573664805</v>
      </c>
      <c r="N4041" s="172" t="s">
        <v>37</v>
      </c>
      <c r="O4041" s="43">
        <v>4773.68</v>
      </c>
      <c r="P4041" s="43">
        <v>555.91999999999996</v>
      </c>
      <c r="Q4041" s="42">
        <f>OfficeForms.Table[[#This Row],[ INFORMEDEPAGO ]]*0.3</f>
        <v>1432.104</v>
      </c>
      <c r="R4041" s="12">
        <f>(IF(O4041&lt;4172.98,0,MIN(O4041*0.3,O4041-4172.98)))-P4041</f>
        <v>44.780000000000769</v>
      </c>
      <c r="S4041" s="78">
        <v>46388</v>
      </c>
      <c r="T4041" s="212" t="s">
        <v>7209</v>
      </c>
      <c r="U4041" s="43">
        <v>555.91999999999996</v>
      </c>
      <c r="V4041" s="1"/>
    </row>
    <row r="4042" spans="1:23">
      <c r="A4042">
        <v>2468</v>
      </c>
      <c r="B4042" s="2">
        <v>46267.594328703701</v>
      </c>
      <c r="C4042" s="2">
        <v>46267.5950115741</v>
      </c>
      <c r="D4042" s="1" t="s">
        <v>24</v>
      </c>
      <c r="E4042" s="1"/>
      <c r="F4042" s="29">
        <v>46267</v>
      </c>
      <c r="G4042" s="29">
        <v>46267</v>
      </c>
      <c r="H4042" s="1" t="s">
        <v>8253</v>
      </c>
      <c r="I4042" s="126" t="s">
        <v>8964</v>
      </c>
      <c r="J4042" s="207"/>
      <c r="K4042" s="171" t="s">
        <v>8965</v>
      </c>
      <c r="L4042" s="62">
        <v>24195976</v>
      </c>
      <c r="M4042" s="30">
        <v>3310809090</v>
      </c>
      <c r="N4042" s="172" t="s">
        <v>37</v>
      </c>
      <c r="O4042" s="43">
        <v>9081.52</v>
      </c>
      <c r="P4042" s="43">
        <v>2721.39</v>
      </c>
      <c r="Q4042" s="42">
        <f>OfficeForms.Table[[#This Row],[ INFORMEDEPAGO ]]*0.3</f>
        <v>2724.4560000000001</v>
      </c>
      <c r="R4042" s="12">
        <f>(IF(O4042&lt;4172.98,0,MIN(O4042*0.3,O4042-4172.98)))-P4042</f>
        <v>3.0660000000002583</v>
      </c>
      <c r="S4042" s="78">
        <v>46388</v>
      </c>
      <c r="T4042" s="212" t="s">
        <v>7516</v>
      </c>
      <c r="U4042" s="97">
        <v>2180.16</v>
      </c>
      <c r="V4042" s="1"/>
    </row>
    <row r="4043" spans="1:23">
      <c r="A4043">
        <v>2469</v>
      </c>
      <c r="B4043" s="2">
        <v>46267.574548611097</v>
      </c>
      <c r="C4043" s="2">
        <v>46267.597129629597</v>
      </c>
      <c r="D4043" s="1" t="s">
        <v>24</v>
      </c>
      <c r="E4043" s="1"/>
      <c r="F4043" s="29">
        <v>46267</v>
      </c>
      <c r="G4043" s="29">
        <v>46265</v>
      </c>
      <c r="H4043" s="1" t="s">
        <v>8721</v>
      </c>
      <c r="I4043" s="126" t="s">
        <v>8966</v>
      </c>
      <c r="J4043" s="175" t="s">
        <v>8967</v>
      </c>
      <c r="K4043" s="171" t="s">
        <v>8968</v>
      </c>
      <c r="L4043" s="62">
        <v>24133360</v>
      </c>
      <c r="M4043" s="30">
        <v>5217721290979</v>
      </c>
      <c r="N4043" s="172" t="s">
        <v>37</v>
      </c>
      <c r="O4043" s="43">
        <v>9760.32</v>
      </c>
      <c r="P4043" s="43">
        <v>2928.1</v>
      </c>
      <c r="Q4043" s="42">
        <f>OfficeForms.Table[[#This Row],[ INFORMEDEPAGO ]]*0.3</f>
        <v>2928.096</v>
      </c>
      <c r="R4043" s="12">
        <f>(IF(O4043&lt;4172.98,0,MIN(O4043*0.3,O4043-4172.98)))-P4043</f>
        <v>-3.9999999999054126E-3</v>
      </c>
      <c r="S4043" s="78">
        <v>46784</v>
      </c>
      <c r="T4043" s="212" t="s">
        <v>7209</v>
      </c>
      <c r="U4043" s="43">
        <v>2928.1</v>
      </c>
      <c r="V4043" s="1"/>
    </row>
    <row r="4044" spans="1:23">
      <c r="A4044">
        <v>2470</v>
      </c>
      <c r="B4044" s="2">
        <v>46267.440439814804</v>
      </c>
      <c r="C4044" s="2">
        <v>46267.598495370403</v>
      </c>
      <c r="D4044" s="1" t="s">
        <v>24</v>
      </c>
      <c r="E4044" s="1"/>
      <c r="F4044" s="29">
        <v>46267</v>
      </c>
      <c r="G4044" s="29">
        <v>46267</v>
      </c>
      <c r="H4044" s="1" t="s">
        <v>1625</v>
      </c>
      <c r="I4044" s="126" t="s">
        <v>8969</v>
      </c>
      <c r="J4044" s="207">
        <v>54804202387</v>
      </c>
      <c r="K4044" s="171" t="s">
        <v>8970</v>
      </c>
      <c r="L4044" s="62">
        <v>2</v>
      </c>
      <c r="M4044" s="30" t="s">
        <v>8971</v>
      </c>
      <c r="N4044" s="172" t="s">
        <v>37</v>
      </c>
      <c r="O4044" s="43">
        <v>7128.48</v>
      </c>
      <c r="P4044" s="43">
        <v>2136.14</v>
      </c>
      <c r="Q4044" s="42">
        <f>OfficeForms.Table[[#This Row],[ INFORMEDEPAGO ]]*0.3</f>
        <v>2138.5439999999999</v>
      </c>
      <c r="R4044" s="12">
        <f>(IF(O4044&lt;4172.98,0,MIN(O4044*0.3,O4044-4172.98)))-P4044</f>
        <v>2.4039999999999964</v>
      </c>
      <c r="S4044" s="78">
        <v>46844</v>
      </c>
      <c r="T4044" s="212" t="s">
        <v>8338</v>
      </c>
      <c r="U4044" s="43">
        <v>2136.14</v>
      </c>
      <c r="V4044" s="1"/>
    </row>
    <row r="4045" spans="1:23">
      <c r="A4045">
        <v>2471</v>
      </c>
      <c r="B4045" s="2">
        <v>46267.595879629604</v>
      </c>
      <c r="C4045" s="2">
        <v>46267.6069444444</v>
      </c>
      <c r="D4045" s="1" t="s">
        <v>24</v>
      </c>
      <c r="E4045" s="1"/>
      <c r="F4045" s="29">
        <v>46267</v>
      </c>
      <c r="G4045" s="29">
        <v>46267</v>
      </c>
      <c r="H4045" s="1" t="s">
        <v>8381</v>
      </c>
      <c r="I4045" s="126" t="s">
        <v>8972</v>
      </c>
      <c r="J4045" s="207"/>
      <c r="K4045" s="171" t="s">
        <v>8973</v>
      </c>
      <c r="L4045" s="62">
        <v>24188100</v>
      </c>
      <c r="M4045" s="30">
        <v>5215527573546</v>
      </c>
      <c r="N4045" s="172" t="s">
        <v>32</v>
      </c>
      <c r="O4045" s="43">
        <v>4217.46</v>
      </c>
      <c r="P4045" s="43">
        <v>848</v>
      </c>
      <c r="Q4045" s="42">
        <f>OfficeForms.Table[[#This Row],[ INFORMEDEPAGO ]]*0.3</f>
        <v>1265.2380000000001</v>
      </c>
      <c r="R4045" s="12">
        <f>(IF(O4045&lt;4172.98,0,MIN(O4045*0.3,O4045-4172.98)))-P4045</f>
        <v>-803.51999999999953</v>
      </c>
      <c r="S4045" s="78"/>
      <c r="T4045" s="212"/>
      <c r="U4045" s="97"/>
      <c r="V4045" s="1"/>
    </row>
    <row r="4046" spans="1:23">
      <c r="A4046">
        <v>2472</v>
      </c>
      <c r="B4046" s="2">
        <v>46267.605081018497</v>
      </c>
      <c r="C4046" s="2">
        <v>46267.613078703696</v>
      </c>
      <c r="D4046" s="1" t="s">
        <v>24</v>
      </c>
      <c r="E4046" s="1"/>
      <c r="F4046" s="29">
        <v>46267</v>
      </c>
      <c r="G4046" s="29">
        <v>46267</v>
      </c>
      <c r="H4046" s="1" t="s">
        <v>78</v>
      </c>
      <c r="I4046" s="126" t="s">
        <v>8974</v>
      </c>
      <c r="J4046" s="207"/>
      <c r="K4046" s="171" t="s">
        <v>8975</v>
      </c>
      <c r="L4046" s="62">
        <v>24194850</v>
      </c>
      <c r="M4046" s="30">
        <v>5213322147621</v>
      </c>
      <c r="N4046" s="172" t="s">
        <v>235</v>
      </c>
      <c r="O4046" s="50"/>
      <c r="P4046" s="97"/>
      <c r="Q4046" s="42">
        <f>OfficeForms.Table[[#This Row],[ INFORMEDEPAGO ]]*0.3</f>
        <v>0</v>
      </c>
      <c r="R4046" s="12">
        <f>(IF(O4046&lt;4172.98,0,MIN(O4046*0.3,O4046-4172.98)))-P4046</f>
        <v>0</v>
      </c>
      <c r="S4046" s="78"/>
      <c r="T4046" s="212"/>
      <c r="U4046" s="97"/>
      <c r="V4046" s="1"/>
    </row>
    <row r="4047" spans="1:23">
      <c r="A4047">
        <v>2473</v>
      </c>
      <c r="B4047" s="2">
        <v>46267.603738425903</v>
      </c>
      <c r="C4047" s="2">
        <v>46267.617025462998</v>
      </c>
      <c r="D4047" s="1" t="s">
        <v>24</v>
      </c>
      <c r="E4047" s="1"/>
      <c r="F4047" s="29">
        <v>46267</v>
      </c>
      <c r="G4047" s="29">
        <v>46201</v>
      </c>
      <c r="H4047" s="1" t="s">
        <v>8297</v>
      </c>
      <c r="I4047" s="126" t="s">
        <v>8976</v>
      </c>
      <c r="J4047" s="207" t="s">
        <v>8977</v>
      </c>
      <c r="K4047" s="171" t="s">
        <v>8978</v>
      </c>
      <c r="L4047" s="62">
        <v>22072404</v>
      </c>
      <c r="M4047" s="30">
        <v>5214779102181</v>
      </c>
      <c r="N4047" s="172" t="s">
        <v>32</v>
      </c>
      <c r="O4047" s="50">
        <v>3505.89</v>
      </c>
      <c r="P4047" s="97"/>
      <c r="Q4047" s="42">
        <f>OfficeForms.Table[[#This Row],[ INFORMEDEPAGO ]]*0.3</f>
        <v>1051.7669999999998</v>
      </c>
      <c r="R4047" s="12">
        <f>(IF(O4047&lt;4172.98,0,MIN(O4047*0.3,O4047-4172.98)))-P4047</f>
        <v>0</v>
      </c>
      <c r="S4047" s="78"/>
      <c r="T4047" s="212"/>
      <c r="U4047" s="97"/>
      <c r="V4047" s="1"/>
    </row>
    <row r="4048" spans="1:23">
      <c r="A4048">
        <v>2474</v>
      </c>
      <c r="B4048" s="2">
        <v>46267.613391203697</v>
      </c>
      <c r="C4048" s="2">
        <v>46267.622349537</v>
      </c>
      <c r="D4048" s="1" t="s">
        <v>24</v>
      </c>
      <c r="E4048" s="1"/>
      <c r="F4048" s="29">
        <v>46267</v>
      </c>
      <c r="G4048" s="29">
        <v>46265</v>
      </c>
      <c r="H4048" s="1" t="s">
        <v>78</v>
      </c>
      <c r="I4048" s="126" t="s">
        <v>8979</v>
      </c>
      <c r="J4048" s="207">
        <v>33715318219</v>
      </c>
      <c r="K4048" s="171" t="s">
        <v>8980</v>
      </c>
      <c r="L4048" s="62">
        <v>24124174</v>
      </c>
      <c r="M4048" s="30">
        <v>5216561109764</v>
      </c>
      <c r="N4048" s="172" t="s">
        <v>37</v>
      </c>
      <c r="O4048" s="43">
        <v>5617.63</v>
      </c>
      <c r="P4048" s="43">
        <v>1393.24</v>
      </c>
      <c r="Q4048" s="42">
        <f>OfficeForms.Table[[#This Row],[ INFORMEDEPAGO ]]*0.3</f>
        <v>1685.289</v>
      </c>
      <c r="R4048" s="12">
        <f>(IF(O4048&lt;4172.98,0,MIN(O4048*0.3,O4048-4172.98)))-P4048</f>
        <v>51.410000000000537</v>
      </c>
      <c r="S4048" s="78">
        <v>46600</v>
      </c>
      <c r="T4048" s="212" t="s">
        <v>8981</v>
      </c>
      <c r="U4048" s="43">
        <v>1393.24</v>
      </c>
      <c r="V4048" s="1"/>
    </row>
    <row r="4049" spans="1:24" s="214" customFormat="1">
      <c r="A4049" s="214">
        <v>2475</v>
      </c>
      <c r="B4049" s="215">
        <v>46267.597152777802</v>
      </c>
      <c r="C4049" s="215">
        <v>46267.636284722197</v>
      </c>
      <c r="D4049" s="216" t="s">
        <v>24</v>
      </c>
      <c r="E4049" s="216"/>
      <c r="F4049" s="217">
        <v>46267</v>
      </c>
      <c r="G4049" s="217">
        <v>46267</v>
      </c>
      <c r="H4049" s="216" t="s">
        <v>8721</v>
      </c>
      <c r="I4049" s="218" t="s">
        <v>8982</v>
      </c>
      <c r="J4049" s="207" t="s">
        <v>8983</v>
      </c>
      <c r="K4049" s="176" t="s">
        <v>8984</v>
      </c>
      <c r="L4049" s="219">
        <v>24199240</v>
      </c>
      <c r="M4049" s="159">
        <v>5214441420044</v>
      </c>
      <c r="N4049" s="220" t="s">
        <v>32</v>
      </c>
      <c r="O4049" s="221">
        <v>3961.31</v>
      </c>
      <c r="P4049" s="222"/>
      <c r="Q4049" s="42">
        <f>OfficeForms.Table[[#This Row],[ INFORMEDEPAGO ]]*0.3</f>
        <v>1188.393</v>
      </c>
      <c r="R4049" s="12">
        <f>(IF(O4049&lt;4172.98,0,MIN(O4049*0.3,O4049-4172.98)))-P4049</f>
        <v>0</v>
      </c>
      <c r="S4049" s="223"/>
      <c r="T4049" s="224"/>
      <c r="U4049" s="222"/>
      <c r="V4049" s="216"/>
      <c r="W4049" s="217"/>
      <c r="X4049" s="225"/>
    </row>
    <row r="4050" spans="1:24">
      <c r="A4050">
        <v>2476</v>
      </c>
      <c r="B4050" s="2">
        <v>46267.636863425898</v>
      </c>
      <c r="C4050" s="2">
        <v>46267.642048611102</v>
      </c>
      <c r="D4050" s="1" t="s">
        <v>24</v>
      </c>
      <c r="E4050" s="1"/>
      <c r="F4050" s="29">
        <v>46267</v>
      </c>
      <c r="G4050" s="29">
        <v>46267</v>
      </c>
      <c r="H4050" s="1" t="s">
        <v>8721</v>
      </c>
      <c r="I4050" s="126" t="s">
        <v>8985</v>
      </c>
      <c r="J4050" s="175" t="s">
        <v>8986</v>
      </c>
      <c r="K4050" s="171" t="s">
        <v>8987</v>
      </c>
      <c r="L4050" s="62">
        <v>24199686</v>
      </c>
      <c r="M4050" s="30">
        <v>5216394651328</v>
      </c>
      <c r="N4050" s="172" t="s">
        <v>37</v>
      </c>
      <c r="O4050" s="43">
        <v>58828.58</v>
      </c>
      <c r="P4050" s="43">
        <v>17635.419999999998</v>
      </c>
      <c r="Q4050" s="42">
        <f>OfficeForms.Table[[#This Row],[ INFORMEDEPAGO ]]*0.3</f>
        <v>17648.574000000001</v>
      </c>
      <c r="R4050" s="12">
        <f>(IF(O4050&lt;4172.98,0,MIN(O4050*0.3,O4050-4172.98)))-P4050</f>
        <v>13.15400000000227</v>
      </c>
      <c r="S4050" s="78">
        <v>46935</v>
      </c>
      <c r="T4050" s="212" t="s">
        <v>192</v>
      </c>
      <c r="U4050" s="43">
        <v>17635.419999999998</v>
      </c>
      <c r="V4050" s="1"/>
    </row>
    <row r="4051" spans="1:24">
      <c r="A4051">
        <v>2477</v>
      </c>
      <c r="B4051" s="2">
        <v>46267.6577314815</v>
      </c>
      <c r="C4051" s="2">
        <v>46267.658483796302</v>
      </c>
      <c r="D4051" s="1" t="s">
        <v>24</v>
      </c>
      <c r="E4051" s="1"/>
      <c r="F4051" s="29">
        <v>46267</v>
      </c>
      <c r="G4051" s="29">
        <v>46266</v>
      </c>
      <c r="H4051" s="1" t="s">
        <v>269</v>
      </c>
      <c r="I4051" s="126" t="s">
        <v>8988</v>
      </c>
      <c r="J4051" s="175" t="s">
        <v>8989</v>
      </c>
      <c r="K4051" s="171" t="s">
        <v>8990</v>
      </c>
      <c r="L4051" s="62">
        <v>24169488</v>
      </c>
      <c r="M4051" s="30">
        <v>24169488</v>
      </c>
      <c r="N4051" s="172" t="s">
        <v>263</v>
      </c>
      <c r="O4051" s="43">
        <v>20147.39</v>
      </c>
      <c r="P4051" s="43">
        <v>5585.07</v>
      </c>
      <c r="Q4051" s="42">
        <f>OfficeForms.Table[[#This Row],[ INFORMEDEPAGO ]]*0.3</f>
        <v>6044.2169999999996</v>
      </c>
      <c r="R4051" s="12">
        <f>(IF(O4051&lt;4172.98,0,MIN(O4051*0.3,O4051-4172.98)))-P4051</f>
        <v>459.14699999999993</v>
      </c>
      <c r="S4051" s="78">
        <v>46266</v>
      </c>
      <c r="T4051" s="212" t="s">
        <v>8991</v>
      </c>
      <c r="U4051" s="43">
        <v>5585.07</v>
      </c>
      <c r="V4051" s="1" t="s">
        <v>8291</v>
      </c>
      <c r="W4051" s="29">
        <v>46267</v>
      </c>
    </row>
    <row r="4052" spans="1:24">
      <c r="A4052">
        <v>2478</v>
      </c>
      <c r="B4052" s="2">
        <v>46267.661076388897</v>
      </c>
      <c r="C4052" s="2">
        <v>46267.662048611099</v>
      </c>
      <c r="D4052" s="1" t="s">
        <v>24</v>
      </c>
      <c r="E4052" s="1"/>
      <c r="F4052" s="29">
        <v>46267</v>
      </c>
      <c r="G4052" s="29">
        <v>46266</v>
      </c>
      <c r="H4052" s="1" t="s">
        <v>8238</v>
      </c>
      <c r="I4052" s="126" t="s">
        <v>8992</v>
      </c>
      <c r="J4052" s="175">
        <v>67786104892</v>
      </c>
      <c r="K4052" s="171" t="s">
        <v>8993</v>
      </c>
      <c r="L4052" s="62">
        <v>24174910</v>
      </c>
      <c r="M4052" s="30">
        <v>9221959217</v>
      </c>
      <c r="N4052" s="172" t="s">
        <v>37</v>
      </c>
      <c r="O4052" s="43">
        <v>10636.54</v>
      </c>
      <c r="P4052" s="43">
        <v>3190.63</v>
      </c>
      <c r="Q4052" s="42">
        <f>OfficeForms.Table[[#This Row],[ INFORMEDEPAGO ]]*0.3</f>
        <v>3190.962</v>
      </c>
      <c r="R4052" s="12">
        <f>(IF(O4052&lt;4172.98,0,MIN(O4052*0.3,O4052-4172.98)))-P4052</f>
        <v>0.33199999999987995</v>
      </c>
      <c r="S4052" s="78">
        <v>46966</v>
      </c>
      <c r="T4052" s="212" t="s">
        <v>259</v>
      </c>
      <c r="U4052" s="97">
        <v>3190.63</v>
      </c>
      <c r="V4052" s="1"/>
    </row>
    <row r="4053" spans="1:24">
      <c r="A4053">
        <v>2479</v>
      </c>
      <c r="B4053" s="2">
        <v>46267.665694444397</v>
      </c>
      <c r="C4053" s="2">
        <v>46267.666423611103</v>
      </c>
      <c r="D4053" s="1" t="s">
        <v>24</v>
      </c>
      <c r="E4053" s="1"/>
      <c r="F4053" s="29">
        <v>46267</v>
      </c>
      <c r="G4053" s="29">
        <v>46267</v>
      </c>
      <c r="H4053" s="1" t="s">
        <v>8253</v>
      </c>
      <c r="I4053" s="126" t="s">
        <v>8994</v>
      </c>
      <c r="J4053" s="175"/>
      <c r="K4053" s="171" t="s">
        <v>8995</v>
      </c>
      <c r="L4053" s="62">
        <v>24199942</v>
      </c>
      <c r="M4053" s="30">
        <v>6221226147</v>
      </c>
      <c r="N4053" s="172" t="s">
        <v>28</v>
      </c>
      <c r="O4053" s="50">
        <v>7920.51</v>
      </c>
      <c r="P4053" s="97"/>
      <c r="Q4053" s="42">
        <f>OfficeForms.Table[[#This Row],[ INFORMEDEPAGO ]]*0.3</f>
        <v>2376.1529999999998</v>
      </c>
      <c r="R4053" s="12">
        <f>(IF(O4053&lt;4172.98,0,MIN(O4053*0.3,O4053-4172.98)))-P4053</f>
        <v>2376.1529999999998</v>
      </c>
      <c r="S4053" s="78"/>
      <c r="T4053" s="212"/>
      <c r="U4053" s="97"/>
      <c r="V4053" s="1" t="s">
        <v>8264</v>
      </c>
      <c r="W4053" s="29">
        <v>46267</v>
      </c>
    </row>
    <row r="4054" spans="1:24">
      <c r="A4054">
        <v>2480</v>
      </c>
      <c r="B4054" s="2">
        <v>46267.666111111103</v>
      </c>
      <c r="C4054" s="2">
        <v>46267.6691782407</v>
      </c>
      <c r="D4054" s="1" t="s">
        <v>24</v>
      </c>
      <c r="E4054" s="1"/>
      <c r="F4054" s="29">
        <v>46267</v>
      </c>
      <c r="G4054" s="29">
        <v>46267</v>
      </c>
      <c r="H4054" s="1" t="s">
        <v>103</v>
      </c>
      <c r="I4054" s="126" t="s">
        <v>8996</v>
      </c>
      <c r="J4054" s="175">
        <v>11795912788</v>
      </c>
      <c r="K4054" s="171" t="s">
        <v>8997</v>
      </c>
      <c r="L4054" s="62">
        <v>1</v>
      </c>
      <c r="M4054" s="30">
        <v>5634039297</v>
      </c>
      <c r="N4054" s="172" t="s">
        <v>98</v>
      </c>
      <c r="O4054" s="50"/>
      <c r="P4054" s="97"/>
      <c r="Q4054" s="42">
        <f>OfficeForms.Table[[#This Row],[ INFORMEDEPAGO ]]*0.3</f>
        <v>0</v>
      </c>
      <c r="R4054" s="12">
        <f>(IF(O4054&lt;4172.98,0,MIN(O4054*0.3,O4054-4172.98)))-P4054</f>
        <v>0</v>
      </c>
      <c r="S4054" s="78"/>
      <c r="T4054" s="212"/>
      <c r="U4054" s="97"/>
      <c r="V4054" s="1"/>
    </row>
    <row r="4055" spans="1:24">
      <c r="A4055">
        <v>2481</v>
      </c>
      <c r="B4055" s="2">
        <v>46267.521215277797</v>
      </c>
      <c r="C4055" s="2">
        <v>46267.671400462998</v>
      </c>
      <c r="D4055" s="1" t="s">
        <v>24</v>
      </c>
      <c r="E4055" s="1"/>
      <c r="F4055" s="29">
        <v>46267</v>
      </c>
      <c r="G4055" s="29">
        <v>46266</v>
      </c>
      <c r="H4055" s="1" t="s">
        <v>51</v>
      </c>
      <c r="I4055" s="126" t="s">
        <v>8998</v>
      </c>
      <c r="J4055" s="175">
        <v>65926704019</v>
      </c>
      <c r="K4055" s="171" t="s">
        <v>8999</v>
      </c>
      <c r="L4055" s="62">
        <v>24173754</v>
      </c>
      <c r="M4055" s="30">
        <v>5212282950872</v>
      </c>
      <c r="N4055" s="172" t="s">
        <v>32</v>
      </c>
      <c r="O4055" s="43">
        <v>3437.04</v>
      </c>
      <c r="P4055" s="43">
        <v>848</v>
      </c>
      <c r="Q4055" s="42">
        <f>OfficeForms.Table[[#This Row],[ INFORMEDEPAGO ]]*0.3</f>
        <v>1031.1119999999999</v>
      </c>
      <c r="R4055" s="12">
        <f>(IF(O4055&lt;4172.98,0,MIN(O4055*0.3,O4055-4172.98)))-P4055</f>
        <v>-848</v>
      </c>
      <c r="S4055" s="78"/>
      <c r="T4055" s="212"/>
      <c r="U4055" s="97"/>
      <c r="V4055" s="1"/>
    </row>
    <row r="4056" spans="1:24">
      <c r="A4056">
        <v>2482</v>
      </c>
      <c r="B4056" s="2">
        <v>46267.668912036999</v>
      </c>
      <c r="C4056" s="2">
        <v>46267.671805555598</v>
      </c>
      <c r="D4056" s="1" t="s">
        <v>24</v>
      </c>
      <c r="E4056" s="1"/>
      <c r="F4056" s="29">
        <v>46267</v>
      </c>
      <c r="G4056" s="29">
        <v>46267</v>
      </c>
      <c r="H4056" s="1" t="s">
        <v>51</v>
      </c>
      <c r="I4056" s="126" t="s">
        <v>9000</v>
      </c>
      <c r="J4056" s="175"/>
      <c r="K4056" s="171" t="s">
        <v>9001</v>
      </c>
      <c r="L4056" s="62">
        <v>24197900</v>
      </c>
      <c r="M4056" s="30">
        <v>5219993342589</v>
      </c>
      <c r="N4056" s="172" t="s">
        <v>28</v>
      </c>
      <c r="O4056" s="43">
        <v>7920.51</v>
      </c>
      <c r="P4056" s="43">
        <v>848</v>
      </c>
      <c r="Q4056" s="42">
        <f>OfficeForms.Table[[#This Row],[ INFORMEDEPAGO ]]*0.3</f>
        <v>2376.1529999999998</v>
      </c>
      <c r="R4056" s="12">
        <f>(IF(O4056&lt;4172.98,0,MIN(O4056*0.3,O4056-4172.98)))-P4056</f>
        <v>1528.1529999999998</v>
      </c>
      <c r="S4056" s="78"/>
      <c r="T4056" s="212"/>
      <c r="U4056" s="97"/>
      <c r="V4056" s="1" t="s">
        <v>8436</v>
      </c>
      <c r="W4056" s="29">
        <v>46267</v>
      </c>
    </row>
    <row r="4057" spans="1:24">
      <c r="A4057">
        <v>2483</v>
      </c>
      <c r="B4057" s="2">
        <v>46267.673067129603</v>
      </c>
      <c r="C4057" s="2">
        <v>46267.673668981501</v>
      </c>
      <c r="D4057" s="1" t="s">
        <v>24</v>
      </c>
      <c r="E4057" s="1"/>
      <c r="F4057" s="29">
        <v>46267</v>
      </c>
      <c r="G4057" s="29">
        <v>46267</v>
      </c>
      <c r="H4057" s="1" t="s">
        <v>8253</v>
      </c>
      <c r="I4057" s="126" t="s">
        <v>9002</v>
      </c>
      <c r="J4057" s="175"/>
      <c r="K4057" s="171" t="s">
        <v>9003</v>
      </c>
      <c r="L4057" s="62">
        <v>24197002</v>
      </c>
      <c r="M4057" s="30">
        <v>5538148958</v>
      </c>
      <c r="N4057" s="172" t="s">
        <v>37</v>
      </c>
      <c r="O4057" s="43">
        <v>9760.32</v>
      </c>
      <c r="P4057" s="43">
        <v>2923.41</v>
      </c>
      <c r="Q4057" s="42">
        <f>OfficeForms.Table[[#This Row],[ INFORMEDEPAGO ]]*0.3</f>
        <v>2928.096</v>
      </c>
      <c r="R4057" s="12">
        <f>(IF(O4057&lt;4172.98,0,MIN(O4057*0.3,O4057-4172.98)))-P4057</f>
        <v>4.6860000000001492</v>
      </c>
      <c r="S4057" s="78">
        <v>46905</v>
      </c>
      <c r="T4057" s="1" t="s">
        <v>178</v>
      </c>
      <c r="U4057" s="97">
        <v>1787.29</v>
      </c>
      <c r="V4057" s="1"/>
    </row>
    <row r="4058" spans="1:24">
      <c r="A4058">
        <v>2484</v>
      </c>
      <c r="B4058" s="2">
        <v>46267.685706018499</v>
      </c>
      <c r="C4058" s="2">
        <v>46267.6866435185</v>
      </c>
      <c r="D4058" s="1" t="s">
        <v>24</v>
      </c>
      <c r="E4058" s="1"/>
      <c r="F4058" s="29">
        <v>46267</v>
      </c>
      <c r="G4058" s="29">
        <v>46266</v>
      </c>
      <c r="H4058" s="1" t="s">
        <v>8238</v>
      </c>
      <c r="I4058" s="126" t="s">
        <v>9004</v>
      </c>
      <c r="J4058" s="175"/>
      <c r="K4058" s="171" t="s">
        <v>9005</v>
      </c>
      <c r="L4058" s="62">
        <v>24177034</v>
      </c>
      <c r="M4058" s="30">
        <v>6323246051</v>
      </c>
      <c r="N4058" s="172" t="s">
        <v>98</v>
      </c>
      <c r="O4058" s="50"/>
      <c r="P4058" s="97"/>
      <c r="Q4058" s="42">
        <f>OfficeForms.Table[[#This Row],[ INFORMEDEPAGO ]]*0.3</f>
        <v>0</v>
      </c>
      <c r="R4058" s="12">
        <f>(IF(O4058&lt;4172.98,0,MIN(O4058*0.3,O4058-4172.98)))-P4058</f>
        <v>0</v>
      </c>
      <c r="S4058" s="78"/>
      <c r="T4058" s="1"/>
      <c r="U4058" s="97"/>
      <c r="V4058" s="1"/>
    </row>
    <row r="4059" spans="1:24">
      <c r="A4059">
        <v>2485</v>
      </c>
      <c r="B4059" s="2">
        <v>46267.693726851903</v>
      </c>
      <c r="C4059" s="2">
        <v>46267.694421296299</v>
      </c>
      <c r="D4059" s="1" t="s">
        <v>24</v>
      </c>
      <c r="E4059" s="1"/>
      <c r="F4059" s="29">
        <v>46267</v>
      </c>
      <c r="G4059" s="29">
        <v>46266</v>
      </c>
      <c r="H4059" s="1" t="s">
        <v>8253</v>
      </c>
      <c r="I4059" s="126" t="s">
        <v>9006</v>
      </c>
      <c r="J4059" s="175">
        <v>8304570648</v>
      </c>
      <c r="K4059" s="171" t="s">
        <v>9007</v>
      </c>
      <c r="L4059" s="62">
        <v>24156672</v>
      </c>
      <c r="M4059" s="30">
        <v>9331642692</v>
      </c>
      <c r="N4059" s="172" t="s">
        <v>235</v>
      </c>
      <c r="O4059" s="50"/>
      <c r="P4059" s="97"/>
      <c r="Q4059" s="42">
        <f>OfficeForms.Table[[#This Row],[ INFORMEDEPAGO ]]*0.3</f>
        <v>0</v>
      </c>
      <c r="R4059" s="12">
        <f>(IF(O4059&lt;4172.98,0,MIN(O4059*0.3,O4059-4172.98)))-P4059</f>
        <v>0</v>
      </c>
      <c r="S4059" s="78"/>
      <c r="T4059" s="1"/>
      <c r="U4059" s="97"/>
      <c r="V4059" s="1"/>
    </row>
    <row r="4060" spans="1:24">
      <c r="A4060">
        <v>2486</v>
      </c>
      <c r="B4060" s="2">
        <v>46267.6948148148</v>
      </c>
      <c r="C4060" s="2">
        <v>46267.695150462998</v>
      </c>
      <c r="D4060" s="1" t="s">
        <v>24</v>
      </c>
      <c r="E4060" s="1"/>
      <c r="F4060" s="29">
        <v>46267</v>
      </c>
      <c r="G4060" s="29">
        <v>46266</v>
      </c>
      <c r="H4060" s="1" t="s">
        <v>269</v>
      </c>
      <c r="I4060" s="126" t="s">
        <v>9008</v>
      </c>
      <c r="J4060" s="175"/>
      <c r="K4060" s="171" t="s">
        <v>9009</v>
      </c>
      <c r="L4060" s="62">
        <v>24170802</v>
      </c>
      <c r="M4060" s="30">
        <v>5219212386788</v>
      </c>
      <c r="N4060" s="172" t="s">
        <v>32</v>
      </c>
      <c r="O4060" s="50">
        <f>3969.69+848</f>
        <v>4817.6900000000005</v>
      </c>
      <c r="P4060" s="97">
        <v>848</v>
      </c>
      <c r="Q4060" s="42">
        <f>OfficeForms.Table[[#This Row],[ INFORMEDEPAGO ]]*0.3</f>
        <v>1445.307</v>
      </c>
      <c r="R4060" s="12">
        <f>(IF(O4060&lt;4172.98,0,MIN(O4060*0.3,O4060-4172.98)))-P4060</f>
        <v>-203.28999999999905</v>
      </c>
      <c r="S4060" s="78"/>
      <c r="T4060" s="1"/>
      <c r="U4060" s="97"/>
      <c r="V4060" s="1"/>
    </row>
    <row r="4061" spans="1:24">
      <c r="A4061">
        <v>2487</v>
      </c>
      <c r="B4061" s="2">
        <v>46267.698680555601</v>
      </c>
      <c r="C4061" s="2">
        <v>46267.7008796296</v>
      </c>
      <c r="D4061" s="1" t="s">
        <v>24</v>
      </c>
      <c r="E4061" s="1"/>
      <c r="F4061" s="29">
        <v>46267</v>
      </c>
      <c r="G4061" s="29">
        <v>46266</v>
      </c>
      <c r="H4061" s="1" t="s">
        <v>8238</v>
      </c>
      <c r="I4061" s="126" t="s">
        <v>9010</v>
      </c>
      <c r="J4061" s="175">
        <v>4916677968</v>
      </c>
      <c r="K4061" s="171" t="s">
        <v>9011</v>
      </c>
      <c r="L4061" s="62">
        <v>24180874</v>
      </c>
      <c r="M4061" s="30">
        <v>3122195059</v>
      </c>
      <c r="N4061" s="172" t="s">
        <v>98</v>
      </c>
      <c r="O4061" s="50"/>
      <c r="P4061" s="97"/>
      <c r="Q4061" s="42">
        <f>OfficeForms.Table[[#This Row],[ INFORMEDEPAGO ]]*0.3</f>
        <v>0</v>
      </c>
      <c r="R4061" s="12">
        <f>(IF(O4061&lt;4172.98,0,MIN(O4061*0.3,O4061-4172.98)))-P4061</f>
        <v>0</v>
      </c>
      <c r="S4061" s="78"/>
      <c r="T4061" s="1"/>
      <c r="U4061" s="97"/>
      <c r="V4061" s="1"/>
    </row>
    <row r="4062" spans="1:24">
      <c r="A4062">
        <v>2488</v>
      </c>
      <c r="B4062" s="2">
        <v>46267.7186111111</v>
      </c>
      <c r="C4062" s="2">
        <v>46267.719537037003</v>
      </c>
      <c r="D4062" s="1" t="s">
        <v>24</v>
      </c>
      <c r="E4062" s="1"/>
      <c r="F4062" s="29">
        <v>46267</v>
      </c>
      <c r="G4062" s="29">
        <v>46267</v>
      </c>
      <c r="H4062" s="1" t="s">
        <v>8238</v>
      </c>
      <c r="I4062" s="126" t="s">
        <v>9012</v>
      </c>
      <c r="J4062" s="175">
        <v>11947435985</v>
      </c>
      <c r="K4062" s="171"/>
      <c r="L4062" s="62">
        <v>24202146</v>
      </c>
      <c r="M4062" s="30">
        <v>5544987803</v>
      </c>
      <c r="N4062" s="172" t="s">
        <v>98</v>
      </c>
      <c r="O4062" s="50"/>
      <c r="P4062" s="97"/>
      <c r="Q4062" s="42">
        <f>OfficeForms.Table[[#This Row],[ INFORMEDEPAGO ]]*0.3</f>
        <v>0</v>
      </c>
      <c r="R4062" s="12">
        <f>(IF(O4062&lt;4172.98,0,MIN(O4062*0.3,O4062-4172.98)))-P4062</f>
        <v>0</v>
      </c>
      <c r="S4062" s="78"/>
      <c r="T4062" s="1"/>
      <c r="U4062" s="97"/>
      <c r="V4062" s="1"/>
    </row>
    <row r="4063" spans="1:24">
      <c r="A4063">
        <v>2489</v>
      </c>
      <c r="B4063" s="2">
        <v>46267.691504629598</v>
      </c>
      <c r="C4063" s="2">
        <v>46267.725925925901</v>
      </c>
      <c r="D4063" s="1" t="s">
        <v>24</v>
      </c>
      <c r="E4063" s="1"/>
      <c r="F4063" s="29">
        <v>46267</v>
      </c>
      <c r="G4063" s="29">
        <v>46267</v>
      </c>
      <c r="H4063" s="1" t="s">
        <v>51</v>
      </c>
      <c r="I4063" s="126" t="s">
        <v>9013</v>
      </c>
      <c r="J4063" s="175"/>
      <c r="K4063" s="171" t="s">
        <v>9014</v>
      </c>
      <c r="L4063" s="62">
        <v>24199964</v>
      </c>
      <c r="M4063" s="30">
        <v>5219321258048</v>
      </c>
      <c r="N4063" s="172" t="s">
        <v>37</v>
      </c>
      <c r="O4063" s="43">
        <v>9081.52</v>
      </c>
      <c r="P4063" s="43">
        <v>2521.35</v>
      </c>
      <c r="Q4063" s="42">
        <f>OfficeForms.Table[[#This Row],[ INFORMEDEPAGO ]]*0.3</f>
        <v>2724.4560000000001</v>
      </c>
      <c r="R4063" s="12">
        <f>(IF(O4063&lt;4172.98,0,MIN(O4063*0.3,O4063-4172.98)))-P4063</f>
        <v>203.10600000000022</v>
      </c>
      <c r="S4063" s="78">
        <v>46296</v>
      </c>
      <c r="T4063" s="1" t="s">
        <v>7209</v>
      </c>
      <c r="U4063" s="43">
        <v>2521.35</v>
      </c>
      <c r="V4063" s="1"/>
    </row>
    <row r="4064" spans="1:24">
      <c r="A4064">
        <v>2490</v>
      </c>
      <c r="B4064" s="2">
        <v>46267.727800925903</v>
      </c>
      <c r="C4064" s="2">
        <v>46267.728171296301</v>
      </c>
      <c r="D4064" s="1" t="s">
        <v>24</v>
      </c>
      <c r="E4064" s="1"/>
      <c r="F4064" s="29">
        <v>46267</v>
      </c>
      <c r="G4064" s="29">
        <v>46267</v>
      </c>
      <c r="H4064" s="1" t="s">
        <v>269</v>
      </c>
      <c r="I4064" s="126" t="s">
        <v>9015</v>
      </c>
      <c r="J4064" s="175" t="s">
        <v>9016</v>
      </c>
      <c r="K4064" s="171" t="s">
        <v>9017</v>
      </c>
      <c r="L4064" s="62">
        <v>24201258</v>
      </c>
      <c r="M4064" s="30">
        <v>5212841079710</v>
      </c>
      <c r="N4064" s="172" t="s">
        <v>37</v>
      </c>
      <c r="O4064" s="43">
        <v>5947.08</v>
      </c>
      <c r="P4064" s="43">
        <v>1784.11</v>
      </c>
      <c r="Q4064" s="42">
        <f>OfficeForms.Table[[#This Row],[ INFORMEDEPAGO ]]*0.3</f>
        <v>1784.124</v>
      </c>
      <c r="R4064" s="12">
        <f>(IF(O4064&lt;4172.98,0,MIN(O4064*0.3,O4064-4172.98)))-P4064</f>
        <v>-10.009999999999536</v>
      </c>
      <c r="S4064" s="78">
        <v>46539</v>
      </c>
      <c r="T4064" s="1" t="s">
        <v>6855</v>
      </c>
      <c r="U4064" s="97">
        <v>961.31</v>
      </c>
      <c r="V4064" s="1"/>
    </row>
    <row r="4065" spans="1:23">
      <c r="A4065">
        <v>2491</v>
      </c>
      <c r="B4065" s="2">
        <v>46267.725937499999</v>
      </c>
      <c r="C4065" s="2">
        <v>46267.729814814797</v>
      </c>
      <c r="D4065" s="1" t="s">
        <v>24</v>
      </c>
      <c r="E4065" s="1"/>
      <c r="F4065" s="29">
        <v>46267</v>
      </c>
      <c r="G4065" s="29">
        <v>46268</v>
      </c>
      <c r="H4065" s="1" t="s">
        <v>51</v>
      </c>
      <c r="I4065" s="126" t="s">
        <v>9018</v>
      </c>
      <c r="J4065" s="207" t="s">
        <v>9019</v>
      </c>
      <c r="K4065" s="171" t="s">
        <v>9020</v>
      </c>
      <c r="L4065" s="62">
        <v>24201862</v>
      </c>
      <c r="M4065" s="30">
        <v>5216562000884</v>
      </c>
      <c r="N4065" s="172" t="s">
        <v>28</v>
      </c>
      <c r="O4065" s="50">
        <v>41608.58</v>
      </c>
      <c r="P4065" s="97"/>
      <c r="Q4065" s="42">
        <f>OfficeForms.Table[[#This Row],[ INFORMEDEPAGO ]]*0.3</f>
        <v>12482.574000000001</v>
      </c>
      <c r="R4065" s="12">
        <f>(IF(O4065&lt;4172.98,0,MIN(O4065*0.3,O4065-4172.98)))-P4065</f>
        <v>12482.574000000001</v>
      </c>
      <c r="S4065" s="78"/>
      <c r="T4065" s="1"/>
      <c r="U4065" s="97"/>
      <c r="V4065" s="1" t="s">
        <v>8535</v>
      </c>
      <c r="W4065" s="29">
        <v>46267</v>
      </c>
    </row>
    <row r="4066" spans="1:23">
      <c r="A4066">
        <v>2492</v>
      </c>
      <c r="B4066" s="2">
        <v>46267.736782407403</v>
      </c>
      <c r="C4066" s="2">
        <v>46267.737245370401</v>
      </c>
      <c r="D4066" s="1" t="s">
        <v>24</v>
      </c>
      <c r="E4066" s="1"/>
      <c r="F4066" s="29">
        <v>46267</v>
      </c>
      <c r="G4066" s="29">
        <v>46267</v>
      </c>
      <c r="H4066" s="1" t="s">
        <v>1625</v>
      </c>
      <c r="I4066" s="126" t="s">
        <v>9021</v>
      </c>
      <c r="J4066" s="207" t="s">
        <v>9022</v>
      </c>
      <c r="K4066" s="171" t="s">
        <v>9023</v>
      </c>
      <c r="L4066" s="62">
        <v>2</v>
      </c>
      <c r="M4066" s="30">
        <v>5520661727</v>
      </c>
      <c r="N4066" s="172" t="s">
        <v>37</v>
      </c>
      <c r="O4066" s="43">
        <v>22336.13</v>
      </c>
      <c r="P4066" s="43">
        <v>6699.49</v>
      </c>
      <c r="Q4066" s="42">
        <f>OfficeForms.Table[[#This Row],[ INFORMEDEPAGO ]]*0.3</f>
        <v>6700.8389999999999</v>
      </c>
      <c r="R4066" s="12">
        <f>(IF(O4066&lt;4172.98,0,MIN(O4066*0.3,O4066-4172.98)))-P4066</f>
        <v>1.3490000000001601</v>
      </c>
      <c r="S4066" s="78">
        <v>46539</v>
      </c>
      <c r="T4066" s="1" t="s">
        <v>7516</v>
      </c>
      <c r="U4066" s="97">
        <v>6462.27</v>
      </c>
      <c r="V4066" s="1"/>
    </row>
    <row r="4067" spans="1:23">
      <c r="A4067">
        <v>2493</v>
      </c>
      <c r="B4067" s="2">
        <v>46267.737268518496</v>
      </c>
      <c r="C4067" s="2">
        <v>46267.739108796297</v>
      </c>
      <c r="D4067" s="1" t="s">
        <v>24</v>
      </c>
      <c r="E4067" s="1"/>
      <c r="F4067" s="29">
        <v>46267</v>
      </c>
      <c r="G4067" s="29">
        <v>46267</v>
      </c>
      <c r="H4067" s="1" t="s">
        <v>1625</v>
      </c>
      <c r="I4067" s="126" t="s">
        <v>9024</v>
      </c>
      <c r="J4067" s="207" t="s">
        <v>9025</v>
      </c>
      <c r="K4067" s="171" t="s">
        <v>9026</v>
      </c>
      <c r="L4067" s="62">
        <v>2</v>
      </c>
      <c r="M4067" s="30" t="s">
        <v>9027</v>
      </c>
      <c r="N4067" s="172" t="s">
        <v>32</v>
      </c>
      <c r="O4067" s="50">
        <v>3855.42</v>
      </c>
      <c r="P4067" s="97"/>
      <c r="Q4067" s="42">
        <f>OfficeForms.Table[[#This Row],[ INFORMEDEPAGO ]]*0.3</f>
        <v>1156.626</v>
      </c>
      <c r="R4067" s="12">
        <f>(IF(O4067&lt;4172.98,0,MIN(O4067*0.3,O4067-4172.98)))-P4067</f>
        <v>0</v>
      </c>
      <c r="S4067" s="78"/>
      <c r="T4067" s="1"/>
      <c r="U4067" s="97"/>
      <c r="V4067" s="1"/>
    </row>
    <row r="4068" spans="1:23">
      <c r="A4068">
        <v>2494</v>
      </c>
      <c r="B4068" s="2">
        <v>46267.740011574097</v>
      </c>
      <c r="C4068" s="2">
        <v>46267.741006944401</v>
      </c>
      <c r="D4068" s="1" t="s">
        <v>24</v>
      </c>
      <c r="E4068" s="1"/>
      <c r="F4068" s="29">
        <v>46267</v>
      </c>
      <c r="G4068" s="29">
        <v>46267</v>
      </c>
      <c r="H4068" s="1" t="s">
        <v>8253</v>
      </c>
      <c r="I4068" s="126" t="s">
        <v>9028</v>
      </c>
      <c r="J4068" s="207">
        <v>41947417253</v>
      </c>
      <c r="K4068" s="171" t="s">
        <v>9029</v>
      </c>
      <c r="L4068" s="62">
        <v>24200828</v>
      </c>
      <c r="M4068" s="30">
        <v>8341145738</v>
      </c>
      <c r="N4068" s="172" t="s">
        <v>98</v>
      </c>
      <c r="O4068" s="50"/>
      <c r="P4068" s="97"/>
      <c r="Q4068" s="42">
        <f>OfficeForms.Table[[#This Row],[ INFORMEDEPAGO ]]*0.3</f>
        <v>0</v>
      </c>
      <c r="R4068" s="12">
        <f>(IF(O4068&lt;4172.98,0,MIN(O4068*0.3,O4068-4172.98)))-P4068</f>
        <v>0</v>
      </c>
      <c r="S4068" s="78"/>
      <c r="T4068" s="1"/>
      <c r="U4068" s="97"/>
      <c r="V4068" s="1"/>
    </row>
    <row r="4069" spans="1:23">
      <c r="A4069">
        <v>2495</v>
      </c>
      <c r="B4069" s="2">
        <v>46267.729837963001</v>
      </c>
      <c r="C4069" s="2">
        <v>46267.741990740702</v>
      </c>
      <c r="D4069" s="1" t="s">
        <v>24</v>
      </c>
      <c r="E4069" s="1"/>
      <c r="F4069" s="29">
        <v>46267</v>
      </c>
      <c r="G4069" s="29">
        <v>46267</v>
      </c>
      <c r="H4069" s="1" t="s">
        <v>51</v>
      </c>
      <c r="I4069" s="126" t="s">
        <v>9030</v>
      </c>
      <c r="J4069" s="207"/>
      <c r="K4069" s="171" t="s">
        <v>9031</v>
      </c>
      <c r="L4069" s="62">
        <v>24202032</v>
      </c>
      <c r="M4069" s="30">
        <v>5213511017007</v>
      </c>
      <c r="N4069" s="172" t="s">
        <v>28</v>
      </c>
      <c r="O4069" s="50">
        <v>32632.39</v>
      </c>
      <c r="P4069" s="97"/>
      <c r="Q4069" s="42">
        <f>OfficeForms.Table[[#This Row],[ INFORMEDEPAGO ]]*0.3</f>
        <v>9789.7169999999987</v>
      </c>
      <c r="R4069" s="12">
        <f>(IF(O4069&lt;4172.98,0,MIN(O4069*0.3,O4069-4172.98)))-P4069</f>
        <v>9789.7169999999987</v>
      </c>
      <c r="S4069" s="78"/>
      <c r="T4069" s="1"/>
      <c r="U4069" s="97"/>
      <c r="V4069" s="1" t="s">
        <v>8716</v>
      </c>
      <c r="W4069" s="29">
        <v>46267</v>
      </c>
    </row>
    <row r="4070" spans="1:23">
      <c r="A4070">
        <v>2496</v>
      </c>
      <c r="B4070" s="2">
        <v>46267.642685185201</v>
      </c>
      <c r="C4070" s="2">
        <v>46267.747187499997</v>
      </c>
      <c r="D4070" s="1" t="s">
        <v>24</v>
      </c>
      <c r="E4070" s="1"/>
      <c r="F4070" s="29">
        <v>46267</v>
      </c>
      <c r="G4070" s="29">
        <v>46266</v>
      </c>
      <c r="H4070" s="1" t="s">
        <v>8721</v>
      </c>
      <c r="I4070" s="126" t="s">
        <v>9032</v>
      </c>
      <c r="J4070" s="175" t="s">
        <v>9033</v>
      </c>
      <c r="K4070" s="171" t="s">
        <v>9034</v>
      </c>
      <c r="L4070" s="62">
        <v>24170650</v>
      </c>
      <c r="M4070" s="30">
        <v>5215524084221</v>
      </c>
      <c r="N4070" s="172" t="s">
        <v>37</v>
      </c>
      <c r="O4070" s="43">
        <v>6411.47</v>
      </c>
      <c r="P4070" s="43">
        <v>1854</v>
      </c>
      <c r="Q4070" s="42">
        <f>OfficeForms.Table[[#This Row],[ INFORMEDEPAGO ]]*0.3</f>
        <v>1923.441</v>
      </c>
      <c r="R4070" s="12">
        <f>(IF(O4070&lt;4172.98,0,MIN(O4070*0.3,O4070-4172.98)))-P4070</f>
        <v>69.441000000000031</v>
      </c>
      <c r="S4070" s="78">
        <v>46692</v>
      </c>
      <c r="T4070" s="1" t="s">
        <v>8415</v>
      </c>
      <c r="U4070" s="43">
        <v>1854</v>
      </c>
      <c r="V4070" s="1"/>
    </row>
    <row r="4071" spans="1:23">
      <c r="A4071">
        <v>2497</v>
      </c>
      <c r="B4071" s="2">
        <v>46268.322766203702</v>
      </c>
      <c r="C4071" s="2">
        <v>46268.327349537001</v>
      </c>
      <c r="D4071" s="1" t="s">
        <v>24</v>
      </c>
      <c r="E4071" s="1"/>
      <c r="F4071" s="29">
        <v>46268</v>
      </c>
      <c r="G4071" s="29">
        <v>46268</v>
      </c>
      <c r="H4071" s="1" t="s">
        <v>1625</v>
      </c>
      <c r="I4071" s="126" t="s">
        <v>9035</v>
      </c>
      <c r="J4071" s="175" t="s">
        <v>9036</v>
      </c>
      <c r="K4071" s="171" t="s">
        <v>9037</v>
      </c>
      <c r="L4071" s="62">
        <v>2</v>
      </c>
      <c r="M4071" s="30">
        <v>5582555487</v>
      </c>
      <c r="N4071" s="172" t="s">
        <v>74</v>
      </c>
      <c r="O4071" s="50"/>
      <c r="P4071" s="97"/>
      <c r="Q4071" s="42">
        <f>OfficeForms.Table[[#This Row],[ INFORMEDEPAGO ]]*0.3</f>
        <v>0</v>
      </c>
      <c r="R4071" s="12">
        <f t="shared" ref="R4071:R4072" si="299">(IF(O4071&lt;4172.98,0,MIN(O4071*0.3,O4071-4172.98)))-P4071</f>
        <v>0</v>
      </c>
      <c r="S4071" s="78"/>
      <c r="T4071" s="1"/>
      <c r="U4071" s="97"/>
      <c r="V4071" s="1"/>
    </row>
    <row r="4072" spans="1:23">
      <c r="A4072">
        <v>2498</v>
      </c>
      <c r="B4072" s="2">
        <v>46268.327384259297</v>
      </c>
      <c r="C4072" s="2">
        <v>46268.365821759297</v>
      </c>
      <c r="D4072" s="1" t="s">
        <v>24</v>
      </c>
      <c r="E4072" s="1"/>
      <c r="F4072" s="29">
        <v>46268</v>
      </c>
      <c r="G4072" s="29">
        <v>46268</v>
      </c>
      <c r="H4072" s="1" t="s">
        <v>1625</v>
      </c>
      <c r="I4072" s="126" t="s">
        <v>9038</v>
      </c>
      <c r="J4072" s="175" t="s">
        <v>9039</v>
      </c>
      <c r="K4072" s="171" t="s">
        <v>9040</v>
      </c>
      <c r="L4072" s="62">
        <v>2</v>
      </c>
      <c r="M4072" s="30">
        <v>8112292269</v>
      </c>
      <c r="N4072" s="172" t="s">
        <v>32</v>
      </c>
      <c r="O4072" s="50">
        <f>3052.89+848</f>
        <v>3900.89</v>
      </c>
      <c r="P4072" s="97">
        <v>848</v>
      </c>
      <c r="Q4072" s="42">
        <f>OfficeForms.Table[[#This Row],[ INFORMEDEPAGO ]]*0.3</f>
        <v>1170.2669999999998</v>
      </c>
      <c r="R4072" s="12">
        <f t="shared" si="299"/>
        <v>-848</v>
      </c>
      <c r="S4072" s="78"/>
      <c r="T4072" s="1"/>
      <c r="U4072" s="97"/>
      <c r="V4072" s="1"/>
    </row>
    <row r="4073" spans="1:23">
      <c r="A4073">
        <v>2499</v>
      </c>
      <c r="B4073" s="2">
        <v>46268.4320717593</v>
      </c>
      <c r="C4073" s="2">
        <v>46268.433402777802</v>
      </c>
      <c r="D4073" s="1" t="s">
        <v>24</v>
      </c>
      <c r="E4073" s="1"/>
      <c r="F4073" s="29">
        <v>46268</v>
      </c>
      <c r="G4073" s="29">
        <v>46268</v>
      </c>
      <c r="H4073" s="1" t="s">
        <v>8238</v>
      </c>
      <c r="I4073" s="126" t="s">
        <v>9041</v>
      </c>
      <c r="J4073" s="175" t="s">
        <v>9042</v>
      </c>
      <c r="K4073" s="171" t="s">
        <v>9043</v>
      </c>
      <c r="L4073" s="62">
        <v>24209568</v>
      </c>
      <c r="M4073" s="30">
        <v>2441095528</v>
      </c>
      <c r="N4073" s="172" t="s">
        <v>32</v>
      </c>
      <c r="O4073" s="50">
        <v>3869.36</v>
      </c>
      <c r="P4073" s="97"/>
      <c r="Q4073" s="42">
        <f>OfficeForms.Table[[#This Row],[ INFORMEDEPAGO ]]*0.3</f>
        <v>1160.808</v>
      </c>
      <c r="R4073" s="12">
        <f t="shared" ref="R4073" si="300">(IF(O4073&lt;4172.98,0,MIN(O4073*0.3,O4073-4172.98)))-P4073</f>
        <v>0</v>
      </c>
      <c r="S4073" s="78"/>
      <c r="T4073" s="1"/>
      <c r="U4073" s="97"/>
      <c r="V4073" s="1"/>
    </row>
    <row r="4074" spans="1:23">
      <c r="A4074">
        <v>2500</v>
      </c>
      <c r="B4074" s="2">
        <v>46268.442557870403</v>
      </c>
      <c r="C4074" s="2">
        <v>46268.443368055603</v>
      </c>
      <c r="D4074" s="1" t="s">
        <v>24</v>
      </c>
      <c r="E4074" s="1"/>
      <c r="F4074" s="29">
        <v>46268</v>
      </c>
      <c r="G4074" s="29">
        <v>46268</v>
      </c>
      <c r="H4074" s="1" t="s">
        <v>8253</v>
      </c>
      <c r="I4074" s="126" t="s">
        <v>9044</v>
      </c>
      <c r="J4074" s="175"/>
      <c r="K4074" s="171" t="s">
        <v>9045</v>
      </c>
      <c r="L4074" s="62">
        <v>24209764</v>
      </c>
      <c r="M4074" s="30">
        <v>8184707021</v>
      </c>
      <c r="N4074" s="172" t="s">
        <v>106</v>
      </c>
      <c r="O4074" s="43">
        <v>6116.76</v>
      </c>
      <c r="P4074" s="43">
        <v>1696.24</v>
      </c>
      <c r="Q4074" s="42">
        <f>OfficeForms.Table[[#This Row],[ INFORMEDEPAGO ]]*0.3</f>
        <v>1835.028</v>
      </c>
      <c r="R4074" s="12">
        <f>(IF(O4074&lt;4172.98,0,MIN(O4074*0.3,O4074-4172.98)))-P4074</f>
        <v>138.78800000000001</v>
      </c>
      <c r="S4074" s="78">
        <v>46266</v>
      </c>
      <c r="T4074" s="1" t="s">
        <v>7516</v>
      </c>
      <c r="U4074" s="97">
        <v>1696.24</v>
      </c>
      <c r="V4074" s="1" t="s">
        <v>8356</v>
      </c>
      <c r="W4074" s="29">
        <v>46268</v>
      </c>
    </row>
    <row r="4075" spans="1:23">
      <c r="A4075">
        <v>2501</v>
      </c>
      <c r="B4075" s="2">
        <v>46268.423391203702</v>
      </c>
      <c r="C4075" s="2">
        <v>46268.445034722201</v>
      </c>
      <c r="D4075" s="1" t="s">
        <v>24</v>
      </c>
      <c r="E4075" s="1"/>
      <c r="F4075" s="29">
        <v>46268</v>
      </c>
      <c r="G4075" s="29">
        <v>46268</v>
      </c>
      <c r="H4075" s="1" t="s">
        <v>51</v>
      </c>
      <c r="I4075" s="126" t="s">
        <v>9046</v>
      </c>
      <c r="J4075" s="175">
        <v>16886411947</v>
      </c>
      <c r="K4075" s="171" t="s">
        <v>9047</v>
      </c>
      <c r="L4075" s="62">
        <v>24215758</v>
      </c>
      <c r="M4075" s="30">
        <v>5217293087206</v>
      </c>
      <c r="N4075" s="172" t="s">
        <v>28</v>
      </c>
      <c r="O4075" s="43">
        <v>9081.52</v>
      </c>
      <c r="P4075" s="43">
        <v>1499.56</v>
      </c>
      <c r="Q4075" s="42">
        <f>OfficeForms.Table[[#This Row],[ INFORMEDEPAGO ]]*0.3</f>
        <v>2724.4560000000001</v>
      </c>
      <c r="R4075" s="12">
        <f>(IF(O4075&lt;4172.98,0,MIN(O4075*0.3,O4075-4172.98)))-P4075</f>
        <v>1224.8960000000002</v>
      </c>
      <c r="S4075" s="78">
        <v>46631</v>
      </c>
      <c r="T4075" s="1" t="s">
        <v>8319</v>
      </c>
      <c r="U4075" s="97">
        <v>1499.56</v>
      </c>
      <c r="V4075" s="1" t="s">
        <v>8436</v>
      </c>
      <c r="W4075" s="29">
        <v>46268</v>
      </c>
    </row>
    <row r="4076" spans="1:23">
      <c r="A4076">
        <v>2502</v>
      </c>
      <c r="B4076" s="2">
        <v>46268.446134259299</v>
      </c>
      <c r="C4076" s="2">
        <v>46268.446863425903</v>
      </c>
      <c r="D4076" s="1" t="s">
        <v>24</v>
      </c>
      <c r="E4076" s="1"/>
      <c r="F4076" s="29">
        <v>46268</v>
      </c>
      <c r="G4076" s="29">
        <v>46267</v>
      </c>
      <c r="H4076" s="1" t="s">
        <v>8238</v>
      </c>
      <c r="I4076" s="126" t="s">
        <v>9048</v>
      </c>
      <c r="J4076" s="175" t="s">
        <v>9049</v>
      </c>
      <c r="K4076" s="171"/>
      <c r="L4076" s="62">
        <v>29204910</v>
      </c>
      <c r="M4076" s="30">
        <v>6681056978</v>
      </c>
      <c r="N4076" s="226" t="s">
        <v>37</v>
      </c>
      <c r="O4076" s="227">
        <v>12585.73</v>
      </c>
      <c r="P4076" s="227">
        <v>3641.11</v>
      </c>
      <c r="Q4076" s="121">
        <f>O4076*0.3</f>
        <v>3775.7189999999996</v>
      </c>
      <c r="R4076" s="121">
        <f>(IF(O4076&lt;4172.98,0,MIN(O4076*0.3,O4076-4172.98)))-P4076</f>
        <v>134.60899999999947</v>
      </c>
      <c r="S4076" s="228">
        <v>46357</v>
      </c>
      <c r="T4076" s="226" t="s">
        <v>7209</v>
      </c>
      <c r="U4076" s="121">
        <v>773.8</v>
      </c>
      <c r="V4076" s="1"/>
    </row>
    <row r="4077" spans="1:23">
      <c r="A4077">
        <v>2503</v>
      </c>
      <c r="B4077" s="2">
        <v>46268.425543981502</v>
      </c>
      <c r="C4077" s="2">
        <v>46268.450243055602</v>
      </c>
      <c r="D4077" s="1" t="s">
        <v>24</v>
      </c>
      <c r="E4077" s="1"/>
      <c r="F4077" s="29">
        <v>46268</v>
      </c>
      <c r="G4077" s="29">
        <v>46267</v>
      </c>
      <c r="H4077" s="1" t="s">
        <v>78</v>
      </c>
      <c r="I4077" s="126" t="s">
        <v>9050</v>
      </c>
      <c r="J4077" s="175">
        <v>30855900038</v>
      </c>
      <c r="K4077" s="171" t="s">
        <v>9051</v>
      </c>
      <c r="L4077" s="62">
        <v>24204264</v>
      </c>
      <c r="M4077" s="30">
        <v>5218128788208</v>
      </c>
      <c r="N4077" s="172" t="s">
        <v>37</v>
      </c>
      <c r="O4077" s="50">
        <v>8784.2900000000009</v>
      </c>
      <c r="P4077" s="97">
        <v>2501.41</v>
      </c>
      <c r="Q4077" s="42">
        <f>OfficeForms.Table[[#This Row],[ INFORMEDEPAGO ]]*0.3</f>
        <v>2635.2870000000003</v>
      </c>
      <c r="R4077" s="12">
        <f>(IF(O4077&lt;4172.98,0,MIN(O4077*0.3,O4077-4172.98)))-P4077</f>
        <v>133.87700000000041</v>
      </c>
      <c r="S4077" s="78">
        <v>46631</v>
      </c>
      <c r="T4077" s="1" t="s">
        <v>8398</v>
      </c>
      <c r="U4077" s="97">
        <v>2501.41</v>
      </c>
      <c r="V4077" s="1"/>
    </row>
    <row r="4078" spans="1:23">
      <c r="A4078">
        <v>2504</v>
      </c>
      <c r="B4078" s="2">
        <v>46268.4450462963</v>
      </c>
      <c r="C4078" s="2">
        <v>46268.450416666703</v>
      </c>
      <c r="D4078" s="1" t="s">
        <v>24</v>
      </c>
      <c r="E4078" s="1"/>
      <c r="F4078" s="29">
        <v>46268</v>
      </c>
      <c r="G4078" s="29">
        <v>46268</v>
      </c>
      <c r="H4078" s="1" t="s">
        <v>51</v>
      </c>
      <c r="I4078" s="126" t="s">
        <v>9052</v>
      </c>
      <c r="J4078" s="175">
        <v>43786087494</v>
      </c>
      <c r="K4078" s="171" t="s">
        <v>9053</v>
      </c>
      <c r="L4078" s="62">
        <v>24207198</v>
      </c>
      <c r="M4078" s="30">
        <v>5218119837244</v>
      </c>
      <c r="N4078" s="172" t="s">
        <v>37</v>
      </c>
      <c r="O4078" s="52">
        <v>5617.63</v>
      </c>
      <c r="P4078" s="52">
        <v>1421.43</v>
      </c>
      <c r="Q4078" s="42">
        <f>OfficeForms.Table[[#This Row],[ INFORMEDEPAGO ]]*0.3</f>
        <v>1685.289</v>
      </c>
      <c r="R4078" s="12">
        <f>(IF(O4078&lt;4172.98,0,MIN(O4078*0.3,O4078-4172.98)))-P4078</f>
        <v>23.220000000000482</v>
      </c>
      <c r="S4078" s="78">
        <v>46935</v>
      </c>
      <c r="T4078" s="1" t="s">
        <v>84</v>
      </c>
      <c r="U4078" s="97">
        <v>1421.43</v>
      </c>
      <c r="V4078" s="1"/>
    </row>
    <row r="4079" spans="1:23">
      <c r="A4079">
        <v>2505</v>
      </c>
      <c r="B4079" s="2">
        <v>46268.450439814798</v>
      </c>
      <c r="C4079" s="2">
        <v>46268.454629629603</v>
      </c>
      <c r="D4079" s="1" t="s">
        <v>24</v>
      </c>
      <c r="E4079" s="1"/>
      <c r="F4079" s="29">
        <v>46268</v>
      </c>
      <c r="G4079" s="29">
        <v>46268</v>
      </c>
      <c r="H4079" s="1" t="s">
        <v>51</v>
      </c>
      <c r="I4079" s="126" t="s">
        <v>9054</v>
      </c>
      <c r="J4079" s="175"/>
      <c r="K4079" s="171" t="s">
        <v>9055</v>
      </c>
      <c r="L4079" s="62">
        <v>24217048</v>
      </c>
      <c r="M4079" s="30">
        <v>5215580401192</v>
      </c>
      <c r="N4079" s="172" t="s">
        <v>47</v>
      </c>
      <c r="O4079" s="52">
        <v>43945.88</v>
      </c>
      <c r="P4079" s="52">
        <v>12698.78</v>
      </c>
      <c r="Q4079" s="42">
        <f>OfficeForms.Table[[#This Row],[ INFORMEDEPAGO ]]*0.3</f>
        <v>13183.763999999999</v>
      </c>
      <c r="R4079" s="12">
        <f>(IF(O4079&lt;4172.98,0,MIN(O4079*0.3,O4079-4172.98)))-P4079</f>
        <v>484.98399999999856</v>
      </c>
      <c r="S4079" s="78">
        <v>46419</v>
      </c>
      <c r="T4079" s="1" t="s">
        <v>7516</v>
      </c>
      <c r="U4079" s="97">
        <v>12698.78</v>
      </c>
      <c r="V4079" s="1" t="s">
        <v>8316</v>
      </c>
      <c r="W4079" s="29">
        <v>46268</v>
      </c>
    </row>
    <row r="4080" spans="1:23">
      <c r="A4080">
        <v>2506</v>
      </c>
      <c r="B4080" s="2">
        <v>46268.365856481498</v>
      </c>
      <c r="C4080" s="2">
        <v>46268.468402777798</v>
      </c>
      <c r="D4080" s="1" t="s">
        <v>24</v>
      </c>
      <c r="E4080" s="1"/>
      <c r="F4080" s="29">
        <v>46268</v>
      </c>
      <c r="G4080" s="29">
        <v>46268</v>
      </c>
      <c r="H4080" s="1" t="s">
        <v>1625</v>
      </c>
      <c r="I4080" s="126" t="s">
        <v>9056</v>
      </c>
      <c r="J4080" s="175">
        <v>92886408373</v>
      </c>
      <c r="K4080" s="171" t="s">
        <v>9057</v>
      </c>
      <c r="L4080" s="62">
        <v>2</v>
      </c>
      <c r="M4080" s="30">
        <v>5544794862</v>
      </c>
      <c r="N4080" s="172" t="s">
        <v>28</v>
      </c>
      <c r="O4080" s="67">
        <v>9760.32</v>
      </c>
      <c r="P4080" s="99"/>
      <c r="Q4080" s="42">
        <f>OfficeForms.Table[[#This Row],[ INFORMEDEPAGO ]]*0.3</f>
        <v>2928.096</v>
      </c>
      <c r="R4080" s="12">
        <f>(IF(O4080&lt;4172.98,0,MIN(O4080*0.3,O4080-4172.98)))-P4080</f>
        <v>2928.096</v>
      </c>
      <c r="S4080" s="78"/>
      <c r="T4080" s="1"/>
      <c r="U4080" s="97"/>
      <c r="V4080" s="1"/>
    </row>
    <row r="4081" spans="1:23">
      <c r="A4081">
        <v>2507</v>
      </c>
      <c r="B4081" s="2">
        <v>46268.469328703701</v>
      </c>
      <c r="C4081" s="2">
        <v>46268.470081018502</v>
      </c>
      <c r="D4081" s="1" t="s">
        <v>24</v>
      </c>
      <c r="E4081" s="1"/>
      <c r="F4081" s="29">
        <v>46268</v>
      </c>
      <c r="G4081" s="29">
        <v>46268</v>
      </c>
      <c r="H4081" s="1" t="s">
        <v>8238</v>
      </c>
      <c r="I4081" s="126" t="s">
        <v>9058</v>
      </c>
      <c r="J4081" s="175"/>
      <c r="K4081" s="171" t="s">
        <v>9059</v>
      </c>
      <c r="L4081" s="62">
        <v>24215592</v>
      </c>
      <c r="M4081" s="30">
        <v>2211894184</v>
      </c>
      <c r="N4081" s="172" t="s">
        <v>37</v>
      </c>
      <c r="O4081" s="52">
        <v>7920.51</v>
      </c>
      <c r="P4081" s="52">
        <v>2291.0700000000002</v>
      </c>
      <c r="Q4081" s="42">
        <f>OfficeForms.Table[[#This Row],[ INFORMEDEPAGO ]]*0.3</f>
        <v>2376.1529999999998</v>
      </c>
      <c r="R4081" s="12">
        <f>(IF(O4081&lt;4172.98,0,MIN(O4081*0.3,O4081-4172.98)))-P4081</f>
        <v>85.082999999999629</v>
      </c>
      <c r="S4081" s="78">
        <v>46478</v>
      </c>
      <c r="T4081" s="1" t="s">
        <v>8319</v>
      </c>
      <c r="U4081" s="97">
        <v>381.85</v>
      </c>
      <c r="V4081" s="1"/>
    </row>
    <row r="4082" spans="1:23">
      <c r="A4082">
        <v>2508</v>
      </c>
      <c r="B4082" s="2">
        <v>46268.480949074103</v>
      </c>
      <c r="C4082" s="2">
        <v>46268.481782407398</v>
      </c>
      <c r="D4082" s="1" t="s">
        <v>24</v>
      </c>
      <c r="E4082" s="1"/>
      <c r="F4082" s="29">
        <v>46268</v>
      </c>
      <c r="G4082" s="29">
        <v>46266</v>
      </c>
      <c r="H4082" s="1" t="s">
        <v>8238</v>
      </c>
      <c r="I4082" s="126" t="s">
        <v>9060</v>
      </c>
      <c r="J4082" s="175"/>
      <c r="K4082" s="171" t="s">
        <v>9061</v>
      </c>
      <c r="L4082" s="62">
        <v>24157854</v>
      </c>
      <c r="M4082" s="30">
        <v>3511201363</v>
      </c>
      <c r="N4082" s="172" t="s">
        <v>98</v>
      </c>
      <c r="O4082" s="67"/>
      <c r="P4082" s="99"/>
      <c r="Q4082" s="42">
        <f>OfficeForms.Table[[#This Row],[ INFORMEDEPAGO ]]*0.3</f>
        <v>0</v>
      </c>
      <c r="R4082" s="12">
        <f>(IF(O4082&lt;4172.98,0,MIN(O4082*0.3,O4082-4172.98)))-P4082</f>
        <v>0</v>
      </c>
      <c r="S4082" s="78"/>
      <c r="T4082" s="1"/>
      <c r="U4082" s="97"/>
      <c r="V4082" s="1"/>
    </row>
    <row r="4083" spans="1:23">
      <c r="A4083">
        <v>2509</v>
      </c>
      <c r="B4083" s="2">
        <v>46268.481342592597</v>
      </c>
      <c r="C4083" s="2">
        <v>46268.483148148203</v>
      </c>
      <c r="D4083" s="1" t="s">
        <v>24</v>
      </c>
      <c r="E4083" s="1"/>
      <c r="F4083" s="29">
        <v>46268</v>
      </c>
      <c r="G4083" s="29">
        <v>46266</v>
      </c>
      <c r="H4083" s="1" t="s">
        <v>8253</v>
      </c>
      <c r="I4083" s="126" t="s">
        <v>9062</v>
      </c>
      <c r="J4083" s="175">
        <v>71834900475</v>
      </c>
      <c r="K4083" s="171" t="s">
        <v>9063</v>
      </c>
      <c r="L4083" s="62">
        <v>24162504</v>
      </c>
      <c r="M4083" s="30">
        <v>9641374403</v>
      </c>
      <c r="N4083" s="172" t="s">
        <v>32</v>
      </c>
      <c r="O4083" s="67">
        <v>3568.75</v>
      </c>
      <c r="P4083" s="99"/>
      <c r="Q4083" s="42">
        <f>OfficeForms.Table[[#This Row],[ INFORMEDEPAGO ]]*0.3</f>
        <v>1070.625</v>
      </c>
      <c r="R4083" s="12">
        <f>(IF(O4083&lt;4172.98,0,MIN(O4083*0.3,O4083-4172.98)))-P4083</f>
        <v>0</v>
      </c>
      <c r="S4083" s="78"/>
      <c r="T4083" s="1"/>
      <c r="U4083" s="97"/>
      <c r="V4083" s="1"/>
    </row>
    <row r="4084" spans="1:23">
      <c r="A4084">
        <v>2510</v>
      </c>
      <c r="B4084" s="2">
        <v>46268.4847800926</v>
      </c>
      <c r="C4084" s="2">
        <v>46268.487523148098</v>
      </c>
      <c r="D4084" s="1" t="s">
        <v>24</v>
      </c>
      <c r="E4084" s="1"/>
      <c r="F4084" s="29">
        <v>46268</v>
      </c>
      <c r="G4084" s="29">
        <v>46268</v>
      </c>
      <c r="H4084" s="1" t="s">
        <v>1625</v>
      </c>
      <c r="I4084" s="126" t="s">
        <v>9064</v>
      </c>
      <c r="J4084" s="175">
        <v>41927501514</v>
      </c>
      <c r="K4084" s="171" t="s">
        <v>9065</v>
      </c>
      <c r="L4084" s="62">
        <v>2</v>
      </c>
      <c r="M4084" s="30" t="s">
        <v>9066</v>
      </c>
      <c r="N4084" s="172" t="s">
        <v>32</v>
      </c>
      <c r="O4084" s="67">
        <v>3491.37</v>
      </c>
      <c r="P4084" s="99">
        <v>848</v>
      </c>
      <c r="Q4084" s="42">
        <f>OfficeForms.Table[[#This Row],[ INFORMEDEPAGO ]]*0.3</f>
        <v>1047.4109999999998</v>
      </c>
      <c r="R4084" s="12">
        <f>(IF(O4084&lt;4172.98,0,MIN(O4084*0.3,O4084-4172.98)))-P4084</f>
        <v>-848</v>
      </c>
      <c r="S4084" s="78"/>
      <c r="T4084" s="1"/>
      <c r="U4084" s="97"/>
      <c r="V4084" s="1"/>
    </row>
    <row r="4085" spans="1:23">
      <c r="A4085">
        <v>2511</v>
      </c>
      <c r="B4085" s="2">
        <v>46268.491770833301</v>
      </c>
      <c r="C4085" s="2">
        <v>46268.492581018501</v>
      </c>
      <c r="D4085" s="1" t="s">
        <v>24</v>
      </c>
      <c r="E4085" s="1"/>
      <c r="F4085" s="29">
        <v>46268</v>
      </c>
      <c r="G4085" s="29">
        <v>46266</v>
      </c>
      <c r="H4085" s="1" t="s">
        <v>8253</v>
      </c>
      <c r="I4085" s="126" t="s">
        <v>9067</v>
      </c>
      <c r="J4085" s="175"/>
      <c r="K4085" s="171" t="s">
        <v>9068</v>
      </c>
      <c r="L4085" s="62">
        <v>24156074</v>
      </c>
      <c r="M4085" s="30">
        <v>4439378925</v>
      </c>
      <c r="N4085" s="172" t="s">
        <v>28</v>
      </c>
      <c r="O4085" s="50">
        <v>7116.73</v>
      </c>
      <c r="P4085" s="97"/>
      <c r="Q4085" s="230">
        <f>OfficeForms.Table[[#This Row],[ INFORMEDEPAGO ]]*0.3</f>
        <v>2135.0189999999998</v>
      </c>
      <c r="R4085" s="231">
        <f>(IF(O4085&lt;4172.98,0,MIN(O4085*0.3,O4085-4172.98)))-P4085</f>
        <v>2135.0189999999998</v>
      </c>
      <c r="S4085" s="78"/>
      <c r="T4085" s="1"/>
      <c r="U4085" s="97"/>
      <c r="V4085" s="1" t="s">
        <v>8280</v>
      </c>
      <c r="W4085" s="29">
        <v>46268</v>
      </c>
    </row>
    <row r="4086" spans="1:23">
      <c r="A4086">
        <v>2512</v>
      </c>
      <c r="B4086" s="2">
        <v>46268.422199074099</v>
      </c>
      <c r="C4086" s="2">
        <v>46268.506203703699</v>
      </c>
      <c r="D4086" s="1" t="s">
        <v>24</v>
      </c>
      <c r="E4086" s="1"/>
      <c r="F4086" s="29">
        <v>46268</v>
      </c>
      <c r="G4086" s="29">
        <v>46267</v>
      </c>
      <c r="H4086" s="1" t="s">
        <v>8721</v>
      </c>
      <c r="I4086" s="126" t="s">
        <v>9069</v>
      </c>
      <c r="J4086" s="207" t="s">
        <v>9070</v>
      </c>
      <c r="K4086" s="171" t="s">
        <v>9071</v>
      </c>
      <c r="L4086" s="62">
        <v>24203890</v>
      </c>
      <c r="M4086" s="30">
        <v>5216673474464</v>
      </c>
      <c r="N4086" t="s">
        <v>37</v>
      </c>
      <c r="O4086" s="98">
        <v>8784.68</v>
      </c>
      <c r="P4086" s="98">
        <v>2540.59</v>
      </c>
      <c r="Q4086" s="230">
        <f>OfficeForms.Table[[#This Row],[ INFORMEDEPAGO ]]*0.3</f>
        <v>2635.404</v>
      </c>
      <c r="R4086" s="231">
        <f t="shared" ref="R4086:R4088" si="301">(IF(O4086&lt;4172.98,0,MIN(O4086*0.3,O4086-4172.98)))-P4086</f>
        <v>94.813999999999851</v>
      </c>
      <c r="S4086" s="78">
        <v>46784</v>
      </c>
      <c r="T4086" t="s">
        <v>84</v>
      </c>
      <c r="U4086" s="229">
        <v>2540.59</v>
      </c>
      <c r="V4086" s="1"/>
    </row>
    <row r="4087" spans="1:23">
      <c r="A4087">
        <v>2513</v>
      </c>
      <c r="B4087" s="2">
        <v>46268.513715277797</v>
      </c>
      <c r="C4087" s="2">
        <v>46268.517997685201</v>
      </c>
      <c r="D4087" s="1" t="s">
        <v>24</v>
      </c>
      <c r="E4087" s="1"/>
      <c r="F4087" s="29">
        <v>46268</v>
      </c>
      <c r="G4087" s="29">
        <v>46267</v>
      </c>
      <c r="H4087" s="1" t="s">
        <v>8381</v>
      </c>
      <c r="I4087" s="126" t="s">
        <v>9072</v>
      </c>
      <c r="J4087" s="207"/>
      <c r="K4087" s="171" t="s">
        <v>9073</v>
      </c>
      <c r="L4087" s="62">
        <v>24194094</v>
      </c>
      <c r="M4087" s="30">
        <v>5217293488555</v>
      </c>
      <c r="N4087" s="172" t="s">
        <v>28</v>
      </c>
      <c r="O4087" s="50">
        <v>7144.18</v>
      </c>
      <c r="P4087" s="97"/>
      <c r="Q4087" s="230">
        <f>OfficeForms.Table[[#This Row],[ INFORMEDEPAGO ]]*0.3</f>
        <v>2143.2539999999999</v>
      </c>
      <c r="R4087" s="231">
        <f t="shared" si="301"/>
        <v>2143.2539999999999</v>
      </c>
      <c r="S4087" s="78"/>
      <c r="T4087" s="1"/>
      <c r="U4087" s="97"/>
      <c r="V4087" s="1" t="s">
        <v>8280</v>
      </c>
      <c r="W4087" s="29">
        <v>46268</v>
      </c>
    </row>
    <row r="4088" spans="1:23">
      <c r="A4088">
        <v>2514</v>
      </c>
      <c r="B4088" s="2">
        <v>46268.5160763889</v>
      </c>
      <c r="C4088" s="2">
        <v>46268.518298611103</v>
      </c>
      <c r="D4088" s="1" t="s">
        <v>24</v>
      </c>
      <c r="E4088" s="1"/>
      <c r="F4088" s="29">
        <v>46268</v>
      </c>
      <c r="G4088" s="29">
        <v>46266</v>
      </c>
      <c r="H4088" s="1" t="s">
        <v>8238</v>
      </c>
      <c r="I4088" s="126" t="s">
        <v>9074</v>
      </c>
      <c r="J4088" s="207"/>
      <c r="K4088" s="171" t="s">
        <v>9075</v>
      </c>
      <c r="L4088" s="62">
        <v>24156734</v>
      </c>
      <c r="M4088" s="30">
        <v>4495466909</v>
      </c>
      <c r="N4088" s="172" t="s">
        <v>28</v>
      </c>
      <c r="O4088" s="50">
        <v>10636.54</v>
      </c>
      <c r="P4088" s="97"/>
      <c r="Q4088" s="230">
        <f>OfficeForms.Table[[#This Row],[ INFORMEDEPAGO ]]*0.3</f>
        <v>3190.962</v>
      </c>
      <c r="R4088" s="231">
        <f t="shared" si="301"/>
        <v>3190.962</v>
      </c>
      <c r="S4088" s="78"/>
      <c r="T4088" s="1"/>
      <c r="U4088" s="97"/>
      <c r="V4088" s="1" t="s">
        <v>8264</v>
      </c>
      <c r="W4088" s="29">
        <v>46268</v>
      </c>
    </row>
    <row r="4089" spans="1:23">
      <c r="A4089">
        <v>2515</v>
      </c>
      <c r="B4089" s="2">
        <v>46268.4546527778</v>
      </c>
      <c r="C4089" s="2">
        <v>46268.530763888899</v>
      </c>
      <c r="D4089" s="1" t="s">
        <v>24</v>
      </c>
      <c r="E4089" s="1"/>
      <c r="F4089" s="29">
        <v>46268</v>
      </c>
      <c r="G4089" s="29">
        <v>46268</v>
      </c>
      <c r="H4089" s="1" t="s">
        <v>51</v>
      </c>
      <c r="I4089" s="126" t="s">
        <v>9076</v>
      </c>
      <c r="J4089" s="207">
        <v>54694911593</v>
      </c>
      <c r="K4089" s="171" t="s">
        <v>8652</v>
      </c>
      <c r="L4089" s="62">
        <v>24217636</v>
      </c>
      <c r="M4089" s="30">
        <v>5213330346222</v>
      </c>
      <c r="N4089" s="172" t="s">
        <v>32</v>
      </c>
      <c r="O4089" s="50">
        <v>3855.42</v>
      </c>
      <c r="P4089" s="97"/>
      <c r="Q4089" s="230">
        <f>OfficeForms.Table[[#This Row],[ INFORMEDEPAGO ]]*0.3</f>
        <v>1156.626</v>
      </c>
      <c r="R4089" s="231">
        <f>(IF(O4089&lt;4172.98,0,MIN(O4089*0.3,O4089-4172.98)))-P4089</f>
        <v>0</v>
      </c>
      <c r="S4089" s="78"/>
      <c r="T4089" s="1"/>
      <c r="U4089" s="97"/>
      <c r="V4089" s="1"/>
    </row>
    <row r="4090" spans="1:23">
      <c r="A4090">
        <v>2516</v>
      </c>
      <c r="B4090" s="2">
        <v>46268.534745370402</v>
      </c>
      <c r="C4090" s="2">
        <v>46268.535752314798</v>
      </c>
      <c r="D4090" s="1" t="s">
        <v>24</v>
      </c>
      <c r="E4090" s="1"/>
      <c r="F4090" s="29">
        <v>46268</v>
      </c>
      <c r="G4090" s="29">
        <v>46247</v>
      </c>
      <c r="H4090" s="1" t="s">
        <v>269</v>
      </c>
      <c r="I4090" s="126" t="s">
        <v>9077</v>
      </c>
      <c r="J4090" s="175" t="s">
        <v>9078</v>
      </c>
      <c r="K4090" s="171" t="s">
        <v>9079</v>
      </c>
      <c r="L4090" s="62">
        <v>23617548</v>
      </c>
      <c r="M4090" s="30">
        <v>5214774091654</v>
      </c>
      <c r="N4090" s="172" t="s">
        <v>28</v>
      </c>
      <c r="O4090" s="50">
        <v>10171.24</v>
      </c>
      <c r="P4090" s="97"/>
      <c r="Q4090" s="230">
        <f>OfficeForms.Table[[#This Row],[ INFORMEDEPAGO ]]*0.3</f>
        <v>3051.3719999999998</v>
      </c>
      <c r="R4090" s="231">
        <f>(IF(O4090&lt;4172.98,0,MIN(O4090*0.3,O4090-4172.98)))-P4090</f>
        <v>3051.3719999999998</v>
      </c>
      <c r="S4090" s="78"/>
      <c r="T4090" s="1"/>
      <c r="U4090" s="97"/>
      <c r="V4090" s="1" t="s">
        <v>8535</v>
      </c>
      <c r="W4090" s="29">
        <v>46268</v>
      </c>
    </row>
    <row r="4091" spans="1:23">
      <c r="A4091">
        <v>2517</v>
      </c>
      <c r="B4091" s="2">
        <v>46268.535682870403</v>
      </c>
      <c r="C4091" s="2">
        <v>46268.536504629599</v>
      </c>
      <c r="D4091" s="1" t="s">
        <v>24</v>
      </c>
      <c r="E4091" s="1"/>
      <c r="F4091" s="29">
        <v>46268</v>
      </c>
      <c r="G4091" s="29">
        <v>46268</v>
      </c>
      <c r="H4091" s="1" t="s">
        <v>8253</v>
      </c>
      <c r="I4091" s="126" t="s">
        <v>9080</v>
      </c>
      <c r="J4091" s="175">
        <v>17806022384</v>
      </c>
      <c r="K4091" s="171" t="s">
        <v>9081</v>
      </c>
      <c r="L4091" s="62">
        <v>24219558</v>
      </c>
      <c r="M4091" s="30">
        <v>5519533249</v>
      </c>
      <c r="N4091" s="172" t="s">
        <v>32</v>
      </c>
      <c r="O4091" s="50">
        <v>1327</v>
      </c>
      <c r="P4091" s="97"/>
      <c r="Q4091" s="230">
        <f>OfficeForms.Table[[#This Row],[ INFORMEDEPAGO ]]*0.3</f>
        <v>398.09999999999997</v>
      </c>
      <c r="R4091" s="231">
        <f>(IF(O4091&lt;4172.98,0,MIN(O4091*0.3,O4091-4172.98)))-P4091</f>
        <v>0</v>
      </c>
      <c r="S4091" s="78"/>
      <c r="T4091" s="1"/>
      <c r="U4091" s="97"/>
      <c r="V4091" s="1"/>
    </row>
    <row r="4092" spans="1:23">
      <c r="A4092">
        <v>2518</v>
      </c>
      <c r="B4092" s="2">
        <v>46268.531354166698</v>
      </c>
      <c r="C4092" s="2">
        <v>46268.539212962998</v>
      </c>
      <c r="D4092" s="1" t="s">
        <v>24</v>
      </c>
      <c r="E4092" s="1"/>
      <c r="F4092" s="29">
        <v>46268</v>
      </c>
      <c r="G4092" s="29">
        <v>46268</v>
      </c>
      <c r="H4092" s="1" t="s">
        <v>78</v>
      </c>
      <c r="I4092" s="126" t="s">
        <v>9082</v>
      </c>
      <c r="J4092" s="175">
        <v>49856411845</v>
      </c>
      <c r="K4092" s="171" t="s">
        <v>9083</v>
      </c>
      <c r="L4092" s="62">
        <v>24216452</v>
      </c>
      <c r="M4092" s="30">
        <v>5218681617679</v>
      </c>
      <c r="N4092" s="172" t="s">
        <v>37</v>
      </c>
      <c r="O4092" s="52">
        <v>9760.32</v>
      </c>
      <c r="P4092" s="52">
        <v>2817.36</v>
      </c>
      <c r="Q4092" s="230">
        <f>OfficeForms.Table[[#This Row],[ INFORMEDEPAGO ]]*0.3</f>
        <v>2928.096</v>
      </c>
      <c r="R4092" s="231">
        <f>(IF(O4092&lt;4172.98,0,MIN(O4092*0.3,O4092-4172.98)))-P4092</f>
        <v>110.73599999999988</v>
      </c>
      <c r="S4092" s="78">
        <v>46692</v>
      </c>
      <c r="T4092" s="1" t="s">
        <v>259</v>
      </c>
      <c r="U4092" s="97">
        <v>2817.3649999999998</v>
      </c>
      <c r="V4092" s="1"/>
    </row>
    <row r="4093" spans="1:23">
      <c r="A4093">
        <v>2519</v>
      </c>
      <c r="B4093" s="2">
        <v>46268.519652777803</v>
      </c>
      <c r="C4093" s="2">
        <v>46268.541238425903</v>
      </c>
      <c r="D4093" s="1" t="s">
        <v>24</v>
      </c>
      <c r="E4093" s="1"/>
      <c r="F4093" s="29">
        <v>46268</v>
      </c>
      <c r="G4093" s="29">
        <v>46268</v>
      </c>
      <c r="H4093" s="1" t="s">
        <v>8381</v>
      </c>
      <c r="I4093" s="126" t="s">
        <v>9084</v>
      </c>
      <c r="J4093" s="175"/>
      <c r="K4093" s="171" t="s">
        <v>9085</v>
      </c>
      <c r="L4093" s="62">
        <v>24207466</v>
      </c>
      <c r="M4093" s="30">
        <v>5217773012399</v>
      </c>
      <c r="N4093" s="172" t="s">
        <v>28</v>
      </c>
      <c r="O4093" s="50">
        <f>6792.52+848</f>
        <v>7640.52</v>
      </c>
      <c r="P4093" s="97">
        <v>848</v>
      </c>
      <c r="Q4093" s="230">
        <f>OfficeForms.Table[[#This Row],[ INFORMEDEPAGO ]]*0.3</f>
        <v>2292.1559999999999</v>
      </c>
      <c r="R4093" s="231">
        <f>(IF(O4093&lt;4172.98,0,MIN(O4093*0.3,O4093-4172.98)))-P4093</f>
        <v>1444.1559999999999</v>
      </c>
      <c r="S4093" s="78"/>
      <c r="T4093" s="1"/>
      <c r="U4093" s="97"/>
      <c r="V4093" s="1" t="s">
        <v>8734</v>
      </c>
      <c r="W4093" s="29">
        <v>46268</v>
      </c>
    </row>
    <row r="4094" spans="1:23">
      <c r="A4094">
        <v>2520</v>
      </c>
      <c r="B4094" s="2">
        <v>46268.560995370397</v>
      </c>
      <c r="C4094" s="2">
        <v>46268.5622337963</v>
      </c>
      <c r="D4094" s="1" t="s">
        <v>24</v>
      </c>
      <c r="E4094" s="1"/>
      <c r="F4094" s="29">
        <v>46268</v>
      </c>
      <c r="G4094" s="29">
        <v>46268</v>
      </c>
      <c r="H4094" s="1" t="s">
        <v>8253</v>
      </c>
      <c r="I4094" s="126" t="s">
        <v>9086</v>
      </c>
      <c r="J4094" s="175">
        <v>23723702587</v>
      </c>
      <c r="K4094" s="171" t="s">
        <v>9087</v>
      </c>
      <c r="L4094" s="62">
        <v>24220560</v>
      </c>
      <c r="M4094" s="30">
        <v>6674115975</v>
      </c>
      <c r="N4094" s="172" t="s">
        <v>32</v>
      </c>
      <c r="O4094" s="50">
        <v>3632.17</v>
      </c>
      <c r="P4094" s="97"/>
      <c r="Q4094" s="230">
        <f>OfficeForms.Table[[#This Row],[ INFORMEDEPAGO ]]*0.3</f>
        <v>1089.6510000000001</v>
      </c>
      <c r="R4094" s="231">
        <f>(IF(O4094&lt;4172.98,0,MIN(O4094*0.3,O4094-4172.98)))-P4094</f>
        <v>0</v>
      </c>
      <c r="S4094" s="78"/>
      <c r="T4094" s="1"/>
      <c r="U4094" s="97"/>
      <c r="V4094" s="1"/>
    </row>
    <row r="4095" spans="1:23">
      <c r="A4095">
        <v>2521</v>
      </c>
      <c r="B4095" s="2">
        <v>46268.571446759299</v>
      </c>
      <c r="C4095" s="2">
        <v>46268.572175925903</v>
      </c>
      <c r="D4095" s="1" t="s">
        <v>24</v>
      </c>
      <c r="E4095" s="1"/>
      <c r="F4095" s="29">
        <v>46268</v>
      </c>
      <c r="G4095" s="29">
        <v>46267</v>
      </c>
      <c r="H4095" s="1" t="s">
        <v>8253</v>
      </c>
      <c r="I4095" s="126" t="s">
        <v>9088</v>
      </c>
      <c r="J4095" s="175"/>
      <c r="K4095" s="171" t="s">
        <v>9089</v>
      </c>
      <c r="L4095" s="62">
        <v>24204480</v>
      </c>
      <c r="M4095" s="30">
        <v>6672088433</v>
      </c>
      <c r="N4095" s="172" t="s">
        <v>28</v>
      </c>
      <c r="O4095" s="50">
        <v>10636.54</v>
      </c>
      <c r="P4095" s="97"/>
      <c r="Q4095" s="230">
        <f>OfficeForms.Table[[#This Row],[ INFORMEDEPAGO ]]*0.3</f>
        <v>3190.962</v>
      </c>
      <c r="R4095" s="231">
        <f>(IF(O4095&lt;4172.98,0,MIN(O4095*0.3,O4095-4172.98)))-P4095</f>
        <v>3190.962</v>
      </c>
      <c r="S4095" s="78"/>
      <c r="T4095" s="1"/>
      <c r="U4095" s="97"/>
      <c r="V4095" s="1" t="s">
        <v>8456</v>
      </c>
      <c r="W4095" s="29">
        <v>46268</v>
      </c>
    </row>
    <row r="4096" spans="1:23">
      <c r="A4096">
        <v>2522</v>
      </c>
      <c r="B4096" s="2">
        <v>46268.582141203697</v>
      </c>
      <c r="C4096" s="2">
        <v>46268.583437499998</v>
      </c>
      <c r="D4096" s="1" t="s">
        <v>24</v>
      </c>
      <c r="E4096" s="1"/>
      <c r="F4096" s="29">
        <v>46268</v>
      </c>
      <c r="G4096" s="29">
        <v>46268</v>
      </c>
      <c r="H4096" s="1" t="s">
        <v>90</v>
      </c>
      <c r="I4096" s="126"/>
      <c r="J4096" s="175" t="s">
        <v>9090</v>
      </c>
      <c r="K4096" s="171"/>
      <c r="L4096" s="62">
        <v>1</v>
      </c>
      <c r="N4096" s="172" t="s">
        <v>37</v>
      </c>
      <c r="O4096" s="52">
        <v>13496</v>
      </c>
      <c r="P4096" s="52">
        <v>4048</v>
      </c>
      <c r="Q4096" s="230">
        <f>OfficeForms.Table[[#This Row],[ INFORMEDEPAGO ]]*0.3</f>
        <v>4048.7999999999997</v>
      </c>
      <c r="R4096" s="231">
        <f>(IF(O4096&lt;4172.98,0,MIN(O4096*0.3,O4096-4172.98)))-P4096</f>
        <v>0.79999999999972715</v>
      </c>
      <c r="S4096" s="78">
        <v>46905</v>
      </c>
      <c r="T4096" s="1" t="s">
        <v>7209</v>
      </c>
      <c r="U4096" s="97">
        <v>3200</v>
      </c>
      <c r="V4096" s="1"/>
    </row>
    <row r="4097" spans="1:23">
      <c r="A4097">
        <v>2523</v>
      </c>
      <c r="B4097" s="2">
        <v>46268.588888888902</v>
      </c>
      <c r="C4097" s="2">
        <v>46268.589629629598</v>
      </c>
      <c r="D4097" s="1" t="s">
        <v>24</v>
      </c>
      <c r="E4097" s="1"/>
      <c r="F4097" s="29">
        <v>46268</v>
      </c>
      <c r="G4097" s="29">
        <v>46267</v>
      </c>
      <c r="H4097" s="1" t="s">
        <v>8238</v>
      </c>
      <c r="I4097" s="126" t="s">
        <v>9091</v>
      </c>
      <c r="J4097" s="175"/>
      <c r="K4097" s="171" t="s">
        <v>9092</v>
      </c>
      <c r="L4097" s="62">
        <v>24206450</v>
      </c>
      <c r="M4097" s="30">
        <v>4771327985</v>
      </c>
      <c r="N4097" s="172" t="s">
        <v>28</v>
      </c>
      <c r="O4097" s="52">
        <v>37113.620000000003</v>
      </c>
      <c r="P4097" s="52">
        <v>6190.84</v>
      </c>
      <c r="Q4097" s="230">
        <f>OfficeForms.Table[[#This Row],[ INFORMEDEPAGO ]]*0.3</f>
        <v>11134.086000000001</v>
      </c>
      <c r="R4097" s="231">
        <f t="shared" ref="R4097:R4098" si="302">(IF(O4097&lt;4172.98,0,MIN(O4097*0.3,O4097-4172.98)))-P4097</f>
        <v>4943.246000000001</v>
      </c>
      <c r="S4097" s="78">
        <v>46935</v>
      </c>
      <c r="T4097" s="1" t="s">
        <v>192</v>
      </c>
      <c r="U4097" s="97"/>
      <c r="V4097" s="1" t="s">
        <v>8535</v>
      </c>
      <c r="W4097" s="29">
        <v>46268</v>
      </c>
    </row>
    <row r="4098" spans="1:23">
      <c r="A4098">
        <v>2524</v>
      </c>
      <c r="B4098" s="2">
        <v>46268.592905092599</v>
      </c>
      <c r="C4098" s="2">
        <v>46268.593865740702</v>
      </c>
      <c r="D4098" s="1" t="s">
        <v>24</v>
      </c>
      <c r="E4098" s="1"/>
      <c r="F4098" s="29">
        <v>46268</v>
      </c>
      <c r="G4098" s="29">
        <v>46268</v>
      </c>
      <c r="H4098" s="1" t="s">
        <v>8238</v>
      </c>
      <c r="I4098" s="175" t="s">
        <v>9093</v>
      </c>
      <c r="J4098" s="175"/>
      <c r="K4098" s="171" t="s">
        <v>9094</v>
      </c>
      <c r="L4098" s="62">
        <v>24222812</v>
      </c>
      <c r="M4098" s="30">
        <v>4771064528</v>
      </c>
      <c r="N4098" s="172" t="s">
        <v>98</v>
      </c>
      <c r="O4098" s="67"/>
      <c r="P4098" s="99"/>
      <c r="Q4098" s="230">
        <f>OfficeForms.Table[[#This Row],[ INFORMEDEPAGO ]]*0.3</f>
        <v>0</v>
      </c>
      <c r="R4098" s="231">
        <f t="shared" si="302"/>
        <v>0</v>
      </c>
      <c r="S4098" s="78"/>
      <c r="T4098" s="1"/>
      <c r="U4098" s="97"/>
      <c r="V4098" s="1"/>
    </row>
    <row r="4099" spans="1:23">
      <c r="A4099">
        <v>2525</v>
      </c>
      <c r="B4099" s="2">
        <v>46268.487569444398</v>
      </c>
      <c r="C4099" s="2">
        <v>46268.613391203697</v>
      </c>
      <c r="D4099" s="1" t="s">
        <v>24</v>
      </c>
      <c r="E4099" s="1"/>
      <c r="F4099" s="29">
        <v>46268</v>
      </c>
      <c r="G4099" s="29">
        <v>46268</v>
      </c>
      <c r="H4099" s="1" t="s">
        <v>1625</v>
      </c>
      <c r="I4099" s="175" t="s">
        <v>9095</v>
      </c>
      <c r="J4099" s="175">
        <v>44956509894</v>
      </c>
      <c r="K4099" s="171" t="s">
        <v>9096</v>
      </c>
      <c r="L4099" s="62">
        <v>2</v>
      </c>
      <c r="M4099" s="30">
        <v>8995470249</v>
      </c>
      <c r="N4099" s="172" t="s">
        <v>37</v>
      </c>
      <c r="O4099" s="52">
        <v>9760.32</v>
      </c>
      <c r="P4099" s="52">
        <v>2823.89</v>
      </c>
      <c r="Q4099" s="230">
        <f>OfficeForms.Table[[#This Row],[ INFORMEDEPAGO ]]*0.3</f>
        <v>2928.096</v>
      </c>
      <c r="R4099" s="231">
        <f t="shared" ref="R4099" si="303">(IF(O4099&lt;4172.98,0,MIN(O4099*0.3,O4099-4172.98)))-P4099</f>
        <v>104.20600000000013</v>
      </c>
      <c r="S4099" s="78">
        <v>46692</v>
      </c>
      <c r="T4099" s="1" t="s">
        <v>9097</v>
      </c>
      <c r="U4099" s="97">
        <v>2823.89</v>
      </c>
      <c r="V4099" s="1"/>
    </row>
    <row r="4100" spans="1:23">
      <c r="A4100">
        <v>2526</v>
      </c>
      <c r="B4100" s="2">
        <v>46268.507442129601</v>
      </c>
      <c r="C4100" s="2">
        <v>46268.624201388899</v>
      </c>
      <c r="D4100" s="1" t="s">
        <v>24</v>
      </c>
      <c r="E4100" s="1"/>
      <c r="F4100" s="29">
        <v>46268</v>
      </c>
      <c r="G4100" s="29">
        <v>46268</v>
      </c>
      <c r="H4100" s="1" t="s">
        <v>8721</v>
      </c>
      <c r="I4100" s="175" t="s">
        <v>9098</v>
      </c>
      <c r="J4100" s="207" t="s">
        <v>9099</v>
      </c>
      <c r="K4100" s="171" t="s">
        <v>9100</v>
      </c>
      <c r="L4100" s="62">
        <v>24223072</v>
      </c>
      <c r="M4100" s="30">
        <v>5218711277976</v>
      </c>
      <c r="N4100" s="172" t="s">
        <v>74</v>
      </c>
      <c r="O4100" s="50"/>
      <c r="P4100" s="97"/>
      <c r="Q4100" s="230">
        <f>OfficeForms.Table[[#This Row],[ INFORMEDEPAGO ]]*0.3</f>
        <v>0</v>
      </c>
      <c r="R4100" s="231">
        <f>(IF(O4100&lt;4172.98,0,MIN(O4100*0.3,O4100-4172.98)))-P4100</f>
        <v>0</v>
      </c>
      <c r="S4100" s="78"/>
      <c r="T4100" s="1"/>
      <c r="U4100" s="97"/>
      <c r="V4100" s="1"/>
    </row>
    <row r="4101" spans="1:23">
      <c r="A4101">
        <v>2527</v>
      </c>
      <c r="B4101" s="2">
        <v>46268.624224537001</v>
      </c>
      <c r="C4101" s="2">
        <v>46268.634062500001</v>
      </c>
      <c r="D4101" s="1" t="s">
        <v>24</v>
      </c>
      <c r="E4101" s="1"/>
      <c r="F4101" s="29">
        <v>46268</v>
      </c>
      <c r="G4101" s="29">
        <v>46267</v>
      </c>
      <c r="H4101" s="1" t="s">
        <v>8721</v>
      </c>
      <c r="I4101" s="175" t="s">
        <v>9101</v>
      </c>
      <c r="J4101" s="175" t="s">
        <v>9102</v>
      </c>
      <c r="K4101" s="232" t="s">
        <v>9103</v>
      </c>
      <c r="L4101" s="62">
        <v>24207116</v>
      </c>
      <c r="M4101" s="30">
        <v>5219626990257</v>
      </c>
      <c r="N4101" s="172" t="s">
        <v>28</v>
      </c>
      <c r="O4101" s="50">
        <v>11556.65</v>
      </c>
      <c r="P4101" s="97"/>
      <c r="Q4101" s="230">
        <f>OfficeForms.Table[[#This Row],[ INFORMEDEPAGO ]]*0.3</f>
        <v>3466.9949999999999</v>
      </c>
      <c r="R4101" s="231">
        <f>(IF(O4101&lt;4172.98,0,MIN(O4101*0.3,O4101-4172.98)))-P4101</f>
        <v>3466.9949999999999</v>
      </c>
      <c r="S4101" s="78"/>
      <c r="T4101" s="1"/>
      <c r="U4101" s="97"/>
      <c r="V4101" s="1" t="s">
        <v>8264</v>
      </c>
      <c r="W4101" s="29">
        <v>46268</v>
      </c>
    </row>
    <row r="4102" spans="1:23">
      <c r="A4102">
        <v>2528</v>
      </c>
      <c r="B4102" s="2">
        <v>46268.613425925898</v>
      </c>
      <c r="C4102" s="2">
        <v>46268.638611111099</v>
      </c>
      <c r="D4102" s="1" t="s">
        <v>24</v>
      </c>
      <c r="E4102" s="1"/>
      <c r="F4102" s="29">
        <v>46268</v>
      </c>
      <c r="G4102" s="29">
        <v>46268</v>
      </c>
      <c r="H4102" s="1" t="s">
        <v>1625</v>
      </c>
      <c r="I4102" s="175" t="s">
        <v>9104</v>
      </c>
      <c r="J4102" s="175">
        <v>64816201327</v>
      </c>
      <c r="K4102" s="188" t="s">
        <v>9105</v>
      </c>
      <c r="L4102" s="62">
        <v>2</v>
      </c>
      <c r="M4102" s="30">
        <v>5569751284</v>
      </c>
      <c r="N4102" s="172" t="s">
        <v>37</v>
      </c>
      <c r="O4102" s="43">
        <v>9760.32</v>
      </c>
      <c r="P4102" s="43">
        <v>2822.99</v>
      </c>
      <c r="Q4102" s="230">
        <f>OfficeForms.Table[[#This Row],[ INFORMEDEPAGO ]]*0.3</f>
        <v>2928.096</v>
      </c>
      <c r="R4102" s="231">
        <f>(IF(O4102&lt;4172.98,0,MIN(O4102*0.3,O4102-4172.98)))-P4102</f>
        <v>105.10600000000022</v>
      </c>
      <c r="S4102" s="78">
        <v>46631</v>
      </c>
      <c r="T4102" s="1" t="s">
        <v>7209</v>
      </c>
      <c r="U4102" s="97">
        <v>939.99</v>
      </c>
      <c r="V4102" s="1"/>
    </row>
    <row r="4103" spans="1:23">
      <c r="A4103">
        <v>2529</v>
      </c>
      <c r="B4103" s="2">
        <v>46268.6386458333</v>
      </c>
      <c r="C4103" s="2">
        <v>46268.639803240701</v>
      </c>
      <c r="D4103" s="1" t="s">
        <v>24</v>
      </c>
      <c r="E4103" s="1"/>
      <c r="F4103" s="29">
        <v>46268</v>
      </c>
      <c r="G4103" s="29">
        <v>46268</v>
      </c>
      <c r="H4103" s="1" t="s">
        <v>1625</v>
      </c>
      <c r="I4103" s="175" t="s">
        <v>9106</v>
      </c>
      <c r="J4103" s="175">
        <v>4375574912</v>
      </c>
      <c r="K4103" s="188" t="s">
        <v>9107</v>
      </c>
      <c r="L4103" s="62">
        <v>2</v>
      </c>
      <c r="M4103" s="30">
        <v>8110603213</v>
      </c>
      <c r="N4103" s="172" t="s">
        <v>37</v>
      </c>
      <c r="O4103" s="52">
        <v>4813.6899999999996</v>
      </c>
      <c r="P4103" s="52">
        <v>587.71</v>
      </c>
      <c r="Q4103" s="230">
        <f>OfficeForms.Table[[#This Row],[ INFORMEDEPAGO ]]*0.3</f>
        <v>1444.1069999999997</v>
      </c>
      <c r="R4103" s="231">
        <f>(IF(O4103&lt;4172.98,0,MIN(O4103*0.3,O4103-4172.98)))-P4103</f>
        <v>53</v>
      </c>
      <c r="S4103" s="78">
        <v>46296</v>
      </c>
      <c r="T4103" s="1" t="s">
        <v>178</v>
      </c>
      <c r="U4103" s="52">
        <v>587.71</v>
      </c>
      <c r="V4103" s="1"/>
    </row>
    <row r="4104" spans="1:23">
      <c r="A4104">
        <v>2530</v>
      </c>
      <c r="B4104" s="2">
        <v>46268.6467708333</v>
      </c>
      <c r="C4104" s="2">
        <v>46268.647754629601</v>
      </c>
      <c r="D4104" s="1" t="s">
        <v>24</v>
      </c>
      <c r="E4104" s="1"/>
      <c r="F4104" s="29">
        <v>46268</v>
      </c>
      <c r="G4104" s="29">
        <v>46268</v>
      </c>
      <c r="H4104" s="1" t="s">
        <v>8238</v>
      </c>
      <c r="I4104" s="175" t="s">
        <v>9108</v>
      </c>
      <c r="J4104" s="175" t="s">
        <v>9109</v>
      </c>
      <c r="K4104" s="188"/>
      <c r="L4104" s="62">
        <v>24224292</v>
      </c>
      <c r="M4104" s="30">
        <v>4447029317</v>
      </c>
      <c r="N4104" s="172" t="s">
        <v>37</v>
      </c>
      <c r="O4104" s="43">
        <v>6405.06</v>
      </c>
      <c r="P4104" s="43">
        <v>1844.57</v>
      </c>
      <c r="Q4104" s="230">
        <f>OfficeForms.Table[[#This Row],[ INFORMEDEPAGO ]]*0.3</f>
        <v>1921.518</v>
      </c>
      <c r="R4104" s="231">
        <f t="shared" ref="R4104:R4106" si="304">(IF(O4104&lt;4172.98,0,MIN(O4104*0.3,O4104-4172.98)))-P4104</f>
        <v>76.948000000000093</v>
      </c>
      <c r="S4104" s="78">
        <v>46692</v>
      </c>
      <c r="T4104" s="1" t="s">
        <v>192</v>
      </c>
      <c r="U4104" s="43">
        <v>1844.57</v>
      </c>
      <c r="V4104" s="1"/>
    </row>
    <row r="4105" spans="1:23">
      <c r="A4105">
        <v>2531</v>
      </c>
      <c r="B4105" s="2">
        <v>46268.639849537001</v>
      </c>
      <c r="C4105" s="2">
        <v>46268.6492476852</v>
      </c>
      <c r="D4105" s="1" t="s">
        <v>24</v>
      </c>
      <c r="E4105" s="1"/>
      <c r="F4105" s="29">
        <v>46268</v>
      </c>
      <c r="G4105" s="29">
        <v>46268</v>
      </c>
      <c r="H4105" s="1" t="s">
        <v>1625</v>
      </c>
      <c r="I4105" s="175" t="s">
        <v>9110</v>
      </c>
      <c r="J4105" s="175">
        <v>34836104496</v>
      </c>
      <c r="K4105" s="188" t="s">
        <v>9111</v>
      </c>
      <c r="L4105" s="62">
        <v>2</v>
      </c>
      <c r="M4105" s="30">
        <v>4931253796</v>
      </c>
      <c r="N4105" s="172" t="s">
        <v>37</v>
      </c>
      <c r="O4105" s="43">
        <v>7116.73</v>
      </c>
      <c r="P4105" s="43">
        <v>2055.12</v>
      </c>
      <c r="Q4105" s="230">
        <f>OfficeForms.Table[[#This Row],[ INFORMEDEPAGO ]]*0.3</f>
        <v>2135.0189999999998</v>
      </c>
      <c r="R4105" s="231">
        <f t="shared" si="304"/>
        <v>79.898999999999887</v>
      </c>
      <c r="S4105" s="78">
        <v>46569</v>
      </c>
      <c r="T4105" s="1" t="s">
        <v>7516</v>
      </c>
      <c r="U4105" s="43">
        <v>2055.12</v>
      </c>
      <c r="V4105" s="1"/>
    </row>
    <row r="4106" spans="1:23">
      <c r="A4106">
        <v>2532</v>
      </c>
      <c r="B4106" s="2">
        <v>46268.530775462998</v>
      </c>
      <c r="C4106" s="2">
        <v>46268.649884259299</v>
      </c>
      <c r="D4106" s="1" t="s">
        <v>24</v>
      </c>
      <c r="E4106" s="1"/>
      <c r="F4106" s="29">
        <v>46268</v>
      </c>
      <c r="G4106" s="29">
        <v>46268</v>
      </c>
      <c r="H4106" s="1" t="s">
        <v>51</v>
      </c>
      <c r="I4106" s="175" t="s">
        <v>9112</v>
      </c>
      <c r="J4106" s="175">
        <v>72675111222</v>
      </c>
      <c r="K4106" s="188" t="s">
        <v>9113</v>
      </c>
      <c r="L4106" s="62">
        <v>24203946</v>
      </c>
      <c r="M4106" s="30">
        <v>5217441794727</v>
      </c>
      <c r="N4106" s="172" t="s">
        <v>28</v>
      </c>
      <c r="O4106" s="50">
        <v>20631.71</v>
      </c>
      <c r="P4106" s="97"/>
      <c r="Q4106" s="230">
        <f>OfficeForms.Table[[#This Row],[ INFORMEDEPAGO ]]*0.3</f>
        <v>6189.5129999999999</v>
      </c>
      <c r="R4106" s="231">
        <f t="shared" si="304"/>
        <v>6189.5129999999999</v>
      </c>
      <c r="S4106" s="78"/>
      <c r="T4106" s="1"/>
      <c r="U4106" s="97"/>
      <c r="V4106" s="1" t="s">
        <v>8456</v>
      </c>
      <c r="W4106" s="29">
        <v>46268</v>
      </c>
    </row>
    <row r="4107" spans="1:23">
      <c r="A4107">
        <v>2533</v>
      </c>
      <c r="B4107" s="2">
        <v>46268.649907407402</v>
      </c>
      <c r="C4107" s="2">
        <v>46268.6569212963</v>
      </c>
      <c r="D4107" s="1" t="s">
        <v>24</v>
      </c>
      <c r="E4107" s="1"/>
      <c r="F4107" s="29">
        <v>46268</v>
      </c>
      <c r="G4107" s="29">
        <v>46268</v>
      </c>
      <c r="H4107" s="1" t="s">
        <v>51</v>
      </c>
      <c r="I4107" s="175" t="s">
        <v>9114</v>
      </c>
      <c r="J4107" s="175">
        <v>71745003146</v>
      </c>
      <c r="K4107" s="188" t="s">
        <v>9115</v>
      </c>
      <c r="L4107" s="62">
        <v>24205176</v>
      </c>
      <c r="M4107" s="30">
        <v>5219621098352</v>
      </c>
      <c r="N4107" s="172" t="s">
        <v>32</v>
      </c>
      <c r="O4107" s="50">
        <v>3882.85</v>
      </c>
      <c r="P4107" s="97"/>
      <c r="Q4107" s="230">
        <f>OfficeForms.Table[[#This Row],[ INFORMEDEPAGO ]]*0.3</f>
        <v>1164.855</v>
      </c>
      <c r="R4107" s="231">
        <f>(IF(O4107&lt;4172.98,0,MIN(O4107*0.3,O4107-4172.98)))-P4107</f>
        <v>0</v>
      </c>
      <c r="S4107" s="78"/>
      <c r="T4107" s="1"/>
      <c r="U4107" s="97"/>
      <c r="V4107" s="1"/>
    </row>
    <row r="4108" spans="1:23">
      <c r="A4108">
        <v>2534</v>
      </c>
      <c r="B4108" s="2">
        <v>46268.680821759299</v>
      </c>
      <c r="C4108" s="2">
        <v>46268.681516203702</v>
      </c>
      <c r="D4108" s="1" t="s">
        <v>24</v>
      </c>
      <c r="E4108" s="1"/>
      <c r="F4108" s="29">
        <v>46268</v>
      </c>
      <c r="G4108" s="29">
        <v>46268</v>
      </c>
      <c r="H4108" s="1" t="s">
        <v>8238</v>
      </c>
      <c r="I4108" s="175" t="s">
        <v>9116</v>
      </c>
      <c r="J4108" s="175"/>
      <c r="K4108" s="188" t="s">
        <v>9117</v>
      </c>
      <c r="L4108" s="62">
        <v>24227018</v>
      </c>
      <c r="M4108" s="30">
        <v>4611268683</v>
      </c>
      <c r="N4108" s="172" t="s">
        <v>28</v>
      </c>
      <c r="O4108" s="50">
        <v>10611.5</v>
      </c>
      <c r="P4108" s="97"/>
      <c r="Q4108" s="230">
        <f>OfficeForms.Table[[#This Row],[ INFORMEDEPAGO ]]*0.3</f>
        <v>3183.45</v>
      </c>
      <c r="R4108" s="231">
        <f>(IF(O4108&lt;4172.98,0,MIN(O4108*0.3,O4108-4172.98)))-P4108</f>
        <v>3183.45</v>
      </c>
      <c r="S4108" s="78"/>
      <c r="T4108" s="1"/>
      <c r="U4108" s="97"/>
      <c r="V4108" s="1" t="s">
        <v>8716</v>
      </c>
      <c r="W4108" s="29">
        <v>46268</v>
      </c>
    </row>
    <row r="4109" spans="1:23">
      <c r="A4109">
        <v>2535</v>
      </c>
      <c r="B4109" s="2">
        <v>46268.688831018502</v>
      </c>
      <c r="C4109" s="2">
        <v>46268.689421296302</v>
      </c>
      <c r="D4109" s="1" t="s">
        <v>24</v>
      </c>
      <c r="E4109" s="1"/>
      <c r="F4109" s="29">
        <v>46268</v>
      </c>
      <c r="G4109" s="29">
        <v>46268</v>
      </c>
      <c r="H4109" s="1" t="s">
        <v>8253</v>
      </c>
      <c r="I4109" s="175" t="s">
        <v>9118</v>
      </c>
      <c r="J4109" s="175"/>
      <c r="K4109" s="188" t="s">
        <v>9119</v>
      </c>
      <c r="L4109" s="62">
        <v>24216990</v>
      </c>
      <c r="M4109" s="30">
        <v>2722625235</v>
      </c>
      <c r="N4109" s="172" t="s">
        <v>37</v>
      </c>
      <c r="O4109" s="43">
        <v>5204.43</v>
      </c>
      <c r="P4109" s="43">
        <v>992.14</v>
      </c>
      <c r="Q4109" s="230">
        <f>OfficeForms.Table[[#This Row],[ INFORMEDEPAGO ]]*0.3</f>
        <v>1561.329</v>
      </c>
      <c r="R4109" s="231">
        <f>(IF(O4109&lt;4172.98,0,MIN(O4109*0.3,O4109-4172.98)))-P4109</f>
        <v>39.310000000000741</v>
      </c>
      <c r="S4109" s="78">
        <v>46539</v>
      </c>
      <c r="T4109" s="1" t="s">
        <v>8398</v>
      </c>
      <c r="U4109" s="43">
        <v>992.14</v>
      </c>
      <c r="V4109" s="1"/>
    </row>
    <row r="4110" spans="1:23">
      <c r="A4110">
        <v>2536</v>
      </c>
      <c r="B4110" s="2">
        <v>46268.697476851899</v>
      </c>
      <c r="C4110" s="2">
        <v>46268.702210648102</v>
      </c>
      <c r="D4110" s="1" t="s">
        <v>24</v>
      </c>
      <c r="E4110" s="1"/>
      <c r="F4110" s="29">
        <v>46268</v>
      </c>
      <c r="G4110" s="29">
        <v>46268</v>
      </c>
      <c r="H4110" s="1" t="s">
        <v>78</v>
      </c>
      <c r="I4110" s="175" t="s">
        <v>9120</v>
      </c>
      <c r="J4110" s="175" t="s">
        <v>9121</v>
      </c>
      <c r="K4110" s="188" t="s">
        <v>9122</v>
      </c>
      <c r="L4110" s="62">
        <v>24223352</v>
      </c>
      <c r="M4110" s="30">
        <v>215513966942</v>
      </c>
      <c r="N4110" s="172" t="s">
        <v>37</v>
      </c>
      <c r="O4110" s="52">
        <v>9760.32</v>
      </c>
      <c r="P4110" s="52">
        <v>2823.85</v>
      </c>
      <c r="Q4110" s="230">
        <f>OfficeForms.Table[[#This Row],[ INFORMEDEPAGO ]]*0.3</f>
        <v>2928.096</v>
      </c>
      <c r="R4110" s="231">
        <f>(IF(O4110&lt;4172.98,0,MIN(O4110*0.3,O4110-4172.98)))-P4110</f>
        <v>104.24600000000009</v>
      </c>
      <c r="S4110" s="78">
        <v>46661</v>
      </c>
      <c r="T4110" s="1" t="s">
        <v>8319</v>
      </c>
      <c r="U4110" s="52">
        <v>2823.85</v>
      </c>
      <c r="V4110" s="1"/>
    </row>
    <row r="4111" spans="1:23">
      <c r="A4111">
        <v>2537</v>
      </c>
      <c r="B4111" s="2">
        <v>46268.541273148097</v>
      </c>
      <c r="C4111" s="2">
        <v>46268.708703703698</v>
      </c>
      <c r="D4111" s="1" t="s">
        <v>24</v>
      </c>
      <c r="E4111" s="1"/>
      <c r="F4111" s="29">
        <v>46268</v>
      </c>
      <c r="G4111" s="29">
        <v>46268</v>
      </c>
      <c r="H4111" s="1" t="s">
        <v>8381</v>
      </c>
      <c r="I4111" s="175" t="s">
        <v>9123</v>
      </c>
      <c r="J4111" s="175">
        <v>65965911590</v>
      </c>
      <c r="K4111" s="188" t="s">
        <v>9124</v>
      </c>
      <c r="L4111" s="62">
        <v>24227606</v>
      </c>
      <c r="M4111" s="30">
        <v>5217821183727</v>
      </c>
      <c r="N4111" s="172" t="s">
        <v>47</v>
      </c>
      <c r="O4111" s="67">
        <v>4813.6899999999996</v>
      </c>
      <c r="P4111" s="99"/>
      <c r="Q4111" s="230">
        <f>OfficeForms.Table[[#This Row],[ INFORMEDEPAGO ]]*0.3</f>
        <v>1444.1069999999997</v>
      </c>
      <c r="R4111" s="231">
        <f t="shared" ref="R4111:R4113" si="305">(IF(O4111&lt;4172.98,0,MIN(O4111*0.3,O4111-4172.98)))-P4111</f>
        <v>640.71</v>
      </c>
      <c r="S4111" s="78"/>
      <c r="T4111" s="1"/>
      <c r="U4111" s="99"/>
      <c r="V4111" s="1" t="s">
        <v>8233</v>
      </c>
      <c r="W4111" s="29">
        <v>46268</v>
      </c>
    </row>
    <row r="4112" spans="1:23">
      <c r="A4112">
        <v>2538</v>
      </c>
      <c r="B4112" s="2">
        <v>46268.656932870399</v>
      </c>
      <c r="C4112" s="2">
        <v>46268.708715277797</v>
      </c>
      <c r="D4112" s="1" t="s">
        <v>24</v>
      </c>
      <c r="E4112" s="1"/>
      <c r="F4112" s="29">
        <v>46268</v>
      </c>
      <c r="G4112" s="29">
        <v>46268</v>
      </c>
      <c r="H4112" s="1" t="s">
        <v>51</v>
      </c>
      <c r="I4112" s="175" t="s">
        <v>9125</v>
      </c>
      <c r="J4112" s="175"/>
      <c r="K4112" s="188" t="s">
        <v>9126</v>
      </c>
      <c r="L4112" s="62">
        <v>24226576</v>
      </c>
      <c r="M4112" s="30">
        <v>5218113875060</v>
      </c>
      <c r="N4112" s="172" t="s">
        <v>106</v>
      </c>
      <c r="O4112" s="52">
        <v>27772.47</v>
      </c>
      <c r="P4112" s="52">
        <v>8032.26</v>
      </c>
      <c r="Q4112" s="230">
        <f>OfficeForms.Table[[#This Row],[ INFORMEDEPAGO ]]*0.3</f>
        <v>8331.741</v>
      </c>
      <c r="R4112" s="231">
        <f t="shared" si="305"/>
        <v>299.48099999999977</v>
      </c>
      <c r="S4112" s="78">
        <v>46266</v>
      </c>
      <c r="T4112" s="1" t="s">
        <v>8338</v>
      </c>
      <c r="U4112" s="99">
        <v>2093.4699999999998</v>
      </c>
      <c r="V4112" s="1" t="s">
        <v>8356</v>
      </c>
      <c r="W4112" s="29">
        <v>46268</v>
      </c>
    </row>
    <row r="4113" spans="1:23">
      <c r="A4113">
        <v>2539</v>
      </c>
      <c r="B4113" s="2">
        <v>46268.707835648202</v>
      </c>
      <c r="C4113" s="2">
        <v>46268.708761574097</v>
      </c>
      <c r="D4113" s="1" t="s">
        <v>24</v>
      </c>
      <c r="E4113" s="1"/>
      <c r="F4113" s="29">
        <v>46268</v>
      </c>
      <c r="G4113" s="29">
        <v>46267</v>
      </c>
      <c r="H4113" s="1" t="s">
        <v>8238</v>
      </c>
      <c r="I4113" s="175" t="s">
        <v>9127</v>
      </c>
      <c r="J4113" s="175"/>
      <c r="K4113" s="188" t="s">
        <v>9128</v>
      </c>
      <c r="L4113" s="62">
        <v>24200218</v>
      </c>
      <c r="M4113" s="30">
        <v>8180918862</v>
      </c>
      <c r="N4113" s="172" t="s">
        <v>47</v>
      </c>
      <c r="O4113" s="43">
        <v>41653.39</v>
      </c>
      <c r="P4113" s="43">
        <v>11584.38</v>
      </c>
      <c r="Q4113" s="230">
        <f>OfficeForms.Table[[#This Row],[ INFORMEDEPAGO ]]*0.3</f>
        <v>12496.017</v>
      </c>
      <c r="R4113" s="231">
        <f t="shared" si="305"/>
        <v>911.63700000000063</v>
      </c>
      <c r="S4113" s="78">
        <v>46388</v>
      </c>
      <c r="T4113" s="1" t="s">
        <v>8398</v>
      </c>
      <c r="U4113" s="99">
        <v>1212.72</v>
      </c>
      <c r="V4113" s="1" t="s">
        <v>8316</v>
      </c>
      <c r="W4113" s="29">
        <v>46268</v>
      </c>
    </row>
    <row r="4114" spans="1:23">
      <c r="A4114">
        <v>2540</v>
      </c>
      <c r="B4114" s="2">
        <v>46268.715324074103</v>
      </c>
      <c r="C4114" s="2">
        <v>46268.716041666703</v>
      </c>
      <c r="D4114" s="1" t="s">
        <v>24</v>
      </c>
      <c r="E4114" s="1"/>
      <c r="F4114" s="29">
        <v>46268</v>
      </c>
      <c r="G4114" s="29">
        <v>46266</v>
      </c>
      <c r="H4114" s="1" t="s">
        <v>8238</v>
      </c>
      <c r="I4114" s="175" t="s">
        <v>9129</v>
      </c>
      <c r="J4114" s="175"/>
      <c r="K4114" s="188" t="s">
        <v>9130</v>
      </c>
      <c r="L4114" s="62">
        <v>24158100</v>
      </c>
      <c r="M4114" s="30">
        <v>5518459927</v>
      </c>
      <c r="N4114" s="172" t="s">
        <v>28</v>
      </c>
      <c r="O4114" s="50">
        <v>15349.3</v>
      </c>
      <c r="P4114" s="97"/>
      <c r="Q4114" s="230">
        <f>OfficeForms.Table[[#This Row],[ INFORMEDEPAGO ]]*0.3</f>
        <v>4604.79</v>
      </c>
      <c r="R4114" s="231">
        <f>(IF(O4114&lt;4172.98,0,MIN(O4114*0.3,O4114-4172.98)))-P4114</f>
        <v>4604.79</v>
      </c>
      <c r="S4114" s="78"/>
      <c r="T4114" s="1"/>
      <c r="U4114" s="97"/>
      <c r="V4114" s="1" t="s">
        <v>8535</v>
      </c>
      <c r="W4114" s="29">
        <v>46268</v>
      </c>
    </row>
    <row r="4115" spans="1:23">
      <c r="A4115">
        <v>2541</v>
      </c>
      <c r="B4115" s="2">
        <v>46268.715775463003</v>
      </c>
      <c r="C4115" s="2">
        <v>46268.717118055603</v>
      </c>
      <c r="D4115" s="1" t="s">
        <v>24</v>
      </c>
      <c r="E4115" s="1"/>
      <c r="F4115" s="29">
        <v>46268</v>
      </c>
      <c r="G4115" s="29">
        <v>46268</v>
      </c>
      <c r="H4115" s="1" t="s">
        <v>269</v>
      </c>
      <c r="I4115" s="175" t="s">
        <v>9131</v>
      </c>
      <c r="J4115" s="175"/>
      <c r="K4115" s="188" t="s">
        <v>9132</v>
      </c>
      <c r="L4115" s="62">
        <v>24220810</v>
      </c>
      <c r="M4115" s="30">
        <v>5212292683184</v>
      </c>
      <c r="N4115" s="172" t="s">
        <v>47</v>
      </c>
      <c r="O4115" s="50">
        <v>4655.9799999999996</v>
      </c>
      <c r="P4115" s="97"/>
      <c r="Q4115" s="230">
        <f>OfficeForms.Table[[#This Row],[ INFORMEDEPAGO ]]*0.3</f>
        <v>1396.7939999999999</v>
      </c>
      <c r="R4115" s="231">
        <f>(IF(O4115&lt;4172.98,0,MIN(O4115*0.3,O4115-4172.98)))-P4115</f>
        <v>483</v>
      </c>
      <c r="S4115" s="78"/>
      <c r="T4115" s="1"/>
      <c r="U4115" s="97"/>
      <c r="V4115" s="1" t="s">
        <v>8233</v>
      </c>
      <c r="W4115" s="29">
        <v>46268</v>
      </c>
    </row>
    <row r="4116" spans="1:23">
      <c r="A4116">
        <v>2542</v>
      </c>
      <c r="B4116" s="2">
        <v>46268.716261574104</v>
      </c>
      <c r="C4116" s="2">
        <v>46268.723530092597</v>
      </c>
      <c r="D4116" s="1" t="s">
        <v>24</v>
      </c>
      <c r="E4116" s="1"/>
      <c r="F4116" s="29">
        <v>46268</v>
      </c>
      <c r="G4116" s="29">
        <v>46268</v>
      </c>
      <c r="H4116" s="1" t="s">
        <v>78</v>
      </c>
      <c r="I4116" s="175" t="s">
        <v>9133</v>
      </c>
      <c r="J4116" s="175"/>
      <c r="K4116" s="188" t="s">
        <v>9134</v>
      </c>
      <c r="L4116" s="62">
        <v>24220776</v>
      </c>
      <c r="M4116" s="30">
        <v>5218112604700</v>
      </c>
      <c r="N4116" s="172" t="s">
        <v>32</v>
      </c>
      <c r="O4116" s="43">
        <v>4335.13</v>
      </c>
      <c r="P4116" s="43">
        <v>848</v>
      </c>
      <c r="Q4116" s="230">
        <f>OfficeForms.Table[[#This Row],[ INFORMEDEPAGO ]]*0.3</f>
        <v>1300.539</v>
      </c>
      <c r="R4116" s="231">
        <f>(IF(O4116&lt;4172.98,0,MIN(O4116*0.3,O4116-4172.98)))-P4116</f>
        <v>-685.84999999999945</v>
      </c>
      <c r="S4116" s="78"/>
      <c r="T4116" s="1"/>
      <c r="U4116" s="97"/>
      <c r="V4116" s="1"/>
    </row>
    <row r="4117" spans="1:23">
      <c r="A4117">
        <v>2543</v>
      </c>
      <c r="B4117" s="2">
        <v>46268.730729166702</v>
      </c>
      <c r="C4117" s="2">
        <v>46268.731527777803</v>
      </c>
      <c r="D4117" s="1" t="s">
        <v>24</v>
      </c>
      <c r="E4117" s="1"/>
      <c r="F4117" s="29">
        <v>46268</v>
      </c>
      <c r="G4117" s="29">
        <v>46268</v>
      </c>
      <c r="H4117" s="1" t="s">
        <v>8238</v>
      </c>
      <c r="I4117" s="175" t="s">
        <v>9135</v>
      </c>
      <c r="J4117" s="175"/>
      <c r="K4117" s="188" t="s">
        <v>9136</v>
      </c>
      <c r="L4117" s="62">
        <v>24216146</v>
      </c>
      <c r="M4117" s="30">
        <v>8135566297</v>
      </c>
      <c r="N4117" s="172" t="s">
        <v>37</v>
      </c>
      <c r="O4117" s="52">
        <v>10636.54</v>
      </c>
      <c r="P4117" s="52">
        <v>3190</v>
      </c>
      <c r="Q4117" s="230">
        <f>OfficeForms.Table[[#This Row],[ INFORMEDEPAGO ]]*0.3</f>
        <v>3190.962</v>
      </c>
      <c r="R4117" s="231">
        <f>(IF(O4117&lt;4172.98,0,MIN(O4117*0.3,O4117-4172.98)))-P4117</f>
        <v>0.96199999999998909</v>
      </c>
      <c r="S4117" s="78">
        <v>46235</v>
      </c>
      <c r="T4117" s="1" t="s">
        <v>178</v>
      </c>
      <c r="U4117" s="52">
        <v>3190</v>
      </c>
      <c r="V4117" s="1"/>
    </row>
    <row r="4118" spans="1:23">
      <c r="A4118">
        <v>2544</v>
      </c>
      <c r="B4118" s="2">
        <v>46268.6492939815</v>
      </c>
      <c r="C4118" s="2">
        <v>46268.735717592601</v>
      </c>
      <c r="D4118" s="1" t="s">
        <v>24</v>
      </c>
      <c r="E4118" s="1"/>
      <c r="F4118" s="29">
        <v>46268</v>
      </c>
      <c r="G4118" s="29">
        <v>46268</v>
      </c>
      <c r="H4118" s="1" t="s">
        <v>1625</v>
      </c>
      <c r="I4118" s="175" t="s">
        <v>9137</v>
      </c>
      <c r="J4118" s="175">
        <v>67806237359</v>
      </c>
      <c r="K4118" s="188" t="s">
        <v>9138</v>
      </c>
      <c r="L4118" s="62">
        <v>2</v>
      </c>
      <c r="M4118" s="30" t="s">
        <v>9139</v>
      </c>
      <c r="N4118" s="172" t="s">
        <v>106</v>
      </c>
      <c r="O4118" s="52">
        <v>7116.73</v>
      </c>
      <c r="P4118" s="52">
        <v>2135.02</v>
      </c>
      <c r="Q4118" s="230">
        <f>OfficeForms.Table[[#This Row],[ INFORMEDEPAGO ]]*0.3</f>
        <v>2135.0189999999998</v>
      </c>
      <c r="R4118" s="231">
        <f>(IF(O4118&lt;4172.98,0,MIN(O4118*0.3,O4118-4172.98)))-P4118</f>
        <v>-1.0000000002037268E-3</v>
      </c>
      <c r="S4118" s="78">
        <v>46266</v>
      </c>
      <c r="T4118" s="1" t="s">
        <v>8398</v>
      </c>
      <c r="U4118" s="99">
        <v>1417.34</v>
      </c>
      <c r="V4118" s="1"/>
    </row>
    <row r="4119" spans="1:23">
      <c r="A4119">
        <v>2545</v>
      </c>
      <c r="B4119" s="2">
        <v>46268.7359490741</v>
      </c>
      <c r="C4119" s="2">
        <v>46268.736655092602</v>
      </c>
      <c r="D4119" s="1" t="s">
        <v>24</v>
      </c>
      <c r="E4119" s="1"/>
      <c r="F4119" s="29">
        <v>46268</v>
      </c>
      <c r="G4119" s="29">
        <v>46268</v>
      </c>
      <c r="H4119" s="1" t="s">
        <v>269</v>
      </c>
      <c r="I4119" s="175" t="s">
        <v>9140</v>
      </c>
      <c r="J4119" s="175" t="s">
        <v>9141</v>
      </c>
      <c r="K4119" s="188" t="s">
        <v>9142</v>
      </c>
      <c r="L4119" s="62">
        <v>24228128</v>
      </c>
      <c r="M4119" s="30">
        <v>5218991198526</v>
      </c>
      <c r="N4119" s="172" t="s">
        <v>28</v>
      </c>
      <c r="O4119" s="67">
        <v>14761.91</v>
      </c>
      <c r="P4119" s="99"/>
      <c r="Q4119" s="230">
        <f>OfficeForms.Table[[#This Row],[ INFORMEDEPAGO ]]*0.3</f>
        <v>4428.5729999999994</v>
      </c>
      <c r="R4119" s="231">
        <f>(IF(O4119&lt;4172.98,0,MIN(O4119*0.3,O4119-4172.98)))-P4119</f>
        <v>4428.5729999999994</v>
      </c>
      <c r="S4119" s="78"/>
      <c r="T4119" s="1"/>
      <c r="U4119" s="99"/>
      <c r="V4119" s="1" t="s">
        <v>8456</v>
      </c>
      <c r="W4119" s="29">
        <v>46268</v>
      </c>
    </row>
    <row r="4120" spans="1:23">
      <c r="A4120">
        <v>2546</v>
      </c>
      <c r="B4120" s="2">
        <v>46268.708738425899</v>
      </c>
      <c r="C4120" s="2">
        <v>46268.743958333303</v>
      </c>
      <c r="D4120" s="1" t="s">
        <v>24</v>
      </c>
      <c r="E4120" s="1"/>
      <c r="F4120" s="29">
        <v>46268</v>
      </c>
      <c r="G4120" s="29">
        <v>46268</v>
      </c>
      <c r="H4120" s="1" t="s">
        <v>8381</v>
      </c>
      <c r="I4120" s="175" t="s">
        <v>9143</v>
      </c>
      <c r="J4120" s="175" t="s">
        <v>9144</v>
      </c>
      <c r="K4120" s="188" t="s">
        <v>9145</v>
      </c>
      <c r="L4120" s="62">
        <v>24228252</v>
      </c>
      <c r="M4120" s="30">
        <v>5215521815425</v>
      </c>
      <c r="N4120" s="172" t="s">
        <v>37</v>
      </c>
      <c r="O4120" s="52">
        <v>7913.78</v>
      </c>
      <c r="P4120" s="52">
        <v>2289.64</v>
      </c>
      <c r="Q4120" s="230">
        <f>OfficeForms.Table[[#This Row],[ INFORMEDEPAGO ]]*0.3</f>
        <v>2374.134</v>
      </c>
      <c r="R4120" s="231">
        <f>(IF(O4120&lt;4172.98,0,MIN(O4120*0.3,O4120-4172.98)))-P4120</f>
        <v>84.494000000000142</v>
      </c>
      <c r="S4120" s="78">
        <v>46722</v>
      </c>
      <c r="T4120" s="1" t="s">
        <v>8696</v>
      </c>
      <c r="U4120" s="52">
        <v>2289.64</v>
      </c>
      <c r="V4120" s="1"/>
    </row>
    <row r="4121" spans="1:23">
      <c r="A4121">
        <v>2547</v>
      </c>
      <c r="B4121" s="2">
        <v>46268.743981481501</v>
      </c>
      <c r="C4121" s="2">
        <v>46268.7664814815</v>
      </c>
      <c r="D4121" s="1" t="s">
        <v>24</v>
      </c>
      <c r="E4121" s="1"/>
      <c r="F4121" s="29">
        <v>46268</v>
      </c>
      <c r="G4121" s="29">
        <v>46268</v>
      </c>
      <c r="H4121" s="1" t="s">
        <v>8381</v>
      </c>
      <c r="I4121" s="175" t="s">
        <v>9146</v>
      </c>
      <c r="J4121" s="175"/>
      <c r="K4121" s="188" t="s">
        <v>9147</v>
      </c>
      <c r="L4121" s="62">
        <v>24227570</v>
      </c>
      <c r="M4121" s="30">
        <v>5217531714304</v>
      </c>
      <c r="N4121" s="172" t="s">
        <v>28</v>
      </c>
      <c r="O4121" s="50">
        <v>10636.54</v>
      </c>
      <c r="P4121" s="97"/>
      <c r="Q4121" s="230">
        <f>OfficeForms.Table[[#This Row],[ INFORMEDEPAGO ]]*0.3</f>
        <v>3190.962</v>
      </c>
      <c r="R4121" s="231">
        <f>(IF(O4121&lt;4172.98,0,MIN(O4121*0.3,O4121-4172.98)))-P4121</f>
        <v>3190.962</v>
      </c>
      <c r="S4121" s="78"/>
      <c r="T4121" s="1"/>
      <c r="U4121" s="97"/>
      <c r="V4121" s="1" t="s">
        <v>8535</v>
      </c>
      <c r="W4121" s="29">
        <v>46268</v>
      </c>
    </row>
    <row r="4122" spans="1:23">
      <c r="A4122">
        <v>2548</v>
      </c>
      <c r="B4122" s="2">
        <v>46269.3835763889</v>
      </c>
      <c r="C4122" s="2">
        <v>46269.396226851903</v>
      </c>
      <c r="D4122" s="1" t="s">
        <v>24</v>
      </c>
      <c r="E4122" s="1"/>
      <c r="F4122" s="29">
        <v>46269</v>
      </c>
      <c r="G4122" s="29">
        <v>46268</v>
      </c>
      <c r="H4122" s="1" t="s">
        <v>51</v>
      </c>
      <c r="I4122" s="175" t="s">
        <v>9148</v>
      </c>
      <c r="J4122" s="175">
        <v>49816437963</v>
      </c>
      <c r="K4122" s="188" t="s">
        <v>9149</v>
      </c>
      <c r="L4122" s="62">
        <v>24223350</v>
      </c>
      <c r="M4122" s="30">
        <v>5218342451655</v>
      </c>
      <c r="N4122" s="172" t="s">
        <v>130</v>
      </c>
      <c r="O4122" s="52">
        <v>8867.99</v>
      </c>
      <c r="P4122" s="52">
        <v>2565.4299999999998</v>
      </c>
      <c r="Q4122" s="230">
        <f>OfficeForms.Table[[#This Row],[ INFORMEDEPAGO ]]*0.3</f>
        <v>2660.3969999999999</v>
      </c>
      <c r="R4122" s="231">
        <f>(IF(O4122&lt;4172.98,0,MIN(O4122*0.3,O4122-4172.98)))-P4122</f>
        <v>94.967000000000098</v>
      </c>
      <c r="S4122" s="78">
        <v>46113</v>
      </c>
      <c r="T4122" s="1" t="s">
        <v>8897</v>
      </c>
      <c r="U4122" s="97">
        <v>375.35</v>
      </c>
      <c r="V4122" s="1" t="s">
        <v>8233</v>
      </c>
      <c r="W4122" s="29">
        <v>46269</v>
      </c>
    </row>
    <row r="4123" spans="1:23">
      <c r="A4123">
        <v>2549</v>
      </c>
      <c r="B4123" s="2">
        <v>46269.318217592598</v>
      </c>
      <c r="C4123" s="2">
        <v>46269.3975347222</v>
      </c>
      <c r="D4123" s="1" t="s">
        <v>24</v>
      </c>
      <c r="E4123" s="1"/>
      <c r="F4123" s="29">
        <v>46269</v>
      </c>
      <c r="G4123" s="29">
        <v>46269</v>
      </c>
      <c r="H4123" s="1" t="s">
        <v>1625</v>
      </c>
      <c r="I4123" s="175" t="s">
        <v>9150</v>
      </c>
      <c r="J4123" s="175">
        <v>75806123339</v>
      </c>
      <c r="K4123" s="188" t="s">
        <v>9151</v>
      </c>
      <c r="L4123" s="62">
        <v>2</v>
      </c>
      <c r="M4123" s="30">
        <v>7411033644</v>
      </c>
      <c r="N4123" s="172" t="s">
        <v>37</v>
      </c>
      <c r="O4123" s="52">
        <v>6262.86</v>
      </c>
      <c r="P4123" s="52">
        <v>1826.64</v>
      </c>
      <c r="Q4123" s="230">
        <f>OfficeForms.Table[[#This Row],[ INFORMEDEPAGO ]]*0.3</f>
        <v>1878.8579999999997</v>
      </c>
      <c r="R4123" s="231">
        <f>(IF(O4123&lt;4172.98,0,MIN(O4123*0.3,O4123-4172.98)))-P4123</f>
        <v>52.21799999999962</v>
      </c>
      <c r="S4123" s="78">
        <v>46813</v>
      </c>
      <c r="T4123" s="1" t="s">
        <v>7516</v>
      </c>
      <c r="U4123" s="52">
        <v>1826.64</v>
      </c>
      <c r="V4123" s="1"/>
    </row>
    <row r="4124" spans="1:23">
      <c r="A4124">
        <v>2550</v>
      </c>
      <c r="B4124" s="2">
        <v>46269.397557870398</v>
      </c>
      <c r="C4124" s="2">
        <v>46269.399502314802</v>
      </c>
      <c r="D4124" s="1" t="s">
        <v>24</v>
      </c>
      <c r="E4124" s="1"/>
      <c r="F4124" s="29">
        <v>46269</v>
      </c>
      <c r="G4124" s="29">
        <v>46269</v>
      </c>
      <c r="H4124" s="1" t="s">
        <v>1625</v>
      </c>
      <c r="I4124" s="175" t="s">
        <v>9152</v>
      </c>
      <c r="J4124" s="175">
        <v>43906121454</v>
      </c>
      <c r="K4124" s="188" t="s">
        <v>9153</v>
      </c>
      <c r="L4124" s="62">
        <v>2</v>
      </c>
      <c r="M4124" s="30">
        <v>8135539837</v>
      </c>
      <c r="N4124" s="172" t="s">
        <v>37</v>
      </c>
      <c r="O4124" s="52">
        <v>6459.7</v>
      </c>
      <c r="P4124" s="52">
        <v>1937.1</v>
      </c>
      <c r="Q4124" s="230">
        <f>OfficeForms.Table[[#This Row],[ INFORMEDEPAGO ]]*0.3</f>
        <v>1937.9099999999999</v>
      </c>
      <c r="R4124" s="231">
        <f>(IF(O4124&lt;4172.98,0,MIN(O4124*0.3,O4124-4172.98)))-P4124</f>
        <v>0.80999999999994543</v>
      </c>
      <c r="S4124" s="78">
        <v>46478</v>
      </c>
      <c r="T4124" s="1" t="s">
        <v>8338</v>
      </c>
      <c r="U4124" s="97">
        <v>1629.1</v>
      </c>
      <c r="V4124" s="1"/>
    </row>
    <row r="4125" spans="1:23">
      <c r="A4125">
        <v>2551</v>
      </c>
      <c r="B4125" s="2">
        <v>46269.400717592602</v>
      </c>
      <c r="C4125" s="2">
        <v>46269.4070601852</v>
      </c>
      <c r="D4125" s="1" t="s">
        <v>24</v>
      </c>
      <c r="E4125" s="1"/>
      <c r="F4125" s="29">
        <v>46269</v>
      </c>
      <c r="G4125" s="29">
        <v>46268</v>
      </c>
      <c r="H4125" s="1" t="s">
        <v>269</v>
      </c>
      <c r="I4125" s="175" t="s">
        <v>9154</v>
      </c>
      <c r="J4125" s="175" t="s">
        <v>9155</v>
      </c>
      <c r="K4125" s="188" t="s">
        <v>9156</v>
      </c>
      <c r="L4125" s="62">
        <v>24230346</v>
      </c>
      <c r="M4125" s="30">
        <v>5218140070510</v>
      </c>
      <c r="N4125" s="172" t="s">
        <v>106</v>
      </c>
      <c r="O4125" s="52">
        <v>9081.52</v>
      </c>
      <c r="P4125" s="52">
        <v>2521.35</v>
      </c>
      <c r="Q4125" s="230">
        <f>OfficeForms.Table[[#This Row],[ INFORMEDEPAGO ]]*0.3</f>
        <v>2724.4560000000001</v>
      </c>
      <c r="R4125" s="231">
        <f t="shared" ref="R4125:R4128" si="306">(IF(O4125&lt;4172.98,0,MIN(O4125*0.3,O4125-4172.98)))-P4125</f>
        <v>203.10600000000022</v>
      </c>
      <c r="S4125" s="78">
        <v>46204</v>
      </c>
      <c r="T4125" s="1" t="s">
        <v>7209</v>
      </c>
      <c r="U4125" s="52">
        <v>2521.35</v>
      </c>
      <c r="V4125" s="1" t="s">
        <v>8328</v>
      </c>
      <c r="W4125" s="29">
        <v>46269</v>
      </c>
    </row>
    <row r="4126" spans="1:23">
      <c r="A4126">
        <v>2552</v>
      </c>
      <c r="B4126" s="2">
        <v>46269.411643518499</v>
      </c>
      <c r="C4126" s="2">
        <v>46269.4141550926</v>
      </c>
      <c r="D4126" s="1" t="s">
        <v>24</v>
      </c>
      <c r="E4126" s="1"/>
      <c r="F4126" s="29">
        <v>46269</v>
      </c>
      <c r="G4126" s="29">
        <v>46268</v>
      </c>
      <c r="H4126" s="1" t="s">
        <v>269</v>
      </c>
      <c r="I4126" s="175" t="s">
        <v>9157</v>
      </c>
      <c r="J4126" s="175" t="s">
        <v>9158</v>
      </c>
      <c r="K4126" s="188" t="s">
        <v>9159</v>
      </c>
      <c r="L4126" s="62">
        <v>24232388</v>
      </c>
      <c r="M4126" s="30">
        <v>5218125773751</v>
      </c>
      <c r="N4126" s="172" t="s">
        <v>37</v>
      </c>
      <c r="O4126" s="52">
        <v>26786.22</v>
      </c>
      <c r="P4126" s="52">
        <v>8033.24</v>
      </c>
      <c r="Q4126" s="230">
        <f>OfficeForms.Table[[#This Row],[ INFORMEDEPAGO ]]*0.3</f>
        <v>8035.866</v>
      </c>
      <c r="R4126" s="231">
        <f t="shared" si="306"/>
        <v>2.6260000000002037</v>
      </c>
      <c r="S4126" s="78">
        <v>46631</v>
      </c>
      <c r="T4126" s="1" t="s">
        <v>7516</v>
      </c>
      <c r="U4126" s="97">
        <v>6321.56</v>
      </c>
      <c r="V4126" s="1"/>
    </row>
    <row r="4127" spans="1:23">
      <c r="A4127">
        <v>2553</v>
      </c>
      <c r="B4127" s="2">
        <v>46269.419594907398</v>
      </c>
      <c r="C4127" s="2">
        <v>46269.421087962997</v>
      </c>
      <c r="D4127" s="1" t="s">
        <v>24</v>
      </c>
      <c r="E4127" s="1"/>
      <c r="F4127" s="29">
        <v>46269</v>
      </c>
      <c r="G4127" s="29">
        <v>46230</v>
      </c>
      <c r="H4127" s="1" t="s">
        <v>269</v>
      </c>
      <c r="I4127" s="175" t="s">
        <v>9160</v>
      </c>
      <c r="J4127" s="207"/>
      <c r="K4127" s="188" t="s">
        <v>9161</v>
      </c>
      <c r="L4127" s="62">
        <v>23125936</v>
      </c>
      <c r="M4127" s="30">
        <v>5214561276585</v>
      </c>
      <c r="N4127" s="172" t="s">
        <v>28</v>
      </c>
      <c r="O4127" s="67">
        <v>7920.51</v>
      </c>
      <c r="P4127" s="99"/>
      <c r="Q4127" s="230">
        <f>OfficeForms.Table[[#This Row],[ INFORMEDEPAGO ]]*0.3</f>
        <v>2376.1529999999998</v>
      </c>
      <c r="R4127" s="231">
        <f t="shared" si="306"/>
        <v>2376.1529999999998</v>
      </c>
      <c r="S4127" s="78"/>
      <c r="T4127" s="1"/>
      <c r="U4127" s="97"/>
      <c r="V4127" s="1" t="s">
        <v>8280</v>
      </c>
      <c r="W4127" s="29">
        <v>46269</v>
      </c>
    </row>
    <row r="4128" spans="1:23">
      <c r="A4128">
        <v>2554</v>
      </c>
      <c r="B4128" s="2">
        <v>46269.422256944403</v>
      </c>
      <c r="C4128" s="2">
        <v>46269.4231365741</v>
      </c>
      <c r="D4128" s="1" t="s">
        <v>24</v>
      </c>
      <c r="E4128" s="1"/>
      <c r="F4128" s="29">
        <v>46269</v>
      </c>
      <c r="G4128" s="29">
        <v>46267</v>
      </c>
      <c r="H4128" s="1" t="s">
        <v>8238</v>
      </c>
      <c r="I4128" s="175" t="s">
        <v>9162</v>
      </c>
      <c r="J4128" s="207">
        <v>62886431477</v>
      </c>
      <c r="K4128" s="188" t="s">
        <v>9163</v>
      </c>
      <c r="L4128" s="62">
        <v>24214946</v>
      </c>
      <c r="M4128" s="30">
        <v>2214102702</v>
      </c>
      <c r="N4128" s="172" t="s">
        <v>47</v>
      </c>
      <c r="O4128" s="67">
        <v>5055.87</v>
      </c>
      <c r="P4128" s="99"/>
      <c r="Q4128" s="230">
        <f>OfficeForms.Table[[#This Row],[ INFORMEDEPAGO ]]*0.3</f>
        <v>1516.761</v>
      </c>
      <c r="R4128" s="231">
        <f t="shared" si="306"/>
        <v>882.89000000000033</v>
      </c>
      <c r="S4128" s="78"/>
      <c r="T4128" s="1"/>
      <c r="U4128" s="97"/>
      <c r="V4128" s="1" t="s">
        <v>8233</v>
      </c>
      <c r="W4128" s="29">
        <v>46269</v>
      </c>
    </row>
    <row r="4129" spans="1:23">
      <c r="A4129">
        <v>2555</v>
      </c>
      <c r="B4129" s="2">
        <v>46269.426273148099</v>
      </c>
      <c r="C4129" s="2">
        <v>46269.433333333298</v>
      </c>
      <c r="D4129" s="1" t="s">
        <v>24</v>
      </c>
      <c r="E4129" s="1"/>
      <c r="F4129" s="29">
        <v>46269</v>
      </c>
      <c r="G4129" s="29">
        <v>46268</v>
      </c>
      <c r="H4129" s="1" t="s">
        <v>8721</v>
      </c>
      <c r="I4129" s="175" t="s">
        <v>9164</v>
      </c>
      <c r="J4129" s="207"/>
      <c r="K4129" s="188" t="s">
        <v>9165</v>
      </c>
      <c r="L4129" s="62">
        <v>24230414</v>
      </c>
      <c r="M4129" s="30">
        <v>5218711000057</v>
      </c>
      <c r="N4129" s="172" t="s">
        <v>37</v>
      </c>
      <c r="O4129" s="52">
        <v>5642.22</v>
      </c>
      <c r="P4129" s="52">
        <v>1399.12</v>
      </c>
      <c r="Q4129" s="230">
        <f>OfficeForms.Table[[#This Row],[ INFORMEDEPAGO ]]*0.3</f>
        <v>1692.6659999999999</v>
      </c>
      <c r="R4129" s="231">
        <f t="shared" ref="R4129" si="307">(IF(O4129&lt;4172.98,0,MIN(O4129*0.3,O4129-4172.98)))-P4129</f>
        <v>70.1200000000008</v>
      </c>
      <c r="S4129" s="78">
        <v>46600</v>
      </c>
      <c r="T4129" s="1" t="s">
        <v>7516</v>
      </c>
      <c r="U4129" s="97">
        <v>1283.69</v>
      </c>
      <c r="V4129" s="1"/>
    </row>
    <row r="4130" spans="1:23">
      <c r="A4130">
        <v>2556</v>
      </c>
      <c r="B4130" s="2">
        <v>46269.399537037003</v>
      </c>
      <c r="C4130" s="2">
        <v>46269.437037037002</v>
      </c>
      <c r="D4130" s="1" t="s">
        <v>24</v>
      </c>
      <c r="E4130" s="1"/>
      <c r="F4130" s="29">
        <v>46269</v>
      </c>
      <c r="G4130" s="29">
        <v>46269</v>
      </c>
      <c r="H4130" s="1" t="s">
        <v>2908</v>
      </c>
      <c r="I4130" s="175" t="s">
        <v>9166</v>
      </c>
      <c r="J4130" s="207" t="s">
        <v>9167</v>
      </c>
      <c r="K4130" s="188" t="s">
        <v>9168</v>
      </c>
      <c r="L4130" s="62">
        <v>2</v>
      </c>
      <c r="M4130" s="30">
        <v>8117996514</v>
      </c>
      <c r="N4130" s="172" t="s">
        <v>37</v>
      </c>
      <c r="O4130" s="52">
        <v>9087.66</v>
      </c>
      <c r="P4130" s="52">
        <v>2605.84</v>
      </c>
      <c r="Q4130" s="230">
        <f>OfficeForms.Table[[#This Row],[ INFORMEDEPAGO ]]*0.3</f>
        <v>2726.2979999999998</v>
      </c>
      <c r="R4130" s="231">
        <f t="shared" ref="R4130" si="308">(IF(O4130&lt;4172.98,0,MIN(O4130*0.3,O4130-4172.98)))-P4130</f>
        <v>120.45799999999963</v>
      </c>
      <c r="S4130" s="78">
        <v>46388</v>
      </c>
      <c r="T4130" s="1" t="s">
        <v>7516</v>
      </c>
      <c r="U4130" s="97">
        <v>950.9</v>
      </c>
      <c r="V4130" s="1"/>
    </row>
    <row r="4131" spans="1:23">
      <c r="A4131">
        <v>2557</v>
      </c>
      <c r="B4131" s="2">
        <v>46269.452326388899</v>
      </c>
      <c r="C4131" s="2">
        <v>46269.453599537002</v>
      </c>
      <c r="D4131" s="1" t="s">
        <v>24</v>
      </c>
      <c r="E4131" s="1"/>
      <c r="F4131" s="29">
        <v>46269</v>
      </c>
      <c r="G4131" s="29">
        <v>46269</v>
      </c>
      <c r="H4131" s="1" t="s">
        <v>269</v>
      </c>
      <c r="I4131" s="175" t="s">
        <v>9169</v>
      </c>
      <c r="J4131" s="175" t="s">
        <v>9170</v>
      </c>
      <c r="K4131" s="188" t="s">
        <v>9171</v>
      </c>
      <c r="L4131" s="62">
        <v>24244078</v>
      </c>
      <c r="M4131" s="30">
        <v>5213141986768</v>
      </c>
      <c r="N4131" s="172" t="s">
        <v>37</v>
      </c>
      <c r="O4131" s="43">
        <v>7920.51</v>
      </c>
      <c r="P4131" s="43">
        <v>2376</v>
      </c>
      <c r="Q4131" s="230">
        <f>OfficeForms.Table[[#This Row],[ INFORMEDEPAGO ]]*0.3</f>
        <v>2376.1529999999998</v>
      </c>
      <c r="R4131" s="231">
        <f>(IF(O4131&lt;4172.98,0,MIN(O4131*0.3,O4131-4172.98)))-P4131</f>
        <v>0.15299999999979264</v>
      </c>
      <c r="S4131" s="78">
        <v>46966</v>
      </c>
      <c r="T4131" s="1" t="s">
        <v>7209</v>
      </c>
      <c r="U4131" s="43">
        <v>2376</v>
      </c>
      <c r="V4131" s="1"/>
    </row>
    <row r="4132" spans="1:23">
      <c r="A4132">
        <v>2558</v>
      </c>
      <c r="B4132" s="2">
        <v>46268.767268518503</v>
      </c>
      <c r="C4132" s="2">
        <v>46269.464004629597</v>
      </c>
      <c r="D4132" s="1" t="s">
        <v>24</v>
      </c>
      <c r="E4132" s="1"/>
      <c r="F4132" s="29">
        <v>46269</v>
      </c>
      <c r="G4132" s="29">
        <v>46269</v>
      </c>
      <c r="H4132" s="1" t="s">
        <v>8381</v>
      </c>
      <c r="I4132" s="175" t="s">
        <v>9172</v>
      </c>
      <c r="J4132" s="175"/>
      <c r="K4132" s="188" t="s">
        <v>9173</v>
      </c>
      <c r="L4132" s="62">
        <v>24244176</v>
      </c>
      <c r="M4132" s="30">
        <v>5218123546867</v>
      </c>
      <c r="N4132" s="172" t="s">
        <v>28</v>
      </c>
      <c r="O4132" s="43">
        <v>53488.78</v>
      </c>
      <c r="P4132" s="43">
        <v>9330.6299999999992</v>
      </c>
      <c r="Q4132" s="230">
        <f>OfficeForms.Table[[#This Row],[ INFORMEDEPAGO ]]*0.3</f>
        <v>16046.633999999998</v>
      </c>
      <c r="R4132" s="231">
        <f>(IF(O4132&lt;4172.98,0,MIN(O4132*0.3,O4132-4172.98)))-P4132</f>
        <v>6716.003999999999</v>
      </c>
      <c r="S4132" s="78">
        <v>46266</v>
      </c>
      <c r="T4132" s="1" t="s">
        <v>7209</v>
      </c>
      <c r="U4132" s="97">
        <v>2151.67</v>
      </c>
      <c r="V4132" s="1" t="s">
        <v>8291</v>
      </c>
      <c r="W4132" s="29">
        <v>46269</v>
      </c>
    </row>
    <row r="4133" spans="1:23">
      <c r="A4133">
        <v>2559</v>
      </c>
      <c r="B4133" s="2">
        <v>46269.437060185199</v>
      </c>
      <c r="C4133" s="2">
        <v>46269.465370370403</v>
      </c>
      <c r="D4133" s="1" t="s">
        <v>24</v>
      </c>
      <c r="E4133" s="1"/>
      <c r="F4133" s="29">
        <v>46269</v>
      </c>
      <c r="G4133" s="29">
        <v>46269</v>
      </c>
      <c r="H4133" s="1" t="s">
        <v>1625</v>
      </c>
      <c r="I4133" s="175" t="s">
        <v>9174</v>
      </c>
      <c r="J4133" s="175">
        <v>92936310165</v>
      </c>
      <c r="K4133" s="188" t="s">
        <v>9175</v>
      </c>
      <c r="L4133" s="62">
        <v>2</v>
      </c>
      <c r="M4133" s="30">
        <v>5511957899</v>
      </c>
      <c r="N4133" s="172" t="s">
        <v>37</v>
      </c>
      <c r="O4133" s="43">
        <v>7920.51</v>
      </c>
      <c r="P4133" s="43">
        <v>2376.14</v>
      </c>
      <c r="Q4133" s="230">
        <f>OfficeForms.Table[[#This Row],[ INFORMEDEPAGO ]]*0.3</f>
        <v>2376.1529999999998</v>
      </c>
      <c r="R4133" s="231">
        <f>(IF(O4133&lt;4172.98,0,MIN(O4133*0.3,O4133-4172.98)))-P4133</f>
        <v>1.2999999999919964E-2</v>
      </c>
      <c r="S4133" s="78">
        <v>46296</v>
      </c>
      <c r="T4133" s="1" t="s">
        <v>9176</v>
      </c>
      <c r="U4133" s="97">
        <v>2101.46</v>
      </c>
      <c r="V4133" s="1"/>
    </row>
    <row r="4134" spans="1:23">
      <c r="A4134">
        <v>2560</v>
      </c>
      <c r="B4134" s="2">
        <v>46269.435231481497</v>
      </c>
      <c r="C4134" s="2">
        <v>46269.4663657407</v>
      </c>
      <c r="D4134" s="1" t="s">
        <v>24</v>
      </c>
      <c r="E4134" s="1"/>
      <c r="F4134" s="29">
        <v>46269</v>
      </c>
      <c r="G4134" s="29">
        <v>46269</v>
      </c>
      <c r="H4134" s="1" t="s">
        <v>8721</v>
      </c>
      <c r="I4134" s="175" t="s">
        <v>9177</v>
      </c>
      <c r="J4134" s="175" t="s">
        <v>9178</v>
      </c>
      <c r="K4134" s="188" t="s">
        <v>9179</v>
      </c>
      <c r="L4134" s="62">
        <v>24241580</v>
      </c>
      <c r="M4134" s="30">
        <v>5215543611667</v>
      </c>
      <c r="N4134" s="172" t="s">
        <v>37</v>
      </c>
      <c r="O4134" s="43">
        <v>34774.03</v>
      </c>
      <c r="P4134" s="43">
        <v>10431.36</v>
      </c>
      <c r="Q4134" s="230">
        <f>OfficeForms.Table[[#This Row],[ INFORMEDEPAGO ]]*0.3</f>
        <v>10432.208999999999</v>
      </c>
      <c r="R4134" s="231">
        <f>(IF(O4134&lt;4172.98,0,MIN(O4134*0.3,O4134-4172.98)))-P4134</f>
        <v>0.84899999999834108</v>
      </c>
      <c r="S4134" s="78">
        <v>46388</v>
      </c>
      <c r="T4134" s="1" t="s">
        <v>7516</v>
      </c>
      <c r="U4134" s="97">
        <v>6301.94</v>
      </c>
      <c r="V4134" s="1"/>
    </row>
    <row r="4135" spans="1:23">
      <c r="A4135">
        <v>2561</v>
      </c>
      <c r="B4135" s="2">
        <v>46269.465335648099</v>
      </c>
      <c r="C4135" s="2">
        <v>46269.466377314799</v>
      </c>
      <c r="D4135" s="1" t="s">
        <v>24</v>
      </c>
      <c r="E4135" s="1"/>
      <c r="F4135" s="29">
        <v>46269</v>
      </c>
      <c r="G4135" s="29">
        <v>46269</v>
      </c>
      <c r="H4135" s="1" t="s">
        <v>269</v>
      </c>
      <c r="I4135" s="175" t="s">
        <v>9180</v>
      </c>
      <c r="J4135" s="175" t="s">
        <v>9181</v>
      </c>
      <c r="K4135" s="188" t="s">
        <v>9182</v>
      </c>
      <c r="L4135" s="62">
        <v>24244458</v>
      </c>
      <c r="M4135" s="30">
        <v>5217711597802</v>
      </c>
      <c r="N4135" s="172" t="s">
        <v>28</v>
      </c>
      <c r="O4135" s="50">
        <v>9081.52</v>
      </c>
      <c r="P4135" s="97"/>
      <c r="Q4135" s="230">
        <f>OfficeForms.Table[[#This Row],[ INFORMEDEPAGO ]]*0.3</f>
        <v>2724.4560000000001</v>
      </c>
      <c r="R4135" s="231">
        <f>(IF(O4135&lt;4172.98,0,MIN(O4135*0.3,O4135-4172.98)))-P4135</f>
        <v>2724.4560000000001</v>
      </c>
      <c r="S4135" s="78"/>
      <c r="T4135" s="1"/>
      <c r="U4135" s="97"/>
      <c r="V4135" s="1" t="s">
        <v>8280</v>
      </c>
      <c r="W4135" s="29">
        <v>46269</v>
      </c>
    </row>
    <row r="4136" spans="1:23">
      <c r="A4136">
        <v>2562</v>
      </c>
      <c r="B4136" s="2">
        <v>46269.474733796298</v>
      </c>
      <c r="C4136" s="2">
        <v>46269.475555555597</v>
      </c>
      <c r="D4136" s="1" t="s">
        <v>24</v>
      </c>
      <c r="E4136" s="1"/>
      <c r="F4136" s="29">
        <v>46269</v>
      </c>
      <c r="G4136" s="29">
        <v>46267</v>
      </c>
      <c r="H4136" s="1" t="s">
        <v>8238</v>
      </c>
      <c r="I4136" s="175" t="s">
        <v>9183</v>
      </c>
      <c r="J4136" s="175"/>
      <c r="K4136" s="188" t="s">
        <v>9184</v>
      </c>
      <c r="L4136" s="62">
        <v>24206152</v>
      </c>
      <c r="M4136" s="30">
        <v>6562784920</v>
      </c>
      <c r="N4136" s="172" t="s">
        <v>263</v>
      </c>
      <c r="O4136" s="43">
        <v>7130.14</v>
      </c>
      <c r="P4136" s="43">
        <v>1889.44</v>
      </c>
      <c r="Q4136" s="230">
        <f>OfficeForms.Table[[#This Row],[ INFORMEDEPAGO ]]*0.3</f>
        <v>2139.0419999999999</v>
      </c>
      <c r="R4136" s="231">
        <f>(IF(O4136&lt;4172.98,0,MIN(O4136*0.3,O4136-4172.98)))-P4136</f>
        <v>249.60199999999986</v>
      </c>
      <c r="S4136" s="78">
        <v>45748</v>
      </c>
      <c r="T4136" s="1" t="s">
        <v>192</v>
      </c>
      <c r="U4136" s="43">
        <v>1889.44</v>
      </c>
      <c r="V4136" s="1" t="s">
        <v>9185</v>
      </c>
      <c r="W4136" s="29">
        <v>46269</v>
      </c>
    </row>
    <row r="4137" spans="1:23">
      <c r="A4137">
        <v>2563</v>
      </c>
      <c r="B4137" s="2">
        <v>46269.464027777802</v>
      </c>
      <c r="C4137" s="2">
        <v>46269.477291666699</v>
      </c>
      <c r="D4137" s="1" t="s">
        <v>24</v>
      </c>
      <c r="E4137" s="1"/>
      <c r="F4137" s="29">
        <v>46269</v>
      </c>
      <c r="G4137" s="29">
        <v>46268</v>
      </c>
      <c r="H4137" s="1" t="s">
        <v>8381</v>
      </c>
      <c r="I4137" s="175" t="s">
        <v>9186</v>
      </c>
      <c r="J4137" s="175">
        <v>11795816559</v>
      </c>
      <c r="K4137" s="188" t="s">
        <v>9187</v>
      </c>
      <c r="L4137" s="62">
        <v>24229608</v>
      </c>
      <c r="M4137" s="30">
        <v>5214441242126</v>
      </c>
      <c r="N4137" s="172" t="s">
        <v>37</v>
      </c>
      <c r="O4137" s="43">
        <v>26377.57</v>
      </c>
      <c r="P4137" s="43">
        <v>7630.47</v>
      </c>
      <c r="Q4137" s="230">
        <f>OfficeForms.Table[[#This Row],[ INFORMEDEPAGO ]]*0.3</f>
        <v>7913.2709999999997</v>
      </c>
      <c r="R4137" s="231">
        <f>(IF(O4137&lt;4172.98,0,MIN(O4137*0.3,O4137-4172.98)))-P4137</f>
        <v>282.80099999999948</v>
      </c>
      <c r="S4137" s="78">
        <v>46447</v>
      </c>
      <c r="T4137" s="1" t="s">
        <v>8757</v>
      </c>
      <c r="U4137" s="97">
        <v>1297</v>
      </c>
      <c r="V4137" s="1"/>
    </row>
    <row r="4138" spans="1:23">
      <c r="A4138">
        <v>2564</v>
      </c>
      <c r="B4138" s="2">
        <v>46269.4665046296</v>
      </c>
      <c r="C4138" s="2">
        <v>46269.490590277797</v>
      </c>
      <c r="D4138" s="1" t="s">
        <v>24</v>
      </c>
      <c r="E4138" s="1"/>
      <c r="F4138" s="29">
        <v>46269</v>
      </c>
      <c r="G4138" s="29">
        <v>46269</v>
      </c>
      <c r="H4138" s="1" t="s">
        <v>8721</v>
      </c>
      <c r="I4138" s="175" t="s">
        <v>9188</v>
      </c>
      <c r="J4138" s="175"/>
      <c r="K4138" s="188" t="s">
        <v>9189</v>
      </c>
      <c r="L4138" s="62">
        <v>24243322</v>
      </c>
      <c r="M4138" s="30">
        <v>5214921605973</v>
      </c>
      <c r="N4138" s="172" t="s">
        <v>28</v>
      </c>
      <c r="O4138" s="43">
        <v>9760.32</v>
      </c>
      <c r="P4138" s="43">
        <v>848</v>
      </c>
      <c r="Q4138" s="230">
        <f>OfficeForms.Table[[#This Row],[ INFORMEDEPAGO ]]*0.3</f>
        <v>2928.096</v>
      </c>
      <c r="R4138" s="231">
        <f>(IF(O4138&lt;4172.98,0,MIN(O4138*0.3,O4138-4172.98)))-P4138</f>
        <v>2080.096</v>
      </c>
      <c r="S4138" s="78"/>
      <c r="T4138" s="1"/>
      <c r="U4138" s="97"/>
      <c r="V4138" s="1" t="s">
        <v>8256</v>
      </c>
      <c r="W4138" s="29">
        <v>46269</v>
      </c>
    </row>
    <row r="4139" spans="1:23">
      <c r="A4139">
        <v>2565</v>
      </c>
      <c r="B4139" s="2">
        <v>46269.396249999998</v>
      </c>
      <c r="C4139" s="2">
        <v>46269.492650462998</v>
      </c>
      <c r="D4139" s="1" t="s">
        <v>24</v>
      </c>
      <c r="E4139" s="1"/>
      <c r="F4139" s="29">
        <v>46269</v>
      </c>
      <c r="G4139" s="29">
        <v>46269</v>
      </c>
      <c r="H4139" s="1" t="s">
        <v>51</v>
      </c>
      <c r="I4139" s="175" t="s">
        <v>9190</v>
      </c>
      <c r="J4139" s="175">
        <v>84856207273</v>
      </c>
      <c r="K4139" s="188" t="s">
        <v>9191</v>
      </c>
      <c r="L4139" s="62">
        <v>24245006</v>
      </c>
      <c r="M4139" s="30">
        <v>5219992633274</v>
      </c>
      <c r="N4139" s="172" t="s">
        <v>47</v>
      </c>
      <c r="O4139" s="43">
        <v>6597.97</v>
      </c>
      <c r="P4139" s="43">
        <v>879</v>
      </c>
      <c r="Q4139" s="230">
        <f>OfficeForms.Table[[#This Row],[ INFORMEDEPAGO ]]*0.3</f>
        <v>1979.3910000000001</v>
      </c>
      <c r="R4139" s="231">
        <f>(IF(O4139&lt;4172.98,0,MIN(O4139*0.3,O4139-4172.98)))-P4139</f>
        <v>1100.3910000000001</v>
      </c>
      <c r="S4139" s="78"/>
      <c r="T4139" s="1"/>
      <c r="U4139" s="97"/>
      <c r="V4139" s="1" t="s">
        <v>8316</v>
      </c>
      <c r="W4139" s="29">
        <v>46269</v>
      </c>
    </row>
    <row r="4140" spans="1:23">
      <c r="A4140">
        <v>2566</v>
      </c>
      <c r="B4140" s="2">
        <v>46269.465428240699</v>
      </c>
      <c r="C4140" s="2">
        <v>46269.493819444397</v>
      </c>
      <c r="D4140" s="1" t="s">
        <v>24</v>
      </c>
      <c r="E4140" s="1"/>
      <c r="F4140" s="29">
        <v>46269</v>
      </c>
      <c r="G4140" s="29">
        <v>46269</v>
      </c>
      <c r="H4140" s="1" t="s">
        <v>1625</v>
      </c>
      <c r="I4140" s="175" t="s">
        <v>9024</v>
      </c>
      <c r="J4140" s="175" t="s">
        <v>9025</v>
      </c>
      <c r="K4140" s="188" t="s">
        <v>9026</v>
      </c>
      <c r="L4140" s="62">
        <v>2</v>
      </c>
      <c r="M4140" s="30">
        <v>3342487603</v>
      </c>
      <c r="N4140" s="172" t="s">
        <v>32</v>
      </c>
      <c r="O4140" s="50">
        <v>3855.42</v>
      </c>
      <c r="P4140" s="97"/>
      <c r="Q4140" s="230">
        <f>OfficeForms.Table[[#This Row],[ INFORMEDEPAGO ]]*0.3</f>
        <v>1156.626</v>
      </c>
      <c r="R4140" s="231">
        <f>(IF(O4140&lt;4172.98,0,MIN(O4140*0.3,O4140-4172.98)))-P4140</f>
        <v>0</v>
      </c>
      <c r="S4140" s="78"/>
      <c r="T4140" s="1"/>
      <c r="U4140" s="97"/>
      <c r="V4140" s="1"/>
    </row>
    <row r="4141" spans="1:23">
      <c r="A4141">
        <v>2567</v>
      </c>
      <c r="B4141" s="2">
        <v>46269.492557870399</v>
      </c>
      <c r="C4141" s="2">
        <v>46269.495312500003</v>
      </c>
      <c r="D4141" s="1" t="s">
        <v>24</v>
      </c>
      <c r="E4141" s="1"/>
      <c r="F4141" s="29">
        <v>46269</v>
      </c>
      <c r="G4141" s="29">
        <v>46268</v>
      </c>
      <c r="H4141" s="1" t="s">
        <v>8253</v>
      </c>
      <c r="I4141" s="175" t="s">
        <v>9192</v>
      </c>
      <c r="J4141" s="175">
        <v>61816400958</v>
      </c>
      <c r="K4141" s="188" t="s">
        <v>9193</v>
      </c>
      <c r="L4141" s="62">
        <v>24226786</v>
      </c>
      <c r="M4141" s="30">
        <v>2462621079</v>
      </c>
      <c r="N4141" s="172" t="s">
        <v>106</v>
      </c>
      <c r="O4141" s="43">
        <v>15296.62</v>
      </c>
      <c r="P4141" s="43">
        <v>4233.8500000000004</v>
      </c>
      <c r="Q4141" s="230">
        <f>OfficeForms.Table[[#This Row],[ INFORMEDEPAGO ]]*0.3</f>
        <v>4588.9859999999999</v>
      </c>
      <c r="R4141" s="231">
        <f>(IF(O4141&lt;4172.98,0,MIN(O4141*0.3,O4141-4172.98)))-P4141</f>
        <v>355.13599999999951</v>
      </c>
      <c r="S4141" s="78">
        <v>46266</v>
      </c>
      <c r="T4141" s="1" t="s">
        <v>8696</v>
      </c>
      <c r="U4141" s="43">
        <v>3136.92</v>
      </c>
      <c r="V4141" s="1" t="s">
        <v>8936</v>
      </c>
      <c r="W4141" s="29">
        <v>46269</v>
      </c>
    </row>
    <row r="4142" spans="1:23">
      <c r="A4142">
        <v>2568</v>
      </c>
      <c r="B4142" s="2">
        <v>46269.495335648098</v>
      </c>
      <c r="C4142" s="2">
        <v>46269.498263888898</v>
      </c>
      <c r="D4142" s="1" t="s">
        <v>24</v>
      </c>
      <c r="E4142" s="1"/>
      <c r="F4142" s="29">
        <v>46269</v>
      </c>
      <c r="G4142" s="29">
        <v>46267</v>
      </c>
      <c r="H4142" s="1" t="s">
        <v>8253</v>
      </c>
      <c r="I4142" s="175" t="s">
        <v>9194</v>
      </c>
      <c r="J4142" s="175">
        <v>54764003239</v>
      </c>
      <c r="K4142" s="188" t="s">
        <v>9195</v>
      </c>
      <c r="L4142" s="62">
        <v>24188530</v>
      </c>
      <c r="M4142" s="30">
        <v>3221711370</v>
      </c>
      <c r="N4142" s="172" t="s">
        <v>32</v>
      </c>
      <c r="O4142" s="43">
        <v>3632.17</v>
      </c>
      <c r="P4142" s="43">
        <v>848</v>
      </c>
      <c r="Q4142" s="230">
        <f>OfficeForms.Table[[#This Row],[ INFORMEDEPAGO ]]*0.3</f>
        <v>1089.6510000000001</v>
      </c>
      <c r="R4142" s="231">
        <f>(IF(O4142&lt;4172.98,0,MIN(O4142*0.3,O4142-4172.98)))-P4142</f>
        <v>-848</v>
      </c>
      <c r="S4142" s="78"/>
      <c r="T4142" s="1"/>
      <c r="U4142" s="97"/>
      <c r="V4142" s="1"/>
    </row>
    <row r="4143" spans="1:23">
      <c r="A4143">
        <v>2569</v>
      </c>
      <c r="B4143" s="2">
        <v>46269.500439814801</v>
      </c>
      <c r="C4143" s="2">
        <v>46269.501504629603</v>
      </c>
      <c r="D4143" s="1" t="s">
        <v>24</v>
      </c>
      <c r="E4143" s="1"/>
      <c r="F4143" s="29">
        <v>46269</v>
      </c>
      <c r="G4143" s="29">
        <v>46268</v>
      </c>
      <c r="H4143" s="1" t="s">
        <v>8238</v>
      </c>
      <c r="I4143" s="175" t="s">
        <v>9196</v>
      </c>
      <c r="J4143" s="175">
        <v>32906734580</v>
      </c>
      <c r="K4143" s="188" t="s">
        <v>9197</v>
      </c>
      <c r="L4143" s="62">
        <v>24245182</v>
      </c>
      <c r="M4143" s="30">
        <v>8663302952</v>
      </c>
      <c r="N4143" s="172" t="s">
        <v>32</v>
      </c>
      <c r="O4143" s="50">
        <v>2140.6799999999998</v>
      </c>
      <c r="P4143" s="97"/>
      <c r="Q4143" s="230">
        <f>OfficeForms.Table[[#This Row],[ INFORMEDEPAGO ]]*0.3</f>
        <v>642.20399999999995</v>
      </c>
      <c r="R4143" s="231">
        <f>(IF(O4143&lt;4172.98,0,MIN(O4143*0.3,O4143-4172.98)))-P4143</f>
        <v>0</v>
      </c>
      <c r="S4143" s="78"/>
      <c r="T4143" s="1"/>
      <c r="U4143" s="97"/>
      <c r="V4143" s="1"/>
    </row>
    <row r="4144" spans="1:23">
      <c r="A4144">
        <v>2570</v>
      </c>
      <c r="B4144" s="2">
        <v>46269.490648148101</v>
      </c>
      <c r="C4144" s="2">
        <v>46269.512025463002</v>
      </c>
      <c r="D4144" s="1" t="s">
        <v>24</v>
      </c>
      <c r="E4144" s="1"/>
      <c r="F4144" s="29">
        <v>46269</v>
      </c>
      <c r="G4144" s="29">
        <v>46266</v>
      </c>
      <c r="H4144" s="1" t="s">
        <v>8721</v>
      </c>
      <c r="I4144" s="175" t="s">
        <v>9198</v>
      </c>
      <c r="J4144" s="175"/>
      <c r="K4144" s="188" t="s">
        <v>9199</v>
      </c>
      <c r="L4144" s="62">
        <v>24174338</v>
      </c>
      <c r="M4144" s="30">
        <v>5215532109007</v>
      </c>
      <c r="N4144" s="172" t="s">
        <v>98</v>
      </c>
      <c r="O4144" s="50"/>
      <c r="P4144" s="97"/>
      <c r="Q4144" s="230">
        <f>OfficeForms.Table[[#This Row],[ INFORMEDEPAGO ]]*0.3</f>
        <v>0</v>
      </c>
      <c r="R4144" s="231">
        <f>(IF(O4144&lt;4172.98,0,MIN(O4144*0.3,O4144-4172.98)))-P4144</f>
        <v>0</v>
      </c>
      <c r="S4144" s="78"/>
      <c r="T4144" s="1"/>
      <c r="U4144" s="97"/>
      <c r="V4144" s="1"/>
    </row>
    <row r="4145" spans="1:23">
      <c r="A4145">
        <v>2571</v>
      </c>
      <c r="B4145" s="2">
        <v>46269.477523148104</v>
      </c>
      <c r="C4145" s="2">
        <v>46269.524270833303</v>
      </c>
      <c r="D4145" s="1" t="s">
        <v>24</v>
      </c>
      <c r="E4145" s="1"/>
      <c r="F4145" s="29">
        <v>46269</v>
      </c>
      <c r="G4145" s="29">
        <v>46269</v>
      </c>
      <c r="H4145" s="1" t="s">
        <v>8381</v>
      </c>
      <c r="I4145" s="175" t="s">
        <v>9200</v>
      </c>
      <c r="J4145" s="175" t="s">
        <v>9201</v>
      </c>
      <c r="K4145" s="188" t="s">
        <v>9202</v>
      </c>
      <c r="L4145" s="62">
        <v>24246344</v>
      </c>
      <c r="M4145" s="30">
        <v>5213348123651</v>
      </c>
      <c r="N4145" s="172" t="s">
        <v>32</v>
      </c>
      <c r="O4145" s="50">
        <v>4465.47</v>
      </c>
      <c r="P4145" s="97"/>
      <c r="Q4145" s="230">
        <f>OfficeForms.Table[[#This Row],[ INFORMEDEPAGO ]]*0.3</f>
        <v>1339.6410000000001</v>
      </c>
      <c r="R4145" s="231">
        <f t="shared" ref="R4145:R4146" si="309">(IF(O4145&lt;4172.98,0,MIN(O4145*0.3,O4145-4172.98)))-P4145</f>
        <v>292.49000000000069</v>
      </c>
      <c r="S4145" s="78"/>
      <c r="T4145" s="1"/>
      <c r="U4145" s="97"/>
      <c r="V4145" s="1"/>
    </row>
    <row r="4146" spans="1:23">
      <c r="A4146">
        <v>2572</v>
      </c>
      <c r="B4146" s="2">
        <v>46269.522847222201</v>
      </c>
      <c r="C4146" s="2">
        <v>46269.524502314802</v>
      </c>
      <c r="D4146" s="1" t="s">
        <v>24</v>
      </c>
      <c r="E4146" s="1"/>
      <c r="F4146" s="29">
        <v>46269</v>
      </c>
      <c r="G4146" s="29">
        <v>46266</v>
      </c>
      <c r="H4146" s="1" t="s">
        <v>269</v>
      </c>
      <c r="I4146" s="175" t="s">
        <v>9203</v>
      </c>
      <c r="J4146" s="175" t="s">
        <v>9204</v>
      </c>
      <c r="K4146" s="188" t="s">
        <v>9205</v>
      </c>
      <c r="L4146" s="62">
        <v>24176964</v>
      </c>
      <c r="M4146" s="30">
        <v>5215568856619</v>
      </c>
      <c r="N4146" s="172" t="s">
        <v>130</v>
      </c>
      <c r="O4146" s="52">
        <v>19894.73</v>
      </c>
      <c r="P4146" s="52">
        <v>5587.79</v>
      </c>
      <c r="Q4146" s="230">
        <f>OfficeForms.Table[[#This Row],[ INFORMEDEPAGO ]]*0.3</f>
        <v>5968.4189999999999</v>
      </c>
      <c r="R4146" s="231">
        <f t="shared" si="309"/>
        <v>380.62899999999991</v>
      </c>
      <c r="S4146" s="78">
        <v>45689</v>
      </c>
      <c r="T4146" s="1" t="s">
        <v>6855</v>
      </c>
      <c r="U4146" s="97">
        <v>985</v>
      </c>
      <c r="V4146" s="1" t="s">
        <v>9185</v>
      </c>
      <c r="W4146" s="29">
        <v>46269</v>
      </c>
    </row>
    <row r="4147" spans="1:23">
      <c r="A4147">
        <v>2573</v>
      </c>
      <c r="B4147" s="2">
        <v>46269.523912037002</v>
      </c>
      <c r="C4147" s="2">
        <v>46269.534456018497</v>
      </c>
      <c r="D4147" s="1" t="s">
        <v>24</v>
      </c>
      <c r="E4147" s="1"/>
      <c r="F4147" s="29">
        <v>46269</v>
      </c>
      <c r="G4147" s="29">
        <v>46268</v>
      </c>
      <c r="H4147" s="1" t="s">
        <v>78</v>
      </c>
      <c r="I4147" s="175" t="s">
        <v>9206</v>
      </c>
      <c r="J4147" s="175">
        <v>33826608698</v>
      </c>
      <c r="K4147" s="188" t="s">
        <v>9207</v>
      </c>
      <c r="L4147" s="62">
        <v>24225990</v>
      </c>
      <c r="M4147" s="30">
        <v>5216141724550</v>
      </c>
      <c r="N4147" s="172" t="s">
        <v>28</v>
      </c>
      <c r="O4147" s="50">
        <v>10636.54</v>
      </c>
      <c r="P4147" s="97"/>
      <c r="Q4147" s="230">
        <f>OfficeForms.Table[[#This Row],[ INFORMEDEPAGO ]]*0.3</f>
        <v>3190.962</v>
      </c>
      <c r="R4147" s="231">
        <f>(IF(O4147&lt;4172.98,0,MIN(O4147*0.3,O4147-4172.98)))-P4147</f>
        <v>3190.962</v>
      </c>
      <c r="S4147" s="78"/>
      <c r="T4147" s="1"/>
      <c r="U4147" s="97"/>
      <c r="V4147" s="1" t="s">
        <v>8264</v>
      </c>
      <c r="W4147" s="29">
        <v>46269</v>
      </c>
    </row>
    <row r="4148" spans="1:23">
      <c r="A4148">
        <v>2574</v>
      </c>
      <c r="B4148" s="2">
        <v>46269.598472222198</v>
      </c>
      <c r="C4148" s="2">
        <v>46269.599004629599</v>
      </c>
      <c r="D4148" s="1" t="s">
        <v>24</v>
      </c>
      <c r="E4148" s="1"/>
      <c r="F4148" s="29">
        <v>46269</v>
      </c>
      <c r="G4148" s="29">
        <v>46269</v>
      </c>
      <c r="H4148" s="1" t="s">
        <v>269</v>
      </c>
      <c r="I4148" s="175" t="s">
        <v>9208</v>
      </c>
      <c r="J4148" s="207" t="s">
        <v>9209</v>
      </c>
      <c r="K4148" s="188" t="s">
        <v>9210</v>
      </c>
      <c r="L4148" s="62">
        <v>24245812</v>
      </c>
      <c r="M4148" s="30">
        <v>5213412624054</v>
      </c>
      <c r="N4148" s="172" t="s">
        <v>37</v>
      </c>
      <c r="O4148" s="52">
        <v>9081.52</v>
      </c>
      <c r="P4148" s="52">
        <v>2724.13</v>
      </c>
      <c r="Q4148" s="230">
        <f>OfficeForms.Table[[#This Row],[ INFORMEDEPAGO ]]*0.3</f>
        <v>2724.4560000000001</v>
      </c>
      <c r="R4148" s="231">
        <f>(IF(O4148&lt;4172.98,0,MIN(O4148*0.3,O4148-4172.98)))-P4148</f>
        <v>0.32600000000002183</v>
      </c>
      <c r="S4148" s="78">
        <v>46935</v>
      </c>
      <c r="T4148" s="1" t="s">
        <v>9097</v>
      </c>
      <c r="U4148" s="97">
        <v>2523</v>
      </c>
      <c r="V4148" s="1"/>
    </row>
    <row r="4149" spans="1:23">
      <c r="A4149">
        <v>2575</v>
      </c>
      <c r="B4149" s="2">
        <v>46269.595451388901</v>
      </c>
      <c r="C4149" s="2">
        <v>46269.609479166698</v>
      </c>
      <c r="D4149" s="1" t="s">
        <v>24</v>
      </c>
      <c r="E4149" s="1"/>
      <c r="F4149" s="29">
        <v>46269</v>
      </c>
      <c r="G4149" s="29">
        <v>46268</v>
      </c>
      <c r="H4149" s="1" t="s">
        <v>51</v>
      </c>
      <c r="I4149" s="175" t="s">
        <v>9211</v>
      </c>
      <c r="J4149" s="207">
        <v>14816507348</v>
      </c>
      <c r="K4149" s="188" t="s">
        <v>9212</v>
      </c>
      <c r="L4149" s="62">
        <v>24228012</v>
      </c>
      <c r="M4149" s="30">
        <v>5214424473350</v>
      </c>
      <c r="N4149" s="172" t="s">
        <v>37</v>
      </c>
      <c r="O4149" s="52">
        <v>9760.32</v>
      </c>
      <c r="P4149" s="52">
        <v>2809.95</v>
      </c>
      <c r="Q4149" s="230">
        <f>OfficeForms.Table[[#This Row],[ INFORMEDEPAGO ]]*0.3</f>
        <v>2928.096</v>
      </c>
      <c r="R4149" s="231">
        <f t="shared" ref="R4149:R4151" si="310">(IF(O4149&lt;4172.98,0,MIN(O4149*0.3,O4149-4172.98)))-P4149</f>
        <v>118.14600000000019</v>
      </c>
      <c r="S4149" s="78">
        <v>46692</v>
      </c>
      <c r="T4149" s="1" t="s">
        <v>192</v>
      </c>
      <c r="U4149" s="97">
        <v>2809.95</v>
      </c>
      <c r="V4149" s="1"/>
    </row>
    <row r="4150" spans="1:23">
      <c r="A4150">
        <v>2576</v>
      </c>
      <c r="B4150" s="2">
        <v>46269.534629629597</v>
      </c>
      <c r="C4150" s="2">
        <v>46269.610520833303</v>
      </c>
      <c r="D4150" s="1" t="s">
        <v>24</v>
      </c>
      <c r="E4150" s="1"/>
      <c r="F4150" s="29">
        <v>46269</v>
      </c>
      <c r="G4150" s="29">
        <v>46269</v>
      </c>
      <c r="H4150" s="1" t="s">
        <v>78</v>
      </c>
      <c r="I4150" s="175" t="s">
        <v>9213</v>
      </c>
      <c r="J4150" s="207" t="s">
        <v>9214</v>
      </c>
      <c r="K4150" s="188" t="s">
        <v>9215</v>
      </c>
      <c r="L4150" s="119">
        <v>24244374</v>
      </c>
      <c r="M4150" s="30">
        <v>5214443030485</v>
      </c>
      <c r="N4150" s="172" t="s">
        <v>47</v>
      </c>
      <c r="O4150" s="52">
        <v>35760.720000000001</v>
      </c>
      <c r="P4150" s="52">
        <v>9897.2900000000009</v>
      </c>
      <c r="Q4150" s="230">
        <f>OfficeForms.Table[[#This Row],[ INFORMEDEPAGO ]]*0.3</f>
        <v>10728.216</v>
      </c>
      <c r="R4150" s="231">
        <f t="shared" si="310"/>
        <v>830.92599999999948</v>
      </c>
      <c r="S4150" s="78">
        <v>46388</v>
      </c>
      <c r="T4150" s="1" t="s">
        <v>7516</v>
      </c>
      <c r="U4150" s="97">
        <v>9897.2900000000009</v>
      </c>
      <c r="V4150" s="1" t="s">
        <v>8316</v>
      </c>
      <c r="W4150" s="29">
        <v>46269</v>
      </c>
    </row>
    <row r="4151" spans="1:23">
      <c r="A4151">
        <v>2577</v>
      </c>
      <c r="B4151" s="2">
        <v>46269.610694444404</v>
      </c>
      <c r="C4151" s="2">
        <v>46269.611238425903</v>
      </c>
      <c r="D4151" s="1" t="s">
        <v>24</v>
      </c>
      <c r="E4151" s="1"/>
      <c r="F4151" s="29">
        <v>46269</v>
      </c>
      <c r="G4151" s="29">
        <v>46269</v>
      </c>
      <c r="H4151" s="1" t="s">
        <v>269</v>
      </c>
      <c r="I4151" s="175" t="s">
        <v>9216</v>
      </c>
      <c r="J4151" s="207" t="s">
        <v>9217</v>
      </c>
      <c r="K4151" s="188" t="s">
        <v>9218</v>
      </c>
      <c r="L4151" s="62">
        <v>24249284</v>
      </c>
      <c r="M4151" s="30">
        <v>5212223303622</v>
      </c>
      <c r="N4151" s="172" t="s">
        <v>263</v>
      </c>
      <c r="O4151" s="52">
        <v>48861.279999999999</v>
      </c>
      <c r="P4151" s="52">
        <v>14648.88</v>
      </c>
      <c r="Q4151" s="230">
        <f>OfficeForms.Table[[#This Row],[ INFORMEDEPAGO ]]*0.3</f>
        <v>14658.384</v>
      </c>
      <c r="R4151" s="231">
        <f t="shared" si="310"/>
        <v>9.5040000000008149</v>
      </c>
      <c r="S4151" s="78">
        <v>46266</v>
      </c>
      <c r="T4151" s="1" t="s">
        <v>259</v>
      </c>
      <c r="U4151" s="97">
        <v>11137.34</v>
      </c>
      <c r="V4151" s="1" t="s">
        <v>8291</v>
      </c>
      <c r="W4151" s="29">
        <v>46269</v>
      </c>
    </row>
    <row r="4152" spans="1:23">
      <c r="A4152">
        <v>2578</v>
      </c>
      <c r="B4152" s="2">
        <v>46269.627673611103</v>
      </c>
      <c r="C4152" s="2">
        <v>46269.631006944401</v>
      </c>
      <c r="D4152" s="1" t="s">
        <v>24</v>
      </c>
      <c r="E4152" s="1"/>
      <c r="F4152" s="29">
        <v>46269</v>
      </c>
      <c r="G4152" s="29">
        <v>46269</v>
      </c>
      <c r="H4152" s="1" t="s">
        <v>51</v>
      </c>
      <c r="I4152" s="175" t="s">
        <v>9219</v>
      </c>
      <c r="J4152" s="207"/>
      <c r="K4152" s="188" t="s">
        <v>9220</v>
      </c>
      <c r="L4152" s="62">
        <v>24249576</v>
      </c>
      <c r="M4152" s="30">
        <v>5214434847427</v>
      </c>
      <c r="N4152" s="172" t="s">
        <v>28</v>
      </c>
      <c r="O4152" s="50">
        <v>15040.24</v>
      </c>
      <c r="P4152" s="97"/>
      <c r="Q4152" s="230">
        <f>OfficeForms.Table[[#This Row],[ INFORMEDEPAGO ]]*0.3</f>
        <v>4512.0720000000001</v>
      </c>
      <c r="R4152" s="231">
        <f t="shared" ref="R4152" si="311">(IF(O4152&lt;4172.98,0,MIN(O4152*0.3,O4152-4172.98)))-P4152</f>
        <v>4512.0720000000001</v>
      </c>
      <c r="S4152" s="78"/>
      <c r="T4152" s="1"/>
      <c r="U4152" s="97"/>
      <c r="V4152" s="1" t="s">
        <v>8436</v>
      </c>
      <c r="W4152" s="29">
        <v>46269</v>
      </c>
    </row>
    <row r="4153" spans="1:23">
      <c r="A4153">
        <v>2579</v>
      </c>
      <c r="B4153" s="2">
        <v>46269.639120370397</v>
      </c>
      <c r="C4153" s="2">
        <v>46269.640011574098</v>
      </c>
      <c r="D4153" s="1" t="s">
        <v>24</v>
      </c>
      <c r="E4153" s="1"/>
      <c r="F4153" s="29">
        <v>46269</v>
      </c>
      <c r="G4153" s="29">
        <v>46268</v>
      </c>
      <c r="H4153" s="1" t="s">
        <v>8238</v>
      </c>
      <c r="I4153" s="175" t="s">
        <v>9221</v>
      </c>
      <c r="J4153" s="207"/>
      <c r="K4153" s="188" t="s">
        <v>9222</v>
      </c>
      <c r="L4153" s="62">
        <v>24250350</v>
      </c>
      <c r="M4153" s="30">
        <v>4961422856</v>
      </c>
      <c r="N4153" s="172" t="s">
        <v>37</v>
      </c>
      <c r="O4153" s="43">
        <v>9871.9500000000007</v>
      </c>
      <c r="P4153" s="43">
        <v>2856</v>
      </c>
      <c r="Q4153" s="230">
        <f>OfficeForms.Table[[#This Row],[ INFORMEDEPAGO ]]*0.3</f>
        <v>2961.585</v>
      </c>
      <c r="R4153" s="231">
        <f>(IF(O4153&lt;4172.98,0,MIN(O4153*0.3,O4153-4172.98)))-P4153</f>
        <v>105.58500000000004</v>
      </c>
      <c r="S4153" s="78">
        <v>46600</v>
      </c>
      <c r="T4153" s="1" t="s">
        <v>7516</v>
      </c>
      <c r="U4153" s="97">
        <v>2856</v>
      </c>
      <c r="V4153" s="1"/>
    </row>
    <row r="4154" spans="1:23">
      <c r="A4154">
        <v>2580</v>
      </c>
      <c r="B4154" s="2">
        <v>46269.640439814801</v>
      </c>
      <c r="C4154" s="2">
        <v>46269.641828703701</v>
      </c>
      <c r="D4154" s="1" t="s">
        <v>24</v>
      </c>
      <c r="E4154" s="1"/>
      <c r="F4154" s="29">
        <v>46269</v>
      </c>
      <c r="G4154" s="29">
        <v>46226</v>
      </c>
      <c r="H4154" s="1" t="s">
        <v>269</v>
      </c>
      <c r="I4154" s="175" t="s">
        <v>9223</v>
      </c>
      <c r="J4154" s="207" t="s">
        <v>9224</v>
      </c>
      <c r="K4154" s="188" t="s">
        <v>9225</v>
      </c>
      <c r="L4154" s="62">
        <v>23025172</v>
      </c>
      <c r="M4154" s="30">
        <v>5217291270011</v>
      </c>
      <c r="N4154" s="172" t="s">
        <v>37</v>
      </c>
      <c r="O4154" s="43">
        <v>5617.63</v>
      </c>
      <c r="P4154" s="43">
        <v>1421.31</v>
      </c>
      <c r="Q4154" s="230">
        <f>OfficeForms.Table[[#This Row],[ INFORMEDEPAGO ]]*0.3</f>
        <v>1685.289</v>
      </c>
      <c r="R4154" s="231">
        <f>(IF(O4154&lt;4172.98,0,MIN(O4154*0.3,O4154-4172.98)))-P4154</f>
        <v>23.3400000000006</v>
      </c>
      <c r="S4154" s="78">
        <v>46874</v>
      </c>
      <c r="T4154" s="1" t="s">
        <v>178</v>
      </c>
      <c r="U4154" s="97">
        <v>1421.31</v>
      </c>
      <c r="V4154" s="1"/>
    </row>
    <row r="4155" spans="1:23">
      <c r="A4155">
        <v>2581</v>
      </c>
      <c r="B4155" s="2">
        <v>46269.524317129602</v>
      </c>
      <c r="C4155" s="2">
        <v>46269.646481481497</v>
      </c>
      <c r="D4155" s="1" t="s">
        <v>24</v>
      </c>
      <c r="E4155" s="1"/>
      <c r="F4155" s="29">
        <v>46269</v>
      </c>
      <c r="G4155" s="29">
        <v>46269</v>
      </c>
      <c r="H4155" s="1" t="s">
        <v>8381</v>
      </c>
      <c r="I4155" s="175" t="s">
        <v>9226</v>
      </c>
      <c r="J4155" s="207"/>
      <c r="K4155" s="188" t="s">
        <v>9227</v>
      </c>
      <c r="L4155" s="62">
        <v>24234396</v>
      </c>
      <c r="M4155" s="30">
        <v>5215536432694</v>
      </c>
      <c r="N4155" s="172" t="s">
        <v>28</v>
      </c>
      <c r="O4155" s="50">
        <v>10636.54</v>
      </c>
      <c r="P4155" s="97"/>
      <c r="Q4155" s="230">
        <f>OfficeForms.Table[[#This Row],[ INFORMEDEPAGO ]]*0.3</f>
        <v>3190.962</v>
      </c>
      <c r="R4155" s="231">
        <f>(IF(O4155&lt;4172.98,0,MIN(O4155*0.3,O4155-4172.98)))-P4155</f>
        <v>3190.962</v>
      </c>
      <c r="S4155" s="78"/>
      <c r="T4155" s="1"/>
      <c r="U4155" s="97"/>
      <c r="V4155" s="1" t="s">
        <v>8436</v>
      </c>
      <c r="W4155" s="29">
        <v>46269</v>
      </c>
    </row>
    <row r="4156" spans="1:23">
      <c r="A4156">
        <v>2582</v>
      </c>
      <c r="B4156" s="2">
        <v>46269.646423611099</v>
      </c>
      <c r="C4156" s="2">
        <v>46269.646898148101</v>
      </c>
      <c r="D4156" s="1" t="s">
        <v>24</v>
      </c>
      <c r="E4156" s="1"/>
      <c r="F4156" s="29">
        <v>46269</v>
      </c>
      <c r="G4156" s="29">
        <v>46267</v>
      </c>
      <c r="H4156" s="1" t="s">
        <v>8721</v>
      </c>
      <c r="I4156" s="175" t="s">
        <v>9228</v>
      </c>
      <c r="J4156" s="207" t="s">
        <v>9229</v>
      </c>
      <c r="K4156" s="188" t="s">
        <v>9230</v>
      </c>
      <c r="L4156" s="62">
        <v>24205614</v>
      </c>
      <c r="M4156" s="30">
        <v>5218123901987</v>
      </c>
      <c r="N4156" s="172" t="s">
        <v>37</v>
      </c>
      <c r="O4156" s="43">
        <v>9081.52</v>
      </c>
      <c r="P4156" s="43">
        <v>2717.41</v>
      </c>
      <c r="Q4156" s="230">
        <f>OfficeForms.Table[[#This Row],[ INFORMEDEPAGO ]]*0.3</f>
        <v>2724.4560000000001</v>
      </c>
      <c r="R4156" s="231">
        <f>(IF(O4156&lt;4172.98,0,MIN(O4156*0.3,O4156-4172.98)))-P4156</f>
        <v>7.0460000000002765</v>
      </c>
      <c r="S4156" s="78">
        <v>46935</v>
      </c>
      <c r="T4156" s="1" t="s">
        <v>7209</v>
      </c>
      <c r="U4156" s="97">
        <v>1838.41</v>
      </c>
      <c r="V4156" s="1"/>
    </row>
    <row r="4157" spans="1:23">
      <c r="A4157">
        <v>2583</v>
      </c>
      <c r="B4157" s="2">
        <v>46269.647164351903</v>
      </c>
      <c r="C4157" s="2">
        <v>46269.652326388903</v>
      </c>
      <c r="D4157" s="1" t="s">
        <v>24</v>
      </c>
      <c r="E4157" s="1"/>
      <c r="F4157" s="29">
        <v>46269</v>
      </c>
      <c r="G4157" s="29">
        <v>46269</v>
      </c>
      <c r="H4157" s="1" t="s">
        <v>8381</v>
      </c>
      <c r="I4157" s="175" t="s">
        <v>9231</v>
      </c>
      <c r="J4157" s="207"/>
      <c r="K4157" s="188" t="s">
        <v>9232</v>
      </c>
      <c r="L4157" s="62">
        <v>24244968</v>
      </c>
      <c r="M4157" s="30">
        <v>5216444611461</v>
      </c>
      <c r="N4157" s="172" t="s">
        <v>28</v>
      </c>
      <c r="O4157" s="52">
        <v>10636.54</v>
      </c>
      <c r="P4157" s="52">
        <v>1838.87</v>
      </c>
      <c r="Q4157" s="230">
        <f>OfficeForms.Table[[#This Row],[ INFORMEDEPAGO ]]*0.3</f>
        <v>3190.962</v>
      </c>
      <c r="R4157" s="231">
        <f>(IF(O4157&lt;4172.98,0,MIN(O4157*0.3,O4157-4172.98)))-P4157</f>
        <v>1352.0920000000001</v>
      </c>
      <c r="S4157" s="78">
        <v>46905</v>
      </c>
      <c r="T4157" s="1" t="s">
        <v>8696</v>
      </c>
      <c r="U4157" s="52">
        <v>1838.87</v>
      </c>
      <c r="V4157" s="1" t="s">
        <v>8356</v>
      </c>
      <c r="W4157" s="29">
        <v>46269</v>
      </c>
    </row>
    <row r="4158" spans="1:23">
      <c r="A4158">
        <v>2584</v>
      </c>
      <c r="B4158" s="2">
        <v>46269.654745370397</v>
      </c>
      <c r="C4158" s="2">
        <v>46269.667500000003</v>
      </c>
      <c r="D4158" s="1" t="s">
        <v>24</v>
      </c>
      <c r="E4158" s="1"/>
      <c r="F4158" s="29">
        <v>46269</v>
      </c>
      <c r="G4158" s="29">
        <v>46267</v>
      </c>
      <c r="H4158" s="1" t="s">
        <v>51</v>
      </c>
      <c r="I4158" s="175" t="s">
        <v>9233</v>
      </c>
      <c r="J4158" s="207">
        <v>34905700042</v>
      </c>
      <c r="K4158" s="188" t="s">
        <v>9234</v>
      </c>
      <c r="L4158" s="62">
        <v>24201508</v>
      </c>
      <c r="M4158" s="30">
        <v>5214923818277</v>
      </c>
      <c r="N4158" s="172" t="s">
        <v>37</v>
      </c>
      <c r="O4158" s="43">
        <v>11062.61</v>
      </c>
      <c r="P4158" s="43">
        <v>3318.29</v>
      </c>
      <c r="Q4158" s="230">
        <f>OfficeForms.Table[[#This Row],[ INFORMEDEPAGO ]]*0.3</f>
        <v>3318.7829999999999</v>
      </c>
      <c r="R4158" s="231">
        <f>(IF(O4158&lt;4172.98,0,MIN(O4158*0.3,O4158-4172.98)))-P4158</f>
        <v>0.49299999999993815</v>
      </c>
      <c r="S4158" s="78">
        <v>46296</v>
      </c>
      <c r="T4158" s="1" t="s">
        <v>259</v>
      </c>
      <c r="U4158" s="97">
        <v>2507.29</v>
      </c>
      <c r="V4158" s="1"/>
    </row>
    <row r="4159" spans="1:23">
      <c r="A4159">
        <v>2585</v>
      </c>
      <c r="B4159" s="2">
        <v>46269.667939814797</v>
      </c>
      <c r="C4159" s="2">
        <v>46269.669502314799</v>
      </c>
      <c r="D4159" s="1" t="s">
        <v>24</v>
      </c>
      <c r="E4159" s="1"/>
      <c r="F4159" s="29">
        <v>46269</v>
      </c>
      <c r="G4159" s="29">
        <v>46268</v>
      </c>
      <c r="H4159" s="1" t="s">
        <v>8238</v>
      </c>
      <c r="I4159" s="175" t="s">
        <v>9235</v>
      </c>
      <c r="J4159" s="207"/>
      <c r="K4159" s="188" t="s">
        <v>9236</v>
      </c>
      <c r="L4159" s="62">
        <v>24247884</v>
      </c>
      <c r="M4159" s="30">
        <v>8715016732</v>
      </c>
      <c r="N4159" s="172" t="s">
        <v>28</v>
      </c>
      <c r="O4159" s="50">
        <v>9760.32</v>
      </c>
      <c r="P4159" s="97"/>
      <c r="Q4159" s="230">
        <f>OfficeForms.Table[[#This Row],[ INFORMEDEPAGO ]]*0.3</f>
        <v>2928.096</v>
      </c>
      <c r="R4159" s="231">
        <f>(IF(O4159&lt;4172.98,0,MIN(O4159*0.3,O4159-4172.98)))-P4159</f>
        <v>2928.096</v>
      </c>
      <c r="S4159" s="78"/>
      <c r="T4159" s="1"/>
      <c r="U4159" s="97"/>
      <c r="V4159" s="1" t="s">
        <v>8280</v>
      </c>
      <c r="W4159" s="29">
        <v>46269</v>
      </c>
    </row>
    <row r="4160" spans="1:23">
      <c r="A4160">
        <v>2586</v>
      </c>
      <c r="B4160" s="2">
        <v>46269.652361111097</v>
      </c>
      <c r="C4160" s="2">
        <v>46269.674386574101</v>
      </c>
      <c r="D4160" s="1" t="s">
        <v>24</v>
      </c>
      <c r="E4160" s="1"/>
      <c r="F4160" s="29">
        <v>46269</v>
      </c>
      <c r="G4160" s="29">
        <v>46269</v>
      </c>
      <c r="H4160" s="1" t="s">
        <v>8381</v>
      </c>
      <c r="I4160" s="175" t="s">
        <v>9237</v>
      </c>
      <c r="J4160" s="207" t="s">
        <v>9238</v>
      </c>
      <c r="K4160" s="188" t="s">
        <v>9239</v>
      </c>
      <c r="L4160" s="62">
        <v>24245900</v>
      </c>
      <c r="M4160" s="30">
        <v>5216866048273</v>
      </c>
      <c r="N4160" s="172" t="s">
        <v>32</v>
      </c>
      <c r="O4160" s="50">
        <v>3904.19</v>
      </c>
      <c r="P4160" s="97"/>
      <c r="Q4160" s="230">
        <f>OfficeForms.Table[[#This Row],[ INFORMEDEPAGO ]]*0.3</f>
        <v>1171.2570000000001</v>
      </c>
      <c r="R4160" s="231">
        <f>(IF(O4160&lt;4172.98,0,MIN(O4160*0.3,O4160-4172.98)))-P4160</f>
        <v>0</v>
      </c>
      <c r="S4160" s="78"/>
      <c r="T4160" s="1"/>
      <c r="U4160" s="97"/>
      <c r="V4160" s="1"/>
    </row>
    <row r="4161" spans="1:23">
      <c r="A4161">
        <v>2587</v>
      </c>
      <c r="B4161" s="2">
        <v>46269.6469560185</v>
      </c>
      <c r="C4161" s="2">
        <v>46269.675868055601</v>
      </c>
      <c r="D4161" s="1" t="s">
        <v>24</v>
      </c>
      <c r="E4161" s="1"/>
      <c r="F4161" s="29">
        <v>46269</v>
      </c>
      <c r="G4161" s="29">
        <v>46269</v>
      </c>
      <c r="H4161" s="1" t="s">
        <v>8721</v>
      </c>
      <c r="I4161" s="175" t="s">
        <v>9240</v>
      </c>
      <c r="J4161" s="207" t="s">
        <v>9241</v>
      </c>
      <c r="K4161" s="188" t="s">
        <v>9242</v>
      </c>
      <c r="L4161" s="62">
        <v>24251174</v>
      </c>
      <c r="M4161" s="30">
        <v>5217721643716</v>
      </c>
      <c r="N4161" s="172" t="s">
        <v>32</v>
      </c>
      <c r="O4161" s="50">
        <v>821.1</v>
      </c>
      <c r="P4161" s="97"/>
      <c r="Q4161" s="230">
        <f>OfficeForms.Table[[#This Row],[ INFORMEDEPAGO ]]*0.3</f>
        <v>246.32999999999998</v>
      </c>
      <c r="R4161" s="231">
        <f>(IF(O4161&lt;4172.98,0,MIN(O4161*0.3,O4161-4172.98)))-P4161</f>
        <v>0</v>
      </c>
      <c r="S4161" s="78"/>
      <c r="T4161" s="1"/>
      <c r="U4161" s="97"/>
      <c r="V4161" s="1"/>
    </row>
    <row r="4162" spans="1:23">
      <c r="A4162">
        <v>2588</v>
      </c>
      <c r="B4162" s="2">
        <v>46269.493865740696</v>
      </c>
      <c r="C4162" s="2">
        <v>46269.677499999998</v>
      </c>
      <c r="D4162" s="1" t="s">
        <v>24</v>
      </c>
      <c r="E4162" s="1"/>
      <c r="F4162" s="29">
        <v>46269</v>
      </c>
      <c r="G4162" s="29">
        <v>46269</v>
      </c>
      <c r="H4162" s="1" t="s">
        <v>1625</v>
      </c>
      <c r="I4162" s="175" t="s">
        <v>9243</v>
      </c>
      <c r="J4162" s="207">
        <v>65846040247</v>
      </c>
      <c r="K4162" s="188" t="s">
        <v>9244</v>
      </c>
      <c r="L4162" s="62">
        <v>2</v>
      </c>
      <c r="M4162" s="30">
        <v>4437310778</v>
      </c>
      <c r="N4162" s="172" t="s">
        <v>37</v>
      </c>
      <c r="O4162" s="43">
        <v>9081.52</v>
      </c>
      <c r="P4162" s="43">
        <v>2627.5</v>
      </c>
      <c r="Q4162" s="230">
        <f>OfficeForms.Table[[#This Row],[ INFORMEDEPAGO ]]*0.3</f>
        <v>2724.4560000000001</v>
      </c>
      <c r="R4162" s="231">
        <f>(IF(O4162&lt;4172.98,0,MIN(O4162*0.3,O4162-4172.98)))-P4162</f>
        <v>96.956000000000131</v>
      </c>
      <c r="S4162" s="78">
        <v>46447</v>
      </c>
      <c r="T4162" s="1" t="s">
        <v>7209</v>
      </c>
      <c r="U4162" s="43">
        <v>2627.5</v>
      </c>
      <c r="V4162" s="1"/>
    </row>
    <row r="4163" spans="1:23">
      <c r="A4163">
        <v>2589</v>
      </c>
      <c r="B4163" s="2">
        <v>46269.653032407397</v>
      </c>
      <c r="C4163" s="2">
        <v>46269.678958333301</v>
      </c>
      <c r="D4163" s="1" t="s">
        <v>24</v>
      </c>
      <c r="E4163" s="1"/>
      <c r="F4163" s="29">
        <v>46269</v>
      </c>
      <c r="G4163" s="29">
        <v>46269</v>
      </c>
      <c r="H4163" s="1" t="s">
        <v>78</v>
      </c>
      <c r="I4163" s="175" t="s">
        <v>9245</v>
      </c>
      <c r="J4163" s="207">
        <v>41826503785</v>
      </c>
      <c r="K4163" s="188" t="s">
        <v>9246</v>
      </c>
      <c r="L4163" s="62">
        <v>24247082</v>
      </c>
      <c r="M4163" s="30">
        <v>5214422847086</v>
      </c>
      <c r="N4163" s="172" t="s">
        <v>37</v>
      </c>
      <c r="O4163" s="43">
        <v>10636.54</v>
      </c>
      <c r="P4163" s="43">
        <v>3190.96</v>
      </c>
      <c r="Q4163" s="230">
        <f>OfficeForms.Table[[#This Row],[ INFORMEDEPAGO ]]*0.3</f>
        <v>3190.962</v>
      </c>
      <c r="R4163" s="231">
        <f>(IF(O4163&lt;4172.98,0,MIN(O4163*0.3,O4163-4172.98)))-P4163</f>
        <v>1.9999999999527063E-3</v>
      </c>
      <c r="S4163" s="78">
        <v>46905</v>
      </c>
      <c r="T4163" s="1" t="s">
        <v>178</v>
      </c>
      <c r="U4163" s="97">
        <v>927.45</v>
      </c>
      <c r="V4163" s="1"/>
    </row>
    <row r="4164" spans="1:23">
      <c r="A4164">
        <v>2590</v>
      </c>
      <c r="B4164" s="2">
        <v>46269.652997685203</v>
      </c>
      <c r="C4164" s="2">
        <v>46269.679988425902</v>
      </c>
      <c r="D4164" s="1" t="s">
        <v>24</v>
      </c>
      <c r="E4164" s="1"/>
      <c r="F4164" s="29">
        <v>46269</v>
      </c>
      <c r="G4164" s="29">
        <v>46269</v>
      </c>
      <c r="H4164" s="1" t="s">
        <v>78</v>
      </c>
      <c r="I4164" s="175" t="s">
        <v>9247</v>
      </c>
      <c r="J4164" s="207">
        <v>43735622813</v>
      </c>
      <c r="K4164" s="188" t="s">
        <v>9248</v>
      </c>
      <c r="L4164" s="62">
        <v>24245454</v>
      </c>
      <c r="M4164" s="30">
        <v>5218126291327</v>
      </c>
      <c r="N4164" s="172" t="s">
        <v>37</v>
      </c>
      <c r="O4164" s="43">
        <v>40600.03</v>
      </c>
      <c r="P4164" s="43">
        <v>12192.81</v>
      </c>
      <c r="Q4164" s="230">
        <f>OfficeForms.Table[[#This Row],[ INFORMEDEPAGO ]]*0.3</f>
        <v>12180.009</v>
      </c>
      <c r="R4164" s="231">
        <f>(IF(O4164&lt;4172.98,0,MIN(O4164*0.3,O4164-4172.98)))-P4164</f>
        <v>-12.800999999999476</v>
      </c>
      <c r="S4164" s="78">
        <v>46569</v>
      </c>
      <c r="T4164" s="1" t="s">
        <v>259</v>
      </c>
      <c r="U4164" s="97">
        <v>1101.67</v>
      </c>
      <c r="V4164" s="1"/>
    </row>
    <row r="4165" spans="1:23">
      <c r="A4165">
        <v>2591</v>
      </c>
      <c r="B4165" s="2">
        <v>46269.678888888899</v>
      </c>
      <c r="C4165" s="2">
        <v>46269.6800462963</v>
      </c>
      <c r="D4165" s="1" t="s">
        <v>24</v>
      </c>
      <c r="E4165" s="1"/>
      <c r="F4165" s="29">
        <v>46269</v>
      </c>
      <c r="G4165" s="29">
        <v>46267</v>
      </c>
      <c r="H4165" s="1" t="s">
        <v>8238</v>
      </c>
      <c r="I4165" s="175" t="s">
        <v>9249</v>
      </c>
      <c r="J4165" s="207"/>
      <c r="K4165" s="188" t="s">
        <v>9250</v>
      </c>
      <c r="L4165" s="62">
        <v>24188300</v>
      </c>
      <c r="M4165" s="30">
        <v>9994168549</v>
      </c>
      <c r="N4165" s="172" t="s">
        <v>47</v>
      </c>
      <c r="O4165" s="43">
        <v>57164.22</v>
      </c>
      <c r="P4165" s="43">
        <v>16537.990000000002</v>
      </c>
      <c r="Q4165" s="230">
        <f>OfficeForms.Table[[#This Row],[ INFORMEDEPAGO ]]*0.3</f>
        <v>17149.266</v>
      </c>
      <c r="R4165" s="231">
        <f>(IF(O4165&lt;4172.98,0,MIN(O4165*0.3,O4165-4172.98)))-P4165</f>
        <v>611.27599999999802</v>
      </c>
      <c r="S4165" s="78">
        <v>46661</v>
      </c>
      <c r="T4165" s="1" t="s">
        <v>8696</v>
      </c>
      <c r="U4165" s="97">
        <v>16537.990000000002</v>
      </c>
      <c r="V4165" s="1" t="s">
        <v>8316</v>
      </c>
      <c r="W4165" s="29">
        <v>46269</v>
      </c>
    </row>
    <row r="4166" spans="1:23">
      <c r="A4166">
        <v>2592</v>
      </c>
      <c r="B4166" s="2">
        <v>46269.677523148101</v>
      </c>
      <c r="C4166" s="2">
        <v>46269.6853819444</v>
      </c>
      <c r="D4166" s="1" t="s">
        <v>24</v>
      </c>
      <c r="E4166" s="1"/>
      <c r="F4166" s="29">
        <v>46269</v>
      </c>
      <c r="G4166" s="29">
        <v>46269</v>
      </c>
      <c r="H4166" s="1" t="s">
        <v>1625</v>
      </c>
      <c r="I4166" s="175" t="s">
        <v>9251</v>
      </c>
      <c r="J4166" s="207">
        <v>43765727177</v>
      </c>
      <c r="K4166" s="188" t="s">
        <v>9252</v>
      </c>
      <c r="L4166" s="62">
        <v>2</v>
      </c>
      <c r="M4166" s="30">
        <v>8110159797</v>
      </c>
      <c r="N4166" s="172" t="s">
        <v>37</v>
      </c>
      <c r="O4166" s="43">
        <v>13454.28</v>
      </c>
      <c r="P4166" s="43">
        <v>3888.79</v>
      </c>
      <c r="Q4166" s="230">
        <f>OfficeForms.Table[[#This Row],[ INFORMEDEPAGO ]]*0.3</f>
        <v>4036.2840000000001</v>
      </c>
      <c r="R4166" s="231">
        <f>(IF(O4166&lt;4172.98,0,MIN(O4166*0.3,O4166-4172.98)))-P4166</f>
        <v>147.49400000000014</v>
      </c>
      <c r="S4166" s="78">
        <v>46478</v>
      </c>
      <c r="T4166" s="1" t="s">
        <v>7209</v>
      </c>
      <c r="U4166" s="97">
        <v>3048.22</v>
      </c>
      <c r="V4166" s="1"/>
    </row>
    <row r="4167" spans="1:23">
      <c r="A4167">
        <v>2593</v>
      </c>
      <c r="B4167" s="2">
        <v>46269.685405092598</v>
      </c>
      <c r="C4167" s="2">
        <v>46269.6878587963</v>
      </c>
      <c r="D4167" s="1" t="s">
        <v>24</v>
      </c>
      <c r="E4167" s="1"/>
      <c r="F4167" s="29">
        <v>46269</v>
      </c>
      <c r="G4167" s="29">
        <v>46269</v>
      </c>
      <c r="H4167" s="1" t="s">
        <v>1625</v>
      </c>
      <c r="I4167" s="175" t="s">
        <v>9253</v>
      </c>
      <c r="J4167" s="207">
        <v>14866306385</v>
      </c>
      <c r="K4167" s="188" t="s">
        <v>9254</v>
      </c>
      <c r="L4167" s="62">
        <v>2</v>
      </c>
      <c r="M4167" s="30">
        <v>4423648678</v>
      </c>
      <c r="N4167" s="172" t="s">
        <v>37</v>
      </c>
      <c r="O4167" s="43">
        <v>10171.24</v>
      </c>
      <c r="P4167" s="43">
        <v>2942.69</v>
      </c>
      <c r="Q4167" s="230">
        <f>OfficeForms.Table[[#This Row],[ INFORMEDEPAGO ]]*0.3</f>
        <v>3051.3719999999998</v>
      </c>
      <c r="R4167" s="231">
        <f>(IF(O4167&lt;4172.98,0,MIN(O4167*0.3,O4167-4172.98)))-P4167</f>
        <v>108.68199999999979</v>
      </c>
      <c r="S4167" s="78">
        <v>46753</v>
      </c>
      <c r="T4167" s="1" t="s">
        <v>7516</v>
      </c>
      <c r="U4167" s="43">
        <v>2942.69</v>
      </c>
      <c r="V4167" s="1"/>
    </row>
    <row r="4168" spans="1:23">
      <c r="A4168">
        <v>2594</v>
      </c>
      <c r="B4168" s="2">
        <v>46269.668252314797</v>
      </c>
      <c r="C4168" s="2">
        <v>46269.690868055601</v>
      </c>
      <c r="D4168" s="1" t="s">
        <v>24</v>
      </c>
      <c r="E4168" s="1"/>
      <c r="F4168" s="29">
        <v>46269</v>
      </c>
      <c r="G4168" s="29">
        <v>46269</v>
      </c>
      <c r="H4168" s="1" t="s">
        <v>78</v>
      </c>
      <c r="I4168" s="175" t="s">
        <v>9255</v>
      </c>
      <c r="J4168" s="207"/>
      <c r="K4168" s="188" t="s">
        <v>9256</v>
      </c>
      <c r="L4168" s="62">
        <v>24241280</v>
      </c>
      <c r="M4168" s="30">
        <v>5217822088561</v>
      </c>
      <c r="N4168" s="172" t="s">
        <v>106</v>
      </c>
      <c r="O4168" s="43">
        <v>7920.51</v>
      </c>
      <c r="P4168" s="43">
        <v>2047.45</v>
      </c>
      <c r="Q4168" s="230">
        <f>OfficeForms.Table[[#This Row],[ INFORMEDEPAGO ]]*0.3</f>
        <v>2376.1529999999998</v>
      </c>
      <c r="R4168" s="231">
        <f>(IF(O4168&lt;4172.98,0,MIN(O4168*0.3,O4168-4172.98)))-P4168</f>
        <v>328.70299999999975</v>
      </c>
      <c r="S4168" s="78">
        <v>46204</v>
      </c>
      <c r="T4168" s="1" t="s">
        <v>7516</v>
      </c>
      <c r="U4168" s="43">
        <v>2047.45</v>
      </c>
      <c r="V4168" s="1" t="s">
        <v>8328</v>
      </c>
      <c r="W4168" s="29">
        <v>46269</v>
      </c>
    </row>
    <row r="4169" spans="1:23">
      <c r="A4169">
        <v>2595</v>
      </c>
      <c r="B4169" s="2">
        <v>46269.687986111101</v>
      </c>
      <c r="C4169" s="2">
        <v>46269.700185185196</v>
      </c>
      <c r="D4169" s="1" t="s">
        <v>24</v>
      </c>
      <c r="E4169" s="1"/>
      <c r="F4169" s="29">
        <v>46269</v>
      </c>
      <c r="G4169" s="29">
        <v>46269</v>
      </c>
      <c r="H4169" s="1" t="s">
        <v>1625</v>
      </c>
      <c r="I4169" s="175"/>
      <c r="J4169" s="207" t="s">
        <v>4240</v>
      </c>
      <c r="K4169" s="188" t="s">
        <v>4241</v>
      </c>
      <c r="L4169" s="62">
        <v>2</v>
      </c>
      <c r="M4169" s="30">
        <v>5619383590</v>
      </c>
      <c r="N4169" s="172" t="s">
        <v>37</v>
      </c>
      <c r="O4169" s="43">
        <v>7116.73</v>
      </c>
      <c r="P4169" s="43">
        <v>2049.67</v>
      </c>
      <c r="Q4169" s="230">
        <f>OfficeForms.Table[[#This Row],[ INFORMEDEPAGO ]]*0.3</f>
        <v>2135.0189999999998</v>
      </c>
      <c r="R4169" s="231">
        <f>(IF(O4169&lt;4172.98,0,MIN(O4169*0.3,O4169-4172.98)))-P4169</f>
        <v>85.348999999999705</v>
      </c>
      <c r="S4169" s="78">
        <v>46600</v>
      </c>
      <c r="T4169" s="1" t="s">
        <v>192</v>
      </c>
      <c r="U4169" s="97">
        <v>1805</v>
      </c>
      <c r="V4169" s="1"/>
    </row>
    <row r="4170" spans="1:23">
      <c r="A4170">
        <v>2596</v>
      </c>
      <c r="B4170" s="2">
        <v>46269.675902777803</v>
      </c>
      <c r="C4170" s="2">
        <v>46269.703553240703</v>
      </c>
      <c r="D4170" s="1" t="s">
        <v>24</v>
      </c>
      <c r="E4170" s="1"/>
      <c r="F4170" s="29">
        <v>46269</v>
      </c>
      <c r="G4170" s="29">
        <v>46267</v>
      </c>
      <c r="H4170" s="1" t="s">
        <v>8721</v>
      </c>
      <c r="I4170" s="175" t="s">
        <v>9257</v>
      </c>
      <c r="J4170" s="207"/>
      <c r="K4170" s="188" t="s">
        <v>9258</v>
      </c>
      <c r="L4170" s="62">
        <v>24206890</v>
      </c>
      <c r="M4170" s="30">
        <v>5215630248168</v>
      </c>
      <c r="N4170" s="172" t="s">
        <v>37</v>
      </c>
      <c r="O4170" s="43">
        <v>9760.32</v>
      </c>
      <c r="P4170" s="43">
        <v>2823.89</v>
      </c>
      <c r="Q4170" s="230">
        <f>OfficeForms.Table[[#This Row],[ INFORMEDEPAGO ]]*0.3</f>
        <v>2928.096</v>
      </c>
      <c r="R4170" s="231">
        <f>(IF(O4170&lt;4172.98,0,MIN(O4170*0.3,O4170-4172.98)))-P4170</f>
        <v>104.20600000000013</v>
      </c>
      <c r="S4170" s="78">
        <v>46600</v>
      </c>
      <c r="T4170" s="1" t="s">
        <v>8696</v>
      </c>
      <c r="U4170" s="43">
        <v>2823.89</v>
      </c>
      <c r="V4170" s="1"/>
    </row>
    <row r="4171" spans="1:23">
      <c r="A4171">
        <v>2597</v>
      </c>
      <c r="B4171" s="2">
        <v>46269.692025463002</v>
      </c>
      <c r="C4171" s="2">
        <v>46269.704953703702</v>
      </c>
      <c r="D4171" s="1" t="s">
        <v>24</v>
      </c>
      <c r="E4171" s="1"/>
      <c r="F4171" s="29">
        <v>46269</v>
      </c>
      <c r="G4171" s="29">
        <v>46246</v>
      </c>
      <c r="H4171" s="1" t="s">
        <v>269</v>
      </c>
      <c r="I4171" s="175" t="s">
        <v>9259</v>
      </c>
      <c r="J4171" s="207"/>
      <c r="K4171" s="188" t="s">
        <v>9260</v>
      </c>
      <c r="L4171" s="62">
        <v>23572932</v>
      </c>
      <c r="M4171" s="30">
        <v>5213171120099</v>
      </c>
      <c r="N4171" s="172" t="s">
        <v>28</v>
      </c>
      <c r="O4171" s="50">
        <v>17504.68</v>
      </c>
      <c r="P4171" s="97"/>
      <c r="Q4171" s="230">
        <f>OfficeForms.Table[[#This Row],[ INFORMEDEPAGO ]]*0.3</f>
        <v>5251.4039999999995</v>
      </c>
      <c r="R4171" s="231">
        <f>(IF(O4171&lt;4172.98,0,MIN(O4171*0.3,O4171-4172.98)))-P4171</f>
        <v>5251.4039999999995</v>
      </c>
      <c r="S4171" s="78"/>
      <c r="T4171" s="1"/>
      <c r="U4171" s="97"/>
      <c r="V4171" s="1" t="s">
        <v>8264</v>
      </c>
      <c r="W4171" s="29">
        <v>46269</v>
      </c>
    </row>
    <row r="4172" spans="1:23">
      <c r="A4172">
        <v>2598</v>
      </c>
      <c r="B4172" s="2">
        <v>46269.700208333299</v>
      </c>
      <c r="C4172" s="2">
        <v>46269.713310185201</v>
      </c>
      <c r="D4172" s="1" t="s">
        <v>24</v>
      </c>
      <c r="E4172" s="1"/>
      <c r="F4172" s="29">
        <v>46269</v>
      </c>
      <c r="G4172" s="29">
        <v>46269</v>
      </c>
      <c r="H4172" s="1" t="s">
        <v>1625</v>
      </c>
      <c r="I4172" s="175" t="s">
        <v>9261</v>
      </c>
      <c r="J4172" s="207">
        <v>12735615374</v>
      </c>
      <c r="K4172" s="188" t="s">
        <v>9262</v>
      </c>
      <c r="L4172" s="62">
        <v>2</v>
      </c>
      <c r="M4172" s="30">
        <v>4776706121</v>
      </c>
      <c r="N4172" s="172" t="s">
        <v>32</v>
      </c>
      <c r="O4172" s="50">
        <v>4342.43</v>
      </c>
      <c r="P4172" s="97"/>
      <c r="Q4172" s="230">
        <f>OfficeForms.Table[[#This Row],[ INFORMEDEPAGO ]]*0.3</f>
        <v>1302.729</v>
      </c>
      <c r="R4172" s="231">
        <f>(IF(O4172&lt;4172.98,0,MIN(O4172*0.3,O4172-4172.98)))-P4172</f>
        <v>169.45000000000073</v>
      </c>
      <c r="S4172" s="78"/>
      <c r="T4172" s="1"/>
      <c r="U4172" s="97"/>
      <c r="V4172" s="1"/>
    </row>
    <row r="4173" spans="1:23">
      <c r="A4173">
        <v>2599</v>
      </c>
      <c r="B4173" s="2">
        <v>46269.713449074101</v>
      </c>
      <c r="C4173" s="2">
        <v>46269.715497685203</v>
      </c>
      <c r="D4173" s="1" t="s">
        <v>24</v>
      </c>
      <c r="E4173" s="1"/>
      <c r="F4173" s="29">
        <v>46269</v>
      </c>
      <c r="G4173" s="29">
        <v>46269</v>
      </c>
      <c r="H4173" s="1" t="s">
        <v>51</v>
      </c>
      <c r="I4173" s="175" t="s">
        <v>9263</v>
      </c>
      <c r="J4173" s="207"/>
      <c r="K4173" s="188" t="s">
        <v>9264</v>
      </c>
      <c r="L4173" s="62">
        <v>24245696</v>
      </c>
      <c r="M4173" s="30">
        <v>5218117034287</v>
      </c>
      <c r="N4173" s="172" t="s">
        <v>37</v>
      </c>
      <c r="O4173" s="43">
        <v>7920.51</v>
      </c>
      <c r="P4173" s="43">
        <v>2275.54</v>
      </c>
      <c r="Q4173" s="230">
        <f>OfficeForms.Table[[#This Row],[ INFORMEDEPAGO ]]*0.3</f>
        <v>2376.1529999999998</v>
      </c>
      <c r="R4173" s="231">
        <f>(IF(O4173&lt;4172.98,0,MIN(O4173*0.3,O4173-4172.98)))-P4173</f>
        <v>100.61299999999983</v>
      </c>
      <c r="S4173" s="78">
        <v>46508</v>
      </c>
      <c r="T4173" s="1" t="s">
        <v>192</v>
      </c>
      <c r="U4173" s="97">
        <v>2275.54</v>
      </c>
      <c r="V4173" s="1"/>
    </row>
    <row r="4174" spans="1:23">
      <c r="A4174">
        <v>2600</v>
      </c>
      <c r="B4174" s="2">
        <v>46269.715520833299</v>
      </c>
      <c r="C4174" s="2">
        <v>46269.723796296297</v>
      </c>
      <c r="D4174" s="1" t="s">
        <v>24</v>
      </c>
      <c r="E4174" s="1"/>
      <c r="F4174" s="29">
        <v>46269</v>
      </c>
      <c r="G4174" s="29">
        <v>46269</v>
      </c>
      <c r="H4174" s="1" t="s">
        <v>51</v>
      </c>
      <c r="I4174" s="175" t="s">
        <v>9265</v>
      </c>
      <c r="J4174" s="207"/>
      <c r="K4174" s="188" t="s">
        <v>9266</v>
      </c>
      <c r="L4174" s="62">
        <v>24252748</v>
      </c>
      <c r="M4174" s="30">
        <v>5216391331440</v>
      </c>
      <c r="N4174" s="172" t="s">
        <v>37</v>
      </c>
      <c r="O4174" s="43">
        <v>8131.77</v>
      </c>
      <c r="P4174" s="43">
        <v>2439.5300000000002</v>
      </c>
      <c r="Q4174" s="230">
        <f>OfficeForms.Table[[#This Row],[ INFORMEDEPAGO ]]*0.3</f>
        <v>2439.5309999999999</v>
      </c>
      <c r="R4174" s="231">
        <f>(IF(O4174&lt;4172.98,0,MIN(O4174*0.3,O4174-4172.98)))-P4174</f>
        <v>9.9999999974897946E-4</v>
      </c>
      <c r="S4174" s="78">
        <v>46539</v>
      </c>
      <c r="T4174" s="1" t="s">
        <v>7516</v>
      </c>
      <c r="U4174" s="97">
        <v>1480.95</v>
      </c>
      <c r="V4174" s="1"/>
    </row>
    <row r="4175" spans="1:23">
      <c r="A4175">
        <v>2601</v>
      </c>
      <c r="B4175" s="2">
        <v>46269.7191550926</v>
      </c>
      <c r="C4175" s="2">
        <v>46269.725833333301</v>
      </c>
      <c r="D4175" s="1" t="s">
        <v>24</v>
      </c>
      <c r="E4175" s="1"/>
      <c r="F4175" s="29">
        <v>46269</v>
      </c>
      <c r="G4175" s="29">
        <v>46269</v>
      </c>
      <c r="H4175" s="1" t="s">
        <v>78</v>
      </c>
      <c r="I4175" s="175" t="s">
        <v>9267</v>
      </c>
      <c r="J4175" s="207"/>
      <c r="K4175" s="188" t="s">
        <v>9268</v>
      </c>
      <c r="L4175" s="62">
        <v>24250102</v>
      </c>
      <c r="M4175" s="30">
        <v>5213421078956</v>
      </c>
      <c r="N4175" s="172" t="s">
        <v>28</v>
      </c>
      <c r="O4175" s="50">
        <v>10636.54</v>
      </c>
      <c r="P4175" s="97"/>
      <c r="Q4175" s="230">
        <f>OfficeForms.Table[[#This Row],[ INFORMEDEPAGO ]]*0.3</f>
        <v>3190.962</v>
      </c>
      <c r="R4175" s="231">
        <f>(IF(O4175&lt;4172.98,0,MIN(O4175*0.3,O4175-4172.98)))-P4175</f>
        <v>3190.962</v>
      </c>
      <c r="S4175" s="78"/>
      <c r="T4175" s="1"/>
      <c r="U4175" s="97"/>
      <c r="V4175" s="1" t="s">
        <v>8264</v>
      </c>
      <c r="W4175" s="29">
        <v>46269</v>
      </c>
    </row>
    <row r="4176" spans="1:23">
      <c r="A4176">
        <v>2602</v>
      </c>
      <c r="B4176" s="2">
        <v>46269.7262037037</v>
      </c>
      <c r="C4176" s="2">
        <v>46269.726863425902</v>
      </c>
      <c r="D4176" s="1" t="s">
        <v>24</v>
      </c>
      <c r="E4176" s="1"/>
      <c r="F4176" s="29">
        <v>46269</v>
      </c>
      <c r="G4176" s="29">
        <v>46269</v>
      </c>
      <c r="H4176" s="1" t="s">
        <v>8238</v>
      </c>
      <c r="I4176" s="175" t="s">
        <v>9269</v>
      </c>
      <c r="J4176" s="207"/>
      <c r="K4176" s="188" t="s">
        <v>9270</v>
      </c>
      <c r="L4176" s="62">
        <v>24247520</v>
      </c>
      <c r="M4176" s="30">
        <v>4423811799</v>
      </c>
      <c r="N4176" s="172" t="s">
        <v>37</v>
      </c>
      <c r="O4176" s="43">
        <v>10391.23</v>
      </c>
      <c r="P4176" s="43">
        <v>3103.01</v>
      </c>
      <c r="Q4176" s="230">
        <f>OfficeForms.Table[[#This Row],[ INFORMEDEPAGO ]]*0.3</f>
        <v>3117.3689999999997</v>
      </c>
      <c r="R4176" s="231">
        <f>(IF(O4176&lt;4172.98,0,MIN(O4176*0.3,O4176-4172.98)))-P4176</f>
        <v>14.358999999999469</v>
      </c>
      <c r="S4176" s="78">
        <v>46784</v>
      </c>
      <c r="T4176" s="1" t="s">
        <v>192</v>
      </c>
      <c r="U4176" s="97">
        <v>3103.01</v>
      </c>
      <c r="V4176" s="1"/>
    </row>
    <row r="4177" spans="1:23">
      <c r="A4177">
        <v>2603</v>
      </c>
      <c r="B4177" s="2">
        <v>46269.719224537002</v>
      </c>
      <c r="C4177" s="2">
        <v>46269.734270833302</v>
      </c>
      <c r="D4177" s="1" t="s">
        <v>24</v>
      </c>
      <c r="E4177" s="1"/>
      <c r="F4177" s="29">
        <v>46269</v>
      </c>
      <c r="G4177" s="29">
        <v>46269</v>
      </c>
      <c r="H4177" s="1" t="s">
        <v>78</v>
      </c>
      <c r="I4177" s="175" t="s">
        <v>9271</v>
      </c>
      <c r="J4177" s="207" t="s">
        <v>9272</v>
      </c>
      <c r="K4177" s="188" t="s">
        <v>9273</v>
      </c>
      <c r="L4177" s="62">
        <v>24246006</v>
      </c>
      <c r="M4177" s="30">
        <v>5215586056792</v>
      </c>
      <c r="N4177" s="172" t="s">
        <v>37</v>
      </c>
      <c r="O4177" s="43">
        <v>23047.83</v>
      </c>
      <c r="P4177" s="43">
        <v>6914.35</v>
      </c>
      <c r="Q4177" s="230">
        <f>OfficeForms.Table[[#This Row],[ INFORMEDEPAGO ]]*0.3</f>
        <v>6914.3490000000002</v>
      </c>
      <c r="R4177" s="231">
        <f>(IF(O4177&lt;4172.98,0,MIN(O4177*0.3,O4177-4172.98)))-P4177</f>
        <v>-1.0000000002037268E-3</v>
      </c>
      <c r="S4177" s="78">
        <v>46569</v>
      </c>
      <c r="T4177" s="1" t="s">
        <v>7209</v>
      </c>
      <c r="U4177" s="97">
        <v>4737.32</v>
      </c>
      <c r="V4177" s="1"/>
    </row>
    <row r="4178" spans="1:23">
      <c r="A4178">
        <v>2604</v>
      </c>
      <c r="B4178" s="2">
        <v>46269.734652777799</v>
      </c>
      <c r="C4178" s="2">
        <v>46269.735000000001</v>
      </c>
      <c r="D4178" s="1" t="s">
        <v>24</v>
      </c>
      <c r="E4178" s="1"/>
      <c r="F4178" s="29">
        <v>46269</v>
      </c>
      <c r="G4178" s="29">
        <v>46269</v>
      </c>
      <c r="H4178" s="1" t="s">
        <v>269</v>
      </c>
      <c r="I4178" s="175" t="s">
        <v>9274</v>
      </c>
      <c r="J4178" s="207"/>
      <c r="K4178" s="188" t="s">
        <v>9275</v>
      </c>
      <c r="L4178" s="62">
        <v>24241450</v>
      </c>
      <c r="M4178" s="30">
        <v>5213323949104</v>
      </c>
      <c r="N4178" s="172" t="s">
        <v>28</v>
      </c>
      <c r="O4178" s="50">
        <f>6237.73+879</f>
        <v>7116.73</v>
      </c>
      <c r="P4178" s="97">
        <v>879</v>
      </c>
      <c r="Q4178" s="230">
        <f>OfficeForms.Table[[#This Row],[ INFORMEDEPAGO ]]*0.3</f>
        <v>2135.0189999999998</v>
      </c>
      <c r="R4178" s="231">
        <f>(IF(O4178&lt;4172.98,0,MIN(O4178*0.3,O4178-4172.98)))-P4178</f>
        <v>1256.0189999999998</v>
      </c>
      <c r="S4178" s="78"/>
      <c r="T4178" s="1"/>
      <c r="U4178" s="97"/>
      <c r="V4178" s="1" t="s">
        <v>8915</v>
      </c>
      <c r="W4178" s="29">
        <v>46269</v>
      </c>
    </row>
    <row r="4179" spans="1:23">
      <c r="A4179">
        <v>2605</v>
      </c>
      <c r="B4179" s="2">
        <v>46269.723807870403</v>
      </c>
      <c r="C4179" s="2">
        <v>46269.735775462999</v>
      </c>
      <c r="D4179" s="1" t="s">
        <v>24</v>
      </c>
      <c r="E4179" s="1"/>
      <c r="F4179" s="29">
        <v>46269</v>
      </c>
      <c r="G4179" s="29">
        <v>46269</v>
      </c>
      <c r="H4179" s="1" t="s">
        <v>51</v>
      </c>
      <c r="I4179" s="175" t="s">
        <v>9276</v>
      </c>
      <c r="J4179" s="207"/>
      <c r="K4179" s="188" t="s">
        <v>9277</v>
      </c>
      <c r="L4179" s="62">
        <v>24251922</v>
      </c>
      <c r="M4179" s="30">
        <v>5212222082900</v>
      </c>
      <c r="N4179" s="172" t="s">
        <v>28</v>
      </c>
      <c r="O4179" s="50">
        <v>41038.49</v>
      </c>
      <c r="P4179" s="97"/>
      <c r="Q4179" s="230">
        <f>OfficeForms.Table[[#This Row],[ INFORMEDEPAGO ]]*0.3</f>
        <v>12311.546999999999</v>
      </c>
      <c r="R4179" s="231">
        <f>(IF(O4179&lt;4172.98,0,MIN(O4179*0.3,O4179-4172.98)))-P4179</f>
        <v>12311.546999999999</v>
      </c>
      <c r="S4179" s="78"/>
      <c r="T4179" s="1"/>
      <c r="U4179" s="97"/>
      <c r="V4179" s="1" t="s">
        <v>9185</v>
      </c>
      <c r="W4179" s="29">
        <v>46270</v>
      </c>
    </row>
    <row r="4180" spans="1:23">
      <c r="A4180">
        <v>2606</v>
      </c>
      <c r="B4180" s="2">
        <v>46269.743865740696</v>
      </c>
      <c r="C4180" s="2">
        <v>46269.7443055556</v>
      </c>
      <c r="D4180" s="1" t="s">
        <v>24</v>
      </c>
      <c r="E4180" s="1"/>
      <c r="F4180" s="29">
        <v>46269</v>
      </c>
      <c r="G4180" s="29">
        <v>46268</v>
      </c>
      <c r="H4180" s="1" t="s">
        <v>269</v>
      </c>
      <c r="I4180" s="175" t="s">
        <v>9278</v>
      </c>
      <c r="J4180" s="207" t="s">
        <v>9279</v>
      </c>
      <c r="K4180" s="188" t="s">
        <v>9280</v>
      </c>
      <c r="L4180" s="62">
        <v>24233618</v>
      </c>
      <c r="M4180" s="30">
        <v>5215527702203</v>
      </c>
      <c r="N4180" s="172" t="s">
        <v>28</v>
      </c>
      <c r="O4180" s="50">
        <v>40117.99</v>
      </c>
      <c r="P4180" s="97"/>
      <c r="Q4180" s="230">
        <f>OfficeForms.Table[[#This Row],[ INFORMEDEPAGO ]]*0.3</f>
        <v>12035.396999999999</v>
      </c>
      <c r="R4180" s="231">
        <f>(IF(O4180&lt;4172.98,0,MIN(O4180*0.3,O4180-4172.98)))-P4180</f>
        <v>12035.396999999999</v>
      </c>
      <c r="S4180" s="78"/>
      <c r="T4180" s="1"/>
      <c r="U4180" s="97"/>
      <c r="V4180" s="1" t="s">
        <v>8291</v>
      </c>
      <c r="W4180" s="29">
        <v>46269</v>
      </c>
    </row>
    <row r="4181" spans="1:23">
      <c r="A4181">
        <v>2607</v>
      </c>
      <c r="B4181" s="2">
        <v>46269.735798611102</v>
      </c>
      <c r="C4181" s="2">
        <v>46269.746782407397</v>
      </c>
      <c r="D4181" s="1" t="s">
        <v>24</v>
      </c>
      <c r="E4181" s="1"/>
      <c r="F4181" s="29">
        <v>46269</v>
      </c>
      <c r="G4181" s="29">
        <v>46268</v>
      </c>
      <c r="H4181" s="1" t="s">
        <v>51</v>
      </c>
      <c r="I4181" s="175" t="s">
        <v>9281</v>
      </c>
      <c r="J4181" s="207">
        <v>11755890321</v>
      </c>
      <c r="K4181" s="188" t="s">
        <v>9282</v>
      </c>
      <c r="L4181" s="62">
        <v>24229610</v>
      </c>
      <c r="M4181" s="30">
        <v>5215523227383</v>
      </c>
      <c r="N4181" s="172" t="s">
        <v>106</v>
      </c>
      <c r="O4181" s="43">
        <v>23587.89</v>
      </c>
      <c r="P4181" s="43">
        <v>6548.63</v>
      </c>
      <c r="Q4181" s="230">
        <f>OfficeForms.Table[[#This Row],[ INFORMEDEPAGO ]]*0.3</f>
        <v>7076.3669999999993</v>
      </c>
      <c r="R4181" s="231">
        <f>(IF(O4181&lt;4172.98,0,MIN(O4181*0.3,O4181-4172.98)))-P4181</f>
        <v>527.73699999999917</v>
      </c>
      <c r="S4181" s="78">
        <v>46174</v>
      </c>
      <c r="T4181" s="1" t="s">
        <v>8338</v>
      </c>
      <c r="U4181" s="97">
        <v>6548.63</v>
      </c>
      <c r="V4181" s="1" t="s">
        <v>8936</v>
      </c>
      <c r="W4181" s="29">
        <v>46269</v>
      </c>
    </row>
    <row r="4182" spans="1:23">
      <c r="A4182">
        <v>2608</v>
      </c>
      <c r="B4182" s="2">
        <v>46269.744050925903</v>
      </c>
      <c r="C4182" s="2">
        <v>46269.749467592599</v>
      </c>
      <c r="D4182" s="1" t="s">
        <v>24</v>
      </c>
      <c r="E4182" s="1"/>
      <c r="F4182" s="29">
        <v>46269</v>
      </c>
      <c r="G4182" s="29">
        <v>46269</v>
      </c>
      <c r="H4182" s="1" t="s">
        <v>78</v>
      </c>
      <c r="I4182" s="175" t="s">
        <v>9283</v>
      </c>
      <c r="J4182" s="207"/>
      <c r="K4182" s="188" t="s">
        <v>9284</v>
      </c>
      <c r="L4182" s="62">
        <v>24243294</v>
      </c>
      <c r="M4182" s="30">
        <v>5217331258213</v>
      </c>
      <c r="N4182" s="172" t="s">
        <v>28</v>
      </c>
      <c r="O4182" s="50">
        <v>7920.51</v>
      </c>
      <c r="P4182" s="97"/>
      <c r="Q4182" s="230">
        <f>OfficeForms.Table[[#This Row],[ INFORMEDEPAGO ]]*0.3</f>
        <v>2376.1529999999998</v>
      </c>
      <c r="R4182" s="231">
        <f>(IF(O4182&lt;4172.98,0,MIN(O4182*0.3,O4182-4172.98)))-P4182</f>
        <v>2376.1529999999998</v>
      </c>
      <c r="S4182" s="78"/>
      <c r="T4182" s="1"/>
      <c r="U4182" s="97"/>
      <c r="V4182" s="1" t="s">
        <v>8356</v>
      </c>
      <c r="W4182" s="29">
        <v>46269</v>
      </c>
    </row>
    <row r="4183" spans="1:23">
      <c r="A4183">
        <v>2609</v>
      </c>
      <c r="B4183" s="2">
        <v>46269.7036226852</v>
      </c>
      <c r="C4183" s="2">
        <v>46269.753854166702</v>
      </c>
      <c r="D4183" s="1" t="s">
        <v>24</v>
      </c>
      <c r="E4183" s="1"/>
      <c r="F4183" s="29">
        <v>46269</v>
      </c>
      <c r="G4183" s="29">
        <v>46269</v>
      </c>
      <c r="H4183" s="1" t="s">
        <v>8721</v>
      </c>
      <c r="I4183" s="175" t="s">
        <v>9285</v>
      </c>
      <c r="J4183" s="207" t="s">
        <v>9286</v>
      </c>
      <c r="K4183" s="188"/>
      <c r="L4183" s="62">
        <v>24253972</v>
      </c>
      <c r="M4183" s="30">
        <v>19189516729</v>
      </c>
      <c r="N4183" s="172" t="s">
        <v>37</v>
      </c>
      <c r="O4183" s="43">
        <v>6371.71</v>
      </c>
      <c r="P4183" s="43">
        <v>1623.69</v>
      </c>
      <c r="Q4183" s="230">
        <f>OfficeForms.Table[[#This Row],[ INFORMEDEPAGO ]]*0.3</f>
        <v>1911.5129999999999</v>
      </c>
      <c r="R4183" s="231">
        <f>(IF(O4183&lt;4172.98,0,MIN(O4183*0.3,O4183-4172.98)))-P4183</f>
        <v>287.82299999999987</v>
      </c>
      <c r="S4183" s="78">
        <v>46631</v>
      </c>
      <c r="T4183" s="1" t="s">
        <v>7516</v>
      </c>
      <c r="U4183" s="97">
        <v>1623.69</v>
      </c>
      <c r="V4183" s="1"/>
    </row>
    <row r="4184" spans="1:23">
      <c r="A4184">
        <v>2610</v>
      </c>
      <c r="B4184" s="2">
        <v>46269.763946759304</v>
      </c>
      <c r="C4184" s="2">
        <v>46269.764652777798</v>
      </c>
      <c r="D4184" s="1" t="s">
        <v>24</v>
      </c>
      <c r="E4184" s="1"/>
      <c r="F4184" s="29">
        <v>46269</v>
      </c>
      <c r="G4184" s="29">
        <v>46269</v>
      </c>
      <c r="H4184" s="1" t="s">
        <v>8238</v>
      </c>
      <c r="I4184" s="175" t="s">
        <v>9287</v>
      </c>
      <c r="J4184" s="207"/>
      <c r="K4184" s="188" t="s">
        <v>9288</v>
      </c>
      <c r="L4184" s="62">
        <v>24234766</v>
      </c>
      <c r="M4184" s="30">
        <v>6313578911</v>
      </c>
      <c r="N4184" s="172" t="s">
        <v>235</v>
      </c>
      <c r="O4184" s="50"/>
      <c r="P4184" s="97"/>
      <c r="Q4184" s="230">
        <f>OfficeForms.Table[[#This Row],[ INFORMEDEPAGO ]]*0.3</f>
        <v>0</v>
      </c>
      <c r="R4184" s="231">
        <f>(IF(O4184&lt;4172.98,0,MIN(O4184*0.3,O4184-4172.98)))-P4184</f>
        <v>0</v>
      </c>
      <c r="S4184" s="78"/>
      <c r="T4184" s="1"/>
      <c r="U4184" s="97"/>
      <c r="V4184" s="1"/>
    </row>
    <row r="4185" spans="1:23">
      <c r="A4185">
        <v>2611</v>
      </c>
      <c r="B4185" s="2">
        <v>46269.785821759302</v>
      </c>
      <c r="C4185" s="2">
        <v>46269.786203703698</v>
      </c>
      <c r="D4185" s="1" t="s">
        <v>24</v>
      </c>
      <c r="E4185" s="1"/>
      <c r="F4185" s="29">
        <v>46269</v>
      </c>
      <c r="G4185" s="29">
        <v>46269</v>
      </c>
      <c r="H4185" s="1" t="s">
        <v>8721</v>
      </c>
      <c r="I4185" s="175" t="s">
        <v>9289</v>
      </c>
      <c r="J4185" s="207"/>
      <c r="K4185" s="188" t="s">
        <v>9290</v>
      </c>
      <c r="L4185" s="62">
        <v>24254260</v>
      </c>
      <c r="M4185" s="30">
        <v>5214443320591</v>
      </c>
      <c r="N4185" s="172" t="s">
        <v>28</v>
      </c>
      <c r="O4185" s="50">
        <v>9760.32</v>
      </c>
      <c r="P4185" s="97"/>
      <c r="Q4185" s="230">
        <f>OfficeForms.Table[[#This Row],[ INFORMEDEPAGO ]]*0.3</f>
        <v>2928.096</v>
      </c>
      <c r="R4185" s="231">
        <f>(IF(O4185&lt;4172.98,0,MIN(O4185*0.3,O4185-4172.98)))-P4185</f>
        <v>2928.096</v>
      </c>
      <c r="S4185" s="78"/>
      <c r="T4185" s="1"/>
      <c r="U4185" s="97"/>
      <c r="V4185" s="1" t="s">
        <v>8280</v>
      </c>
      <c r="W4185" s="29">
        <v>46270</v>
      </c>
    </row>
    <row r="4186" spans="1:23">
      <c r="A4186">
        <v>2612</v>
      </c>
      <c r="B4186" s="2">
        <v>46269.7860069444</v>
      </c>
      <c r="C4186" s="2">
        <v>46269.789849537003</v>
      </c>
      <c r="D4186" s="1" t="s">
        <v>24</v>
      </c>
      <c r="E4186" s="1"/>
      <c r="F4186" s="29">
        <v>46269</v>
      </c>
      <c r="G4186" s="29">
        <v>46268</v>
      </c>
      <c r="H4186" s="1" t="s">
        <v>269</v>
      </c>
      <c r="I4186" s="175" t="s">
        <v>9291</v>
      </c>
      <c r="J4186" s="207">
        <v>49947047665</v>
      </c>
      <c r="K4186" s="188" t="s">
        <v>9292</v>
      </c>
      <c r="L4186" s="62">
        <v>24229404</v>
      </c>
      <c r="M4186" s="30">
        <v>5218332065281</v>
      </c>
      <c r="N4186" s="172" t="s">
        <v>28</v>
      </c>
      <c r="O4186" s="52">
        <v>10215.049999999999</v>
      </c>
      <c r="P4186" s="52">
        <v>774.44</v>
      </c>
      <c r="Q4186" s="230">
        <f>OfficeForms.Table[[#This Row],[ INFORMEDEPAGO ]]*0.3</f>
        <v>3064.5149999999999</v>
      </c>
      <c r="R4186" s="231">
        <f>(IF(O4186&lt;4172.98,0,MIN(O4186*0.3,O4186-4172.98)))-P4186</f>
        <v>2290.0749999999998</v>
      </c>
      <c r="S4186" s="78">
        <v>46569</v>
      </c>
      <c r="T4186" s="1" t="s">
        <v>7209</v>
      </c>
      <c r="U4186" s="97"/>
      <c r="V4186" s="233" t="s">
        <v>9293</v>
      </c>
    </row>
    <row r="4187" spans="1:23">
      <c r="A4187">
        <v>2613</v>
      </c>
      <c r="B4187" s="2">
        <v>46270.388518518499</v>
      </c>
      <c r="C4187" s="2">
        <v>46270.398333333302</v>
      </c>
      <c r="D4187" s="1" t="s">
        <v>24</v>
      </c>
      <c r="E4187" s="1"/>
      <c r="F4187" s="29">
        <v>46270</v>
      </c>
      <c r="G4187" s="29">
        <v>46269</v>
      </c>
      <c r="H4187" s="1" t="s">
        <v>8381</v>
      </c>
      <c r="I4187" s="175" t="s">
        <v>9294</v>
      </c>
      <c r="J4187" s="207" t="s">
        <v>9295</v>
      </c>
      <c r="K4187" s="188" t="s">
        <v>9296</v>
      </c>
      <c r="L4187" s="62">
        <v>24252158</v>
      </c>
      <c r="M4187" s="30">
        <v>5215573622536</v>
      </c>
      <c r="N4187" s="172" t="s">
        <v>37</v>
      </c>
      <c r="O4187" s="43">
        <v>5365.53</v>
      </c>
      <c r="P4187" s="43">
        <v>1150.1099999999999</v>
      </c>
      <c r="Q4187" s="230">
        <f>OfficeForms.Table[[#This Row],[ INFORMEDEPAGO ]]*0.3</f>
        <v>1609.6589999999999</v>
      </c>
      <c r="R4187" s="231">
        <f t="shared" ref="R4187:R4194" si="312">(IF(O4187&lt;4172.98,0,MIN(O4187*0.3,O4187-4172.98)))-P4187</f>
        <v>42.440000000000282</v>
      </c>
      <c r="S4187" s="78">
        <v>46661</v>
      </c>
      <c r="T4187" s="1" t="s">
        <v>9097</v>
      </c>
      <c r="U4187" s="97">
        <v>1150.1099999999999</v>
      </c>
      <c r="V4187" s="1"/>
    </row>
    <row r="4188" spans="1:23">
      <c r="A4188">
        <v>2614</v>
      </c>
      <c r="B4188" s="2">
        <v>46270.429930555598</v>
      </c>
      <c r="C4188" s="2">
        <v>46270.430821759299</v>
      </c>
      <c r="D4188" s="1" t="s">
        <v>24</v>
      </c>
      <c r="E4188" s="1"/>
      <c r="F4188" s="29">
        <v>46270</v>
      </c>
      <c r="G4188" s="29">
        <v>46270</v>
      </c>
      <c r="H4188" s="1" t="s">
        <v>269</v>
      </c>
      <c r="I4188" s="175" t="s">
        <v>9297</v>
      </c>
      <c r="J4188" s="207" t="s">
        <v>9298</v>
      </c>
      <c r="K4188" s="188" t="s">
        <v>9299</v>
      </c>
      <c r="L4188" s="62">
        <v>24258376</v>
      </c>
      <c r="M4188" s="30">
        <v>5219984843231</v>
      </c>
      <c r="N4188" s="172" t="s">
        <v>37</v>
      </c>
      <c r="O4188" s="43">
        <v>8539.89</v>
      </c>
      <c r="P4188" s="43">
        <v>2561.0100000000002</v>
      </c>
      <c r="Q4188" s="230">
        <f>OfficeForms.Table[[#This Row],[ INFORMEDEPAGO ]]*0.3</f>
        <v>2561.9669999999996</v>
      </c>
      <c r="R4188" s="231">
        <f t="shared" si="312"/>
        <v>0.9569999999994252</v>
      </c>
      <c r="S4188" s="78">
        <v>46296</v>
      </c>
      <c r="T4188" s="1" t="s">
        <v>7209</v>
      </c>
      <c r="U4188" s="97">
        <v>856.99</v>
      </c>
      <c r="V4188" s="1"/>
    </row>
    <row r="4189" spans="1:23">
      <c r="A4189">
        <v>2615</v>
      </c>
      <c r="B4189" s="2">
        <v>46270.431539351797</v>
      </c>
      <c r="C4189" s="2">
        <v>46270.432893518497</v>
      </c>
      <c r="D4189" s="1" t="s">
        <v>24</v>
      </c>
      <c r="E4189" s="1"/>
      <c r="F4189" s="29">
        <v>46270</v>
      </c>
      <c r="G4189" s="29">
        <v>46270</v>
      </c>
      <c r="H4189" s="1" t="s">
        <v>1625</v>
      </c>
      <c r="I4189" s="175" t="s">
        <v>9300</v>
      </c>
      <c r="J4189" s="207">
        <v>64856904632</v>
      </c>
      <c r="K4189" s="188" t="s">
        <v>9301</v>
      </c>
      <c r="L4189" s="62">
        <v>2</v>
      </c>
      <c r="M4189" s="30">
        <v>7294573939</v>
      </c>
      <c r="N4189" s="172" t="s">
        <v>37</v>
      </c>
      <c r="O4189" s="43">
        <v>5636.59</v>
      </c>
      <c r="P4189" s="43">
        <v>1684.48</v>
      </c>
      <c r="Q4189" s="230">
        <f>OfficeForms.Table[[#This Row],[ INFORMEDEPAGO ]]*0.3</f>
        <v>1690.9770000000001</v>
      </c>
      <c r="R4189" s="231">
        <f t="shared" si="312"/>
        <v>-220.86999999999944</v>
      </c>
      <c r="S4189" s="78">
        <v>46905</v>
      </c>
      <c r="T4189" s="1" t="s">
        <v>259</v>
      </c>
      <c r="U4189" s="97">
        <v>1226.7739999999999</v>
      </c>
      <c r="V4189" s="1"/>
    </row>
    <row r="4190" spans="1:23">
      <c r="A4190">
        <v>2616</v>
      </c>
      <c r="B4190" s="2">
        <v>46270.434722222199</v>
      </c>
      <c r="C4190" s="2">
        <v>46270.4363773148</v>
      </c>
      <c r="D4190" s="1" t="s">
        <v>24</v>
      </c>
      <c r="E4190" s="1"/>
      <c r="F4190" s="29">
        <v>46270</v>
      </c>
      <c r="G4190" s="29">
        <v>46269</v>
      </c>
      <c r="H4190" s="1" t="s">
        <v>269</v>
      </c>
      <c r="I4190" s="175" t="s">
        <v>9302</v>
      </c>
      <c r="J4190" s="207" t="s">
        <v>9303</v>
      </c>
      <c r="K4190" s="188" t="s">
        <v>9304</v>
      </c>
      <c r="L4190" s="62">
        <v>24256578</v>
      </c>
      <c r="M4190" s="30">
        <v>5218211413811</v>
      </c>
      <c r="N4190" s="172" t="s">
        <v>32</v>
      </c>
      <c r="O4190" s="50">
        <v>3779.88</v>
      </c>
      <c r="P4190" s="97"/>
      <c r="Q4190" s="230">
        <f>OfficeForms.Table[[#This Row],[ INFORMEDEPAGO ]]*0.3</f>
        <v>1133.9639999999999</v>
      </c>
      <c r="R4190" s="231">
        <f t="shared" si="312"/>
        <v>0</v>
      </c>
      <c r="S4190" s="78"/>
      <c r="T4190" s="1"/>
      <c r="U4190" s="97"/>
      <c r="V4190" s="1"/>
    </row>
    <row r="4191" spans="1:23">
      <c r="A4191">
        <v>2617</v>
      </c>
      <c r="B4191" s="2">
        <v>46270.451793981498</v>
      </c>
      <c r="C4191" s="2">
        <v>46270.452418981498</v>
      </c>
      <c r="D4191" s="1" t="s">
        <v>24</v>
      </c>
      <c r="E4191" s="1"/>
      <c r="F4191" s="29">
        <v>46270</v>
      </c>
      <c r="G4191" s="29">
        <v>46269</v>
      </c>
      <c r="H4191" s="1" t="s">
        <v>8253</v>
      </c>
      <c r="I4191" s="175" t="s">
        <v>9305</v>
      </c>
      <c r="J4191" s="207"/>
      <c r="K4191" s="188" t="s">
        <v>9306</v>
      </c>
      <c r="L4191" s="62">
        <v>24258068</v>
      </c>
      <c r="M4191" s="30">
        <v>3328001154</v>
      </c>
      <c r="N4191" s="172" t="s">
        <v>32</v>
      </c>
      <c r="O4191" s="50">
        <v>3635.76</v>
      </c>
      <c r="P4191" s="97"/>
      <c r="Q4191" s="230">
        <f>OfficeForms.Table[[#This Row],[ INFORMEDEPAGO ]]*0.3</f>
        <v>1090.7280000000001</v>
      </c>
      <c r="R4191" s="231">
        <f t="shared" si="312"/>
        <v>0</v>
      </c>
      <c r="S4191" s="78"/>
      <c r="T4191" s="1"/>
      <c r="U4191" s="97"/>
      <c r="V4191" s="1"/>
    </row>
    <row r="4192" spans="1:23">
      <c r="A4192">
        <v>2618</v>
      </c>
      <c r="B4192" s="2">
        <v>46270.452025462997</v>
      </c>
      <c r="C4192" s="2">
        <v>46270.452476851897</v>
      </c>
      <c r="D4192" s="1" t="s">
        <v>24</v>
      </c>
      <c r="E4192" s="1"/>
      <c r="F4192" s="29">
        <v>46270</v>
      </c>
      <c r="G4192" s="29">
        <v>46269</v>
      </c>
      <c r="H4192" s="1" t="s">
        <v>269</v>
      </c>
      <c r="I4192" s="175" t="s">
        <v>9307</v>
      </c>
      <c r="J4192" s="207" t="s">
        <v>9308</v>
      </c>
      <c r="K4192" s="188"/>
      <c r="L4192" s="62">
        <v>24255814</v>
      </c>
      <c r="M4192" s="30">
        <v>5218124236801</v>
      </c>
      <c r="N4192" s="172" t="s">
        <v>28</v>
      </c>
      <c r="O4192" s="50">
        <v>10636.54</v>
      </c>
      <c r="P4192" s="97"/>
      <c r="Q4192" s="230">
        <f>OfficeForms.Table[[#This Row],[ INFORMEDEPAGO ]]*0.3</f>
        <v>3190.962</v>
      </c>
      <c r="R4192" s="231">
        <f t="shared" si="312"/>
        <v>3190.962</v>
      </c>
      <c r="S4192" s="78"/>
      <c r="T4192" s="1"/>
      <c r="U4192" s="97"/>
      <c r="V4192" s="1" t="s">
        <v>8291</v>
      </c>
      <c r="W4192" s="29">
        <v>46270</v>
      </c>
    </row>
    <row r="4193" spans="1:23">
      <c r="A4193">
        <v>2619</v>
      </c>
      <c r="B4193" s="2">
        <v>46270.454537037003</v>
      </c>
      <c r="C4193" s="2">
        <v>46270.456365740698</v>
      </c>
      <c r="D4193" s="1" t="s">
        <v>24</v>
      </c>
      <c r="E4193" s="1"/>
      <c r="F4193" s="29">
        <v>46270</v>
      </c>
      <c r="G4193" s="29">
        <v>46268</v>
      </c>
      <c r="H4193" s="1" t="s">
        <v>269</v>
      </c>
      <c r="I4193" s="175" t="s">
        <v>9309</v>
      </c>
      <c r="J4193" s="207" t="s">
        <v>9310</v>
      </c>
      <c r="K4193" s="188" t="s">
        <v>9311</v>
      </c>
      <c r="L4193" s="62">
        <v>24230042</v>
      </c>
      <c r="M4193" s="30">
        <v>5215525390194</v>
      </c>
      <c r="N4193" s="172" t="s">
        <v>28</v>
      </c>
      <c r="O4193" s="43">
        <v>11029.03</v>
      </c>
      <c r="P4193" s="43"/>
      <c r="Q4193" s="230">
        <f>OfficeForms.Table[[#This Row],[ INFORMEDEPAGO ]]*0.3</f>
        <v>3308.7090000000003</v>
      </c>
      <c r="R4193" s="231">
        <f>(IF(O4193&lt;4172.98,0,MIN(O4193*0.3,O4193-4172.98)))-P4193</f>
        <v>3308.7090000000003</v>
      </c>
      <c r="S4193" s="78"/>
      <c r="T4193" s="1"/>
      <c r="U4193" s="97">
        <v>2380.7600000000002</v>
      </c>
      <c r="V4193" s="1" t="s">
        <v>8264</v>
      </c>
      <c r="W4193" s="29">
        <v>46270</v>
      </c>
    </row>
    <row r="4194" spans="1:23">
      <c r="A4194">
        <v>2620</v>
      </c>
      <c r="B4194" s="2">
        <v>46270.458460648202</v>
      </c>
      <c r="C4194" s="2">
        <v>46270.459328703699</v>
      </c>
      <c r="D4194" s="1" t="s">
        <v>24</v>
      </c>
      <c r="E4194" s="1"/>
      <c r="F4194" s="29">
        <v>46270</v>
      </c>
      <c r="G4194" s="29">
        <v>46117</v>
      </c>
      <c r="H4194" s="1" t="s">
        <v>269</v>
      </c>
      <c r="I4194" s="175" t="s">
        <v>9312</v>
      </c>
      <c r="J4194" s="207" t="s">
        <v>9313</v>
      </c>
      <c r="K4194" s="188" t="s">
        <v>9314</v>
      </c>
      <c r="L4194" s="62">
        <v>19289310</v>
      </c>
      <c r="M4194" s="30">
        <v>5213340952437</v>
      </c>
      <c r="N4194" s="172" t="s">
        <v>47</v>
      </c>
      <c r="O4194" s="43">
        <v>9081.5300000000007</v>
      </c>
      <c r="P4194" s="43">
        <v>2380.7600000000002</v>
      </c>
      <c r="Q4194" s="230">
        <f>OfficeForms.Table[[#This Row],[ INFORMEDEPAGO ]]*0.3</f>
        <v>2724.4590000000003</v>
      </c>
      <c r="R4194" s="231">
        <f>(IF(O4194&lt;4172.98,0,MIN(O4194*0.3,O4194-4172.98)))-P4194</f>
        <v>343.69900000000007</v>
      </c>
      <c r="S4194" s="78">
        <v>46784</v>
      </c>
      <c r="T4194" s="1" t="s">
        <v>7516</v>
      </c>
      <c r="U4194" s="97"/>
      <c r="V4194" s="1" t="s">
        <v>8233</v>
      </c>
      <c r="W4194" s="29">
        <v>46270</v>
      </c>
    </row>
    <row r="4195" spans="1:23">
      <c r="A4195">
        <v>2621</v>
      </c>
      <c r="B4195" s="2">
        <v>46270.426597222198</v>
      </c>
      <c r="C4195" s="2">
        <v>46270.471168981501</v>
      </c>
      <c r="D4195" s="1" t="s">
        <v>24</v>
      </c>
      <c r="E4195" s="1"/>
      <c r="F4195" s="29">
        <v>46270</v>
      </c>
      <c r="G4195" s="29">
        <v>46269</v>
      </c>
      <c r="H4195" s="1" t="s">
        <v>8381</v>
      </c>
      <c r="I4195" s="175" t="s">
        <v>9315</v>
      </c>
      <c r="J4195" s="207">
        <v>21612910303</v>
      </c>
      <c r="K4195" s="188" t="s">
        <v>9316</v>
      </c>
      <c r="L4195" s="62">
        <v>24245236</v>
      </c>
      <c r="M4195" s="30">
        <v>5216971109304</v>
      </c>
      <c r="N4195" s="172" t="s">
        <v>37</v>
      </c>
      <c r="O4195" s="43">
        <v>5055.88</v>
      </c>
      <c r="P4195" s="43">
        <v>1300</v>
      </c>
      <c r="Q4195" s="230">
        <f>OfficeForms.Table[[#This Row],[ INFORMEDEPAGO ]]*0.3</f>
        <v>1516.7639999999999</v>
      </c>
      <c r="R4195" s="231">
        <f>(IF(O4195&lt;4172.98,0,MIN(O4195*0.3,O4195-4172.98)))-P4195</f>
        <v>-417.09999999999945</v>
      </c>
      <c r="S4195" s="78">
        <v>46204</v>
      </c>
      <c r="T4195" s="1" t="s">
        <v>7209</v>
      </c>
      <c r="U4195" s="97">
        <v>452</v>
      </c>
      <c r="V4195" s="1"/>
    </row>
    <row r="4196" spans="1:23">
      <c r="A4196">
        <v>2622</v>
      </c>
      <c r="B4196" s="2">
        <v>46270.471203703702</v>
      </c>
      <c r="C4196" s="2">
        <v>46270.476863425902</v>
      </c>
      <c r="D4196" s="1" t="s">
        <v>24</v>
      </c>
      <c r="E4196" s="1"/>
      <c r="F4196" s="29">
        <v>46270</v>
      </c>
      <c r="G4196" s="29">
        <v>46269</v>
      </c>
      <c r="H4196" s="1" t="s">
        <v>8381</v>
      </c>
      <c r="I4196" s="175" t="s">
        <v>9317</v>
      </c>
      <c r="J4196" s="207"/>
      <c r="K4196" s="188" t="s">
        <v>9318</v>
      </c>
      <c r="L4196" s="62">
        <v>24245236</v>
      </c>
      <c r="M4196" s="30">
        <v>5216971109304</v>
      </c>
      <c r="N4196" s="172" t="s">
        <v>32</v>
      </c>
      <c r="O4196" s="50">
        <f>3021.36+848</f>
        <v>3869.36</v>
      </c>
      <c r="P4196" s="97">
        <v>848</v>
      </c>
      <c r="Q4196" s="230">
        <f>OfficeForms.Table[[#This Row],[ INFORMEDEPAGO ]]*0.3</f>
        <v>1160.808</v>
      </c>
      <c r="R4196" s="231">
        <f>(IF(O4196&lt;4172.98,0,MIN(O4196*0.3,O4196-4172.98)))-P4196</f>
        <v>-848</v>
      </c>
      <c r="S4196" s="78"/>
      <c r="T4196" s="1"/>
      <c r="U4196" s="97"/>
      <c r="V4196" s="1"/>
    </row>
    <row r="4197" spans="1:23">
      <c r="A4197">
        <v>2623</v>
      </c>
      <c r="B4197" s="2">
        <v>46270.432916666701</v>
      </c>
      <c r="C4197" s="2">
        <v>46270.478576388901</v>
      </c>
      <c r="D4197" s="1" t="s">
        <v>24</v>
      </c>
      <c r="E4197" s="1"/>
      <c r="F4197" s="29">
        <v>46270</v>
      </c>
      <c r="G4197" s="29">
        <v>46270</v>
      </c>
      <c r="H4197" s="1" t="s">
        <v>1625</v>
      </c>
      <c r="I4197" s="175" t="s">
        <v>9319</v>
      </c>
      <c r="J4197" s="207">
        <v>54836430899</v>
      </c>
      <c r="K4197" s="188" t="s">
        <v>9320</v>
      </c>
      <c r="L4197" s="62">
        <v>2</v>
      </c>
      <c r="M4197" s="30">
        <v>3329915838</v>
      </c>
      <c r="N4197" s="172" t="s">
        <v>37</v>
      </c>
      <c r="O4197" s="43">
        <v>9760.32</v>
      </c>
      <c r="P4197" s="43">
        <v>2926.9</v>
      </c>
      <c r="Q4197" s="230">
        <f>OfficeForms.Table[[#This Row],[ INFORMEDEPAGO ]]*0.3</f>
        <v>2928.096</v>
      </c>
      <c r="R4197" s="231">
        <f>(IF(O4197&lt;4172.98,0,MIN(O4197*0.3,O4197-4172.98)))-P4197</f>
        <v>1.1959999999999127</v>
      </c>
      <c r="S4197" s="78">
        <v>46813</v>
      </c>
      <c r="T4197" s="1" t="s">
        <v>7516</v>
      </c>
      <c r="U4197" s="97">
        <v>897.75</v>
      </c>
      <c r="V4197" s="1"/>
    </row>
    <row r="4198" spans="1:23">
      <c r="A4198">
        <v>2624</v>
      </c>
      <c r="B4198" s="2">
        <v>46270.466087963003</v>
      </c>
      <c r="C4198" s="2">
        <v>46270.478668981501</v>
      </c>
      <c r="D4198" s="1" t="s">
        <v>24</v>
      </c>
      <c r="E4198" s="1"/>
      <c r="F4198" s="29">
        <v>46270</v>
      </c>
      <c r="G4198" s="29">
        <v>46270</v>
      </c>
      <c r="H4198" s="1" t="s">
        <v>269</v>
      </c>
      <c r="I4198" s="175" t="s">
        <v>9321</v>
      </c>
      <c r="J4198" s="207" t="s">
        <v>9322</v>
      </c>
      <c r="K4198" s="188" t="s">
        <v>9323</v>
      </c>
      <c r="L4198" s="62">
        <v>24263922</v>
      </c>
      <c r="M4198" s="30">
        <v>5218143015040</v>
      </c>
      <c r="N4198" s="172" t="s">
        <v>37</v>
      </c>
      <c r="O4198" s="43">
        <v>10171.24</v>
      </c>
      <c r="P4198" s="43">
        <v>2942.53</v>
      </c>
      <c r="Q4198" s="230">
        <f>OfficeForms.Table[[#This Row],[ INFORMEDEPAGO ]]*0.3</f>
        <v>3051.3719999999998</v>
      </c>
      <c r="R4198" s="231">
        <f>(IF(O4198&lt;4172.98,0,MIN(O4198*0.3,O4198-4172.98)))-P4198</f>
        <v>108.84199999999964</v>
      </c>
      <c r="S4198" s="78">
        <v>46600</v>
      </c>
      <c r="T4198" s="1" t="s">
        <v>8319</v>
      </c>
      <c r="U4198" s="97">
        <v>2942.53</v>
      </c>
      <c r="V4198" s="1"/>
    </row>
    <row r="4199" spans="1:23">
      <c r="A4199">
        <v>2625</v>
      </c>
      <c r="B4199" s="2">
        <v>46270.4824421296</v>
      </c>
      <c r="C4199" s="2">
        <v>46270.483946759297</v>
      </c>
      <c r="D4199" s="1" t="s">
        <v>24</v>
      </c>
      <c r="E4199" s="1"/>
      <c r="F4199" s="29">
        <v>46270</v>
      </c>
      <c r="G4199" s="29">
        <v>46270</v>
      </c>
      <c r="H4199" s="1" t="s">
        <v>8253</v>
      </c>
      <c r="I4199" s="175" t="s">
        <v>9324</v>
      </c>
      <c r="J4199" s="207" t="s">
        <v>9325</v>
      </c>
      <c r="K4199" s="188" t="s">
        <v>9326</v>
      </c>
      <c r="L4199" s="119">
        <v>24258488</v>
      </c>
      <c r="M4199" s="234">
        <v>6641842705</v>
      </c>
      <c r="N4199" s="172" t="s">
        <v>263</v>
      </c>
      <c r="O4199" s="43">
        <v>5608.61</v>
      </c>
      <c r="P4199" s="43">
        <v>1379.06</v>
      </c>
      <c r="Q4199" s="230">
        <f>OfficeForms.Table[[#This Row],[ INFORMEDEPAGO ]]*0.3</f>
        <v>1682.5829999999999</v>
      </c>
      <c r="R4199" s="231">
        <f>(IF(O4199&lt;4172.98,0,MIN(O4199*0.3,O4199-4172.98)))-P4199</f>
        <v>56.570000000000164</v>
      </c>
      <c r="S4199" s="78">
        <v>45352</v>
      </c>
      <c r="T4199" s="1" t="s">
        <v>192</v>
      </c>
      <c r="U4199" s="43">
        <v>1379.06</v>
      </c>
      <c r="V4199" s="1" t="s">
        <v>8291</v>
      </c>
      <c r="W4199" s="29">
        <v>46270</v>
      </c>
    </row>
    <row r="4200" spans="1:23">
      <c r="A4200">
        <v>2626</v>
      </c>
      <c r="B4200" s="2">
        <v>46270.479814814797</v>
      </c>
      <c r="C4200" s="2">
        <v>46270.485659722202</v>
      </c>
      <c r="D4200" s="1" t="s">
        <v>24</v>
      </c>
      <c r="E4200" s="1"/>
      <c r="F4200" s="29">
        <v>46270</v>
      </c>
      <c r="G4200" s="29">
        <v>46270</v>
      </c>
      <c r="H4200" s="1" t="s">
        <v>78</v>
      </c>
      <c r="I4200" s="175" t="s">
        <v>9327</v>
      </c>
      <c r="J4200" s="208" t="s">
        <v>9328</v>
      </c>
      <c r="K4200" s="188" t="s">
        <v>9329</v>
      </c>
      <c r="L4200" s="62">
        <v>24263240</v>
      </c>
      <c r="M4200" s="30">
        <v>5213340897364</v>
      </c>
      <c r="N4200" s="172" t="s">
        <v>32</v>
      </c>
      <c r="O4200" s="97">
        <f>34526.47-30245.07</f>
        <v>4281.4000000000015</v>
      </c>
      <c r="P4200" s="97"/>
      <c r="Q4200" s="230">
        <f>OfficeForms.Table[[#This Row],[ INFORMEDEPAGO ]]*0.3</f>
        <v>1284.4200000000003</v>
      </c>
      <c r="R4200" s="231">
        <f>(IF(O4200&lt;4172.98,0,MIN(O4200*0.3,O4200-4172.98)))-P4200</f>
        <v>108.42000000000189</v>
      </c>
      <c r="S4200" s="78"/>
      <c r="T4200" s="1"/>
      <c r="U4200" s="97"/>
      <c r="V4200" s="1"/>
    </row>
    <row r="4201" spans="1:23">
      <c r="A4201">
        <v>2627</v>
      </c>
      <c r="B4201" s="2">
        <v>46270.494965277801</v>
      </c>
      <c r="C4201" s="2">
        <v>46270.495925925898</v>
      </c>
      <c r="D4201" s="1" t="s">
        <v>24</v>
      </c>
      <c r="E4201" s="1"/>
      <c r="F4201" s="29">
        <v>46270</v>
      </c>
      <c r="G4201" s="29">
        <v>46270</v>
      </c>
      <c r="H4201" s="1" t="s">
        <v>269</v>
      </c>
      <c r="I4201" s="175" t="s">
        <v>9330</v>
      </c>
      <c r="J4201" s="207" t="s">
        <v>9331</v>
      </c>
      <c r="K4201" s="188" t="s">
        <v>9332</v>
      </c>
      <c r="L4201" s="62">
        <v>24259562</v>
      </c>
      <c r="M4201" s="30">
        <v>5215545064181</v>
      </c>
      <c r="N4201" s="172" t="s">
        <v>47</v>
      </c>
      <c r="O4201" s="43">
        <v>25970.240000000002</v>
      </c>
      <c r="P4201" s="43">
        <v>6950.85</v>
      </c>
      <c r="Q4201" s="230">
        <f>OfficeForms.Table[[#This Row],[ INFORMEDEPAGO ]]*0.3</f>
        <v>7791.0720000000001</v>
      </c>
      <c r="R4201" s="231">
        <f>(IF(O4201&lt;4172.98,0,MIN(O4201*0.3,O4201-4172.98)))-P4201</f>
        <v>840.22199999999975</v>
      </c>
      <c r="S4201" s="78">
        <v>46327</v>
      </c>
      <c r="T4201" s="1" t="s">
        <v>6855</v>
      </c>
      <c r="U4201" s="43">
        <v>6950.85</v>
      </c>
      <c r="V4201" s="1" t="s">
        <v>8233</v>
      </c>
      <c r="W4201" s="29">
        <v>46270</v>
      </c>
    </row>
    <row r="4202" spans="1:23">
      <c r="A4202">
        <v>2628</v>
      </c>
      <c r="B4202" s="2">
        <v>46270.497233796297</v>
      </c>
      <c r="C4202" s="2">
        <v>46270.497835648101</v>
      </c>
      <c r="D4202" s="1" t="s">
        <v>24</v>
      </c>
      <c r="E4202" s="1"/>
      <c r="F4202" s="29">
        <v>46270</v>
      </c>
      <c r="G4202" s="29">
        <v>46269</v>
      </c>
      <c r="H4202" s="1" t="s">
        <v>269</v>
      </c>
      <c r="I4202" s="175" t="s">
        <v>9333</v>
      </c>
      <c r="J4202" s="207" t="s">
        <v>9334</v>
      </c>
      <c r="K4202" s="188" t="s">
        <v>9335</v>
      </c>
      <c r="L4202" s="62">
        <v>24258060</v>
      </c>
      <c r="M4202" s="30">
        <v>5218115042012</v>
      </c>
      <c r="N4202" s="172" t="s">
        <v>37</v>
      </c>
      <c r="O4202" s="43">
        <v>9760.32</v>
      </c>
      <c r="P4202" s="43">
        <v>2923.83</v>
      </c>
      <c r="Q4202" s="230">
        <f>OfficeForms.Table[[#This Row],[ INFORMEDEPAGO ]]*0.3</f>
        <v>2928.096</v>
      </c>
      <c r="R4202" s="231">
        <f>(IF(O4202&lt;4172.98,0,MIN(O4202*0.3,O4202-4172.98)))-P4202</f>
        <v>4.2660000000000764</v>
      </c>
      <c r="S4202" s="78">
        <v>46874</v>
      </c>
      <c r="T4202" s="1" t="s">
        <v>8319</v>
      </c>
      <c r="U4202" s="97">
        <v>2923.83</v>
      </c>
      <c r="V4202" s="1"/>
    </row>
    <row r="4203" spans="1:23">
      <c r="A4203">
        <v>2629</v>
      </c>
      <c r="B4203" s="2">
        <v>46270.476909722202</v>
      </c>
      <c r="C4203" s="2">
        <v>46270.515590277799</v>
      </c>
      <c r="D4203" s="1" t="s">
        <v>24</v>
      </c>
      <c r="E4203" s="1"/>
      <c r="F4203" s="29">
        <v>46270</v>
      </c>
      <c r="G4203" s="29">
        <v>46269</v>
      </c>
      <c r="H4203" s="1" t="s">
        <v>8381</v>
      </c>
      <c r="I4203" s="175" t="s">
        <v>9336</v>
      </c>
      <c r="J4203" s="207">
        <v>2374502335</v>
      </c>
      <c r="K4203" s="188" t="s">
        <v>9337</v>
      </c>
      <c r="L4203" s="62">
        <v>24257908</v>
      </c>
      <c r="M4203" s="30">
        <v>5216671061614</v>
      </c>
      <c r="N4203" s="172" t="s">
        <v>32</v>
      </c>
      <c r="O4203" s="50">
        <v>3880.85</v>
      </c>
      <c r="P4203" s="97"/>
      <c r="Q4203" s="230">
        <f>OfficeForms.Table[[#This Row],[ INFORMEDEPAGO ]]*0.3</f>
        <v>1164.2549999999999</v>
      </c>
      <c r="R4203" s="231">
        <f>(IF(O4203&lt;4172.98,0,MIN(O4203*0.3,O4203-4172.98)))-P4203</f>
        <v>0</v>
      </c>
      <c r="S4203" s="78"/>
      <c r="T4203" s="1"/>
      <c r="U4203" s="97"/>
      <c r="V4203" s="1"/>
    </row>
    <row r="4204" spans="1:23">
      <c r="A4204">
        <v>2630</v>
      </c>
      <c r="B4204" s="2">
        <v>46270.515034722201</v>
      </c>
      <c r="C4204" s="2">
        <v>46270.5160300926</v>
      </c>
      <c r="D4204" s="1" t="s">
        <v>24</v>
      </c>
      <c r="E4204" s="1"/>
      <c r="F4204" s="29">
        <v>46270</v>
      </c>
      <c r="G4204" s="29">
        <v>46270</v>
      </c>
      <c r="H4204" s="1" t="s">
        <v>8253</v>
      </c>
      <c r="I4204" s="175" t="s">
        <v>9338</v>
      </c>
      <c r="J4204" s="207">
        <v>8380620113</v>
      </c>
      <c r="K4204" s="188" t="s">
        <v>9339</v>
      </c>
      <c r="L4204" s="62">
        <v>24263942</v>
      </c>
      <c r="M4204" s="30">
        <v>9618254040</v>
      </c>
      <c r="N4204" s="172" t="s">
        <v>74</v>
      </c>
      <c r="O4204" s="50"/>
      <c r="P4204" s="97"/>
      <c r="Q4204" s="230">
        <f>OfficeForms.Table[[#This Row],[ INFORMEDEPAGO ]]*0.3</f>
        <v>0</v>
      </c>
      <c r="R4204" s="231">
        <f>(IF(O4204&lt;4172.98,0,MIN(O4204*0.3,O4204-4172.98)))-P4204</f>
        <v>0</v>
      </c>
      <c r="S4204" s="78"/>
      <c r="T4204" s="1"/>
      <c r="U4204" s="97"/>
      <c r="V4204" s="1"/>
    </row>
    <row r="4205" spans="1:23">
      <c r="A4205">
        <v>2631</v>
      </c>
      <c r="B4205" s="2">
        <v>46270.515613425901</v>
      </c>
      <c r="C4205" s="2">
        <v>46270.536574074104</v>
      </c>
      <c r="D4205" s="1" t="s">
        <v>24</v>
      </c>
      <c r="E4205" s="1"/>
      <c r="F4205" s="29">
        <v>46270</v>
      </c>
      <c r="G4205" s="29">
        <v>46270</v>
      </c>
      <c r="H4205" s="1" t="s">
        <v>8381</v>
      </c>
      <c r="I4205" s="175" t="s">
        <v>9340</v>
      </c>
      <c r="J4205" s="207">
        <v>54887132436</v>
      </c>
      <c r="K4205" s="188" t="s">
        <v>9341</v>
      </c>
      <c r="L4205" s="62">
        <v>24262416</v>
      </c>
      <c r="M4205" s="30">
        <v>5213921597416</v>
      </c>
      <c r="N4205" t="s">
        <v>47</v>
      </c>
      <c r="O4205" s="43">
        <v>6411.47</v>
      </c>
      <c r="P4205" s="43">
        <v>1288.28</v>
      </c>
      <c r="Q4205" s="230">
        <f>OfficeForms.Table[[#This Row],[ INFORMEDEPAGO ]]*0.3</f>
        <v>1923.441</v>
      </c>
      <c r="R4205" s="231">
        <f>(IF(O4205&lt;4172.98,0,MIN(O4205*0.3,O4205-4172.98)))-P4205</f>
        <v>635.16100000000006</v>
      </c>
      <c r="S4205" s="235">
        <v>46508</v>
      </c>
      <c r="T4205" t="s">
        <v>7516</v>
      </c>
      <c r="U4205" s="98">
        <v>1288.28</v>
      </c>
      <c r="V4205" s="1" t="s">
        <v>8233</v>
      </c>
      <c r="W4205" s="29">
        <v>46270</v>
      </c>
    </row>
    <row r="4206" spans="1:23">
      <c r="A4206">
        <v>2632</v>
      </c>
      <c r="B4206" s="2">
        <v>46270.551712963003</v>
      </c>
      <c r="C4206" s="2">
        <v>46270.5524421296</v>
      </c>
      <c r="D4206" s="1" t="s">
        <v>24</v>
      </c>
      <c r="E4206" s="1"/>
      <c r="F4206" s="29">
        <v>46270</v>
      </c>
      <c r="G4206" s="29">
        <v>46269</v>
      </c>
      <c r="H4206" s="1" t="s">
        <v>8253</v>
      </c>
      <c r="I4206" s="175" t="s">
        <v>9342</v>
      </c>
      <c r="J4206" s="207"/>
      <c r="K4206" s="188" t="s">
        <v>9343</v>
      </c>
      <c r="L4206" s="62">
        <v>24256820</v>
      </c>
      <c r="M4206" s="30">
        <v>9211413639</v>
      </c>
      <c r="N4206" s="171" t="s">
        <v>32</v>
      </c>
      <c r="O4206" s="50">
        <f>3494.43+848</f>
        <v>4342.43</v>
      </c>
      <c r="P4206" s="97">
        <v>848</v>
      </c>
      <c r="Q4206" s="230">
        <f>OfficeForms.Table[[#This Row],[ INFORMEDEPAGO ]]*0.3</f>
        <v>1302.729</v>
      </c>
      <c r="R4206" s="231">
        <f>(IF(O4206&lt;4172.98,0,MIN(O4206*0.3,O4206-4172.98)))-P4206</f>
        <v>-678.54999999999927</v>
      </c>
      <c r="T4206" s="1"/>
      <c r="V4206" s="1"/>
    </row>
    <row r="4207" spans="1:23">
      <c r="A4207">
        <v>2633</v>
      </c>
      <c r="B4207" s="2">
        <v>46270.602222222202</v>
      </c>
      <c r="C4207" s="2">
        <v>46270.602708333303</v>
      </c>
      <c r="D4207" s="1" t="s">
        <v>24</v>
      </c>
      <c r="E4207" s="1"/>
      <c r="F4207" s="29">
        <v>46270</v>
      </c>
      <c r="G4207" s="29">
        <v>46269</v>
      </c>
      <c r="H4207" s="1" t="s">
        <v>269</v>
      </c>
      <c r="I4207" s="175" t="s">
        <v>9344</v>
      </c>
      <c r="J4207" s="207"/>
      <c r="K4207" s="188" t="s">
        <v>9345</v>
      </c>
      <c r="L4207" s="237">
        <v>24258240</v>
      </c>
      <c r="M4207" s="30">
        <v>5216444616096</v>
      </c>
      <c r="N4207" s="171" t="s">
        <v>28</v>
      </c>
      <c r="O4207" s="50">
        <v>60491.66</v>
      </c>
      <c r="P4207" s="97"/>
      <c r="Q4207" s="230">
        <f>OfficeForms.Table[[#This Row],[ INFORMEDEPAGO ]]*0.3</f>
        <v>18147.498</v>
      </c>
      <c r="R4207" s="231">
        <f t="shared" ref="R4207:R4262" si="313">(IF(O4207&lt;4172.98,0,MIN(O4207*0.3,O4207-4172.98)))-P4207</f>
        <v>18147.498</v>
      </c>
      <c r="T4207" s="1"/>
      <c r="V4207" s="1" t="s">
        <v>8456</v>
      </c>
      <c r="W4207" s="29">
        <v>46272</v>
      </c>
    </row>
    <row r="4208" spans="1:23">
      <c r="A4208">
        <v>2634</v>
      </c>
      <c r="B4208" s="2">
        <v>46270.601400462998</v>
      </c>
      <c r="C4208" s="2">
        <v>46270.604317129597</v>
      </c>
      <c r="D4208" s="1" t="s">
        <v>24</v>
      </c>
      <c r="E4208" s="1"/>
      <c r="F4208" s="29">
        <v>46270</v>
      </c>
      <c r="G4208" s="29">
        <v>46269</v>
      </c>
      <c r="H4208" s="1" t="s">
        <v>8381</v>
      </c>
      <c r="I4208" s="175" t="s">
        <v>9346</v>
      </c>
      <c r="J4208" s="207">
        <v>43715436317</v>
      </c>
      <c r="K4208" s="188" t="s">
        <v>9347</v>
      </c>
      <c r="L4208" s="62">
        <v>24256098</v>
      </c>
      <c r="M4208" s="30">
        <v>5218123507464</v>
      </c>
      <c r="N4208" s="171" t="s">
        <v>37</v>
      </c>
      <c r="O4208" s="50">
        <v>6056.66</v>
      </c>
      <c r="P4208" s="97">
        <v>1799.28</v>
      </c>
      <c r="Q4208" s="230">
        <f>OfficeForms.Table[[#This Row],[ INFORMEDEPAGO ]]*0.3</f>
        <v>1816.9979999999998</v>
      </c>
      <c r="R4208" s="231">
        <f t="shared" si="313"/>
        <v>17.717999999999847</v>
      </c>
      <c r="S4208" s="74">
        <v>46844</v>
      </c>
      <c r="T4208" s="1" t="s">
        <v>84</v>
      </c>
      <c r="U4208" s="98">
        <v>1799.28</v>
      </c>
      <c r="V4208" s="1"/>
    </row>
    <row r="4209" spans="1:23">
      <c r="A4209">
        <v>2635</v>
      </c>
      <c r="B4209" s="2">
        <v>46270.615543981497</v>
      </c>
      <c r="C4209" s="2">
        <v>46270.6159259259</v>
      </c>
      <c r="D4209" s="1" t="s">
        <v>24</v>
      </c>
      <c r="E4209" s="1"/>
      <c r="F4209" s="29">
        <v>46270</v>
      </c>
      <c r="G4209" s="29">
        <v>46270</v>
      </c>
      <c r="H4209" s="1" t="s">
        <v>269</v>
      </c>
      <c r="I4209" s="175" t="s">
        <v>9348</v>
      </c>
      <c r="J4209" s="207"/>
      <c r="K4209" s="188" t="s">
        <v>9349</v>
      </c>
      <c r="L4209" s="62">
        <v>24264720</v>
      </c>
      <c r="M4209" s="30">
        <v>5219989328276</v>
      </c>
      <c r="N4209" s="171" t="s">
        <v>130</v>
      </c>
      <c r="O4209" s="50">
        <f>6576.82+970.78+742.22+791.7</f>
        <v>9081.52</v>
      </c>
      <c r="P4209" s="97">
        <f>970.78+742.22+791.7</f>
        <v>2504.6999999999998</v>
      </c>
      <c r="Q4209" s="230">
        <f>OfficeForms.Table[[#This Row],[ INFORMEDEPAGO ]]*0.3</f>
        <v>2724.4560000000001</v>
      </c>
      <c r="R4209" s="231">
        <f t="shared" si="313"/>
        <v>219.75600000000031</v>
      </c>
      <c r="S4209" s="74">
        <v>46235</v>
      </c>
      <c r="T4209" s="1" t="s">
        <v>7209</v>
      </c>
      <c r="U4209" s="98">
        <v>742.22</v>
      </c>
      <c r="V4209" s="1" t="s">
        <v>8233</v>
      </c>
      <c r="W4209" s="29">
        <v>46272</v>
      </c>
    </row>
    <row r="4210" spans="1:23">
      <c r="A4210">
        <v>2636</v>
      </c>
      <c r="B4210" s="2">
        <v>46270.604340277801</v>
      </c>
      <c r="C4210" s="2">
        <v>46270.620682870402</v>
      </c>
      <c r="D4210" s="1" t="s">
        <v>24</v>
      </c>
      <c r="E4210" s="1"/>
      <c r="F4210" s="29">
        <v>46270</v>
      </c>
      <c r="G4210" s="29">
        <v>46270</v>
      </c>
      <c r="H4210" s="1" t="s">
        <v>8381</v>
      </c>
      <c r="I4210" s="175" t="s">
        <v>9350</v>
      </c>
      <c r="J4210" s="207">
        <v>47917432446</v>
      </c>
      <c r="K4210" s="188"/>
      <c r="L4210" s="62">
        <v>24261406</v>
      </c>
      <c r="M4210" s="30">
        <v>5218132806335</v>
      </c>
      <c r="N4210" s="171" t="s">
        <v>98</v>
      </c>
      <c r="O4210" s="50"/>
      <c r="P4210" s="97"/>
      <c r="Q4210" s="230">
        <f>OfficeForms.Table[[#This Row],[ INFORMEDEPAGO ]]*0.3</f>
        <v>0</v>
      </c>
      <c r="R4210" s="231">
        <f t="shared" si="313"/>
        <v>0</v>
      </c>
      <c r="T4210" s="1"/>
      <c r="V4210" s="1"/>
    </row>
    <row r="4211" spans="1:23">
      <c r="A4211">
        <v>2637</v>
      </c>
      <c r="B4211" s="2">
        <v>46270.621689814798</v>
      </c>
      <c r="C4211" s="2">
        <v>46270.633923611102</v>
      </c>
      <c r="D4211" s="1" t="s">
        <v>24</v>
      </c>
      <c r="E4211" s="1"/>
      <c r="F4211" s="29">
        <v>46270</v>
      </c>
      <c r="G4211" s="29">
        <v>46269</v>
      </c>
      <c r="H4211" s="1" t="s">
        <v>269</v>
      </c>
      <c r="I4211" s="175" t="s">
        <v>9351</v>
      </c>
      <c r="J4211" s="207" t="s">
        <v>9352</v>
      </c>
      <c r="K4211" s="188" t="s">
        <v>9353</v>
      </c>
      <c r="L4211" s="62">
        <v>24257060</v>
      </c>
      <c r="M4211" s="30">
        <v>5215638945077</v>
      </c>
      <c r="N4211" s="171" t="s">
        <v>74</v>
      </c>
      <c r="O4211" s="50"/>
      <c r="P4211" s="97"/>
      <c r="Q4211" s="230">
        <f>OfficeForms.Table[[#This Row],[ INFORMEDEPAGO ]]*0.3</f>
        <v>0</v>
      </c>
      <c r="R4211" s="231">
        <f t="shared" si="313"/>
        <v>0</v>
      </c>
      <c r="T4211" s="1"/>
      <c r="V4211" s="1"/>
    </row>
    <row r="4212" spans="1:23">
      <c r="A4212">
        <v>2638</v>
      </c>
      <c r="B4212" s="2">
        <v>46270.629976851902</v>
      </c>
      <c r="C4212" s="2">
        <v>46270.635625000003</v>
      </c>
      <c r="D4212" s="1" t="s">
        <v>24</v>
      </c>
      <c r="E4212" s="1"/>
      <c r="F4212" s="29">
        <v>46270</v>
      </c>
      <c r="G4212" s="29">
        <v>46270</v>
      </c>
      <c r="H4212" s="1" t="s">
        <v>78</v>
      </c>
      <c r="I4212" s="175" t="s">
        <v>9354</v>
      </c>
      <c r="J4212" s="207">
        <v>21927448072</v>
      </c>
      <c r="K4212" s="188" t="s">
        <v>9355</v>
      </c>
      <c r="L4212" s="62">
        <v>24266422</v>
      </c>
      <c r="M4212" s="30">
        <v>5216572896967</v>
      </c>
      <c r="N4212" s="171" t="s">
        <v>37</v>
      </c>
      <c r="O4212" s="52">
        <v>8528.15</v>
      </c>
      <c r="P4212" s="52">
        <v>2557.5500000000002</v>
      </c>
      <c r="Q4212" s="230">
        <f>OfficeForms.Table[[#This Row],[ INFORMEDEPAGO ]]*0.3</f>
        <v>2558.4449999999997</v>
      </c>
      <c r="R4212" s="231">
        <f t="shared" si="313"/>
        <v>0.89499999999952706</v>
      </c>
      <c r="S4212" s="74">
        <v>46357</v>
      </c>
      <c r="T4212" s="1" t="s">
        <v>7516</v>
      </c>
      <c r="U4212" s="98">
        <v>777</v>
      </c>
      <c r="V4212" s="1"/>
    </row>
    <row r="4213" spans="1:23">
      <c r="A4213">
        <v>2639</v>
      </c>
      <c r="B4213" s="2">
        <v>46270.620706018497</v>
      </c>
      <c r="C4213" s="2">
        <v>46270.635787036997</v>
      </c>
      <c r="D4213" s="1" t="s">
        <v>24</v>
      </c>
      <c r="E4213" s="1"/>
      <c r="F4213" s="29">
        <v>46270</v>
      </c>
      <c r="G4213" s="29">
        <v>46270</v>
      </c>
      <c r="H4213" s="1" t="s">
        <v>8381</v>
      </c>
      <c r="I4213" s="175" t="s">
        <v>9356</v>
      </c>
      <c r="J4213" s="207">
        <v>12826421146</v>
      </c>
      <c r="K4213" s="188" t="s">
        <v>9357</v>
      </c>
      <c r="L4213" s="62">
        <v>24268170</v>
      </c>
      <c r="M4213" s="30">
        <v>5214622356721</v>
      </c>
      <c r="N4213" s="171" t="s">
        <v>28</v>
      </c>
      <c r="O4213" s="52">
        <v>9081.52</v>
      </c>
      <c r="P4213" s="52">
        <v>706.77</v>
      </c>
      <c r="Q4213" s="230">
        <f>OfficeForms.Table[[#This Row],[ INFORMEDEPAGO ]]*0.3</f>
        <v>2724.4560000000001</v>
      </c>
      <c r="R4213" s="231">
        <f t="shared" si="313"/>
        <v>2017.6860000000001</v>
      </c>
      <c r="S4213" s="74">
        <v>46600</v>
      </c>
      <c r="T4213" s="1" t="s">
        <v>178</v>
      </c>
      <c r="U4213" s="98">
        <v>706.77</v>
      </c>
      <c r="V4213" s="1" t="s">
        <v>8436</v>
      </c>
      <c r="W4213" s="29">
        <v>46272</v>
      </c>
    </row>
    <row r="4214" spans="1:23">
      <c r="A4214">
        <v>2640</v>
      </c>
      <c r="B4214" s="2">
        <v>46270.632662037002</v>
      </c>
      <c r="C4214" s="2">
        <v>46270.636863425898</v>
      </c>
      <c r="D4214" s="1" t="s">
        <v>24</v>
      </c>
      <c r="E4214" s="1"/>
      <c r="F4214" s="29">
        <v>46270</v>
      </c>
      <c r="G4214" s="29">
        <v>46269</v>
      </c>
      <c r="H4214" s="1" t="s">
        <v>78</v>
      </c>
      <c r="I4214" s="175" t="s">
        <v>9358</v>
      </c>
      <c r="J4214" s="207"/>
      <c r="K4214" s="188" t="s">
        <v>9359</v>
      </c>
      <c r="L4214" s="62">
        <v>24254170</v>
      </c>
      <c r="M4214" s="30">
        <v>5219611777400</v>
      </c>
      <c r="N4214" s="171" t="s">
        <v>106</v>
      </c>
      <c r="O4214" s="52">
        <v>10841.91</v>
      </c>
      <c r="P4214" s="52">
        <v>2876</v>
      </c>
      <c r="Q4214" s="230">
        <f>OfficeForms.Table[[#This Row],[ INFORMEDEPAGO ]]*0.3</f>
        <v>3252.5729999999999</v>
      </c>
      <c r="R4214" s="231">
        <f t="shared" si="313"/>
        <v>376.57299999999987</v>
      </c>
      <c r="S4214" s="74">
        <v>45809</v>
      </c>
      <c r="T4214" s="1" t="s">
        <v>8319</v>
      </c>
      <c r="U4214" s="98">
        <v>2876</v>
      </c>
      <c r="V4214" s="1" t="s">
        <v>8328</v>
      </c>
      <c r="W4214" s="29">
        <v>46272</v>
      </c>
    </row>
    <row r="4215" spans="1:23">
      <c r="A4215">
        <v>2641</v>
      </c>
      <c r="B4215" s="2">
        <v>46270.635821759301</v>
      </c>
      <c r="C4215" s="2">
        <v>46270.646724537</v>
      </c>
      <c r="D4215" s="1" t="s">
        <v>24</v>
      </c>
      <c r="E4215" s="1"/>
      <c r="F4215" s="29">
        <v>46270</v>
      </c>
      <c r="G4215" s="29">
        <v>46270</v>
      </c>
      <c r="H4215" s="1" t="s">
        <v>8381</v>
      </c>
      <c r="I4215" s="175" t="s">
        <v>9360</v>
      </c>
      <c r="J4215" s="207">
        <v>52806009842</v>
      </c>
      <c r="K4215" s="188" t="s">
        <v>9361</v>
      </c>
      <c r="L4215" s="62">
        <v>24268034</v>
      </c>
      <c r="M4215" s="30">
        <v>5213122988767</v>
      </c>
      <c r="N4215" s="171" t="s">
        <v>106</v>
      </c>
      <c r="O4215" s="52">
        <v>16760.2</v>
      </c>
      <c r="P4215" s="52">
        <v>4848.95</v>
      </c>
      <c r="Q4215" s="230">
        <f>OfficeForms.Table[[#This Row],[ INFORMEDEPAGO ]]*0.3</f>
        <v>5028.0600000000004</v>
      </c>
      <c r="R4215" s="231">
        <f t="shared" si="313"/>
        <v>179.11000000000058</v>
      </c>
      <c r="S4215" s="74">
        <v>46235</v>
      </c>
      <c r="T4215" s="1" t="s">
        <v>8415</v>
      </c>
      <c r="U4215" s="98">
        <v>4110.96</v>
      </c>
      <c r="V4215" s="1" t="s">
        <v>8936</v>
      </c>
      <c r="W4215" s="29">
        <v>46272</v>
      </c>
    </row>
    <row r="4216" spans="1:23">
      <c r="A4216">
        <v>2642</v>
      </c>
      <c r="B4216" s="2">
        <v>46270.659027777801</v>
      </c>
      <c r="C4216" s="2">
        <v>46270.659456018497</v>
      </c>
      <c r="D4216" s="1" t="s">
        <v>24</v>
      </c>
      <c r="E4216" s="1"/>
      <c r="F4216" s="29">
        <v>46270</v>
      </c>
      <c r="G4216" s="29">
        <v>46270</v>
      </c>
      <c r="H4216" s="1" t="s">
        <v>269</v>
      </c>
      <c r="I4216" s="175" t="s">
        <v>9362</v>
      </c>
      <c r="J4216" s="207"/>
      <c r="K4216" s="188" t="s">
        <v>9363</v>
      </c>
      <c r="L4216" s="62">
        <v>24266598</v>
      </c>
      <c r="M4216" s="30">
        <v>5212225933844</v>
      </c>
      <c r="N4216" s="171" t="s">
        <v>28</v>
      </c>
      <c r="O4216" s="50">
        <v>7920.51</v>
      </c>
      <c r="P4216" s="97"/>
      <c r="Q4216" s="230">
        <f>OfficeForms.Table[[#This Row],[ INFORMEDEPAGO ]]*0.3</f>
        <v>2376.1529999999998</v>
      </c>
      <c r="R4216" s="231">
        <f t="shared" si="313"/>
        <v>2376.1529999999998</v>
      </c>
      <c r="T4216" s="1"/>
      <c r="V4216" s="1" t="s">
        <v>8280</v>
      </c>
      <c r="W4216" s="29">
        <v>46272</v>
      </c>
    </row>
    <row r="4217" spans="1:23">
      <c r="A4217">
        <v>2643</v>
      </c>
      <c r="B4217" s="2">
        <v>46270.663888888899</v>
      </c>
      <c r="C4217" s="2">
        <v>46270.664583333302</v>
      </c>
      <c r="D4217" s="1" t="s">
        <v>24</v>
      </c>
      <c r="E4217" s="1"/>
      <c r="F4217" s="29">
        <v>46270</v>
      </c>
      <c r="G4217" s="29">
        <v>46270</v>
      </c>
      <c r="H4217" s="1" t="s">
        <v>8253</v>
      </c>
      <c r="I4217" s="175" t="s">
        <v>9364</v>
      </c>
      <c r="J4217" s="207"/>
      <c r="K4217" s="188" t="s">
        <v>9365</v>
      </c>
      <c r="L4217" s="62">
        <v>24268566</v>
      </c>
      <c r="M4217" s="30">
        <v>2211902860</v>
      </c>
      <c r="N4217" s="171" t="s">
        <v>37</v>
      </c>
      <c r="O4217" s="52">
        <v>26372.65</v>
      </c>
      <c r="P4217" s="52">
        <v>7277.89</v>
      </c>
      <c r="Q4217" s="230">
        <f>OfficeForms.Table[[#This Row],[ INFORMEDEPAGO ]]*0.3</f>
        <v>7911.7950000000001</v>
      </c>
      <c r="R4217" s="231">
        <f t="shared" si="313"/>
        <v>633.90499999999975</v>
      </c>
      <c r="S4217" s="74">
        <v>46419</v>
      </c>
      <c r="T4217" s="1" t="s">
        <v>8338</v>
      </c>
      <c r="U4217" s="98">
        <v>2712</v>
      </c>
      <c r="V4217" s="1"/>
    </row>
    <row r="4218" spans="1:23">
      <c r="A4218">
        <v>2644</v>
      </c>
      <c r="B4218" s="2">
        <v>46270.665601851899</v>
      </c>
      <c r="C4218" s="2">
        <v>46270.675567129598</v>
      </c>
      <c r="D4218" s="1" t="s">
        <v>24</v>
      </c>
      <c r="E4218" s="1"/>
      <c r="F4218" s="29">
        <v>46270</v>
      </c>
      <c r="G4218" s="29">
        <v>46270</v>
      </c>
      <c r="H4218" s="1" t="s">
        <v>269</v>
      </c>
      <c r="I4218" s="175" t="s">
        <v>9366</v>
      </c>
      <c r="J4218" s="207" t="s">
        <v>9367</v>
      </c>
      <c r="K4218" s="188" t="s">
        <v>9368</v>
      </c>
      <c r="L4218" s="62">
        <v>24265438</v>
      </c>
      <c r="M4218" s="30">
        <v>5218661641656</v>
      </c>
      <c r="N4218" s="171" t="s">
        <v>106</v>
      </c>
      <c r="O4218" s="50">
        <f>29019.76+5845.91+5968.35</f>
        <v>40834.019999999997</v>
      </c>
      <c r="P4218" s="97">
        <f>5968.35+5845.91</f>
        <v>11814.26</v>
      </c>
      <c r="Q4218" s="230">
        <f>OfficeForms.Table[[#This Row],[ INFORMEDEPAGO ]]*0.3</f>
        <v>12250.205999999998</v>
      </c>
      <c r="R4218" s="231">
        <f t="shared" si="313"/>
        <v>435.94599999999809</v>
      </c>
      <c r="S4218" s="74">
        <v>46174</v>
      </c>
      <c r="T4218" s="1" t="s">
        <v>7209</v>
      </c>
      <c r="U4218" s="98">
        <v>5845.91</v>
      </c>
      <c r="V4218" s="1" t="s">
        <v>8936</v>
      </c>
      <c r="W4218" s="29">
        <v>46272</v>
      </c>
    </row>
    <row r="4219" spans="1:23">
      <c r="A4219">
        <v>2645</v>
      </c>
      <c r="B4219" s="2">
        <v>46270.683969907397</v>
      </c>
      <c r="C4219" s="2">
        <v>46270.686319444401</v>
      </c>
      <c r="D4219" s="1" t="s">
        <v>24</v>
      </c>
      <c r="E4219" s="1"/>
      <c r="F4219" s="29">
        <v>46270</v>
      </c>
      <c r="G4219" s="29">
        <v>46270</v>
      </c>
      <c r="H4219" s="1" t="s">
        <v>8253</v>
      </c>
      <c r="I4219" s="175" t="s">
        <v>9369</v>
      </c>
      <c r="J4219" s="207">
        <v>34925400185</v>
      </c>
      <c r="K4219" s="188" t="s">
        <v>9370</v>
      </c>
      <c r="L4219" s="62">
        <v>24267112</v>
      </c>
      <c r="M4219" s="30">
        <v>4922232774</v>
      </c>
      <c r="N4219" s="171" t="s">
        <v>130</v>
      </c>
      <c r="O4219" s="43">
        <v>17975.75</v>
      </c>
      <c r="P4219" s="43">
        <f>1478.19+2375.54+356.55+1181.45</f>
        <v>5391.73</v>
      </c>
      <c r="Q4219" s="230">
        <f>OfficeForms.Table[[#This Row],[ INFORMEDEPAGO ]]*0.3</f>
        <v>5392.7249999999995</v>
      </c>
      <c r="R4219" s="231">
        <f t="shared" si="313"/>
        <v>0.99499999999989086</v>
      </c>
      <c r="S4219" s="74">
        <v>46266</v>
      </c>
      <c r="T4219" s="1" t="s">
        <v>8415</v>
      </c>
      <c r="U4219" s="98">
        <v>1181.45</v>
      </c>
      <c r="V4219" s="1" t="s">
        <v>8316</v>
      </c>
      <c r="W4219" s="29">
        <v>46272</v>
      </c>
    </row>
    <row r="4220" spans="1:23">
      <c r="A4220">
        <v>2646</v>
      </c>
      <c r="B4220" s="2">
        <v>46270.691018518497</v>
      </c>
      <c r="C4220" s="2">
        <v>46270.692407407398</v>
      </c>
      <c r="D4220" s="1" t="s">
        <v>24</v>
      </c>
      <c r="E4220" s="1"/>
      <c r="F4220" s="29">
        <v>46270</v>
      </c>
      <c r="G4220" s="29">
        <v>46269</v>
      </c>
      <c r="H4220" s="1" t="s">
        <v>269</v>
      </c>
      <c r="I4220" s="175" t="s">
        <v>9371</v>
      </c>
      <c r="J4220" s="207" t="s">
        <v>9372</v>
      </c>
      <c r="K4220" s="188"/>
      <c r="L4220" s="62">
        <v>24257676</v>
      </c>
      <c r="M4220" s="30">
        <v>5218116132861</v>
      </c>
      <c r="N4220" s="171" t="s">
        <v>37</v>
      </c>
      <c r="O4220" s="43">
        <v>21547.25</v>
      </c>
      <c r="P4220" s="43">
        <v>6296.02</v>
      </c>
      <c r="Q4220" s="230">
        <f>OfficeForms.Table[[#This Row],[ INFORMEDEPAGO ]]*0.3</f>
        <v>6464.1750000000002</v>
      </c>
      <c r="R4220" s="231">
        <f t="shared" si="313"/>
        <v>168.15499999999975</v>
      </c>
      <c r="S4220" s="74">
        <v>46447</v>
      </c>
      <c r="T4220" s="1" t="s">
        <v>7516</v>
      </c>
      <c r="U4220" s="98">
        <v>6196.02</v>
      </c>
      <c r="V4220" s="1"/>
    </row>
    <row r="4221" spans="1:23">
      <c r="A4221">
        <v>2647</v>
      </c>
      <c r="B4221" s="2">
        <v>46270.692974537</v>
      </c>
      <c r="C4221" s="2">
        <v>46270.693703703699</v>
      </c>
      <c r="D4221" s="1" t="s">
        <v>24</v>
      </c>
      <c r="E4221" s="1"/>
      <c r="F4221" s="29">
        <v>46270</v>
      </c>
      <c r="G4221" s="29">
        <v>46269</v>
      </c>
      <c r="H4221" s="1" t="s">
        <v>269</v>
      </c>
      <c r="I4221" s="175" t="s">
        <v>9373</v>
      </c>
      <c r="J4221" s="207"/>
      <c r="K4221" s="188" t="s">
        <v>9374</v>
      </c>
      <c r="L4221" s="62">
        <v>24269314</v>
      </c>
      <c r="M4221" s="30">
        <v>5218442891043</v>
      </c>
      <c r="N4221" s="171" t="s">
        <v>28</v>
      </c>
      <c r="O4221" s="50">
        <v>26539.88</v>
      </c>
      <c r="P4221" s="97"/>
      <c r="Q4221" s="230">
        <f>OfficeForms.Table[[#This Row],[ INFORMEDEPAGO ]]*0.3</f>
        <v>7961.9639999999999</v>
      </c>
      <c r="R4221" s="231">
        <f t="shared" si="313"/>
        <v>7961.9639999999999</v>
      </c>
      <c r="T4221" s="1"/>
      <c r="V4221" s="1" t="s">
        <v>8716</v>
      </c>
      <c r="W4221" s="29">
        <v>46272</v>
      </c>
    </row>
    <row r="4222" spans="1:23">
      <c r="A4222">
        <v>2648</v>
      </c>
      <c r="B4222" s="2">
        <v>46270.646759259304</v>
      </c>
      <c r="C4222" s="2">
        <v>46270.703784722202</v>
      </c>
      <c r="D4222" s="1" t="s">
        <v>24</v>
      </c>
      <c r="E4222" s="1"/>
      <c r="F4222" s="29">
        <v>46270</v>
      </c>
      <c r="G4222" s="29">
        <v>46269</v>
      </c>
      <c r="H4222" s="1" t="s">
        <v>8381</v>
      </c>
      <c r="I4222" s="175" t="s">
        <v>9375</v>
      </c>
      <c r="J4222" s="207" t="s">
        <v>9376</v>
      </c>
      <c r="K4222" s="188" t="s">
        <v>9377</v>
      </c>
      <c r="L4222" s="62">
        <v>24253448</v>
      </c>
      <c r="M4222" s="30">
        <v>5215637487644</v>
      </c>
      <c r="N4222" s="171" t="s">
        <v>32</v>
      </c>
      <c r="O4222" s="50">
        <v>1387</v>
      </c>
      <c r="P4222" s="97"/>
      <c r="Q4222" s="230">
        <f>OfficeForms.Table[[#This Row],[ INFORMEDEPAGO ]]*0.3</f>
        <v>416.09999999999997</v>
      </c>
      <c r="R4222" s="231">
        <f t="shared" si="313"/>
        <v>0</v>
      </c>
      <c r="T4222" s="1"/>
      <c r="V4222" s="1"/>
    </row>
    <row r="4223" spans="1:23">
      <c r="A4223">
        <v>2649</v>
      </c>
      <c r="B4223" s="2">
        <v>46270.7037962963</v>
      </c>
      <c r="C4223" s="2">
        <v>46270.7042939815</v>
      </c>
      <c r="D4223" s="1" t="s">
        <v>24</v>
      </c>
      <c r="E4223" s="1"/>
      <c r="F4223" s="29">
        <v>46270</v>
      </c>
      <c r="G4223" s="29">
        <v>46269</v>
      </c>
      <c r="H4223" s="1" t="s">
        <v>269</v>
      </c>
      <c r="I4223" s="175" t="s">
        <v>9378</v>
      </c>
      <c r="J4223" s="207"/>
      <c r="K4223" s="188" t="s">
        <v>9379</v>
      </c>
      <c r="L4223" s="62">
        <v>24257334</v>
      </c>
      <c r="M4223" s="30">
        <v>5216333507207</v>
      </c>
      <c r="N4223" s="171" t="s">
        <v>32</v>
      </c>
      <c r="O4223" s="50">
        <v>4247.59</v>
      </c>
      <c r="P4223" s="97"/>
      <c r="Q4223" s="230">
        <f>OfficeForms.Table[[#This Row],[ INFORMEDEPAGO ]]*0.3</f>
        <v>1274.277</v>
      </c>
      <c r="R4223" s="231">
        <f t="shared" si="313"/>
        <v>74.610000000000582</v>
      </c>
      <c r="T4223" s="1"/>
      <c r="V4223" s="1"/>
    </row>
    <row r="4224" spans="1:23">
      <c r="A4224">
        <v>2650</v>
      </c>
      <c r="B4224" s="2">
        <v>46270.702870370398</v>
      </c>
      <c r="C4224" s="2">
        <v>46270.707997685196</v>
      </c>
      <c r="D4224" s="1" t="s">
        <v>24</v>
      </c>
      <c r="E4224" s="1"/>
      <c r="F4224" s="29">
        <v>46270</v>
      </c>
      <c r="G4224" s="29">
        <v>46270</v>
      </c>
      <c r="H4224" s="1" t="s">
        <v>78</v>
      </c>
      <c r="I4224" s="175" t="s">
        <v>9380</v>
      </c>
      <c r="J4224" s="207"/>
      <c r="K4224" s="188" t="s">
        <v>9381</v>
      </c>
      <c r="L4224" s="62">
        <v>24268436</v>
      </c>
      <c r="M4224" s="30">
        <v>5216565861016</v>
      </c>
      <c r="N4224" s="171" t="s">
        <v>32</v>
      </c>
      <c r="O4224" s="50">
        <v>4083.1</v>
      </c>
      <c r="P4224" s="97"/>
      <c r="Q4224" s="230">
        <f>OfficeForms.Table[[#This Row],[ INFORMEDEPAGO ]]*0.3</f>
        <v>1224.9299999999998</v>
      </c>
      <c r="R4224" s="231">
        <f t="shared" si="313"/>
        <v>0</v>
      </c>
      <c r="T4224" s="1"/>
      <c r="V4224" s="1"/>
    </row>
    <row r="4225" spans="1:23">
      <c r="A4225">
        <v>2651</v>
      </c>
      <c r="B4225" s="2">
        <v>46270.710324074098</v>
      </c>
      <c r="C4225" s="2">
        <v>46270.711192129602</v>
      </c>
      <c r="D4225" s="1" t="s">
        <v>24</v>
      </c>
      <c r="E4225" s="1"/>
      <c r="F4225" s="29">
        <v>46270</v>
      </c>
      <c r="G4225" s="29">
        <v>46270</v>
      </c>
      <c r="H4225" s="1" t="s">
        <v>8253</v>
      </c>
      <c r="I4225" s="175" t="s">
        <v>9382</v>
      </c>
      <c r="J4225" s="207">
        <v>16785808235</v>
      </c>
      <c r="K4225" s="188" t="s">
        <v>9383</v>
      </c>
      <c r="L4225" s="62">
        <v>24266566</v>
      </c>
      <c r="M4225" s="30">
        <v>7293241991</v>
      </c>
      <c r="N4225" s="171" t="s">
        <v>32</v>
      </c>
      <c r="O4225" s="50">
        <v>3584.39</v>
      </c>
      <c r="P4225" s="97"/>
      <c r="Q4225" s="230">
        <f>OfficeForms.Table[[#This Row],[ INFORMEDEPAGO ]]*0.3</f>
        <v>1075.317</v>
      </c>
      <c r="R4225" s="231">
        <f t="shared" si="313"/>
        <v>0</v>
      </c>
      <c r="T4225" s="1"/>
      <c r="V4225" s="1"/>
    </row>
    <row r="4226" spans="1:23">
      <c r="A4226">
        <v>2652</v>
      </c>
      <c r="B4226" s="2">
        <v>46270.712581018503</v>
      </c>
      <c r="C4226" s="2">
        <v>46270.713020833296</v>
      </c>
      <c r="D4226" s="1" t="s">
        <v>24</v>
      </c>
      <c r="E4226" s="1"/>
      <c r="F4226" s="29">
        <v>46270</v>
      </c>
      <c r="G4226" s="29">
        <v>46269</v>
      </c>
      <c r="H4226" s="1" t="s">
        <v>269</v>
      </c>
      <c r="I4226" s="175" t="s">
        <v>9384</v>
      </c>
      <c r="J4226" s="207"/>
      <c r="K4226" s="188" t="s">
        <v>9385</v>
      </c>
      <c r="L4226" s="62">
        <v>24257186</v>
      </c>
      <c r="M4226" s="30">
        <v>5212294367273</v>
      </c>
      <c r="N4226" s="171" t="s">
        <v>263</v>
      </c>
      <c r="O4226" s="52">
        <v>6262.86</v>
      </c>
      <c r="P4226" s="52">
        <v>1811.2</v>
      </c>
      <c r="Q4226" s="230">
        <f>OfficeForms.Table[[#This Row],[ INFORMEDEPAGO ]]*0.3</f>
        <v>1878.8579999999997</v>
      </c>
      <c r="R4226" s="231">
        <f t="shared" si="313"/>
        <v>67.657999999999674</v>
      </c>
      <c r="S4226" s="74">
        <v>45261</v>
      </c>
      <c r="T4226" s="1" t="s">
        <v>178</v>
      </c>
      <c r="U4226" s="98">
        <v>1426.26</v>
      </c>
      <c r="V4226" s="1" t="s">
        <v>8291</v>
      </c>
      <c r="W4226" s="29">
        <v>46272</v>
      </c>
    </row>
    <row r="4227" spans="1:23">
      <c r="A4227">
        <v>2653</v>
      </c>
      <c r="B4227" s="2">
        <v>46270.710509259297</v>
      </c>
      <c r="C4227" s="2">
        <v>46270.714722222197</v>
      </c>
      <c r="D4227" s="1" t="s">
        <v>24</v>
      </c>
      <c r="E4227" s="1"/>
      <c r="F4227" s="29">
        <v>46270</v>
      </c>
      <c r="G4227" s="29">
        <v>46270</v>
      </c>
      <c r="H4227" s="1" t="s">
        <v>78</v>
      </c>
      <c r="I4227" s="175" t="s">
        <v>9386</v>
      </c>
      <c r="J4227" s="207"/>
      <c r="K4227" s="188" t="s">
        <v>9387</v>
      </c>
      <c r="L4227" s="62">
        <v>24268054</v>
      </c>
      <c r="M4227" s="30">
        <v>5212293566862</v>
      </c>
      <c r="N4227" s="171" t="s">
        <v>32</v>
      </c>
      <c r="O4227" s="50">
        <f>3163.48+848</f>
        <v>4011.48</v>
      </c>
      <c r="P4227" s="97"/>
      <c r="Q4227" s="230">
        <f>OfficeForms.Table[[#This Row],[ INFORMEDEPAGO ]]*0.3</f>
        <v>1203.444</v>
      </c>
      <c r="R4227" s="231">
        <f t="shared" si="313"/>
        <v>0</v>
      </c>
      <c r="T4227" s="1"/>
      <c r="V4227" s="1"/>
    </row>
    <row r="4228" spans="1:23">
      <c r="A4228">
        <v>2654</v>
      </c>
      <c r="B4228" s="2">
        <v>46270.703819444403</v>
      </c>
      <c r="C4228" s="2">
        <v>46270.715162036999</v>
      </c>
      <c r="D4228" s="1" t="s">
        <v>24</v>
      </c>
      <c r="E4228" s="1"/>
      <c r="F4228" s="29">
        <v>46270</v>
      </c>
      <c r="G4228" s="29">
        <v>46269</v>
      </c>
      <c r="H4228" s="1" t="s">
        <v>8381</v>
      </c>
      <c r="I4228" s="175" t="s">
        <v>9388</v>
      </c>
      <c r="J4228" s="207" t="s">
        <v>9389</v>
      </c>
      <c r="K4228" s="188" t="s">
        <v>9390</v>
      </c>
      <c r="L4228" s="62">
        <v>24254326</v>
      </c>
      <c r="M4228" s="30">
        <v>5216271178674</v>
      </c>
      <c r="N4228" s="171" t="s">
        <v>32</v>
      </c>
      <c r="O4228" s="50">
        <v>4414.09</v>
      </c>
      <c r="P4228" s="97"/>
      <c r="Q4228" s="230">
        <f>OfficeForms.Table[[#This Row],[ INFORMEDEPAGO ]]*0.3</f>
        <v>1324.2270000000001</v>
      </c>
      <c r="R4228" s="231">
        <f t="shared" si="313"/>
        <v>241.11000000000058</v>
      </c>
      <c r="T4228" s="1"/>
      <c r="V4228" s="1"/>
    </row>
    <row r="4229" spans="1:23">
      <c r="A4229">
        <v>2655</v>
      </c>
      <c r="B4229" s="2">
        <v>46270.714756944399</v>
      </c>
      <c r="C4229" s="2">
        <v>46270.718472222201</v>
      </c>
      <c r="D4229" s="1" t="s">
        <v>24</v>
      </c>
      <c r="E4229" s="1"/>
      <c r="F4229" s="29">
        <v>46270</v>
      </c>
      <c r="G4229" s="29">
        <v>46270</v>
      </c>
      <c r="H4229" s="1" t="s">
        <v>78</v>
      </c>
      <c r="I4229" s="175" t="s">
        <v>9391</v>
      </c>
      <c r="J4229" s="207"/>
      <c r="K4229" s="188" t="s">
        <v>9392</v>
      </c>
      <c r="L4229" s="62">
        <v>24266906</v>
      </c>
      <c r="M4229" s="30">
        <v>5215543045000</v>
      </c>
      <c r="N4229" s="171" t="s">
        <v>37</v>
      </c>
      <c r="O4229" s="43">
        <v>7920.51</v>
      </c>
      <c r="P4229" s="43">
        <v>2284.27</v>
      </c>
      <c r="Q4229" s="230">
        <f>OfficeForms.Table[[#This Row],[ INFORMEDEPAGO ]]*0.3</f>
        <v>2376.1529999999998</v>
      </c>
      <c r="R4229" s="231">
        <f t="shared" si="313"/>
        <v>91.882999999999811</v>
      </c>
      <c r="S4229" s="74">
        <v>46419</v>
      </c>
      <c r="T4229" s="1" t="s">
        <v>7209</v>
      </c>
      <c r="U4229" s="98">
        <v>404.27</v>
      </c>
      <c r="V4229" s="1"/>
    </row>
    <row r="4230" spans="1:23">
      <c r="A4230">
        <v>2656</v>
      </c>
      <c r="B4230" s="2">
        <v>46270.7208680556</v>
      </c>
      <c r="C4230" s="2">
        <v>46270.721273148098</v>
      </c>
      <c r="D4230" s="1" t="s">
        <v>24</v>
      </c>
      <c r="E4230" s="1"/>
      <c r="F4230" s="29">
        <v>46270</v>
      </c>
      <c r="G4230" s="29">
        <v>46270</v>
      </c>
      <c r="H4230" s="1" t="s">
        <v>269</v>
      </c>
      <c r="I4230" s="175" t="s">
        <v>9393</v>
      </c>
      <c r="J4230" s="207" t="s">
        <v>9394</v>
      </c>
      <c r="K4230" s="188" t="s">
        <v>9395</v>
      </c>
      <c r="L4230" s="62">
        <v>24269954</v>
      </c>
      <c r="M4230" s="30">
        <v>5212225051260</v>
      </c>
      <c r="N4230" s="171" t="s">
        <v>32</v>
      </c>
      <c r="O4230" s="50">
        <v>4244.67</v>
      </c>
      <c r="P4230" s="97"/>
      <c r="Q4230" s="230">
        <f>OfficeForms.Table[[#This Row],[ INFORMEDEPAGO ]]*0.3</f>
        <v>1273.4010000000001</v>
      </c>
      <c r="R4230" s="231">
        <f t="shared" si="313"/>
        <v>71.690000000000509</v>
      </c>
      <c r="T4230" s="1"/>
      <c r="V4230" s="1"/>
    </row>
    <row r="4231" spans="1:23">
      <c r="A4231">
        <v>2658</v>
      </c>
      <c r="B4231" s="2">
        <v>46270.722164351901</v>
      </c>
      <c r="C4231" s="2">
        <v>46270.724745370397</v>
      </c>
      <c r="D4231" s="1" t="s">
        <v>24</v>
      </c>
      <c r="E4231" s="1"/>
      <c r="F4231" s="29">
        <v>46270</v>
      </c>
      <c r="G4231" s="29">
        <v>46270</v>
      </c>
      <c r="H4231" s="1" t="s">
        <v>78</v>
      </c>
      <c r="I4231" s="175" t="s">
        <v>9396</v>
      </c>
      <c r="J4231" s="207"/>
      <c r="K4231" s="188" t="s">
        <v>9397</v>
      </c>
      <c r="L4231" s="62">
        <v>24263394</v>
      </c>
      <c r="M4231" s="30">
        <v>5215582745017</v>
      </c>
      <c r="N4231" s="171" t="s">
        <v>37</v>
      </c>
      <c r="O4231" s="43">
        <v>9081.52</v>
      </c>
      <c r="P4231" s="43">
        <v>2627.36</v>
      </c>
      <c r="Q4231" s="230">
        <f>OfficeForms.Table[[#This Row],[ INFORMEDEPAGO ]]*0.3</f>
        <v>2724.4560000000001</v>
      </c>
      <c r="R4231" s="231">
        <f t="shared" si="313"/>
        <v>97.096000000000004</v>
      </c>
      <c r="S4231" s="74">
        <v>46419</v>
      </c>
      <c r="T4231" s="1" t="s">
        <v>8319</v>
      </c>
      <c r="U4231" s="43">
        <v>2627.36</v>
      </c>
      <c r="V4231" s="1"/>
    </row>
    <row r="4232" spans="1:23">
      <c r="A4232">
        <v>2659</v>
      </c>
      <c r="B4232" s="2">
        <v>46270.735300925902</v>
      </c>
      <c r="C4232" s="2">
        <v>46270.736030092601</v>
      </c>
      <c r="D4232" s="1" t="s">
        <v>24</v>
      </c>
      <c r="E4232" s="1"/>
      <c r="F4232" s="29">
        <v>46270</v>
      </c>
      <c r="G4232" s="29">
        <v>46270</v>
      </c>
      <c r="H4232" s="1" t="s">
        <v>8253</v>
      </c>
      <c r="I4232" s="175" t="s">
        <v>9398</v>
      </c>
      <c r="J4232" s="207"/>
      <c r="K4232" s="188" t="s">
        <v>9399</v>
      </c>
      <c r="L4232" s="62">
        <v>24269258</v>
      </c>
      <c r="M4232" s="30">
        <v>4622889366</v>
      </c>
      <c r="N4232" s="171" t="s">
        <v>32</v>
      </c>
      <c r="O4232" s="50">
        <v>2791.4</v>
      </c>
      <c r="P4232" s="97">
        <v>697</v>
      </c>
      <c r="Q4232" s="230">
        <f>OfficeForms.Table[[#This Row],[ INFORMEDEPAGO ]]*0.3</f>
        <v>837.42</v>
      </c>
      <c r="R4232" s="231">
        <f t="shared" si="313"/>
        <v>-697</v>
      </c>
      <c r="T4232" s="1"/>
      <c r="V4232" s="1"/>
    </row>
    <row r="4233" spans="1:23">
      <c r="A4233">
        <v>2660</v>
      </c>
      <c r="B4233" s="2">
        <v>46270.746099536998</v>
      </c>
      <c r="C4233" s="2">
        <v>46270.746689814798</v>
      </c>
      <c r="D4233" s="1" t="s">
        <v>24</v>
      </c>
      <c r="E4233" s="1"/>
      <c r="F4233" s="29">
        <v>46270</v>
      </c>
      <c r="G4233" s="29">
        <v>46270</v>
      </c>
      <c r="H4233" s="1" t="s">
        <v>8253</v>
      </c>
      <c r="I4233" s="175" t="s">
        <v>9400</v>
      </c>
      <c r="J4233" s="207"/>
      <c r="K4233" s="188" t="s">
        <v>9401</v>
      </c>
      <c r="L4233" s="62">
        <v>24270200</v>
      </c>
      <c r="M4233" s="30">
        <v>8721307002</v>
      </c>
      <c r="N4233" s="171" t="s">
        <v>32</v>
      </c>
      <c r="O4233" s="50">
        <f>3494.43+848</f>
        <v>4342.43</v>
      </c>
      <c r="P4233" s="97">
        <v>848</v>
      </c>
      <c r="Q4233" s="230">
        <f>OfficeForms.Table[[#This Row],[ INFORMEDEPAGO ]]*0.3</f>
        <v>1302.729</v>
      </c>
      <c r="R4233" s="231">
        <f t="shared" si="313"/>
        <v>-678.54999999999927</v>
      </c>
      <c r="T4233" s="1"/>
      <c r="V4233" s="1"/>
    </row>
    <row r="4234" spans="1:23">
      <c r="A4234">
        <v>2661</v>
      </c>
      <c r="B4234" s="2">
        <v>46270.746898148202</v>
      </c>
      <c r="C4234" s="2">
        <v>46270.747361111098</v>
      </c>
      <c r="D4234" s="1" t="s">
        <v>24</v>
      </c>
      <c r="E4234" s="1"/>
      <c r="F4234" s="29">
        <v>46270</v>
      </c>
      <c r="G4234" s="29">
        <v>46270</v>
      </c>
      <c r="H4234" s="1" t="s">
        <v>269</v>
      </c>
      <c r="I4234" s="175"/>
      <c r="J4234" s="207" t="s">
        <v>9402</v>
      </c>
      <c r="K4234" s="188"/>
      <c r="L4234" s="62">
        <v>24269688</v>
      </c>
      <c r="M4234" s="30">
        <v>5213343271263</v>
      </c>
      <c r="N4234" s="171" t="s">
        <v>37</v>
      </c>
      <c r="O4234" s="43">
        <v>21672.74</v>
      </c>
      <c r="P4234" s="43">
        <v>6269.58</v>
      </c>
      <c r="Q4234" s="230">
        <f>OfficeForms.Table[[#This Row],[ INFORMEDEPAGO ]]*0.3</f>
        <v>6501.8220000000001</v>
      </c>
      <c r="R4234" s="231">
        <f t="shared" si="313"/>
        <v>232.24200000000019</v>
      </c>
      <c r="S4234" s="74">
        <v>46478</v>
      </c>
      <c r="T4234" s="1" t="s">
        <v>7209</v>
      </c>
      <c r="U4234" s="98">
        <v>3036.7</v>
      </c>
      <c r="V4234" s="1"/>
    </row>
    <row r="4235" spans="1:23">
      <c r="A4235">
        <v>2662</v>
      </c>
      <c r="B4235" s="2">
        <v>46270.822847222204</v>
      </c>
      <c r="C4235" s="2">
        <v>46270.8233680556</v>
      </c>
      <c r="D4235" s="1" t="s">
        <v>24</v>
      </c>
      <c r="E4235" s="1"/>
      <c r="F4235" s="29">
        <v>46270</v>
      </c>
      <c r="G4235" s="29">
        <v>46270</v>
      </c>
      <c r="H4235" s="1" t="s">
        <v>269</v>
      </c>
      <c r="I4235" s="175" t="s">
        <v>9403</v>
      </c>
      <c r="J4235" s="207" t="s">
        <v>9404</v>
      </c>
      <c r="K4235" s="188" t="s">
        <v>9405</v>
      </c>
      <c r="L4235" s="62">
        <v>24269856</v>
      </c>
      <c r="M4235" s="30">
        <v>5215587035620</v>
      </c>
      <c r="N4235" s="171" t="s">
        <v>37</v>
      </c>
      <c r="O4235" s="43">
        <v>4992.5</v>
      </c>
      <c r="P4235" s="43">
        <v>1136.81</v>
      </c>
      <c r="Q4235" s="230">
        <f>OfficeForms.Table[[#This Row],[ INFORMEDEPAGO ]]*0.3</f>
        <v>1497.75</v>
      </c>
      <c r="R4235" s="231">
        <f t="shared" si="313"/>
        <v>-317.28999999999951</v>
      </c>
      <c r="S4235" s="74">
        <v>46966</v>
      </c>
      <c r="T4235" s="1" t="s">
        <v>7516</v>
      </c>
      <c r="U4235" s="98">
        <v>895.79</v>
      </c>
      <c r="V4235" s="1"/>
    </row>
    <row r="4236" spans="1:23">
      <c r="A4236">
        <v>2663</v>
      </c>
      <c r="B4236" s="2">
        <v>46271.342361111099</v>
      </c>
      <c r="C4236" s="2">
        <v>46271.365347222199</v>
      </c>
      <c r="D4236" s="1" t="s">
        <v>24</v>
      </c>
      <c r="E4236" s="1"/>
      <c r="F4236" s="29">
        <v>46271</v>
      </c>
      <c r="G4236" s="29">
        <v>46270</v>
      </c>
      <c r="H4236" s="1" t="s">
        <v>8253</v>
      </c>
      <c r="I4236" s="175" t="s">
        <v>9406</v>
      </c>
      <c r="J4236" s="207"/>
      <c r="K4236" s="188" t="s">
        <v>9407</v>
      </c>
      <c r="L4236" s="62">
        <v>24274372</v>
      </c>
      <c r="M4236" s="30">
        <v>5666121131</v>
      </c>
      <c r="N4236" s="171" t="s">
        <v>32</v>
      </c>
      <c r="O4236" s="50">
        <f>2646.14+848</f>
        <v>3494.14</v>
      </c>
      <c r="P4236" s="97">
        <v>848</v>
      </c>
      <c r="Q4236" s="230">
        <f>OfficeForms.Table[[#This Row],[ INFORMEDEPAGO ]]*0.3</f>
        <v>1048.242</v>
      </c>
      <c r="R4236" s="231">
        <f t="shared" si="313"/>
        <v>-848</v>
      </c>
      <c r="T4236" s="1"/>
      <c r="V4236" s="1"/>
    </row>
    <row r="4237" spans="1:23">
      <c r="A4237">
        <v>2664</v>
      </c>
      <c r="B4237" s="2">
        <v>46271.362569444398</v>
      </c>
      <c r="C4237" s="2">
        <v>46271.365856481498</v>
      </c>
      <c r="D4237" s="1" t="s">
        <v>24</v>
      </c>
      <c r="E4237" s="1"/>
      <c r="F4237" s="29">
        <v>46271</v>
      </c>
      <c r="G4237" s="29">
        <v>46270</v>
      </c>
      <c r="H4237" s="1" t="s">
        <v>8238</v>
      </c>
      <c r="I4237" s="175" t="s">
        <v>9408</v>
      </c>
      <c r="J4237" s="207" t="s">
        <v>9409</v>
      </c>
      <c r="K4237" s="188" t="s">
        <v>9410</v>
      </c>
      <c r="L4237" s="62">
        <v>24274398</v>
      </c>
      <c r="M4237" s="30">
        <v>9931010266</v>
      </c>
      <c r="N4237" s="171" t="s">
        <v>263</v>
      </c>
      <c r="O4237" s="43">
        <v>6262.86</v>
      </c>
      <c r="P4237" s="43">
        <v>1810.47</v>
      </c>
      <c r="Q4237" s="230">
        <f>OfficeForms.Table[[#This Row],[ INFORMEDEPAGO ]]*0.3</f>
        <v>1878.8579999999997</v>
      </c>
      <c r="R4237" s="231">
        <f t="shared" si="313"/>
        <v>68.387999999999693</v>
      </c>
      <c r="S4237" s="74">
        <v>45200</v>
      </c>
      <c r="T4237" s="1" t="s">
        <v>192</v>
      </c>
      <c r="U4237" s="98">
        <v>1414.49</v>
      </c>
      <c r="V4237" s="1" t="s">
        <v>8291</v>
      </c>
      <c r="W4237" s="29">
        <v>46272</v>
      </c>
    </row>
    <row r="4238" spans="1:23">
      <c r="A4238">
        <v>2665</v>
      </c>
      <c r="B4238" s="2">
        <v>46271.353483796302</v>
      </c>
      <c r="C4238" s="2">
        <v>46271.380798611099</v>
      </c>
      <c r="D4238" s="1" t="s">
        <v>24</v>
      </c>
      <c r="E4238" s="1"/>
      <c r="F4238" s="29">
        <v>46271</v>
      </c>
      <c r="G4238" s="29">
        <v>46271</v>
      </c>
      <c r="H4238" s="1" t="s">
        <v>8721</v>
      </c>
      <c r="I4238" s="175" t="s">
        <v>9411</v>
      </c>
      <c r="J4238" s="207" t="s">
        <v>9412</v>
      </c>
      <c r="K4238" s="188"/>
      <c r="L4238" s="62">
        <v>24249834</v>
      </c>
      <c r="M4238" s="30">
        <v>5215514186854</v>
      </c>
      <c r="N4238" s="171" t="s">
        <v>32</v>
      </c>
      <c r="O4238" s="50">
        <v>3521.62</v>
      </c>
      <c r="P4238" s="97"/>
      <c r="Q4238" s="230">
        <f>OfficeForms.Table[[#This Row],[ INFORMEDEPAGO ]]*0.3</f>
        <v>1056.4859999999999</v>
      </c>
      <c r="R4238" s="231">
        <f t="shared" si="313"/>
        <v>0</v>
      </c>
      <c r="T4238" s="1"/>
      <c r="V4238" s="1"/>
    </row>
    <row r="4239" spans="1:23">
      <c r="A4239">
        <v>2666</v>
      </c>
      <c r="B4239" s="2">
        <v>46271.380891203698</v>
      </c>
      <c r="C4239" s="2">
        <v>46271.390046296299</v>
      </c>
      <c r="D4239" s="1" t="s">
        <v>24</v>
      </c>
      <c r="E4239" s="1"/>
      <c r="F4239" s="29">
        <v>46271</v>
      </c>
      <c r="G4239" s="29">
        <v>46271</v>
      </c>
      <c r="H4239" s="1" t="s">
        <v>8721</v>
      </c>
      <c r="I4239" s="175" t="s">
        <v>9413</v>
      </c>
      <c r="J4239" s="207" t="s">
        <v>9414</v>
      </c>
      <c r="K4239" s="188"/>
      <c r="L4239" s="62">
        <v>24270732</v>
      </c>
      <c r="M4239" s="30">
        <v>5212212106530</v>
      </c>
      <c r="N4239" s="171" t="s">
        <v>37</v>
      </c>
      <c r="O4239" s="43">
        <v>7920.51</v>
      </c>
      <c r="P4239" s="43">
        <v>2291.5</v>
      </c>
      <c r="Q4239" s="230">
        <f>OfficeForms.Table[[#This Row],[ INFORMEDEPAGO ]]*0.3</f>
        <v>2376.1529999999998</v>
      </c>
      <c r="R4239" s="231">
        <f t="shared" si="313"/>
        <v>84.652999999999793</v>
      </c>
      <c r="S4239" s="74">
        <v>46753</v>
      </c>
      <c r="T4239" s="1" t="s">
        <v>7209</v>
      </c>
      <c r="U4239" s="98">
        <v>2101.9699999999998</v>
      </c>
      <c r="V4239" s="1"/>
    </row>
    <row r="4240" spans="1:23">
      <c r="A4240">
        <v>2667</v>
      </c>
      <c r="B4240" s="2">
        <v>46271.390092592599</v>
      </c>
      <c r="C4240" s="2">
        <v>46271.396562499998</v>
      </c>
      <c r="D4240" s="1" t="s">
        <v>24</v>
      </c>
      <c r="E4240" s="1"/>
      <c r="F4240" s="29">
        <v>46271</v>
      </c>
      <c r="G4240" s="29">
        <v>46271</v>
      </c>
      <c r="H4240" s="1" t="s">
        <v>8721</v>
      </c>
      <c r="I4240" s="175" t="s">
        <v>9415</v>
      </c>
      <c r="J4240" s="207"/>
      <c r="K4240" s="188" t="s">
        <v>9416</v>
      </c>
      <c r="L4240" s="62">
        <v>24245024</v>
      </c>
      <c r="M4240" s="30">
        <v>5216623728731</v>
      </c>
      <c r="N4240" s="171" t="s">
        <v>28</v>
      </c>
      <c r="O4240" s="50">
        <v>7363.4</v>
      </c>
      <c r="P4240" s="97"/>
      <c r="Q4240" s="230">
        <f>OfficeForms.Table[[#This Row],[ INFORMEDEPAGO ]]*0.3</f>
        <v>2209.02</v>
      </c>
      <c r="R4240" s="231">
        <f t="shared" si="313"/>
        <v>2209.02</v>
      </c>
      <c r="T4240" s="1"/>
      <c r="V4240" s="1" t="s">
        <v>8280</v>
      </c>
      <c r="W4240" s="29">
        <v>46272</v>
      </c>
    </row>
    <row r="4241" spans="1:23">
      <c r="A4241">
        <v>2668</v>
      </c>
      <c r="B4241" s="2">
        <v>46271.396608796298</v>
      </c>
      <c r="C4241" s="2">
        <v>46271.4057986111</v>
      </c>
      <c r="D4241" s="1" t="s">
        <v>24</v>
      </c>
      <c r="E4241" s="1"/>
      <c r="F4241" s="29">
        <v>46271</v>
      </c>
      <c r="G4241" s="29">
        <v>46270</v>
      </c>
      <c r="H4241" s="1" t="s">
        <v>8721</v>
      </c>
      <c r="I4241" s="175" t="s">
        <v>9417</v>
      </c>
      <c r="J4241" s="207">
        <v>65825944385</v>
      </c>
      <c r="K4241" s="188" t="s">
        <v>9418</v>
      </c>
      <c r="L4241" s="62">
        <v>24270962</v>
      </c>
      <c r="M4241" s="30">
        <v>5212721804899</v>
      </c>
      <c r="N4241" s="171" t="s">
        <v>98</v>
      </c>
      <c r="O4241" s="50"/>
      <c r="P4241" s="97"/>
      <c r="Q4241" s="230">
        <f>OfficeForms.Table[[#This Row],[ INFORMEDEPAGO ]]*0.3</f>
        <v>0</v>
      </c>
      <c r="R4241" s="231">
        <f t="shared" si="313"/>
        <v>0</v>
      </c>
      <c r="T4241" s="1"/>
      <c r="V4241" s="1"/>
    </row>
    <row r="4242" spans="1:23">
      <c r="A4242">
        <v>2669</v>
      </c>
      <c r="B4242" s="2">
        <v>46271.430532407401</v>
      </c>
      <c r="C4242" s="2">
        <v>46271.431180555599</v>
      </c>
      <c r="D4242" s="1" t="s">
        <v>24</v>
      </c>
      <c r="E4242" s="1"/>
      <c r="F4242" s="29">
        <v>46271</v>
      </c>
      <c r="G4242" s="29">
        <v>46268</v>
      </c>
      <c r="H4242" s="1" t="s">
        <v>8238</v>
      </c>
      <c r="I4242" s="175" t="s">
        <v>9419</v>
      </c>
      <c r="J4242" s="207"/>
      <c r="K4242" s="188" t="s">
        <v>9420</v>
      </c>
      <c r="L4242" s="62">
        <v>24233252</v>
      </c>
      <c r="M4242" s="30">
        <v>5639772395</v>
      </c>
      <c r="N4242" s="171" t="s">
        <v>106</v>
      </c>
      <c r="O4242" s="43">
        <v>8186.09</v>
      </c>
      <c r="P4242" s="43">
        <v>1498.74</v>
      </c>
      <c r="Q4242" s="230">
        <f>OfficeForms.Table[[#This Row],[ INFORMEDEPAGO ]]*0.3</f>
        <v>2455.8269999999998</v>
      </c>
      <c r="R4242" s="231">
        <f t="shared" si="313"/>
        <v>957.08699999999976</v>
      </c>
      <c r="S4242" s="74">
        <v>46143</v>
      </c>
      <c r="T4242" s="1" t="s">
        <v>7516</v>
      </c>
      <c r="U4242" s="98">
        <v>1498.74</v>
      </c>
      <c r="V4242" s="1" t="s">
        <v>8328</v>
      </c>
      <c r="W4242" s="29">
        <v>46272</v>
      </c>
    </row>
    <row r="4243" spans="1:23">
      <c r="A4243">
        <v>2670</v>
      </c>
      <c r="B4243" s="2">
        <v>46271.405821759297</v>
      </c>
      <c r="C4243" s="2">
        <v>46271.447708333297</v>
      </c>
      <c r="D4243" s="1" t="s">
        <v>24</v>
      </c>
      <c r="E4243" s="1"/>
      <c r="F4243" s="29">
        <v>46271</v>
      </c>
      <c r="G4243" s="29">
        <v>46270</v>
      </c>
      <c r="H4243" s="1" t="s">
        <v>8721</v>
      </c>
      <c r="I4243" s="175" t="s">
        <v>9421</v>
      </c>
      <c r="J4243" s="207" t="s">
        <v>7391</v>
      </c>
      <c r="K4243" s="188" t="s">
        <v>9422</v>
      </c>
      <c r="L4243" s="62">
        <v>24271516</v>
      </c>
      <c r="M4243" s="30">
        <v>5218131034943</v>
      </c>
      <c r="N4243" s="171" t="s">
        <v>32</v>
      </c>
      <c r="O4243" s="50">
        <v>3809.18</v>
      </c>
      <c r="P4243" s="97"/>
      <c r="Q4243" s="230">
        <f>OfficeForms.Table[[#This Row],[ INFORMEDEPAGO ]]*0.3</f>
        <v>1142.7539999999999</v>
      </c>
      <c r="R4243" s="231">
        <f t="shared" si="313"/>
        <v>0</v>
      </c>
      <c r="T4243" s="1"/>
      <c r="V4243" s="1"/>
    </row>
    <row r="4244" spans="1:23">
      <c r="A4244">
        <v>2671</v>
      </c>
      <c r="B4244" s="2">
        <v>46271.4477430556</v>
      </c>
      <c r="C4244" s="2">
        <v>46271.460914351803</v>
      </c>
      <c r="D4244" s="1" t="s">
        <v>24</v>
      </c>
      <c r="E4244" s="1"/>
      <c r="F4244" s="29">
        <v>46271</v>
      </c>
      <c r="G4244" s="29">
        <v>46270</v>
      </c>
      <c r="H4244" s="1" t="s">
        <v>8721</v>
      </c>
      <c r="I4244" s="175" t="s">
        <v>9423</v>
      </c>
      <c r="J4244" s="207" t="s">
        <v>9424</v>
      </c>
      <c r="K4244" s="188" t="s">
        <v>9425</v>
      </c>
      <c r="L4244" s="62">
        <v>24272816</v>
      </c>
      <c r="M4244" s="30">
        <v>5212291631407</v>
      </c>
      <c r="N4244" s="171" t="s">
        <v>47</v>
      </c>
      <c r="O4244" s="50">
        <v>4661.47</v>
      </c>
      <c r="P4244" s="97"/>
      <c r="Q4244" s="230">
        <f>OfficeForms.Table[[#This Row],[ INFORMEDEPAGO ]]*0.3</f>
        <v>1398.441</v>
      </c>
      <c r="R4244" s="231">
        <f t="shared" si="313"/>
        <v>488.49000000000069</v>
      </c>
      <c r="T4244" s="1"/>
      <c r="V4244" s="1" t="s">
        <v>8233</v>
      </c>
      <c r="W4244" s="29">
        <v>46272</v>
      </c>
    </row>
    <row r="4245" spans="1:23">
      <c r="A4245">
        <v>2672</v>
      </c>
      <c r="B4245" s="2">
        <v>46271.461018518501</v>
      </c>
      <c r="C4245" s="2">
        <v>46271.471423611103</v>
      </c>
      <c r="D4245" s="1" t="s">
        <v>24</v>
      </c>
      <c r="E4245" s="1"/>
      <c r="F4245" s="29">
        <v>46271</v>
      </c>
      <c r="G4245" s="29">
        <v>46270</v>
      </c>
      <c r="H4245" s="1" t="s">
        <v>8721</v>
      </c>
      <c r="I4245" s="175" t="s">
        <v>9426</v>
      </c>
      <c r="J4245" s="207">
        <v>4379632386</v>
      </c>
      <c r="K4245" s="188" t="s">
        <v>9427</v>
      </c>
      <c r="L4245" s="62">
        <v>24274088</v>
      </c>
      <c r="M4245" s="30">
        <v>5218111811897</v>
      </c>
      <c r="N4245" s="171" t="s">
        <v>37</v>
      </c>
      <c r="O4245" s="43">
        <v>6565.89</v>
      </c>
      <c r="P4245" s="43">
        <v>1969.77</v>
      </c>
      <c r="Q4245" s="230">
        <f>OfficeForms.Table[[#This Row],[ INFORMEDEPAGO ]]*0.3</f>
        <v>1969.7670000000001</v>
      </c>
      <c r="R4245" s="231">
        <f t="shared" si="313"/>
        <v>-2.9999999999290594E-3</v>
      </c>
      <c r="S4245" s="74">
        <v>46296</v>
      </c>
      <c r="T4245" s="1" t="s">
        <v>8398</v>
      </c>
      <c r="U4245" s="98">
        <v>1690</v>
      </c>
      <c r="V4245" s="1"/>
    </row>
    <row r="4246" spans="1:23">
      <c r="A4246">
        <v>2673</v>
      </c>
      <c r="B4246" s="2">
        <v>46271.474282407398</v>
      </c>
      <c r="C4246" s="2">
        <v>46271.474999999999</v>
      </c>
      <c r="D4246" s="1" t="s">
        <v>24</v>
      </c>
      <c r="E4246" s="1"/>
      <c r="F4246" s="29">
        <v>46271</v>
      </c>
      <c r="G4246" s="29">
        <v>46271</v>
      </c>
      <c r="H4246" s="1" t="s">
        <v>8238</v>
      </c>
      <c r="I4246" s="175" t="s">
        <v>9428</v>
      </c>
      <c r="J4246" s="207"/>
      <c r="K4246" s="188" t="s">
        <v>9429</v>
      </c>
      <c r="L4246" s="62">
        <v>24279264</v>
      </c>
      <c r="M4246" s="30">
        <v>5617906866</v>
      </c>
      <c r="N4246" s="171" t="s">
        <v>37</v>
      </c>
      <c r="O4246" s="43">
        <v>7920.51</v>
      </c>
      <c r="P4246" s="43">
        <v>2375.5</v>
      </c>
      <c r="Q4246" s="230">
        <f>OfficeForms.Table[[#This Row],[ INFORMEDEPAGO ]]*0.3</f>
        <v>2376.1529999999998</v>
      </c>
      <c r="R4246" s="231">
        <f t="shared" si="313"/>
        <v>0.65299999999979264</v>
      </c>
      <c r="S4246" s="74">
        <v>46753</v>
      </c>
      <c r="T4246" s="1" t="s">
        <v>8338</v>
      </c>
      <c r="U4246" s="98">
        <v>1967.9</v>
      </c>
      <c r="V4246" s="1"/>
    </row>
    <row r="4247" spans="1:23">
      <c r="A4247">
        <v>2674</v>
      </c>
      <c r="B4247" s="2">
        <v>46271.475520833301</v>
      </c>
      <c r="C4247" s="2">
        <v>46271.476354166698</v>
      </c>
      <c r="D4247" s="1" t="s">
        <v>24</v>
      </c>
      <c r="E4247" s="1"/>
      <c r="F4247" s="29">
        <v>46271</v>
      </c>
      <c r="G4247" s="29">
        <v>46270</v>
      </c>
      <c r="H4247" s="1" t="s">
        <v>8253</v>
      </c>
      <c r="I4247" s="175" t="s">
        <v>9430</v>
      </c>
      <c r="J4247" s="207"/>
      <c r="K4247" s="188" t="s">
        <v>9431</v>
      </c>
      <c r="L4247" s="62">
        <v>24274062</v>
      </c>
      <c r="M4247" s="30">
        <v>6461302220</v>
      </c>
      <c r="N4247" s="171" t="s">
        <v>32</v>
      </c>
      <c r="O4247" s="50">
        <v>3999.78</v>
      </c>
      <c r="P4247" s="97"/>
      <c r="Q4247" s="230">
        <f>OfficeForms.Table[[#This Row],[ INFORMEDEPAGO ]]*0.3</f>
        <v>1199.934</v>
      </c>
      <c r="R4247" s="231">
        <f t="shared" si="313"/>
        <v>0</v>
      </c>
      <c r="T4247" s="1"/>
      <c r="V4247" s="1"/>
    </row>
    <row r="4248" spans="1:23">
      <c r="A4248">
        <v>2675</v>
      </c>
      <c r="B4248" s="2">
        <v>46271.471828703703</v>
      </c>
      <c r="C4248" s="2">
        <v>46271.492372685199</v>
      </c>
      <c r="D4248" s="1" t="s">
        <v>24</v>
      </c>
      <c r="E4248" s="1"/>
      <c r="F4248" s="29">
        <v>46271</v>
      </c>
      <c r="G4248" s="29">
        <v>46271</v>
      </c>
      <c r="H4248" s="1" t="s">
        <v>8721</v>
      </c>
      <c r="I4248" s="175" t="s">
        <v>9432</v>
      </c>
      <c r="J4248" s="207">
        <v>83856300971</v>
      </c>
      <c r="K4248" s="188" t="s">
        <v>4315</v>
      </c>
      <c r="L4248" s="62">
        <v>24274362</v>
      </c>
      <c r="M4248" s="30">
        <v>5212871313145</v>
      </c>
      <c r="N4248" s="171" t="s">
        <v>37</v>
      </c>
      <c r="O4248" s="43">
        <v>9081.52</v>
      </c>
      <c r="P4248" s="43">
        <v>2453.87</v>
      </c>
      <c r="Q4248" s="230">
        <f>OfficeForms.Table[[#This Row],[ INFORMEDEPAGO ]]*0.3</f>
        <v>2724.4560000000001</v>
      </c>
      <c r="R4248" s="231">
        <f t="shared" si="313"/>
        <v>270.58600000000024</v>
      </c>
      <c r="S4248" s="74">
        <v>46327</v>
      </c>
      <c r="T4248" s="1" t="s">
        <v>7516</v>
      </c>
      <c r="U4248" s="43">
        <v>2453.87</v>
      </c>
      <c r="V4248" s="1"/>
    </row>
    <row r="4249" spans="1:23">
      <c r="A4249">
        <v>2676</v>
      </c>
      <c r="B4249" s="2">
        <v>46271.497523148202</v>
      </c>
      <c r="C4249" s="2">
        <v>46271.498391203699</v>
      </c>
      <c r="D4249" s="1" t="s">
        <v>24</v>
      </c>
      <c r="E4249" s="1"/>
      <c r="F4249" s="29">
        <v>46271</v>
      </c>
      <c r="G4249" s="29">
        <v>46270</v>
      </c>
      <c r="H4249" s="1" t="s">
        <v>8253</v>
      </c>
      <c r="I4249" s="175" t="s">
        <v>9433</v>
      </c>
      <c r="J4249" s="207">
        <v>64816344713</v>
      </c>
      <c r="K4249" s="188" t="s">
        <v>9434</v>
      </c>
      <c r="L4249" s="62">
        <v>24274236</v>
      </c>
      <c r="M4249" s="30">
        <v>5570599351</v>
      </c>
      <c r="N4249" s="171" t="s">
        <v>37</v>
      </c>
      <c r="O4249" s="43">
        <v>9081.52</v>
      </c>
      <c r="P4249" s="43">
        <v>2514.25</v>
      </c>
      <c r="Q4249" s="230">
        <f>OfficeForms.Table[[#This Row],[ INFORMEDEPAGO ]]*0.3</f>
        <v>2724.4560000000001</v>
      </c>
      <c r="R4249" s="231">
        <f t="shared" si="313"/>
        <v>210.20600000000013</v>
      </c>
      <c r="S4249" s="74">
        <v>46296</v>
      </c>
      <c r="T4249" s="1" t="s">
        <v>9435</v>
      </c>
      <c r="U4249" s="43">
        <v>2514.25</v>
      </c>
      <c r="V4249" s="1"/>
    </row>
    <row r="4250" spans="1:23">
      <c r="A4250">
        <v>2677</v>
      </c>
      <c r="B4250" s="2">
        <v>46271.512453703697</v>
      </c>
      <c r="C4250" s="2">
        <v>46271.513298611098</v>
      </c>
      <c r="D4250" s="1" t="s">
        <v>24</v>
      </c>
      <c r="E4250" s="1"/>
      <c r="F4250" s="29">
        <v>46271</v>
      </c>
      <c r="G4250" s="29">
        <v>46270</v>
      </c>
      <c r="H4250" s="1" t="s">
        <v>8238</v>
      </c>
      <c r="I4250" s="175" t="s">
        <v>9436</v>
      </c>
      <c r="J4250" s="207">
        <v>33966019755</v>
      </c>
      <c r="K4250" s="188" t="s">
        <v>9437</v>
      </c>
      <c r="L4250" s="62">
        <v>24272850</v>
      </c>
      <c r="M4250" s="30">
        <v>3515007659</v>
      </c>
      <c r="N4250" s="171" t="s">
        <v>47</v>
      </c>
      <c r="O4250" s="43">
        <v>5617.63</v>
      </c>
      <c r="P4250" s="43">
        <f>261+827.49</f>
        <v>1088.49</v>
      </c>
      <c r="Q4250" s="230">
        <f>OfficeForms.Table[[#This Row],[ INFORMEDEPAGO ]]*0.3</f>
        <v>1685.289</v>
      </c>
      <c r="R4250" s="231">
        <f>(IF(O4250&lt;4172.98,0,MIN(O4250*0.3,O4250-4172.98)))-P4250</f>
        <v>356.16000000000054</v>
      </c>
      <c r="S4250" s="74">
        <v>46997</v>
      </c>
      <c r="T4250" s="1" t="s">
        <v>178</v>
      </c>
      <c r="U4250" s="98">
        <v>827.49</v>
      </c>
      <c r="V4250" s="1" t="s">
        <v>8233</v>
      </c>
      <c r="W4250" s="29">
        <v>46272</v>
      </c>
    </row>
    <row r="4251" spans="1:23">
      <c r="A4251">
        <v>2678</v>
      </c>
      <c r="B4251" s="2">
        <v>46271.524884259299</v>
      </c>
      <c r="C4251" s="2">
        <v>46271.525879629597</v>
      </c>
      <c r="D4251" s="1" t="s">
        <v>24</v>
      </c>
      <c r="E4251" s="1"/>
      <c r="F4251" s="29">
        <v>46271</v>
      </c>
      <c r="G4251" s="29">
        <v>46271</v>
      </c>
      <c r="H4251" s="1" t="s">
        <v>8238</v>
      </c>
      <c r="I4251" s="175" t="s">
        <v>9438</v>
      </c>
      <c r="J4251" s="207">
        <v>16056600840</v>
      </c>
      <c r="K4251" s="188" t="s">
        <v>9439</v>
      </c>
      <c r="L4251" s="62">
        <v>24280086</v>
      </c>
      <c r="M4251" s="30">
        <v>5659784286</v>
      </c>
      <c r="N4251" s="171" t="s">
        <v>74</v>
      </c>
      <c r="O4251" s="50"/>
      <c r="P4251" s="97"/>
      <c r="Q4251" s="230">
        <f>OfficeForms.Table[[#This Row],[ INFORMEDEPAGO ]]*0.3</f>
        <v>0</v>
      </c>
      <c r="R4251" s="231">
        <f t="shared" si="313"/>
        <v>0</v>
      </c>
      <c r="T4251" s="1"/>
      <c r="V4251" s="1"/>
    </row>
    <row r="4252" spans="1:23">
      <c r="A4252">
        <v>2679</v>
      </c>
      <c r="B4252" s="2">
        <v>46271.492395833302</v>
      </c>
      <c r="C4252" s="2">
        <v>46271.5331828704</v>
      </c>
      <c r="D4252" s="1" t="s">
        <v>24</v>
      </c>
      <c r="E4252" s="1"/>
      <c r="F4252" s="29">
        <v>46271</v>
      </c>
      <c r="G4252" s="29">
        <v>46271</v>
      </c>
      <c r="H4252" s="1" t="s">
        <v>8721</v>
      </c>
      <c r="I4252" s="175" t="s">
        <v>9440</v>
      </c>
      <c r="J4252" s="207"/>
      <c r="K4252" s="188" t="s">
        <v>9441</v>
      </c>
      <c r="L4252" s="62">
        <v>24280542</v>
      </c>
      <c r="M4252" s="30">
        <v>5217531192220</v>
      </c>
      <c r="N4252" s="171" t="s">
        <v>37</v>
      </c>
      <c r="O4252" s="43">
        <v>9081.52</v>
      </c>
      <c r="P4252" s="43">
        <v>2723.66</v>
      </c>
      <c r="Q4252" s="230">
        <f>OfficeForms.Table[[#This Row],[ INFORMEDEPAGO ]]*0.3</f>
        <v>2724.4560000000001</v>
      </c>
      <c r="R4252" s="231">
        <f t="shared" si="313"/>
        <v>0.79600000000027649</v>
      </c>
      <c r="S4252" s="74">
        <v>46784</v>
      </c>
      <c r="T4252" s="1" t="s">
        <v>7209</v>
      </c>
      <c r="U4252" s="43">
        <v>2723.66</v>
      </c>
      <c r="V4252" s="1"/>
    </row>
    <row r="4253" spans="1:23">
      <c r="A4253">
        <v>2680</v>
      </c>
      <c r="B4253" s="2">
        <v>46271.533206018503</v>
      </c>
      <c r="C4253" s="2">
        <v>46271.548935185201</v>
      </c>
      <c r="D4253" s="1" t="s">
        <v>24</v>
      </c>
      <c r="E4253" s="1"/>
      <c r="F4253" s="29">
        <v>46271</v>
      </c>
      <c r="G4253" s="29">
        <v>46271</v>
      </c>
      <c r="H4253" s="1" t="s">
        <v>8721</v>
      </c>
      <c r="I4253" s="175" t="s">
        <v>9442</v>
      </c>
      <c r="J4253" s="207"/>
      <c r="K4253" s="188" t="s">
        <v>9443</v>
      </c>
      <c r="L4253" s="62">
        <v>24281378</v>
      </c>
      <c r="M4253" s="30">
        <v>5219372710570</v>
      </c>
      <c r="N4253" s="171" t="s">
        <v>28</v>
      </c>
      <c r="O4253" s="50">
        <v>10636.54</v>
      </c>
      <c r="P4253" s="97"/>
      <c r="Q4253" s="230">
        <f>OfficeForms.Table[[#This Row],[ INFORMEDEPAGO ]]*0.3</f>
        <v>3190.962</v>
      </c>
      <c r="R4253" s="231">
        <f t="shared" si="313"/>
        <v>3190.962</v>
      </c>
      <c r="T4253" s="1"/>
      <c r="V4253" s="1" t="s">
        <v>8264</v>
      </c>
      <c r="W4253" s="29">
        <v>46272</v>
      </c>
    </row>
    <row r="4254" spans="1:23">
      <c r="A4254">
        <v>2681</v>
      </c>
      <c r="B4254" s="2">
        <v>46271.592650462997</v>
      </c>
      <c r="C4254" s="2">
        <v>46271.593159722201</v>
      </c>
      <c r="D4254" s="1" t="s">
        <v>24</v>
      </c>
      <c r="E4254" s="1"/>
      <c r="F4254" s="29">
        <v>46271</v>
      </c>
      <c r="G4254" s="29">
        <v>46271</v>
      </c>
      <c r="H4254" s="1" t="s">
        <v>8238</v>
      </c>
      <c r="I4254" s="175" t="s">
        <v>9444</v>
      </c>
      <c r="J4254" s="207">
        <v>83916306109</v>
      </c>
      <c r="K4254" s="188" t="s">
        <v>9445</v>
      </c>
      <c r="L4254" s="62">
        <v>24282246</v>
      </c>
      <c r="M4254" s="30">
        <v>9371038924</v>
      </c>
      <c r="N4254" s="171" t="s">
        <v>37</v>
      </c>
      <c r="O4254" s="43">
        <v>7920.51</v>
      </c>
      <c r="P4254" s="43">
        <v>2291.56</v>
      </c>
      <c r="Q4254" s="230">
        <f>OfficeForms.Table[[#This Row],[ INFORMEDEPAGO ]]*0.3</f>
        <v>2376.1529999999998</v>
      </c>
      <c r="R4254" s="231">
        <f t="shared" si="313"/>
        <v>84.592999999999847</v>
      </c>
      <c r="S4254" s="74">
        <v>46569</v>
      </c>
      <c r="T4254" s="1" t="s">
        <v>7209</v>
      </c>
      <c r="U4254" s="98">
        <v>2099.8000000000002</v>
      </c>
      <c r="V4254" s="1"/>
    </row>
    <row r="4255" spans="1:23">
      <c r="A4255">
        <v>2682</v>
      </c>
      <c r="B4255" s="2">
        <v>46271.594525462999</v>
      </c>
      <c r="C4255" s="2">
        <v>46271.595358796301</v>
      </c>
      <c r="D4255" s="1" t="s">
        <v>24</v>
      </c>
      <c r="E4255" s="1"/>
      <c r="F4255" s="29">
        <v>46271</v>
      </c>
      <c r="G4255" s="29">
        <v>46271</v>
      </c>
      <c r="H4255" s="1" t="s">
        <v>8253</v>
      </c>
      <c r="I4255" s="175" t="s">
        <v>9446</v>
      </c>
      <c r="J4255" s="207"/>
      <c r="K4255" s="188" t="s">
        <v>9447</v>
      </c>
      <c r="L4255" s="62">
        <v>24275524</v>
      </c>
      <c r="M4255" s="30">
        <v>5657507518</v>
      </c>
      <c r="N4255" s="171" t="s">
        <v>37</v>
      </c>
      <c r="O4255" s="43">
        <v>10636.54</v>
      </c>
      <c r="P4255" s="43">
        <v>3189.2</v>
      </c>
      <c r="Q4255" s="230">
        <f>OfficeForms.Table[[#This Row],[ INFORMEDEPAGO ]]*0.3</f>
        <v>3190.962</v>
      </c>
      <c r="R4255" s="231">
        <f t="shared" si="313"/>
        <v>1.762000000000171</v>
      </c>
      <c r="S4255" s="74">
        <v>46935</v>
      </c>
      <c r="T4255" s="1" t="s">
        <v>6855</v>
      </c>
      <c r="U4255" s="98">
        <v>3189.2</v>
      </c>
      <c r="V4255" s="1"/>
    </row>
    <row r="4256" spans="1:23">
      <c r="A4256">
        <v>2683</v>
      </c>
      <c r="B4256" s="2">
        <v>46271.601087962998</v>
      </c>
      <c r="C4256" s="2">
        <v>46271.601851851898</v>
      </c>
      <c r="D4256" s="1" t="s">
        <v>24</v>
      </c>
      <c r="E4256" s="1"/>
      <c r="F4256" s="29">
        <v>46271</v>
      </c>
      <c r="G4256" s="29">
        <v>46271</v>
      </c>
      <c r="H4256" s="1" t="s">
        <v>8253</v>
      </c>
      <c r="I4256" s="175" t="s">
        <v>9448</v>
      </c>
      <c r="J4256" s="207"/>
      <c r="K4256" s="188" t="s">
        <v>9449</v>
      </c>
      <c r="L4256" s="62">
        <v>24278828</v>
      </c>
      <c r="M4256" s="30">
        <v>4811443281</v>
      </c>
      <c r="N4256" s="171" t="s">
        <v>47</v>
      </c>
      <c r="O4256" s="43">
        <v>24266.61</v>
      </c>
      <c r="P4256" s="43">
        <v>6455.03</v>
      </c>
      <c r="Q4256" s="230">
        <f>OfficeForms.Table[[#This Row],[ INFORMEDEPAGO ]]*0.3</f>
        <v>7279.9830000000002</v>
      </c>
      <c r="R4256" s="231">
        <f t="shared" si="313"/>
        <v>824.95300000000043</v>
      </c>
      <c r="S4256" s="74">
        <v>46813</v>
      </c>
      <c r="T4256" s="1" t="s">
        <v>7516</v>
      </c>
      <c r="U4256" s="98">
        <v>2154.4499999999998</v>
      </c>
      <c r="V4256" s="1" t="s">
        <v>8233</v>
      </c>
      <c r="W4256" s="29">
        <v>46272</v>
      </c>
    </row>
    <row r="4257" spans="1:23">
      <c r="A4257">
        <v>2684</v>
      </c>
      <c r="B4257" s="2">
        <v>46271.606724537</v>
      </c>
      <c r="C4257" s="2">
        <v>46271.607777777797</v>
      </c>
      <c r="D4257" s="1" t="s">
        <v>24</v>
      </c>
      <c r="E4257" s="1"/>
      <c r="F4257" s="29">
        <v>46271</v>
      </c>
      <c r="G4257" s="29">
        <v>46271</v>
      </c>
      <c r="H4257" s="1" t="s">
        <v>8238</v>
      </c>
      <c r="I4257" s="175" t="s">
        <v>9450</v>
      </c>
      <c r="J4257" s="207"/>
      <c r="K4257" s="188" t="s">
        <v>9451</v>
      </c>
      <c r="L4257" s="62">
        <v>24282484</v>
      </c>
      <c r="M4257" s="30">
        <v>8331470411</v>
      </c>
      <c r="N4257" s="171" t="s">
        <v>47</v>
      </c>
      <c r="O4257" s="50">
        <f>5177.98+879</f>
        <v>6056.98</v>
      </c>
      <c r="P4257" s="97">
        <v>879</v>
      </c>
      <c r="Q4257" s="230">
        <f>OfficeForms.Table[[#This Row],[ INFORMEDEPAGO ]]*0.3</f>
        <v>1817.0939999999998</v>
      </c>
      <c r="R4257" s="231">
        <f t="shared" si="313"/>
        <v>938.09399999999982</v>
      </c>
      <c r="T4257" s="1"/>
      <c r="V4257" s="1" t="s">
        <v>8316</v>
      </c>
      <c r="W4257" s="29">
        <v>46272</v>
      </c>
    </row>
    <row r="4258" spans="1:23">
      <c r="A4258">
        <v>2685</v>
      </c>
      <c r="B4258" s="2">
        <v>46271.6086574074</v>
      </c>
      <c r="C4258" s="2">
        <v>46271.609131944402</v>
      </c>
      <c r="D4258" s="1" t="s">
        <v>24</v>
      </c>
      <c r="E4258" s="1"/>
      <c r="F4258" s="29">
        <v>46271</v>
      </c>
      <c r="G4258" s="29">
        <v>46270</v>
      </c>
      <c r="H4258" s="1" t="s">
        <v>8238</v>
      </c>
      <c r="I4258" s="175" t="s">
        <v>9452</v>
      </c>
      <c r="J4258" s="207">
        <v>67786100320</v>
      </c>
      <c r="K4258" s="188" t="s">
        <v>9453</v>
      </c>
      <c r="L4258" s="62">
        <v>24272416</v>
      </c>
      <c r="M4258" s="30">
        <v>9211624300</v>
      </c>
      <c r="N4258" s="171" t="s">
        <v>37</v>
      </c>
      <c r="O4258" s="50">
        <f>7291.39+3009.78+115.1</f>
        <v>10416.27</v>
      </c>
      <c r="P4258" s="97">
        <f>3009.78+115.1</f>
        <v>3124.88</v>
      </c>
      <c r="Q4258" s="230">
        <f>OfficeForms.Table[[#This Row],[ INFORMEDEPAGO ]]*0.3</f>
        <v>3124.8809999999999</v>
      </c>
      <c r="R4258" s="231">
        <f t="shared" si="313"/>
        <v>9.9999999974897946E-4</v>
      </c>
      <c r="S4258" s="74">
        <v>46539</v>
      </c>
      <c r="T4258" s="1" t="s">
        <v>259</v>
      </c>
      <c r="U4258" s="98">
        <v>3009.78</v>
      </c>
      <c r="V4258" s="1"/>
    </row>
    <row r="4259" spans="1:23">
      <c r="A4259">
        <v>2686</v>
      </c>
      <c r="B4259" s="2">
        <v>46271.620462963001</v>
      </c>
      <c r="C4259" s="2">
        <v>46271.621192129598</v>
      </c>
      <c r="D4259" s="1" t="s">
        <v>24</v>
      </c>
      <c r="E4259" s="1"/>
      <c r="F4259" s="29">
        <v>46271</v>
      </c>
      <c r="G4259" s="29">
        <v>46271</v>
      </c>
      <c r="H4259" s="1" t="s">
        <v>8253</v>
      </c>
      <c r="I4259" s="175" t="s">
        <v>9454</v>
      </c>
      <c r="J4259" s="207"/>
      <c r="K4259" s="188" t="s">
        <v>9455</v>
      </c>
      <c r="L4259" s="62">
        <v>24282456</v>
      </c>
      <c r="M4259" s="30">
        <v>4794138593</v>
      </c>
      <c r="N4259" s="171" t="s">
        <v>28</v>
      </c>
      <c r="O4259" s="50">
        <v>13124.95</v>
      </c>
      <c r="P4259" s="97"/>
      <c r="Q4259" s="230">
        <f>OfficeForms.Table[[#This Row],[ INFORMEDEPAGO ]]*0.3</f>
        <v>3937.4850000000001</v>
      </c>
      <c r="R4259" s="231">
        <f t="shared" si="313"/>
        <v>3937.4850000000001</v>
      </c>
      <c r="T4259" s="1"/>
      <c r="V4259" s="233" t="s">
        <v>9185</v>
      </c>
      <c r="W4259" s="29">
        <v>46272</v>
      </c>
    </row>
    <row r="4260" spans="1:23">
      <c r="A4260">
        <v>2687</v>
      </c>
      <c r="B4260" s="2">
        <v>46271.548969907402</v>
      </c>
      <c r="C4260" s="2">
        <v>46271.653969907398</v>
      </c>
      <c r="D4260" s="1" t="s">
        <v>24</v>
      </c>
      <c r="E4260" s="1"/>
      <c r="F4260" s="29">
        <v>46271</v>
      </c>
      <c r="G4260" s="29">
        <v>46269</v>
      </c>
      <c r="H4260" s="1" t="s">
        <v>8721</v>
      </c>
      <c r="I4260" s="175" t="s">
        <v>9456</v>
      </c>
      <c r="J4260" s="207" t="s">
        <v>9457</v>
      </c>
      <c r="K4260" s="188" t="s">
        <v>9458</v>
      </c>
      <c r="L4260" s="62">
        <v>24248096</v>
      </c>
      <c r="M4260" s="30">
        <v>5216151141600</v>
      </c>
      <c r="N4260" s="171" t="s">
        <v>47</v>
      </c>
      <c r="O4260" s="50">
        <v>6664.74</v>
      </c>
      <c r="P4260" s="97">
        <v>879</v>
      </c>
      <c r="Q4260" s="230">
        <f>OfficeForms.Table[[#This Row],[ INFORMEDEPAGO ]]*0.3</f>
        <v>1999.4219999999998</v>
      </c>
      <c r="R4260" s="231">
        <f t="shared" si="313"/>
        <v>1120.4219999999998</v>
      </c>
      <c r="T4260" s="1"/>
      <c r="V4260" s="1" t="s">
        <v>8316</v>
      </c>
      <c r="W4260" s="29">
        <v>46272</v>
      </c>
    </row>
    <row r="4261" spans="1:23">
      <c r="A4261">
        <v>2688</v>
      </c>
      <c r="B4261" s="2">
        <v>46271.679560185199</v>
      </c>
      <c r="C4261" s="2">
        <v>46271.681956018503</v>
      </c>
      <c r="D4261" s="1" t="s">
        <v>24</v>
      </c>
      <c r="E4261" s="1"/>
      <c r="F4261" s="29">
        <v>46271</v>
      </c>
      <c r="G4261" s="29">
        <v>46270</v>
      </c>
      <c r="H4261" s="1" t="s">
        <v>8253</v>
      </c>
      <c r="I4261" s="175" t="s">
        <v>9459</v>
      </c>
      <c r="J4261" s="207"/>
      <c r="K4261" s="188" t="s">
        <v>9460</v>
      </c>
      <c r="L4261" s="62">
        <v>24272720</v>
      </c>
      <c r="M4261" s="30">
        <v>6221141654</v>
      </c>
      <c r="N4261" s="171" t="s">
        <v>106</v>
      </c>
      <c r="O4261" s="50">
        <f>6727.91+2353.61</f>
        <v>9081.52</v>
      </c>
      <c r="P4261" s="97">
        <v>2353.61</v>
      </c>
      <c r="Q4261" s="230">
        <f>OfficeForms.Table[[#This Row],[ INFORMEDEPAGO ]]*0.3</f>
        <v>2724.4560000000001</v>
      </c>
      <c r="R4261" s="231">
        <f t="shared" si="313"/>
        <v>370.846</v>
      </c>
      <c r="S4261" s="74">
        <v>46266</v>
      </c>
      <c r="T4261" s="1" t="s">
        <v>8319</v>
      </c>
      <c r="U4261" s="98">
        <v>2353.61</v>
      </c>
      <c r="V4261" s="1" t="s">
        <v>8328</v>
      </c>
      <c r="W4261" s="29">
        <v>46272</v>
      </c>
    </row>
    <row r="4262" spans="1:23">
      <c r="A4262">
        <v>2689</v>
      </c>
      <c r="B4262" s="2">
        <v>46271.692951388897</v>
      </c>
      <c r="C4262" s="2">
        <v>46271.693564814799</v>
      </c>
      <c r="D4262" s="1" t="s">
        <v>24</v>
      </c>
      <c r="E4262" s="1"/>
      <c r="F4262" s="29">
        <v>46271</v>
      </c>
      <c r="G4262" s="29">
        <v>46271</v>
      </c>
      <c r="H4262" s="1" t="s">
        <v>8238</v>
      </c>
      <c r="I4262" s="175" t="s">
        <v>9461</v>
      </c>
      <c r="J4262" s="207">
        <v>42976600835</v>
      </c>
      <c r="K4262" s="188" t="s">
        <v>9462</v>
      </c>
      <c r="L4262" s="62">
        <v>24282944</v>
      </c>
      <c r="M4262" s="30">
        <v>7298240074</v>
      </c>
      <c r="N4262" s="171" t="s">
        <v>28</v>
      </c>
      <c r="O4262" s="50">
        <v>11029.03</v>
      </c>
      <c r="P4262" s="97"/>
      <c r="Q4262" s="230">
        <f>OfficeForms.Table[[#This Row],[ INFORMEDEPAGO ]]*0.3</f>
        <v>3308.7090000000003</v>
      </c>
      <c r="R4262" s="231">
        <f t="shared" si="313"/>
        <v>3308.7090000000003</v>
      </c>
      <c r="T4262" s="1"/>
      <c r="V4262" s="1" t="s">
        <v>8264</v>
      </c>
      <c r="W4262" s="29">
        <v>46272</v>
      </c>
    </row>
    <row r="4263" spans="1:23">
      <c r="A4263">
        <v>2690</v>
      </c>
      <c r="B4263" s="2">
        <v>46272.334282407399</v>
      </c>
      <c r="C4263" s="2">
        <v>46272.389826388899</v>
      </c>
      <c r="D4263" s="1" t="s">
        <v>24</v>
      </c>
      <c r="E4263" s="1"/>
      <c r="F4263" s="29">
        <v>46272</v>
      </c>
      <c r="G4263" s="29">
        <v>46272</v>
      </c>
      <c r="H4263" s="1" t="s">
        <v>1625</v>
      </c>
      <c r="I4263" s="175" t="s">
        <v>9463</v>
      </c>
      <c r="J4263" s="207">
        <v>54796176987</v>
      </c>
      <c r="K4263" s="188" t="s">
        <v>9464</v>
      </c>
      <c r="L4263" s="62">
        <v>2</v>
      </c>
      <c r="M4263" s="30" t="s">
        <v>9465</v>
      </c>
      <c r="N4263" s="171" t="s">
        <v>37</v>
      </c>
      <c r="O4263" s="52">
        <v>19529.240000000002</v>
      </c>
      <c r="P4263" s="52">
        <v>5855.03</v>
      </c>
      <c r="Q4263" s="230">
        <f>OfficeForms.Table[[#This Row],[ INFORMEDEPAGO ]]*0.3</f>
        <v>5858.7719999999999</v>
      </c>
      <c r="R4263" s="231">
        <f>(IF(O4263&lt;4172.98,0,MIN(O4263*0.3,O4263-4172.98)))-P4263</f>
        <v>3.7420000000001892</v>
      </c>
      <c r="S4263" s="74">
        <v>46327</v>
      </c>
      <c r="T4263" s="1" t="s">
        <v>7516</v>
      </c>
      <c r="U4263" s="98">
        <v>5422.01</v>
      </c>
      <c r="V4263" s="1"/>
    </row>
    <row r="4264" spans="1:23">
      <c r="A4264">
        <v>2691</v>
      </c>
      <c r="B4264" s="2">
        <v>46272.3898611111</v>
      </c>
      <c r="C4264" s="2">
        <v>46272.392094907402</v>
      </c>
      <c r="D4264" s="1" t="s">
        <v>24</v>
      </c>
      <c r="E4264" s="1"/>
      <c r="F4264" s="29">
        <v>46272</v>
      </c>
      <c r="G4264" s="29">
        <v>46272</v>
      </c>
      <c r="H4264" s="1" t="s">
        <v>1625</v>
      </c>
      <c r="I4264" s="175" t="s">
        <v>9466</v>
      </c>
      <c r="J4264" s="207">
        <v>43806427639</v>
      </c>
      <c r="K4264" s="188" t="s">
        <v>9467</v>
      </c>
      <c r="L4264" s="62">
        <v>2</v>
      </c>
      <c r="M4264" s="30" t="s">
        <v>9468</v>
      </c>
      <c r="N4264" s="171" t="s">
        <v>37</v>
      </c>
      <c r="O4264" s="52">
        <v>9081.52</v>
      </c>
      <c r="P4264" s="52">
        <v>2590.75</v>
      </c>
      <c r="Q4264" s="230">
        <f>OfficeForms.Table[[#This Row],[ INFORMEDEPAGO ]]*0.3</f>
        <v>2724.4560000000001</v>
      </c>
      <c r="R4264" s="231">
        <f>(IF(O4264&lt;4172.98,0,MIN(O4264*0.3,O4264-4172.98)))-P4264</f>
        <v>133.70600000000013</v>
      </c>
      <c r="S4264" s="74">
        <v>46966</v>
      </c>
      <c r="T4264" s="1" t="s">
        <v>7516</v>
      </c>
      <c r="U4264" s="98">
        <v>2590.75</v>
      </c>
      <c r="V4264" s="1"/>
    </row>
    <row r="4265" spans="1:23">
      <c r="A4265">
        <v>2692</v>
      </c>
      <c r="B4265" s="2">
        <v>46272.392118055599</v>
      </c>
      <c r="C4265" s="2">
        <v>46272.395312499997</v>
      </c>
      <c r="D4265" s="1" t="s">
        <v>24</v>
      </c>
      <c r="E4265" s="1"/>
      <c r="F4265" s="29">
        <v>46272</v>
      </c>
      <c r="G4265" s="29">
        <v>46272</v>
      </c>
      <c r="H4265" s="1" t="s">
        <v>1625</v>
      </c>
      <c r="I4265" s="175" t="s">
        <v>9469</v>
      </c>
      <c r="J4265" s="207">
        <v>43796249621</v>
      </c>
      <c r="K4265" s="188" t="s">
        <v>9470</v>
      </c>
      <c r="L4265" s="62">
        <v>2</v>
      </c>
      <c r="M4265" s="30" t="s">
        <v>9471</v>
      </c>
      <c r="N4265" s="171" t="s">
        <v>37</v>
      </c>
      <c r="O4265" s="52">
        <v>8184.23</v>
      </c>
      <c r="P4265" s="52">
        <v>2367.1</v>
      </c>
      <c r="Q4265" s="230">
        <f>OfficeForms.Table[[#This Row],[ INFORMEDEPAGO ]]*0.3</f>
        <v>2455.2689999999998</v>
      </c>
      <c r="R4265" s="231">
        <f>(IF(O4265&lt;4172.98,0,MIN(O4265*0.3,O4265-4172.98)))-P4265</f>
        <v>88.168999999999869</v>
      </c>
      <c r="S4265" s="74">
        <v>46296</v>
      </c>
      <c r="T4265" s="1" t="s">
        <v>7209</v>
      </c>
      <c r="U4265" s="98">
        <v>1713</v>
      </c>
      <c r="V4265" s="1"/>
    </row>
    <row r="4266" spans="1:23">
      <c r="A4266">
        <v>2693</v>
      </c>
      <c r="B4266" s="2">
        <v>46272.395335648202</v>
      </c>
      <c r="C4266" s="2">
        <v>46272.410393518498</v>
      </c>
      <c r="D4266" s="1" t="s">
        <v>24</v>
      </c>
      <c r="E4266" s="1"/>
      <c r="F4266" s="29">
        <v>46272</v>
      </c>
      <c r="G4266" s="29">
        <v>46272</v>
      </c>
      <c r="H4266" s="1" t="s">
        <v>1625</v>
      </c>
      <c r="I4266" s="175" t="s">
        <v>9472</v>
      </c>
      <c r="J4266" s="207">
        <v>43876693946</v>
      </c>
      <c r="K4266" s="188" t="s">
        <v>9473</v>
      </c>
      <c r="L4266" s="62">
        <v>2</v>
      </c>
      <c r="M4266" s="30">
        <v>8130827314</v>
      </c>
      <c r="N4266" s="171" t="s">
        <v>37</v>
      </c>
      <c r="O4266" s="52">
        <v>10636.54</v>
      </c>
      <c r="P4266" s="52">
        <v>3190.95</v>
      </c>
      <c r="Q4266" s="230">
        <f>OfficeForms.Table[[#This Row],[ INFORMEDEPAGO ]]*0.3</f>
        <v>3190.962</v>
      </c>
      <c r="R4266" s="231">
        <f t="shared" ref="R4266:R4273" si="314">(IF(O4266&lt;4172.98,0,MIN(O4266*0.3,O4266-4172.98)))-P4266</f>
        <v>1.2000000000170985E-2</v>
      </c>
      <c r="S4266" s="74">
        <v>46935</v>
      </c>
      <c r="T4266" s="1" t="s">
        <v>7516</v>
      </c>
      <c r="U4266" s="52">
        <v>3190.95</v>
      </c>
      <c r="V4266" s="1"/>
    </row>
    <row r="4267" spans="1:23">
      <c r="A4267">
        <v>2694</v>
      </c>
      <c r="B4267" s="2">
        <v>46272.410428240699</v>
      </c>
      <c r="C4267" s="2">
        <v>46272.416863425897</v>
      </c>
      <c r="D4267" s="1" t="s">
        <v>24</v>
      </c>
      <c r="E4267" s="1"/>
      <c r="F4267" s="29">
        <v>46272</v>
      </c>
      <c r="G4267" s="29">
        <v>46272</v>
      </c>
      <c r="H4267" s="1" t="s">
        <v>1625</v>
      </c>
      <c r="I4267" s="175" t="s">
        <v>9474</v>
      </c>
      <c r="J4267" s="207" t="s">
        <v>9475</v>
      </c>
      <c r="K4267" s="188" t="s">
        <v>9476</v>
      </c>
      <c r="L4267" s="62">
        <v>2</v>
      </c>
      <c r="M4267" s="30">
        <v>8120054370</v>
      </c>
      <c r="N4267" s="171" t="s">
        <v>32</v>
      </c>
      <c r="O4267" s="50">
        <f>3115.51+848</f>
        <v>3963.51</v>
      </c>
      <c r="P4267" s="97">
        <v>848</v>
      </c>
      <c r="Q4267" s="230">
        <f>OfficeForms.Table[[#This Row],[ INFORMEDEPAGO ]]*0.3</f>
        <v>1189.0530000000001</v>
      </c>
      <c r="R4267" s="231">
        <f t="shared" si="314"/>
        <v>-848</v>
      </c>
      <c r="T4267" s="1"/>
      <c r="V4267" s="1"/>
    </row>
    <row r="4268" spans="1:23">
      <c r="A4268">
        <v>2695</v>
      </c>
      <c r="B4268" s="2">
        <v>46272.416898148098</v>
      </c>
      <c r="C4268" s="2">
        <v>46272.424814814804</v>
      </c>
      <c r="D4268" s="1" t="s">
        <v>24</v>
      </c>
      <c r="E4268" s="1"/>
      <c r="F4268" s="29">
        <v>46272</v>
      </c>
      <c r="G4268" s="29">
        <v>46272</v>
      </c>
      <c r="H4268" s="1" t="s">
        <v>1625</v>
      </c>
      <c r="I4268" s="175" t="s">
        <v>9477</v>
      </c>
      <c r="J4268" s="207" t="s">
        <v>9478</v>
      </c>
      <c r="K4268" s="188" t="s">
        <v>9479</v>
      </c>
      <c r="L4268" s="62">
        <v>2</v>
      </c>
      <c r="M4268" s="30" t="s">
        <v>9480</v>
      </c>
      <c r="N4268" s="171" t="s">
        <v>37</v>
      </c>
      <c r="O4268" s="52">
        <v>11339.07</v>
      </c>
      <c r="P4268" s="52">
        <v>3397.36</v>
      </c>
      <c r="Q4268" s="230">
        <f>OfficeForms.Table[[#This Row],[ INFORMEDEPAGO ]]*0.3</f>
        <v>3401.721</v>
      </c>
      <c r="R4268" s="231">
        <f t="shared" si="314"/>
        <v>4.3609999999998763</v>
      </c>
      <c r="S4268" s="74">
        <v>46631</v>
      </c>
      <c r="T4268" s="1" t="s">
        <v>6855</v>
      </c>
      <c r="U4268" s="98">
        <v>3004</v>
      </c>
      <c r="V4268" s="1"/>
    </row>
    <row r="4269" spans="1:23">
      <c r="A4269">
        <v>2696</v>
      </c>
      <c r="B4269" s="2">
        <v>46272.424837963001</v>
      </c>
      <c r="C4269" s="2">
        <v>46272.426863425899</v>
      </c>
      <c r="D4269" s="1" t="s">
        <v>24</v>
      </c>
      <c r="E4269" s="1"/>
      <c r="F4269" s="29">
        <v>46272</v>
      </c>
      <c r="G4269" s="29">
        <v>46272</v>
      </c>
      <c r="H4269" s="1" t="s">
        <v>1625</v>
      </c>
      <c r="I4269" s="175" t="s">
        <v>9481</v>
      </c>
      <c r="J4269" s="207" t="s">
        <v>9482</v>
      </c>
      <c r="K4269" s="188" t="s">
        <v>9483</v>
      </c>
      <c r="L4269" s="62">
        <v>2</v>
      </c>
      <c r="M4269" s="30" t="s">
        <v>9484</v>
      </c>
      <c r="N4269" s="171" t="s">
        <v>37</v>
      </c>
      <c r="O4269" s="52">
        <v>19420.36</v>
      </c>
      <c r="P4269" s="52">
        <v>5618.77</v>
      </c>
      <c r="Q4269" s="230">
        <f>OfficeForms.Table[[#This Row],[ INFORMEDEPAGO ]]*0.3</f>
        <v>5826.1080000000002</v>
      </c>
      <c r="R4269" s="231">
        <f t="shared" si="314"/>
        <v>207.33799999999974</v>
      </c>
      <c r="S4269" s="74">
        <v>46327</v>
      </c>
      <c r="T4269" s="1" t="s">
        <v>8338</v>
      </c>
      <c r="U4269" s="98">
        <v>4066.34</v>
      </c>
      <c r="V4269" s="1"/>
    </row>
    <row r="4270" spans="1:23">
      <c r="A4270">
        <v>2697</v>
      </c>
      <c r="B4270" s="2">
        <v>46272.426030092603</v>
      </c>
      <c r="C4270" s="2">
        <v>46272.427002314798</v>
      </c>
      <c r="D4270" s="1" t="s">
        <v>24</v>
      </c>
      <c r="E4270" s="1"/>
      <c r="F4270" s="29">
        <v>46272</v>
      </c>
      <c r="G4270" s="29">
        <v>46271</v>
      </c>
      <c r="H4270" s="1" t="s">
        <v>8238</v>
      </c>
      <c r="I4270" s="175" t="s">
        <v>9485</v>
      </c>
      <c r="J4270" s="207" t="s">
        <v>9486</v>
      </c>
      <c r="K4270" s="188" t="s">
        <v>9487</v>
      </c>
      <c r="L4270" s="62">
        <v>25284520</v>
      </c>
      <c r="M4270" s="30">
        <v>8681549312</v>
      </c>
      <c r="N4270" s="171" t="s">
        <v>37</v>
      </c>
      <c r="O4270" s="52">
        <v>8793.09</v>
      </c>
      <c r="P4270" s="52">
        <v>2634.35</v>
      </c>
      <c r="Q4270" s="230">
        <f>OfficeForms.Table[[#This Row],[ INFORMEDEPAGO ]]*0.3</f>
        <v>2637.9270000000001</v>
      </c>
      <c r="R4270" s="231">
        <f t="shared" si="314"/>
        <v>3.5770000000002256</v>
      </c>
      <c r="S4270" s="74">
        <v>46813</v>
      </c>
      <c r="T4270" s="1" t="s">
        <v>8319</v>
      </c>
      <c r="U4270" s="98">
        <v>1786.35</v>
      </c>
      <c r="V4270" s="1"/>
    </row>
    <row r="4271" spans="1:23">
      <c r="A4271">
        <v>2698</v>
      </c>
      <c r="B4271" s="2">
        <v>46272.432534722197</v>
      </c>
      <c r="C4271" s="2">
        <v>46272.434432870403</v>
      </c>
      <c r="D4271" s="1" t="s">
        <v>24</v>
      </c>
      <c r="E4271" s="1"/>
      <c r="F4271" s="29">
        <v>46272</v>
      </c>
      <c r="G4271" s="29">
        <v>46271</v>
      </c>
      <c r="H4271" s="1" t="s">
        <v>8238</v>
      </c>
      <c r="I4271" s="175" t="s">
        <v>9488</v>
      </c>
      <c r="J4271" s="208" t="s">
        <v>9489</v>
      </c>
      <c r="K4271" s="188" t="s">
        <v>9490</v>
      </c>
      <c r="L4271" s="62">
        <v>24288538</v>
      </c>
      <c r="M4271" s="30">
        <v>3111171997</v>
      </c>
      <c r="N4271" s="171" t="s">
        <v>28</v>
      </c>
      <c r="O4271" s="43">
        <v>9081.52</v>
      </c>
      <c r="P4271" s="43"/>
      <c r="Q4271" s="230">
        <f>OfficeForms.Table[[#This Row],[ INFORMEDEPAGO ]]*0.3</f>
        <v>2724.4560000000001</v>
      </c>
      <c r="R4271" s="231">
        <f t="shared" si="314"/>
        <v>2724.4560000000001</v>
      </c>
      <c r="T4271" s="1"/>
      <c r="U4271" s="98">
        <v>5649.35</v>
      </c>
      <c r="V4271" s="1" t="s">
        <v>8936</v>
      </c>
      <c r="W4271" s="29">
        <v>46272</v>
      </c>
    </row>
    <row r="4272" spans="1:23">
      <c r="A4272">
        <v>2699</v>
      </c>
      <c r="B4272" s="2">
        <v>46272.4198032407</v>
      </c>
      <c r="C4272" s="2">
        <v>46272.446365740703</v>
      </c>
      <c r="D4272" s="1" t="s">
        <v>24</v>
      </c>
      <c r="E4272" s="1"/>
      <c r="F4272" s="29">
        <v>46272</v>
      </c>
      <c r="G4272" s="29">
        <v>46271</v>
      </c>
      <c r="H4272" s="1" t="s">
        <v>8721</v>
      </c>
      <c r="I4272" s="175" t="s">
        <v>9491</v>
      </c>
      <c r="J4272" s="207" t="s">
        <v>9492</v>
      </c>
      <c r="K4272" s="188" t="s">
        <v>9493</v>
      </c>
      <c r="L4272" s="62">
        <v>24275508</v>
      </c>
      <c r="M4272" s="30">
        <v>5215586042537</v>
      </c>
      <c r="N4272" s="171" t="s">
        <v>74</v>
      </c>
      <c r="O4272" s="50"/>
      <c r="P4272" s="97"/>
      <c r="Q4272" s="230">
        <f>OfficeForms.Table[[#This Row],[ INFORMEDEPAGO ]]*0.3</f>
        <v>0</v>
      </c>
      <c r="R4272" s="231">
        <f t="shared" si="314"/>
        <v>0</v>
      </c>
      <c r="T4272" s="1"/>
      <c r="V4272" s="1"/>
    </row>
    <row r="4273" spans="1:23">
      <c r="A4273">
        <v>2700</v>
      </c>
      <c r="B4273" s="2">
        <v>46272.449560185203</v>
      </c>
      <c r="C4273" s="2">
        <v>46272.450810185197</v>
      </c>
      <c r="D4273" s="1" t="s">
        <v>24</v>
      </c>
      <c r="E4273" s="1"/>
      <c r="F4273" s="29">
        <v>46272</v>
      </c>
      <c r="G4273" s="29">
        <v>46272</v>
      </c>
      <c r="H4273" s="1" t="s">
        <v>269</v>
      </c>
      <c r="I4273" s="175" t="s">
        <v>9494</v>
      </c>
      <c r="J4273" s="207" t="s">
        <v>9495</v>
      </c>
      <c r="K4273" s="188" t="s">
        <v>9496</v>
      </c>
      <c r="L4273" s="62">
        <v>24292442</v>
      </c>
      <c r="M4273" s="30">
        <v>5217551067335</v>
      </c>
      <c r="N4273" s="171" t="s">
        <v>28</v>
      </c>
      <c r="O4273" s="50">
        <v>9760.32</v>
      </c>
      <c r="P4273" s="97"/>
      <c r="Q4273" s="230">
        <f>OfficeForms.Table[[#This Row],[ INFORMEDEPAGO ]]*0.3</f>
        <v>2928.096</v>
      </c>
      <c r="R4273" s="231">
        <f t="shared" si="314"/>
        <v>2928.096</v>
      </c>
      <c r="T4273" s="1"/>
      <c r="V4273" s="1" t="s">
        <v>8915</v>
      </c>
      <c r="W4273" s="29">
        <v>46272</v>
      </c>
    </row>
    <row r="4274" spans="1:23">
      <c r="A4274">
        <v>2701</v>
      </c>
      <c r="B4274" s="2">
        <v>46272.446400462999</v>
      </c>
      <c r="C4274" s="2">
        <v>46272.456516203703</v>
      </c>
      <c r="D4274" s="1" t="s">
        <v>24</v>
      </c>
      <c r="E4274" s="1"/>
      <c r="F4274" s="29">
        <v>46272</v>
      </c>
      <c r="G4274" s="29">
        <v>46271</v>
      </c>
      <c r="H4274" s="1" t="s">
        <v>8721</v>
      </c>
      <c r="I4274" s="175" t="s">
        <v>9497</v>
      </c>
      <c r="J4274" s="207">
        <v>53886404952</v>
      </c>
      <c r="K4274" s="188" t="s">
        <v>9498</v>
      </c>
      <c r="L4274" s="62">
        <v>24283696</v>
      </c>
      <c r="M4274" s="30">
        <v>5214434902932</v>
      </c>
      <c r="N4274" s="171" t="s">
        <v>37</v>
      </c>
      <c r="O4274" s="43">
        <v>6262.86</v>
      </c>
      <c r="P4274" s="43">
        <v>1811.99</v>
      </c>
      <c r="Q4274" s="230">
        <f>OfficeForms.Table[[#This Row],[ INFORMEDEPAGO ]]*0.3</f>
        <v>1878.8579999999997</v>
      </c>
      <c r="R4274" s="231">
        <f t="shared" ref="R4274" si="315">(IF(O4274&lt;4172.98,0,MIN(O4274*0.3,O4274-4172.98)))-P4274</f>
        <v>66.867999999999711</v>
      </c>
      <c r="S4274" s="74">
        <v>46600</v>
      </c>
      <c r="T4274" s="1" t="s">
        <v>8415</v>
      </c>
      <c r="U4274" s="98">
        <v>783.54</v>
      </c>
      <c r="V4274" s="1"/>
    </row>
    <row r="4275" spans="1:23">
      <c r="A4275">
        <v>2702</v>
      </c>
      <c r="B4275" s="2">
        <v>46270.715173611097</v>
      </c>
      <c r="C4275" s="2">
        <v>46272.459224537</v>
      </c>
      <c r="D4275" s="1" t="s">
        <v>24</v>
      </c>
      <c r="E4275" s="1"/>
      <c r="F4275" s="29">
        <v>46272</v>
      </c>
      <c r="G4275" s="29">
        <v>46272</v>
      </c>
      <c r="H4275" s="1" t="s">
        <v>8381</v>
      </c>
      <c r="I4275" s="175" t="s">
        <v>9499</v>
      </c>
      <c r="J4275" s="207" t="s">
        <v>9500</v>
      </c>
      <c r="K4275" s="188" t="s">
        <v>9501</v>
      </c>
      <c r="L4275" s="62">
        <v>24295476</v>
      </c>
      <c r="M4275" s="30">
        <v>5218781558704</v>
      </c>
      <c r="N4275" s="171" t="s">
        <v>263</v>
      </c>
      <c r="O4275" s="43">
        <v>8539.89</v>
      </c>
      <c r="P4275" s="43">
        <v>2261.88</v>
      </c>
      <c r="Q4275" s="230">
        <f>OfficeForms.Table[[#This Row],[ INFORMEDEPAGO ]]*0.3</f>
        <v>2561.9669999999996</v>
      </c>
      <c r="R4275" s="231">
        <f>(IF(O4275&lt;4172.98,0,MIN(O4275*0.3,O4275-4172.98)))-P4275</f>
        <v>300.08699999999953</v>
      </c>
      <c r="S4275" s="74">
        <v>45717</v>
      </c>
      <c r="T4275" s="1" t="s">
        <v>178</v>
      </c>
      <c r="U4275" s="98">
        <v>1781.49</v>
      </c>
      <c r="V4275" s="1" t="s">
        <v>9185</v>
      </c>
      <c r="W4275" s="29">
        <v>46272</v>
      </c>
    </row>
    <row r="4276" spans="1:23">
      <c r="A4276">
        <v>2703</v>
      </c>
      <c r="B4276" s="2">
        <v>46272.426886574103</v>
      </c>
      <c r="C4276" s="2">
        <v>46272.464583333298</v>
      </c>
      <c r="D4276" s="1" t="s">
        <v>24</v>
      </c>
      <c r="E4276" s="1"/>
      <c r="F4276" s="29">
        <v>46272</v>
      </c>
      <c r="G4276" s="29">
        <v>46272</v>
      </c>
      <c r="H4276" s="1" t="s">
        <v>1625</v>
      </c>
      <c r="I4276" s="175" t="s">
        <v>9502</v>
      </c>
      <c r="J4276" s="207">
        <v>67826371881</v>
      </c>
      <c r="K4276" s="188" t="s">
        <v>9503</v>
      </c>
      <c r="L4276" s="62">
        <v>2</v>
      </c>
      <c r="M4276" s="30">
        <v>2222177947</v>
      </c>
      <c r="N4276" s="171" t="s">
        <v>37</v>
      </c>
      <c r="O4276" s="43">
        <v>7890.93</v>
      </c>
      <c r="P4276" s="43">
        <v>2261.88</v>
      </c>
      <c r="Q4276" s="230">
        <f>OfficeForms.Table[[#This Row],[ INFORMEDEPAGO ]]*0.3</f>
        <v>2367.279</v>
      </c>
      <c r="R4276" s="231">
        <f>(IF(O4276&lt;4172.98,0,MIN(O4276*0.3,O4276-4172.98)))-P4276</f>
        <v>105.39899999999989</v>
      </c>
      <c r="S4276" s="74">
        <v>46692</v>
      </c>
      <c r="T4276" s="1" t="s">
        <v>7209</v>
      </c>
      <c r="U4276" s="43">
        <v>2261.88</v>
      </c>
      <c r="V4276" s="1"/>
    </row>
    <row r="4277" spans="1:23">
      <c r="A4277">
        <v>2704</v>
      </c>
      <c r="B4277" s="2">
        <v>46272.474340277797</v>
      </c>
      <c r="C4277" s="2">
        <v>46272.475104166697</v>
      </c>
      <c r="D4277" s="1" t="s">
        <v>24</v>
      </c>
      <c r="E4277" s="1"/>
      <c r="F4277" s="29">
        <v>46272</v>
      </c>
      <c r="G4277" s="29">
        <v>46271</v>
      </c>
      <c r="H4277" s="1" t="s">
        <v>8253</v>
      </c>
      <c r="I4277" s="175" t="s">
        <v>9504</v>
      </c>
      <c r="J4277" s="207"/>
      <c r="K4277" s="188" t="s">
        <v>9505</v>
      </c>
      <c r="L4277" s="62">
        <v>24283404</v>
      </c>
      <c r="M4277" s="30">
        <v>6678726796</v>
      </c>
      <c r="N4277" s="171" t="s">
        <v>130</v>
      </c>
      <c r="O4277" s="43">
        <v>6556.41</v>
      </c>
      <c r="P4277" s="43">
        <v>2097.29</v>
      </c>
      <c r="Q4277" s="230">
        <f>OfficeForms.Table[[#This Row],[ INFORMEDEPAGO ]]*0.3</f>
        <v>1966.9229999999998</v>
      </c>
      <c r="R4277" s="231">
        <f>(IF(O4277&lt;4172.98,0,MIN(O4277*0.3,O4277-4172.98)))-P4277</f>
        <v>-130.36700000000019</v>
      </c>
      <c r="S4277" s="74">
        <v>46266</v>
      </c>
      <c r="T4277" s="1" t="s">
        <v>7516</v>
      </c>
      <c r="U4277" s="98">
        <v>680</v>
      </c>
      <c r="V4277" s="1" t="s">
        <v>8316</v>
      </c>
      <c r="W4277" s="29">
        <v>46272</v>
      </c>
    </row>
    <row r="4278" spans="1:23">
      <c r="A4278">
        <v>2705</v>
      </c>
      <c r="B4278" s="2">
        <v>46272.474837962996</v>
      </c>
      <c r="C4278" s="2">
        <v>46272.475451388898</v>
      </c>
      <c r="D4278" s="1" t="s">
        <v>24</v>
      </c>
      <c r="E4278" s="1"/>
      <c r="F4278" s="29">
        <v>46272</v>
      </c>
      <c r="G4278" s="29">
        <v>46272</v>
      </c>
      <c r="H4278" s="1" t="s">
        <v>269</v>
      </c>
      <c r="I4278" s="175" t="s">
        <v>9506</v>
      </c>
      <c r="J4278" s="207" t="s">
        <v>9507</v>
      </c>
      <c r="K4278" s="188" t="s">
        <v>9508</v>
      </c>
      <c r="L4278" s="62">
        <v>24294612</v>
      </c>
      <c r="M4278" s="30">
        <v>5215613377354</v>
      </c>
      <c r="N4278" s="171" t="s">
        <v>74</v>
      </c>
      <c r="O4278" s="50"/>
      <c r="P4278" s="97"/>
      <c r="Q4278" s="230">
        <f>OfficeForms.Table[[#This Row],[ INFORMEDEPAGO ]]*0.3</f>
        <v>0</v>
      </c>
      <c r="R4278" s="231">
        <f>(IF(O4278&lt;4172.98,0,MIN(O4278*0.3,O4278-4172.98)))-P4278</f>
        <v>0</v>
      </c>
      <c r="T4278" s="1"/>
      <c r="V4278" s="1"/>
    </row>
    <row r="4279" spans="1:23">
      <c r="A4279">
        <v>2706</v>
      </c>
      <c r="B4279" s="2">
        <v>46272.475509259297</v>
      </c>
      <c r="C4279" s="2">
        <v>46272.476759259298</v>
      </c>
      <c r="D4279" s="1" t="s">
        <v>24</v>
      </c>
      <c r="E4279" s="1"/>
      <c r="F4279" s="29">
        <v>46272</v>
      </c>
      <c r="G4279" s="29">
        <v>46270</v>
      </c>
      <c r="H4279" s="1" t="s">
        <v>8253</v>
      </c>
      <c r="I4279" s="175" t="s">
        <v>9509</v>
      </c>
      <c r="J4279" s="207">
        <v>84836207716</v>
      </c>
      <c r="K4279" s="188" t="s">
        <v>9510</v>
      </c>
      <c r="L4279" s="62">
        <v>24264752</v>
      </c>
      <c r="M4279" s="30">
        <v>9995531562</v>
      </c>
      <c r="N4279" s="171" t="s">
        <v>37</v>
      </c>
      <c r="O4279" s="43">
        <v>7116.73</v>
      </c>
      <c r="P4279" s="43">
        <v>2058.71</v>
      </c>
      <c r="Q4279" s="230">
        <f>OfficeForms.Table[[#This Row],[ INFORMEDEPAGO ]]*0.3</f>
        <v>2135.0189999999998</v>
      </c>
      <c r="R4279" s="231">
        <f>(IF(O4279&lt;4172.98,0,MIN(O4279*0.3,O4279-4172.98)))-P4279</f>
        <v>76.308999999999742</v>
      </c>
      <c r="S4279" s="74">
        <v>46447</v>
      </c>
      <c r="T4279" s="1" t="s">
        <v>8415</v>
      </c>
      <c r="U4279" s="98">
        <v>992.71</v>
      </c>
      <c r="V4279" s="1"/>
    </row>
    <row r="4280" spans="1:23">
      <c r="A4280">
        <v>2707</v>
      </c>
      <c r="B4280" s="2">
        <v>46272.459259259304</v>
      </c>
      <c r="C4280" s="2">
        <v>46272.479062500002</v>
      </c>
      <c r="D4280" s="1" t="s">
        <v>24</v>
      </c>
      <c r="E4280" s="1"/>
      <c r="F4280" s="29">
        <v>46272</v>
      </c>
      <c r="G4280" s="29">
        <v>46272</v>
      </c>
      <c r="H4280" s="1" t="s">
        <v>8381</v>
      </c>
      <c r="I4280" s="175" t="s">
        <v>9511</v>
      </c>
      <c r="J4280" s="207"/>
      <c r="K4280" s="188" t="s">
        <v>9512</v>
      </c>
      <c r="L4280" s="62">
        <v>24296284</v>
      </c>
      <c r="M4280" s="30">
        <v>5213112248306</v>
      </c>
      <c r="N4280" s="171" t="s">
        <v>37</v>
      </c>
      <c r="O4280" s="52">
        <v>9760.32</v>
      </c>
      <c r="P4280" s="52">
        <v>2918.58</v>
      </c>
      <c r="Q4280" s="230">
        <f>OfficeForms.Table[[#This Row],[ INFORMEDEPAGO ]]*0.3</f>
        <v>2928.096</v>
      </c>
      <c r="R4280" s="231">
        <f>(IF(O4280&lt;4172.98,0,MIN(O4280*0.3,O4280-4172.98)))-P4280</f>
        <v>9.5160000000000764</v>
      </c>
      <c r="S4280" s="74">
        <v>46600</v>
      </c>
      <c r="T4280" s="1" t="s">
        <v>7209</v>
      </c>
      <c r="U4280" s="98">
        <v>2356.1</v>
      </c>
      <c r="V4280" s="1"/>
    </row>
    <row r="4281" spans="1:23">
      <c r="A4281">
        <v>2708</v>
      </c>
      <c r="B4281" s="2">
        <v>46272.4695601852</v>
      </c>
      <c r="C4281" s="2">
        <v>46272.4832523148</v>
      </c>
      <c r="D4281" s="1" t="s">
        <v>24</v>
      </c>
      <c r="E4281" s="1"/>
      <c r="F4281" s="29">
        <v>46272</v>
      </c>
      <c r="G4281" s="29">
        <v>46271</v>
      </c>
      <c r="H4281" s="1" t="s">
        <v>78</v>
      </c>
      <c r="I4281" s="175" t="s">
        <v>9513</v>
      </c>
      <c r="J4281" s="207">
        <v>65755814350</v>
      </c>
      <c r="K4281" s="188" t="s">
        <v>9514</v>
      </c>
      <c r="L4281" s="62">
        <v>24287014</v>
      </c>
      <c r="M4281" s="30">
        <v>5212292447347</v>
      </c>
      <c r="N4281" s="171" t="s">
        <v>37</v>
      </c>
      <c r="O4281" s="52">
        <v>9081.52</v>
      </c>
      <c r="P4281" s="52">
        <v>2623.92</v>
      </c>
      <c r="Q4281" s="230">
        <f>OfficeForms.Table[[#This Row],[ INFORMEDEPAGO ]]*0.3</f>
        <v>2724.4560000000001</v>
      </c>
      <c r="R4281" s="231">
        <f>(IF(O4281&lt;4172.98,0,MIN(O4281*0.3,O4281-4172.98)))-P4281</f>
        <v>100.53600000000006</v>
      </c>
      <c r="S4281" s="74">
        <v>46388</v>
      </c>
      <c r="T4281" s="1" t="s">
        <v>6855</v>
      </c>
      <c r="U4281" s="98">
        <v>894.83</v>
      </c>
      <c r="V4281" s="1"/>
    </row>
    <row r="4282" spans="1:23">
      <c r="A4282">
        <v>2709</v>
      </c>
      <c r="B4282" s="2">
        <v>46272.483287037001</v>
      </c>
      <c r="C4282" s="2">
        <v>46272.489780092597</v>
      </c>
      <c r="D4282" s="1" t="s">
        <v>24</v>
      </c>
      <c r="E4282" s="1"/>
      <c r="F4282" s="29">
        <v>46272</v>
      </c>
      <c r="G4282" s="29">
        <v>46272</v>
      </c>
      <c r="H4282" s="1" t="s">
        <v>78</v>
      </c>
      <c r="I4282" s="175" t="s">
        <v>9515</v>
      </c>
      <c r="J4282" s="207"/>
      <c r="K4282" s="188" t="s">
        <v>9516</v>
      </c>
      <c r="L4282" s="62">
        <v>24296254</v>
      </c>
      <c r="M4282" s="30">
        <v>5213223809905</v>
      </c>
      <c r="N4282" s="171" t="s">
        <v>32</v>
      </c>
      <c r="O4282" s="50">
        <v>3869.36</v>
      </c>
      <c r="P4282" s="97"/>
      <c r="Q4282" s="230">
        <f>OfficeForms.Table[[#This Row],[ INFORMEDEPAGO ]]*0.3</f>
        <v>1160.808</v>
      </c>
      <c r="R4282" s="231">
        <f t="shared" ref="R4282:R4284" si="316">(IF(O4282&lt;4172.98,0,MIN(O4282*0.3,O4282-4172.98)))-P4282</f>
        <v>0</v>
      </c>
      <c r="T4282" s="1"/>
      <c r="V4282" s="1"/>
    </row>
    <row r="4283" spans="1:23">
      <c r="A4283">
        <v>2710</v>
      </c>
      <c r="B4283" s="2">
        <v>46272.464606481502</v>
      </c>
      <c r="C4283" s="2">
        <v>46272.490833333301</v>
      </c>
      <c r="D4283" s="1" t="s">
        <v>24</v>
      </c>
      <c r="E4283" s="1"/>
      <c r="F4283" s="29">
        <v>46272</v>
      </c>
      <c r="G4283" s="29">
        <v>46272</v>
      </c>
      <c r="H4283" s="1" t="s">
        <v>1625</v>
      </c>
      <c r="I4283" s="175" t="s">
        <v>9517</v>
      </c>
      <c r="J4283" s="207">
        <v>43745838235</v>
      </c>
      <c r="K4283" s="188" t="s">
        <v>9518</v>
      </c>
      <c r="L4283" s="62">
        <v>2</v>
      </c>
      <c r="M4283" s="30">
        <v>8124135054</v>
      </c>
      <c r="N4283" s="171" t="s">
        <v>37</v>
      </c>
      <c r="O4283" s="52">
        <v>6312.86</v>
      </c>
      <c r="P4283" s="52">
        <v>1738.79</v>
      </c>
      <c r="Q4283" s="230">
        <f>OfficeForms.Table[[#This Row],[ INFORMEDEPAGO ]]*0.3</f>
        <v>1893.8579999999997</v>
      </c>
      <c r="R4283" s="231">
        <f t="shared" si="316"/>
        <v>155.06799999999976</v>
      </c>
      <c r="S4283" s="74">
        <v>46296</v>
      </c>
      <c r="T4283" s="1" t="s">
        <v>7209</v>
      </c>
      <c r="U4283" s="98">
        <v>1304</v>
      </c>
      <c r="V4283" s="1"/>
    </row>
    <row r="4284" spans="1:23">
      <c r="A4284">
        <v>2711</v>
      </c>
      <c r="B4284" s="2">
        <v>46272.459293981497</v>
      </c>
      <c r="C4284" s="2">
        <v>46272.495555555601</v>
      </c>
      <c r="D4284" s="1" t="s">
        <v>24</v>
      </c>
      <c r="E4284" s="1"/>
      <c r="F4284" s="29">
        <v>46272</v>
      </c>
      <c r="G4284" s="29">
        <v>46271</v>
      </c>
      <c r="H4284" s="1" t="s">
        <v>8721</v>
      </c>
      <c r="I4284" s="175" t="s">
        <v>9519</v>
      </c>
      <c r="J4284" s="207"/>
      <c r="K4284" s="188" t="s">
        <v>9520</v>
      </c>
      <c r="L4284" s="62">
        <v>24283124</v>
      </c>
      <c r="M4284" s="30">
        <v>5213312940712</v>
      </c>
      <c r="N4284" s="171" t="s">
        <v>28</v>
      </c>
      <c r="O4284" s="50">
        <f>21273.08-10636.54</f>
        <v>10636.54</v>
      </c>
      <c r="P4284" s="97"/>
      <c r="Q4284" s="230">
        <f>OfficeForms.Table[[#This Row],[ INFORMEDEPAGO ]]*0.3</f>
        <v>3190.962</v>
      </c>
      <c r="R4284" s="231">
        <f t="shared" si="316"/>
        <v>3190.962</v>
      </c>
      <c r="T4284" s="1"/>
      <c r="V4284" s="1" t="s">
        <v>8734</v>
      </c>
      <c r="W4284" s="29">
        <v>46272</v>
      </c>
    </row>
    <row r="4285" spans="1:23">
      <c r="A4285">
        <v>2712</v>
      </c>
      <c r="B4285" s="2">
        <v>46272.495590277802</v>
      </c>
      <c r="C4285" s="2">
        <v>46272.501585648097</v>
      </c>
      <c r="D4285" s="1" t="s">
        <v>24</v>
      </c>
      <c r="E4285" s="1"/>
      <c r="F4285" s="29">
        <v>46272</v>
      </c>
      <c r="G4285" s="29">
        <v>46271</v>
      </c>
      <c r="H4285" s="1" t="s">
        <v>8721</v>
      </c>
      <c r="I4285" s="175" t="s">
        <v>9521</v>
      </c>
      <c r="J4285" s="207" t="s">
        <v>9522</v>
      </c>
      <c r="K4285" s="188"/>
      <c r="L4285" s="62">
        <v>24289704</v>
      </c>
      <c r="M4285" s="30">
        <v>5216121571454</v>
      </c>
      <c r="N4285" s="171" t="s">
        <v>37</v>
      </c>
      <c r="O4285" s="52">
        <v>9081.52</v>
      </c>
      <c r="P4285" s="52">
        <v>2521.35</v>
      </c>
      <c r="Q4285" s="230">
        <f>OfficeForms.Table[[#This Row],[ INFORMEDEPAGO ]]*0.3</f>
        <v>2724.4560000000001</v>
      </c>
      <c r="R4285" s="231">
        <f t="shared" ref="R4285:R4287" si="317">(IF(O4285&lt;4172.98,0,MIN(O4285*0.3,O4285-4172.98)))-P4285</f>
        <v>203.10600000000022</v>
      </c>
      <c r="S4285" s="74">
        <v>46357</v>
      </c>
      <c r="T4285" s="1" t="s">
        <v>7209</v>
      </c>
      <c r="U4285" s="98">
        <v>2521.35</v>
      </c>
      <c r="V4285" s="1"/>
    </row>
    <row r="4286" spans="1:23">
      <c r="A4286">
        <v>2713</v>
      </c>
      <c r="B4286" s="2">
        <v>46272.493344907401</v>
      </c>
      <c r="C4286" s="2">
        <v>46272.505034722199</v>
      </c>
      <c r="D4286" s="1" t="s">
        <v>24</v>
      </c>
      <c r="E4286" s="1"/>
      <c r="F4286" s="29">
        <v>46272</v>
      </c>
      <c r="G4286" s="29">
        <v>46269</v>
      </c>
      <c r="H4286" s="1" t="s">
        <v>51</v>
      </c>
      <c r="I4286" s="175" t="s">
        <v>9523</v>
      </c>
      <c r="J4286" s="207" t="s">
        <v>9524</v>
      </c>
      <c r="K4286" s="188" t="s">
        <v>9525</v>
      </c>
      <c r="L4286" s="62">
        <v>24254398</v>
      </c>
      <c r="M4286" s="30">
        <v>5215545889699</v>
      </c>
      <c r="N4286" s="171" t="s">
        <v>47</v>
      </c>
      <c r="O4286" s="52">
        <v>40143.839999999997</v>
      </c>
      <c r="P4286" s="52">
        <v>11605.36</v>
      </c>
      <c r="Q4286" s="230">
        <f>OfficeForms.Table[[#This Row],[ INFORMEDEPAGO ]]*0.3</f>
        <v>12043.151999999998</v>
      </c>
      <c r="R4286" s="231">
        <f t="shared" si="317"/>
        <v>437.79199999999764</v>
      </c>
      <c r="S4286" s="74">
        <v>46661</v>
      </c>
      <c r="T4286" s="1" t="s">
        <v>84</v>
      </c>
      <c r="U4286" s="52">
        <v>11605.36</v>
      </c>
      <c r="V4286" s="1" t="s">
        <v>8233</v>
      </c>
      <c r="W4286" s="29">
        <v>46272</v>
      </c>
    </row>
    <row r="4287" spans="1:23">
      <c r="A4287">
        <v>2714</v>
      </c>
      <c r="B4287" s="2">
        <v>46272.5016666667</v>
      </c>
      <c r="C4287" s="2">
        <v>46272.506423611099</v>
      </c>
      <c r="D4287" s="1" t="s">
        <v>24</v>
      </c>
      <c r="E4287" s="1"/>
      <c r="F4287" s="29">
        <v>46272</v>
      </c>
      <c r="G4287" s="29">
        <v>46270</v>
      </c>
      <c r="H4287" s="1" t="s">
        <v>8721</v>
      </c>
      <c r="I4287" s="175"/>
      <c r="J4287" s="207" t="s">
        <v>9526</v>
      </c>
      <c r="K4287" s="188" t="s">
        <v>9527</v>
      </c>
      <c r="L4287" s="62">
        <v>24274632</v>
      </c>
      <c r="M4287" s="30">
        <v>5215568781978</v>
      </c>
      <c r="N4287" s="171" t="s">
        <v>47</v>
      </c>
      <c r="O4287" s="50">
        <v>4813.6899999999996</v>
      </c>
      <c r="P4287" s="97"/>
      <c r="Q4287" s="230">
        <f>OfficeForms.Table[[#This Row],[ INFORMEDEPAGO ]]*0.3</f>
        <v>1444.1069999999997</v>
      </c>
      <c r="R4287" s="231">
        <f t="shared" si="317"/>
        <v>640.71</v>
      </c>
      <c r="T4287" s="1"/>
      <c r="V4287" s="1" t="s">
        <v>8316</v>
      </c>
      <c r="W4287" s="29">
        <v>46272</v>
      </c>
    </row>
    <row r="4288" spans="1:23">
      <c r="A4288">
        <v>2715</v>
      </c>
      <c r="B4288" s="2">
        <v>46272.505057870403</v>
      </c>
      <c r="C4288" s="2">
        <v>46272.510370370401</v>
      </c>
      <c r="D4288" s="1" t="s">
        <v>24</v>
      </c>
      <c r="E4288" s="1"/>
      <c r="F4288" s="29">
        <v>46272</v>
      </c>
      <c r="G4288" s="29">
        <v>46269</v>
      </c>
      <c r="H4288" s="1" t="s">
        <v>51</v>
      </c>
      <c r="I4288" s="175" t="s">
        <v>9528</v>
      </c>
      <c r="J4288" s="207">
        <v>49846614151</v>
      </c>
      <c r="K4288" s="188" t="s">
        <v>9529</v>
      </c>
      <c r="L4288" s="62">
        <v>24256894</v>
      </c>
      <c r="M4288" s="30">
        <v>5218674109946</v>
      </c>
      <c r="N4288" s="171" t="s">
        <v>37</v>
      </c>
      <c r="O4288" s="52">
        <v>10636.54</v>
      </c>
      <c r="P4288" s="52">
        <v>3189.94</v>
      </c>
      <c r="Q4288" s="230">
        <f>OfficeForms.Table[[#This Row],[ INFORMEDEPAGO ]]*0.3</f>
        <v>3190.962</v>
      </c>
      <c r="R4288" s="231">
        <f t="shared" ref="R4288:R4289" si="318">(IF(O4288&lt;4172.98,0,MIN(O4288*0.3,O4288-4172.98)))-P4288</f>
        <v>1.0219999999999345</v>
      </c>
      <c r="S4288" s="74">
        <v>46874</v>
      </c>
      <c r="T4288" s="1" t="s">
        <v>8398</v>
      </c>
      <c r="U4288" s="52">
        <v>3189.94</v>
      </c>
      <c r="V4288" s="1"/>
    </row>
    <row r="4289" spans="1:23">
      <c r="A4289">
        <v>2716</v>
      </c>
      <c r="B4289" s="2">
        <v>46272.479097222204</v>
      </c>
      <c r="C4289" s="2">
        <v>46272.517314814802</v>
      </c>
      <c r="D4289" s="1" t="s">
        <v>24</v>
      </c>
      <c r="E4289" s="1"/>
      <c r="F4289" s="29">
        <v>46272</v>
      </c>
      <c r="G4289" s="29">
        <v>46272</v>
      </c>
      <c r="H4289" s="1" t="s">
        <v>8381</v>
      </c>
      <c r="I4289" s="175" t="s">
        <v>9530</v>
      </c>
      <c r="J4289" s="207">
        <v>21907001289</v>
      </c>
      <c r="K4289" s="188" t="s">
        <v>9531</v>
      </c>
      <c r="L4289" s="62">
        <v>24297354</v>
      </c>
      <c r="M4289" s="30">
        <v>5216463404500</v>
      </c>
      <c r="N4289" s="171" t="s">
        <v>32</v>
      </c>
      <c r="O4289" s="50">
        <f>2635.11+848</f>
        <v>3483.11</v>
      </c>
      <c r="P4289" s="97">
        <v>848</v>
      </c>
      <c r="Q4289" s="230">
        <f>OfficeForms.Table[[#This Row],[ INFORMEDEPAGO ]]*0.3</f>
        <v>1044.933</v>
      </c>
      <c r="R4289" s="231">
        <f t="shared" si="318"/>
        <v>-848</v>
      </c>
      <c r="T4289" s="1"/>
      <c r="V4289" s="1"/>
    </row>
    <row r="4290" spans="1:23">
      <c r="A4290">
        <v>2717</v>
      </c>
      <c r="B4290" s="2">
        <v>46272.518993055601</v>
      </c>
      <c r="C4290" s="2">
        <v>46272.525277777801</v>
      </c>
      <c r="D4290" s="1" t="s">
        <v>24</v>
      </c>
      <c r="E4290" s="1"/>
      <c r="F4290" s="29">
        <v>46272</v>
      </c>
      <c r="G4290" s="29">
        <v>46272</v>
      </c>
      <c r="H4290" s="1" t="s">
        <v>78</v>
      </c>
      <c r="I4290" s="175" t="s">
        <v>9532</v>
      </c>
      <c r="J4290" s="207">
        <v>42866516729</v>
      </c>
      <c r="K4290" s="188" t="s">
        <v>9533</v>
      </c>
      <c r="L4290" s="62">
        <v>24296596</v>
      </c>
      <c r="M4290" s="30">
        <v>5215619433361</v>
      </c>
      <c r="N4290" s="171" t="s">
        <v>37</v>
      </c>
      <c r="O4290" s="52">
        <v>9760.32</v>
      </c>
      <c r="P4290" s="52">
        <v>2870.92</v>
      </c>
      <c r="Q4290" s="230">
        <f>OfficeForms.Table[[#This Row],[ INFORMEDEPAGO ]]*0.3</f>
        <v>2928.096</v>
      </c>
      <c r="R4290" s="231">
        <f t="shared" ref="R4290:R4291" si="319">(IF(O4290&lt;4172.98,0,MIN(O4290*0.3,O4290-4172.98)))-P4290</f>
        <v>57.175999999999931</v>
      </c>
      <c r="S4290" s="74">
        <v>46905</v>
      </c>
      <c r="T4290" s="1" t="s">
        <v>8398</v>
      </c>
      <c r="U4290" s="98">
        <v>730.98</v>
      </c>
      <c r="V4290" s="1"/>
    </row>
    <row r="4291" spans="1:23">
      <c r="A4291">
        <v>2718</v>
      </c>
      <c r="B4291" s="2">
        <v>46272.530138888898</v>
      </c>
      <c r="C4291" s="2">
        <v>46272.531087962998</v>
      </c>
      <c r="D4291" s="1" t="s">
        <v>24</v>
      </c>
      <c r="E4291" s="1"/>
      <c r="F4291" s="29">
        <v>46272</v>
      </c>
      <c r="G4291" s="29">
        <v>46270</v>
      </c>
      <c r="H4291" s="1" t="s">
        <v>8238</v>
      </c>
      <c r="I4291" s="175" t="s">
        <v>9534</v>
      </c>
      <c r="J4291" s="207" t="s">
        <v>9535</v>
      </c>
      <c r="K4291" s="188" t="s">
        <v>9536</v>
      </c>
      <c r="L4291" s="62">
        <v>24272784</v>
      </c>
      <c r="M4291" s="30">
        <v>5574316749</v>
      </c>
      <c r="N4291" s="171" t="s">
        <v>37</v>
      </c>
      <c r="O4291" s="52">
        <v>20707.12</v>
      </c>
      <c r="P4291" s="52">
        <v>6212.14</v>
      </c>
      <c r="Q4291" s="230">
        <f>OfficeForms.Table[[#This Row],[ INFORMEDEPAGO ]]*0.3</f>
        <v>6212.1359999999995</v>
      </c>
      <c r="R4291" s="231">
        <f t="shared" si="319"/>
        <v>-4.0000000008149073E-3</v>
      </c>
      <c r="S4291" s="74">
        <v>46296</v>
      </c>
      <c r="T4291" s="1" t="s">
        <v>8338</v>
      </c>
      <c r="U4291" s="98">
        <v>5747.5</v>
      </c>
      <c r="V4291" s="1"/>
    </row>
    <row r="4292" spans="1:23">
      <c r="A4292">
        <v>2719</v>
      </c>
      <c r="B4292" s="2">
        <v>46272.510381944398</v>
      </c>
      <c r="C4292" s="2">
        <v>46272.538645833301</v>
      </c>
      <c r="D4292" s="1" t="s">
        <v>24</v>
      </c>
      <c r="E4292" s="1"/>
      <c r="F4292" s="29">
        <v>46272</v>
      </c>
      <c r="G4292" s="29">
        <v>46272</v>
      </c>
      <c r="H4292" s="1" t="s">
        <v>51</v>
      </c>
      <c r="I4292" s="175" t="s">
        <v>9537</v>
      </c>
      <c r="J4292" s="207">
        <v>14816222401</v>
      </c>
      <c r="K4292" s="188" t="s">
        <v>9538</v>
      </c>
      <c r="L4292" s="62">
        <v>24298222</v>
      </c>
      <c r="M4292" s="30">
        <v>5214421607574</v>
      </c>
      <c r="N4292" s="171" t="s">
        <v>37</v>
      </c>
      <c r="O4292" s="52">
        <v>12351.29</v>
      </c>
      <c r="P4292" s="52">
        <v>3426.22</v>
      </c>
      <c r="Q4292" s="230">
        <f>OfficeForms.Table[[#This Row],[ INFORMEDEPAGO ]]*0.3</f>
        <v>3705.3870000000002</v>
      </c>
      <c r="R4292" s="231">
        <f t="shared" ref="R4292:R4294" si="320">(IF(O4292&lt;4172.98,0,MIN(O4292*0.3,O4292-4172.98)))-P4292</f>
        <v>279.16700000000037</v>
      </c>
      <c r="S4292" s="74">
        <v>46327</v>
      </c>
      <c r="T4292" s="1" t="s">
        <v>7516</v>
      </c>
      <c r="U4292" s="52">
        <v>3426.22</v>
      </c>
      <c r="V4292" s="1"/>
    </row>
    <row r="4293" spans="1:23">
      <c r="A4293">
        <v>2720</v>
      </c>
      <c r="B4293" s="2">
        <v>46272.4909722222</v>
      </c>
      <c r="C4293" s="2">
        <v>46272.542152777802</v>
      </c>
      <c r="D4293" s="1" t="s">
        <v>24</v>
      </c>
      <c r="E4293" s="1"/>
      <c r="F4293" s="29">
        <v>46272</v>
      </c>
      <c r="G4293" s="29">
        <v>46272</v>
      </c>
      <c r="H4293" s="1" t="s">
        <v>1625</v>
      </c>
      <c r="I4293" s="175" t="s">
        <v>9539</v>
      </c>
      <c r="J4293" s="207">
        <v>43886701408</v>
      </c>
      <c r="K4293" s="188" t="s">
        <v>9540</v>
      </c>
      <c r="L4293" s="62">
        <v>2</v>
      </c>
      <c r="M4293" s="30" t="s">
        <v>9541</v>
      </c>
      <c r="N4293" s="171" t="s">
        <v>37</v>
      </c>
      <c r="O4293" s="52">
        <v>4505.32</v>
      </c>
      <c r="P4293" s="52">
        <v>722.96</v>
      </c>
      <c r="Q4293" s="230">
        <f>OfficeForms.Table[[#This Row],[ INFORMEDEPAGO ]]*0.3</f>
        <v>1351.5959999999998</v>
      </c>
      <c r="R4293" s="231">
        <f t="shared" si="320"/>
        <v>-390.61999999999989</v>
      </c>
      <c r="S4293" s="74">
        <v>46600</v>
      </c>
      <c r="T4293" s="1" t="s">
        <v>8981</v>
      </c>
      <c r="U4293" s="98">
        <v>722.96</v>
      </c>
      <c r="V4293" s="1"/>
    </row>
    <row r="4294" spans="1:23">
      <c r="A4294">
        <v>2722</v>
      </c>
      <c r="B4294" s="2">
        <v>46272.542175925897</v>
      </c>
      <c r="C4294" s="2">
        <v>46272.544004629599</v>
      </c>
      <c r="D4294" s="1" t="s">
        <v>24</v>
      </c>
      <c r="E4294" s="1"/>
      <c r="F4294" s="29">
        <v>46272</v>
      </c>
      <c r="G4294" s="29">
        <v>46272</v>
      </c>
      <c r="H4294" s="1" t="s">
        <v>1625</v>
      </c>
      <c r="I4294" s="175" t="s">
        <v>9542</v>
      </c>
      <c r="J4294" s="207">
        <v>1978603709</v>
      </c>
      <c r="K4294" s="188" t="s">
        <v>9543</v>
      </c>
      <c r="L4294" s="62">
        <v>2</v>
      </c>
      <c r="M4294" s="30" t="s">
        <v>9544</v>
      </c>
      <c r="N4294" s="171" t="s">
        <v>37</v>
      </c>
      <c r="O4294" s="52">
        <v>7116.74</v>
      </c>
      <c r="P4294" s="52">
        <v>2123.9299999999998</v>
      </c>
      <c r="Q4294" s="230">
        <f>OfficeForms.Table[[#This Row],[ INFORMEDEPAGO ]]*0.3</f>
        <v>2135.0219999999999</v>
      </c>
      <c r="R4294" s="231">
        <f t="shared" si="320"/>
        <v>11.092000000000098</v>
      </c>
      <c r="S4294" s="74">
        <v>46419</v>
      </c>
      <c r="T4294" s="1" t="s">
        <v>7516</v>
      </c>
      <c r="U4294" s="98">
        <v>1300</v>
      </c>
      <c r="V4294" s="1"/>
    </row>
    <row r="4295" spans="1:23">
      <c r="A4295">
        <v>2723</v>
      </c>
      <c r="B4295" s="2">
        <v>46272.535729166702</v>
      </c>
      <c r="C4295" s="2">
        <v>46272.552905092598</v>
      </c>
      <c r="D4295" s="1" t="s">
        <v>24</v>
      </c>
      <c r="E4295" s="1"/>
      <c r="F4295" s="29">
        <v>46272</v>
      </c>
      <c r="G4295" s="29">
        <v>46272</v>
      </c>
      <c r="H4295" s="1" t="s">
        <v>78</v>
      </c>
      <c r="I4295" s="175" t="s">
        <v>9545</v>
      </c>
      <c r="J4295" s="207">
        <v>49916645747</v>
      </c>
      <c r="K4295" s="188" t="s">
        <v>9546</v>
      </c>
      <c r="L4295" s="62">
        <v>24297602</v>
      </c>
      <c r="M4295" s="30">
        <v>5218682101491</v>
      </c>
      <c r="N4295" s="171" t="s">
        <v>37</v>
      </c>
      <c r="O4295" s="52">
        <v>4608.3500000000004</v>
      </c>
      <c r="P4295" s="52">
        <v>410.79</v>
      </c>
      <c r="Q4295" s="230">
        <f>OfficeForms.Table[[#This Row],[ INFORMEDEPAGO ]]*0.3</f>
        <v>1382.5050000000001</v>
      </c>
      <c r="R4295" s="231">
        <f>(IF(O4295&lt;4172.98,0,MIN(O4295*0.3,O4295-4172.98)))-P4295</f>
        <v>24.58000000000078</v>
      </c>
      <c r="S4295" s="74">
        <v>46692</v>
      </c>
      <c r="T4295" s="1" t="s">
        <v>8415</v>
      </c>
      <c r="U4295" s="52">
        <v>410.79</v>
      </c>
      <c r="V4295" s="1"/>
    </row>
    <row r="4296" spans="1:23">
      <c r="A4296">
        <v>2724</v>
      </c>
      <c r="B4296" s="2">
        <v>46272.543449074103</v>
      </c>
      <c r="C4296" s="2">
        <v>46272.554756944402</v>
      </c>
      <c r="D4296" s="1" t="s">
        <v>24</v>
      </c>
      <c r="E4296" s="1"/>
      <c r="F4296" s="29">
        <v>46272</v>
      </c>
      <c r="G4296" s="29">
        <v>46270</v>
      </c>
      <c r="H4296" s="1" t="s">
        <v>8721</v>
      </c>
      <c r="I4296" s="175" t="s">
        <v>9547</v>
      </c>
      <c r="J4296" s="208" t="s">
        <v>9548</v>
      </c>
      <c r="K4296" s="236" t="s">
        <v>9549</v>
      </c>
      <c r="L4296" s="62">
        <v>24274536</v>
      </c>
      <c r="M4296" s="30">
        <v>5217531182124</v>
      </c>
      <c r="N4296" s="171" t="s">
        <v>37</v>
      </c>
      <c r="O4296" s="43">
        <v>52854.87</v>
      </c>
      <c r="P4296" s="43">
        <v>15789.84</v>
      </c>
      <c r="Q4296" s="230">
        <f>OfficeForms.Table[[#This Row],[ INFORMEDEPAGO ]]*0.3</f>
        <v>15856.460999999999</v>
      </c>
      <c r="R4296" s="231">
        <f>(IF(O4296&lt;4172.98,0,MIN(O4296*0.3,O4296-4172.98)))-P4296</f>
        <v>66.620999999999185</v>
      </c>
      <c r="S4296" s="74">
        <v>46419</v>
      </c>
      <c r="T4296" s="1" t="s">
        <v>6855</v>
      </c>
      <c r="U4296" s="98">
        <v>792.93</v>
      </c>
      <c r="V4296" s="1"/>
    </row>
    <row r="4297" spans="1:23">
      <c r="A4297">
        <v>2725</v>
      </c>
      <c r="B4297" s="2">
        <v>46272.560763888898</v>
      </c>
      <c r="C4297" s="2">
        <v>46272.561412037001</v>
      </c>
      <c r="D4297" s="1" t="s">
        <v>24</v>
      </c>
      <c r="E4297" s="1"/>
      <c r="F4297" s="29">
        <v>46272</v>
      </c>
      <c r="G4297" s="29">
        <v>46272</v>
      </c>
      <c r="H4297" s="1" t="s">
        <v>8238</v>
      </c>
      <c r="I4297" s="175" t="s">
        <v>9550</v>
      </c>
      <c r="J4297" s="207"/>
      <c r="K4297" s="188" t="s">
        <v>9551</v>
      </c>
      <c r="L4297" s="62">
        <v>24297332</v>
      </c>
      <c r="M4297" s="30">
        <v>4492907341</v>
      </c>
      <c r="N4297" s="171" t="s">
        <v>47</v>
      </c>
      <c r="O4297" s="52">
        <v>9760.32</v>
      </c>
      <c r="P4297" s="52">
        <v>1794.15</v>
      </c>
      <c r="Q4297" s="230">
        <f>OfficeForms.Table[[#This Row],[ INFORMEDEPAGO ]]*0.3</f>
        <v>2928.096</v>
      </c>
      <c r="R4297" s="231">
        <f>(IF(O4297&lt;4172.98,0,MIN(O4297*0.3,O4297-4172.98)))-P4297</f>
        <v>1133.9459999999999</v>
      </c>
      <c r="S4297" s="74">
        <v>46844</v>
      </c>
      <c r="T4297" s="1" t="s">
        <v>9552</v>
      </c>
      <c r="U4297" s="52">
        <v>1794.15</v>
      </c>
      <c r="V4297" s="1" t="s">
        <v>8316</v>
      </c>
      <c r="W4297" s="29">
        <v>46272</v>
      </c>
    </row>
    <row r="4298" spans="1:23">
      <c r="A4298">
        <v>2726</v>
      </c>
      <c r="B4298" s="2">
        <v>46272.568842592598</v>
      </c>
      <c r="C4298" s="2">
        <v>46272.5695486111</v>
      </c>
      <c r="D4298" s="1" t="s">
        <v>24</v>
      </c>
      <c r="E4298" s="1"/>
      <c r="F4298" s="29">
        <v>46272</v>
      </c>
      <c r="G4298" s="29">
        <v>46270</v>
      </c>
      <c r="H4298" s="1" t="s">
        <v>8253</v>
      </c>
      <c r="I4298" s="175" t="s">
        <v>9553</v>
      </c>
      <c r="J4298" s="207"/>
      <c r="K4298" s="188" t="s">
        <v>9554</v>
      </c>
      <c r="L4298" s="62">
        <v>24258382</v>
      </c>
      <c r="M4298" s="30">
        <v>5582870035</v>
      </c>
      <c r="N4298" s="171" t="s">
        <v>28</v>
      </c>
      <c r="O4298" s="67">
        <v>6508.25</v>
      </c>
      <c r="P4298" s="99"/>
      <c r="Q4298" s="230">
        <f>OfficeForms.Table[[#This Row],[ INFORMEDEPAGO ]]*0.3</f>
        <v>1952.4749999999999</v>
      </c>
      <c r="R4298" s="231">
        <f>(IF(O4298&lt;4172.98,0,MIN(O4298*0.3,O4298-4172.98)))-P4298</f>
        <v>1952.4749999999999</v>
      </c>
      <c r="T4298" s="1"/>
      <c r="U4298" s="99"/>
      <c r="V4298" s="1" t="s">
        <v>8716</v>
      </c>
      <c r="W4298" s="29">
        <v>46272</v>
      </c>
    </row>
    <row r="4299" spans="1:23">
      <c r="A4299">
        <v>2727</v>
      </c>
      <c r="B4299" s="2">
        <v>46272.581875000003</v>
      </c>
      <c r="C4299" s="2">
        <v>46272.584178240701</v>
      </c>
      <c r="D4299" s="1" t="s">
        <v>24</v>
      </c>
      <c r="E4299" s="1"/>
      <c r="F4299" s="29">
        <v>46272</v>
      </c>
      <c r="G4299" s="29">
        <v>46272</v>
      </c>
      <c r="H4299" s="1" t="s">
        <v>8238</v>
      </c>
      <c r="I4299" s="175" t="s">
        <v>9555</v>
      </c>
      <c r="J4299" s="207"/>
      <c r="K4299" s="188" t="s">
        <v>9556</v>
      </c>
      <c r="L4299" s="62">
        <v>24294128</v>
      </c>
      <c r="M4299" s="30">
        <v>5540155545</v>
      </c>
      <c r="N4299" s="171" t="s">
        <v>32</v>
      </c>
      <c r="O4299" s="43">
        <v>3879.3</v>
      </c>
      <c r="P4299" s="43">
        <v>879</v>
      </c>
      <c r="Q4299" s="230">
        <f>OfficeForms.Table[[#This Row],[ INFORMEDEPAGO ]]*0.3</f>
        <v>1163.79</v>
      </c>
      <c r="R4299" s="231">
        <f>(IF(O4299&lt;4172.98,0,MIN(O4299*0.3,O4299-4172.98)))-P4299</f>
        <v>-879</v>
      </c>
      <c r="T4299" s="1"/>
      <c r="U4299" s="97"/>
      <c r="V4299" s="1"/>
    </row>
    <row r="4300" spans="1:23">
      <c r="A4300">
        <v>2728</v>
      </c>
      <c r="B4300" s="2">
        <v>46272.586238425902</v>
      </c>
      <c r="C4300" s="2">
        <v>46272.589490740698</v>
      </c>
      <c r="D4300" s="1" t="s">
        <v>24</v>
      </c>
      <c r="E4300" s="1"/>
      <c r="F4300" s="29">
        <v>46272</v>
      </c>
      <c r="G4300" s="29">
        <v>46272</v>
      </c>
      <c r="H4300" s="1" t="s">
        <v>269</v>
      </c>
      <c r="I4300" s="175" t="s">
        <v>9557</v>
      </c>
      <c r="J4300" s="175" t="s">
        <v>9558</v>
      </c>
      <c r="K4300" s="188" t="s">
        <v>9559</v>
      </c>
      <c r="L4300" s="62">
        <v>24295750</v>
      </c>
      <c r="M4300" s="30">
        <v>5218715208206</v>
      </c>
      <c r="N4300" s="171" t="s">
        <v>28</v>
      </c>
      <c r="O4300" s="50">
        <v>5617.63</v>
      </c>
      <c r="P4300" s="97"/>
      <c r="Q4300" s="230">
        <f>OfficeForms.Table[[#This Row],[ INFORMEDEPAGO ]]*0.3</f>
        <v>1685.289</v>
      </c>
      <c r="R4300" s="231">
        <f>(IF(O4300&lt;4172.98,0,MIN(O4300*0.3,O4300-4172.98)))-P4300</f>
        <v>1444.6500000000005</v>
      </c>
      <c r="T4300" s="1"/>
      <c r="U4300" s="97"/>
      <c r="V4300" s="1" t="s">
        <v>8356</v>
      </c>
      <c r="W4300" s="29">
        <v>46272</v>
      </c>
    </row>
    <row r="4301" spans="1:23">
      <c r="A4301">
        <v>2729</v>
      </c>
      <c r="B4301" s="2">
        <v>46272.589236111096</v>
      </c>
      <c r="C4301" s="2">
        <v>46272.590231481503</v>
      </c>
      <c r="D4301" s="1" t="s">
        <v>24</v>
      </c>
      <c r="E4301" s="1"/>
      <c r="F4301" s="29">
        <v>46272</v>
      </c>
      <c r="G4301" s="29">
        <v>46272</v>
      </c>
      <c r="H4301" s="1" t="s">
        <v>8253</v>
      </c>
      <c r="I4301" s="175" t="s">
        <v>9560</v>
      </c>
      <c r="J4301" s="175"/>
      <c r="K4301" s="188" t="s">
        <v>9561</v>
      </c>
      <c r="L4301" s="62">
        <v>24297288</v>
      </c>
      <c r="M4301" s="30">
        <v>2292258905</v>
      </c>
      <c r="N4301" s="171" t="s">
        <v>28</v>
      </c>
      <c r="O4301" s="50">
        <v>10636.36</v>
      </c>
      <c r="P4301" s="97"/>
      <c r="Q4301" s="230">
        <f>OfficeForms.Table[[#This Row],[ INFORMEDEPAGO ]]*0.3</f>
        <v>3190.9079999999999</v>
      </c>
      <c r="R4301" s="231">
        <f>(IF(O4301&lt;4172.98,0,MIN(O4301*0.3,O4301-4172.98)))-P4301</f>
        <v>3190.9079999999999</v>
      </c>
      <c r="T4301" s="1"/>
      <c r="U4301" s="97"/>
      <c r="V4301" s="1" t="s">
        <v>8915</v>
      </c>
      <c r="W4301" s="29">
        <v>46272</v>
      </c>
    </row>
    <row r="4302" spans="1:23">
      <c r="A4302">
        <v>2730</v>
      </c>
      <c r="B4302" s="2">
        <v>46272.538738425901</v>
      </c>
      <c r="C4302" s="2">
        <v>46272.595000000001</v>
      </c>
      <c r="D4302" s="1" t="s">
        <v>24</v>
      </c>
      <c r="E4302" s="1"/>
      <c r="F4302" s="29">
        <v>46272</v>
      </c>
      <c r="G4302" s="29">
        <v>46272</v>
      </c>
      <c r="H4302" s="1" t="s">
        <v>51</v>
      </c>
      <c r="I4302" s="175" t="s">
        <v>9562</v>
      </c>
      <c r="J4302" s="175">
        <v>24806351797</v>
      </c>
      <c r="K4302" s="188" t="s">
        <v>9563</v>
      </c>
      <c r="L4302" s="62">
        <v>24298508</v>
      </c>
      <c r="M4302" s="30">
        <v>5216441162053</v>
      </c>
      <c r="N4302" s="171" t="s">
        <v>37</v>
      </c>
      <c r="O4302" s="52">
        <v>7920.51</v>
      </c>
      <c r="P4302" s="52">
        <v>2291.6</v>
      </c>
      <c r="Q4302" s="230">
        <f>OfficeForms.Table[[#This Row],[ INFORMEDEPAGO ]]*0.3</f>
        <v>2376.1529999999998</v>
      </c>
      <c r="R4302" s="231">
        <f>(IF(O4302&lt;4172.98,0,MIN(O4302*0.3,O4302-4172.98)))-P4302</f>
        <v>84.552999999999884</v>
      </c>
      <c r="S4302" s="74">
        <v>46388</v>
      </c>
      <c r="T4302" s="1" t="s">
        <v>7516</v>
      </c>
      <c r="U4302" s="97">
        <v>877.01</v>
      </c>
      <c r="V4302" s="1"/>
    </row>
    <row r="4303" spans="1:23">
      <c r="A4303">
        <v>2731</v>
      </c>
      <c r="B4303" s="2">
        <v>46272.517349537004</v>
      </c>
      <c r="C4303" s="2">
        <v>46272.596701388902</v>
      </c>
      <c r="D4303" s="1" t="s">
        <v>24</v>
      </c>
      <c r="E4303" s="1"/>
      <c r="F4303" s="29">
        <v>46272</v>
      </c>
      <c r="G4303" s="29">
        <v>46271</v>
      </c>
      <c r="H4303" s="1" t="s">
        <v>8381</v>
      </c>
      <c r="I4303" s="175" t="s">
        <v>9564</v>
      </c>
      <c r="J4303" s="175">
        <v>21755818313</v>
      </c>
      <c r="K4303" s="188" t="s">
        <v>9565</v>
      </c>
      <c r="L4303" s="62">
        <v>24287256</v>
      </c>
      <c r="M4303" s="30">
        <v>5216461369551</v>
      </c>
      <c r="N4303" s="171" t="s">
        <v>37</v>
      </c>
      <c r="O4303" s="52">
        <v>7920.51</v>
      </c>
      <c r="P4303" s="52">
        <v>2374.7600000000002</v>
      </c>
      <c r="Q4303" s="230">
        <f>OfficeForms.Table[[#This Row],[ INFORMEDEPAGO ]]*0.3</f>
        <v>2376.1529999999998</v>
      </c>
      <c r="R4303" s="231">
        <f>(IF(O4303&lt;4172.98,0,MIN(O4303*0.3,O4303-4172.98)))-P4303</f>
        <v>1.3929999999995744</v>
      </c>
      <c r="S4303" s="74">
        <v>46905</v>
      </c>
      <c r="T4303" s="1" t="s">
        <v>259</v>
      </c>
      <c r="U4303" s="52">
        <v>2374.7600000000002</v>
      </c>
      <c r="V4303" s="1"/>
    </row>
    <row r="4304" spans="1:23">
      <c r="A4304">
        <v>2732</v>
      </c>
      <c r="B4304" s="2">
        <v>46272.602592592601</v>
      </c>
      <c r="C4304" s="2">
        <v>46272.608738425901</v>
      </c>
      <c r="D4304" s="1" t="s">
        <v>24</v>
      </c>
      <c r="E4304" s="1"/>
      <c r="F4304" s="29">
        <v>46272</v>
      </c>
      <c r="G4304" s="29">
        <v>46271</v>
      </c>
      <c r="H4304" s="1" t="s">
        <v>8381</v>
      </c>
      <c r="I4304" s="175" t="s">
        <v>9566</v>
      </c>
      <c r="J4304" s="175">
        <v>10786035583</v>
      </c>
      <c r="K4304" s="188" t="s">
        <v>9567</v>
      </c>
      <c r="L4304" s="62">
        <v>24287632</v>
      </c>
      <c r="M4304" s="30">
        <v>5215534164563</v>
      </c>
      <c r="N4304" s="171" t="s">
        <v>28</v>
      </c>
      <c r="O4304" s="50">
        <v>35969.39</v>
      </c>
      <c r="P4304" s="97"/>
      <c r="Q4304" s="230">
        <f>OfficeForms.Table[[#This Row],[ INFORMEDEPAGO ]]*0.3</f>
        <v>10790.816999999999</v>
      </c>
      <c r="R4304" s="231">
        <f>(IF(O4304&lt;4172.98,0,MIN(O4304*0.3,O4304-4172.98)))-P4304</f>
        <v>10790.816999999999</v>
      </c>
      <c r="T4304" s="1"/>
      <c r="U4304" s="97"/>
      <c r="V4304" s="1" t="s">
        <v>8280</v>
      </c>
      <c r="W4304" s="29">
        <v>46272</v>
      </c>
    </row>
    <row r="4305" spans="1:23">
      <c r="A4305">
        <v>2733</v>
      </c>
      <c r="B4305" s="2">
        <v>46272.607627314799</v>
      </c>
      <c r="C4305" s="2">
        <v>46272.610393518502</v>
      </c>
      <c r="D4305" s="1" t="s">
        <v>24</v>
      </c>
      <c r="E4305" s="1"/>
      <c r="F4305" s="29">
        <v>46272</v>
      </c>
      <c r="G4305" s="29">
        <v>46271</v>
      </c>
      <c r="H4305" s="1" t="s">
        <v>78</v>
      </c>
      <c r="I4305" s="175" t="s">
        <v>9568</v>
      </c>
      <c r="J4305" s="175"/>
      <c r="K4305" s="188" t="s">
        <v>9569</v>
      </c>
      <c r="L4305" s="62">
        <v>24289344</v>
      </c>
      <c r="M4305" s="30">
        <v>5215527709409</v>
      </c>
      <c r="N4305" s="171" t="s">
        <v>47</v>
      </c>
      <c r="O4305" s="43">
        <v>6262.86</v>
      </c>
      <c r="P4305" s="43">
        <v>879</v>
      </c>
      <c r="Q4305" s="230">
        <f>OfficeForms.Table[[#This Row],[ INFORMEDEPAGO ]]*0.3</f>
        <v>1878.8579999999997</v>
      </c>
      <c r="R4305" s="231">
        <f>(IF(O4305&lt;4172.98,0,MIN(O4305*0.3,O4305-4172.98)))-P4305</f>
        <v>999.85799999999972</v>
      </c>
      <c r="T4305" s="1"/>
      <c r="U4305" s="97"/>
      <c r="V4305" s="1" t="s">
        <v>8233</v>
      </c>
      <c r="W4305" s="29">
        <v>46272</v>
      </c>
    </row>
    <row r="4306" spans="1:23">
      <c r="A4306">
        <v>2734</v>
      </c>
      <c r="B4306" s="2">
        <v>46272.611481481501</v>
      </c>
      <c r="C4306" s="2">
        <v>46272.612268518496</v>
      </c>
      <c r="D4306" s="1" t="s">
        <v>24</v>
      </c>
      <c r="E4306" s="1"/>
      <c r="F4306" s="29">
        <v>46272</v>
      </c>
      <c r="G4306" s="29">
        <v>46272</v>
      </c>
      <c r="H4306" s="1" t="s">
        <v>269</v>
      </c>
      <c r="I4306" s="175" t="s">
        <v>9570</v>
      </c>
      <c r="J4306" s="175" t="s">
        <v>9571</v>
      </c>
      <c r="K4306" s="188"/>
      <c r="L4306" s="62">
        <v>24298926</v>
      </c>
      <c r="M4306" s="30">
        <v>5218991597540</v>
      </c>
      <c r="N4306" s="171" t="s">
        <v>37</v>
      </c>
      <c r="O4306" s="43">
        <v>11078.99</v>
      </c>
      <c r="P4306" s="43">
        <v>3058.38</v>
      </c>
      <c r="Q4306" s="230">
        <f>OfficeForms.Table[[#This Row],[ INFORMEDEPAGO ]]*0.3</f>
        <v>3323.6969999999997</v>
      </c>
      <c r="R4306" s="231">
        <f>(IF(O4306&lt;4172.98,0,MIN(O4306*0.3,O4306-4172.98)))-P4306</f>
        <v>265.31699999999955</v>
      </c>
      <c r="S4306" s="74">
        <v>46296</v>
      </c>
      <c r="T4306" s="1" t="s">
        <v>192</v>
      </c>
      <c r="U4306" s="43">
        <v>3058.38</v>
      </c>
      <c r="V4306" s="1"/>
    </row>
    <row r="4307" spans="1:23">
      <c r="A4307">
        <v>2736</v>
      </c>
      <c r="B4307" s="2">
        <v>46272.657743055599</v>
      </c>
      <c r="C4307" s="2">
        <v>46272.658449074101</v>
      </c>
      <c r="D4307" s="1" t="s">
        <v>24</v>
      </c>
      <c r="E4307" s="1"/>
      <c r="F4307" s="29">
        <v>46272</v>
      </c>
      <c r="G4307" s="29">
        <v>46272</v>
      </c>
      <c r="H4307" s="1" t="s">
        <v>8253</v>
      </c>
      <c r="I4307" s="175" t="s">
        <v>9572</v>
      </c>
      <c r="J4307" s="175"/>
      <c r="K4307" s="188" t="s">
        <v>9573</v>
      </c>
      <c r="L4307" s="62">
        <v>24292658</v>
      </c>
      <c r="M4307" s="30">
        <v>8124006060</v>
      </c>
      <c r="N4307" s="171" t="s">
        <v>106</v>
      </c>
      <c r="O4307" s="52">
        <v>9081.52</v>
      </c>
      <c r="P4307" s="52">
        <v>2516.75</v>
      </c>
      <c r="Q4307" s="230">
        <f>OfficeForms.Table[[#This Row],[ INFORMEDEPAGO ]]*0.3</f>
        <v>2724.4560000000001</v>
      </c>
      <c r="R4307" s="231">
        <f t="shared" ref="R4307:R4309" si="321">(IF(O4307&lt;4172.98,0,MIN(O4307*0.3,O4307-4172.98)))-P4307</f>
        <v>207.70600000000013</v>
      </c>
      <c r="S4307" s="74">
        <v>46204</v>
      </c>
      <c r="T4307" s="1" t="s">
        <v>7209</v>
      </c>
      <c r="U4307" s="52">
        <v>2516.75</v>
      </c>
      <c r="V4307" s="1" t="s">
        <v>8409</v>
      </c>
      <c r="W4307" s="29">
        <v>46272</v>
      </c>
    </row>
    <row r="4308" spans="1:23">
      <c r="A4308">
        <v>2737</v>
      </c>
      <c r="B4308" s="2">
        <v>46272.634305555599</v>
      </c>
      <c r="C4308" s="2">
        <v>46272.659699074102</v>
      </c>
      <c r="D4308" s="1" t="s">
        <v>24</v>
      </c>
      <c r="E4308" s="1"/>
      <c r="F4308" s="29">
        <v>46272</v>
      </c>
      <c r="G4308" s="29">
        <v>46272</v>
      </c>
      <c r="H4308" s="1" t="s">
        <v>8238</v>
      </c>
      <c r="I4308" s="175" t="s">
        <v>9574</v>
      </c>
      <c r="J4308" s="175">
        <v>23815715828</v>
      </c>
      <c r="K4308" s="188" t="s">
        <v>9575</v>
      </c>
      <c r="L4308" s="62">
        <v>24297568</v>
      </c>
      <c r="M4308" s="30">
        <v>6121112441</v>
      </c>
      <c r="N4308" s="171" t="s">
        <v>37</v>
      </c>
      <c r="O4308" s="52">
        <v>32425.85</v>
      </c>
      <c r="P4308" s="52">
        <v>9724.59</v>
      </c>
      <c r="Q4308" s="230">
        <f>OfficeForms.Table[[#This Row],[ INFORMEDEPAGO ]]*0.3</f>
        <v>9727.7549999999992</v>
      </c>
      <c r="R4308" s="231">
        <f t="shared" si="321"/>
        <v>3.1649999999990541</v>
      </c>
      <c r="S4308" s="74">
        <v>46722</v>
      </c>
      <c r="T4308" s="1" t="s">
        <v>84</v>
      </c>
      <c r="U4308" s="97">
        <v>2018.79</v>
      </c>
      <c r="V4308" s="1"/>
    </row>
    <row r="4309" spans="1:23">
      <c r="A4309">
        <v>2738</v>
      </c>
      <c r="B4309" s="2">
        <v>46272.660439814797</v>
      </c>
      <c r="C4309" s="2">
        <v>46272.661342592597</v>
      </c>
      <c r="D4309" s="1" t="s">
        <v>24</v>
      </c>
      <c r="E4309" s="1"/>
      <c r="F4309" s="29">
        <v>46272</v>
      </c>
      <c r="G4309" s="29">
        <v>46272</v>
      </c>
      <c r="H4309" s="1" t="s">
        <v>8238</v>
      </c>
      <c r="I4309" s="175" t="s">
        <v>9574</v>
      </c>
      <c r="J4309" s="175">
        <v>22755701293</v>
      </c>
      <c r="K4309" s="188" t="s">
        <v>9575</v>
      </c>
      <c r="L4309" s="62">
        <v>24297568</v>
      </c>
      <c r="M4309" s="30">
        <v>6121112441</v>
      </c>
      <c r="N4309" s="171" t="s">
        <v>32</v>
      </c>
      <c r="O4309" s="50">
        <v>4342.43</v>
      </c>
      <c r="P4309" s="97"/>
      <c r="Q4309" s="230">
        <f>OfficeForms.Table[[#This Row],[ INFORMEDEPAGO ]]*0.3</f>
        <v>1302.729</v>
      </c>
      <c r="R4309" s="231">
        <f t="shared" si="321"/>
        <v>169.45000000000073</v>
      </c>
      <c r="T4309" s="1"/>
      <c r="U4309" s="97"/>
      <c r="V4309" s="1"/>
    </row>
    <row r="4310" spans="1:23">
      <c r="A4310">
        <v>2739</v>
      </c>
      <c r="B4310" s="2">
        <v>46272.632986111101</v>
      </c>
      <c r="C4310" s="2">
        <v>46272.667256944398</v>
      </c>
      <c r="D4310" s="1" t="s">
        <v>24</v>
      </c>
      <c r="E4310" s="1"/>
      <c r="F4310" s="29">
        <v>46272</v>
      </c>
      <c r="G4310" s="29">
        <v>46271</v>
      </c>
      <c r="H4310" s="1" t="s">
        <v>78</v>
      </c>
      <c r="I4310" s="175" t="s">
        <v>9576</v>
      </c>
      <c r="J4310" s="175"/>
      <c r="K4310" s="188" t="s">
        <v>9577</v>
      </c>
      <c r="L4310" s="62">
        <v>24288606</v>
      </c>
      <c r="M4310" s="30">
        <v>5216151599764</v>
      </c>
      <c r="N4310" s="171" t="s">
        <v>28</v>
      </c>
      <c r="O4310" s="43">
        <v>96277.41</v>
      </c>
      <c r="P4310" s="43">
        <v>13700.2</v>
      </c>
      <c r="Q4310" s="230">
        <f>OfficeForms.Table[[#This Row],[ INFORMEDEPAGO ]]*0.3</f>
        <v>28883.223000000002</v>
      </c>
      <c r="R4310" s="231">
        <f t="shared" ref="R4310:R4311" si="322">(IF(O4310&lt;4172.98,0,MIN(O4310*0.3,O4310-4172.98)))-P4310</f>
        <v>15183.023000000001</v>
      </c>
      <c r="S4310" s="74">
        <v>46023</v>
      </c>
      <c r="T4310" s="1" t="s">
        <v>259</v>
      </c>
      <c r="U4310" s="43">
        <v>13700.2</v>
      </c>
      <c r="V4310" s="1" t="s">
        <v>8291</v>
      </c>
      <c r="W4310" s="29">
        <v>46272</v>
      </c>
    </row>
    <row r="4311" spans="1:23">
      <c r="A4311">
        <v>2740</v>
      </c>
      <c r="B4311" s="2">
        <v>46272.667314814797</v>
      </c>
      <c r="C4311" s="2">
        <v>46272.668182870402</v>
      </c>
      <c r="D4311" s="1" t="s">
        <v>24</v>
      </c>
      <c r="E4311" s="1"/>
      <c r="F4311" s="29">
        <v>46272</v>
      </c>
      <c r="G4311" s="29">
        <v>46272</v>
      </c>
      <c r="H4311" s="1" t="s">
        <v>8238</v>
      </c>
      <c r="I4311" s="175" t="s">
        <v>9578</v>
      </c>
      <c r="J4311" s="175"/>
      <c r="K4311" s="188" t="s">
        <v>9579</v>
      </c>
      <c r="L4311" s="62">
        <v>24295824</v>
      </c>
      <c r="M4311" s="30">
        <v>2292578554</v>
      </c>
      <c r="N4311" s="171" t="s">
        <v>32</v>
      </c>
      <c r="O4311" s="43">
        <v>3855.42</v>
      </c>
      <c r="P4311" s="43">
        <v>848</v>
      </c>
      <c r="Q4311" s="230">
        <f>OfficeForms.Table[[#This Row],[ INFORMEDEPAGO ]]*0.3</f>
        <v>1156.626</v>
      </c>
      <c r="R4311" s="231">
        <f t="shared" si="322"/>
        <v>-848</v>
      </c>
      <c r="T4311" s="1"/>
      <c r="U4311" s="97"/>
      <c r="V4311" s="1"/>
    </row>
    <row r="4312" spans="1:23">
      <c r="A4312">
        <v>2741</v>
      </c>
      <c r="B4312" s="2">
        <v>46272.655219907399</v>
      </c>
      <c r="C4312" s="2">
        <v>46272.6768981481</v>
      </c>
      <c r="D4312" s="1" t="s">
        <v>24</v>
      </c>
      <c r="E4312" s="1"/>
      <c r="F4312" s="29">
        <v>46272</v>
      </c>
      <c r="G4312" s="29">
        <v>46272</v>
      </c>
      <c r="H4312" s="1" t="s">
        <v>78</v>
      </c>
      <c r="I4312" s="175" t="s">
        <v>9580</v>
      </c>
      <c r="J4312" s="175">
        <v>67856570576</v>
      </c>
      <c r="K4312" s="188" t="s">
        <v>9581</v>
      </c>
      <c r="L4312" s="62">
        <v>24299364</v>
      </c>
      <c r="M4312" s="30">
        <v>5218122055931</v>
      </c>
      <c r="N4312" s="171" t="s">
        <v>28</v>
      </c>
      <c r="O4312" s="50">
        <v>10636.54</v>
      </c>
      <c r="P4312" s="97"/>
      <c r="Q4312" s="230">
        <f>OfficeForms.Table[[#This Row],[ INFORMEDEPAGO ]]*0.3</f>
        <v>3190.962</v>
      </c>
      <c r="R4312" s="231">
        <f>(IF(O4312&lt;4172.98,0,MIN(O4312*0.3,O4312-4172.98)))-P4312</f>
        <v>3190.962</v>
      </c>
      <c r="T4312" s="1"/>
      <c r="U4312" s="97"/>
      <c r="V4312" s="1" t="s">
        <v>8716</v>
      </c>
      <c r="W4312" s="29">
        <v>46272</v>
      </c>
    </row>
    <row r="4313" spans="1:23">
      <c r="A4313">
        <v>2742</v>
      </c>
      <c r="B4313" s="2">
        <v>46272.680127314801</v>
      </c>
      <c r="C4313" s="2">
        <v>46272.6808564815</v>
      </c>
      <c r="D4313" s="1" t="s">
        <v>24</v>
      </c>
      <c r="E4313" s="1"/>
      <c r="F4313" s="29">
        <v>46272</v>
      </c>
      <c r="G4313" s="29">
        <v>46271</v>
      </c>
      <c r="H4313" s="1" t="s">
        <v>8253</v>
      </c>
      <c r="I4313" s="175" t="s">
        <v>9582</v>
      </c>
      <c r="J4313" s="175"/>
      <c r="K4313" s="188" t="s">
        <v>9583</v>
      </c>
      <c r="L4313" s="62">
        <v>24286872</v>
      </c>
      <c r="M4313" s="30">
        <v>7861043271</v>
      </c>
      <c r="N4313" s="171" t="s">
        <v>98</v>
      </c>
      <c r="O4313" s="50"/>
      <c r="P4313" s="97"/>
      <c r="Q4313" s="230">
        <f>OfficeForms.Table[[#This Row],[ INFORMEDEPAGO ]]*0.3</f>
        <v>0</v>
      </c>
      <c r="R4313" s="231">
        <f>(IF(O4313&lt;4172.98,0,MIN(O4313*0.3,O4313-4172.98)))-P4313</f>
        <v>0</v>
      </c>
      <c r="T4313" s="1"/>
      <c r="U4313" s="97"/>
      <c r="V4313" s="1"/>
    </row>
    <row r="4314" spans="1:23">
      <c r="A4314">
        <v>2743</v>
      </c>
      <c r="B4314" s="2">
        <v>46272.6930671296</v>
      </c>
      <c r="C4314" s="2">
        <v>46272.693541666697</v>
      </c>
      <c r="D4314" s="1" t="s">
        <v>24</v>
      </c>
      <c r="E4314" s="1"/>
      <c r="F4314" s="29">
        <v>46272</v>
      </c>
      <c r="G4314" s="29">
        <v>46272</v>
      </c>
      <c r="H4314" s="1" t="s">
        <v>269</v>
      </c>
      <c r="I4314" s="175" t="s">
        <v>9584</v>
      </c>
      <c r="J4314" s="175"/>
      <c r="K4314" s="188" t="s">
        <v>9585</v>
      </c>
      <c r="L4314" s="62">
        <v>24300162</v>
      </c>
      <c r="M4314" s="30">
        <v>24300162</v>
      </c>
      <c r="N4314" s="171" t="s">
        <v>47</v>
      </c>
      <c r="O4314" s="52">
        <v>29304.58</v>
      </c>
      <c r="P4314" s="52">
        <v>8128.52</v>
      </c>
      <c r="Q4314" s="230">
        <f>OfficeForms.Table[[#This Row],[ INFORMEDEPAGO ]]*0.3</f>
        <v>8791.3739999999998</v>
      </c>
      <c r="R4314" s="231">
        <f t="shared" ref="R4314:R4315" si="323">(IF(O4314&lt;4172.98,0,MIN(O4314*0.3,O4314-4172.98)))-P4314</f>
        <v>662.85399999999936</v>
      </c>
      <c r="S4314" s="74">
        <v>46296</v>
      </c>
      <c r="T4314" s="1" t="s">
        <v>84</v>
      </c>
      <c r="U4314" s="97">
        <v>8128.52</v>
      </c>
      <c r="V4314" s="1" t="s">
        <v>8316</v>
      </c>
      <c r="W4314" s="29">
        <v>46272</v>
      </c>
    </row>
    <row r="4315" spans="1:23">
      <c r="A4315">
        <v>2744</v>
      </c>
      <c r="B4315" s="2">
        <v>46272.692430555602</v>
      </c>
      <c r="C4315" s="2">
        <v>46272.696446759299</v>
      </c>
      <c r="D4315" s="1" t="s">
        <v>24</v>
      </c>
      <c r="E4315" s="1"/>
      <c r="F4315" s="29">
        <v>46272</v>
      </c>
      <c r="G4315" s="29">
        <v>46272</v>
      </c>
      <c r="H4315" s="1" t="s">
        <v>51</v>
      </c>
      <c r="I4315" s="175" t="s">
        <v>9586</v>
      </c>
      <c r="J4315" s="175"/>
      <c r="K4315" s="188" t="s">
        <v>9587</v>
      </c>
      <c r="L4315" s="62">
        <v>24301476</v>
      </c>
      <c r="M4315" s="30">
        <v>5219622950657</v>
      </c>
      <c r="N4315" s="171" t="s">
        <v>37</v>
      </c>
      <c r="O4315" s="52">
        <v>9081.52</v>
      </c>
      <c r="P4315" s="52">
        <v>2724.46</v>
      </c>
      <c r="Q4315" s="230">
        <f>OfficeForms.Table[[#This Row],[ INFORMEDEPAGO ]]*0.3</f>
        <v>2724.4560000000001</v>
      </c>
      <c r="R4315" s="231">
        <f t="shared" si="323"/>
        <v>-3.9999999999054126E-3</v>
      </c>
      <c r="S4315" s="74">
        <v>46844</v>
      </c>
      <c r="T4315" s="1" t="s">
        <v>7209</v>
      </c>
      <c r="U4315" s="43">
        <v>2724.46</v>
      </c>
      <c r="V4315" s="1"/>
    </row>
    <row r="4316" spans="1:23">
      <c r="A4316">
        <v>2745</v>
      </c>
      <c r="B4316" s="2">
        <v>46272.632974537002</v>
      </c>
      <c r="C4316" s="2">
        <v>46272.697511574101</v>
      </c>
      <c r="D4316" s="1" t="s">
        <v>24</v>
      </c>
      <c r="E4316" s="1"/>
      <c r="F4316" s="29">
        <v>46272</v>
      </c>
      <c r="G4316" s="29">
        <v>46272</v>
      </c>
      <c r="H4316" s="1" t="s">
        <v>1625</v>
      </c>
      <c r="I4316" s="175" t="s">
        <v>9588</v>
      </c>
      <c r="J4316" s="175">
        <v>43816344279</v>
      </c>
      <c r="K4316" s="188" t="s">
        <v>9589</v>
      </c>
      <c r="L4316" s="62">
        <v>2</v>
      </c>
      <c r="M4316" s="30" t="s">
        <v>9590</v>
      </c>
      <c r="N4316" s="171" t="s">
        <v>37</v>
      </c>
      <c r="O4316" s="43">
        <v>9081.52</v>
      </c>
      <c r="P4316" s="43">
        <v>2624.9</v>
      </c>
      <c r="Q4316" s="230">
        <f>OfficeForms.Table[[#This Row],[ INFORMEDEPAGO ]]*0.3</f>
        <v>2724.4560000000001</v>
      </c>
      <c r="R4316" s="231">
        <f t="shared" ref="R4316:R4318" si="324">(IF(O4316&lt;4172.98,0,MIN(O4316*0.3,O4316-4172.98)))-P4316</f>
        <v>99.55600000000004</v>
      </c>
      <c r="S4316" s="74">
        <v>46631</v>
      </c>
      <c r="T4316" s="1" t="s">
        <v>7516</v>
      </c>
      <c r="U4316" s="238">
        <v>2624.9</v>
      </c>
      <c r="V4316" s="1"/>
    </row>
    <row r="4317" spans="1:23">
      <c r="A4317">
        <v>2746</v>
      </c>
      <c r="B4317" s="2">
        <v>46272.697534722203</v>
      </c>
      <c r="C4317" s="2">
        <v>46272.699016203696</v>
      </c>
      <c r="D4317" s="1" t="s">
        <v>24</v>
      </c>
      <c r="E4317" s="1"/>
      <c r="F4317" s="29">
        <v>46272</v>
      </c>
      <c r="G4317" s="29">
        <v>46272</v>
      </c>
      <c r="H4317" s="1" t="s">
        <v>1625</v>
      </c>
      <c r="I4317" s="175" t="s">
        <v>7560</v>
      </c>
      <c r="J4317" s="175">
        <v>20906602725</v>
      </c>
      <c r="K4317" s="188" t="s">
        <v>7561</v>
      </c>
      <c r="L4317" s="62">
        <v>2</v>
      </c>
      <c r="M4317" s="30">
        <v>5548324263</v>
      </c>
      <c r="N4317" s="171" t="s">
        <v>37</v>
      </c>
      <c r="O4317" s="52">
        <v>11012.15</v>
      </c>
      <c r="P4317" s="52">
        <v>3303.64</v>
      </c>
      <c r="Q4317" s="230">
        <f>OfficeForms.Table[[#This Row],[ INFORMEDEPAGO ]]*0.3</f>
        <v>3303.645</v>
      </c>
      <c r="R4317" s="231">
        <f t="shared" si="324"/>
        <v>5.0000000001091394E-3</v>
      </c>
      <c r="S4317" s="74">
        <v>46447</v>
      </c>
      <c r="T4317" s="1" t="s">
        <v>259</v>
      </c>
      <c r="U4317" s="238">
        <v>395.93</v>
      </c>
      <c r="V4317" s="1"/>
    </row>
    <row r="4318" spans="1:23">
      <c r="A4318">
        <v>2747</v>
      </c>
      <c r="B4318" s="2">
        <v>46272.699027777802</v>
      </c>
      <c r="C4318" s="2">
        <v>46272.701122685197</v>
      </c>
      <c r="D4318" s="1" t="s">
        <v>24</v>
      </c>
      <c r="E4318" s="1"/>
      <c r="F4318" s="29">
        <v>46272</v>
      </c>
      <c r="G4318" s="29">
        <v>46272</v>
      </c>
      <c r="H4318" s="1" t="s">
        <v>1625</v>
      </c>
      <c r="I4318" s="175" t="s">
        <v>9591</v>
      </c>
      <c r="J4318" s="175">
        <v>11805202147</v>
      </c>
      <c r="K4318" s="188" t="s">
        <v>9592</v>
      </c>
      <c r="L4318" s="62">
        <v>2</v>
      </c>
      <c r="M4318" s="30">
        <v>5562178734</v>
      </c>
      <c r="N4318" s="171" t="s">
        <v>32</v>
      </c>
      <c r="O4318" s="43">
        <v>4116.29</v>
      </c>
      <c r="P4318" s="43">
        <v>879</v>
      </c>
      <c r="Q4318" s="230">
        <f>OfficeForms.Table[[#This Row],[ INFORMEDEPAGO ]]*0.3</f>
        <v>1234.8869999999999</v>
      </c>
      <c r="R4318" s="231">
        <f t="shared" si="324"/>
        <v>-879</v>
      </c>
      <c r="T4318" s="1"/>
      <c r="U4318" s="238"/>
      <c r="V4318" s="1"/>
    </row>
    <row r="4319" spans="1:23">
      <c r="A4319">
        <v>2748</v>
      </c>
      <c r="B4319" s="2">
        <v>46272.709525462997</v>
      </c>
      <c r="C4319" s="2">
        <v>46272.710138888899</v>
      </c>
      <c r="D4319" s="1" t="s">
        <v>24</v>
      </c>
      <c r="E4319" s="1"/>
      <c r="F4319" s="29">
        <v>46272</v>
      </c>
      <c r="G4319" s="29">
        <v>46272</v>
      </c>
      <c r="H4319" s="1" t="s">
        <v>8253</v>
      </c>
      <c r="I4319" s="175" t="s">
        <v>9593</v>
      </c>
      <c r="J4319" s="175"/>
      <c r="K4319" s="188" t="s">
        <v>9594</v>
      </c>
      <c r="L4319" s="62">
        <v>24295790</v>
      </c>
      <c r="M4319" s="30">
        <v>6694809567</v>
      </c>
      <c r="N4319" s="171" t="s">
        <v>37</v>
      </c>
      <c r="O4319" s="52">
        <v>9760.32</v>
      </c>
      <c r="P4319" s="52">
        <v>2924.46</v>
      </c>
      <c r="Q4319" s="230">
        <f>OfficeForms.Table[[#This Row],[ INFORMEDEPAGO ]]*0.3</f>
        <v>2928.096</v>
      </c>
      <c r="R4319" s="231">
        <f t="shared" ref="R4319:R4323" si="325">(IF(O4319&lt;4172.98,0,MIN(O4319*0.3,O4319-4172.98)))-P4319</f>
        <v>3.6359999999999673</v>
      </c>
      <c r="S4319" s="74">
        <v>46874</v>
      </c>
      <c r="T4319" s="1" t="s">
        <v>8415</v>
      </c>
      <c r="U4319" s="238">
        <v>2045.46</v>
      </c>
      <c r="V4319" s="1"/>
    </row>
    <row r="4320" spans="1:23">
      <c r="A4320">
        <v>2749</v>
      </c>
      <c r="B4320" s="2">
        <v>46272.7011458333</v>
      </c>
      <c r="C4320" s="2">
        <v>46272.711377314801</v>
      </c>
      <c r="D4320" s="1" t="s">
        <v>24</v>
      </c>
      <c r="E4320" s="1"/>
      <c r="F4320" s="29">
        <v>46272</v>
      </c>
      <c r="G4320" s="29">
        <v>46272</v>
      </c>
      <c r="H4320" s="1" t="s">
        <v>1625</v>
      </c>
      <c r="I4320" s="175" t="s">
        <v>9595</v>
      </c>
      <c r="J4320" s="175">
        <v>72917341660</v>
      </c>
      <c r="K4320" s="188" t="s">
        <v>9596</v>
      </c>
      <c r="L4320" s="62">
        <v>2</v>
      </c>
      <c r="M4320" s="30">
        <v>4623038485</v>
      </c>
      <c r="N4320" s="171" t="s">
        <v>32</v>
      </c>
      <c r="O4320" s="50">
        <v>3526.31</v>
      </c>
      <c r="P4320" s="97"/>
      <c r="Q4320" s="230">
        <f>OfficeForms.Table[[#This Row],[ INFORMEDEPAGO ]]*0.3</f>
        <v>1057.893</v>
      </c>
      <c r="R4320" s="231">
        <f t="shared" si="325"/>
        <v>0</v>
      </c>
      <c r="T4320" s="1"/>
      <c r="U4320" s="238"/>
      <c r="V4320" s="1"/>
    </row>
    <row r="4321" spans="1:23">
      <c r="A4321">
        <v>2750</v>
      </c>
      <c r="B4321" s="2">
        <v>46272.711400462998</v>
      </c>
      <c r="C4321" s="2">
        <v>46272.713194444397</v>
      </c>
      <c r="D4321" s="1" t="s">
        <v>24</v>
      </c>
      <c r="E4321" s="1"/>
      <c r="F4321" s="29">
        <v>46272</v>
      </c>
      <c r="G4321" s="29">
        <v>46272</v>
      </c>
      <c r="H4321" s="1" t="s">
        <v>1625</v>
      </c>
      <c r="I4321" s="175" t="s">
        <v>8952</v>
      </c>
      <c r="J4321" s="175">
        <v>43826634792</v>
      </c>
      <c r="K4321" s="188" t="s">
        <v>8953</v>
      </c>
      <c r="L4321" s="62">
        <v>2</v>
      </c>
      <c r="M4321" s="30">
        <v>8119598052</v>
      </c>
      <c r="N4321" s="171" t="s">
        <v>37</v>
      </c>
      <c r="O4321" s="52">
        <v>10718.75</v>
      </c>
      <c r="P4321" s="52">
        <v>3211.25</v>
      </c>
      <c r="Q4321" s="230">
        <f>OfficeForms.Table[[#This Row],[ INFORMEDEPAGO ]]*0.3</f>
        <v>3215.625</v>
      </c>
      <c r="R4321" s="231">
        <f t="shared" si="325"/>
        <v>4.375</v>
      </c>
      <c r="S4321" s="74">
        <v>46419</v>
      </c>
      <c r="T4321" s="1" t="s">
        <v>7209</v>
      </c>
      <c r="U4321" s="238">
        <v>2474.06</v>
      </c>
      <c r="V4321" s="1"/>
    </row>
    <row r="4322" spans="1:23">
      <c r="A4322">
        <v>2751</v>
      </c>
      <c r="B4322" s="2">
        <v>46272.713206018503</v>
      </c>
      <c r="C4322" s="2">
        <v>46272.715497685203</v>
      </c>
      <c r="D4322" s="1" t="s">
        <v>24</v>
      </c>
      <c r="E4322" s="1"/>
      <c r="F4322" s="29">
        <v>46272</v>
      </c>
      <c r="G4322" s="29">
        <v>46272</v>
      </c>
      <c r="H4322" s="1" t="s">
        <v>1625</v>
      </c>
      <c r="I4322" s="175" t="s">
        <v>9597</v>
      </c>
      <c r="J4322" s="175">
        <v>10785802066</v>
      </c>
      <c r="K4322" s="188" t="s">
        <v>9598</v>
      </c>
      <c r="L4322" s="62">
        <v>2</v>
      </c>
      <c r="M4322" s="30">
        <v>5560920406</v>
      </c>
      <c r="N4322" s="171" t="s">
        <v>37</v>
      </c>
      <c r="O4322" s="52">
        <v>6262.86</v>
      </c>
      <c r="P4322" s="52">
        <v>1799.28</v>
      </c>
      <c r="Q4322" s="230">
        <f>OfficeForms.Table[[#This Row],[ INFORMEDEPAGO ]]*0.3</f>
        <v>1878.8579999999997</v>
      </c>
      <c r="R4322" s="231">
        <f t="shared" si="325"/>
        <v>79.577999999999747</v>
      </c>
      <c r="S4322" s="74">
        <v>46569</v>
      </c>
      <c r="T4322" s="1" t="s">
        <v>84</v>
      </c>
      <c r="U4322" s="52">
        <v>1799.28</v>
      </c>
      <c r="V4322" s="1"/>
    </row>
    <row r="4323" spans="1:23">
      <c r="A4323">
        <v>2752</v>
      </c>
      <c r="B4323" s="2">
        <v>46272.696469907401</v>
      </c>
      <c r="C4323" s="2">
        <v>46272.7160532407</v>
      </c>
      <c r="D4323" s="1" t="s">
        <v>24</v>
      </c>
      <c r="E4323" s="1"/>
      <c r="F4323" s="29">
        <v>46272</v>
      </c>
      <c r="G4323" s="29">
        <v>46272</v>
      </c>
      <c r="H4323" s="1" t="s">
        <v>51</v>
      </c>
      <c r="I4323" s="175" t="s">
        <v>9599</v>
      </c>
      <c r="J4323" s="175">
        <v>23785612385</v>
      </c>
      <c r="K4323" s="188"/>
      <c r="L4323" s="62">
        <v>24302184</v>
      </c>
      <c r="M4323" s="30">
        <v>5216871299700</v>
      </c>
      <c r="N4323" s="171" t="s">
        <v>28</v>
      </c>
      <c r="O4323" s="50">
        <v>7128.48</v>
      </c>
      <c r="P4323" s="97"/>
      <c r="Q4323" s="230">
        <f>OfficeForms.Table[[#This Row],[ INFORMEDEPAGO ]]*0.3</f>
        <v>2138.5439999999999</v>
      </c>
      <c r="R4323" s="231">
        <f t="shared" si="325"/>
        <v>2138.5439999999999</v>
      </c>
      <c r="T4323" s="1"/>
      <c r="U4323" s="238"/>
      <c r="V4323" s="1" t="s">
        <v>8409</v>
      </c>
      <c r="W4323" s="29">
        <v>46272</v>
      </c>
    </row>
    <row r="4324" spans="1:23">
      <c r="A4324">
        <v>2753</v>
      </c>
      <c r="B4324" s="2">
        <v>46272.716481481497</v>
      </c>
      <c r="C4324" s="2">
        <v>46272.722222222197</v>
      </c>
      <c r="D4324" s="1" t="s">
        <v>24</v>
      </c>
      <c r="E4324" s="1"/>
      <c r="F4324" s="29">
        <v>46272</v>
      </c>
      <c r="G4324" s="29">
        <v>46272</v>
      </c>
      <c r="H4324" s="1" t="s">
        <v>78</v>
      </c>
      <c r="I4324" s="175" t="s">
        <v>9600</v>
      </c>
      <c r="J4324" s="175" t="s">
        <v>9601</v>
      </c>
      <c r="K4324" s="188" t="s">
        <v>9602</v>
      </c>
      <c r="L4324" s="62">
        <v>24293446</v>
      </c>
      <c r="M4324" s="30">
        <v>5215515049507</v>
      </c>
      <c r="N4324" s="171" t="s">
        <v>28</v>
      </c>
      <c r="O4324" s="43">
        <v>37107.230000000003</v>
      </c>
      <c r="P4324" s="43">
        <v>879</v>
      </c>
      <c r="Q4324" s="230">
        <f>OfficeForms.Table[[#This Row],[ INFORMEDEPAGO ]]*0.3</f>
        <v>11132.169</v>
      </c>
      <c r="R4324" s="231">
        <f>(IF(O4324&lt;4172.98,0,MIN(O4324*0.3,O4324-4172.98)))-P4324</f>
        <v>10253.169</v>
      </c>
      <c r="T4324" s="1"/>
      <c r="U4324" s="238"/>
      <c r="V4324" s="1" t="s">
        <v>8409</v>
      </c>
      <c r="W4324" s="29">
        <v>46272</v>
      </c>
    </row>
    <row r="4325" spans="1:23">
      <c r="A4325">
        <v>2754</v>
      </c>
      <c r="B4325" s="2">
        <v>46272.728171296301</v>
      </c>
      <c r="C4325" s="2">
        <v>46272.7289467593</v>
      </c>
      <c r="D4325" s="1" t="s">
        <v>24</v>
      </c>
      <c r="E4325" s="1"/>
      <c r="F4325" s="29">
        <v>46272</v>
      </c>
      <c r="G4325" s="29">
        <v>46272</v>
      </c>
      <c r="H4325" s="1" t="s">
        <v>8238</v>
      </c>
      <c r="I4325" s="175" t="s">
        <v>9603</v>
      </c>
      <c r="J4325" s="175" t="s">
        <v>9604</v>
      </c>
      <c r="K4325" s="188" t="s">
        <v>9605</v>
      </c>
      <c r="L4325" s="62">
        <v>24289786</v>
      </c>
      <c r="M4325" s="30">
        <v>6871599750</v>
      </c>
      <c r="N4325" s="171" t="s">
        <v>37</v>
      </c>
      <c r="O4325" s="43">
        <v>8173.37</v>
      </c>
      <c r="P4325" s="43">
        <v>2451.38</v>
      </c>
      <c r="Q4325" s="230">
        <f>OfficeForms.Table[[#This Row],[ INFORMEDEPAGO ]]*0.3</f>
        <v>2452.011</v>
      </c>
      <c r="R4325" s="231">
        <f>(IF(O4325&lt;4172.98,0,MIN(O4325*0.3,O4325-4172.98)))-P4325</f>
        <v>0.63099999999985812</v>
      </c>
      <c r="S4325" s="74">
        <v>46508</v>
      </c>
      <c r="T4325" s="1" t="s">
        <v>8415</v>
      </c>
      <c r="U4325" s="238">
        <v>1508.68</v>
      </c>
      <c r="V4325" s="1"/>
    </row>
    <row r="4326" spans="1:23">
      <c r="A4326">
        <v>2755</v>
      </c>
      <c r="B4326" s="2">
        <v>46272.729664351798</v>
      </c>
      <c r="C4326" s="2">
        <v>46272.730196759301</v>
      </c>
      <c r="D4326" s="1" t="s">
        <v>24</v>
      </c>
      <c r="E4326" s="1"/>
      <c r="F4326" s="29">
        <v>46272</v>
      </c>
      <c r="G4326" s="29">
        <v>46272</v>
      </c>
      <c r="H4326" s="1" t="s">
        <v>8253</v>
      </c>
      <c r="I4326" s="175" t="s">
        <v>9606</v>
      </c>
      <c r="J4326" s="175"/>
      <c r="K4326" s="188" t="s">
        <v>9607</v>
      </c>
      <c r="L4326" s="62">
        <v>24289718</v>
      </c>
      <c r="M4326" s="30">
        <v>7777877917</v>
      </c>
      <c r="N4326" s="171" t="s">
        <v>47</v>
      </c>
      <c r="O4326" s="43">
        <v>12541.61</v>
      </c>
      <c r="P4326" s="43">
        <v>3084.9</v>
      </c>
      <c r="Q4326" s="230">
        <f>OfficeForms.Table[[#This Row],[ INFORMEDEPAGO ]]*0.3</f>
        <v>3762.4830000000002</v>
      </c>
      <c r="R4326" s="231">
        <f>(IF(O4326&lt;4172.98,0,MIN(O4326*0.3,O4326-4172.98)))-P4326</f>
        <v>677.58300000000008</v>
      </c>
      <c r="S4326" s="74">
        <v>46508</v>
      </c>
      <c r="T4326" s="1" t="s">
        <v>178</v>
      </c>
      <c r="U4326" s="238">
        <v>607.34</v>
      </c>
      <c r="V4326" s="1" t="s">
        <v>8316</v>
      </c>
      <c r="W4326" s="29">
        <v>46272</v>
      </c>
    </row>
    <row r="4327" spans="1:23">
      <c r="A4327">
        <v>2756</v>
      </c>
      <c r="B4327" s="2">
        <v>46272.555520833303</v>
      </c>
      <c r="C4327" s="2">
        <v>46272.7344212963</v>
      </c>
      <c r="D4327" s="1" t="s">
        <v>24</v>
      </c>
      <c r="E4327" s="1"/>
      <c r="F4327" s="29">
        <v>46272</v>
      </c>
      <c r="G4327" s="29">
        <v>46272</v>
      </c>
      <c r="H4327" s="1" t="s">
        <v>8721</v>
      </c>
      <c r="I4327" s="175" t="s">
        <v>9608</v>
      </c>
      <c r="J4327" s="175">
        <v>43826629701</v>
      </c>
      <c r="K4327" s="188"/>
      <c r="L4327" s="62">
        <v>24302618</v>
      </c>
      <c r="M4327" s="30">
        <v>5214271277825</v>
      </c>
      <c r="N4327" s="171" t="s">
        <v>28</v>
      </c>
      <c r="O4327" s="50">
        <v>10636.54</v>
      </c>
      <c r="P4327" s="97"/>
      <c r="Q4327" s="230">
        <f>OfficeForms.Table[[#This Row],[ INFORMEDEPAGO ]]*0.3</f>
        <v>3190.962</v>
      </c>
      <c r="R4327" s="231">
        <f>(IF(O4327&lt;4172.98,0,MIN(O4327*0.3,O4327-4172.98)))-P4327</f>
        <v>3190.962</v>
      </c>
      <c r="T4327" s="1"/>
      <c r="U4327" s="238"/>
      <c r="V4327" s="1" t="s">
        <v>8409</v>
      </c>
      <c r="W4327" s="29">
        <v>46272</v>
      </c>
    </row>
    <row r="4328" spans="1:23">
      <c r="A4328">
        <v>2757</v>
      </c>
      <c r="B4328" s="2">
        <v>46272.716076388897</v>
      </c>
      <c r="C4328" s="2">
        <v>46272.743009259299</v>
      </c>
      <c r="D4328" s="1" t="s">
        <v>24</v>
      </c>
      <c r="E4328" s="1"/>
      <c r="F4328" s="29">
        <v>46272</v>
      </c>
      <c r="G4328" s="29">
        <v>46272</v>
      </c>
      <c r="H4328" s="1" t="s">
        <v>51</v>
      </c>
      <c r="I4328" s="175" t="s">
        <v>9609</v>
      </c>
      <c r="J4328" s="175">
        <v>43776203010</v>
      </c>
      <c r="K4328" s="188" t="s">
        <v>9610</v>
      </c>
      <c r="L4328" s="62">
        <v>24298686</v>
      </c>
      <c r="M4328" s="30">
        <v>5218112762436</v>
      </c>
      <c r="N4328" s="171" t="s">
        <v>32</v>
      </c>
      <c r="O4328" s="50">
        <v>4035.7</v>
      </c>
      <c r="P4328" s="97"/>
      <c r="Q4328" s="230">
        <f>OfficeForms.Table[[#This Row],[ INFORMEDEPAGO ]]*0.3</f>
        <v>1210.7099999999998</v>
      </c>
      <c r="R4328" s="231">
        <f>(IF(O4328&lt;4172.98,0,MIN(O4328*0.3,O4328-4172.98)))-P4328</f>
        <v>0</v>
      </c>
      <c r="T4328" s="1"/>
      <c r="U4328" s="238"/>
      <c r="V4328" s="1"/>
    </row>
    <row r="4329" spans="1:23">
      <c r="A4329">
        <v>2758</v>
      </c>
      <c r="B4329" s="2">
        <v>46272.715509259302</v>
      </c>
      <c r="C4329" s="2">
        <v>46272.745231481502</v>
      </c>
      <c r="D4329" s="1" t="s">
        <v>24</v>
      </c>
      <c r="E4329" s="1"/>
      <c r="F4329" s="29">
        <v>46272</v>
      </c>
      <c r="G4329" s="29">
        <v>46272</v>
      </c>
      <c r="H4329" s="1" t="s">
        <v>1625</v>
      </c>
      <c r="I4329" s="175" t="s">
        <v>9611</v>
      </c>
      <c r="J4329" s="175">
        <v>19725506208</v>
      </c>
      <c r="K4329" s="188" t="s">
        <v>9612</v>
      </c>
      <c r="L4329" s="62">
        <v>2</v>
      </c>
      <c r="M4329" s="30">
        <v>5561009641</v>
      </c>
      <c r="N4329" s="171" t="s">
        <v>37</v>
      </c>
      <c r="O4329" s="43">
        <v>18272.75</v>
      </c>
      <c r="P4329" s="43">
        <v>5284.32</v>
      </c>
      <c r="Q4329" s="230">
        <f>OfficeForms.Table[[#This Row],[ INFORMEDEPAGO ]]*0.3</f>
        <v>5481.8249999999998</v>
      </c>
      <c r="R4329" s="231">
        <f>(IF(O4329&lt;4172.98,0,MIN(O4329*0.3,O4329-4172.98)))-P4329</f>
        <v>197.50500000000011</v>
      </c>
      <c r="S4329" s="74">
        <v>46357</v>
      </c>
      <c r="T4329" s="1" t="s">
        <v>8338</v>
      </c>
      <c r="U4329" s="238">
        <v>4025.19</v>
      </c>
      <c r="V4329" s="1"/>
    </row>
    <row r="4330" spans="1:23">
      <c r="A4330">
        <v>2759</v>
      </c>
      <c r="B4330" s="2">
        <v>46272.635752314804</v>
      </c>
      <c r="C4330" s="2">
        <v>46272.751180555599</v>
      </c>
      <c r="D4330" s="1" t="s">
        <v>24</v>
      </c>
      <c r="E4330" s="1"/>
      <c r="F4330" s="29">
        <v>46272</v>
      </c>
      <c r="G4330" s="29">
        <v>46272</v>
      </c>
      <c r="H4330" s="1" t="s">
        <v>8381</v>
      </c>
      <c r="I4330" s="175" t="s">
        <v>9613</v>
      </c>
      <c r="J4330" s="175">
        <v>72745206010</v>
      </c>
      <c r="K4330" s="188"/>
      <c r="L4330" s="62">
        <v>24292814</v>
      </c>
      <c r="M4330" s="30">
        <v>5217131059737</v>
      </c>
      <c r="N4330" s="171" t="s">
        <v>37</v>
      </c>
      <c r="O4330" s="52">
        <v>5617.63</v>
      </c>
      <c r="P4330" s="52">
        <v>1393.24</v>
      </c>
      <c r="Q4330" s="230">
        <f>OfficeForms.Table[[#This Row],[ INFORMEDEPAGO ]]*0.3</f>
        <v>1685.289</v>
      </c>
      <c r="R4330" s="231">
        <f>(IF(O4330&lt;4172.98,0,MIN(O4330*0.3,O4330-4172.98)))-P4330</f>
        <v>51.410000000000537</v>
      </c>
      <c r="S4330" s="74">
        <v>46569</v>
      </c>
      <c r="T4330" s="1" t="s">
        <v>7516</v>
      </c>
      <c r="U4330" s="52">
        <v>1393.24</v>
      </c>
      <c r="V4330" s="1"/>
    </row>
    <row r="4331" spans="1:23">
      <c r="A4331">
        <v>2760</v>
      </c>
      <c r="B4331" s="2">
        <v>46272.758807870399</v>
      </c>
      <c r="C4331" s="2">
        <v>46272.759606481501</v>
      </c>
      <c r="D4331" s="1" t="s">
        <v>24</v>
      </c>
      <c r="E4331" s="1"/>
      <c r="F4331" s="29">
        <v>46272</v>
      </c>
      <c r="G4331" s="29">
        <v>46271</v>
      </c>
      <c r="H4331" s="1" t="s">
        <v>8238</v>
      </c>
      <c r="I4331" s="175" t="s">
        <v>9614</v>
      </c>
      <c r="J4331" s="175"/>
      <c r="K4331" s="188" t="s">
        <v>9615</v>
      </c>
      <c r="L4331" s="62">
        <v>24284696</v>
      </c>
      <c r="M4331" s="30">
        <v>3114454831</v>
      </c>
      <c r="N4331" s="171" t="s">
        <v>47</v>
      </c>
      <c r="O4331" s="43">
        <v>11029.03</v>
      </c>
      <c r="P4331" s="43">
        <v>2410.62</v>
      </c>
      <c r="Q4331" s="230">
        <f>OfficeForms.Table[[#This Row],[ INFORMEDEPAGO ]]*0.3</f>
        <v>3308.7090000000003</v>
      </c>
      <c r="R4331" s="231">
        <f>(IF(O4331&lt;4172.98,0,MIN(O4331*0.3,O4331-4172.98)))-P4331</f>
        <v>898.0890000000004</v>
      </c>
      <c r="S4331" s="74">
        <v>46966</v>
      </c>
      <c r="T4331" s="1" t="s">
        <v>7209</v>
      </c>
      <c r="U4331" s="43">
        <v>2410.62</v>
      </c>
      <c r="V4331" s="1" t="s">
        <v>8316</v>
      </c>
      <c r="W4331" s="29">
        <v>46272</v>
      </c>
    </row>
    <row r="4332" spans="1:23">
      <c r="A4332">
        <v>2761</v>
      </c>
      <c r="B4332" s="2">
        <v>46272.762534722198</v>
      </c>
      <c r="C4332" s="2">
        <v>46272.763009259303</v>
      </c>
      <c r="D4332" s="1" t="s">
        <v>24</v>
      </c>
      <c r="E4332" s="1"/>
      <c r="F4332" s="29">
        <v>46272</v>
      </c>
      <c r="G4332" s="29">
        <v>46272</v>
      </c>
      <c r="H4332" s="1" t="s">
        <v>8253</v>
      </c>
      <c r="I4332" s="175" t="s">
        <v>9616</v>
      </c>
      <c r="J4332" s="175"/>
      <c r="K4332" s="188" t="s">
        <v>9617</v>
      </c>
      <c r="L4332" s="62">
        <v>24302664</v>
      </c>
      <c r="M4332" s="30">
        <v>8714689811</v>
      </c>
      <c r="N4332" s="171" t="s">
        <v>28</v>
      </c>
      <c r="O4332" s="50">
        <v>10636.54</v>
      </c>
      <c r="P4332" s="97"/>
      <c r="Q4332" s="230">
        <f>OfficeForms.Table[[#This Row],[ INFORMEDEPAGO ]]*0.3</f>
        <v>3190.962</v>
      </c>
      <c r="R4332" s="231">
        <f t="shared" ref="R4332:R4333" si="326">(IF(O4332&lt;4172.98,0,MIN(O4332*0.3,O4332-4172.98)))-P4332</f>
        <v>3190.962</v>
      </c>
      <c r="T4332" s="1"/>
      <c r="U4332" s="97"/>
      <c r="V4332" s="1" t="s">
        <v>8456</v>
      </c>
      <c r="W4332" s="29">
        <v>46273</v>
      </c>
    </row>
    <row r="4333" spans="1:23">
      <c r="A4333">
        <v>2762</v>
      </c>
      <c r="B4333" s="2">
        <v>46272.734456018501</v>
      </c>
      <c r="C4333" s="2">
        <v>46272.763969907399</v>
      </c>
      <c r="D4333" s="1" t="s">
        <v>24</v>
      </c>
      <c r="E4333" s="1"/>
      <c r="F4333" s="29">
        <v>46272</v>
      </c>
      <c r="G4333" s="29">
        <v>46272</v>
      </c>
      <c r="H4333" s="1" t="s">
        <v>8721</v>
      </c>
      <c r="I4333" s="175" t="s">
        <v>9618</v>
      </c>
      <c r="J4333" s="175"/>
      <c r="K4333" s="188" t="s">
        <v>9619</v>
      </c>
      <c r="L4333" s="62">
        <v>24302978</v>
      </c>
      <c r="M4333" s="30">
        <v>5216677914857</v>
      </c>
      <c r="N4333" s="171" t="s">
        <v>263</v>
      </c>
      <c r="O4333" s="52">
        <v>18141.43</v>
      </c>
      <c r="P4333" s="52">
        <v>4809.04</v>
      </c>
      <c r="Q4333" s="230">
        <f>OfficeForms.Table[[#This Row],[ INFORMEDEPAGO ]]*0.3</f>
        <v>5442.4290000000001</v>
      </c>
      <c r="R4333" s="231">
        <f t="shared" si="326"/>
        <v>633.38900000000012</v>
      </c>
      <c r="S4333" s="74">
        <v>46054</v>
      </c>
      <c r="T4333" s="1" t="s">
        <v>84</v>
      </c>
      <c r="U4333" s="52">
        <v>4809.04</v>
      </c>
      <c r="V4333" s="1" t="s">
        <v>9185</v>
      </c>
      <c r="W4333" s="29">
        <v>46273</v>
      </c>
    </row>
    <row r="4334" spans="1:23">
      <c r="A4334">
        <v>2763</v>
      </c>
      <c r="B4334" s="2">
        <v>46273.389131944401</v>
      </c>
      <c r="C4334" s="2">
        <v>46273.393587963001</v>
      </c>
      <c r="D4334" s="1" t="s">
        <v>24</v>
      </c>
      <c r="E4334" s="1"/>
      <c r="F4334" s="29">
        <v>46273</v>
      </c>
      <c r="G4334" s="29">
        <v>46273</v>
      </c>
      <c r="H4334" s="1" t="s">
        <v>51</v>
      </c>
      <c r="I4334" s="175" t="s">
        <v>9620</v>
      </c>
      <c r="J4334" s="175">
        <v>52765701298</v>
      </c>
      <c r="K4334" s="188" t="s">
        <v>9621</v>
      </c>
      <c r="L4334" s="62">
        <v>24314542</v>
      </c>
      <c r="M4334" s="30">
        <v>5213141658160</v>
      </c>
      <c r="N4334" s="171" t="s">
        <v>47</v>
      </c>
      <c r="O4334" s="67">
        <v>4820.03</v>
      </c>
      <c r="P4334" s="99"/>
      <c r="Q4334" s="230">
        <f>OfficeForms.Table[[#This Row],[ INFORMEDEPAGO ]]*0.3</f>
        <v>1446.0089999999998</v>
      </c>
      <c r="R4334" s="231">
        <f t="shared" ref="R4334:R4335" si="327">(IF(O4334&lt;4172.98,0,MIN(O4334*0.3,O4334-4172.98)))-P4334</f>
        <v>647.05000000000018</v>
      </c>
      <c r="T4334" s="1"/>
      <c r="U4334" s="99"/>
      <c r="V4334" s="1" t="s">
        <v>8233</v>
      </c>
      <c r="W4334" s="29">
        <v>46273</v>
      </c>
    </row>
    <row r="4335" spans="1:23">
      <c r="A4335">
        <v>2764</v>
      </c>
      <c r="B4335" s="2">
        <v>46273.394050925897</v>
      </c>
      <c r="C4335" s="2">
        <v>46273.394768518498</v>
      </c>
      <c r="D4335" s="1" t="s">
        <v>24</v>
      </c>
      <c r="E4335" s="1"/>
      <c r="F4335" s="29">
        <v>46273</v>
      </c>
      <c r="G4335" s="29">
        <v>46272</v>
      </c>
      <c r="H4335" s="1" t="s">
        <v>269</v>
      </c>
      <c r="I4335" s="175" t="s">
        <v>9622</v>
      </c>
      <c r="J4335" s="207" t="s">
        <v>9623</v>
      </c>
      <c r="K4335" s="188" t="s">
        <v>9624</v>
      </c>
      <c r="L4335" s="62">
        <v>24303880</v>
      </c>
      <c r="M4335" s="30">
        <v>5219911337021</v>
      </c>
      <c r="N4335" s="171" t="s">
        <v>28</v>
      </c>
      <c r="O4335" s="67">
        <v>11128.02</v>
      </c>
      <c r="P4335" s="99"/>
      <c r="Q4335" s="230">
        <f>OfficeForms.Table[[#This Row],[ INFORMEDEPAGO ]]*0.3</f>
        <v>3338.4059999999999</v>
      </c>
      <c r="R4335" s="231">
        <f t="shared" si="327"/>
        <v>3338.4059999999999</v>
      </c>
      <c r="T4335" s="1"/>
      <c r="U4335" s="99"/>
      <c r="V4335" s="1" t="s">
        <v>8291</v>
      </c>
      <c r="W4335" s="29">
        <v>46273</v>
      </c>
    </row>
    <row r="4336" spans="1:23">
      <c r="A4336">
        <v>2765</v>
      </c>
      <c r="B4336" s="2">
        <v>46273.333472222199</v>
      </c>
      <c r="C4336" s="2">
        <v>46273.399803240703</v>
      </c>
      <c r="D4336" s="1" t="s">
        <v>24</v>
      </c>
      <c r="E4336" s="1"/>
      <c r="F4336" s="29">
        <v>46273</v>
      </c>
      <c r="G4336" s="29">
        <v>46273</v>
      </c>
      <c r="H4336" s="1" t="s">
        <v>1625</v>
      </c>
      <c r="I4336" s="175" t="s">
        <v>9625</v>
      </c>
      <c r="J4336" s="207">
        <v>12684921955</v>
      </c>
      <c r="K4336" s="188" t="s">
        <v>9626</v>
      </c>
      <c r="L4336" s="62">
        <v>2</v>
      </c>
      <c r="M4336" s="30" t="s">
        <v>9627</v>
      </c>
      <c r="N4336" s="171" t="s">
        <v>47</v>
      </c>
      <c r="O4336" s="67">
        <v>5279.63</v>
      </c>
      <c r="P4336" s="99"/>
      <c r="Q4336" s="230">
        <f>OfficeForms.Table[[#This Row],[ INFORMEDEPAGO ]]*0.3</f>
        <v>1583.8889999999999</v>
      </c>
      <c r="R4336" s="231">
        <f>(IF(O4336&lt;4172.98,0,MIN(O4336*0.3,O4336-4172.98)))-P4336</f>
        <v>1106.6500000000005</v>
      </c>
      <c r="T4336" s="1"/>
      <c r="U4336" s="99"/>
      <c r="V4336" s="1"/>
    </row>
    <row r="4337" spans="1:23">
      <c r="A4337">
        <v>2766</v>
      </c>
      <c r="B4337" s="2">
        <v>46273.393611111103</v>
      </c>
      <c r="C4337" s="2">
        <v>46273.400219907402</v>
      </c>
      <c r="D4337" s="1" t="s">
        <v>24</v>
      </c>
      <c r="E4337" s="1"/>
      <c r="F4337" s="29">
        <v>46273</v>
      </c>
      <c r="G4337" s="29">
        <v>46273</v>
      </c>
      <c r="H4337" s="1" t="s">
        <v>51</v>
      </c>
      <c r="I4337" s="175" t="s">
        <v>9628</v>
      </c>
      <c r="J4337" s="207" t="s">
        <v>9629</v>
      </c>
      <c r="K4337" s="188" t="s">
        <v>9630</v>
      </c>
      <c r="L4337" s="62">
        <v>24312436</v>
      </c>
      <c r="M4337" s="30">
        <v>5213921661483</v>
      </c>
      <c r="N4337" s="171" t="s">
        <v>37</v>
      </c>
      <c r="O4337" s="43">
        <v>9760.32</v>
      </c>
      <c r="P4337" s="43">
        <v>2823.89</v>
      </c>
      <c r="Q4337" s="230">
        <f>OfficeForms.Table[[#This Row],[ INFORMEDEPAGO ]]*0.3</f>
        <v>2928.096</v>
      </c>
      <c r="R4337" s="231">
        <f>(IF(O4337&lt;4172.98,0,MIN(O4337*0.3,O4337-4172.98)))-P4337</f>
        <v>104.20600000000013</v>
      </c>
      <c r="S4337" s="74">
        <v>46784</v>
      </c>
      <c r="T4337" s="1" t="s">
        <v>6855</v>
      </c>
      <c r="U4337" s="43">
        <v>2823.89</v>
      </c>
      <c r="V4337" s="1"/>
    </row>
    <row r="4338" spans="1:23">
      <c r="A4338">
        <v>2768</v>
      </c>
      <c r="B4338" s="2">
        <v>46273.404594907399</v>
      </c>
      <c r="C4338" s="2">
        <v>46273.408437500002</v>
      </c>
      <c r="D4338" s="1" t="s">
        <v>24</v>
      </c>
      <c r="E4338" s="1"/>
      <c r="F4338" s="29">
        <v>46273</v>
      </c>
      <c r="G4338" s="29">
        <v>46273</v>
      </c>
      <c r="H4338" s="1" t="s">
        <v>1625</v>
      </c>
      <c r="I4338" s="175" t="s">
        <v>9631</v>
      </c>
      <c r="J4338" s="207">
        <v>11926504595</v>
      </c>
      <c r="K4338" s="188" t="s">
        <v>9632</v>
      </c>
      <c r="L4338" s="62">
        <v>2</v>
      </c>
      <c r="M4338" s="30">
        <v>5529013142</v>
      </c>
      <c r="N4338" s="171" t="s">
        <v>37</v>
      </c>
      <c r="O4338" s="43">
        <v>9081.52</v>
      </c>
      <c r="P4338" s="43">
        <v>2721.88</v>
      </c>
      <c r="Q4338" s="230">
        <f>OfficeForms.Table[[#This Row],[ INFORMEDEPAGO ]]*0.3</f>
        <v>2724.4560000000001</v>
      </c>
      <c r="R4338" s="231">
        <f t="shared" ref="R4338:R4339" si="328">(IF(O4338&lt;4172.98,0,MIN(O4338*0.3,O4338-4172.98)))-P4338</f>
        <v>2.5760000000000218</v>
      </c>
      <c r="S4338" s="74">
        <v>46935</v>
      </c>
      <c r="T4338" s="1" t="s">
        <v>8415</v>
      </c>
      <c r="U4338" s="97">
        <v>2574.75</v>
      </c>
      <c r="V4338" s="1"/>
    </row>
    <row r="4339" spans="1:23">
      <c r="A4339">
        <v>2769</v>
      </c>
      <c r="B4339" s="2">
        <v>46273.410347222198</v>
      </c>
      <c r="C4339" s="2">
        <v>46273.411215277803</v>
      </c>
      <c r="D4339" s="1" t="s">
        <v>24</v>
      </c>
      <c r="E4339" s="1"/>
      <c r="F4339" s="29">
        <v>46273</v>
      </c>
      <c r="G4339" s="29">
        <v>46273</v>
      </c>
      <c r="H4339" s="1" t="s">
        <v>103</v>
      </c>
      <c r="I4339" s="175" t="s">
        <v>9633</v>
      </c>
      <c r="J4339" s="207"/>
      <c r="K4339" s="188" t="s">
        <v>9634</v>
      </c>
      <c r="L4339" s="62">
        <v>1</v>
      </c>
      <c r="M4339" s="30">
        <v>8714380309</v>
      </c>
      <c r="N4339" s="171" t="s">
        <v>28</v>
      </c>
      <c r="O4339" s="50">
        <v>7111.89</v>
      </c>
      <c r="P4339" s="97"/>
      <c r="Q4339" s="230">
        <f>OfficeForms.Table[[#This Row],[ INFORMEDEPAGO ]]*0.3</f>
        <v>2133.567</v>
      </c>
      <c r="R4339" s="231">
        <f t="shared" si="328"/>
        <v>2133.567</v>
      </c>
      <c r="T4339" s="1"/>
      <c r="U4339" s="97"/>
      <c r="V4339" s="1"/>
    </row>
    <row r="4340" spans="1:23">
      <c r="A4340">
        <v>2770</v>
      </c>
      <c r="B4340" s="2">
        <v>46273.437731481499</v>
      </c>
      <c r="C4340" s="2">
        <v>46273.439606481501</v>
      </c>
      <c r="D4340" s="1" t="s">
        <v>24</v>
      </c>
      <c r="E4340" s="1"/>
      <c r="F4340" s="29">
        <v>46273</v>
      </c>
      <c r="G4340" s="29">
        <v>46271</v>
      </c>
      <c r="H4340" s="1" t="s">
        <v>8238</v>
      </c>
      <c r="I4340" s="175"/>
      <c r="J4340" s="207" t="s">
        <v>9635</v>
      </c>
      <c r="K4340" s="188" t="s">
        <v>9636</v>
      </c>
      <c r="L4340" s="62">
        <v>24306106</v>
      </c>
      <c r="M4340" s="30">
        <v>5591007340</v>
      </c>
      <c r="N4340" s="171" t="s">
        <v>106</v>
      </c>
      <c r="O4340" s="52">
        <v>30327.4</v>
      </c>
      <c r="P4340" s="52">
        <v>8076.3</v>
      </c>
      <c r="Q4340" s="230">
        <f>OfficeForms.Table[[#This Row],[ INFORMEDEPAGO ]]*0.3</f>
        <v>9098.2199999999993</v>
      </c>
      <c r="R4340" s="231">
        <f>(IF(O4340&lt;4172.98,0,MIN(O4340*0.3,O4340-4172.98)))-P4340</f>
        <v>1021.9199999999992</v>
      </c>
      <c r="S4340" s="74">
        <v>45689</v>
      </c>
      <c r="T4340" s="1" t="s">
        <v>7209</v>
      </c>
      <c r="U4340" s="52">
        <v>8076.3</v>
      </c>
      <c r="V4340" s="1" t="s">
        <v>8936</v>
      </c>
      <c r="W4340" s="29">
        <v>46273</v>
      </c>
    </row>
    <row r="4341" spans="1:23">
      <c r="A4341">
        <v>2771</v>
      </c>
      <c r="B4341" s="2">
        <v>46273.400231481501</v>
      </c>
      <c r="C4341" s="2">
        <v>46273.447268518503</v>
      </c>
      <c r="D4341" s="1" t="s">
        <v>24</v>
      </c>
      <c r="E4341" s="1"/>
      <c r="F4341" s="29">
        <v>46273</v>
      </c>
      <c r="G4341" s="29">
        <v>46272</v>
      </c>
      <c r="H4341" s="1" t="s">
        <v>51</v>
      </c>
      <c r="I4341" s="175" t="s">
        <v>9637</v>
      </c>
      <c r="J4341" s="207">
        <v>24765708292</v>
      </c>
      <c r="K4341" s="188" t="s">
        <v>9638</v>
      </c>
      <c r="L4341" s="62">
        <v>24307906</v>
      </c>
      <c r="M4341" s="30">
        <v>5216623047925</v>
      </c>
      <c r="N4341" s="171" t="s">
        <v>37</v>
      </c>
      <c r="O4341" s="52">
        <v>6262.86</v>
      </c>
      <c r="P4341" s="52">
        <v>1811</v>
      </c>
      <c r="Q4341" s="230">
        <f>OfficeForms.Table[[#This Row],[ INFORMEDEPAGO ]]*0.3</f>
        <v>1878.8579999999997</v>
      </c>
      <c r="R4341" s="231">
        <f t="shared" ref="R4341:R4344" si="329">(IF(O4341&lt;4172.98,0,MIN(O4341*0.3,O4341-4172.98)))-P4341</f>
        <v>67.85799999999972</v>
      </c>
      <c r="S4341" s="74">
        <v>46508</v>
      </c>
      <c r="T4341" s="1" t="s">
        <v>7516</v>
      </c>
      <c r="U4341" s="97">
        <v>1631</v>
      </c>
      <c r="V4341" s="1"/>
    </row>
    <row r="4342" spans="1:23">
      <c r="A4342">
        <v>2772</v>
      </c>
      <c r="B4342" s="2">
        <v>46273.448796296303</v>
      </c>
      <c r="C4342" s="2">
        <v>46273.449432870402</v>
      </c>
      <c r="D4342" s="1" t="s">
        <v>24</v>
      </c>
      <c r="E4342" s="1"/>
      <c r="F4342" s="29">
        <v>46273</v>
      </c>
      <c r="G4342" s="29">
        <v>46269</v>
      </c>
      <c r="H4342" s="1" t="s">
        <v>8253</v>
      </c>
      <c r="I4342" s="175" t="s">
        <v>9639</v>
      </c>
      <c r="J4342" s="207"/>
      <c r="K4342" s="188" t="s">
        <v>9640</v>
      </c>
      <c r="L4342" s="62">
        <v>24257878</v>
      </c>
      <c r="M4342" s="30">
        <v>4773526227</v>
      </c>
      <c r="N4342" s="171" t="s">
        <v>37</v>
      </c>
      <c r="O4342" s="52">
        <v>10002.299999999999</v>
      </c>
      <c r="P4342" s="52">
        <v>2776.73</v>
      </c>
      <c r="Q4342" s="230">
        <f>OfficeForms.Table[[#This Row],[ INFORMEDEPAGO ]]*0.3</f>
        <v>3000.6899999999996</v>
      </c>
      <c r="R4342" s="231">
        <f t="shared" si="329"/>
        <v>223.95999999999958</v>
      </c>
      <c r="S4342" s="74">
        <v>46327</v>
      </c>
      <c r="T4342" s="1" t="s">
        <v>7516</v>
      </c>
      <c r="U4342" s="97">
        <v>2776.73</v>
      </c>
      <c r="V4342" s="1"/>
    </row>
    <row r="4343" spans="1:23">
      <c r="A4343">
        <v>2773</v>
      </c>
      <c r="B4343" s="2">
        <v>46273.376793981501</v>
      </c>
      <c r="C4343" s="2">
        <v>46273.4551041667</v>
      </c>
      <c r="D4343" s="1" t="s">
        <v>24</v>
      </c>
      <c r="E4343" s="1"/>
      <c r="F4343" s="29">
        <v>46273</v>
      </c>
      <c r="G4343" s="29">
        <v>46210</v>
      </c>
      <c r="H4343" s="1" t="s">
        <v>8297</v>
      </c>
      <c r="I4343" s="175" t="s">
        <v>9641</v>
      </c>
      <c r="J4343" s="207">
        <v>82846500427</v>
      </c>
      <c r="K4343" s="188" t="s">
        <v>802</v>
      </c>
      <c r="L4343" s="62">
        <v>22442836</v>
      </c>
      <c r="M4343" s="30">
        <v>5219833328426</v>
      </c>
      <c r="N4343" s="171" t="s">
        <v>106</v>
      </c>
      <c r="O4343" s="52">
        <v>5500.02</v>
      </c>
      <c r="P4343" s="52">
        <v>1227.94</v>
      </c>
      <c r="Q4343" s="230">
        <f>OfficeForms.Table[[#This Row],[ INFORMEDEPAGO ]]*0.3</f>
        <v>1650.0060000000001</v>
      </c>
      <c r="R4343" s="231">
        <f t="shared" si="329"/>
        <v>99.100000000000819</v>
      </c>
      <c r="S4343" s="74">
        <v>46266</v>
      </c>
      <c r="T4343" s="1" t="s">
        <v>7209</v>
      </c>
      <c r="U4343" s="52">
        <v>1227.94</v>
      </c>
      <c r="V4343" s="233" t="s">
        <v>9642</v>
      </c>
    </row>
    <row r="4344" spans="1:23">
      <c r="A4344">
        <v>2774</v>
      </c>
      <c r="B4344" s="2">
        <v>46273.456828703696</v>
      </c>
      <c r="C4344" s="2">
        <v>46273.457581018498</v>
      </c>
      <c r="D4344" s="1" t="s">
        <v>24</v>
      </c>
      <c r="E4344" s="1"/>
      <c r="F4344" s="29">
        <v>46273</v>
      </c>
      <c r="G4344" s="29">
        <v>46272</v>
      </c>
      <c r="H4344" s="1" t="s">
        <v>8238</v>
      </c>
      <c r="I4344" s="175" t="s">
        <v>9643</v>
      </c>
      <c r="J4344" s="207" t="s">
        <v>9644</v>
      </c>
      <c r="K4344" s="188" t="s">
        <v>9645</v>
      </c>
      <c r="L4344" s="62">
        <v>24315206</v>
      </c>
      <c r="M4344" s="30">
        <v>9519055791</v>
      </c>
      <c r="N4344" s="171" t="s">
        <v>98</v>
      </c>
      <c r="O4344" s="50"/>
      <c r="P4344" s="97"/>
      <c r="Q4344" s="230">
        <f>OfficeForms.Table[[#This Row],[ INFORMEDEPAGO ]]*0.3</f>
        <v>0</v>
      </c>
      <c r="R4344" s="231">
        <f t="shared" si="329"/>
        <v>0</v>
      </c>
      <c r="T4344" s="1"/>
      <c r="U4344" s="97"/>
      <c r="V4344" s="1"/>
    </row>
    <row r="4345" spans="1:23">
      <c r="A4345">
        <v>2775</v>
      </c>
      <c r="B4345" s="2">
        <v>46273.459247685198</v>
      </c>
      <c r="C4345" s="2">
        <v>46273.460648148102</v>
      </c>
      <c r="D4345" s="1" t="s">
        <v>24</v>
      </c>
      <c r="E4345" s="1"/>
      <c r="F4345" s="29">
        <v>46273</v>
      </c>
      <c r="G4345" s="29">
        <v>46273</v>
      </c>
      <c r="H4345" s="1" t="s">
        <v>269</v>
      </c>
      <c r="I4345" s="175" t="s">
        <v>9646</v>
      </c>
      <c r="J4345" s="207" t="s">
        <v>9647</v>
      </c>
      <c r="K4345" s="188" t="s">
        <v>9648</v>
      </c>
      <c r="L4345" s="62">
        <v>24309416</v>
      </c>
      <c r="M4345" s="30">
        <v>5214491056379</v>
      </c>
      <c r="N4345" s="171" t="s">
        <v>32</v>
      </c>
      <c r="O4345" s="50">
        <f>3007.42+848</f>
        <v>3855.42</v>
      </c>
      <c r="P4345" s="97">
        <v>848</v>
      </c>
      <c r="Q4345" s="230">
        <f>OfficeForms.Table[[#This Row],[ INFORMEDEPAGO ]]*0.3</f>
        <v>1156.626</v>
      </c>
      <c r="R4345" s="231">
        <f>(IF(O4345&lt;4172.98,0,MIN(O4345*0.3,O4345-4172.98)))-P4345</f>
        <v>-848</v>
      </c>
      <c r="T4345" s="1"/>
      <c r="U4345" s="97"/>
      <c r="V4345" s="1"/>
    </row>
    <row r="4346" spans="1:23">
      <c r="A4346">
        <v>2776</v>
      </c>
      <c r="B4346" s="2">
        <v>46273.4774189815</v>
      </c>
      <c r="C4346" s="2">
        <v>46273.478483796302</v>
      </c>
      <c r="D4346" s="1" t="s">
        <v>24</v>
      </c>
      <c r="E4346" s="1"/>
      <c r="F4346" s="29">
        <v>46273</v>
      </c>
      <c r="G4346" s="29">
        <v>46271</v>
      </c>
      <c r="H4346" s="1" t="s">
        <v>8238</v>
      </c>
      <c r="I4346" s="175" t="s">
        <v>9649</v>
      </c>
      <c r="J4346" s="207">
        <v>32856442432</v>
      </c>
      <c r="K4346" s="188" t="s">
        <v>9650</v>
      </c>
      <c r="L4346" s="62">
        <v>24282658</v>
      </c>
      <c r="M4346" s="30">
        <v>8781353824</v>
      </c>
      <c r="N4346" s="171" t="s">
        <v>28</v>
      </c>
      <c r="O4346" s="50">
        <f>10150.03+879</f>
        <v>11029.03</v>
      </c>
      <c r="P4346" s="97">
        <v>879</v>
      </c>
      <c r="Q4346" s="230">
        <f>OfficeForms.Table[[#This Row],[ INFORMEDEPAGO ]]*0.3</f>
        <v>3308.7090000000003</v>
      </c>
      <c r="R4346" s="231">
        <f>(IF(O4346&lt;4172.98,0,MIN(O4346*0.3,O4346-4172.98)))-P4346</f>
        <v>2429.7090000000003</v>
      </c>
      <c r="T4346" s="1"/>
      <c r="U4346" s="97"/>
      <c r="V4346" s="1" t="s">
        <v>8734</v>
      </c>
      <c r="W4346" s="29">
        <v>46273</v>
      </c>
    </row>
    <row r="4347" spans="1:23">
      <c r="A4347">
        <v>2777</v>
      </c>
      <c r="B4347" s="2">
        <v>46273.481388888897</v>
      </c>
      <c r="C4347" s="2">
        <v>46273.4819907407</v>
      </c>
      <c r="D4347" s="1" t="s">
        <v>24</v>
      </c>
      <c r="E4347" s="1"/>
      <c r="F4347" s="29">
        <v>46273</v>
      </c>
      <c r="G4347" s="29">
        <v>46273</v>
      </c>
      <c r="H4347" s="1" t="s">
        <v>8238</v>
      </c>
      <c r="I4347" s="175" t="s">
        <v>9651</v>
      </c>
      <c r="J4347" s="207"/>
      <c r="K4347" s="188" t="s">
        <v>9652</v>
      </c>
      <c r="L4347" s="62">
        <v>24310118</v>
      </c>
      <c r="M4347" s="30">
        <v>5539600231</v>
      </c>
      <c r="N4347" s="171" t="s">
        <v>37</v>
      </c>
      <c r="O4347" s="43">
        <v>9081.52</v>
      </c>
      <c r="P4347" s="43">
        <v>2499.8000000000002</v>
      </c>
      <c r="Q4347" s="230">
        <f>OfficeForms.Table[[#This Row],[ INFORMEDEPAGO ]]*0.3</f>
        <v>2724.4560000000001</v>
      </c>
      <c r="R4347" s="231">
        <f>(IF(O4347&lt;4172.98,0,MIN(O4347*0.3,O4347-4172.98)))-P4347</f>
        <v>224.65599999999995</v>
      </c>
      <c r="S4347" s="74">
        <v>46388</v>
      </c>
      <c r="T4347" s="1" t="s">
        <v>8319</v>
      </c>
      <c r="U4347" s="43">
        <v>2499.8000000000002</v>
      </c>
      <c r="V4347" s="1"/>
    </row>
    <row r="4348" spans="1:23">
      <c r="A4348">
        <v>2778</v>
      </c>
      <c r="B4348" s="2">
        <v>46272.763993055603</v>
      </c>
      <c r="C4348" s="2">
        <v>46273.4919212963</v>
      </c>
      <c r="D4348" s="1" t="s">
        <v>24</v>
      </c>
      <c r="E4348" s="1"/>
      <c r="F4348" s="29">
        <v>46273</v>
      </c>
      <c r="G4348" s="29">
        <v>46271</v>
      </c>
      <c r="H4348" s="1" t="s">
        <v>8721</v>
      </c>
      <c r="I4348" s="175" t="s">
        <v>9653</v>
      </c>
      <c r="J4348" s="207">
        <v>78826104610</v>
      </c>
      <c r="K4348" s="188" t="s">
        <v>9654</v>
      </c>
      <c r="L4348" s="62">
        <v>24285520</v>
      </c>
      <c r="M4348" s="30">
        <v>5219513046786</v>
      </c>
      <c r="N4348" s="171" t="s">
        <v>130</v>
      </c>
      <c r="O4348" s="43">
        <v>5055.87</v>
      </c>
      <c r="P4348" s="43">
        <v>1063.3499999999999</v>
      </c>
      <c r="Q4348" s="230">
        <f>OfficeForms.Table[[#This Row],[ INFORMEDEPAGO ]]*0.3</f>
        <v>1516.761</v>
      </c>
      <c r="R4348" s="231">
        <f>(IF(O4348&lt;4172.98,0,MIN(O4348*0.3,O4348-4172.98)))-P4348</f>
        <v>-180.45999999999958</v>
      </c>
      <c r="S4348" s="74">
        <v>45474</v>
      </c>
      <c r="T4348" s="1" t="s">
        <v>9655</v>
      </c>
      <c r="U4348" s="43">
        <v>1063.3499999999999</v>
      </c>
      <c r="V4348" s="1" t="s">
        <v>8233</v>
      </c>
      <c r="W4348" s="29">
        <v>46273</v>
      </c>
    </row>
    <row r="4349" spans="1:23">
      <c r="A4349">
        <v>2779</v>
      </c>
      <c r="B4349" s="2">
        <v>46273.447280092601</v>
      </c>
      <c r="C4349" s="2">
        <v>46273.496041666702</v>
      </c>
      <c r="D4349" s="1" t="s">
        <v>24</v>
      </c>
      <c r="E4349" s="1"/>
      <c r="F4349" s="29">
        <v>46273</v>
      </c>
      <c r="G4349" s="29">
        <v>46272</v>
      </c>
      <c r="H4349" s="1" t="s">
        <v>51</v>
      </c>
      <c r="I4349" s="175" t="s">
        <v>9656</v>
      </c>
      <c r="J4349" s="207">
        <v>64836325791</v>
      </c>
      <c r="K4349" s="188"/>
      <c r="L4349" s="62">
        <v>24306348</v>
      </c>
      <c r="M4349" s="30">
        <v>5217771352346</v>
      </c>
      <c r="N4349" s="171" t="s">
        <v>47</v>
      </c>
      <c r="O4349" s="43">
        <v>58238.879999999997</v>
      </c>
      <c r="P4349" s="43">
        <v>16831.599999999999</v>
      </c>
      <c r="Q4349" s="230">
        <f>OfficeForms.Table[[#This Row],[ INFORMEDEPAGO ]]*0.3</f>
        <v>17471.663999999997</v>
      </c>
      <c r="R4349" s="231">
        <f>(IF(O4349&lt;4172.98,0,MIN(O4349*0.3,O4349-4172.98)))-P4349</f>
        <v>640.06399999999849</v>
      </c>
      <c r="S4349" s="74">
        <v>46447</v>
      </c>
      <c r="T4349" s="1" t="s">
        <v>259</v>
      </c>
      <c r="U4349" s="97">
        <v>678.73</v>
      </c>
      <c r="V4349" s="1" t="s">
        <v>8316</v>
      </c>
      <c r="W4349" s="29">
        <v>46273</v>
      </c>
    </row>
    <row r="4350" spans="1:23">
      <c r="A4350">
        <v>2780</v>
      </c>
      <c r="B4350" s="2">
        <v>46273.491956018501</v>
      </c>
      <c r="C4350" s="2">
        <v>46273.496458333299</v>
      </c>
      <c r="D4350" s="1" t="s">
        <v>24</v>
      </c>
      <c r="E4350" s="1"/>
      <c r="F4350" s="29">
        <v>46273</v>
      </c>
      <c r="G4350" s="29">
        <v>46272</v>
      </c>
      <c r="H4350" s="1" t="s">
        <v>8721</v>
      </c>
      <c r="I4350" s="175" t="s">
        <v>9657</v>
      </c>
      <c r="J4350" s="207" t="s">
        <v>9658</v>
      </c>
      <c r="K4350" s="188" t="s">
        <v>9659</v>
      </c>
      <c r="L4350" s="62">
        <v>24297356</v>
      </c>
      <c r="M4350" s="30">
        <v>5214434375123</v>
      </c>
      <c r="N4350" s="171" t="s">
        <v>37</v>
      </c>
      <c r="O4350" s="43">
        <v>7235.36</v>
      </c>
      <c r="P4350" s="43">
        <v>2170.61</v>
      </c>
      <c r="Q4350" s="230">
        <f>OfficeForms.Table[[#This Row],[ INFORMEDEPAGO ]]*0.3</f>
        <v>2170.6079999999997</v>
      </c>
      <c r="R4350" s="231">
        <f>(IF(O4350&lt;4172.98,0,MIN(O4350*0.3,O4350-4172.98)))-P4350</f>
        <v>-2.0000000004074536E-3</v>
      </c>
      <c r="S4350" s="74">
        <v>46569</v>
      </c>
      <c r="T4350" s="1" t="s">
        <v>259</v>
      </c>
      <c r="U4350" s="97">
        <v>1064.33</v>
      </c>
      <c r="V4350" s="1"/>
    </row>
    <row r="4351" spans="1:23">
      <c r="A4351">
        <v>2781</v>
      </c>
      <c r="B4351" s="2">
        <v>46273.490219907399</v>
      </c>
      <c r="C4351" s="2">
        <v>46273.496793981503</v>
      </c>
      <c r="D4351" s="1" t="s">
        <v>24</v>
      </c>
      <c r="E4351" s="1"/>
      <c r="F4351" s="29">
        <v>46273</v>
      </c>
      <c r="G4351" s="29">
        <v>46270</v>
      </c>
      <c r="H4351" s="1" t="s">
        <v>8381</v>
      </c>
      <c r="I4351" s="175" t="s">
        <v>9660</v>
      </c>
      <c r="J4351" s="207" t="s">
        <v>9661</v>
      </c>
      <c r="K4351" s="188" t="s">
        <v>9662</v>
      </c>
      <c r="L4351" s="62">
        <v>24266222</v>
      </c>
      <c r="M4351" s="30">
        <v>5215569053197</v>
      </c>
      <c r="N4351" s="171" t="s">
        <v>37</v>
      </c>
      <c r="O4351" s="43">
        <v>10636.54</v>
      </c>
      <c r="P4351" s="43">
        <v>3189.94</v>
      </c>
      <c r="Q4351" s="230">
        <f>OfficeForms.Table[[#This Row],[ INFORMEDEPAGO ]]*0.3</f>
        <v>3190.962</v>
      </c>
      <c r="R4351" s="231">
        <f>(IF(O4351&lt;4172.98,0,MIN(O4351*0.3,O4351-4172.98)))-P4351</f>
        <v>1.0219999999999345</v>
      </c>
      <c r="S4351" s="74">
        <v>46935</v>
      </c>
      <c r="T4351" s="1" t="s">
        <v>8398</v>
      </c>
      <c r="U4351" s="43">
        <v>3189.94</v>
      </c>
      <c r="V4351" s="1"/>
    </row>
    <row r="4352" spans="1:23">
      <c r="A4352">
        <v>2782</v>
      </c>
      <c r="B4352" s="2">
        <v>46273.480289351799</v>
      </c>
      <c r="C4352" s="2">
        <v>46273.497048611098</v>
      </c>
      <c r="D4352" s="1" t="s">
        <v>24</v>
      </c>
      <c r="E4352" s="1"/>
      <c r="F4352" s="29">
        <v>46273</v>
      </c>
      <c r="G4352" s="29">
        <v>46272</v>
      </c>
      <c r="H4352" s="1" t="s">
        <v>78</v>
      </c>
      <c r="I4352" s="175" t="s">
        <v>9663</v>
      </c>
      <c r="J4352" s="207"/>
      <c r="K4352" s="188" t="s">
        <v>9664</v>
      </c>
      <c r="L4352" s="62">
        <v>24302606</v>
      </c>
      <c r="M4352" s="30">
        <v>5218713967006</v>
      </c>
      <c r="N4352" s="171" t="s">
        <v>37</v>
      </c>
      <c r="O4352" s="52">
        <v>7116.73</v>
      </c>
      <c r="P4352" s="52">
        <v>2058.04</v>
      </c>
      <c r="Q4352" s="230">
        <f>OfficeForms.Table[[#This Row],[ INFORMEDEPAGO ]]*0.3</f>
        <v>2135.0189999999998</v>
      </c>
      <c r="R4352" s="231">
        <f>(IF(O4352&lt;4172.98,0,MIN(O4352*0.3,O4352-4172.98)))-P4352</f>
        <v>76.978999999999814</v>
      </c>
      <c r="S4352" s="74">
        <v>46388</v>
      </c>
      <c r="T4352" s="1" t="s">
        <v>8452</v>
      </c>
      <c r="U4352" s="97">
        <v>1381.57</v>
      </c>
      <c r="V4352" s="1"/>
    </row>
    <row r="4353" spans="1:23">
      <c r="A4353">
        <v>2783</v>
      </c>
      <c r="B4353" s="2">
        <v>46273.496481481503</v>
      </c>
      <c r="C4353" s="2">
        <v>46273.5074074074</v>
      </c>
      <c r="D4353" s="1" t="s">
        <v>24</v>
      </c>
      <c r="E4353" s="1"/>
      <c r="F4353" s="29">
        <v>46273</v>
      </c>
      <c r="G4353" s="29">
        <v>46272</v>
      </c>
      <c r="H4353" s="1" t="s">
        <v>8721</v>
      </c>
      <c r="I4353" s="175" t="s">
        <v>9665</v>
      </c>
      <c r="J4353" s="207"/>
      <c r="K4353" s="188" t="s">
        <v>9666</v>
      </c>
      <c r="L4353" s="62">
        <v>24305176</v>
      </c>
      <c r="M4353" s="30">
        <v>5215654791021</v>
      </c>
      <c r="N4353" s="171" t="s">
        <v>28</v>
      </c>
      <c r="O4353" s="50">
        <v>10636.54</v>
      </c>
      <c r="P4353" s="97"/>
      <c r="Q4353" s="230">
        <f>OfficeForms.Table[[#This Row],[ INFORMEDEPAGO ]]*0.3</f>
        <v>3190.962</v>
      </c>
      <c r="R4353" s="231">
        <f>(IF(O4353&lt;4172.98,0,MIN(O4353*0.3,O4353-4172.98)))-P4353</f>
        <v>3190.962</v>
      </c>
      <c r="T4353" s="1"/>
      <c r="U4353" s="97"/>
      <c r="V4353" s="1" t="s">
        <v>8535</v>
      </c>
      <c r="W4353" s="29">
        <v>46273</v>
      </c>
    </row>
    <row r="4354" spans="1:23">
      <c r="A4354">
        <v>2784</v>
      </c>
      <c r="B4354" s="2">
        <v>46273.496053240699</v>
      </c>
      <c r="C4354" s="2">
        <v>46273.513020833299</v>
      </c>
      <c r="D4354" s="1" t="s">
        <v>24</v>
      </c>
      <c r="E4354" s="1"/>
      <c r="F4354" s="29">
        <v>46273</v>
      </c>
      <c r="G4354" s="29">
        <v>46272</v>
      </c>
      <c r="H4354" s="1" t="s">
        <v>51</v>
      </c>
      <c r="I4354" s="175" t="s">
        <v>9667</v>
      </c>
      <c r="J4354" s="207" t="s">
        <v>9668</v>
      </c>
      <c r="K4354" s="188" t="s">
        <v>9669</v>
      </c>
      <c r="L4354" s="62">
        <v>24307352</v>
      </c>
      <c r="M4354" s="30">
        <v>5215613021491</v>
      </c>
      <c r="N4354" s="171" t="s">
        <v>28</v>
      </c>
      <c r="O4354" s="50">
        <v>9098.57</v>
      </c>
      <c r="P4354" s="97"/>
      <c r="Q4354" s="230">
        <f>OfficeForms.Table[[#This Row],[ INFORMEDEPAGO ]]*0.3</f>
        <v>2729.5709999999999</v>
      </c>
      <c r="R4354" s="231">
        <f>(IF(O4354&lt;4172.98,0,MIN(O4354*0.3,O4354-4172.98)))-P4354</f>
        <v>2729.5709999999999</v>
      </c>
      <c r="T4354" s="1"/>
      <c r="U4354" s="97"/>
      <c r="V4354" s="1" t="s">
        <v>8716</v>
      </c>
      <c r="W4354" s="29">
        <v>46273</v>
      </c>
    </row>
    <row r="4355" spans="1:23">
      <c r="A4355">
        <v>2785</v>
      </c>
      <c r="B4355" s="2">
        <v>46273.496828703697</v>
      </c>
      <c r="C4355" s="2">
        <v>46273.522754629601</v>
      </c>
      <c r="D4355" s="1" t="s">
        <v>24</v>
      </c>
      <c r="E4355" s="1"/>
      <c r="F4355" s="29">
        <v>46273</v>
      </c>
      <c r="G4355" s="29">
        <v>46272</v>
      </c>
      <c r="H4355" s="1" t="s">
        <v>8381</v>
      </c>
      <c r="I4355" s="175" t="s">
        <v>9670</v>
      </c>
      <c r="J4355" s="207" t="s">
        <v>9671</v>
      </c>
      <c r="K4355" s="188" t="s">
        <v>9672</v>
      </c>
      <c r="L4355" s="62">
        <v>24302186</v>
      </c>
      <c r="M4355" s="30">
        <v>5213334629433</v>
      </c>
      <c r="N4355" s="171" t="s">
        <v>37</v>
      </c>
      <c r="O4355" s="43">
        <v>7116.73</v>
      </c>
      <c r="P4355" s="43">
        <v>1974.86</v>
      </c>
      <c r="Q4355" s="230">
        <f>OfficeForms.Table[[#This Row],[ INFORMEDEPAGO ]]*0.3</f>
        <v>2135.0189999999998</v>
      </c>
      <c r="R4355" s="231">
        <f>(IF(O4355&lt;4172.98,0,MIN(O4355*0.3,O4355-4172.98)))-P4355</f>
        <v>160.15899999999988</v>
      </c>
      <c r="S4355" s="74">
        <v>46388</v>
      </c>
      <c r="T4355" s="1" t="s">
        <v>7516</v>
      </c>
      <c r="U4355" s="97">
        <v>1746.96</v>
      </c>
      <c r="V4355" s="1"/>
    </row>
    <row r="4356" spans="1:23">
      <c r="A4356">
        <v>2786</v>
      </c>
      <c r="B4356" s="2">
        <v>46273.5074537037</v>
      </c>
      <c r="C4356" s="2">
        <v>46273.531064814801</v>
      </c>
      <c r="D4356" s="1" t="s">
        <v>24</v>
      </c>
      <c r="E4356" s="1"/>
      <c r="F4356" s="29">
        <v>46273</v>
      </c>
      <c r="G4356" s="29">
        <v>46272</v>
      </c>
      <c r="H4356" s="1" t="s">
        <v>8721</v>
      </c>
      <c r="I4356" s="175" t="s">
        <v>9673</v>
      </c>
      <c r="J4356" s="207" t="s">
        <v>9674</v>
      </c>
      <c r="K4356" s="188"/>
      <c r="L4356" s="62">
        <v>24298956</v>
      </c>
      <c r="M4356" s="30">
        <v>5212292417134</v>
      </c>
      <c r="N4356" s="171" t="s">
        <v>28</v>
      </c>
      <c r="O4356" s="50">
        <v>10636.54</v>
      </c>
      <c r="P4356" s="97"/>
      <c r="Q4356" s="230">
        <f>OfficeForms.Table[[#This Row],[ INFORMEDEPAGO ]]*0.3</f>
        <v>3190.962</v>
      </c>
      <c r="R4356" s="231">
        <f>(IF(O4356&lt;4172.98,0,MIN(O4356*0.3,O4356-4172.98)))-P4356</f>
        <v>3190.962</v>
      </c>
      <c r="T4356" s="1"/>
      <c r="U4356" s="97"/>
      <c r="V4356" s="1" t="s">
        <v>8456</v>
      </c>
      <c r="W4356" s="29">
        <v>46273</v>
      </c>
    </row>
    <row r="4357" spans="1:23">
      <c r="A4357">
        <v>2787</v>
      </c>
      <c r="B4357" s="2">
        <v>46273.531585648103</v>
      </c>
      <c r="C4357" s="2">
        <v>46273.543356481503</v>
      </c>
      <c r="D4357" s="1" t="s">
        <v>24</v>
      </c>
      <c r="E4357" s="1"/>
      <c r="F4357" s="29">
        <v>46273</v>
      </c>
      <c r="G4357" s="29">
        <v>46272</v>
      </c>
      <c r="H4357" s="1" t="s">
        <v>78</v>
      </c>
      <c r="I4357" s="175" t="s">
        <v>9675</v>
      </c>
      <c r="J4357" s="207">
        <v>23856762663</v>
      </c>
      <c r="K4357" s="188" t="s">
        <v>9676</v>
      </c>
      <c r="L4357" s="62">
        <v>24307434</v>
      </c>
      <c r="M4357" s="30">
        <v>5218701449860</v>
      </c>
      <c r="N4357" s="171" t="s">
        <v>37</v>
      </c>
      <c r="O4357" s="52">
        <v>8181.55</v>
      </c>
      <c r="P4357" s="52">
        <v>2453.9899999999998</v>
      </c>
      <c r="Q4357" s="230">
        <f>OfficeForms.Table[[#This Row],[ INFORMEDEPAGO ]]*0.3</f>
        <v>2454.4650000000001</v>
      </c>
      <c r="R4357" s="231">
        <f>(IF(O4357&lt;4172.98,0,MIN(O4357*0.3,O4357-4172.98)))-P4357</f>
        <v>0.4750000000003638</v>
      </c>
      <c r="S4357" s="74">
        <v>46296</v>
      </c>
      <c r="T4357" s="1" t="s">
        <v>7516</v>
      </c>
      <c r="U4357" s="97">
        <v>310.14</v>
      </c>
      <c r="V4357" s="1"/>
    </row>
    <row r="4358" spans="1:23">
      <c r="A4358">
        <v>2788</v>
      </c>
      <c r="B4358" s="2">
        <v>46273.550659722197</v>
      </c>
      <c r="C4358" s="2">
        <v>46273.551562499997</v>
      </c>
      <c r="D4358" s="1" t="s">
        <v>24</v>
      </c>
      <c r="E4358" s="1"/>
      <c r="F4358" s="29">
        <v>46273</v>
      </c>
      <c r="G4358" s="29">
        <v>46273</v>
      </c>
      <c r="H4358" s="1" t="s">
        <v>8253</v>
      </c>
      <c r="I4358" s="175" t="s">
        <v>9677</v>
      </c>
      <c r="J4358" s="207">
        <v>43755823754</v>
      </c>
      <c r="K4358" s="188" t="s">
        <v>9678</v>
      </c>
      <c r="L4358" s="62">
        <v>24314330</v>
      </c>
      <c r="M4358" s="30">
        <v>8117465753</v>
      </c>
      <c r="N4358" s="171" t="s">
        <v>37</v>
      </c>
      <c r="O4358" s="43">
        <v>9318.7999999999993</v>
      </c>
      <c r="P4358" s="43">
        <v>2793.17</v>
      </c>
      <c r="Q4358" s="230">
        <f>OfficeForms.Table[[#This Row],[ INFORMEDEPAGO ]]*0.3</f>
        <v>2795.64</v>
      </c>
      <c r="R4358" s="231">
        <f>(IF(O4358&lt;4172.98,0,MIN(O4358*0.3,O4358-4172.98)))-P4358</f>
        <v>2.4699999999997999</v>
      </c>
      <c r="S4358" s="74">
        <v>46813</v>
      </c>
      <c r="T4358" s="1" t="s">
        <v>8338</v>
      </c>
      <c r="U4358" s="97">
        <v>1498.16</v>
      </c>
      <c r="V4358" s="1"/>
    </row>
    <row r="4359" spans="1:23">
      <c r="A4359">
        <v>2790</v>
      </c>
      <c r="B4359" s="2">
        <v>46273.531099537002</v>
      </c>
      <c r="C4359" s="2">
        <v>46273.566736111097</v>
      </c>
      <c r="D4359" s="1" t="s">
        <v>24</v>
      </c>
      <c r="E4359" s="1"/>
      <c r="F4359" s="29">
        <v>46273</v>
      </c>
      <c r="G4359" s="29">
        <v>46271</v>
      </c>
      <c r="H4359" s="1" t="s">
        <v>8721</v>
      </c>
      <c r="I4359" s="175" t="s">
        <v>9679</v>
      </c>
      <c r="J4359" s="207" t="s">
        <v>9680</v>
      </c>
      <c r="K4359" s="188" t="s">
        <v>9681</v>
      </c>
      <c r="L4359" s="62">
        <v>24286836</v>
      </c>
      <c r="M4359" s="30">
        <v>5216121573006</v>
      </c>
      <c r="N4359" s="171" t="s">
        <v>28</v>
      </c>
      <c r="O4359" s="50">
        <v>9738.67</v>
      </c>
      <c r="P4359" s="97"/>
      <c r="Q4359" s="230">
        <f>OfficeForms.Table[[#This Row],[ INFORMEDEPAGO ]]*0.3</f>
        <v>2921.6010000000001</v>
      </c>
      <c r="R4359" s="231">
        <f>(IF(O4359&lt;4172.98,0,MIN(O4359*0.3,O4359-4172.98)))-P4359</f>
        <v>2921.6010000000001</v>
      </c>
      <c r="T4359" s="1"/>
      <c r="U4359" s="97"/>
      <c r="V4359" s="1" t="s">
        <v>8264</v>
      </c>
      <c r="W4359" s="29">
        <v>46273</v>
      </c>
    </row>
    <row r="4360" spans="1:23">
      <c r="A4360">
        <v>2791</v>
      </c>
      <c r="B4360" s="2">
        <v>46273.408472222203</v>
      </c>
      <c r="C4360" s="2">
        <v>46273.599386574097</v>
      </c>
      <c r="D4360" s="1" t="s">
        <v>24</v>
      </c>
      <c r="E4360" s="1"/>
      <c r="F4360" s="29">
        <v>46273</v>
      </c>
      <c r="G4360" s="29">
        <v>46273</v>
      </c>
      <c r="H4360" s="1" t="s">
        <v>1625</v>
      </c>
      <c r="I4360" s="175" t="s">
        <v>9682</v>
      </c>
      <c r="J4360" s="207">
        <v>83745200945</v>
      </c>
      <c r="K4360" s="188" t="s">
        <v>9683</v>
      </c>
      <c r="L4360" s="62">
        <v>2</v>
      </c>
      <c r="M4360" s="30">
        <v>3325909383</v>
      </c>
      <c r="N4360" s="171" t="s">
        <v>37</v>
      </c>
      <c r="O4360" s="52">
        <v>27438.44</v>
      </c>
      <c r="P4360" s="52">
        <v>8231.5300000000007</v>
      </c>
      <c r="Q4360" s="230">
        <f>OfficeForms.Table[[#This Row],[ INFORMEDEPAGO ]]*0.3</f>
        <v>8231.5319999999992</v>
      </c>
      <c r="R4360" s="231">
        <f>(IF(O4360&lt;4172.98,0,MIN(O4360*0.3,O4360-4172.98)))-P4360</f>
        <v>1.9999999985884642E-3</v>
      </c>
      <c r="S4360" s="74">
        <v>46419</v>
      </c>
      <c r="T4360" s="1" t="s">
        <v>6855</v>
      </c>
      <c r="U4360" s="97">
        <v>317.87</v>
      </c>
      <c r="V4360" s="1"/>
    </row>
    <row r="4361" spans="1:23">
      <c r="A4361">
        <v>2792</v>
      </c>
      <c r="B4361" s="2">
        <v>46273.522777777798</v>
      </c>
      <c r="C4361" s="2">
        <v>46273.603935185201</v>
      </c>
      <c r="D4361" s="1" t="s">
        <v>24</v>
      </c>
      <c r="E4361" s="1"/>
      <c r="F4361" s="29">
        <v>46273</v>
      </c>
      <c r="G4361" s="29">
        <v>46272</v>
      </c>
      <c r="H4361" s="1" t="s">
        <v>8381</v>
      </c>
      <c r="I4361" s="175" t="s">
        <v>9684</v>
      </c>
      <c r="J4361" s="207" t="s">
        <v>9685</v>
      </c>
      <c r="K4361" s="188" t="s">
        <v>9686</v>
      </c>
      <c r="L4361" s="62">
        <v>24304574</v>
      </c>
      <c r="M4361" s="30">
        <v>5215547237093</v>
      </c>
      <c r="N4361" s="171" t="s">
        <v>37</v>
      </c>
      <c r="O4361" s="52">
        <v>10636.54</v>
      </c>
      <c r="P4361" s="52">
        <v>3190</v>
      </c>
      <c r="Q4361" s="230">
        <f>OfficeForms.Table[[#This Row],[ INFORMEDEPAGO ]]*0.3</f>
        <v>3190.962</v>
      </c>
      <c r="R4361" s="231">
        <f>(IF(O4361&lt;4172.98,0,MIN(O4361*0.3,O4361-4172.98)))-P4361</f>
        <v>0.96199999999998909</v>
      </c>
      <c r="S4361" s="74">
        <v>46935</v>
      </c>
      <c r="T4361" s="1" t="s">
        <v>7516</v>
      </c>
      <c r="U4361" s="52">
        <v>3190</v>
      </c>
      <c r="V4361" s="1"/>
    </row>
    <row r="4362" spans="1:23">
      <c r="A4362">
        <v>2793</v>
      </c>
      <c r="B4362" s="2">
        <v>46273.584791666697</v>
      </c>
      <c r="C4362" s="2">
        <v>46273.606666666703</v>
      </c>
      <c r="D4362" s="1" t="s">
        <v>24</v>
      </c>
      <c r="E4362" s="1"/>
      <c r="F4362" s="29">
        <v>46273</v>
      </c>
      <c r="G4362" s="29">
        <v>46273</v>
      </c>
      <c r="H4362" s="1" t="s">
        <v>78</v>
      </c>
      <c r="I4362" s="175" t="s">
        <v>9687</v>
      </c>
      <c r="J4362" s="207" t="s">
        <v>9688</v>
      </c>
      <c r="K4362" s="188" t="s">
        <v>9689</v>
      </c>
      <c r="L4362" s="62">
        <v>24312558</v>
      </c>
      <c r="M4362" s="30">
        <v>5215567727821</v>
      </c>
      <c r="N4362" s="171" t="s">
        <v>37</v>
      </c>
      <c r="O4362" s="52">
        <v>7116.73</v>
      </c>
      <c r="P4362" s="52">
        <v>2135.02</v>
      </c>
      <c r="Q4362" s="230">
        <f>OfficeForms.Table[[#This Row],[ INFORMEDEPAGO ]]*0.3</f>
        <v>2135.0189999999998</v>
      </c>
      <c r="R4362" s="231">
        <f>(IF(O4362&lt;4172.98,0,MIN(O4362*0.3,O4362-4172.98)))-P4362</f>
        <v>-1.0000000002037268E-3</v>
      </c>
      <c r="S4362" s="74">
        <v>46905</v>
      </c>
      <c r="T4362" s="1" t="s">
        <v>8319</v>
      </c>
      <c r="U4362" s="52">
        <v>2135.02</v>
      </c>
      <c r="V4362" s="1"/>
    </row>
    <row r="4363" spans="1:23">
      <c r="A4363">
        <v>2794</v>
      </c>
      <c r="B4363" s="2">
        <v>46273.566770833299</v>
      </c>
      <c r="C4363" s="2">
        <v>46273.613599536999</v>
      </c>
      <c r="D4363" s="1" t="s">
        <v>24</v>
      </c>
      <c r="E4363" s="1"/>
      <c r="F4363" s="29">
        <v>46273</v>
      </c>
      <c r="G4363" s="29">
        <v>46273</v>
      </c>
      <c r="H4363" s="1" t="s">
        <v>8721</v>
      </c>
      <c r="I4363" s="175" t="s">
        <v>9690</v>
      </c>
      <c r="J4363" s="207">
        <v>83745801049</v>
      </c>
      <c r="K4363" s="188" t="s">
        <v>9691</v>
      </c>
      <c r="L4363" s="62">
        <v>24322630</v>
      </c>
      <c r="M4363" s="30">
        <v>5219372710871</v>
      </c>
      <c r="N4363" s="171" t="s">
        <v>37</v>
      </c>
      <c r="O4363" s="43">
        <v>23081.93</v>
      </c>
      <c r="P4363" s="43">
        <v>6912.63</v>
      </c>
      <c r="Q4363" s="230">
        <f>OfficeForms.Table[[#This Row],[ INFORMEDEPAGO ]]*0.3</f>
        <v>6924.5789999999997</v>
      </c>
      <c r="R4363" s="231">
        <f>(IF(O4363&lt;4172.98,0,MIN(O4363*0.3,O4363-4172.98)))-P4363</f>
        <v>11.948999999999614</v>
      </c>
      <c r="S4363" s="74">
        <v>46935</v>
      </c>
      <c r="T4363" s="1" t="s">
        <v>84</v>
      </c>
      <c r="U4363" s="99">
        <v>6369.46</v>
      </c>
      <c r="V4363" s="1"/>
    </row>
    <row r="4364" spans="1:23">
      <c r="A4364">
        <v>2795</v>
      </c>
      <c r="B4364" s="2">
        <v>46273.603958333297</v>
      </c>
      <c r="C4364" s="2">
        <v>46273.6245023148</v>
      </c>
      <c r="D4364" s="1" t="s">
        <v>24</v>
      </c>
      <c r="E4364" s="1"/>
      <c r="F4364" s="29">
        <v>46273</v>
      </c>
      <c r="G4364" s="29">
        <v>46273</v>
      </c>
      <c r="H4364" s="1" t="s">
        <v>8381</v>
      </c>
      <c r="I4364" s="175" t="s">
        <v>9692</v>
      </c>
      <c r="J4364" s="207"/>
      <c r="K4364" s="188" t="s">
        <v>9693</v>
      </c>
      <c r="L4364" s="62">
        <v>24318326</v>
      </c>
      <c r="M4364" s="30">
        <v>5214446716481</v>
      </c>
      <c r="N4364" s="171" t="s">
        <v>37</v>
      </c>
      <c r="O4364" s="43">
        <v>17484.990000000002</v>
      </c>
      <c r="P4364" s="43">
        <v>5233.54</v>
      </c>
      <c r="Q4364" s="230">
        <f>OfficeForms.Table[[#This Row],[ INFORMEDEPAGO ]]*0.3</f>
        <v>5245.4970000000003</v>
      </c>
      <c r="R4364" s="231">
        <f>(IF(O4364&lt;4172.98,0,MIN(O4364*0.3,O4364-4172.98)))-P4364</f>
        <v>11.957000000000335</v>
      </c>
      <c r="S4364" s="74">
        <v>46661</v>
      </c>
      <c r="T4364" s="1" t="s">
        <v>9694</v>
      </c>
      <c r="U4364" s="97">
        <v>3997.75</v>
      </c>
      <c r="V4364" s="1"/>
    </row>
    <row r="4365" spans="1:23">
      <c r="A4365">
        <v>2796</v>
      </c>
      <c r="B4365" s="2">
        <v>46273.599421296298</v>
      </c>
      <c r="C4365" s="2">
        <v>46273.6394097222</v>
      </c>
      <c r="D4365" s="1" t="s">
        <v>24</v>
      </c>
      <c r="E4365" s="1"/>
      <c r="F4365" s="29">
        <v>46273</v>
      </c>
      <c r="G4365" s="29">
        <v>46273</v>
      </c>
      <c r="H4365" s="1" t="s">
        <v>1625</v>
      </c>
      <c r="I4365" s="175" t="s">
        <v>9695</v>
      </c>
      <c r="J4365" s="207">
        <v>43796400208</v>
      </c>
      <c r="K4365" s="188" t="s">
        <v>9696</v>
      </c>
      <c r="L4365" s="62">
        <v>2</v>
      </c>
      <c r="M4365" s="30" t="s">
        <v>9697</v>
      </c>
      <c r="N4365" s="171" t="s">
        <v>130</v>
      </c>
      <c r="O4365" s="52">
        <v>7920.51</v>
      </c>
      <c r="P4365" s="52">
        <v>2266.25</v>
      </c>
      <c r="Q4365" s="230">
        <f>OfficeForms.Table[[#This Row],[ INFORMEDEPAGO ]]*0.3</f>
        <v>2376.1529999999998</v>
      </c>
      <c r="R4365" s="231">
        <f>(IF(O4365&lt;4172.98,0,MIN(O4365*0.3,O4365-4172.98)))-P4365</f>
        <v>109.90299999999979</v>
      </c>
      <c r="S4365" s="74">
        <v>46266</v>
      </c>
      <c r="T4365" s="1" t="s">
        <v>8452</v>
      </c>
      <c r="U4365" s="97">
        <v>313.47000000000003</v>
      </c>
      <c r="V4365" s="1"/>
    </row>
    <row r="4366" spans="1:23">
      <c r="A4366">
        <v>2797</v>
      </c>
      <c r="B4366" s="2">
        <v>46273.6411226852</v>
      </c>
      <c r="C4366" s="2">
        <v>46273.641875000001</v>
      </c>
      <c r="D4366" s="1" t="s">
        <v>24</v>
      </c>
      <c r="E4366" s="1"/>
      <c r="F4366" s="29">
        <v>46273</v>
      </c>
      <c r="G4366" s="29">
        <v>46273</v>
      </c>
      <c r="H4366" s="1" t="s">
        <v>8253</v>
      </c>
      <c r="I4366" s="175" t="s">
        <v>9698</v>
      </c>
      <c r="J4366" s="207"/>
      <c r="K4366" s="188" t="s">
        <v>9699</v>
      </c>
      <c r="L4366" s="62">
        <v>24323194</v>
      </c>
      <c r="M4366" s="30">
        <v>4443905966</v>
      </c>
      <c r="N4366" s="171" t="s">
        <v>37</v>
      </c>
      <c r="O4366" s="43">
        <v>10636.54</v>
      </c>
      <c r="P4366" s="43">
        <v>3190.96</v>
      </c>
      <c r="Q4366" s="230">
        <f>OfficeForms.Table[[#This Row],[ INFORMEDEPAGO ]]*0.3</f>
        <v>3190.962</v>
      </c>
      <c r="R4366" s="231">
        <f>(IF(O4366&lt;4172.98,0,MIN(O4366*0.3,O4366-4172.98)))-P4366</f>
        <v>1.9999999999527063E-3</v>
      </c>
      <c r="S4366" s="74">
        <v>46966</v>
      </c>
      <c r="T4366" s="1" t="s">
        <v>84</v>
      </c>
      <c r="U4366" s="43">
        <v>3190.96</v>
      </c>
      <c r="V4366" s="1"/>
    </row>
    <row r="4367" spans="1:23">
      <c r="A4367">
        <v>2798</v>
      </c>
      <c r="B4367" s="2">
        <v>46273.624537037002</v>
      </c>
      <c r="C4367" s="2">
        <v>46273.6422453704</v>
      </c>
      <c r="D4367" s="1" t="s">
        <v>24</v>
      </c>
      <c r="E4367" s="1"/>
      <c r="F4367" s="29">
        <v>46273</v>
      </c>
      <c r="G4367" s="29">
        <v>46273</v>
      </c>
      <c r="H4367" s="1" t="s">
        <v>8381</v>
      </c>
      <c r="I4367" s="175" t="s">
        <v>9700</v>
      </c>
      <c r="J4367" s="175" t="s">
        <v>9701</v>
      </c>
      <c r="K4367" s="188" t="s">
        <v>9702</v>
      </c>
      <c r="L4367" s="62">
        <v>24323240</v>
      </c>
      <c r="M4367" s="30">
        <v>5218115567613</v>
      </c>
      <c r="N4367" s="171" t="s">
        <v>47</v>
      </c>
      <c r="O4367" s="43">
        <v>9081.52</v>
      </c>
      <c r="P4367" s="43">
        <v>2053.5700000000002</v>
      </c>
      <c r="Q4367" s="230">
        <f>OfficeForms.Table[[#This Row],[ INFORMEDEPAGO ]]*0.3</f>
        <v>2724.4560000000001</v>
      </c>
      <c r="R4367" s="231">
        <f>(IF(O4367&lt;4172.98,0,MIN(O4367*0.3,O4367-4172.98)))-P4367</f>
        <v>670.88599999999997</v>
      </c>
      <c r="S4367" s="74">
        <v>46388</v>
      </c>
      <c r="T4367" s="1" t="s">
        <v>8338</v>
      </c>
      <c r="U4367" s="97">
        <v>980</v>
      </c>
      <c r="V4367" s="1" t="s">
        <v>8233</v>
      </c>
      <c r="W4367" s="29">
        <v>46273</v>
      </c>
    </row>
    <row r="4368" spans="1:23">
      <c r="A4368">
        <v>2799</v>
      </c>
      <c r="B4368" s="2">
        <v>46273.6394560185</v>
      </c>
      <c r="C4368" s="2">
        <v>46273.652673611097</v>
      </c>
      <c r="D4368" s="1" t="s">
        <v>24</v>
      </c>
      <c r="E4368" s="1"/>
      <c r="F4368" s="29">
        <v>46273</v>
      </c>
      <c r="G4368" s="29">
        <v>46273</v>
      </c>
      <c r="H4368" s="1" t="s">
        <v>1625</v>
      </c>
      <c r="I4368" s="175" t="s">
        <v>9703</v>
      </c>
      <c r="J4368" s="175">
        <v>43776022709</v>
      </c>
      <c r="K4368" s="188" t="s">
        <v>9704</v>
      </c>
      <c r="L4368" s="62">
        <v>2</v>
      </c>
      <c r="M4368" s="30">
        <v>8118992267</v>
      </c>
      <c r="N4368" s="171" t="s">
        <v>37</v>
      </c>
      <c r="O4368" s="43">
        <v>36669.1</v>
      </c>
      <c r="P4368" s="43">
        <v>11000.52</v>
      </c>
      <c r="Q4368" s="230">
        <f>OfficeForms.Table[[#This Row],[ INFORMEDEPAGO ]]*0.3</f>
        <v>11000.73</v>
      </c>
      <c r="R4368" s="231">
        <f>(IF(O4368&lt;4172.98,0,MIN(O4368*0.3,O4368-4172.98)))-P4368</f>
        <v>0.20999999999912689</v>
      </c>
      <c r="S4368" s="74">
        <v>46600</v>
      </c>
      <c r="T4368" s="1" t="s">
        <v>192</v>
      </c>
      <c r="U4368" s="97">
        <v>10609.25</v>
      </c>
      <c r="V4368" s="1"/>
    </row>
    <row r="4369" spans="1:23">
      <c r="A4369">
        <v>2800</v>
      </c>
      <c r="B4369" s="2">
        <v>46273.669259259303</v>
      </c>
      <c r="C4369" s="2">
        <v>46273.669930555603</v>
      </c>
      <c r="D4369" s="1" t="s">
        <v>24</v>
      </c>
      <c r="E4369" s="1"/>
      <c r="F4369" s="29">
        <v>46273</v>
      </c>
      <c r="G4369" s="29">
        <v>46273</v>
      </c>
      <c r="H4369" s="1" t="s">
        <v>8238</v>
      </c>
      <c r="I4369" s="175" t="s">
        <v>9705</v>
      </c>
      <c r="J4369" s="175"/>
      <c r="K4369" s="188" t="s">
        <v>9706</v>
      </c>
      <c r="L4369" s="62">
        <v>24324380</v>
      </c>
      <c r="M4369" s="30">
        <v>5562321757</v>
      </c>
      <c r="N4369" s="171" t="s">
        <v>106</v>
      </c>
      <c r="O4369" s="43">
        <v>9081.52</v>
      </c>
      <c r="P4369" s="43">
        <v>2510.52</v>
      </c>
      <c r="Q4369" s="230">
        <f>OfficeForms.Table[[#This Row],[ INFORMEDEPAGO ]]*0.3</f>
        <v>2724.4560000000001</v>
      </c>
      <c r="R4369" s="231">
        <f>(IF(O4369&lt;4172.98,0,MIN(O4369*0.3,O4369-4172.98)))-P4369</f>
        <v>213.93600000000015</v>
      </c>
      <c r="S4369" s="74">
        <v>46174</v>
      </c>
      <c r="T4369" s="43" t="s">
        <v>8319</v>
      </c>
      <c r="U4369" s="43">
        <v>2510.52</v>
      </c>
      <c r="V4369" s="1" t="s">
        <v>8316</v>
      </c>
      <c r="W4369" s="29">
        <v>46273</v>
      </c>
    </row>
    <row r="4370" spans="1:23">
      <c r="A4370">
        <v>2801</v>
      </c>
      <c r="B4370" s="2">
        <v>46273.681608796302</v>
      </c>
      <c r="C4370" s="2">
        <v>46273.690266203703</v>
      </c>
      <c r="D4370" s="1" t="s">
        <v>24</v>
      </c>
      <c r="E4370" s="1"/>
      <c r="F4370" s="29">
        <v>46273</v>
      </c>
      <c r="G4370" s="29">
        <v>46272</v>
      </c>
      <c r="H4370" s="1" t="s">
        <v>78</v>
      </c>
      <c r="I4370" s="175" t="s">
        <v>9707</v>
      </c>
      <c r="J4370" s="175">
        <v>78856306671</v>
      </c>
      <c r="K4370" s="188" t="s">
        <v>9708</v>
      </c>
      <c r="L4370" s="62">
        <v>24295858</v>
      </c>
      <c r="M4370" s="30">
        <v>5216566013537</v>
      </c>
      <c r="N4370" s="171" t="s">
        <v>37</v>
      </c>
      <c r="O4370" s="52">
        <v>7920.51</v>
      </c>
      <c r="P4370" s="52">
        <v>2291.6</v>
      </c>
      <c r="Q4370" s="230">
        <f>OfficeForms.Table[[#This Row],[ INFORMEDEPAGO ]]*0.3</f>
        <v>2376.1529999999998</v>
      </c>
      <c r="R4370" s="231">
        <f>(IF(O4370&lt;4172.98,0,MIN(O4370*0.3,O4370-4172.98)))-P4370</f>
        <v>84.552999999999884</v>
      </c>
      <c r="S4370" s="74">
        <v>46784</v>
      </c>
      <c r="T4370" s="239" t="s">
        <v>9709</v>
      </c>
      <c r="U4370" s="97">
        <v>878.41</v>
      </c>
      <c r="V4370" s="1"/>
    </row>
    <row r="4371" spans="1:23">
      <c r="A4371">
        <v>2802</v>
      </c>
      <c r="B4371" s="2">
        <v>46273.694699074098</v>
      </c>
      <c r="C4371" s="2">
        <v>46273.695462962998</v>
      </c>
      <c r="D4371" s="1" t="s">
        <v>24</v>
      </c>
      <c r="E4371" s="1"/>
      <c r="F4371" s="29">
        <v>46273</v>
      </c>
      <c r="G4371" s="29">
        <v>46270</v>
      </c>
      <c r="H4371" s="1" t="s">
        <v>8238</v>
      </c>
      <c r="I4371" s="175" t="s">
        <v>9710</v>
      </c>
      <c r="J4371" s="175"/>
      <c r="K4371" s="188" t="s">
        <v>9711</v>
      </c>
      <c r="L4371" s="62">
        <v>24274508</v>
      </c>
      <c r="M4371" s="30">
        <v>3322590028</v>
      </c>
      <c r="N4371" s="171" t="s">
        <v>37</v>
      </c>
      <c r="O4371" s="52">
        <v>4962.2</v>
      </c>
      <c r="P4371" s="52">
        <v>730</v>
      </c>
      <c r="Q4371" s="230">
        <f>OfficeForms.Table[[#This Row],[ INFORMEDEPAGO ]]*0.3</f>
        <v>1488.6599999999999</v>
      </c>
      <c r="R4371" s="231">
        <f>(IF(O4371&lt;4172.98,0,MIN(O4371*0.3,O4371-4172.98)))-P4371</f>
        <v>59.220000000000255</v>
      </c>
      <c r="S4371" s="74">
        <v>46388</v>
      </c>
      <c r="T4371" s="239" t="s">
        <v>8319</v>
      </c>
      <c r="U4371" s="52">
        <v>730</v>
      </c>
      <c r="V4371" s="1"/>
    </row>
    <row r="4372" spans="1:23">
      <c r="A4372">
        <v>2803</v>
      </c>
      <c r="B4372" s="2">
        <v>46273.652696759302</v>
      </c>
      <c r="C4372" s="2">
        <v>46273.695752314801</v>
      </c>
      <c r="D4372" s="1" t="s">
        <v>24</v>
      </c>
      <c r="E4372" s="1"/>
      <c r="F4372" s="29">
        <v>46273</v>
      </c>
      <c r="G4372" s="29">
        <v>46273</v>
      </c>
      <c r="H4372" s="1" t="s">
        <v>1625</v>
      </c>
      <c r="I4372" s="175" t="s">
        <v>9712</v>
      </c>
      <c r="J4372" s="175" t="s">
        <v>9713</v>
      </c>
      <c r="K4372" s="188" t="s">
        <v>9714</v>
      </c>
      <c r="L4372" s="62">
        <v>2</v>
      </c>
      <c r="M4372" s="30">
        <v>3313424383</v>
      </c>
      <c r="N4372" s="171" t="s">
        <v>37</v>
      </c>
      <c r="O4372" s="52">
        <v>9760.32</v>
      </c>
      <c r="P4372" s="52">
        <v>2928.1</v>
      </c>
      <c r="Q4372" s="230">
        <f>OfficeForms.Table[[#This Row],[ INFORMEDEPAGO ]]*0.3</f>
        <v>2928.096</v>
      </c>
      <c r="R4372" s="231">
        <f>(IF(O4372&lt;4172.98,0,MIN(O4372*0.3,O4372-4172.98)))-P4372</f>
        <v>-3.9999999999054126E-3</v>
      </c>
      <c r="S4372" s="74">
        <v>46813</v>
      </c>
      <c r="T4372" s="239" t="s">
        <v>178</v>
      </c>
      <c r="U4372" s="52">
        <v>2928.1</v>
      </c>
      <c r="V4372" s="1"/>
    </row>
    <row r="4373" spans="1:23">
      <c r="A4373">
        <v>2804</v>
      </c>
      <c r="B4373" s="2">
        <v>46273.613645833299</v>
      </c>
      <c r="C4373" s="2">
        <v>46273.702476851897</v>
      </c>
      <c r="D4373" s="1" t="s">
        <v>24</v>
      </c>
      <c r="E4373" s="1"/>
      <c r="F4373" s="29">
        <v>46273</v>
      </c>
      <c r="G4373" s="29">
        <v>46273</v>
      </c>
      <c r="H4373" s="1" t="s">
        <v>8721</v>
      </c>
      <c r="I4373" s="175" t="s">
        <v>9715</v>
      </c>
      <c r="J4373" s="175" t="s">
        <v>9716</v>
      </c>
      <c r="K4373" s="188" t="s">
        <v>9717</v>
      </c>
      <c r="L4373" s="62">
        <v>24324246</v>
      </c>
      <c r="M4373" s="30">
        <v>5216634055440</v>
      </c>
      <c r="N4373" s="171" t="s">
        <v>37</v>
      </c>
      <c r="O4373" s="52">
        <v>9081.52</v>
      </c>
      <c r="P4373" s="52">
        <v>2724</v>
      </c>
      <c r="Q4373" s="230">
        <f>OfficeForms.Table[[#This Row],[ INFORMEDEPAGO ]]*0.3</f>
        <v>2724.4560000000001</v>
      </c>
      <c r="R4373" s="231">
        <f>(IF(O4373&lt;4172.98,0,MIN(O4373*0.3,O4373-4172.98)))-P4373</f>
        <v>0.45600000000013097</v>
      </c>
      <c r="S4373" s="74">
        <v>46905</v>
      </c>
      <c r="T4373" s="239" t="s">
        <v>6855</v>
      </c>
      <c r="U4373" s="52">
        <v>2724</v>
      </c>
      <c r="V4373" s="1"/>
    </row>
    <row r="4374" spans="1:23">
      <c r="A4374">
        <v>2805</v>
      </c>
      <c r="B4374" s="2">
        <v>46273.711168981499</v>
      </c>
      <c r="C4374" s="2">
        <v>46273.712743055599</v>
      </c>
      <c r="D4374" s="1" t="s">
        <v>24</v>
      </c>
      <c r="E4374" s="1"/>
      <c r="F4374" s="29">
        <v>46273</v>
      </c>
      <c r="G4374" s="29">
        <v>46271</v>
      </c>
      <c r="H4374" s="1" t="s">
        <v>8238</v>
      </c>
      <c r="I4374" s="175" t="s">
        <v>9718</v>
      </c>
      <c r="J4374" s="175"/>
      <c r="K4374" s="188" t="s">
        <v>9719</v>
      </c>
      <c r="L4374" s="62">
        <v>24280874</v>
      </c>
      <c r="M4374" s="30">
        <v>5515977066</v>
      </c>
      <c r="N4374" s="171" t="s">
        <v>37</v>
      </c>
      <c r="O4374" s="43">
        <v>9760.32</v>
      </c>
      <c r="P4374" s="43">
        <v>2927.91</v>
      </c>
      <c r="Q4374" s="230">
        <f>OfficeForms.Table[[#This Row],[ INFORMEDEPAGO ]]*0.3</f>
        <v>2928.096</v>
      </c>
      <c r="R4374" s="231">
        <f>(IF(O4374&lt;4172.98,0,MIN(O4374*0.3,O4374-4172.98)))-P4374</f>
        <v>0.18600000000014916</v>
      </c>
      <c r="S4374" s="74">
        <v>46600</v>
      </c>
      <c r="T4374" s="239" t="s">
        <v>8319</v>
      </c>
      <c r="U4374" s="97">
        <v>1505.13</v>
      </c>
      <c r="V4374" s="1"/>
    </row>
    <row r="4375" spans="1:23">
      <c r="A4375">
        <v>2806</v>
      </c>
      <c r="B4375" s="2">
        <v>46273.715277777803</v>
      </c>
      <c r="C4375" s="2">
        <v>46273.715937499997</v>
      </c>
      <c r="D4375" s="1" t="s">
        <v>24</v>
      </c>
      <c r="E4375" s="1"/>
      <c r="F4375" s="29">
        <v>46273</v>
      </c>
      <c r="G4375" s="29">
        <v>46273</v>
      </c>
      <c r="H4375" s="1" t="s">
        <v>8253</v>
      </c>
      <c r="I4375" s="175" t="s">
        <v>9720</v>
      </c>
      <c r="J4375" s="175">
        <v>1665032387</v>
      </c>
      <c r="K4375" s="188" t="s">
        <v>9721</v>
      </c>
      <c r="L4375" s="62">
        <v>24326482</v>
      </c>
      <c r="M4375" s="30">
        <v>7773635757</v>
      </c>
      <c r="N4375" s="171" t="s">
        <v>28</v>
      </c>
      <c r="O4375" s="43">
        <v>13022.67</v>
      </c>
      <c r="P4375" s="43">
        <v>848</v>
      </c>
      <c r="Q4375" s="230">
        <f>OfficeForms.Table[[#This Row],[ INFORMEDEPAGO ]]*0.3</f>
        <v>3906.8009999999999</v>
      </c>
      <c r="R4375" s="231">
        <f>(IF(O4375&lt;4172.98,0,MIN(O4375*0.3,O4375-4172.98)))-P4375</f>
        <v>3058.8009999999999</v>
      </c>
      <c r="T4375" s="239"/>
      <c r="U4375" s="97"/>
      <c r="V4375" s="1" t="s">
        <v>8436</v>
      </c>
      <c r="W4375" s="29">
        <v>46273</v>
      </c>
    </row>
    <row r="4376" spans="1:23">
      <c r="A4376">
        <v>2807</v>
      </c>
      <c r="B4376" s="2">
        <v>46273.513043981497</v>
      </c>
      <c r="C4376" s="2">
        <v>46273.719953703701</v>
      </c>
      <c r="D4376" s="1" t="s">
        <v>24</v>
      </c>
      <c r="E4376" s="1"/>
      <c r="F4376" s="29">
        <v>46273</v>
      </c>
      <c r="G4376" s="29">
        <v>46268</v>
      </c>
      <c r="H4376" s="1" t="s">
        <v>51</v>
      </c>
      <c r="I4376" s="175"/>
      <c r="J4376" s="175">
        <v>43825204985</v>
      </c>
      <c r="K4376" s="188"/>
      <c r="L4376" s="62">
        <v>24230292</v>
      </c>
      <c r="M4376" s="30">
        <v>5218123390821</v>
      </c>
      <c r="N4376" s="171" t="s">
        <v>37</v>
      </c>
      <c r="O4376" s="43">
        <v>5617.63</v>
      </c>
      <c r="P4376" s="43">
        <v>1392.91</v>
      </c>
      <c r="Q4376" s="230">
        <f>OfficeForms.Table[[#This Row],[ INFORMEDEPAGO ]]*0.3</f>
        <v>1685.289</v>
      </c>
      <c r="R4376" s="231">
        <f>(IF(O4376&lt;4172.98,0,MIN(O4376*0.3,O4376-4172.98)))-P4376</f>
        <v>51.740000000000464</v>
      </c>
      <c r="S4376" s="74">
        <v>46539</v>
      </c>
      <c r="T4376" s="239" t="s">
        <v>192</v>
      </c>
      <c r="U4376" s="43">
        <v>1392.91</v>
      </c>
      <c r="V4376" s="1"/>
    </row>
    <row r="4377" spans="1:23">
      <c r="A4377">
        <v>2808</v>
      </c>
      <c r="B4377" s="2">
        <v>46273.729976851901</v>
      </c>
      <c r="C4377" s="2">
        <v>46273.730833333299</v>
      </c>
      <c r="D4377" s="1" t="s">
        <v>24</v>
      </c>
      <c r="E4377" s="1"/>
      <c r="F4377" s="29">
        <v>46273</v>
      </c>
      <c r="G4377" s="29">
        <v>46273</v>
      </c>
      <c r="H4377" s="1" t="s">
        <v>8238</v>
      </c>
      <c r="I4377" s="175" t="s">
        <v>9722</v>
      </c>
      <c r="J4377" s="175"/>
      <c r="K4377" s="188" t="s">
        <v>9723</v>
      </c>
      <c r="L4377" s="62">
        <v>24327170</v>
      </c>
      <c r="M4377" s="30">
        <v>6731183381</v>
      </c>
      <c r="N4377" s="171" t="s">
        <v>28</v>
      </c>
      <c r="O4377" s="43">
        <v>34118.07</v>
      </c>
      <c r="P4377" s="43">
        <v>8819.91</v>
      </c>
      <c r="Q4377" s="230">
        <f>OfficeForms.Table[[#This Row],[ INFORMEDEPAGO ]]*0.3</f>
        <v>10235.421</v>
      </c>
      <c r="R4377" s="231">
        <f>(IF(O4377&lt;4172.98,0,MIN(O4377*0.3,O4377-4172.98)))-P4377</f>
        <v>1415.5110000000004</v>
      </c>
      <c r="S4377" s="74">
        <v>46235</v>
      </c>
      <c r="T4377" s="239" t="s">
        <v>8338</v>
      </c>
      <c r="U4377" s="43">
        <v>8819.91</v>
      </c>
      <c r="V4377" s="1" t="s">
        <v>8436</v>
      </c>
      <c r="W4377" s="29">
        <v>46273</v>
      </c>
    </row>
    <row r="4378" spans="1:23">
      <c r="A4378">
        <v>2809</v>
      </c>
      <c r="B4378" s="2">
        <v>46273.7199652778</v>
      </c>
      <c r="C4378" s="2">
        <v>46273.737048611103</v>
      </c>
      <c r="D4378" s="1" t="s">
        <v>24</v>
      </c>
      <c r="E4378" s="1"/>
      <c r="F4378" s="29">
        <v>46273</v>
      </c>
      <c r="G4378" s="29">
        <v>46273</v>
      </c>
      <c r="H4378" s="1" t="s">
        <v>51</v>
      </c>
      <c r="I4378" s="175" t="s">
        <v>9724</v>
      </c>
      <c r="J4378" s="175">
        <v>24796045144</v>
      </c>
      <c r="K4378" s="188" t="s">
        <v>9725</v>
      </c>
      <c r="L4378" s="62">
        <v>24326964</v>
      </c>
      <c r="M4378" s="30">
        <v>5216621893174</v>
      </c>
      <c r="N4378" s="171" t="s">
        <v>37</v>
      </c>
      <c r="O4378" s="43">
        <v>9081.52</v>
      </c>
      <c r="P4378" s="43">
        <v>2709.3</v>
      </c>
      <c r="Q4378" s="230">
        <f>OfficeForms.Table[[#This Row],[ INFORMEDEPAGO ]]*0.3</f>
        <v>2724.4560000000001</v>
      </c>
      <c r="R4378" s="231">
        <f>(IF(O4378&lt;4172.98,0,MIN(O4378*0.3,O4378-4172.98)))-P4378</f>
        <v>15.155999999999949</v>
      </c>
      <c r="S4378" s="74">
        <v>46966</v>
      </c>
      <c r="T4378" s="239" t="s">
        <v>7209</v>
      </c>
      <c r="U4378" s="97">
        <v>1830.3</v>
      </c>
      <c r="V4378" s="1"/>
    </row>
    <row r="4379" spans="1:23">
      <c r="A4379">
        <v>2810</v>
      </c>
      <c r="B4379" s="2">
        <v>46273.7370717593</v>
      </c>
      <c r="C4379" s="2">
        <v>46273.745289351798</v>
      </c>
      <c r="D4379" s="1" t="s">
        <v>24</v>
      </c>
      <c r="E4379" s="1"/>
      <c r="F4379" s="29">
        <v>46273</v>
      </c>
      <c r="G4379" s="29">
        <v>46268</v>
      </c>
      <c r="H4379" s="1" t="s">
        <v>51</v>
      </c>
      <c r="I4379" s="175" t="s">
        <v>9726</v>
      </c>
      <c r="J4379" s="175"/>
      <c r="K4379" s="188" t="s">
        <v>9727</v>
      </c>
      <c r="L4379" s="62">
        <v>24228424</v>
      </c>
      <c r="M4379" s="30">
        <v>5216644739218</v>
      </c>
      <c r="N4379" s="171" t="s">
        <v>37</v>
      </c>
      <c r="O4379" s="43">
        <v>11029.03</v>
      </c>
      <c r="P4379" s="43">
        <v>3300.1</v>
      </c>
      <c r="Q4379" s="230">
        <f>OfficeForms.Table[[#This Row],[ INFORMEDEPAGO ]]*0.3</f>
        <v>3308.7090000000003</v>
      </c>
      <c r="R4379" s="231">
        <f>(IF(O4379&lt;4172.98,0,MIN(O4379*0.3,O4379-4172.98)))-P4379</f>
        <v>8.6090000000003783</v>
      </c>
      <c r="S4379" s="74">
        <v>46844</v>
      </c>
      <c r="T4379" s="239" t="s">
        <v>7209</v>
      </c>
      <c r="U4379" s="43">
        <v>3300.1</v>
      </c>
      <c r="V4379" s="1"/>
    </row>
    <row r="4380" spans="1:23">
      <c r="A4380">
        <v>2811</v>
      </c>
      <c r="B4380" s="2">
        <v>46273.746851851902</v>
      </c>
      <c r="C4380" s="2">
        <v>46273.747627314799</v>
      </c>
      <c r="D4380" s="1" t="s">
        <v>24</v>
      </c>
      <c r="E4380" s="1"/>
      <c r="F4380" s="29">
        <v>46273</v>
      </c>
      <c r="G4380" s="29">
        <v>46273</v>
      </c>
      <c r="H4380" s="1" t="s">
        <v>269</v>
      </c>
      <c r="I4380" s="175" t="s">
        <v>9728</v>
      </c>
      <c r="J4380" s="175" t="s">
        <v>9729</v>
      </c>
      <c r="K4380" s="188" t="s">
        <v>9730</v>
      </c>
      <c r="L4380" s="62">
        <v>24314556</v>
      </c>
      <c r="M4380" s="30">
        <v>5212227875193</v>
      </c>
      <c r="N4380" s="171" t="s">
        <v>106</v>
      </c>
      <c r="O4380" s="43">
        <v>5617.63</v>
      </c>
      <c r="P4380" s="43">
        <v>1336</v>
      </c>
      <c r="Q4380" s="230">
        <f>OfficeForms.Table[[#This Row],[ INFORMEDEPAGO ]]*0.3</f>
        <v>1685.289</v>
      </c>
      <c r="R4380" s="231">
        <f>(IF(O4380&lt;4172.98,0,MIN(O4380*0.3,O4380-4172.98)))-P4380</f>
        <v>108.65000000000055</v>
      </c>
      <c r="S4380" s="74">
        <v>46235</v>
      </c>
      <c r="T4380" s="43" t="s">
        <v>8338</v>
      </c>
      <c r="U4380" s="43">
        <v>1336</v>
      </c>
      <c r="V4380" s="1" t="s">
        <v>8535</v>
      </c>
      <c r="W4380" s="29">
        <v>46273</v>
      </c>
    </row>
    <row r="4381" spans="1:23">
      <c r="A4381">
        <v>2812</v>
      </c>
      <c r="B4381" s="2">
        <v>46273.742974537003</v>
      </c>
      <c r="C4381" s="2">
        <v>46273.748541666697</v>
      </c>
      <c r="D4381" s="1" t="s">
        <v>24</v>
      </c>
      <c r="E4381" s="1"/>
      <c r="F4381" s="29">
        <v>46273</v>
      </c>
      <c r="G4381" s="29">
        <v>46273</v>
      </c>
      <c r="H4381" s="1" t="s">
        <v>78</v>
      </c>
      <c r="I4381" s="175" t="s">
        <v>9731</v>
      </c>
      <c r="J4381" s="207"/>
      <c r="K4381" s="188" t="s">
        <v>9732</v>
      </c>
      <c r="L4381" s="62">
        <v>24325512</v>
      </c>
      <c r="M4381" s="30">
        <v>5218121553212</v>
      </c>
      <c r="N4381" s="171" t="s">
        <v>28</v>
      </c>
      <c r="O4381" s="43">
        <v>10636.54</v>
      </c>
      <c r="P4381" s="43">
        <v>0</v>
      </c>
      <c r="Q4381" s="230">
        <f>OfficeForms.Table[[#This Row],[ INFORMEDEPAGO ]]*0.3</f>
        <v>3190.962</v>
      </c>
      <c r="R4381" s="231">
        <f>(IF(O4381&lt;4172.98,0,MIN(O4381*0.3,O4381-4172.98)))-P4381</f>
        <v>3190.962</v>
      </c>
      <c r="T4381" s="239"/>
      <c r="U4381" s="97"/>
      <c r="V4381" s="1" t="s">
        <v>8264</v>
      </c>
      <c r="W4381" s="29">
        <v>46273</v>
      </c>
    </row>
    <row r="4382" spans="1:23">
      <c r="A4382">
        <v>2813</v>
      </c>
      <c r="B4382" s="2">
        <v>46273.7025810185</v>
      </c>
      <c r="C4382" s="2">
        <v>46273.794513888897</v>
      </c>
      <c r="D4382" s="1" t="s">
        <v>24</v>
      </c>
      <c r="E4382" s="1"/>
      <c r="F4382" s="29">
        <v>46273</v>
      </c>
      <c r="G4382" s="29">
        <v>46273</v>
      </c>
      <c r="H4382" s="1" t="s">
        <v>8721</v>
      </c>
      <c r="I4382" s="175" t="s">
        <v>9733</v>
      </c>
      <c r="J4382" s="207"/>
      <c r="K4382" s="188" t="s">
        <v>9734</v>
      </c>
      <c r="L4382" s="62">
        <v>24328262</v>
      </c>
      <c r="M4382" s="30">
        <v>5219992334759</v>
      </c>
      <c r="N4382" s="171" t="s">
        <v>28</v>
      </c>
      <c r="O4382" s="50">
        <v>40466.639999999999</v>
      </c>
      <c r="P4382" s="97"/>
      <c r="Q4382" s="230">
        <f>OfficeForms.Table[[#This Row],[ INFORMEDEPAGO ]]*0.3</f>
        <v>12139.992</v>
      </c>
      <c r="R4382" s="231">
        <f>(IF(O4382&lt;4172.98,0,MIN(O4382*0.3,O4382-4172.98)))-P4382</f>
        <v>12139.992</v>
      </c>
      <c r="T4382" s="239"/>
      <c r="U4382" s="97"/>
      <c r="V4382" s="1" t="s">
        <v>8256</v>
      </c>
      <c r="W4382" s="29">
        <v>46274</v>
      </c>
    </row>
    <row r="4383" spans="1:23">
      <c r="A4383">
        <v>2814</v>
      </c>
      <c r="B4383" s="2">
        <v>46274.361562500002</v>
      </c>
      <c r="C4383" s="2">
        <v>46274.362534722197</v>
      </c>
      <c r="D4383" s="1" t="s">
        <v>24</v>
      </c>
      <c r="E4383" s="1"/>
      <c r="F4383" s="29">
        <v>46274</v>
      </c>
      <c r="G4383" s="29">
        <v>46273</v>
      </c>
      <c r="H4383" s="1" t="s">
        <v>8253</v>
      </c>
      <c r="I4383" s="175" t="s">
        <v>9735</v>
      </c>
      <c r="J4383" s="207">
        <v>65927474653</v>
      </c>
      <c r="K4383" s="188" t="s">
        <v>9736</v>
      </c>
      <c r="L4383" s="62">
        <v>24329110</v>
      </c>
      <c r="M4383" s="30">
        <v>7821475644</v>
      </c>
      <c r="N4383" s="171" t="s">
        <v>32</v>
      </c>
      <c r="O4383" s="52"/>
      <c r="P4383" s="52"/>
      <c r="Q4383" s="230">
        <f>OfficeForms.Table[[#This Row],[ INFORMEDEPAGO ]]*0.3</f>
        <v>0</v>
      </c>
      <c r="R4383" s="231">
        <f t="shared" ref="R4383" si="330">(IF(O4383&lt;4172.98,0,MIN(O4383*0.3,O4383-4172.98)))-P4383</f>
        <v>0</v>
      </c>
      <c r="T4383" s="239"/>
      <c r="U4383" s="97"/>
      <c r="V4383" s="1"/>
    </row>
    <row r="4384" spans="1:23">
      <c r="A4384">
        <v>2815</v>
      </c>
      <c r="B4384" s="2">
        <v>46274.3199074074</v>
      </c>
      <c r="C4384" s="2">
        <v>46274.365902777798</v>
      </c>
      <c r="D4384" s="1" t="s">
        <v>24</v>
      </c>
      <c r="E4384" s="1"/>
      <c r="F4384" s="29">
        <v>46274</v>
      </c>
      <c r="G4384" s="29">
        <v>46274</v>
      </c>
      <c r="H4384" s="1" t="s">
        <v>1625</v>
      </c>
      <c r="I4384" s="175" t="s">
        <v>9737</v>
      </c>
      <c r="J4384" s="207" t="s">
        <v>9738</v>
      </c>
      <c r="K4384" s="188" t="s">
        <v>9739</v>
      </c>
      <c r="L4384" s="62">
        <v>2</v>
      </c>
      <c r="M4384" s="30" t="s">
        <v>9740</v>
      </c>
      <c r="N4384" s="171" t="s">
        <v>37</v>
      </c>
      <c r="O4384" s="52">
        <v>7560.68</v>
      </c>
      <c r="P4384" s="52">
        <v>2268.1999999999998</v>
      </c>
      <c r="Q4384" s="230">
        <f>OfficeForms.Table[[#This Row],[ INFORMEDEPAGO ]]*0.3</f>
        <v>2268.2040000000002</v>
      </c>
      <c r="R4384" s="231">
        <f t="shared" ref="R4384" si="331">(IF(O4384&lt;4172.98,0,MIN(O4384*0.3,O4384-4172.98)))-P4384</f>
        <v>4.0000000003601599E-3</v>
      </c>
      <c r="S4384" s="74">
        <v>46935</v>
      </c>
      <c r="T4384" s="239" t="s">
        <v>7516</v>
      </c>
      <c r="U4384" s="97">
        <v>2268</v>
      </c>
      <c r="V4384" s="1"/>
    </row>
    <row r="4385" spans="1:23">
      <c r="A4385">
        <v>2816</v>
      </c>
      <c r="B4385" s="2">
        <v>46274.377604166701</v>
      </c>
      <c r="C4385" s="2">
        <v>46274.378275463001</v>
      </c>
      <c r="D4385" s="1" t="s">
        <v>24</v>
      </c>
      <c r="E4385" s="1"/>
      <c r="F4385" s="29">
        <v>46274</v>
      </c>
      <c r="G4385" s="29">
        <v>46273</v>
      </c>
      <c r="H4385" s="1" t="s">
        <v>8253</v>
      </c>
      <c r="I4385" s="175" t="s">
        <v>9741</v>
      </c>
      <c r="J4385" s="207"/>
      <c r="K4385" s="188" t="s">
        <v>9742</v>
      </c>
      <c r="L4385" s="62">
        <v>24332524</v>
      </c>
      <c r="M4385" s="30">
        <v>3321896844</v>
      </c>
      <c r="N4385" s="171" t="s">
        <v>28</v>
      </c>
      <c r="O4385" s="67">
        <v>12344</v>
      </c>
      <c r="P4385" s="99"/>
      <c r="Q4385" s="230">
        <f>OfficeForms.Table[[#This Row],[ INFORMEDEPAGO ]]*0.3</f>
        <v>3703.2</v>
      </c>
      <c r="R4385" s="231">
        <f t="shared" ref="R4385" si="332">(IF(O4385&lt;4172.98,0,MIN(O4385*0.3,O4385-4172.98)))-P4385</f>
        <v>3703.2</v>
      </c>
      <c r="T4385" s="239"/>
      <c r="U4385" s="97"/>
      <c r="V4385" s="1" t="s">
        <v>8915</v>
      </c>
      <c r="W4385" s="29">
        <v>46274</v>
      </c>
    </row>
    <row r="4386" spans="1:23">
      <c r="A4386">
        <v>2817</v>
      </c>
      <c r="B4386" s="2">
        <v>46274.394479166702</v>
      </c>
      <c r="C4386" s="2">
        <v>46274.3976736111</v>
      </c>
      <c r="D4386" s="1" t="s">
        <v>24</v>
      </c>
      <c r="E4386" s="1"/>
      <c r="F4386" s="29">
        <v>46274</v>
      </c>
      <c r="G4386" s="29">
        <v>46270</v>
      </c>
      <c r="H4386" s="1" t="s">
        <v>8253</v>
      </c>
      <c r="I4386" s="175" t="s">
        <v>9743</v>
      </c>
      <c r="J4386" s="207">
        <v>1665076426</v>
      </c>
      <c r="K4386" s="188" t="s">
        <v>9744</v>
      </c>
      <c r="L4386" s="62">
        <v>24272588</v>
      </c>
      <c r="M4386" s="30">
        <v>8112848627</v>
      </c>
      <c r="N4386" s="171" t="s">
        <v>37</v>
      </c>
      <c r="O4386" s="52">
        <v>6913.48</v>
      </c>
      <c r="P4386" s="52">
        <v>2072.12</v>
      </c>
      <c r="Q4386" s="230">
        <f>OfficeForms.Table[[#This Row],[ INFORMEDEPAGO ]]*0.3</f>
        <v>2074.0439999999999</v>
      </c>
      <c r="R4386" s="231">
        <f t="shared" ref="R4386" si="333">(IF(O4386&lt;4172.98,0,MIN(O4386*0.3,O4386-4172.98)))-P4386</f>
        <v>1.9239999999999782</v>
      </c>
      <c r="S4386" s="74">
        <v>46966</v>
      </c>
      <c r="T4386" s="239" t="s">
        <v>192</v>
      </c>
      <c r="U4386" s="43">
        <v>2072.12</v>
      </c>
      <c r="V4386" s="1"/>
    </row>
    <row r="4387" spans="1:23">
      <c r="A4387">
        <v>2818</v>
      </c>
      <c r="B4387" s="2">
        <v>46274.399409722202</v>
      </c>
      <c r="C4387" s="2">
        <v>46274.406504629602</v>
      </c>
      <c r="D4387" s="1" t="s">
        <v>24</v>
      </c>
      <c r="E4387" s="1"/>
      <c r="F4387" s="29">
        <v>46274</v>
      </c>
      <c r="G4387" s="29">
        <v>46266</v>
      </c>
      <c r="H4387" s="1" t="s">
        <v>51</v>
      </c>
      <c r="I4387" s="175" t="s">
        <v>9745</v>
      </c>
      <c r="J4387" s="207">
        <v>43796076248</v>
      </c>
      <c r="K4387" s="188"/>
      <c r="L4387" s="62">
        <v>24175472</v>
      </c>
      <c r="M4387" s="30">
        <v>5218123293987</v>
      </c>
      <c r="N4387" s="171" t="s">
        <v>37</v>
      </c>
      <c r="O4387" s="43">
        <v>20527.96</v>
      </c>
      <c r="P4387" s="43">
        <v>5938.54</v>
      </c>
      <c r="Q4387" s="230">
        <f>OfficeForms.Table[[#This Row],[ INFORMEDEPAGO ]]*0.3</f>
        <v>6158.3879999999999</v>
      </c>
      <c r="R4387" s="231">
        <f t="shared" ref="R4387:R4391" si="334">(IF(O4387&lt;4172.98,0,MIN(O4387*0.3,O4387-4172.98)))-P4387</f>
        <v>219.84799999999996</v>
      </c>
      <c r="S4387" s="74">
        <v>46419</v>
      </c>
      <c r="T4387" s="239" t="s">
        <v>7209</v>
      </c>
      <c r="U4387" s="97">
        <v>1160.71</v>
      </c>
      <c r="V4387" s="1"/>
    </row>
    <row r="4388" spans="1:23">
      <c r="A4388">
        <v>2819</v>
      </c>
      <c r="B4388" s="2">
        <v>46273.642280092601</v>
      </c>
      <c r="C4388" s="2">
        <v>46274.409479166701</v>
      </c>
      <c r="D4388" s="1" t="s">
        <v>24</v>
      </c>
      <c r="E4388" s="1"/>
      <c r="F4388" s="29">
        <v>46274</v>
      </c>
      <c r="G4388" s="29">
        <v>46273</v>
      </c>
      <c r="H4388" s="1" t="s">
        <v>8381</v>
      </c>
      <c r="I4388" s="175" t="s">
        <v>9746</v>
      </c>
      <c r="J4388" s="207">
        <v>43856579636</v>
      </c>
      <c r="K4388" s="188" t="s">
        <v>9747</v>
      </c>
      <c r="L4388" s="62">
        <v>24324502</v>
      </c>
      <c r="M4388" s="30">
        <v>5218123491198</v>
      </c>
      <c r="N4388" s="171" t="s">
        <v>28</v>
      </c>
      <c r="O4388" s="43">
        <v>33780.519999999997</v>
      </c>
      <c r="P4388" s="43">
        <v>4668.6899999999996</v>
      </c>
      <c r="Q4388" s="230">
        <f>OfficeForms.Table[[#This Row],[ INFORMEDEPAGO ]]*0.3</f>
        <v>10134.155999999999</v>
      </c>
      <c r="R4388" s="231">
        <f t="shared" si="334"/>
        <v>5465.4659999999994</v>
      </c>
      <c r="S4388" s="74">
        <v>46905</v>
      </c>
      <c r="T4388" s="239" t="s">
        <v>7516</v>
      </c>
      <c r="U4388" s="97">
        <v>3820.69</v>
      </c>
      <c r="V4388" s="1" t="s">
        <v>8350</v>
      </c>
      <c r="W4388" s="29">
        <v>46274</v>
      </c>
    </row>
    <row r="4389" spans="1:23">
      <c r="A4389">
        <v>2820</v>
      </c>
      <c r="B4389" s="2">
        <v>46274.369062500002</v>
      </c>
      <c r="C4389" s="2">
        <v>46274.418645833299</v>
      </c>
      <c r="D4389" s="1" t="s">
        <v>24</v>
      </c>
      <c r="E4389" s="1"/>
      <c r="F4389" s="29">
        <v>46274</v>
      </c>
      <c r="G4389" s="29">
        <v>46274</v>
      </c>
      <c r="H4389" s="1" t="s">
        <v>1625</v>
      </c>
      <c r="I4389" s="175" t="s">
        <v>9748</v>
      </c>
      <c r="J4389" s="207">
        <v>32846826140</v>
      </c>
      <c r="K4389" s="188" t="s">
        <v>9749</v>
      </c>
      <c r="L4389" s="62">
        <v>2</v>
      </c>
      <c r="M4389" s="30" t="s">
        <v>9750</v>
      </c>
      <c r="N4389" s="171" t="s">
        <v>37</v>
      </c>
      <c r="O4389" s="43">
        <v>7135.6</v>
      </c>
      <c r="P4389" s="43">
        <v>2140.6799999999998</v>
      </c>
      <c r="Q4389" s="230">
        <f>OfficeForms.Table[[#This Row],[ INFORMEDEPAGO ]]*0.3</f>
        <v>2140.6799999999998</v>
      </c>
      <c r="R4389" s="231">
        <f t="shared" si="334"/>
        <v>0</v>
      </c>
      <c r="S4389" s="74">
        <v>46600</v>
      </c>
      <c r="T4389" s="239" t="s">
        <v>178</v>
      </c>
      <c r="U4389" s="97">
        <v>2050.4899999999998</v>
      </c>
      <c r="V4389" s="1"/>
    </row>
    <row r="4390" spans="1:23">
      <c r="A4390">
        <v>2821</v>
      </c>
      <c r="B4390" s="2">
        <v>46274.409513888902</v>
      </c>
      <c r="C4390" s="2">
        <v>46274.4230439815</v>
      </c>
      <c r="D4390" s="1" t="s">
        <v>24</v>
      </c>
      <c r="E4390" s="1"/>
      <c r="F4390" s="29">
        <v>46274</v>
      </c>
      <c r="G4390" s="29">
        <v>46274</v>
      </c>
      <c r="H4390" s="1" t="s">
        <v>8381</v>
      </c>
      <c r="I4390" s="175" t="s">
        <v>9751</v>
      </c>
      <c r="J4390" s="207"/>
      <c r="K4390" s="188" t="s">
        <v>9752</v>
      </c>
      <c r="L4390" s="62">
        <v>24342784</v>
      </c>
      <c r="M4390" s="30">
        <v>5213171311958</v>
      </c>
      <c r="N4390" s="171" t="s">
        <v>98</v>
      </c>
      <c r="O4390" s="67"/>
      <c r="P4390" s="99"/>
      <c r="Q4390" s="230">
        <f>OfficeForms.Table[[#This Row],[ INFORMEDEPAGO ]]*0.3</f>
        <v>0</v>
      </c>
      <c r="R4390" s="231">
        <f t="shared" si="334"/>
        <v>0</v>
      </c>
      <c r="T4390" s="239"/>
      <c r="U4390" s="97"/>
      <c r="V4390" s="1"/>
    </row>
    <row r="4391" spans="1:23">
      <c r="A4391">
        <v>2822</v>
      </c>
      <c r="B4391" s="2">
        <v>46274.431319444397</v>
      </c>
      <c r="C4391" s="2">
        <v>46274.433194444398</v>
      </c>
      <c r="D4391" s="1" t="s">
        <v>24</v>
      </c>
      <c r="E4391" s="1"/>
      <c r="F4391" s="29">
        <v>46274</v>
      </c>
      <c r="G4391" s="29">
        <v>46274</v>
      </c>
      <c r="H4391" s="1" t="s">
        <v>269</v>
      </c>
      <c r="I4391" s="175" t="s">
        <v>9753</v>
      </c>
      <c r="J4391" s="207"/>
      <c r="K4391" s="188" t="s">
        <v>9754</v>
      </c>
      <c r="L4391" s="62">
        <v>24346560</v>
      </c>
      <c r="M4391" s="30">
        <v>5214421240922</v>
      </c>
      <c r="N4391" s="171" t="s">
        <v>28</v>
      </c>
      <c r="O4391" s="67">
        <v>10636.54</v>
      </c>
      <c r="P4391" s="99"/>
      <c r="Q4391" s="230">
        <f>OfficeForms.Table[[#This Row],[ INFORMEDEPAGO ]]*0.3</f>
        <v>3190.962</v>
      </c>
      <c r="R4391" s="231">
        <f t="shared" si="334"/>
        <v>3190.962</v>
      </c>
      <c r="T4391" s="239"/>
      <c r="U4391" s="97"/>
      <c r="V4391" s="1" t="s">
        <v>8915</v>
      </c>
      <c r="W4391" s="29">
        <v>46274</v>
      </c>
    </row>
    <row r="4392" spans="1:23">
      <c r="A4392">
        <v>2823</v>
      </c>
      <c r="B4392" s="2">
        <v>46274.338703703703</v>
      </c>
      <c r="C4392" s="2">
        <v>46274.444756944402</v>
      </c>
      <c r="D4392" s="1" t="s">
        <v>24</v>
      </c>
      <c r="E4392" s="1"/>
      <c r="F4392" s="29">
        <v>46274</v>
      </c>
      <c r="G4392" s="29">
        <v>46274</v>
      </c>
      <c r="H4392" s="1" t="s">
        <v>8721</v>
      </c>
      <c r="I4392" s="175" t="s">
        <v>9755</v>
      </c>
      <c r="J4392" s="207">
        <v>82098815978</v>
      </c>
      <c r="K4392" s="188" t="s">
        <v>9756</v>
      </c>
      <c r="L4392" s="62">
        <v>24342282</v>
      </c>
      <c r="M4392" s="30">
        <v>5219995121256</v>
      </c>
      <c r="N4392" s="171" t="s">
        <v>98</v>
      </c>
      <c r="O4392" s="50"/>
      <c r="P4392" s="97"/>
      <c r="Q4392" s="230">
        <f>OfficeForms.Table[[#This Row],[ INFORMEDEPAGO ]]*0.3</f>
        <v>0</v>
      </c>
      <c r="R4392" s="231">
        <f>(IF(O4392&lt;4172.98,0,MIN(O4392*0.3,O4392-4172.98)))-P4392</f>
        <v>0</v>
      </c>
      <c r="T4392" s="239"/>
      <c r="U4392" s="97"/>
      <c r="V4392" s="1"/>
    </row>
    <row r="4393" spans="1:23">
      <c r="A4393">
        <v>2824</v>
      </c>
      <c r="B4393" s="2">
        <v>46274.418680555602</v>
      </c>
      <c r="C4393" s="2">
        <v>46274.448391203703</v>
      </c>
      <c r="D4393" s="1" t="s">
        <v>24</v>
      </c>
      <c r="E4393" s="1"/>
      <c r="F4393" s="29">
        <v>46274</v>
      </c>
      <c r="G4393" s="29">
        <v>46274</v>
      </c>
      <c r="H4393" s="1" t="s">
        <v>1625</v>
      </c>
      <c r="I4393" s="175" t="s">
        <v>9757</v>
      </c>
      <c r="J4393" s="207">
        <v>40816205401</v>
      </c>
      <c r="K4393" s="188" t="s">
        <v>5998</v>
      </c>
      <c r="L4393" s="62">
        <v>2</v>
      </c>
      <c r="M4393" s="30">
        <v>5564635457</v>
      </c>
      <c r="N4393" s="171" t="s">
        <v>37</v>
      </c>
      <c r="O4393" s="43">
        <v>9760.32</v>
      </c>
      <c r="P4393" s="43">
        <v>2911.13</v>
      </c>
      <c r="Q4393" s="230">
        <f>OfficeForms.Table[[#This Row],[ INFORMEDEPAGO ]]*0.3</f>
        <v>2928.096</v>
      </c>
      <c r="R4393" s="231">
        <f>(IF(O4393&lt;4172.98,0,MIN(O4393*0.3,O4393-4172.98)))-P4393</f>
        <v>16.965999999999894</v>
      </c>
      <c r="S4393" s="74">
        <v>46753</v>
      </c>
      <c r="T4393" s="239" t="s">
        <v>7516</v>
      </c>
      <c r="U4393" s="97">
        <v>1077</v>
      </c>
      <c r="V4393" s="1"/>
    </row>
    <row r="4394" spans="1:23">
      <c r="A4394">
        <v>2825</v>
      </c>
      <c r="B4394" s="2">
        <v>46274.423067129603</v>
      </c>
      <c r="C4394" s="2">
        <v>46274.454236111102</v>
      </c>
      <c r="D4394" s="1" t="s">
        <v>24</v>
      </c>
      <c r="E4394" s="1"/>
      <c r="F4394" s="29">
        <v>46274</v>
      </c>
      <c r="G4394" s="29">
        <v>46274</v>
      </c>
      <c r="H4394" s="1" t="s">
        <v>8381</v>
      </c>
      <c r="I4394" s="175" t="s">
        <v>9758</v>
      </c>
      <c r="J4394" s="207"/>
      <c r="K4394" s="188" t="s">
        <v>9759</v>
      </c>
      <c r="L4394" s="62">
        <v>24341216</v>
      </c>
      <c r="M4394" s="30">
        <v>5215636915522</v>
      </c>
      <c r="N4394" s="171" t="s">
        <v>28</v>
      </c>
      <c r="O4394" s="50">
        <v>25169.454000000002</v>
      </c>
      <c r="P4394" s="97"/>
      <c r="Q4394" s="230">
        <f>OfficeForms.Table[[#This Row],[ INFORMEDEPAGO ]]*0.3</f>
        <v>7550.8361999999997</v>
      </c>
      <c r="R4394" s="231">
        <f>(IF(O4394&lt;4172.98,0,MIN(O4394*0.3,O4394-4172.98)))-P4394</f>
        <v>7550.8361999999997</v>
      </c>
      <c r="T4394" s="239"/>
      <c r="U4394" s="97"/>
      <c r="V4394" s="1" t="s">
        <v>8350</v>
      </c>
      <c r="W4394" s="29">
        <v>46274</v>
      </c>
    </row>
    <row r="4395" spans="1:23">
      <c r="A4395">
        <v>2826</v>
      </c>
      <c r="B4395" s="2">
        <v>46274.406527777799</v>
      </c>
      <c r="C4395" s="2">
        <v>46274.454479166699</v>
      </c>
      <c r="D4395" s="1" t="s">
        <v>24</v>
      </c>
      <c r="E4395" s="1"/>
      <c r="F4395" s="29">
        <v>46274</v>
      </c>
      <c r="G4395" s="29">
        <v>46274</v>
      </c>
      <c r="H4395" s="1" t="s">
        <v>51</v>
      </c>
      <c r="I4395" s="175" t="s">
        <v>9760</v>
      </c>
      <c r="J4395" s="207">
        <v>25907387564</v>
      </c>
      <c r="K4395" s="188" t="s">
        <v>9761</v>
      </c>
      <c r="L4395" s="62">
        <v>24347146</v>
      </c>
      <c r="M4395" s="30">
        <v>5214961072185</v>
      </c>
      <c r="N4395" s="171" t="s">
        <v>32</v>
      </c>
      <c r="O4395" s="50">
        <v>2933.95</v>
      </c>
      <c r="P4395" s="97"/>
      <c r="Q4395" s="230">
        <f>OfficeForms.Table[[#This Row],[ INFORMEDEPAGO ]]*0.3</f>
        <v>880.18499999999995</v>
      </c>
      <c r="R4395" s="231">
        <f>(IF(O4395&lt;4172.98,0,MIN(O4395*0.3,O4395-4172.98)))-P4395</f>
        <v>0</v>
      </c>
      <c r="T4395" s="239"/>
      <c r="U4395" s="97"/>
      <c r="V4395" s="1"/>
    </row>
    <row r="4396" spans="1:23">
      <c r="A4396">
        <v>2827</v>
      </c>
      <c r="B4396" s="2">
        <v>46274.441296296303</v>
      </c>
      <c r="C4396" s="2">
        <v>46274.455474536997</v>
      </c>
      <c r="D4396" s="1" t="s">
        <v>24</v>
      </c>
      <c r="E4396" s="1"/>
      <c r="F4396" s="29">
        <v>46274</v>
      </c>
      <c r="G4396" s="29">
        <v>46274</v>
      </c>
      <c r="H4396" s="1" t="s">
        <v>78</v>
      </c>
      <c r="I4396" s="175" t="s">
        <v>9762</v>
      </c>
      <c r="J4396" s="207"/>
      <c r="K4396" s="188" t="s">
        <v>9763</v>
      </c>
      <c r="L4396" s="62">
        <v>24342088</v>
      </c>
      <c r="M4396" s="30">
        <v>5212214044150</v>
      </c>
      <c r="N4396" s="171" t="s">
        <v>28</v>
      </c>
      <c r="O4396" s="50">
        <v>10636.54</v>
      </c>
      <c r="P4396" s="97"/>
      <c r="Q4396" s="230">
        <f>OfficeForms.Table[[#This Row],[ INFORMEDEPAGO ]]*0.3</f>
        <v>3190.962</v>
      </c>
      <c r="R4396" s="231">
        <f>(IF(O4396&lt;4172.98,0,MIN(O4396*0.3,O4396-4172.98)))-P4396</f>
        <v>3190.962</v>
      </c>
      <c r="T4396" s="239"/>
      <c r="U4396" s="97"/>
      <c r="V4396" s="1" t="s">
        <v>8316</v>
      </c>
      <c r="W4396" s="29">
        <v>46274</v>
      </c>
    </row>
    <row r="4397" spans="1:23">
      <c r="A4397">
        <v>2828</v>
      </c>
      <c r="B4397" s="2">
        <v>46274.441331018497</v>
      </c>
      <c r="C4397" s="2">
        <v>46274.455810185202</v>
      </c>
      <c r="D4397" s="1" t="s">
        <v>24</v>
      </c>
      <c r="E4397" s="1"/>
      <c r="F4397" s="29">
        <v>46274</v>
      </c>
      <c r="G4397" s="29">
        <v>46274</v>
      </c>
      <c r="H4397" s="1" t="s">
        <v>78</v>
      </c>
      <c r="I4397" s="175" t="s">
        <v>9764</v>
      </c>
      <c r="J4397" s="207">
        <v>54846518196</v>
      </c>
      <c r="K4397" s="188" t="s">
        <v>9765</v>
      </c>
      <c r="L4397" s="62">
        <v>24346820</v>
      </c>
      <c r="M4397" s="30">
        <v>5216642032811</v>
      </c>
      <c r="N4397" s="171" t="s">
        <v>28</v>
      </c>
      <c r="O4397" s="50">
        <v>9760.32</v>
      </c>
      <c r="P4397" s="97"/>
      <c r="Q4397" s="230">
        <f>OfficeForms.Table[[#This Row],[ INFORMEDEPAGO ]]*0.3</f>
        <v>2928.096</v>
      </c>
      <c r="R4397" s="231">
        <f>(IF(O4397&lt;4172.98,0,MIN(O4397*0.3,O4397-4172.98)))-P4397</f>
        <v>2928.096</v>
      </c>
      <c r="T4397" s="239"/>
      <c r="U4397" s="97"/>
      <c r="V4397" s="1" t="s">
        <v>8256</v>
      </c>
      <c r="W4397" s="29">
        <v>46274</v>
      </c>
    </row>
    <row r="4398" spans="1:23">
      <c r="A4398">
        <v>2829</v>
      </c>
      <c r="B4398" s="2">
        <v>46274.444791666698</v>
      </c>
      <c r="C4398" s="2">
        <v>46274.457071759301</v>
      </c>
      <c r="D4398" s="1" t="s">
        <v>24</v>
      </c>
      <c r="E4398" s="1"/>
      <c r="F4398" s="29">
        <v>46274</v>
      </c>
      <c r="G4398" s="29">
        <v>46274</v>
      </c>
      <c r="H4398" s="1" t="s">
        <v>8721</v>
      </c>
      <c r="I4398" s="175" t="s">
        <v>9766</v>
      </c>
      <c r="J4398" s="207" t="s">
        <v>9767</v>
      </c>
      <c r="K4398" s="188" t="s">
        <v>9768</v>
      </c>
      <c r="L4398" s="62">
        <v>24334756</v>
      </c>
      <c r="M4398" s="30">
        <v>5216463830788</v>
      </c>
      <c r="N4398" s="171" t="s">
        <v>106</v>
      </c>
      <c r="O4398" s="50">
        <v>17722.169999999998</v>
      </c>
      <c r="P4398" s="97">
        <v>4359</v>
      </c>
      <c r="Q4398" s="230">
        <f>OfficeForms.Table[[#This Row],[ INFORMEDEPAGO ]]*0.3</f>
        <v>5316.6509999999989</v>
      </c>
      <c r="R4398" s="231">
        <f>(IF(O4398&lt;4172.98,0,MIN(O4398*0.3,O4398-4172.98)))-P4398</f>
        <v>957.65099999999893</v>
      </c>
      <c r="S4398" s="74">
        <v>45444</v>
      </c>
      <c r="T4398" s="239" t="s">
        <v>7209</v>
      </c>
      <c r="U4398" s="97">
        <v>4359</v>
      </c>
      <c r="V4398" s="1" t="s">
        <v>8936</v>
      </c>
      <c r="W4398" s="29">
        <v>46274</v>
      </c>
    </row>
    <row r="4399" spans="1:23">
      <c r="A4399">
        <v>2830</v>
      </c>
      <c r="B4399" s="2">
        <v>46274.451018518499</v>
      </c>
      <c r="C4399" s="2">
        <v>46274.460787037002</v>
      </c>
      <c r="D4399" s="1" t="s">
        <v>24</v>
      </c>
      <c r="E4399" s="1"/>
      <c r="F4399" s="29">
        <v>46274</v>
      </c>
      <c r="G4399" s="29">
        <v>46274</v>
      </c>
      <c r="H4399" s="1" t="s">
        <v>1625</v>
      </c>
      <c r="I4399" s="175" t="s">
        <v>9769</v>
      </c>
      <c r="J4399" s="207">
        <v>30886407532</v>
      </c>
      <c r="K4399" s="188" t="s">
        <v>9770</v>
      </c>
      <c r="L4399" s="62">
        <v>2</v>
      </c>
      <c r="M4399" s="30">
        <v>7223584371</v>
      </c>
      <c r="N4399" s="171" t="s">
        <v>37</v>
      </c>
      <c r="O4399" s="52">
        <v>9760.32</v>
      </c>
      <c r="P4399" s="52">
        <v>2928.1</v>
      </c>
      <c r="Q4399" s="230">
        <f>OfficeForms.Table[[#This Row],[ INFORMEDEPAGO ]]*0.3</f>
        <v>2928.096</v>
      </c>
      <c r="R4399" s="231">
        <f>(IF(O4399&lt;4172.98,0,MIN(O4399*0.3,O4399-4172.98)))-P4399</f>
        <v>-3.9999999999054126E-3</v>
      </c>
      <c r="S4399" s="74">
        <v>46569</v>
      </c>
      <c r="T4399" s="239" t="s">
        <v>7209</v>
      </c>
      <c r="U4399" s="97">
        <v>2822.89</v>
      </c>
      <c r="V4399" s="1"/>
    </row>
    <row r="4400" spans="1:23">
      <c r="A4400">
        <v>2831</v>
      </c>
      <c r="B4400" s="2">
        <v>46274.454259259299</v>
      </c>
      <c r="C4400" s="2">
        <v>46274.463819444398</v>
      </c>
      <c r="D4400" s="1" t="s">
        <v>24</v>
      </c>
      <c r="E4400" s="1"/>
      <c r="F4400" s="29">
        <v>46274</v>
      </c>
      <c r="G4400" s="29">
        <v>46274</v>
      </c>
      <c r="H4400" s="1" t="s">
        <v>8381</v>
      </c>
      <c r="I4400" s="175" t="s">
        <v>9771</v>
      </c>
      <c r="J4400" s="207">
        <v>49826459601</v>
      </c>
      <c r="K4400" s="188" t="s">
        <v>9772</v>
      </c>
      <c r="L4400" s="62">
        <v>24344264</v>
      </c>
      <c r="M4400" s="30">
        <v>5218334436801</v>
      </c>
      <c r="N4400" s="171" t="s">
        <v>28</v>
      </c>
      <c r="O4400" s="50">
        <v>10636.54</v>
      </c>
      <c r="P4400" s="97"/>
      <c r="Q4400" s="230">
        <f>OfficeForms.Table[[#This Row],[ INFORMEDEPAGO ]]*0.3</f>
        <v>3190.962</v>
      </c>
      <c r="R4400" s="231">
        <f>(IF(O4400&lt;4172.98,0,MIN(O4400*0.3,O4400-4172.98)))-P4400</f>
        <v>3190.962</v>
      </c>
      <c r="T4400" s="239"/>
      <c r="U4400" s="97"/>
      <c r="V4400" s="1" t="s">
        <v>8915</v>
      </c>
      <c r="W4400" s="29">
        <v>46274</v>
      </c>
    </row>
    <row r="4401" spans="1:23">
      <c r="A4401">
        <v>2832</v>
      </c>
      <c r="B4401" s="2">
        <v>46274.454513888901</v>
      </c>
      <c r="C4401" s="2">
        <v>46274.465787036999</v>
      </c>
      <c r="D4401" s="1" t="s">
        <v>24</v>
      </c>
      <c r="E4401" s="1"/>
      <c r="F4401" s="29">
        <v>46274</v>
      </c>
      <c r="G4401" s="29">
        <v>46274</v>
      </c>
      <c r="H4401" s="1" t="s">
        <v>51</v>
      </c>
      <c r="I4401" s="175" t="s">
        <v>9773</v>
      </c>
      <c r="J4401" s="207"/>
      <c r="K4401" s="188" t="s">
        <v>9774</v>
      </c>
      <c r="L4401" s="62">
        <v>24347364</v>
      </c>
      <c r="M4401" s="30">
        <v>5212211911443</v>
      </c>
      <c r="N4401" s="171" t="s">
        <v>28</v>
      </c>
      <c r="O4401" s="50">
        <v>5617.63</v>
      </c>
      <c r="P4401" s="97"/>
      <c r="Q4401" s="230">
        <f>OfficeForms.Table[[#This Row],[ INFORMEDEPAGO ]]*0.3</f>
        <v>1685.289</v>
      </c>
      <c r="R4401" s="231">
        <f>(IF(O4401&lt;4172.98,0,MIN(O4401*0.3,O4401-4172.98)))-P4401</f>
        <v>1444.6500000000005</v>
      </c>
      <c r="T4401" s="239"/>
      <c r="U4401" s="97"/>
      <c r="V4401" s="1" t="s">
        <v>8356</v>
      </c>
      <c r="W4401" s="29">
        <v>46274</v>
      </c>
    </row>
    <row r="4402" spans="1:23">
      <c r="A4402">
        <v>2833</v>
      </c>
      <c r="B4402" s="2">
        <v>46274.465798611098</v>
      </c>
      <c r="C4402" s="2">
        <v>46274.4702314815</v>
      </c>
      <c r="D4402" s="1" t="s">
        <v>24</v>
      </c>
      <c r="E4402" s="1"/>
      <c r="F4402" s="29">
        <v>46274</v>
      </c>
      <c r="G4402" s="29">
        <v>46274</v>
      </c>
      <c r="H4402" s="1" t="s">
        <v>51</v>
      </c>
      <c r="I4402" s="175" t="s">
        <v>9775</v>
      </c>
      <c r="J4402" s="207"/>
      <c r="K4402" s="188" t="s">
        <v>9776</v>
      </c>
      <c r="L4402" s="62">
        <v>24341518</v>
      </c>
      <c r="M4402" s="30">
        <v>5212211928770</v>
      </c>
      <c r="N4402" s="171" t="s">
        <v>28</v>
      </c>
      <c r="O4402" s="50">
        <v>6797.51</v>
      </c>
      <c r="P4402" s="97"/>
      <c r="Q4402" s="230">
        <f>OfficeForms.Table[[#This Row],[ INFORMEDEPAGO ]]*0.3</f>
        <v>2039.2529999999999</v>
      </c>
      <c r="R4402" s="231">
        <f>(IF(O4402&lt;4172.98,0,MIN(O4402*0.3,O4402-4172.98)))-P4402</f>
        <v>2039.2529999999999</v>
      </c>
      <c r="T4402" s="239"/>
      <c r="U4402" s="97"/>
      <c r="V4402" s="1" t="s">
        <v>9777</v>
      </c>
      <c r="W4402" s="29">
        <v>46274</v>
      </c>
    </row>
    <row r="4403" spans="1:23">
      <c r="A4403">
        <v>2834</v>
      </c>
      <c r="B4403" s="2">
        <v>46274.469710648104</v>
      </c>
      <c r="C4403" s="2">
        <v>46274.470451388901</v>
      </c>
      <c r="D4403" s="1" t="s">
        <v>24</v>
      </c>
      <c r="E4403" s="1"/>
      <c r="F4403" s="29">
        <v>46274</v>
      </c>
      <c r="G4403" s="29">
        <v>46274</v>
      </c>
      <c r="H4403" s="1" t="s">
        <v>8253</v>
      </c>
      <c r="I4403" s="175" t="s">
        <v>9778</v>
      </c>
      <c r="J4403" s="207">
        <v>11876503902</v>
      </c>
      <c r="K4403" s="188"/>
      <c r="L4403" s="62">
        <v>24347266</v>
      </c>
      <c r="M4403" s="30">
        <v>5545081978</v>
      </c>
      <c r="N4403" s="171" t="s">
        <v>37</v>
      </c>
      <c r="O4403" s="52">
        <v>10636.54</v>
      </c>
      <c r="P4403" s="52">
        <v>3190.96</v>
      </c>
      <c r="Q4403" s="230">
        <f>OfficeForms.Table[[#This Row],[ INFORMEDEPAGO ]]*0.3</f>
        <v>3190.962</v>
      </c>
      <c r="R4403" s="231">
        <f>(IF(O4403&lt;4172.98,0,MIN(O4403*0.3,O4403-4172.98)))-P4403</f>
        <v>1.9999999999527063E-3</v>
      </c>
      <c r="S4403" s="74">
        <v>46905</v>
      </c>
      <c r="T4403" s="239" t="s">
        <v>7209</v>
      </c>
      <c r="U4403" s="52">
        <v>3190.96</v>
      </c>
      <c r="V4403" s="1"/>
    </row>
    <row r="4404" spans="1:23">
      <c r="A4404">
        <v>2835</v>
      </c>
      <c r="B4404" s="2">
        <v>46274.457106481503</v>
      </c>
      <c r="C4404" s="2">
        <v>46274.472025463001</v>
      </c>
      <c r="D4404" s="1" t="s">
        <v>24</v>
      </c>
      <c r="E4404" s="1"/>
      <c r="F4404" s="29">
        <v>46274</v>
      </c>
      <c r="G4404" s="29">
        <v>46274</v>
      </c>
      <c r="H4404" s="1" t="s">
        <v>8721</v>
      </c>
      <c r="I4404" s="175" t="s">
        <v>9779</v>
      </c>
      <c r="J4404" s="207"/>
      <c r="K4404" s="188" t="s">
        <v>9780</v>
      </c>
      <c r="L4404" s="62">
        <v>24252610</v>
      </c>
      <c r="M4404" s="30">
        <v>5214494029708</v>
      </c>
      <c r="N4404" s="171" t="s">
        <v>37</v>
      </c>
      <c r="O4404" s="52">
        <v>5617.63</v>
      </c>
      <c r="P4404" s="52">
        <v>1389.94</v>
      </c>
      <c r="Q4404" s="230">
        <f>OfficeForms.Table[[#This Row],[ INFORMEDEPAGO ]]*0.3</f>
        <v>1685.289</v>
      </c>
      <c r="R4404" s="231">
        <f>(IF(O4404&lt;4172.98,0,MIN(O4404*0.3,O4404-4172.98)))-P4404</f>
        <v>54.710000000000491</v>
      </c>
      <c r="S4404" s="74">
        <v>46447</v>
      </c>
      <c r="T4404" s="239" t="s">
        <v>7209</v>
      </c>
      <c r="U4404" s="97"/>
      <c r="V4404" s="1"/>
    </row>
    <row r="4405" spans="1:23">
      <c r="A4405">
        <v>2836</v>
      </c>
      <c r="B4405" s="2">
        <v>46274.470243055599</v>
      </c>
      <c r="C4405" s="2">
        <v>46274.4772337963</v>
      </c>
      <c r="D4405" s="1" t="s">
        <v>24</v>
      </c>
      <c r="E4405" s="1"/>
      <c r="F4405" s="29">
        <v>46274</v>
      </c>
      <c r="G4405" s="29">
        <v>46273</v>
      </c>
      <c r="H4405" s="1" t="s">
        <v>51</v>
      </c>
      <c r="I4405" s="175" t="s">
        <v>9781</v>
      </c>
      <c r="J4405" s="207">
        <v>4985610418</v>
      </c>
      <c r="K4405" s="188" t="s">
        <v>9782</v>
      </c>
      <c r="L4405" s="62">
        <v>24333038</v>
      </c>
      <c r="M4405" s="30">
        <v>5218132746854</v>
      </c>
      <c r="N4405" s="171" t="s">
        <v>37</v>
      </c>
      <c r="O4405" s="43">
        <v>9081.52</v>
      </c>
      <c r="P4405" s="43">
        <v>2720.9</v>
      </c>
      <c r="Q4405" s="230">
        <f>OfficeForms.Table[[#This Row],[ INFORMEDEPAGO ]]*0.3</f>
        <v>2724.4560000000001</v>
      </c>
      <c r="R4405" s="231">
        <f t="shared" ref="R4405:R4406" si="335">(IF(O4405&lt;4172.98,0,MIN(O4405*0.3,O4405-4172.98)))-P4405</f>
        <v>3.55600000000004</v>
      </c>
      <c r="S4405" s="74">
        <v>46388</v>
      </c>
      <c r="T4405" s="239" t="s">
        <v>7209</v>
      </c>
      <c r="U4405" s="97">
        <v>2511.2399999999998</v>
      </c>
      <c r="V4405" s="1"/>
    </row>
    <row r="4406" spans="1:23">
      <c r="A4406">
        <v>2837</v>
      </c>
      <c r="B4406" s="2">
        <v>46274.478865740697</v>
      </c>
      <c r="C4406" s="2">
        <v>46274.481863425899</v>
      </c>
      <c r="D4406" s="1" t="s">
        <v>24</v>
      </c>
      <c r="E4406" s="1"/>
      <c r="F4406" s="29">
        <v>46274</v>
      </c>
      <c r="G4406" s="29">
        <v>46274</v>
      </c>
      <c r="H4406" s="1" t="s">
        <v>1625</v>
      </c>
      <c r="I4406" s="175" t="s">
        <v>9783</v>
      </c>
      <c r="J4406" s="207">
        <v>16795913108</v>
      </c>
      <c r="K4406" s="188" t="s">
        <v>9784</v>
      </c>
      <c r="L4406" s="62">
        <v>2</v>
      </c>
      <c r="M4406" s="30">
        <v>7223584371</v>
      </c>
      <c r="N4406" s="171" t="s">
        <v>37</v>
      </c>
      <c r="O4406" s="52">
        <v>17182.79</v>
      </c>
      <c r="P4406" s="52">
        <v>4969</v>
      </c>
      <c r="Q4406" s="230">
        <f>OfficeForms.Table[[#This Row],[ INFORMEDEPAGO ]]*0.3</f>
        <v>5154.8370000000004</v>
      </c>
      <c r="R4406" s="231">
        <f t="shared" si="335"/>
        <v>185.83700000000044</v>
      </c>
      <c r="S4406" s="74">
        <v>46478</v>
      </c>
      <c r="T4406" s="239" t="s">
        <v>6855</v>
      </c>
      <c r="U4406" s="97"/>
      <c r="V4406" s="1"/>
    </row>
    <row r="4407" spans="1:23">
      <c r="A4407">
        <v>2838</v>
      </c>
      <c r="B4407" s="2">
        <v>46274.481886574104</v>
      </c>
      <c r="C4407" s="2">
        <v>46274.484293981499</v>
      </c>
      <c r="D4407" s="1" t="s">
        <v>24</v>
      </c>
      <c r="E4407" s="1"/>
      <c r="F4407" s="29">
        <v>46274</v>
      </c>
      <c r="G4407" s="29">
        <v>46274</v>
      </c>
      <c r="H4407" s="1" t="s">
        <v>1625</v>
      </c>
      <c r="I4407" s="175" t="s">
        <v>9785</v>
      </c>
      <c r="J4407" s="207" t="s">
        <v>9786</v>
      </c>
      <c r="K4407" s="188" t="s">
        <v>9787</v>
      </c>
      <c r="L4407" s="62">
        <v>2</v>
      </c>
      <c r="M4407" s="30" t="s">
        <v>9788</v>
      </c>
      <c r="N4407" s="171" t="s">
        <v>37</v>
      </c>
      <c r="O4407" s="52">
        <v>5617.63</v>
      </c>
      <c r="P4407" s="52">
        <v>1335</v>
      </c>
      <c r="Q4407" s="230">
        <f>OfficeForms.Table[[#This Row],[ INFORMEDEPAGO ]]*0.3</f>
        <v>1685.289</v>
      </c>
      <c r="R4407" s="231">
        <f t="shared" ref="R4407:R4413" si="336">(IF(O4407&lt;4172.98,0,MIN(O4407*0.3,O4407-4172.98)))-P4407</f>
        <v>109.65000000000055</v>
      </c>
      <c r="S4407" s="74">
        <v>46296</v>
      </c>
      <c r="T4407" s="239" t="s">
        <v>8338</v>
      </c>
      <c r="U4407" s="97">
        <v>1335</v>
      </c>
      <c r="V4407" s="1"/>
    </row>
    <row r="4408" spans="1:23">
      <c r="A4408">
        <v>2839</v>
      </c>
      <c r="B4408" s="2">
        <v>46274.472060185202</v>
      </c>
      <c r="C4408" s="2">
        <v>46274.484293981499</v>
      </c>
      <c r="D4408" s="1" t="s">
        <v>24</v>
      </c>
      <c r="E4408" s="1"/>
      <c r="F4408" s="29">
        <v>46274</v>
      </c>
      <c r="G4408" s="29">
        <v>46273</v>
      </c>
      <c r="H4408" s="1" t="s">
        <v>8721</v>
      </c>
      <c r="I4408" s="175" t="s">
        <v>9789</v>
      </c>
      <c r="J4408" s="207"/>
      <c r="K4408" s="188" t="s">
        <v>9790</v>
      </c>
      <c r="L4408" s="62">
        <v>24330892</v>
      </c>
      <c r="M4408" s="30">
        <v>5212221356482</v>
      </c>
      <c r="N4408" s="171" t="s">
        <v>28</v>
      </c>
      <c r="O4408" s="50">
        <v>11886.95</v>
      </c>
      <c r="P4408" s="97"/>
      <c r="Q4408" s="230">
        <f>OfficeForms.Table[[#This Row],[ INFORMEDEPAGO ]]*0.3</f>
        <v>3566.085</v>
      </c>
      <c r="R4408" s="231">
        <f t="shared" si="336"/>
        <v>3566.085</v>
      </c>
      <c r="T4408" s="239"/>
      <c r="U4408" s="97"/>
      <c r="V4408" s="1" t="s">
        <v>8280</v>
      </c>
      <c r="W4408" s="29">
        <v>46274</v>
      </c>
    </row>
    <row r="4409" spans="1:23">
      <c r="A4409">
        <v>2840</v>
      </c>
      <c r="B4409" s="2">
        <v>46274.477245370399</v>
      </c>
      <c r="C4409" s="2">
        <v>46274.4852314815</v>
      </c>
      <c r="D4409" s="1" t="s">
        <v>24</v>
      </c>
      <c r="E4409" s="1"/>
      <c r="F4409" s="29">
        <v>46274</v>
      </c>
      <c r="G4409" s="29">
        <v>46274</v>
      </c>
      <c r="H4409" s="1" t="s">
        <v>51</v>
      </c>
      <c r="I4409" s="175" t="s">
        <v>9791</v>
      </c>
      <c r="J4409" s="207" t="s">
        <v>9792</v>
      </c>
      <c r="K4409" s="188" t="s">
        <v>9793</v>
      </c>
      <c r="L4409" s="62">
        <v>24348568</v>
      </c>
      <c r="M4409" s="30">
        <v>5218110111098</v>
      </c>
      <c r="N4409" s="171" t="s">
        <v>37</v>
      </c>
      <c r="O4409" s="52">
        <v>9582.4699999999993</v>
      </c>
      <c r="P4409" s="52">
        <v>2871.76</v>
      </c>
      <c r="Q4409" s="230">
        <f>OfficeForms.Table[[#This Row],[ INFORMEDEPAGO ]]*0.3</f>
        <v>2874.7409999999995</v>
      </c>
      <c r="R4409" s="231">
        <f t="shared" si="336"/>
        <v>2.9809999999993124</v>
      </c>
      <c r="S4409" s="74">
        <v>46935</v>
      </c>
      <c r="T4409" s="239" t="s">
        <v>8757</v>
      </c>
      <c r="U4409" s="52">
        <v>2871.76</v>
      </c>
      <c r="V4409" s="1"/>
    </row>
    <row r="4410" spans="1:23">
      <c r="A4410">
        <v>2841</v>
      </c>
      <c r="B4410" s="2">
        <v>46274.486006944397</v>
      </c>
      <c r="C4410" s="2">
        <v>46274.486736111103</v>
      </c>
      <c r="D4410" s="1" t="s">
        <v>24</v>
      </c>
      <c r="E4410" s="1"/>
      <c r="F4410" s="29">
        <v>46274</v>
      </c>
      <c r="G4410" s="29">
        <v>46274</v>
      </c>
      <c r="H4410" s="1" t="s">
        <v>8253</v>
      </c>
      <c r="I4410" s="175" t="s">
        <v>9794</v>
      </c>
      <c r="J4410" s="207"/>
      <c r="K4410" s="188" t="s">
        <v>9795</v>
      </c>
      <c r="L4410" s="62">
        <v>24348382</v>
      </c>
      <c r="M4410" s="30">
        <v>8715063035</v>
      </c>
      <c r="N4410" s="171" t="s">
        <v>28</v>
      </c>
      <c r="O4410" s="43">
        <v>10636.54</v>
      </c>
      <c r="P4410" s="43">
        <v>0</v>
      </c>
      <c r="Q4410" s="230">
        <f>OfficeForms.Table[[#This Row],[ INFORMEDEPAGO ]]*0.3</f>
        <v>3190.962</v>
      </c>
      <c r="R4410" s="231">
        <f t="shared" si="336"/>
        <v>3190.962</v>
      </c>
      <c r="T4410" s="239"/>
      <c r="U4410" s="97"/>
      <c r="V4410" s="1" t="s">
        <v>8436</v>
      </c>
      <c r="W4410" s="29">
        <v>46274</v>
      </c>
    </row>
    <row r="4411" spans="1:23">
      <c r="A4411">
        <v>2842</v>
      </c>
      <c r="B4411" s="2">
        <v>46274.477986111102</v>
      </c>
      <c r="C4411" s="2">
        <v>46274.491655092599</v>
      </c>
      <c r="D4411" s="1" t="s">
        <v>24</v>
      </c>
      <c r="E4411" s="1"/>
      <c r="F4411" s="29">
        <v>46274</v>
      </c>
      <c r="G4411" s="29">
        <v>46274</v>
      </c>
      <c r="H4411" s="1" t="s">
        <v>78</v>
      </c>
      <c r="I4411" s="175" t="s">
        <v>9796</v>
      </c>
      <c r="J4411" s="207">
        <v>33796154688</v>
      </c>
      <c r="K4411" s="188" t="s">
        <v>9797</v>
      </c>
      <c r="L4411" s="62">
        <v>24347770</v>
      </c>
      <c r="M4411" s="30">
        <v>5216278890111</v>
      </c>
      <c r="N4411" s="171" t="s">
        <v>37</v>
      </c>
      <c r="O4411" s="43">
        <v>7116.73</v>
      </c>
      <c r="P4411" s="43">
        <v>2058.33</v>
      </c>
      <c r="Q4411" s="230">
        <f>OfficeForms.Table[[#This Row],[ INFORMEDEPAGO ]]*0.3</f>
        <v>2135.0189999999998</v>
      </c>
      <c r="R4411" s="231">
        <f t="shared" si="336"/>
        <v>76.688999999999851</v>
      </c>
      <c r="S4411" s="74">
        <v>46600</v>
      </c>
      <c r="T4411" s="239" t="s">
        <v>192</v>
      </c>
      <c r="U4411" s="43">
        <v>2058.33</v>
      </c>
      <c r="V4411" s="1"/>
    </row>
    <row r="4412" spans="1:23">
      <c r="A4412">
        <v>2843</v>
      </c>
      <c r="B4412" s="2">
        <v>46274.484317129602</v>
      </c>
      <c r="C4412" s="2">
        <v>46274.492511574099</v>
      </c>
      <c r="D4412" s="1" t="s">
        <v>24</v>
      </c>
      <c r="E4412" s="1"/>
      <c r="F4412" s="29">
        <v>46274</v>
      </c>
      <c r="G4412" s="29">
        <v>46274</v>
      </c>
      <c r="H4412" s="1" t="s">
        <v>8721</v>
      </c>
      <c r="I4412" s="175" t="s">
        <v>9798</v>
      </c>
      <c r="J4412" s="207">
        <v>32796125402</v>
      </c>
      <c r="K4412" s="188"/>
      <c r="L4412" s="62">
        <v>24347928</v>
      </c>
      <c r="M4412" s="30">
        <v>5218777931979</v>
      </c>
      <c r="N4412" s="171" t="s">
        <v>106</v>
      </c>
      <c r="O4412" s="43">
        <v>7116.73</v>
      </c>
      <c r="P4412" s="43">
        <v>1936.88</v>
      </c>
      <c r="Q4412" s="230">
        <f>OfficeForms.Table[[#This Row],[ INFORMEDEPAGO ]]*0.3</f>
        <v>2135.0189999999998</v>
      </c>
      <c r="R4412" s="231">
        <f t="shared" si="336"/>
        <v>198.13899999999967</v>
      </c>
      <c r="S4412" s="74">
        <v>46082</v>
      </c>
      <c r="T4412" s="43" t="s">
        <v>7209</v>
      </c>
      <c r="U4412" s="43">
        <v>1936.88</v>
      </c>
      <c r="V4412" s="1" t="s">
        <v>8936</v>
      </c>
      <c r="W4412" s="29">
        <v>46274</v>
      </c>
    </row>
    <row r="4413" spans="1:23">
      <c r="A4413">
        <v>2844</v>
      </c>
      <c r="B4413" s="2">
        <v>46274.496770833299</v>
      </c>
      <c r="C4413" s="2">
        <v>46274.500115740702</v>
      </c>
      <c r="D4413" s="1" t="s">
        <v>24</v>
      </c>
      <c r="E4413" s="1"/>
      <c r="F4413" s="29">
        <v>46274</v>
      </c>
      <c r="G4413" s="29">
        <v>46273</v>
      </c>
      <c r="H4413" s="1" t="s">
        <v>78</v>
      </c>
      <c r="I4413" s="175" t="s">
        <v>9799</v>
      </c>
      <c r="J4413" s="207">
        <v>76916500432</v>
      </c>
      <c r="K4413" s="188" t="s">
        <v>9800</v>
      </c>
      <c r="L4413" s="62">
        <v>24331142</v>
      </c>
      <c r="M4413" s="30">
        <v>5215561180848</v>
      </c>
      <c r="N4413" s="171" t="s">
        <v>37</v>
      </c>
      <c r="O4413" s="43">
        <v>9760.32</v>
      </c>
      <c r="P4413" s="43">
        <v>2920.14</v>
      </c>
      <c r="Q4413" s="230">
        <f>OfficeForms.Table[[#This Row],[ INFORMEDEPAGO ]]*0.3</f>
        <v>2928.096</v>
      </c>
      <c r="R4413" s="231">
        <f t="shared" si="336"/>
        <v>7.956000000000131</v>
      </c>
      <c r="S4413" s="74">
        <v>46905</v>
      </c>
      <c r="T4413" s="239" t="s">
        <v>8338</v>
      </c>
      <c r="U4413" s="43">
        <v>2920.14</v>
      </c>
      <c r="V4413" s="1"/>
    </row>
    <row r="4414" spans="1:23">
      <c r="A4414">
        <v>2845</v>
      </c>
      <c r="B4414" s="2">
        <v>46274.504641203697</v>
      </c>
      <c r="C4414" s="2">
        <v>46274.511076388902</v>
      </c>
      <c r="D4414" s="1" t="s">
        <v>24</v>
      </c>
      <c r="E4414" s="1"/>
      <c r="F4414" s="29">
        <v>46274</v>
      </c>
      <c r="G4414" s="29">
        <v>46274</v>
      </c>
      <c r="H4414" s="1" t="s">
        <v>8253</v>
      </c>
      <c r="I4414" s="175" t="s">
        <v>9801</v>
      </c>
      <c r="J4414" s="207"/>
      <c r="K4414" s="188" t="s">
        <v>9802</v>
      </c>
      <c r="L4414" s="62">
        <v>24347962</v>
      </c>
      <c r="M4414" s="30">
        <v>4401220516</v>
      </c>
      <c r="N4414" s="171" t="s">
        <v>37</v>
      </c>
      <c r="O4414" s="43">
        <v>7367.46</v>
      </c>
      <c r="P4414" s="43">
        <v>2210.2399999999998</v>
      </c>
      <c r="Q4414" s="230">
        <f>OfficeForms.Table[[#This Row],[ INFORMEDEPAGO ]]*0.3</f>
        <v>2210.2379999999998</v>
      </c>
      <c r="R4414" s="231">
        <f t="shared" ref="R4414:R4415" si="337">(IF(O4414&lt;4172.98,0,MIN(O4414*0.3,O4414-4172.98)))-P4414</f>
        <v>-1.9999999999527063E-3</v>
      </c>
      <c r="S4414" s="74">
        <v>46966</v>
      </c>
      <c r="T4414" s="239" t="s">
        <v>6855</v>
      </c>
      <c r="U4414" s="43">
        <v>2210.2399999999998</v>
      </c>
      <c r="V4414" s="1"/>
    </row>
    <row r="4415" spans="1:23">
      <c r="A4415">
        <v>2846</v>
      </c>
      <c r="B4415" s="2">
        <v>46274.492534722202</v>
      </c>
      <c r="C4415" s="2">
        <v>46274.515162037002</v>
      </c>
      <c r="D4415" s="1" t="s">
        <v>24</v>
      </c>
      <c r="E4415" s="1"/>
      <c r="F4415" s="29">
        <v>46274</v>
      </c>
      <c r="G4415" s="29">
        <v>46274</v>
      </c>
      <c r="H4415" s="1" t="s">
        <v>8721</v>
      </c>
      <c r="I4415" s="175" t="s">
        <v>9803</v>
      </c>
      <c r="J4415" s="207">
        <v>41816407971</v>
      </c>
      <c r="K4415" s="188" t="s">
        <v>9804</v>
      </c>
      <c r="L4415" s="62">
        <v>24349260</v>
      </c>
      <c r="M4415" s="30">
        <v>5214441587284</v>
      </c>
      <c r="N4415" s="171" t="s">
        <v>37</v>
      </c>
      <c r="O4415" s="43">
        <v>29706.9</v>
      </c>
      <c r="P4415" s="43">
        <v>8898.4699999999993</v>
      </c>
      <c r="Q4415" s="230">
        <f>OfficeForms.Table[[#This Row],[ INFORMEDEPAGO ]]*0.3</f>
        <v>8912.07</v>
      </c>
      <c r="R4415" s="231">
        <f t="shared" si="337"/>
        <v>13.600000000000364</v>
      </c>
      <c r="S4415" s="74">
        <v>46874</v>
      </c>
      <c r="T4415" s="239" t="s">
        <v>259</v>
      </c>
      <c r="U4415" s="97">
        <v>8898.2000000000007</v>
      </c>
      <c r="V4415" s="1"/>
    </row>
    <row r="4416" spans="1:23">
      <c r="A4416">
        <v>2847</v>
      </c>
      <c r="B4416" s="2">
        <v>46274.484317129602</v>
      </c>
      <c r="C4416" s="2">
        <v>46274.521215277797</v>
      </c>
      <c r="D4416" s="1" t="s">
        <v>24</v>
      </c>
      <c r="E4416" s="1"/>
      <c r="F4416" s="29">
        <v>46274</v>
      </c>
      <c r="G4416" s="29">
        <v>46274</v>
      </c>
      <c r="H4416" s="1" t="s">
        <v>1625</v>
      </c>
      <c r="I4416" s="175" t="s">
        <v>9805</v>
      </c>
      <c r="J4416" s="207">
        <v>32856276608</v>
      </c>
      <c r="K4416" s="188" t="s">
        <v>9806</v>
      </c>
      <c r="L4416" s="62">
        <v>2</v>
      </c>
      <c r="M4416" s="30" t="s">
        <v>9807</v>
      </c>
      <c r="N4416" s="171" t="s">
        <v>37</v>
      </c>
      <c r="O4416" s="52">
        <v>10592.47</v>
      </c>
      <c r="P4416" s="52">
        <v>3166.26</v>
      </c>
      <c r="Q4416" s="230">
        <f>OfficeForms.Table[[#This Row],[ INFORMEDEPAGO ]]*0.3</f>
        <v>3177.7409999999995</v>
      </c>
      <c r="R4416" s="231">
        <f>(IF(O4416&lt;4172.98,0,MIN(O4416*0.3,O4416-4172.98)))-P4416</f>
        <v>11.480999999999312</v>
      </c>
      <c r="S4416" s="74">
        <v>46508</v>
      </c>
      <c r="T4416" s="239" t="s">
        <v>8338</v>
      </c>
      <c r="U4416" s="97">
        <v>2888.25</v>
      </c>
      <c r="V4416" s="1"/>
    </row>
    <row r="4417" spans="1:23">
      <c r="A4417">
        <v>2848</v>
      </c>
      <c r="B4417" s="2">
        <v>46274.521354166704</v>
      </c>
      <c r="C4417" s="2">
        <v>46274.523217592599</v>
      </c>
      <c r="D4417" s="1" t="s">
        <v>24</v>
      </c>
      <c r="E4417" s="1"/>
      <c r="F4417" s="29">
        <v>46274</v>
      </c>
      <c r="G4417" s="29">
        <v>46274</v>
      </c>
      <c r="H4417" s="1" t="s">
        <v>1625</v>
      </c>
      <c r="I4417" s="175" t="s">
        <v>9808</v>
      </c>
      <c r="J4417" s="207">
        <v>32826473533</v>
      </c>
      <c r="K4417" s="188" t="s">
        <v>8474</v>
      </c>
      <c r="L4417" s="62">
        <v>2</v>
      </c>
      <c r="M4417" s="30" t="s">
        <v>9809</v>
      </c>
      <c r="N4417" s="171" t="s">
        <v>37</v>
      </c>
      <c r="O4417" s="52">
        <v>13216.85</v>
      </c>
      <c r="P4417" s="52">
        <v>3964.07</v>
      </c>
      <c r="Q4417" s="230">
        <f>OfficeForms.Table[[#This Row],[ INFORMEDEPAGO ]]*0.3</f>
        <v>3965.0549999999998</v>
      </c>
      <c r="R4417" s="231">
        <f>(IF(O4417&lt;4172.98,0,MIN(O4417*0.3,O4417-4172.98)))-P4417</f>
        <v>0.98499999999967258</v>
      </c>
      <c r="S4417" s="74">
        <v>46327</v>
      </c>
      <c r="T4417" s="239" t="s">
        <v>7209</v>
      </c>
      <c r="U4417" s="97">
        <v>3669.47</v>
      </c>
      <c r="V4417" s="1"/>
    </row>
    <row r="4418" spans="1:23">
      <c r="A4418">
        <v>2849</v>
      </c>
      <c r="B4418" s="2">
        <v>46274.523043981499</v>
      </c>
      <c r="C4418" s="2">
        <v>46274.523738425902</v>
      </c>
      <c r="D4418" s="1" t="s">
        <v>24</v>
      </c>
      <c r="E4418" s="1"/>
      <c r="F4418" s="29">
        <v>46274</v>
      </c>
      <c r="G4418" s="29">
        <v>46274</v>
      </c>
      <c r="H4418" s="1" t="s">
        <v>8253</v>
      </c>
      <c r="I4418" s="175" t="s">
        <v>9810</v>
      </c>
      <c r="J4418" s="207"/>
      <c r="K4418" s="188" t="s">
        <v>9811</v>
      </c>
      <c r="L4418" s="62">
        <v>24349552</v>
      </c>
      <c r="M4418" s="30">
        <v>3841070054</v>
      </c>
      <c r="N4418" s="171" t="s">
        <v>37</v>
      </c>
      <c r="O4418" s="43">
        <v>19756.400000000001</v>
      </c>
      <c r="P4418" s="43">
        <v>5925.64</v>
      </c>
      <c r="Q4418" s="230">
        <f>OfficeForms.Table[[#This Row],[ INFORMEDEPAGO ]]*0.3</f>
        <v>5926.92</v>
      </c>
      <c r="R4418" s="231">
        <f>(IF(O4418&lt;4172.98,0,MIN(O4418*0.3,O4418-4172.98)))-P4418</f>
        <v>1.2799999999997453</v>
      </c>
      <c r="S4418" s="74">
        <v>46784</v>
      </c>
      <c r="T4418" s="239" t="s">
        <v>6855</v>
      </c>
      <c r="U4418" s="97">
        <v>454</v>
      </c>
      <c r="V4418" s="1"/>
    </row>
    <row r="4419" spans="1:23">
      <c r="A4419">
        <v>2850</v>
      </c>
      <c r="B4419" s="2">
        <v>46274.515185185199</v>
      </c>
      <c r="C4419" s="2">
        <v>46274.525497685201</v>
      </c>
      <c r="D4419" s="1" t="s">
        <v>24</v>
      </c>
      <c r="E4419" s="1"/>
      <c r="F4419" s="29">
        <v>46274</v>
      </c>
      <c r="G4419" s="29">
        <v>46274</v>
      </c>
      <c r="H4419" s="1" t="s">
        <v>8721</v>
      </c>
      <c r="I4419" s="175" t="s">
        <v>9812</v>
      </c>
      <c r="J4419" s="207">
        <v>43886622216</v>
      </c>
      <c r="K4419" s="188" t="s">
        <v>9813</v>
      </c>
      <c r="L4419" s="62">
        <v>24347264</v>
      </c>
      <c r="M4419" s="30">
        <v>5218128925673</v>
      </c>
      <c r="N4419" s="171" t="s">
        <v>37</v>
      </c>
      <c r="O4419" s="52">
        <v>10793.18</v>
      </c>
      <c r="P4419" s="52">
        <v>2947.23</v>
      </c>
      <c r="Q4419" s="230">
        <f>OfficeForms.Table[[#This Row],[ INFORMEDEPAGO ]]*0.3</f>
        <v>3237.9540000000002</v>
      </c>
      <c r="R4419" s="231">
        <f>(IF(O4419&lt;4172.98,0,MIN(O4419*0.3,O4419-4172.98)))-P4419</f>
        <v>290.72400000000016</v>
      </c>
      <c r="S4419" s="74">
        <v>46844</v>
      </c>
      <c r="T4419" s="239" t="s">
        <v>7209</v>
      </c>
      <c r="U4419" s="97">
        <v>1476.5</v>
      </c>
      <c r="V4419" s="1"/>
    </row>
    <row r="4420" spans="1:23">
      <c r="A4420">
        <v>2851</v>
      </c>
      <c r="B4420" s="2">
        <v>46274.5295833333</v>
      </c>
      <c r="C4420" s="2">
        <v>46274.534293981502</v>
      </c>
      <c r="D4420" s="1" t="s">
        <v>24</v>
      </c>
      <c r="E4420" s="1"/>
      <c r="F4420" s="29">
        <v>46274</v>
      </c>
      <c r="G4420" s="29">
        <v>46274</v>
      </c>
      <c r="H4420" s="1" t="s">
        <v>269</v>
      </c>
      <c r="I4420" s="175" t="s">
        <v>9814</v>
      </c>
      <c r="J4420" s="207"/>
      <c r="K4420" s="188" t="s">
        <v>9815</v>
      </c>
      <c r="L4420" s="62">
        <v>24347144</v>
      </c>
      <c r="M4420" s="30">
        <v>5218116061013</v>
      </c>
      <c r="N4420" s="171" t="s">
        <v>37</v>
      </c>
      <c r="O4420" s="52">
        <v>7620.38</v>
      </c>
      <c r="P4420" s="52">
        <v>2203.8200000000002</v>
      </c>
      <c r="Q4420" s="230">
        <f>OfficeForms.Table[[#This Row],[ INFORMEDEPAGO ]]*0.3</f>
        <v>2286.114</v>
      </c>
      <c r="R4420" s="231">
        <f>(IF(O4420&lt;4172.98,0,MIN(O4420*0.3,O4420-4172.98)))-P4420</f>
        <v>82.293999999999869</v>
      </c>
      <c r="S4420" s="74">
        <v>46508</v>
      </c>
      <c r="T4420" s="239" t="s">
        <v>7209</v>
      </c>
      <c r="U4420" s="52">
        <v>2203.8200000000002</v>
      </c>
      <c r="V4420" s="1"/>
    </row>
    <row r="4421" spans="1:23">
      <c r="A4421">
        <v>2852</v>
      </c>
      <c r="B4421" s="2">
        <v>46274.485254629602</v>
      </c>
      <c r="C4421" s="2">
        <v>46274.545011574097</v>
      </c>
      <c r="D4421" s="1" t="s">
        <v>24</v>
      </c>
      <c r="E4421" s="1"/>
      <c r="F4421" s="29">
        <v>46274</v>
      </c>
      <c r="G4421" s="29">
        <v>46273</v>
      </c>
      <c r="H4421" s="1" t="s">
        <v>51</v>
      </c>
      <c r="I4421" s="175" t="s">
        <v>9816</v>
      </c>
      <c r="J4421" s="207">
        <v>71825001721</v>
      </c>
      <c r="K4421" s="188" t="s">
        <v>9817</v>
      </c>
      <c r="L4421" s="62">
        <v>24331012</v>
      </c>
      <c r="M4421" s="30">
        <v>5214433513079</v>
      </c>
      <c r="N4421" s="171" t="s">
        <v>98</v>
      </c>
      <c r="O4421" s="50"/>
      <c r="P4421" s="97"/>
      <c r="Q4421" s="230">
        <f>OfficeForms.Table[[#This Row],[ INFORMEDEPAGO ]]*0.3</f>
        <v>0</v>
      </c>
      <c r="R4421" s="231">
        <f>(IF(O4421&lt;4172.98,0,MIN(O4421*0.3,O4421-4172.98)))-P4421</f>
        <v>0</v>
      </c>
      <c r="T4421" s="239"/>
      <c r="U4421" s="97"/>
      <c r="V4421" s="1"/>
    </row>
    <row r="4422" spans="1:23">
      <c r="A4422">
        <v>2853</v>
      </c>
      <c r="B4422" s="2">
        <v>46274.523009259297</v>
      </c>
      <c r="C4422" s="2">
        <v>46274.545497685198</v>
      </c>
      <c r="D4422" s="1" t="s">
        <v>24</v>
      </c>
      <c r="E4422" s="1"/>
      <c r="F4422" s="29">
        <v>46274</v>
      </c>
      <c r="G4422" s="29">
        <v>46274</v>
      </c>
      <c r="H4422" s="1" t="s">
        <v>78</v>
      </c>
      <c r="I4422" s="175" t="s">
        <v>9818</v>
      </c>
      <c r="J4422" s="207"/>
      <c r="K4422" s="188" t="s">
        <v>9819</v>
      </c>
      <c r="L4422" s="62">
        <v>24333672</v>
      </c>
      <c r="M4422" s="30">
        <v>5213171320056</v>
      </c>
      <c r="N4422" s="171" t="s">
        <v>28</v>
      </c>
      <c r="O4422" s="50">
        <f>251375.84-219202.3</f>
        <v>32173.540000000008</v>
      </c>
      <c r="P4422" s="97"/>
      <c r="Q4422" s="230">
        <f>OfficeForms.Table[[#This Row],[ INFORMEDEPAGO ]]*0.3</f>
        <v>9652.0620000000017</v>
      </c>
      <c r="R4422" s="231">
        <f>(IF(O4422&lt;4172.98,0,MIN(O4422*0.3,O4422-4172.98)))-P4422</f>
        <v>9652.0620000000017</v>
      </c>
      <c r="T4422" s="239"/>
      <c r="U4422" s="97"/>
      <c r="V4422" s="1" t="s">
        <v>8436</v>
      </c>
      <c r="W4422" s="29">
        <v>46274</v>
      </c>
    </row>
    <row r="4423" spans="1:23">
      <c r="A4423">
        <v>2854</v>
      </c>
      <c r="B4423" s="2">
        <v>46274.534317129597</v>
      </c>
      <c r="C4423" s="2">
        <v>46274.549849536997</v>
      </c>
      <c r="D4423" s="1" t="s">
        <v>24</v>
      </c>
      <c r="E4423" s="1"/>
      <c r="F4423" s="29">
        <v>46274</v>
      </c>
      <c r="G4423" s="29">
        <v>46274</v>
      </c>
      <c r="H4423" s="1" t="s">
        <v>269</v>
      </c>
      <c r="I4423" s="175" t="s">
        <v>9820</v>
      </c>
      <c r="J4423" s="207" t="s">
        <v>9821</v>
      </c>
      <c r="K4423" s="188" t="s">
        <v>9822</v>
      </c>
      <c r="L4423" s="62">
        <v>24350400</v>
      </c>
      <c r="M4423" s="30">
        <v>5215574098165</v>
      </c>
      <c r="N4423" s="171" t="s">
        <v>106</v>
      </c>
      <c r="O4423" s="43">
        <v>8497.74</v>
      </c>
      <c r="P4423" s="43">
        <v>2346.96</v>
      </c>
      <c r="Q4423" s="230">
        <f>OfficeForms.Table[[#This Row],[ INFORMEDEPAGO ]]*0.3</f>
        <v>2549.3219999999997</v>
      </c>
      <c r="R4423" s="231">
        <f>(IF(O4423&lt;4172.98,0,MIN(O4423*0.3,O4423-4172.98)))-P4423</f>
        <v>202.36199999999963</v>
      </c>
      <c r="S4423" s="74">
        <v>46113</v>
      </c>
      <c r="T4423" s="239" t="s">
        <v>8757</v>
      </c>
      <c r="U4423" s="97">
        <v>2346.96</v>
      </c>
      <c r="V4423" s="1" t="s">
        <v>8936</v>
      </c>
      <c r="W4423" s="29">
        <v>46274</v>
      </c>
    </row>
    <row r="4424" spans="1:23">
      <c r="A4424">
        <v>2855</v>
      </c>
      <c r="B4424" s="2">
        <v>46274.5562615741</v>
      </c>
      <c r="C4424" s="2">
        <v>46274.557083333297</v>
      </c>
      <c r="D4424" s="1" t="s">
        <v>24</v>
      </c>
      <c r="E4424" s="1"/>
      <c r="F4424" s="29">
        <v>46274</v>
      </c>
      <c r="G4424" s="29">
        <v>46273</v>
      </c>
      <c r="H4424" s="1" t="s">
        <v>8253</v>
      </c>
      <c r="I4424" s="175" t="s">
        <v>9823</v>
      </c>
      <c r="J4424" s="207" t="s">
        <v>9824</v>
      </c>
      <c r="K4424" s="188" t="s">
        <v>9825</v>
      </c>
      <c r="L4424" s="62">
        <v>24328762</v>
      </c>
      <c r="M4424" s="30">
        <v>6313045530</v>
      </c>
      <c r="N4424" s="171" t="s">
        <v>106</v>
      </c>
      <c r="O4424" s="43">
        <v>8734.23</v>
      </c>
      <c r="P4424" s="43">
        <v>2316.9299999999998</v>
      </c>
      <c r="Q4424" s="230">
        <f>OfficeForms.Table[[#This Row],[ INFORMEDEPAGO ]]*0.3</f>
        <v>2620.2689999999998</v>
      </c>
      <c r="R4424" s="231">
        <f>(IF(O4424&lt;4172.98,0,MIN(O4424*0.3,O4424-4172.98)))-P4424</f>
        <v>303.33899999999994</v>
      </c>
      <c r="S4424" s="74">
        <v>45870</v>
      </c>
      <c r="T4424" s="239" t="s">
        <v>9826</v>
      </c>
      <c r="U4424" s="43">
        <v>2316.9299999999998</v>
      </c>
      <c r="V4424" s="1" t="s">
        <v>8936</v>
      </c>
      <c r="W4424" s="29">
        <v>46274</v>
      </c>
    </row>
    <row r="4425" spans="1:23">
      <c r="A4425">
        <v>2856</v>
      </c>
      <c r="B4425" s="2">
        <v>46274.525520833296</v>
      </c>
      <c r="C4425" s="2">
        <v>46274.563935185201</v>
      </c>
      <c r="D4425" s="1" t="s">
        <v>24</v>
      </c>
      <c r="E4425" s="1"/>
      <c r="F4425" s="29">
        <v>46274</v>
      </c>
      <c r="G4425" s="29">
        <v>46274</v>
      </c>
      <c r="H4425" s="1" t="s">
        <v>8721</v>
      </c>
      <c r="I4425" s="175" t="s">
        <v>9827</v>
      </c>
      <c r="J4425" s="207">
        <v>90008222458</v>
      </c>
      <c r="K4425" s="188" t="s">
        <v>9828</v>
      </c>
      <c r="L4425" s="62">
        <v>24350534</v>
      </c>
      <c r="M4425" s="30">
        <v>5215614829802</v>
      </c>
      <c r="N4425" s="171" t="s">
        <v>74</v>
      </c>
      <c r="O4425" s="50"/>
      <c r="P4425" s="97"/>
      <c r="Q4425" s="230">
        <f>OfficeForms.Table[[#This Row],[ INFORMEDEPAGO ]]*0.3</f>
        <v>0</v>
      </c>
      <c r="R4425" s="231">
        <f t="shared" ref="R4425:R4427" si="338">(IF(O4425&lt;4172.98,0,MIN(O4425*0.3,O4425-4172.98)))-P4425</f>
        <v>0</v>
      </c>
      <c r="T4425" s="239"/>
      <c r="U4425" s="97"/>
      <c r="V4425" s="1"/>
    </row>
    <row r="4426" spans="1:23">
      <c r="A4426">
        <v>2857</v>
      </c>
      <c r="B4426" s="2">
        <v>46274.563958333303</v>
      </c>
      <c r="C4426" s="2">
        <v>46274.570601851898</v>
      </c>
      <c r="D4426" s="1" t="s">
        <v>24</v>
      </c>
      <c r="E4426" s="1"/>
      <c r="F4426" s="29">
        <v>46274</v>
      </c>
      <c r="G4426" s="29">
        <v>46273</v>
      </c>
      <c r="H4426" s="1" t="s">
        <v>8721</v>
      </c>
      <c r="I4426" s="175" t="s">
        <v>9829</v>
      </c>
      <c r="J4426" s="207" t="s">
        <v>9830</v>
      </c>
      <c r="K4426" s="188" t="s">
        <v>9831</v>
      </c>
      <c r="L4426" s="62">
        <v>24330288</v>
      </c>
      <c r="M4426" s="30">
        <v>5216645465341</v>
      </c>
      <c r="N4426" s="171" t="s">
        <v>28</v>
      </c>
      <c r="O4426" s="50">
        <v>11554.81</v>
      </c>
      <c r="P4426" s="97">
        <v>848</v>
      </c>
      <c r="Q4426" s="230">
        <f>OfficeForms.Table[[#This Row],[ INFORMEDEPAGO ]]*0.3</f>
        <v>3466.4429999999998</v>
      </c>
      <c r="R4426" s="231">
        <f t="shared" si="338"/>
        <v>2618.4429999999998</v>
      </c>
      <c r="T4426" s="239"/>
      <c r="U4426" s="97"/>
      <c r="V4426" s="1" t="s">
        <v>8280</v>
      </c>
      <c r="W4426" s="29">
        <v>46274</v>
      </c>
    </row>
    <row r="4427" spans="1:23">
      <c r="A4427">
        <v>2858</v>
      </c>
      <c r="B4427" s="2">
        <v>46274.523275462998</v>
      </c>
      <c r="C4427" s="2">
        <v>46274.582210648201</v>
      </c>
      <c r="D4427" s="1" t="s">
        <v>24</v>
      </c>
      <c r="E4427" s="1"/>
      <c r="F4427" s="29">
        <v>46274</v>
      </c>
      <c r="G4427" s="29">
        <v>46274</v>
      </c>
      <c r="H4427" s="1" t="s">
        <v>1625</v>
      </c>
      <c r="I4427" s="175" t="s">
        <v>9832</v>
      </c>
      <c r="J4427" s="207">
        <v>43725638027</v>
      </c>
      <c r="K4427" s="188" t="s">
        <v>9833</v>
      </c>
      <c r="L4427" s="62">
        <v>2</v>
      </c>
      <c r="M4427" s="30">
        <v>8181871365</v>
      </c>
      <c r="N4427" s="171" t="s">
        <v>32</v>
      </c>
      <c r="O4427" s="50">
        <v>4035.69</v>
      </c>
      <c r="P4427" s="97"/>
      <c r="Q4427" s="230">
        <f>OfficeForms.Table[[#This Row],[ INFORMEDEPAGO ]]*0.3</f>
        <v>1210.7069999999999</v>
      </c>
      <c r="R4427" s="231">
        <f t="shared" si="338"/>
        <v>0</v>
      </c>
      <c r="T4427" s="239"/>
      <c r="U4427" s="97"/>
      <c r="V4427" s="1"/>
    </row>
    <row r="4428" spans="1:23">
      <c r="A4428">
        <v>2859</v>
      </c>
      <c r="B4428" s="2">
        <v>46274.582233796304</v>
      </c>
      <c r="C4428" s="2">
        <v>46274.5859375</v>
      </c>
      <c r="D4428" s="1" t="s">
        <v>24</v>
      </c>
      <c r="E4428" s="1"/>
      <c r="F4428" s="29">
        <v>46274</v>
      </c>
      <c r="G4428" s="29">
        <v>46274</v>
      </c>
      <c r="H4428" s="1" t="s">
        <v>1625</v>
      </c>
      <c r="I4428" s="175" t="s">
        <v>9834</v>
      </c>
      <c r="J4428" s="207">
        <v>32846175860</v>
      </c>
      <c r="K4428" s="188" t="s">
        <v>9835</v>
      </c>
      <c r="L4428" s="62">
        <v>2</v>
      </c>
      <c r="M4428" s="30">
        <v>8130904269</v>
      </c>
      <c r="N4428" s="171" t="s">
        <v>37</v>
      </c>
      <c r="O4428" s="52">
        <v>6262.86</v>
      </c>
      <c r="P4428" s="52">
        <v>1811.5</v>
      </c>
      <c r="Q4428" s="230">
        <f>OfficeForms.Table[[#This Row],[ INFORMEDEPAGO ]]*0.3</f>
        <v>1878.8579999999997</v>
      </c>
      <c r="R4428" s="231">
        <f t="shared" ref="R4428:R4429" si="339">(IF(O4428&lt;4172.98,0,MIN(O4428*0.3,O4428-4172.98)))-P4428</f>
        <v>67.35799999999972</v>
      </c>
      <c r="S4428" s="74">
        <v>46508</v>
      </c>
      <c r="T4428" s="239" t="s">
        <v>8757</v>
      </c>
      <c r="U4428" s="97">
        <v>1695.5</v>
      </c>
      <c r="V4428" s="1"/>
    </row>
    <row r="4429" spans="1:23">
      <c r="A4429">
        <v>2860</v>
      </c>
      <c r="B4429" s="2">
        <v>46274.5859837963</v>
      </c>
      <c r="C4429" s="2">
        <v>46274.593506944402</v>
      </c>
      <c r="D4429" s="1" t="s">
        <v>24</v>
      </c>
      <c r="E4429" s="1"/>
      <c r="F4429" s="29">
        <v>46274</v>
      </c>
      <c r="G4429" s="29">
        <v>46274</v>
      </c>
      <c r="H4429" s="1" t="s">
        <v>1625</v>
      </c>
      <c r="I4429" s="175" t="s">
        <v>9836</v>
      </c>
      <c r="J4429" s="207" t="s">
        <v>9837</v>
      </c>
      <c r="K4429" s="188" t="s">
        <v>9838</v>
      </c>
      <c r="L4429" s="62">
        <v>2</v>
      </c>
      <c r="M4429" s="30">
        <v>3141658160</v>
      </c>
      <c r="N4429" s="171" t="s">
        <v>47</v>
      </c>
      <c r="O4429" s="50">
        <v>4820.03</v>
      </c>
      <c r="P4429" s="97"/>
      <c r="Q4429" s="230">
        <f>OfficeForms.Table[[#This Row],[ INFORMEDEPAGO ]]*0.3</f>
        <v>1446.0089999999998</v>
      </c>
      <c r="R4429" s="231">
        <f t="shared" si="339"/>
        <v>647.05000000000018</v>
      </c>
      <c r="T4429" s="239"/>
      <c r="U4429" s="97"/>
      <c r="V4429" s="1"/>
    </row>
    <row r="4430" spans="1:23">
      <c r="A4430">
        <v>2861</v>
      </c>
      <c r="B4430" s="2">
        <v>46274.602962962999</v>
      </c>
      <c r="C4430" s="2">
        <v>46274.603657407402</v>
      </c>
      <c r="D4430" s="1" t="s">
        <v>24</v>
      </c>
      <c r="E4430" s="1"/>
      <c r="F4430" s="29">
        <v>46274</v>
      </c>
      <c r="G4430" s="29">
        <v>46274</v>
      </c>
      <c r="H4430" s="1" t="s">
        <v>269</v>
      </c>
      <c r="I4430" s="175" t="s">
        <v>9839</v>
      </c>
      <c r="J4430" s="207" t="s">
        <v>9840</v>
      </c>
      <c r="K4430" s="188"/>
      <c r="L4430" s="62">
        <v>24348548</v>
      </c>
      <c r="M4430" s="30">
        <v>5219371716219</v>
      </c>
      <c r="N4430" s="171" t="s">
        <v>98</v>
      </c>
      <c r="O4430" s="50"/>
      <c r="P4430" s="97"/>
      <c r="Q4430" s="230">
        <f>OfficeForms.Table[[#This Row],[ INFORMEDEPAGO ]]*0.3</f>
        <v>0</v>
      </c>
      <c r="R4430" s="231">
        <f>(IF(O4430&lt;4172.98,0,MIN(O4430*0.3,O4430-4172.98)))-P4430</f>
        <v>0</v>
      </c>
      <c r="T4430" s="239"/>
      <c r="U4430" s="97"/>
      <c r="V4430" s="1"/>
    </row>
    <row r="4431" spans="1:23">
      <c r="A4431">
        <v>2862</v>
      </c>
      <c r="B4431" s="2">
        <v>46274.617106481499</v>
      </c>
      <c r="C4431" s="2">
        <v>46274.618159722202</v>
      </c>
      <c r="D4431" s="1" t="s">
        <v>24</v>
      </c>
      <c r="E4431" s="1"/>
      <c r="F4431" s="29">
        <v>46274</v>
      </c>
      <c r="G4431" s="29">
        <v>46268</v>
      </c>
      <c r="H4431" s="1" t="s">
        <v>8253</v>
      </c>
      <c r="I4431" s="175" t="s">
        <v>9841</v>
      </c>
      <c r="J4431" s="207">
        <v>1875902312</v>
      </c>
      <c r="K4431" s="188" t="s">
        <v>9842</v>
      </c>
      <c r="L4431" s="62">
        <v>24222924</v>
      </c>
      <c r="M4431" s="30">
        <v>5564977654</v>
      </c>
      <c r="N4431" s="171" t="s">
        <v>37</v>
      </c>
      <c r="O4431" s="43">
        <v>5617.63</v>
      </c>
      <c r="P4431" s="43">
        <v>1300</v>
      </c>
      <c r="Q4431" s="230">
        <f>OfficeForms.Table[[#This Row],[ INFORMEDEPAGO ]]*0.3</f>
        <v>1685.289</v>
      </c>
      <c r="R4431" s="231">
        <f>(IF(O4431&lt;4172.98,0,MIN(O4431*0.3,O4431-4172.98)))-P4431</f>
        <v>144.65000000000055</v>
      </c>
      <c r="S4431" s="74">
        <v>46692</v>
      </c>
      <c r="T4431" s="239" t="s">
        <v>7516</v>
      </c>
      <c r="U4431" s="43">
        <v>1300</v>
      </c>
      <c r="V4431" s="1"/>
    </row>
    <row r="4432" spans="1:23">
      <c r="A4432">
        <v>2863</v>
      </c>
      <c r="B4432" s="2">
        <v>46274.463854166701</v>
      </c>
      <c r="C4432" s="2">
        <v>46274.629606481503</v>
      </c>
      <c r="D4432" s="1" t="s">
        <v>24</v>
      </c>
      <c r="E4432" s="1"/>
      <c r="F4432" s="29">
        <v>46274</v>
      </c>
      <c r="G4432" s="29">
        <v>46270</v>
      </c>
      <c r="H4432" s="1" t="s">
        <v>8381</v>
      </c>
      <c r="I4432" s="175" t="s">
        <v>9843</v>
      </c>
      <c r="J4432" s="207"/>
      <c r="K4432" s="188" t="s">
        <v>9844</v>
      </c>
      <c r="L4432" s="62">
        <v>24265608</v>
      </c>
      <c r="M4432" s="30">
        <v>5218711997426</v>
      </c>
      <c r="N4432" s="171" t="s">
        <v>47</v>
      </c>
      <c r="O4432" s="43">
        <v>58681.03</v>
      </c>
      <c r="P4432" s="43">
        <v>16650</v>
      </c>
      <c r="Q4432" s="230">
        <f>OfficeForms.Table[[#This Row],[ INFORMEDEPAGO ]]*0.3</f>
        <v>17604.308999999997</v>
      </c>
      <c r="R4432" s="231">
        <f>(IF(O4432&lt;4172.98,0,MIN(O4432*0.3,O4432-4172.98)))-P4432</f>
        <v>954.30899999999747</v>
      </c>
      <c r="S4432" s="74">
        <v>46966</v>
      </c>
      <c r="T4432" s="239" t="s">
        <v>192</v>
      </c>
      <c r="U4432" s="43">
        <v>16650</v>
      </c>
      <c r="V4432" s="1" t="s">
        <v>8233</v>
      </c>
      <c r="W4432" s="29">
        <v>46274</v>
      </c>
    </row>
    <row r="4433" spans="1:24">
      <c r="A4433">
        <v>2864</v>
      </c>
      <c r="B4433" s="2">
        <v>46274.545034722199</v>
      </c>
      <c r="C4433" s="2">
        <v>46274.650381944397</v>
      </c>
      <c r="D4433" s="1" t="s">
        <v>24</v>
      </c>
      <c r="E4433" s="1"/>
      <c r="F4433" s="29">
        <v>46274</v>
      </c>
      <c r="G4433" s="29">
        <v>46273</v>
      </c>
      <c r="H4433" s="1" t="s">
        <v>51</v>
      </c>
      <c r="I4433" s="175" t="s">
        <v>9845</v>
      </c>
      <c r="J4433" s="207"/>
      <c r="K4433" s="188" t="s">
        <v>9846</v>
      </c>
      <c r="L4433" s="62">
        <v>24330234</v>
      </c>
      <c r="M4433" s="30">
        <v>5213322316763</v>
      </c>
      <c r="N4433" s="171" t="s">
        <v>37</v>
      </c>
      <c r="O4433" s="43">
        <v>9760.32</v>
      </c>
      <c r="P4433" s="43">
        <v>2821.91</v>
      </c>
      <c r="Q4433" s="230">
        <f>OfficeForms.Table[[#This Row],[ INFORMEDEPAGO ]]*0.3</f>
        <v>2928.096</v>
      </c>
      <c r="R4433" s="231">
        <f>(IF(O4433&lt;4172.98,0,MIN(O4433*0.3,O4433-4172.98)))-P4433</f>
        <v>106.18600000000015</v>
      </c>
      <c r="S4433" s="74">
        <v>46692</v>
      </c>
      <c r="T4433" s="239" t="s">
        <v>7516</v>
      </c>
      <c r="U4433" s="43">
        <v>2821.91</v>
      </c>
      <c r="V4433" s="1"/>
    </row>
    <row r="4434" spans="1:24">
      <c r="A4434">
        <v>2865</v>
      </c>
      <c r="B4434" s="2">
        <v>46274.6315509259</v>
      </c>
      <c r="C4434" s="2">
        <v>46274.650960648098</v>
      </c>
      <c r="D4434" s="1" t="s">
        <v>24</v>
      </c>
      <c r="E4434" s="1"/>
      <c r="F4434" s="29">
        <v>46274</v>
      </c>
      <c r="G4434" s="29">
        <v>46274</v>
      </c>
      <c r="H4434" s="1" t="s">
        <v>78</v>
      </c>
      <c r="I4434" s="175" t="s">
        <v>9847</v>
      </c>
      <c r="J4434" s="207">
        <v>17826306700</v>
      </c>
      <c r="K4434" s="188" t="s">
        <v>9848</v>
      </c>
      <c r="L4434" s="62">
        <v>24349016</v>
      </c>
      <c r="M4434" s="30">
        <v>5215519050336</v>
      </c>
      <c r="N4434" s="171" t="s">
        <v>37</v>
      </c>
      <c r="O4434" s="43">
        <v>9760.33</v>
      </c>
      <c r="P4434" s="43">
        <v>2920</v>
      </c>
      <c r="Q4434" s="230">
        <f>OfficeForms.Table[[#This Row],[ INFORMEDEPAGO ]]*0.3</f>
        <v>2928.0989999999997</v>
      </c>
      <c r="R4434" s="231">
        <f>(IF(O4434&lt;4172.98,0,MIN(O4434*0.3,O4434-4172.98)))-P4434</f>
        <v>8.0989999999997053</v>
      </c>
      <c r="S4434" s="74">
        <v>46874</v>
      </c>
      <c r="T4434" s="239" t="s">
        <v>8338</v>
      </c>
      <c r="U4434" s="43">
        <v>2920</v>
      </c>
      <c r="V4434" s="1"/>
    </row>
    <row r="4435" spans="1:24">
      <c r="A4435">
        <v>2866</v>
      </c>
      <c r="B4435" s="2">
        <v>46274.629641203697</v>
      </c>
      <c r="C4435" s="2">
        <v>46274.651400463001</v>
      </c>
      <c r="D4435" s="1" t="s">
        <v>24</v>
      </c>
      <c r="E4435" s="1"/>
      <c r="F4435" s="29">
        <v>46274</v>
      </c>
      <c r="G4435" s="29">
        <v>46274</v>
      </c>
      <c r="H4435" s="1" t="s">
        <v>8381</v>
      </c>
      <c r="I4435" s="175" t="s">
        <v>9849</v>
      </c>
      <c r="J4435" s="207"/>
      <c r="K4435" s="188" t="s">
        <v>9850</v>
      </c>
      <c r="L4435" s="62">
        <v>24354330</v>
      </c>
      <c r="M4435" s="30">
        <v>5215611909736</v>
      </c>
      <c r="N4435" s="171" t="s">
        <v>37</v>
      </c>
      <c r="O4435" s="43">
        <v>34287.449999999997</v>
      </c>
      <c r="P4435" s="43">
        <v>10224.82</v>
      </c>
      <c r="Q4435" s="230">
        <f>OfficeForms.Table[[#This Row],[ INFORMEDEPAGO ]]*0.3</f>
        <v>10286.234999999999</v>
      </c>
      <c r="R4435" s="231">
        <f>(IF(O4435&lt;4172.98,0,MIN(O4435*0.3,O4435-4172.98)))-P4435</f>
        <v>61.414999999999054</v>
      </c>
      <c r="S4435" s="74">
        <v>46296</v>
      </c>
      <c r="T4435" s="239" t="s">
        <v>7209</v>
      </c>
      <c r="U4435" s="97">
        <v>590.78</v>
      </c>
      <c r="V4435" s="1"/>
    </row>
    <row r="4436" spans="1:24">
      <c r="A4436">
        <v>2867</v>
      </c>
      <c r="B4436" s="2">
        <v>46274.651388888902</v>
      </c>
      <c r="C4436" s="2">
        <v>46274.651875000003</v>
      </c>
      <c r="D4436" s="1" t="s">
        <v>24</v>
      </c>
      <c r="E4436" s="1"/>
      <c r="F4436" s="29">
        <v>46274</v>
      </c>
      <c r="G4436" s="29">
        <v>46274</v>
      </c>
      <c r="H4436" s="1" t="s">
        <v>269</v>
      </c>
      <c r="I4436" s="175" t="s">
        <v>9851</v>
      </c>
      <c r="J4436" s="175" t="s">
        <v>9852</v>
      </c>
      <c r="K4436" s="188" t="s">
        <v>9853</v>
      </c>
      <c r="L4436" s="62">
        <v>24354070</v>
      </c>
      <c r="M4436" s="30">
        <v>5212714101417</v>
      </c>
      <c r="N4436" s="171" t="s">
        <v>47</v>
      </c>
      <c r="O4436" s="43">
        <v>15190.53</v>
      </c>
      <c r="P4436" s="43">
        <v>4065.51</v>
      </c>
      <c r="Q4436" s="230">
        <f>OfficeForms.Table[[#This Row],[ INFORMEDEPAGO ]]*0.3</f>
        <v>4557.1589999999997</v>
      </c>
      <c r="R4436" s="231">
        <f>(IF(O4436&lt;4172.98,0,MIN(O4436*0.3,O4436-4172.98)))-P4436</f>
        <v>491.64899999999943</v>
      </c>
      <c r="S4436" s="74">
        <v>46327</v>
      </c>
      <c r="T4436" s="239" t="s">
        <v>8338</v>
      </c>
      <c r="U4436" s="97">
        <v>4065.51</v>
      </c>
      <c r="V4436" s="1" t="s">
        <v>8233</v>
      </c>
      <c r="W4436" s="29">
        <v>46274</v>
      </c>
    </row>
    <row r="4437" spans="1:24" s="214" customFormat="1">
      <c r="A4437" s="214">
        <v>2868</v>
      </c>
      <c r="B4437" s="215">
        <v>46274.658078703702</v>
      </c>
      <c r="C4437" s="215">
        <v>46274.659143518496</v>
      </c>
      <c r="D4437" s="216" t="s">
        <v>24</v>
      </c>
      <c r="E4437" s="216"/>
      <c r="F4437" s="217">
        <v>46274</v>
      </c>
      <c r="G4437" s="217">
        <v>46274</v>
      </c>
      <c r="H4437" s="216" t="s">
        <v>269</v>
      </c>
      <c r="I4437" s="207" t="s">
        <v>9854</v>
      </c>
      <c r="J4437" s="207" t="s">
        <v>9855</v>
      </c>
      <c r="K4437" s="190" t="s">
        <v>9856</v>
      </c>
      <c r="L4437" s="219">
        <v>24350800</v>
      </c>
      <c r="M4437" s="159">
        <v>5219384056352</v>
      </c>
      <c r="N4437" s="176" t="s">
        <v>37</v>
      </c>
      <c r="O4437" s="52">
        <v>4720.8999999999996</v>
      </c>
      <c r="P4437" s="52">
        <v>528</v>
      </c>
      <c r="Q4437" s="230">
        <f>OfficeForms.Table[[#This Row],[ INFORMEDEPAGO ]]*0.3</f>
        <v>1416.2699999999998</v>
      </c>
      <c r="R4437" s="231">
        <f>(IF(O4437&lt;4172.98,0,MIN(O4437*0.3,O4437-4172.98)))-P4437</f>
        <v>19.920000000000073</v>
      </c>
      <c r="S4437" s="241">
        <v>46661</v>
      </c>
      <c r="T4437" s="240" t="s">
        <v>9857</v>
      </c>
      <c r="U4437" s="52">
        <v>528</v>
      </c>
      <c r="V4437" s="216"/>
      <c r="W4437" s="217"/>
      <c r="X4437" s="225"/>
    </row>
    <row r="4438" spans="1:24">
      <c r="A4438" s="214">
        <v>2869</v>
      </c>
      <c r="B4438" s="215">
        <v>46274.650393518503</v>
      </c>
      <c r="C4438" s="215">
        <v>46274.661712963003</v>
      </c>
      <c r="D4438" s="216" t="s">
        <v>24</v>
      </c>
      <c r="E4438" s="216"/>
      <c r="F4438" s="217">
        <v>46274</v>
      </c>
      <c r="G4438" s="217">
        <v>46274</v>
      </c>
      <c r="H4438" s="216" t="s">
        <v>51</v>
      </c>
      <c r="I4438" s="207" t="s">
        <v>9858</v>
      </c>
      <c r="J4438" s="207"/>
      <c r="K4438" s="190" t="s">
        <v>9859</v>
      </c>
      <c r="L4438" s="219">
        <v>24354690</v>
      </c>
      <c r="M4438" s="159">
        <v>5218125717335</v>
      </c>
      <c r="N4438" s="176" t="s">
        <v>47</v>
      </c>
      <c r="O4438" s="43">
        <v>22622.9</v>
      </c>
      <c r="P4438" s="43">
        <v>5757.7</v>
      </c>
      <c r="Q4438" s="230">
        <f>OfficeForms.Table[[#This Row],[ INFORMEDEPAGO ]]*0.3</f>
        <v>6786.87</v>
      </c>
      <c r="R4438" s="231">
        <f>(IF(O4438&lt;4172.98,0,MIN(O4438*0.3,O4438-4172.98)))-P4438</f>
        <v>1029.17</v>
      </c>
      <c r="S4438" s="241">
        <v>46935</v>
      </c>
      <c r="T4438" s="240" t="s">
        <v>84</v>
      </c>
      <c r="U4438" s="99">
        <v>5757.7</v>
      </c>
      <c r="V4438" s="216" t="s">
        <v>8233</v>
      </c>
      <c r="W4438" s="217">
        <v>46274</v>
      </c>
      <c r="X4438" s="225"/>
    </row>
    <row r="4439" spans="1:24">
      <c r="A4439" s="214">
        <v>2870</v>
      </c>
      <c r="B4439" s="215">
        <v>46274.6583680556</v>
      </c>
      <c r="C4439" s="215">
        <v>46274.664074074099</v>
      </c>
      <c r="D4439" s="216" t="s">
        <v>24</v>
      </c>
      <c r="E4439" s="216"/>
      <c r="F4439" s="217">
        <v>46274</v>
      </c>
      <c r="G4439" s="217">
        <v>46274</v>
      </c>
      <c r="H4439" s="216" t="s">
        <v>51</v>
      </c>
      <c r="I4439" s="207" t="s">
        <v>9860</v>
      </c>
      <c r="J4439" s="208" t="s">
        <v>9861</v>
      </c>
      <c r="K4439" s="190" t="s">
        <v>9862</v>
      </c>
      <c r="L4439" s="219">
        <v>24354472</v>
      </c>
      <c r="M4439" s="159">
        <v>5215575566654</v>
      </c>
      <c r="N4439" s="176" t="s">
        <v>98</v>
      </c>
      <c r="O4439" s="67"/>
      <c r="P4439" s="99"/>
      <c r="Q4439" s="230">
        <f>OfficeForms.Table[[#This Row],[ INFORMEDEPAGO ]]*0.3</f>
        <v>0</v>
      </c>
      <c r="R4439" s="231">
        <f>(IF(O4439&lt;4172.98,0,MIN(O4439*0.3,O4439-4172.98)))-P4439</f>
        <v>0</v>
      </c>
      <c r="S4439" s="241"/>
      <c r="T4439" s="240"/>
      <c r="U4439" s="99"/>
      <c r="V4439" s="216"/>
      <c r="W4439" s="217"/>
      <c r="X4439" s="225"/>
    </row>
    <row r="4440" spans="1:24">
      <c r="A4440" s="214">
        <v>2871</v>
      </c>
      <c r="B4440" s="215">
        <v>46274.652916666702</v>
      </c>
      <c r="C4440" s="215">
        <v>46274.665219907401</v>
      </c>
      <c r="D4440" s="216" t="s">
        <v>24</v>
      </c>
      <c r="E4440" s="216"/>
      <c r="F4440" s="217">
        <v>46274</v>
      </c>
      <c r="G4440" s="217">
        <v>46274</v>
      </c>
      <c r="H4440" s="216" t="s">
        <v>78</v>
      </c>
      <c r="I4440" s="207" t="s">
        <v>9863</v>
      </c>
      <c r="J4440" s="207" t="s">
        <v>9864</v>
      </c>
      <c r="K4440" s="190" t="s">
        <v>9865</v>
      </c>
      <c r="L4440" s="219">
        <v>24350856</v>
      </c>
      <c r="M4440" s="159">
        <v>5212229053247</v>
      </c>
      <c r="N4440" s="176" t="s">
        <v>37</v>
      </c>
      <c r="O4440" s="43">
        <v>6172.41</v>
      </c>
      <c r="P4440" s="43">
        <v>1713</v>
      </c>
      <c r="Q4440" s="230">
        <f>OfficeForms.Table[[#This Row],[ INFORMEDEPAGO ]]*0.3</f>
        <v>1851.723</v>
      </c>
      <c r="R4440" s="231">
        <f>(IF(O4440&lt;4172.98,0,MIN(O4440*0.3,O4440-4172.98)))-P4440</f>
        <v>138.72299999999996</v>
      </c>
      <c r="S4440" s="241">
        <v>46419</v>
      </c>
      <c r="T4440" s="240" t="s">
        <v>8981</v>
      </c>
      <c r="U4440" s="43">
        <v>1713</v>
      </c>
      <c r="V4440" s="216"/>
      <c r="W4440" s="217"/>
      <c r="X4440" s="225"/>
    </row>
    <row r="4441" spans="1:24">
      <c r="A4441" s="214">
        <v>2872</v>
      </c>
      <c r="B4441" s="215">
        <v>46274.652835648099</v>
      </c>
      <c r="C4441" s="215">
        <v>46274.666631944398</v>
      </c>
      <c r="D4441" s="216" t="s">
        <v>24</v>
      </c>
      <c r="E4441" s="216"/>
      <c r="F4441" s="217">
        <v>46274</v>
      </c>
      <c r="G4441" s="217">
        <v>46274</v>
      </c>
      <c r="H4441" s="216" t="s">
        <v>78</v>
      </c>
      <c r="I4441" s="207" t="s">
        <v>9866</v>
      </c>
      <c r="J4441" s="207"/>
      <c r="K4441" s="190" t="s">
        <v>9867</v>
      </c>
      <c r="L4441" s="219">
        <v>24351256</v>
      </c>
      <c r="M4441" s="159">
        <v>5216121396071</v>
      </c>
      <c r="N4441" s="176" t="s">
        <v>28</v>
      </c>
      <c r="O4441" s="67">
        <v>10636.54</v>
      </c>
      <c r="P4441" s="99"/>
      <c r="Q4441" s="230">
        <f>OfficeForms.Table[[#This Row],[ INFORMEDEPAGO ]]*0.3</f>
        <v>3190.962</v>
      </c>
      <c r="R4441" s="231">
        <f>(IF(O4441&lt;4172.98,0,MIN(O4441*0.3,O4441-4172.98)))-P4441</f>
        <v>3190.962</v>
      </c>
      <c r="S4441" s="241"/>
      <c r="T4441" s="240"/>
      <c r="U4441" s="99"/>
      <c r="V4441" s="216" t="s">
        <v>9777</v>
      </c>
      <c r="W4441" s="217">
        <v>46274</v>
      </c>
      <c r="X4441" s="225"/>
    </row>
    <row r="4442" spans="1:24">
      <c r="A4442">
        <v>2873</v>
      </c>
      <c r="B4442" s="2">
        <v>46274.661724537</v>
      </c>
      <c r="C4442" s="2">
        <v>46274.6691319444</v>
      </c>
      <c r="D4442" s="1" t="s">
        <v>24</v>
      </c>
      <c r="E4442" s="1"/>
      <c r="F4442" s="29">
        <v>46274</v>
      </c>
      <c r="G4442" s="29">
        <v>46273</v>
      </c>
      <c r="H4442" s="1" t="s">
        <v>51</v>
      </c>
      <c r="I4442" s="175" t="s">
        <v>9868</v>
      </c>
      <c r="J4442" s="175"/>
      <c r="K4442" s="188" t="s">
        <v>9869</v>
      </c>
      <c r="L4442" s="62">
        <v>24326098</v>
      </c>
      <c r="M4442" s="30">
        <v>5214445033341</v>
      </c>
      <c r="N4442" s="171" t="s">
        <v>130</v>
      </c>
      <c r="O4442" s="43">
        <v>4664.38</v>
      </c>
      <c r="P4442" s="43">
        <v>392.1</v>
      </c>
      <c r="Q4442" s="230">
        <f>OfficeForms.Table[[#This Row],[ INFORMEDEPAGO ]]*0.3</f>
        <v>1399.3140000000001</v>
      </c>
      <c r="R4442" s="231">
        <f>(IF(O4442&lt;4172.98,0,MIN(O4442*0.3,O4442-4172.98)))-P4442</f>
        <v>99.300000000000523</v>
      </c>
      <c r="S4442" s="74">
        <v>45658</v>
      </c>
      <c r="T4442" s="239" t="s">
        <v>8981</v>
      </c>
      <c r="U4442" s="43">
        <v>392.1</v>
      </c>
      <c r="V4442" s="1" t="s">
        <v>8233</v>
      </c>
      <c r="W4442" s="29">
        <v>46274</v>
      </c>
    </row>
    <row r="4443" spans="1:24">
      <c r="A4443">
        <v>2874</v>
      </c>
      <c r="B4443" s="2">
        <v>46274.570625</v>
      </c>
      <c r="C4443" s="2">
        <v>46274.679305555597</v>
      </c>
      <c r="D4443" s="1" t="s">
        <v>24</v>
      </c>
      <c r="E4443" s="1"/>
      <c r="F4443" s="29">
        <v>46274</v>
      </c>
      <c r="G4443" s="29">
        <v>46274</v>
      </c>
      <c r="H4443" s="1" t="s">
        <v>8721</v>
      </c>
      <c r="I4443" s="175" t="s">
        <v>9870</v>
      </c>
      <c r="J4443" s="175" t="s">
        <v>9871</v>
      </c>
      <c r="K4443" s="188"/>
      <c r="L4443" s="62">
        <v>24354776</v>
      </c>
      <c r="M4443" s="30">
        <v>5217772597497</v>
      </c>
      <c r="N4443" s="171" t="s">
        <v>37</v>
      </c>
      <c r="O4443" s="43">
        <v>9081.52</v>
      </c>
      <c r="P4443" s="43">
        <v>2714.59</v>
      </c>
      <c r="Q4443" s="230">
        <f>OfficeForms.Table[[#This Row],[ INFORMEDEPAGO ]]*0.3</f>
        <v>2724.4560000000001</v>
      </c>
      <c r="R4443" s="231">
        <f>(IF(O4443&lt;4172.98,0,MIN(O4443*0.3,O4443-4172.98)))-P4443</f>
        <v>9.8659999999999854</v>
      </c>
      <c r="S4443" s="74">
        <v>46478</v>
      </c>
      <c r="T4443" s="239" t="s">
        <v>8319</v>
      </c>
      <c r="U4443" s="97">
        <v>1313.57</v>
      </c>
      <c r="V4443" s="1"/>
    </row>
    <row r="4444" spans="1:24">
      <c r="A4444">
        <v>2875</v>
      </c>
      <c r="B4444" s="2">
        <v>46274.652870370403</v>
      </c>
      <c r="C4444" s="2">
        <v>46274.681608796302</v>
      </c>
      <c r="D4444" s="1" t="s">
        <v>24</v>
      </c>
      <c r="E4444" s="1"/>
      <c r="F4444" s="29">
        <v>46274</v>
      </c>
      <c r="G4444" s="29">
        <v>46274</v>
      </c>
      <c r="H4444" s="1" t="s">
        <v>78</v>
      </c>
      <c r="I4444" s="175" t="s">
        <v>9872</v>
      </c>
      <c r="J4444" s="175">
        <v>12877045000</v>
      </c>
      <c r="K4444" s="188" t="s">
        <v>9873</v>
      </c>
      <c r="L4444" s="62">
        <v>24352398</v>
      </c>
      <c r="M4444" s="30">
        <v>5214641590653</v>
      </c>
      <c r="N4444" s="171" t="s">
        <v>106</v>
      </c>
      <c r="O4444" s="43">
        <v>7391.72</v>
      </c>
      <c r="P4444" s="43">
        <v>1957.2</v>
      </c>
      <c r="Q4444" s="230">
        <f>OfficeForms.Table[[#This Row],[ INFORMEDEPAGO ]]*0.3</f>
        <v>2217.5160000000001</v>
      </c>
      <c r="R4444" s="231">
        <f>(IF(O4444&lt;4172.98,0,MIN(O4444*0.3,O4444-4172.98)))-P4444</f>
        <v>260.31600000000003</v>
      </c>
      <c r="S4444" s="74">
        <v>45748</v>
      </c>
      <c r="T4444" s="239" t="s">
        <v>9874</v>
      </c>
      <c r="U4444" s="43">
        <v>1957.2</v>
      </c>
      <c r="V4444" s="1" t="s">
        <v>8915</v>
      </c>
      <c r="W4444" s="29">
        <v>46274</v>
      </c>
    </row>
    <row r="4445" spans="1:24">
      <c r="A4445">
        <v>2876</v>
      </c>
      <c r="B4445" s="2">
        <v>46274.651435185202</v>
      </c>
      <c r="C4445" s="2">
        <v>46274.685034722199</v>
      </c>
      <c r="D4445" s="1" t="s">
        <v>24</v>
      </c>
      <c r="E4445" s="1"/>
      <c r="F4445" s="29">
        <v>46274</v>
      </c>
      <c r="G4445" s="29">
        <v>46274</v>
      </c>
      <c r="H4445" s="1" t="s">
        <v>8381</v>
      </c>
      <c r="I4445" s="175" t="s">
        <v>9875</v>
      </c>
      <c r="J4445" s="175"/>
      <c r="K4445" s="188" t="s">
        <v>9876</v>
      </c>
      <c r="L4445" s="62">
        <v>24352634</v>
      </c>
      <c r="M4445" s="30">
        <v>5217291085374</v>
      </c>
      <c r="N4445" s="171" t="s">
        <v>47</v>
      </c>
      <c r="O4445" s="50">
        <v>4813.6899999999996</v>
      </c>
      <c r="P4445" s="97"/>
      <c r="Q4445" s="230">
        <f>OfficeForms.Table[[#This Row],[ INFORMEDEPAGO ]]*0.3</f>
        <v>1444.1069999999997</v>
      </c>
      <c r="R4445" s="231">
        <f>(IF(O4445&lt;4172.98,0,MIN(O4445*0.3,O4445-4172.98)))-P4445</f>
        <v>640.71</v>
      </c>
      <c r="T4445" s="239"/>
      <c r="U4445" s="97"/>
      <c r="V4445" s="1" t="s">
        <v>8233</v>
      </c>
      <c r="W4445" s="29">
        <v>46274</v>
      </c>
    </row>
    <row r="4446" spans="1:24">
      <c r="A4446">
        <v>2877</v>
      </c>
      <c r="B4446" s="2">
        <v>46274.669143518498</v>
      </c>
      <c r="C4446" s="2">
        <v>46274.696689814802</v>
      </c>
      <c r="D4446" s="1" t="s">
        <v>24</v>
      </c>
      <c r="E4446" s="1"/>
      <c r="F4446" s="29">
        <v>46274</v>
      </c>
      <c r="G4446" s="29">
        <v>46269</v>
      </c>
      <c r="H4446" s="1" t="s">
        <v>51</v>
      </c>
      <c r="I4446" s="175" t="s">
        <v>9877</v>
      </c>
      <c r="J4446" s="175">
        <v>1574520300</v>
      </c>
      <c r="K4446" s="188" t="s">
        <v>9878</v>
      </c>
      <c r="L4446" s="62">
        <v>24253574</v>
      </c>
      <c r="M4446" s="30">
        <v>5217771946002</v>
      </c>
      <c r="N4446" s="171" t="s">
        <v>37</v>
      </c>
      <c r="O4446" s="43">
        <v>5055.88</v>
      </c>
      <c r="P4446" s="43">
        <v>1221.6300000000001</v>
      </c>
      <c r="Q4446" s="230">
        <f>OfficeForms.Table[[#This Row],[ INFORMEDEPAGO ]]*0.3</f>
        <v>1516.7639999999999</v>
      </c>
      <c r="R4446" s="231">
        <f>(IF(O4446&lt;4172.98,0,MIN(O4446*0.3,O4446-4172.98)))-P4446</f>
        <v>-338.72999999999956</v>
      </c>
      <c r="S4446" s="74">
        <v>46661</v>
      </c>
      <c r="T4446" s="239" t="s">
        <v>8415</v>
      </c>
      <c r="U4446" s="43">
        <v>1221.6300000000001</v>
      </c>
      <c r="V4446" s="1"/>
    </row>
    <row r="4447" spans="1:24">
      <c r="A4447">
        <v>2878</v>
      </c>
      <c r="B4447" s="2">
        <v>46274.696712962999</v>
      </c>
      <c r="C4447" s="2">
        <v>46274.706909722197</v>
      </c>
      <c r="D4447" s="1" t="s">
        <v>24</v>
      </c>
      <c r="E4447" s="1"/>
      <c r="F4447" s="29">
        <v>46274</v>
      </c>
      <c r="G4447" s="29">
        <v>46273</v>
      </c>
      <c r="H4447" s="1" t="s">
        <v>51</v>
      </c>
      <c r="I4447" s="175" t="s">
        <v>9879</v>
      </c>
      <c r="J4447" s="175">
        <v>6569513128</v>
      </c>
      <c r="K4447" s="188" t="s">
        <v>9880</v>
      </c>
      <c r="L4447" s="62">
        <v>24329456</v>
      </c>
      <c r="M4447" s="30">
        <v>5219811814199</v>
      </c>
      <c r="N4447" s="171" t="s">
        <v>37</v>
      </c>
      <c r="O4447" s="52">
        <v>14303.57</v>
      </c>
      <c r="P4447" s="52">
        <v>4266.1400000000003</v>
      </c>
      <c r="Q4447" s="230">
        <f>OfficeForms.Table[[#This Row],[ INFORMEDEPAGO ]]*0.3</f>
        <v>4291.0709999999999</v>
      </c>
      <c r="R4447" s="231">
        <f>(IF(O4447&lt;4172.98,0,MIN(O4447*0.3,O4447-4172.98)))-P4447</f>
        <v>24.930999999999585</v>
      </c>
      <c r="S4447" s="74">
        <v>46905</v>
      </c>
      <c r="T4447" s="239" t="s">
        <v>259</v>
      </c>
      <c r="U4447" s="52">
        <v>4266.1400000000003</v>
      </c>
      <c r="V4447" s="1"/>
    </row>
    <row r="4448" spans="1:24">
      <c r="A4448">
        <v>2879</v>
      </c>
      <c r="B4448" s="2">
        <v>46274.709178240701</v>
      </c>
      <c r="C4448" s="2">
        <v>46274.709895833301</v>
      </c>
      <c r="D4448" s="1" t="s">
        <v>24</v>
      </c>
      <c r="E4448" s="1"/>
      <c r="F4448" s="29">
        <v>46274</v>
      </c>
      <c r="G4448" s="29">
        <v>46274</v>
      </c>
      <c r="H4448" s="1" t="s">
        <v>8253</v>
      </c>
      <c r="I4448" s="175" t="s">
        <v>9881</v>
      </c>
      <c r="J4448" s="175"/>
      <c r="K4448" s="188" t="s">
        <v>9882</v>
      </c>
      <c r="L4448" s="62">
        <v>24356246</v>
      </c>
      <c r="M4448" s="30">
        <v>8180169985</v>
      </c>
      <c r="N4448" s="171" t="s">
        <v>37</v>
      </c>
      <c r="O4448" s="52">
        <v>12374.24</v>
      </c>
      <c r="P4448" s="52">
        <v>3708.35</v>
      </c>
      <c r="Q4448" s="230">
        <f>OfficeForms.Table[[#This Row],[ INFORMEDEPAGO ]]*0.3</f>
        <v>3712.2719999999999</v>
      </c>
      <c r="R4448" s="231">
        <f>(IF(O4448&lt;4172.98,0,MIN(O4448*0.3,O4448-4172.98)))-P4448</f>
        <v>3.9220000000000255</v>
      </c>
      <c r="S4448" s="74">
        <v>46296</v>
      </c>
      <c r="T4448" s="239" t="s">
        <v>192</v>
      </c>
      <c r="U4448" s="99">
        <v>1313.41</v>
      </c>
      <c r="V4448" s="1"/>
    </row>
    <row r="4449" spans="1:23">
      <c r="A4449">
        <v>2880</v>
      </c>
      <c r="B4449" s="2">
        <v>46274.593541666698</v>
      </c>
      <c r="C4449" s="2">
        <v>46274.7175810185</v>
      </c>
      <c r="D4449" s="1" t="s">
        <v>24</v>
      </c>
      <c r="E4449" s="1"/>
      <c r="F4449" s="29">
        <v>46274</v>
      </c>
      <c r="G4449" s="29">
        <v>46274</v>
      </c>
      <c r="H4449" s="1" t="s">
        <v>1625</v>
      </c>
      <c r="I4449" s="175" t="s">
        <v>9883</v>
      </c>
      <c r="J4449" s="175">
        <v>11735346238</v>
      </c>
      <c r="K4449" s="188" t="s">
        <v>9884</v>
      </c>
      <c r="L4449" s="62">
        <v>2</v>
      </c>
      <c r="M4449" s="30">
        <v>5638176525</v>
      </c>
      <c r="N4449" s="171" t="s">
        <v>32</v>
      </c>
      <c r="O4449" s="52">
        <v>4124.62</v>
      </c>
      <c r="P4449" s="52">
        <v>848</v>
      </c>
      <c r="Q4449" s="230">
        <f>OfficeForms.Table[[#This Row],[ INFORMEDEPAGO ]]*0.3</f>
        <v>1237.386</v>
      </c>
      <c r="R4449" s="231">
        <f t="shared" ref="R4449:R4450" si="340">(IF(O4449&lt;4172.98,0,MIN(O4449*0.3,O4449-4172.98)))-P4449</f>
        <v>-848</v>
      </c>
      <c r="T4449" s="239"/>
      <c r="U4449" s="99"/>
      <c r="V4449" s="1"/>
    </row>
    <row r="4450" spans="1:23">
      <c r="A4450">
        <v>2881</v>
      </c>
      <c r="B4450" s="2">
        <v>46274.716296296298</v>
      </c>
      <c r="C4450" s="2">
        <v>46274.722430555601</v>
      </c>
      <c r="D4450" s="1" t="s">
        <v>24</v>
      </c>
      <c r="E4450" s="1"/>
      <c r="F4450" s="29">
        <v>46274</v>
      </c>
      <c r="G4450" s="29">
        <v>46274</v>
      </c>
      <c r="H4450" s="1" t="s">
        <v>78</v>
      </c>
      <c r="I4450" s="175" t="s">
        <v>9885</v>
      </c>
      <c r="J4450" s="175"/>
      <c r="K4450" s="188" t="s">
        <v>9886</v>
      </c>
      <c r="L4450" s="62">
        <v>24350406</v>
      </c>
      <c r="M4450" s="30">
        <v>5216645421908</v>
      </c>
      <c r="N4450" s="171" t="s">
        <v>37</v>
      </c>
      <c r="O4450" s="52">
        <v>9081.52</v>
      </c>
      <c r="P4450" s="52">
        <v>2714.73</v>
      </c>
      <c r="Q4450" s="230">
        <f>OfficeForms.Table[[#This Row],[ INFORMEDEPAGO ]]*0.3</f>
        <v>2724.4560000000001</v>
      </c>
      <c r="R4450" s="231">
        <f t="shared" si="340"/>
        <v>9.7260000000001128</v>
      </c>
      <c r="S4450" s="74">
        <v>46296</v>
      </c>
      <c r="T4450" s="239" t="s">
        <v>7209</v>
      </c>
      <c r="U4450" s="99">
        <v>2514.86</v>
      </c>
      <c r="V4450" s="1"/>
    </row>
    <row r="4451" spans="1:23">
      <c r="A4451">
        <v>2882</v>
      </c>
      <c r="B4451" s="2">
        <v>46274.706921296303</v>
      </c>
      <c r="C4451" s="2">
        <v>46274.724768518499</v>
      </c>
      <c r="D4451" s="1" t="s">
        <v>24</v>
      </c>
      <c r="E4451" s="1"/>
      <c r="F4451" s="29">
        <v>46274</v>
      </c>
      <c r="G4451" s="29">
        <v>46274</v>
      </c>
      <c r="H4451" s="1" t="s">
        <v>51</v>
      </c>
      <c r="I4451" s="175" t="s">
        <v>9887</v>
      </c>
      <c r="J4451" s="175">
        <v>65705120114</v>
      </c>
      <c r="K4451" s="188"/>
      <c r="L4451" s="62">
        <v>24351132</v>
      </c>
      <c r="M4451" s="30">
        <v>5212299194763</v>
      </c>
      <c r="N4451" s="171" t="s">
        <v>37</v>
      </c>
      <c r="O4451" s="52">
        <v>9760.32</v>
      </c>
      <c r="P4451" s="52">
        <v>2735.16</v>
      </c>
      <c r="Q4451" s="230">
        <f>OfficeForms.Table[[#This Row],[ INFORMEDEPAGO ]]*0.3</f>
        <v>2928.096</v>
      </c>
      <c r="R4451" s="231">
        <f t="shared" ref="R4451:R4452" si="341">(IF(O4451&lt;4172.98,0,MIN(O4451*0.3,O4451-4172.98)))-P4451</f>
        <v>192.93600000000015</v>
      </c>
      <c r="S4451" s="74">
        <v>46600</v>
      </c>
      <c r="T4451" s="239" t="s">
        <v>7209</v>
      </c>
      <c r="U4451" s="52">
        <v>2735.16</v>
      </c>
      <c r="V4451" s="1"/>
    </row>
    <row r="4452" spans="1:23">
      <c r="A4452">
        <v>2883</v>
      </c>
      <c r="B4452" s="2">
        <v>46274.723518518498</v>
      </c>
      <c r="C4452" s="2">
        <v>46274.727430555598</v>
      </c>
      <c r="D4452" s="1" t="s">
        <v>24</v>
      </c>
      <c r="E4452" s="1"/>
      <c r="F4452" s="29">
        <v>46274</v>
      </c>
      <c r="G4452" s="29">
        <v>46274</v>
      </c>
      <c r="H4452" s="1" t="s">
        <v>78</v>
      </c>
      <c r="I4452" s="175" t="s">
        <v>9888</v>
      </c>
      <c r="J4452" s="175">
        <v>55935601272</v>
      </c>
      <c r="K4452" s="188" t="s">
        <v>9889</v>
      </c>
      <c r="L4452" s="62">
        <v>24356106</v>
      </c>
      <c r="M4452" s="30">
        <v>5216671017758</v>
      </c>
      <c r="N4452" s="171" t="s">
        <v>32</v>
      </c>
      <c r="O4452" s="67">
        <f>909.96+429.12+2860.79</f>
        <v>4199.87</v>
      </c>
      <c r="P4452" s="99">
        <v>848</v>
      </c>
      <c r="Q4452" s="230">
        <f>OfficeForms.Table[[#This Row],[ INFORMEDEPAGO ]]*0.3</f>
        <v>1259.961</v>
      </c>
      <c r="R4452" s="231">
        <f t="shared" si="341"/>
        <v>-821.10999999999967</v>
      </c>
      <c r="T4452" s="239"/>
      <c r="U4452" s="99"/>
      <c r="V4452" s="1"/>
    </row>
    <row r="4453" spans="1:23">
      <c r="A4453">
        <v>2884</v>
      </c>
      <c r="B4453" s="2">
        <v>46274.717615740701</v>
      </c>
      <c r="C4453" s="2">
        <v>46274.734351851803</v>
      </c>
      <c r="D4453" s="1" t="s">
        <v>24</v>
      </c>
      <c r="E4453" s="1"/>
      <c r="F4453" s="29">
        <v>46274</v>
      </c>
      <c r="G4453" s="29">
        <v>46274</v>
      </c>
      <c r="H4453" s="1" t="s">
        <v>1625</v>
      </c>
      <c r="I4453" s="175" t="s">
        <v>9890</v>
      </c>
      <c r="J4453" s="175">
        <v>53967562280</v>
      </c>
      <c r="K4453" s="188" t="s">
        <v>9891</v>
      </c>
      <c r="L4453" s="62">
        <v>2</v>
      </c>
      <c r="M4453" s="30" t="s">
        <v>9892</v>
      </c>
      <c r="N4453" s="171" t="s">
        <v>32</v>
      </c>
      <c r="O4453" s="52">
        <v>4482.5600000000004</v>
      </c>
      <c r="P4453" s="52">
        <v>848</v>
      </c>
      <c r="Q4453" s="230">
        <f>OfficeForms.Table[[#This Row],[ INFORMEDEPAGO ]]*0.3</f>
        <v>1344.768</v>
      </c>
      <c r="R4453" s="231">
        <f t="shared" ref="R4453:R4457" si="342">(IF(O4453&lt;4172.98,0,MIN(O4453*0.3,O4453-4172.98)))-P4453</f>
        <v>-538.41999999999916</v>
      </c>
      <c r="T4453" s="239"/>
      <c r="U4453" s="99"/>
      <c r="V4453" s="1"/>
    </row>
    <row r="4454" spans="1:23">
      <c r="A4454">
        <v>2885</v>
      </c>
      <c r="B4454" s="2">
        <v>46274.678194444401</v>
      </c>
      <c r="C4454" s="2">
        <v>46274.735532407401</v>
      </c>
      <c r="D4454" s="1" t="s">
        <v>24</v>
      </c>
      <c r="E4454" s="1"/>
      <c r="F4454" s="29">
        <v>46274</v>
      </c>
      <c r="G4454" s="29">
        <v>46273</v>
      </c>
      <c r="H4454" s="1" t="s">
        <v>269</v>
      </c>
      <c r="I4454" s="175" t="s">
        <v>9893</v>
      </c>
      <c r="J4454" s="175"/>
      <c r="K4454" s="188" t="s">
        <v>9894</v>
      </c>
      <c r="L4454" s="62">
        <v>24330248</v>
      </c>
      <c r="M4454" s="30">
        <v>5213318452357</v>
      </c>
      <c r="N4454" s="171" t="s">
        <v>28</v>
      </c>
      <c r="O4454" s="67">
        <v>9760.32</v>
      </c>
      <c r="P4454" s="99"/>
      <c r="Q4454" s="230">
        <f>OfficeForms.Table[[#This Row],[ INFORMEDEPAGO ]]*0.3</f>
        <v>2928.096</v>
      </c>
      <c r="R4454" s="231">
        <f t="shared" si="342"/>
        <v>2928.096</v>
      </c>
      <c r="T4454" s="239"/>
      <c r="U4454" s="99"/>
      <c r="V4454" s="1" t="s">
        <v>8409</v>
      </c>
      <c r="W4454" s="29">
        <v>46274</v>
      </c>
    </row>
    <row r="4455" spans="1:23">
      <c r="A4455">
        <v>2886</v>
      </c>
      <c r="B4455" s="2">
        <v>46274.735671296301</v>
      </c>
      <c r="C4455" s="2">
        <v>46274.736469907402</v>
      </c>
      <c r="D4455" s="1" t="s">
        <v>24</v>
      </c>
      <c r="E4455" s="1"/>
      <c r="F4455" s="29">
        <v>46274</v>
      </c>
      <c r="G4455" s="29">
        <v>46273</v>
      </c>
      <c r="H4455" s="1" t="s">
        <v>269</v>
      </c>
      <c r="I4455" s="175" t="s">
        <v>9895</v>
      </c>
      <c r="J4455" s="175"/>
      <c r="K4455" s="188" t="s">
        <v>9896</v>
      </c>
      <c r="L4455" s="62">
        <v>24329484</v>
      </c>
      <c r="M4455" s="30">
        <v>5214402035045</v>
      </c>
      <c r="N4455" s="171" t="s">
        <v>32</v>
      </c>
      <c r="O4455" s="52">
        <v>3882.85</v>
      </c>
      <c r="P4455" s="52">
        <v>848</v>
      </c>
      <c r="Q4455" s="230">
        <f>OfficeForms.Table[[#This Row],[ INFORMEDEPAGO ]]*0.3</f>
        <v>1164.855</v>
      </c>
      <c r="R4455" s="231">
        <f t="shared" si="342"/>
        <v>-848</v>
      </c>
      <c r="T4455" s="239"/>
      <c r="U4455" s="99"/>
      <c r="V4455" s="1"/>
    </row>
    <row r="4456" spans="1:23">
      <c r="A4456">
        <v>2887</v>
      </c>
      <c r="B4456" s="2">
        <v>46274.740578703699</v>
      </c>
      <c r="C4456" s="2">
        <v>46274.7444328704</v>
      </c>
      <c r="D4456" s="1" t="s">
        <v>24</v>
      </c>
      <c r="E4456" s="1"/>
      <c r="F4456" s="29">
        <v>46274</v>
      </c>
      <c r="G4456" s="29">
        <v>46274</v>
      </c>
      <c r="H4456" s="1" t="s">
        <v>8028</v>
      </c>
      <c r="I4456" s="175" t="s">
        <v>9897</v>
      </c>
      <c r="J4456" s="175">
        <v>78875902062</v>
      </c>
      <c r="K4456" s="188" t="s">
        <v>9898</v>
      </c>
      <c r="L4456" s="62">
        <v>24355848</v>
      </c>
      <c r="M4456" s="30">
        <v>5214432665699</v>
      </c>
      <c r="N4456" s="171" t="s">
        <v>37</v>
      </c>
      <c r="O4456" s="43">
        <v>6262.86</v>
      </c>
      <c r="P4456" s="43">
        <v>1811</v>
      </c>
      <c r="Q4456" s="230">
        <f>OfficeForms.Table[[#This Row],[ INFORMEDEPAGO ]]*0.3</f>
        <v>1878.8579999999997</v>
      </c>
      <c r="R4456" s="231">
        <f t="shared" si="342"/>
        <v>67.85799999999972</v>
      </c>
      <c r="S4456" s="74">
        <v>46419</v>
      </c>
      <c r="T4456" s="239" t="s">
        <v>7209</v>
      </c>
      <c r="U4456" s="43">
        <v>1811</v>
      </c>
      <c r="V4456" s="1"/>
    </row>
    <row r="4457" spans="1:23">
      <c r="A4457">
        <v>2888</v>
      </c>
      <c r="B4457" s="2">
        <v>46274.734386574099</v>
      </c>
      <c r="C4457" s="2">
        <v>46274.744548611103</v>
      </c>
      <c r="D4457" s="1" t="s">
        <v>24</v>
      </c>
      <c r="E4457" s="1"/>
      <c r="F4457" s="29">
        <v>46274</v>
      </c>
      <c r="G4457" s="29">
        <v>46274</v>
      </c>
      <c r="H4457" s="1" t="s">
        <v>1625</v>
      </c>
      <c r="I4457" s="175" t="s">
        <v>9899</v>
      </c>
      <c r="J4457" s="175" t="s">
        <v>9900</v>
      </c>
      <c r="K4457" s="188" t="s">
        <v>9901</v>
      </c>
      <c r="L4457" s="62">
        <v>2</v>
      </c>
      <c r="M4457" s="30" t="s">
        <v>9902</v>
      </c>
      <c r="N4457" s="171" t="s">
        <v>106</v>
      </c>
      <c r="O4457" s="43">
        <v>7920.51</v>
      </c>
      <c r="P4457" s="43">
        <v>1228.47</v>
      </c>
      <c r="Q4457" s="230">
        <f>OfficeForms.Table[[#This Row],[ INFORMEDEPAGO ]]*0.3</f>
        <v>2376.1529999999998</v>
      </c>
      <c r="R4457" s="231">
        <f t="shared" si="342"/>
        <v>1147.6829999999998</v>
      </c>
      <c r="S4457" s="74">
        <v>46204</v>
      </c>
      <c r="T4457" s="239" t="s">
        <v>7516</v>
      </c>
      <c r="U4457" s="43">
        <v>1228.47</v>
      </c>
      <c r="V4457" s="1"/>
    </row>
    <row r="4458" spans="1:23">
      <c r="A4458">
        <v>2889</v>
      </c>
      <c r="B4458" s="2">
        <v>46274.6850694444</v>
      </c>
      <c r="C4458" s="2">
        <v>46274.751585648097</v>
      </c>
      <c r="D4458" s="1" t="s">
        <v>24</v>
      </c>
      <c r="E4458" s="1"/>
      <c r="F4458" s="29">
        <v>46274</v>
      </c>
      <c r="G4458" s="29">
        <v>46270</v>
      </c>
      <c r="H4458" s="1" t="s">
        <v>8381</v>
      </c>
      <c r="I4458" s="175" t="s">
        <v>9903</v>
      </c>
      <c r="J4458" s="175"/>
      <c r="K4458" s="188" t="s">
        <v>9904</v>
      </c>
      <c r="L4458" s="62">
        <v>24263358</v>
      </c>
      <c r="M4458" s="30">
        <v>5215582945144</v>
      </c>
      <c r="N4458" s="171" t="s">
        <v>28</v>
      </c>
      <c r="O4458" s="67">
        <v>6262.86</v>
      </c>
      <c r="P4458" s="99"/>
      <c r="Q4458" s="230">
        <f>OfficeForms.Table[[#This Row],[ INFORMEDEPAGO ]]*0.3</f>
        <v>1878.8579999999997</v>
      </c>
      <c r="R4458" s="231">
        <f>(IF(O4458&lt;4172.98,0,MIN(O4458*0.3,O4458-4172.98)))-P4458</f>
        <v>1878.8579999999997</v>
      </c>
      <c r="T4458" s="239"/>
      <c r="U4458" s="99"/>
      <c r="V4458" s="1" t="s">
        <v>8409</v>
      </c>
      <c r="W4458" s="29">
        <v>46274</v>
      </c>
    </row>
    <row r="4459" spans="1:23">
      <c r="A4459">
        <v>2890</v>
      </c>
      <c r="B4459" s="2">
        <v>46274.6793287037</v>
      </c>
      <c r="C4459" s="2">
        <v>46274.755277777796</v>
      </c>
      <c r="D4459" s="1" t="s">
        <v>24</v>
      </c>
      <c r="E4459" s="1"/>
      <c r="F4459" s="29">
        <v>46274</v>
      </c>
      <c r="G4459" s="29">
        <v>46274</v>
      </c>
      <c r="H4459" s="1" t="s">
        <v>8721</v>
      </c>
      <c r="I4459" s="175" t="s">
        <v>9905</v>
      </c>
      <c r="J4459" s="175">
        <v>43866620206</v>
      </c>
      <c r="K4459" s="188" t="s">
        <v>9906</v>
      </c>
      <c r="L4459" s="62">
        <v>24351770</v>
      </c>
      <c r="M4459" s="30">
        <v>8131218568</v>
      </c>
      <c r="N4459" s="171" t="s">
        <v>47</v>
      </c>
      <c r="O4459" s="52">
        <v>12329.54</v>
      </c>
      <c r="P4459" s="52">
        <v>2975.95</v>
      </c>
      <c r="Q4459" s="230">
        <f>OfficeForms.Table[[#This Row],[ INFORMEDEPAGO ]]*0.3</f>
        <v>3698.8620000000001</v>
      </c>
      <c r="R4459" s="231">
        <f>(IF(O4459&lt;4172.98,0,MIN(O4459*0.3,O4459-4172.98)))-P4459</f>
        <v>722.91200000000026</v>
      </c>
      <c r="S4459" s="74">
        <v>46966</v>
      </c>
      <c r="T4459" s="239" t="s">
        <v>259</v>
      </c>
      <c r="U4459" s="52">
        <v>2975.95</v>
      </c>
      <c r="V4459" s="1" t="s">
        <v>8233</v>
      </c>
      <c r="W4459" s="29">
        <v>46274</v>
      </c>
    </row>
    <row r="4460" spans="1:23">
      <c r="A4460">
        <v>2891</v>
      </c>
      <c r="B4460" s="2">
        <v>46274.750532407401</v>
      </c>
      <c r="C4460" s="2">
        <v>46274.757106481498</v>
      </c>
      <c r="D4460" s="1" t="s">
        <v>24</v>
      </c>
      <c r="E4460" s="1"/>
      <c r="F4460" s="29">
        <v>46274</v>
      </c>
      <c r="G4460" s="29">
        <v>46274</v>
      </c>
      <c r="H4460" s="1" t="s">
        <v>78</v>
      </c>
      <c r="I4460" s="175" t="s">
        <v>9907</v>
      </c>
      <c r="J4460" s="175"/>
      <c r="K4460" s="188" t="s">
        <v>9908</v>
      </c>
      <c r="L4460" s="62">
        <v>24356560</v>
      </c>
      <c r="M4460" s="30">
        <v>5215560251836</v>
      </c>
      <c r="N4460" s="171" t="s">
        <v>28</v>
      </c>
      <c r="O4460" s="52">
        <v>9081.52</v>
      </c>
      <c r="P4460" s="52">
        <v>848</v>
      </c>
      <c r="Q4460" s="230">
        <f>OfficeForms.Table[[#This Row],[ INFORMEDEPAGO ]]*0.3</f>
        <v>2724.4560000000001</v>
      </c>
      <c r="R4460" s="231">
        <f>(IF(O4460&lt;4172.98,0,MIN(O4460*0.3,O4460-4172.98)))-P4460</f>
        <v>1876.4560000000001</v>
      </c>
      <c r="T4460" s="239"/>
      <c r="U4460" s="99"/>
      <c r="V4460" s="1" t="s">
        <v>8409</v>
      </c>
      <c r="W4460" s="29">
        <v>46274</v>
      </c>
    </row>
    <row r="4461" spans="1:23">
      <c r="A4461">
        <v>2892</v>
      </c>
      <c r="B4461" s="2">
        <v>46274.7570023148</v>
      </c>
      <c r="C4461" s="2">
        <v>46274.7586689815</v>
      </c>
      <c r="D4461" s="1" t="s">
        <v>24</v>
      </c>
      <c r="E4461" s="1"/>
      <c r="F4461" s="29">
        <v>46274</v>
      </c>
      <c r="G4461" s="29">
        <v>46274</v>
      </c>
      <c r="H4461" s="1" t="s">
        <v>8253</v>
      </c>
      <c r="I4461" s="175" t="s">
        <v>9909</v>
      </c>
      <c r="J4461" s="175"/>
      <c r="K4461" s="188" t="s">
        <v>9910</v>
      </c>
      <c r="L4461" s="62">
        <v>24335868</v>
      </c>
      <c r="M4461" s="30">
        <v>3331969855</v>
      </c>
      <c r="N4461" s="171" t="s">
        <v>37</v>
      </c>
      <c r="O4461" s="43">
        <v>8539.89</v>
      </c>
      <c r="P4461" s="43">
        <v>2469.8200000000002</v>
      </c>
      <c r="Q4461" s="230">
        <f>OfficeForms.Table[[#This Row],[ INFORMEDEPAGO ]]*0.3</f>
        <v>2561.9669999999996</v>
      </c>
      <c r="R4461" s="231">
        <f>(IF(O4461&lt;4172.98,0,MIN(O4461*0.3,O4461-4172.98)))-P4461</f>
        <v>92.14699999999948</v>
      </c>
      <c r="S4461" s="74">
        <v>46508</v>
      </c>
      <c r="T4461" s="239" t="s">
        <v>259</v>
      </c>
      <c r="U4461" s="43">
        <v>2469.8200000000002</v>
      </c>
      <c r="V4461" s="1"/>
    </row>
    <row r="4462" spans="1:23">
      <c r="A4462">
        <v>2893</v>
      </c>
      <c r="B4462" s="2">
        <v>46274.784664351901</v>
      </c>
      <c r="C4462" s="2">
        <v>46274.7902777778</v>
      </c>
      <c r="D4462" s="1" t="s">
        <v>24</v>
      </c>
      <c r="E4462" s="1"/>
      <c r="F4462" s="29">
        <v>46274</v>
      </c>
      <c r="G4462" s="29">
        <v>46274</v>
      </c>
      <c r="H4462" s="1" t="s">
        <v>8028</v>
      </c>
      <c r="I4462" s="175" t="s">
        <v>9911</v>
      </c>
      <c r="J4462" s="175"/>
      <c r="K4462" s="188" t="s">
        <v>9912</v>
      </c>
      <c r="L4462" s="62">
        <v>24356750</v>
      </c>
      <c r="M4462" s="30">
        <v>5214191181526</v>
      </c>
      <c r="N4462" s="171" t="s">
        <v>37</v>
      </c>
      <c r="O4462" s="52">
        <v>5772.28</v>
      </c>
      <c r="P4462" s="52">
        <v>1534.26</v>
      </c>
      <c r="Q4462" s="230">
        <f>OfficeForms.Table[[#This Row],[ INFORMEDEPAGO ]]*0.3</f>
        <v>1731.684</v>
      </c>
      <c r="R4462" s="231">
        <f t="shared" ref="R4462:R4463" si="343">(IF(O4462&lt;4172.98,0,MIN(O4462*0.3,O4462-4172.98)))-P4462</f>
        <v>65.040000000000191</v>
      </c>
      <c r="S4462" s="74">
        <v>46631</v>
      </c>
      <c r="T4462" s="239" t="s">
        <v>192</v>
      </c>
      <c r="U4462" s="52">
        <v>1534.26</v>
      </c>
      <c r="V4462" s="1"/>
    </row>
    <row r="4463" spans="1:23">
      <c r="A4463">
        <v>2894</v>
      </c>
      <c r="B4463" s="2">
        <v>46275.353344907402</v>
      </c>
      <c r="C4463" s="2">
        <v>46275.354212963</v>
      </c>
      <c r="D4463" s="1" t="s">
        <v>24</v>
      </c>
      <c r="E4463" s="1"/>
      <c r="F4463" s="29">
        <v>46275</v>
      </c>
      <c r="G4463" s="29">
        <v>46274</v>
      </c>
      <c r="H4463" s="1" t="s">
        <v>8253</v>
      </c>
      <c r="I4463" s="175" t="s">
        <v>9913</v>
      </c>
      <c r="J4463" s="175"/>
      <c r="K4463" s="188" t="s">
        <v>9914</v>
      </c>
      <c r="L4463" s="62">
        <v>24354170</v>
      </c>
      <c r="M4463" s="30">
        <v>5668019703</v>
      </c>
      <c r="N4463" s="171" t="s">
        <v>37</v>
      </c>
      <c r="O4463" s="52">
        <v>7120.4</v>
      </c>
      <c r="P4463" s="52">
        <v>1975.87</v>
      </c>
      <c r="Q4463" s="230">
        <f>OfficeForms.Table[[#This Row],[ INFORMEDEPAGO ]]*0.3</f>
        <v>2136.12</v>
      </c>
      <c r="R4463" s="231">
        <f t="shared" si="343"/>
        <v>160.25</v>
      </c>
      <c r="S4463" s="74">
        <v>46296</v>
      </c>
      <c r="T4463" s="239" t="s">
        <v>8338</v>
      </c>
      <c r="U4463" s="52">
        <v>1975.87</v>
      </c>
      <c r="V4463" s="1"/>
    </row>
    <row r="4464" spans="1:23">
      <c r="A4464">
        <v>2895</v>
      </c>
      <c r="B4464" s="2">
        <v>46275.373969907399</v>
      </c>
      <c r="C4464" s="2">
        <v>46275.374803240702</v>
      </c>
      <c r="D4464" s="1" t="s">
        <v>24</v>
      </c>
      <c r="E4464" s="1"/>
      <c r="F4464" s="29">
        <v>46275</v>
      </c>
      <c r="G4464" s="29">
        <v>46267</v>
      </c>
      <c r="H4464" s="1" t="s">
        <v>8253</v>
      </c>
      <c r="I4464" s="175" t="s">
        <v>9915</v>
      </c>
      <c r="J4464" s="175"/>
      <c r="K4464" s="188" t="s">
        <v>9916</v>
      </c>
      <c r="L4464" s="62">
        <v>24204336</v>
      </c>
      <c r="M4464" s="30">
        <v>8721369020</v>
      </c>
      <c r="N4464" s="171" t="s">
        <v>37</v>
      </c>
      <c r="O4464" s="52">
        <v>9760.32</v>
      </c>
      <c r="P4464" s="52">
        <v>2927.86</v>
      </c>
      <c r="Q4464" s="230">
        <f>OfficeForms.Table[[#This Row],[ INFORMEDEPAGO ]]*0.3</f>
        <v>2928.096</v>
      </c>
      <c r="R4464" s="231">
        <f t="shared" ref="R4464" si="344">(IF(O4464&lt;4172.98,0,MIN(O4464*0.3,O4464-4172.98)))-P4464</f>
        <v>0.23599999999987631</v>
      </c>
      <c r="S4464" s="74">
        <v>46905</v>
      </c>
      <c r="T4464" s="239" t="s">
        <v>8452</v>
      </c>
      <c r="U4464" s="52">
        <v>2927.86</v>
      </c>
      <c r="V4464" s="1"/>
    </row>
    <row r="4465" spans="1:23">
      <c r="A4465">
        <v>2896</v>
      </c>
      <c r="B4465" s="2">
        <v>46275.320196759298</v>
      </c>
      <c r="C4465" s="2">
        <v>46275.392303240696</v>
      </c>
      <c r="D4465" s="1" t="s">
        <v>24</v>
      </c>
      <c r="E4465" s="1"/>
      <c r="F4465" s="29">
        <v>46275</v>
      </c>
      <c r="G4465" s="29">
        <v>46275</v>
      </c>
      <c r="H4465" s="1" t="s">
        <v>1625</v>
      </c>
      <c r="I4465" s="175" t="s">
        <v>9917</v>
      </c>
      <c r="J4465" s="175">
        <v>72806328588</v>
      </c>
      <c r="K4465" s="188" t="s">
        <v>9918</v>
      </c>
      <c r="L4465" s="62">
        <v>2</v>
      </c>
      <c r="M4465" s="30">
        <v>5614485087</v>
      </c>
      <c r="N4465" s="171" t="s">
        <v>37</v>
      </c>
      <c r="O4465" s="52">
        <v>7920.51</v>
      </c>
      <c r="P4465" s="52">
        <v>2291.6</v>
      </c>
      <c r="Q4465" s="230">
        <f>OfficeForms.Table[[#This Row],[ INFORMEDEPAGO ]]*0.3</f>
        <v>2376.1529999999998</v>
      </c>
      <c r="R4465" s="231">
        <f t="shared" ref="R4465:R4467" si="345">(IF(O4465&lt;4172.98,0,MIN(O4465*0.3,O4465-4172.98)))-P4465</f>
        <v>84.552999999999884</v>
      </c>
      <c r="S4465" s="74">
        <v>46539</v>
      </c>
      <c r="T4465" s="239" t="s">
        <v>7516</v>
      </c>
      <c r="U4465" s="52">
        <v>2291.6</v>
      </c>
      <c r="V4465" s="1"/>
    </row>
    <row r="4466" spans="1:23">
      <c r="A4466">
        <v>2897</v>
      </c>
      <c r="B4466" s="2">
        <v>46275.393796296303</v>
      </c>
      <c r="C4466" s="2">
        <v>46275.395613425899</v>
      </c>
      <c r="D4466" s="1" t="s">
        <v>24</v>
      </c>
      <c r="E4466" s="1"/>
      <c r="F4466" s="29">
        <v>46275</v>
      </c>
      <c r="G4466" s="29">
        <v>46274</v>
      </c>
      <c r="H4466" s="1" t="s">
        <v>269</v>
      </c>
      <c r="I4466" s="175" t="s">
        <v>9919</v>
      </c>
      <c r="J4466" s="207" t="s">
        <v>9920</v>
      </c>
      <c r="K4466" s="188" t="s">
        <v>9921</v>
      </c>
      <c r="L4466" s="62">
        <v>24359342</v>
      </c>
      <c r="M4466" s="30">
        <v>5218715718807</v>
      </c>
      <c r="N4466" s="171" t="s">
        <v>37</v>
      </c>
      <c r="O4466" s="52">
        <v>24083.74</v>
      </c>
      <c r="P4466" s="52">
        <v>6967.69</v>
      </c>
      <c r="Q4466" s="230">
        <f>OfficeForms.Table[[#This Row],[ INFORMEDEPAGO ]]*0.3</f>
        <v>7225.1220000000003</v>
      </c>
      <c r="R4466" s="231">
        <f t="shared" si="345"/>
        <v>257.4320000000007</v>
      </c>
      <c r="S4466" s="74">
        <v>46419</v>
      </c>
      <c r="T4466" s="239" t="s">
        <v>9097</v>
      </c>
      <c r="U4466" s="99">
        <v>3906.53</v>
      </c>
      <c r="V4466" s="1"/>
    </row>
    <row r="4467" spans="1:23">
      <c r="A4467">
        <v>2898</v>
      </c>
      <c r="B4467" s="2">
        <v>46275.392326388901</v>
      </c>
      <c r="C4467" s="2">
        <v>46275.396620370397</v>
      </c>
      <c r="D4467" s="1" t="s">
        <v>24</v>
      </c>
      <c r="E4467" s="1"/>
      <c r="F4467" s="29">
        <v>46275</v>
      </c>
      <c r="G4467" s="29">
        <v>46275</v>
      </c>
      <c r="H4467" s="1" t="s">
        <v>1625</v>
      </c>
      <c r="I4467" s="175" t="s">
        <v>9922</v>
      </c>
      <c r="J4467" s="175">
        <v>4856542180</v>
      </c>
      <c r="K4467" s="188" t="s">
        <v>9202</v>
      </c>
      <c r="L4467" s="62">
        <v>2</v>
      </c>
      <c r="M4467" s="30">
        <v>3348123651</v>
      </c>
      <c r="N4467" s="171" t="s">
        <v>32</v>
      </c>
      <c r="O4467" s="67">
        <v>4465.47</v>
      </c>
      <c r="P4467" s="99"/>
      <c r="Q4467" s="230">
        <f>OfficeForms.Table[[#This Row],[ INFORMEDEPAGO ]]*0.3</f>
        <v>1339.6410000000001</v>
      </c>
      <c r="R4467" s="231">
        <f t="shared" si="345"/>
        <v>292.49000000000069</v>
      </c>
      <c r="T4467" s="239"/>
      <c r="U4467" s="99"/>
      <c r="V4467" s="1"/>
    </row>
    <row r="4468" spans="1:23">
      <c r="A4468">
        <v>2899</v>
      </c>
      <c r="B4468" s="2">
        <v>46275.396666666697</v>
      </c>
      <c r="C4468" s="2">
        <v>46275.3993402778</v>
      </c>
      <c r="D4468" s="1" t="s">
        <v>24</v>
      </c>
      <c r="E4468" s="1"/>
      <c r="F4468" s="29">
        <v>46275</v>
      </c>
      <c r="G4468" s="29">
        <v>46275</v>
      </c>
      <c r="H4468" s="1" t="s">
        <v>1625</v>
      </c>
      <c r="I4468" s="175" t="s">
        <v>9923</v>
      </c>
      <c r="J4468" s="175">
        <v>32897183656</v>
      </c>
      <c r="K4468" s="188" t="s">
        <v>9924</v>
      </c>
      <c r="L4468" s="62">
        <v>2</v>
      </c>
      <c r="M4468" s="30">
        <v>8443325879</v>
      </c>
      <c r="N4468" s="171" t="s">
        <v>37</v>
      </c>
      <c r="O4468" s="67">
        <v>8107.76</v>
      </c>
      <c r="P4468" s="99">
        <v>2345.77</v>
      </c>
      <c r="Q4468" s="230">
        <f>OfficeForms.Table[[#This Row],[ INFORMEDEPAGO ]]*0.3</f>
        <v>2432.328</v>
      </c>
      <c r="R4468" s="231">
        <f t="shared" ref="R4468:R4469" si="346">(IF(O4468&lt;4172.98,0,MIN(O4468*0.3,O4468-4172.98)))-P4468</f>
        <v>86.557999999999993</v>
      </c>
      <c r="S4468" s="74">
        <v>46692</v>
      </c>
      <c r="T4468" s="239" t="s">
        <v>8319</v>
      </c>
      <c r="U4468" s="99">
        <v>2345.77</v>
      </c>
      <c r="V4468" s="1"/>
    </row>
    <row r="4469" spans="1:23">
      <c r="A4469">
        <v>2900</v>
      </c>
      <c r="B4469" s="2">
        <v>46275.399363425902</v>
      </c>
      <c r="C4469" s="2">
        <v>46275.404537037</v>
      </c>
      <c r="D4469" s="1" t="s">
        <v>24</v>
      </c>
      <c r="E4469" s="1"/>
      <c r="F4469" s="29">
        <v>46275</v>
      </c>
      <c r="G4469" s="29">
        <v>46275</v>
      </c>
      <c r="H4469" s="1" t="s">
        <v>1625</v>
      </c>
      <c r="I4469" s="175" t="s">
        <v>9925</v>
      </c>
      <c r="J4469" s="175" t="s">
        <v>9926</v>
      </c>
      <c r="K4469" s="188" t="s">
        <v>9927</v>
      </c>
      <c r="L4469" s="62">
        <v>2</v>
      </c>
      <c r="M4469" s="30">
        <v>8126034085</v>
      </c>
      <c r="N4469" s="171" t="s">
        <v>47</v>
      </c>
      <c r="O4469" s="52">
        <v>9081.5499999999993</v>
      </c>
      <c r="P4469" s="52">
        <v>1813</v>
      </c>
      <c r="Q4469" s="230">
        <f>OfficeForms.Table[[#This Row],[ INFORMEDEPAGO ]]*0.3</f>
        <v>2724.4649999999997</v>
      </c>
      <c r="R4469" s="231">
        <f t="shared" si="346"/>
        <v>911.46499999999969</v>
      </c>
      <c r="S4469" s="74">
        <v>46539</v>
      </c>
      <c r="T4469" s="239" t="s">
        <v>7209</v>
      </c>
      <c r="U4469" s="52">
        <v>1813</v>
      </c>
      <c r="V4469" s="1"/>
    </row>
    <row r="4470" spans="1:23">
      <c r="A4470">
        <v>2901</v>
      </c>
      <c r="B4470" s="2">
        <v>46275.420601851903</v>
      </c>
      <c r="C4470" s="2">
        <v>46275.421435185199</v>
      </c>
      <c r="D4470" s="1" t="s">
        <v>24</v>
      </c>
      <c r="E4470" s="1"/>
      <c r="F4470" s="29">
        <v>46275</v>
      </c>
      <c r="G4470" s="29">
        <v>46274</v>
      </c>
      <c r="H4470" s="1" t="s">
        <v>269</v>
      </c>
      <c r="I4470" s="175" t="s">
        <v>9928</v>
      </c>
      <c r="J4470" s="175"/>
      <c r="K4470" s="188" t="s">
        <v>9929</v>
      </c>
      <c r="L4470" s="62">
        <v>24328874</v>
      </c>
      <c r="M4470" s="30">
        <v>5215587282445</v>
      </c>
      <c r="N4470" s="171" t="s">
        <v>28</v>
      </c>
      <c r="O4470" s="67">
        <f>14728.26+848</f>
        <v>15576.26</v>
      </c>
      <c r="P4470" s="99">
        <v>848</v>
      </c>
      <c r="Q4470" s="230">
        <f>OfficeForms.Table[[#This Row],[ INFORMEDEPAGO ]]*0.3</f>
        <v>4672.8779999999997</v>
      </c>
      <c r="R4470" s="231">
        <f t="shared" ref="R4470" si="347">(IF(O4470&lt;4172.98,0,MIN(O4470*0.3,O4470-4172.98)))-P4470</f>
        <v>3824.8779999999997</v>
      </c>
      <c r="T4470" s="239"/>
      <c r="U4470" s="99"/>
      <c r="V4470" s="1" t="s">
        <v>8535</v>
      </c>
      <c r="W4470" s="29">
        <v>46275</v>
      </c>
    </row>
    <row r="4471" spans="1:23">
      <c r="A4471">
        <v>2902</v>
      </c>
      <c r="B4471" s="2">
        <v>46275.428587962997</v>
      </c>
      <c r="C4471" s="2">
        <v>46275.4297800926</v>
      </c>
      <c r="D4471" s="1" t="s">
        <v>24</v>
      </c>
      <c r="E4471" s="1"/>
      <c r="F4471" s="29">
        <v>46275</v>
      </c>
      <c r="G4471" s="29">
        <v>46275</v>
      </c>
      <c r="H4471" s="1" t="s">
        <v>269</v>
      </c>
      <c r="I4471" s="175" t="s">
        <v>9930</v>
      </c>
      <c r="J4471" s="207" t="s">
        <v>9931</v>
      </c>
      <c r="K4471" s="188" t="s">
        <v>9932</v>
      </c>
      <c r="L4471" s="62">
        <v>24362654</v>
      </c>
      <c r="M4471" s="30">
        <v>5215524059451</v>
      </c>
      <c r="N4471" s="171" t="s">
        <v>98</v>
      </c>
      <c r="O4471" s="43"/>
      <c r="P4471" s="43"/>
      <c r="Q4471" s="230">
        <f>OfficeForms.Table[[#This Row],[ INFORMEDEPAGO ]]*0.3</f>
        <v>0</v>
      </c>
      <c r="R4471" s="231">
        <f t="shared" ref="R4471:R4473" si="348">(IF(O4471&lt;4172.98,0,MIN(O4471*0.3,O4471-4172.98)))-P4471</f>
        <v>0</v>
      </c>
      <c r="T4471" s="239"/>
      <c r="U4471" s="99"/>
      <c r="V4471" s="1"/>
    </row>
    <row r="4472" spans="1:23">
      <c r="A4472">
        <v>2905</v>
      </c>
      <c r="B4472" s="2">
        <v>46275.431817129604</v>
      </c>
      <c r="C4472" s="2">
        <v>46275.438541666699</v>
      </c>
      <c r="D4472" s="1" t="s">
        <v>24</v>
      </c>
      <c r="E4472" s="1"/>
      <c r="F4472" s="29">
        <v>46275</v>
      </c>
      <c r="G4472" s="29">
        <v>46275</v>
      </c>
      <c r="H4472" s="1" t="s">
        <v>78</v>
      </c>
      <c r="I4472" s="175" t="s">
        <v>9933</v>
      </c>
      <c r="J4472" s="207"/>
      <c r="K4472" s="188" t="s">
        <v>9934</v>
      </c>
      <c r="L4472" s="62">
        <v>24369176</v>
      </c>
      <c r="M4472" s="30">
        <v>5219373692227</v>
      </c>
      <c r="N4472" s="171" t="s">
        <v>37</v>
      </c>
      <c r="O4472" s="43">
        <v>7116.73</v>
      </c>
      <c r="P4472" s="43">
        <v>2058.38</v>
      </c>
      <c r="Q4472" s="230">
        <f>OfficeForms.Table[[#This Row],[ INFORMEDEPAGO ]]*0.3</f>
        <v>2135.0189999999998</v>
      </c>
      <c r="R4472" s="231">
        <f t="shared" si="348"/>
        <v>76.638999999999669</v>
      </c>
      <c r="S4472" s="74">
        <v>46539</v>
      </c>
      <c r="T4472" s="239" t="s">
        <v>84</v>
      </c>
      <c r="U4472" s="99">
        <v>2058.38</v>
      </c>
      <c r="V4472" s="1"/>
    </row>
    <row r="4473" spans="1:23">
      <c r="A4473">
        <v>2906</v>
      </c>
      <c r="B4473" s="2">
        <v>46275.438078703701</v>
      </c>
      <c r="C4473" s="2">
        <v>46275.438564814802</v>
      </c>
      <c r="D4473" s="1" t="s">
        <v>24</v>
      </c>
      <c r="E4473" s="1"/>
      <c r="F4473" s="29">
        <v>46275</v>
      </c>
      <c r="G4473" s="29">
        <v>46274</v>
      </c>
      <c r="H4473" s="1" t="s">
        <v>269</v>
      </c>
      <c r="I4473" s="175" t="s">
        <v>9935</v>
      </c>
      <c r="J4473" s="207" t="s">
        <v>9936</v>
      </c>
      <c r="K4473" s="188" t="s">
        <v>9937</v>
      </c>
      <c r="L4473" s="62">
        <v>24358028</v>
      </c>
      <c r="M4473" s="30">
        <v>5217209143365</v>
      </c>
      <c r="N4473" s="171" t="s">
        <v>37</v>
      </c>
      <c r="O4473" s="52">
        <v>7693.6</v>
      </c>
      <c r="P4473" s="52">
        <v>2308.08</v>
      </c>
      <c r="Q4473" s="230">
        <f>OfficeForms.Table[[#This Row],[ INFORMEDEPAGO ]]*0.3</f>
        <v>2308.08</v>
      </c>
      <c r="R4473" s="231">
        <f t="shared" si="348"/>
        <v>0</v>
      </c>
      <c r="S4473" s="74">
        <v>46600</v>
      </c>
      <c r="T4473" s="239" t="s">
        <v>7516</v>
      </c>
      <c r="U4473" s="99">
        <v>2194.9899999999998</v>
      </c>
      <c r="V4473" s="1"/>
    </row>
    <row r="4474" spans="1:23">
      <c r="A4474">
        <v>2907</v>
      </c>
      <c r="B4474" s="2">
        <v>46275.468738425901</v>
      </c>
      <c r="C4474" s="2">
        <v>46275.476539351803</v>
      </c>
      <c r="D4474" s="1" t="s">
        <v>24</v>
      </c>
      <c r="E4474" s="1"/>
      <c r="F4474" s="29">
        <v>46275</v>
      </c>
      <c r="G4474" s="29">
        <v>46275</v>
      </c>
      <c r="H4474" s="1" t="s">
        <v>51</v>
      </c>
      <c r="I4474" s="175" t="s">
        <v>9938</v>
      </c>
      <c r="J4474" s="207">
        <v>75866206123</v>
      </c>
      <c r="K4474" s="188" t="s">
        <v>9939</v>
      </c>
      <c r="L4474" s="62">
        <v>24372336</v>
      </c>
      <c r="M4474" s="30">
        <v>5215527391861</v>
      </c>
      <c r="N4474" s="171" t="s">
        <v>106</v>
      </c>
      <c r="O4474" s="43">
        <v>7920.51</v>
      </c>
      <c r="P4474" s="43">
        <v>2198.9899999999998</v>
      </c>
      <c r="Q4474" s="230">
        <f>OfficeForms.Table[[#This Row],[ INFORMEDEPAGO ]]*0.3</f>
        <v>2376.1529999999998</v>
      </c>
      <c r="R4474" s="231">
        <f t="shared" ref="R4474:R4477" si="349">(IF(O4474&lt;4172.98,0,MIN(O4474*0.3,O4474-4172.98)))-P4474</f>
        <v>177.16300000000001</v>
      </c>
      <c r="S4474" s="74">
        <v>46266</v>
      </c>
      <c r="T4474" s="239" t="s">
        <v>8319</v>
      </c>
      <c r="U4474" s="43">
        <v>2198.9899999999998</v>
      </c>
      <c r="V4474" s="1" t="s">
        <v>8936</v>
      </c>
      <c r="W4474" s="29">
        <v>46275</v>
      </c>
    </row>
    <row r="4475" spans="1:23">
      <c r="A4475">
        <v>2908</v>
      </c>
      <c r="B4475" s="2">
        <v>46275.455613425896</v>
      </c>
      <c r="C4475" s="2">
        <v>46275.477337962999</v>
      </c>
      <c r="D4475" s="1" t="s">
        <v>24</v>
      </c>
      <c r="E4475" s="1"/>
      <c r="F4475" s="29">
        <v>46275</v>
      </c>
      <c r="G4475" s="29">
        <v>46274</v>
      </c>
      <c r="H4475" s="1" t="s">
        <v>269</v>
      </c>
      <c r="I4475" s="175" t="s">
        <v>9940</v>
      </c>
      <c r="J4475" s="207" t="s">
        <v>9941</v>
      </c>
      <c r="K4475" s="188" t="s">
        <v>9942</v>
      </c>
      <c r="L4475" s="62">
        <v>24356424</v>
      </c>
      <c r="M4475" s="30">
        <v>5217772491455</v>
      </c>
      <c r="N4475" s="171" t="s">
        <v>74</v>
      </c>
      <c r="O4475" s="67"/>
      <c r="P4475" s="99"/>
      <c r="Q4475" s="230">
        <f>OfficeForms.Table[[#This Row],[ INFORMEDEPAGO ]]*0.3</f>
        <v>0</v>
      </c>
      <c r="R4475" s="231">
        <f t="shared" si="349"/>
        <v>0</v>
      </c>
      <c r="T4475" s="239"/>
      <c r="U4475" s="99"/>
      <c r="V4475" s="1"/>
    </row>
    <row r="4476" spans="1:23">
      <c r="A4476">
        <v>2909</v>
      </c>
      <c r="B4476" s="2">
        <v>46275.414456018501</v>
      </c>
      <c r="C4476" s="2">
        <v>46275.480023148099</v>
      </c>
      <c r="D4476" s="1" t="s">
        <v>24</v>
      </c>
      <c r="E4476" s="1"/>
      <c r="F4476" s="29">
        <v>46275</v>
      </c>
      <c r="G4476" s="29">
        <v>46268</v>
      </c>
      <c r="H4476" s="1" t="s">
        <v>8238</v>
      </c>
      <c r="I4476" s="175" t="s">
        <v>9943</v>
      </c>
      <c r="J4476" s="207" t="s">
        <v>9944</v>
      </c>
      <c r="K4476" s="188" t="s">
        <v>9945</v>
      </c>
      <c r="L4476" s="62">
        <v>24217552</v>
      </c>
      <c r="M4476" s="30">
        <v>4181185289</v>
      </c>
      <c r="N4476" s="171" t="s">
        <v>32</v>
      </c>
      <c r="O4476" s="67">
        <v>3482.44</v>
      </c>
      <c r="P4476" s="99">
        <v>848</v>
      </c>
      <c r="Q4476" s="230">
        <f>OfficeForms.Table[[#This Row],[ INFORMEDEPAGO ]]*0.3</f>
        <v>1044.732</v>
      </c>
      <c r="R4476" s="231">
        <f t="shared" si="349"/>
        <v>-848</v>
      </c>
      <c r="T4476" s="239"/>
      <c r="U4476" s="99"/>
      <c r="V4476" s="1"/>
    </row>
    <row r="4477" spans="1:23">
      <c r="A4477">
        <v>2910</v>
      </c>
      <c r="B4477" s="2">
        <v>46275.477523148104</v>
      </c>
      <c r="C4477" s="2">
        <v>46275.480381944399</v>
      </c>
      <c r="D4477" s="1" t="s">
        <v>24</v>
      </c>
      <c r="E4477" s="1"/>
      <c r="F4477" s="29">
        <v>46275</v>
      </c>
      <c r="G4477" s="29">
        <v>46274</v>
      </c>
      <c r="H4477" s="1" t="s">
        <v>269</v>
      </c>
      <c r="I4477" s="175" t="s">
        <v>9946</v>
      </c>
      <c r="J4477" s="207" t="s">
        <v>9947</v>
      </c>
      <c r="K4477" s="188" t="s">
        <v>9948</v>
      </c>
      <c r="L4477" s="62">
        <v>24359278</v>
      </c>
      <c r="M4477" s="30">
        <v>5216144019313</v>
      </c>
      <c r="N4477" s="171" t="s">
        <v>98</v>
      </c>
      <c r="O4477" s="67"/>
      <c r="P4477" s="99"/>
      <c r="Q4477" s="230">
        <f>OfficeForms.Table[[#This Row],[ INFORMEDEPAGO ]]*0.3</f>
        <v>0</v>
      </c>
      <c r="R4477" s="231">
        <f t="shared" si="349"/>
        <v>0</v>
      </c>
      <c r="T4477" s="239"/>
      <c r="U4477" s="99"/>
      <c r="V4477" s="1"/>
    </row>
    <row r="4478" spans="1:23">
      <c r="A4478">
        <v>2911</v>
      </c>
      <c r="B4478" s="2">
        <v>46274.985254629602</v>
      </c>
      <c r="C4478" s="2">
        <v>46275.490092592598</v>
      </c>
      <c r="D4478" s="1" t="s">
        <v>24</v>
      </c>
      <c r="E4478" s="1"/>
      <c r="F4478" s="29">
        <v>46275</v>
      </c>
      <c r="G4478" s="29">
        <v>46275</v>
      </c>
      <c r="H4478" s="1" t="s">
        <v>8381</v>
      </c>
      <c r="I4478" s="175" t="s">
        <v>9949</v>
      </c>
      <c r="J4478" s="207">
        <v>31816700160</v>
      </c>
      <c r="K4478" s="188" t="s">
        <v>9950</v>
      </c>
      <c r="L4478" s="62">
        <v>24365298</v>
      </c>
      <c r="M4478" s="30">
        <v>5216181222825</v>
      </c>
      <c r="N4478" s="171" t="s">
        <v>98</v>
      </c>
      <c r="O4478" s="50"/>
      <c r="P4478" s="97"/>
      <c r="Q4478" s="230">
        <f>OfficeForms.Table[[#This Row],[ INFORMEDEPAGO ]]*0.3</f>
        <v>0</v>
      </c>
      <c r="R4478" s="231">
        <f>(IF(O4478&lt;4172.98,0,MIN(O4478*0.3,O4478-4172.98)))-P4478</f>
        <v>0</v>
      </c>
      <c r="T4478" s="239"/>
      <c r="U4478" s="97"/>
      <c r="V4478" s="1"/>
    </row>
    <row r="4479" spans="1:23">
      <c r="A4479">
        <v>2912</v>
      </c>
      <c r="B4479" s="2">
        <v>46275.4765625</v>
      </c>
      <c r="C4479" s="2">
        <v>46275.490196759303</v>
      </c>
      <c r="D4479" s="1" t="s">
        <v>24</v>
      </c>
      <c r="E4479" s="1"/>
      <c r="F4479" s="29">
        <v>46275</v>
      </c>
      <c r="G4479" s="29">
        <v>46274</v>
      </c>
      <c r="H4479" s="1" t="s">
        <v>51</v>
      </c>
      <c r="I4479" s="175" t="s">
        <v>9951</v>
      </c>
      <c r="J4479" s="207"/>
      <c r="K4479" s="188" t="s">
        <v>9952</v>
      </c>
      <c r="L4479" s="62">
        <v>24359330</v>
      </c>
      <c r="M4479" s="30">
        <v>5218334424088</v>
      </c>
      <c r="N4479" s="171" t="s">
        <v>28</v>
      </c>
      <c r="O4479" s="50">
        <v>10636.54</v>
      </c>
      <c r="P4479" s="97"/>
      <c r="Q4479" s="230">
        <f>OfficeForms.Table[[#This Row],[ INFORMEDEPAGO ]]*0.3</f>
        <v>3190.962</v>
      </c>
      <c r="R4479" s="231">
        <f>(IF(O4479&lt;4172.98,0,MIN(O4479*0.3,O4479-4172.98)))-P4479</f>
        <v>3190.962</v>
      </c>
      <c r="T4479" s="239"/>
      <c r="U4479" s="97"/>
      <c r="V4479" s="1" t="s">
        <v>8316</v>
      </c>
      <c r="W4479" s="29">
        <v>46275</v>
      </c>
    </row>
    <row r="4480" spans="1:23">
      <c r="A4480">
        <v>2913</v>
      </c>
      <c r="B4480" s="2">
        <v>46275.5000462963</v>
      </c>
      <c r="C4480" s="2">
        <v>46275.500381944403</v>
      </c>
      <c r="D4480" s="1" t="s">
        <v>24</v>
      </c>
      <c r="E4480" s="1"/>
      <c r="F4480" s="29">
        <v>46275</v>
      </c>
      <c r="G4480" s="29">
        <v>46274</v>
      </c>
      <c r="H4480" s="1" t="s">
        <v>269</v>
      </c>
      <c r="I4480" s="175" t="s">
        <v>9953</v>
      </c>
      <c r="J4480" s="207" t="s">
        <v>9954</v>
      </c>
      <c r="K4480" s="188"/>
      <c r="L4480" s="62">
        <v>24355132</v>
      </c>
      <c r="M4480" s="30">
        <v>5212881132125</v>
      </c>
      <c r="N4480" s="171" t="s">
        <v>37</v>
      </c>
      <c r="O4480" s="43">
        <v>9838.66</v>
      </c>
      <c r="P4480" s="43">
        <v>2834.34</v>
      </c>
      <c r="Q4480" s="230">
        <f>OfficeForms.Table[[#This Row],[ INFORMEDEPAGO ]]*0.3</f>
        <v>2951.598</v>
      </c>
      <c r="R4480" s="231">
        <f>(IF(O4480&lt;4172.98,0,MIN(O4480*0.3,O4480-4172.98)))-P4480</f>
        <v>117.25799999999981</v>
      </c>
      <c r="S4480" s="74">
        <v>46569</v>
      </c>
      <c r="T4480" s="239" t="s">
        <v>192</v>
      </c>
      <c r="U4480" s="97">
        <v>2396.21</v>
      </c>
      <c r="V4480" s="1"/>
    </row>
    <row r="4481" spans="1:24">
      <c r="A4481">
        <v>2914</v>
      </c>
      <c r="B4481" s="2">
        <v>46275.490219907399</v>
      </c>
      <c r="C4481" s="2">
        <v>46275.503449074102</v>
      </c>
      <c r="D4481" s="1" t="s">
        <v>24</v>
      </c>
      <c r="E4481" s="1"/>
      <c r="F4481" s="29">
        <v>46275</v>
      </c>
      <c r="G4481" s="29">
        <v>46275</v>
      </c>
      <c r="H4481" s="1" t="s">
        <v>51</v>
      </c>
      <c r="I4481" s="175" t="s">
        <v>9955</v>
      </c>
      <c r="J4481" s="207"/>
      <c r="K4481" s="188" t="s">
        <v>9956</v>
      </c>
      <c r="L4481" s="62">
        <v>24362592</v>
      </c>
      <c r="M4481" s="30">
        <v>5213314591143</v>
      </c>
      <c r="N4481" s="171" t="s">
        <v>37</v>
      </c>
      <c r="O4481" s="52">
        <v>16072.16</v>
      </c>
      <c r="P4481" s="52">
        <v>4821.6499999999996</v>
      </c>
      <c r="Q4481" s="230">
        <f>OfficeForms.Table[[#This Row],[ INFORMEDEPAGO ]]*0.3</f>
        <v>4821.6480000000001</v>
      </c>
      <c r="R4481" s="231">
        <f>(IF(O4481&lt;4172.98,0,MIN(O4481*0.3,O4481-4172.98)))-P4481</f>
        <v>-1.9999999994979589E-3</v>
      </c>
      <c r="S4481" s="74">
        <v>46966</v>
      </c>
      <c r="T4481" s="239" t="s">
        <v>8319</v>
      </c>
      <c r="U4481" s="52">
        <v>4821.6499999999996</v>
      </c>
      <c r="V4481" s="1"/>
    </row>
    <row r="4482" spans="1:24">
      <c r="A4482">
        <v>2915</v>
      </c>
      <c r="B4482" s="2">
        <v>46275.505370370403</v>
      </c>
      <c r="C4482" s="2">
        <v>46275.505810185197</v>
      </c>
      <c r="D4482" s="1" t="s">
        <v>24</v>
      </c>
      <c r="E4482" s="1"/>
      <c r="F4482" s="29">
        <v>46275</v>
      </c>
      <c r="G4482" s="29">
        <v>46273</v>
      </c>
      <c r="H4482" s="1" t="s">
        <v>8721</v>
      </c>
      <c r="I4482" s="175" t="s">
        <v>9957</v>
      </c>
      <c r="J4482" s="207">
        <v>65856525756</v>
      </c>
      <c r="K4482" s="188"/>
      <c r="L4482" s="62">
        <v>24315204</v>
      </c>
      <c r="M4482" s="30">
        <v>5217822553921</v>
      </c>
      <c r="N4482" s="171" t="s">
        <v>28</v>
      </c>
      <c r="O4482" s="50">
        <v>9760.32</v>
      </c>
      <c r="P4482" s="97"/>
      <c r="Q4482" s="230">
        <f>OfficeForms.Table[[#This Row],[ INFORMEDEPAGO ]]*0.3</f>
        <v>2928.096</v>
      </c>
      <c r="R4482" s="231">
        <f>(IF(O4482&lt;4172.98,0,MIN(O4482*0.3,O4482-4172.98)))-P4482</f>
        <v>2928.096</v>
      </c>
      <c r="T4482" s="239"/>
      <c r="U4482" s="97"/>
      <c r="V4482" s="1" t="s">
        <v>9958</v>
      </c>
      <c r="W4482" s="29">
        <v>46275</v>
      </c>
    </row>
    <row r="4483" spans="1:24">
      <c r="A4483">
        <v>2916</v>
      </c>
      <c r="B4483" s="2">
        <v>46275.506886574098</v>
      </c>
      <c r="C4483" s="2">
        <v>46275.508055555598</v>
      </c>
      <c r="D4483" s="1" t="s">
        <v>24</v>
      </c>
      <c r="E4483" s="1"/>
      <c r="F4483" s="29">
        <v>46275</v>
      </c>
      <c r="G4483" s="29">
        <v>46274</v>
      </c>
      <c r="H4483" s="1" t="s">
        <v>269</v>
      </c>
      <c r="I4483" s="175" t="s">
        <v>9940</v>
      </c>
      <c r="J4483" s="207" t="s">
        <v>9959</v>
      </c>
      <c r="K4483" s="188" t="s">
        <v>9942</v>
      </c>
      <c r="L4483" s="62">
        <v>24356424</v>
      </c>
      <c r="M4483" s="30">
        <v>5217772491455</v>
      </c>
      <c r="N4483" s="171" t="s">
        <v>98</v>
      </c>
      <c r="O4483" s="50"/>
      <c r="P4483" s="97"/>
      <c r="Q4483" s="230">
        <f>OfficeForms.Table[[#This Row],[ INFORMEDEPAGO ]]*0.3</f>
        <v>0</v>
      </c>
      <c r="R4483" s="231">
        <f>(IF(O4483&lt;4172.98,0,MIN(O4483*0.3,O4483-4172.98)))-P4483</f>
        <v>0</v>
      </c>
      <c r="T4483" s="239"/>
      <c r="U4483" s="97"/>
      <c r="V4483" s="1"/>
    </row>
    <row r="4484" spans="1:24">
      <c r="A4484">
        <v>2917</v>
      </c>
      <c r="B4484" s="2">
        <v>46275.511655092603</v>
      </c>
      <c r="C4484" s="2">
        <v>46275.5133333333</v>
      </c>
      <c r="D4484" s="1" t="s">
        <v>24</v>
      </c>
      <c r="E4484" s="1"/>
      <c r="F4484" s="29">
        <v>46275</v>
      </c>
      <c r="G4484" s="29">
        <v>46275</v>
      </c>
      <c r="H4484" s="1" t="s">
        <v>9960</v>
      </c>
      <c r="I4484" s="175" t="s">
        <v>9961</v>
      </c>
      <c r="J4484" s="207"/>
      <c r="K4484" s="188" t="s">
        <v>9962</v>
      </c>
      <c r="L4484" s="119">
        <v>24369920</v>
      </c>
      <c r="M4484" s="234">
        <v>24369920</v>
      </c>
      <c r="N4484" s="171" t="s">
        <v>28</v>
      </c>
      <c r="O4484" s="50">
        <v>10636.54</v>
      </c>
      <c r="P4484" s="97"/>
      <c r="Q4484" s="230">
        <f>OfficeForms.Table[[#This Row],[ INFORMEDEPAGO ]]*0.3</f>
        <v>3190.962</v>
      </c>
      <c r="R4484" s="231">
        <f>(IF(O4484&lt;4172.98,0,MIN(O4484*0.3,O4484-4172.98)))-P4484</f>
        <v>3190.962</v>
      </c>
      <c r="T4484" s="239"/>
      <c r="U4484" s="97"/>
      <c r="V4484" s="1" t="s">
        <v>8915</v>
      </c>
      <c r="W4484" s="29">
        <v>46275</v>
      </c>
    </row>
    <row r="4485" spans="1:24">
      <c r="A4485">
        <v>2918</v>
      </c>
      <c r="B4485" s="2">
        <v>46275.5083564815</v>
      </c>
      <c r="C4485" s="2">
        <v>46275.522453703699</v>
      </c>
      <c r="D4485" s="1" t="s">
        <v>24</v>
      </c>
      <c r="E4485" s="1"/>
      <c r="F4485" s="29">
        <v>46275</v>
      </c>
      <c r="G4485" s="29">
        <v>46274</v>
      </c>
      <c r="H4485" s="1" t="s">
        <v>78</v>
      </c>
      <c r="I4485" s="175" t="s">
        <v>9963</v>
      </c>
      <c r="J4485" s="207"/>
      <c r="K4485" s="188" t="s">
        <v>9964</v>
      </c>
      <c r="L4485" s="62">
        <v>24359352</v>
      </c>
      <c r="M4485" s="30">
        <v>5214623365686</v>
      </c>
      <c r="N4485" s="171" t="s">
        <v>37</v>
      </c>
      <c r="O4485" s="43">
        <v>5617.63</v>
      </c>
      <c r="P4485" s="43">
        <v>1444.64</v>
      </c>
      <c r="Q4485" s="230">
        <f>OfficeForms.Table[[#This Row],[ INFORMEDEPAGO ]]*0.3</f>
        <v>1685.289</v>
      </c>
      <c r="R4485" s="231">
        <f>(IF(O4485&lt;4172.98,0,MIN(O4485*0.3,O4485-4172.98)))-P4485</f>
        <v>1.0000000000445652E-2</v>
      </c>
      <c r="S4485" s="74">
        <v>46935</v>
      </c>
      <c r="T4485" s="239" t="s">
        <v>9709</v>
      </c>
      <c r="U4485" s="43">
        <v>1444.64</v>
      </c>
      <c r="V4485" s="1"/>
    </row>
    <row r="4486" spans="1:24">
      <c r="A4486">
        <v>2919</v>
      </c>
      <c r="B4486" s="2">
        <v>46275.490127314799</v>
      </c>
      <c r="C4486" s="2">
        <v>46275.532696759299</v>
      </c>
      <c r="D4486" s="1" t="s">
        <v>24</v>
      </c>
      <c r="E4486" s="1"/>
      <c r="F4486" s="29">
        <v>46275</v>
      </c>
      <c r="G4486" s="29">
        <v>46275</v>
      </c>
      <c r="H4486" s="1" t="s">
        <v>8381</v>
      </c>
      <c r="I4486" s="175" t="s">
        <v>9965</v>
      </c>
      <c r="J4486" s="207">
        <v>1968004158</v>
      </c>
      <c r="K4486" s="188" t="s">
        <v>9966</v>
      </c>
      <c r="L4486" s="62">
        <v>24375084</v>
      </c>
      <c r="M4486" s="30">
        <v>5215620347263</v>
      </c>
      <c r="N4486" s="171" t="s">
        <v>32</v>
      </c>
      <c r="O4486" s="43">
        <v>3307.46</v>
      </c>
      <c r="P4486" s="43">
        <v>797</v>
      </c>
      <c r="Q4486" s="230">
        <f>OfficeForms.Table[[#This Row],[ INFORMEDEPAGO ]]*0.3</f>
        <v>992.23799999999994</v>
      </c>
      <c r="R4486" s="231">
        <f>(IF(O4486&lt;4172.98,0,MIN(O4486*0.3,O4486-4172.98)))-P4486</f>
        <v>-797</v>
      </c>
      <c r="T4486" s="239"/>
      <c r="U4486" s="97"/>
      <c r="V4486" s="1"/>
    </row>
    <row r="4487" spans="1:24">
      <c r="A4487">
        <v>2920</v>
      </c>
      <c r="B4487" s="2">
        <v>46275.549201388902</v>
      </c>
      <c r="C4487" s="2">
        <v>46275.550219907404</v>
      </c>
      <c r="D4487" s="1" t="s">
        <v>24</v>
      </c>
      <c r="E4487" s="1"/>
      <c r="F4487" s="29">
        <v>46275</v>
      </c>
      <c r="G4487" s="29">
        <v>46270</v>
      </c>
      <c r="H4487" s="1" t="s">
        <v>8253</v>
      </c>
      <c r="I4487" s="175" t="s">
        <v>9967</v>
      </c>
      <c r="J4487" s="207"/>
      <c r="K4487" s="188" t="s">
        <v>9968</v>
      </c>
      <c r="L4487" s="62">
        <v>24263350</v>
      </c>
      <c r="M4487" s="30">
        <v>5579444418</v>
      </c>
      <c r="N4487" s="171" t="s">
        <v>37</v>
      </c>
      <c r="O4487" s="43">
        <v>9081.52</v>
      </c>
      <c r="P4487" s="43">
        <v>2521.35</v>
      </c>
      <c r="Q4487" s="230">
        <f>OfficeForms.Table[[#This Row],[ INFORMEDEPAGO ]]*0.3</f>
        <v>2724.4560000000001</v>
      </c>
      <c r="R4487" s="231">
        <f>(IF(O4487&lt;4172.98,0,MIN(O4487*0.3,O4487-4172.98)))-P4487</f>
        <v>203.10600000000022</v>
      </c>
      <c r="S4487" s="74">
        <v>46388</v>
      </c>
      <c r="T4487" s="239" t="s">
        <v>8319</v>
      </c>
      <c r="U4487" s="43">
        <v>2521.35</v>
      </c>
      <c r="V4487" s="1"/>
    </row>
    <row r="4488" spans="1:24">
      <c r="A4488">
        <v>2921</v>
      </c>
      <c r="B4488" s="2">
        <v>46275.435995370397</v>
      </c>
      <c r="C4488" s="2">
        <v>46275.582997685196</v>
      </c>
      <c r="D4488" s="1" t="s">
        <v>24</v>
      </c>
      <c r="E4488" s="1"/>
      <c r="F4488" s="29">
        <v>46275</v>
      </c>
      <c r="G4488" s="29">
        <v>46275</v>
      </c>
      <c r="H4488" s="1" t="s">
        <v>1625</v>
      </c>
      <c r="I4488" s="175" t="s">
        <v>9965</v>
      </c>
      <c r="J4488" s="207" t="s">
        <v>9969</v>
      </c>
      <c r="K4488" s="188" t="s">
        <v>9970</v>
      </c>
      <c r="L4488" s="62">
        <v>2</v>
      </c>
      <c r="M4488" s="30">
        <v>5620347263</v>
      </c>
      <c r="N4488" s="171" t="s">
        <v>32</v>
      </c>
      <c r="O4488" s="43">
        <v>3307.46</v>
      </c>
      <c r="P4488" s="43">
        <v>797</v>
      </c>
      <c r="Q4488" s="230">
        <f>OfficeForms.Table[[#This Row],[ INFORMEDEPAGO ]]*0.3</f>
        <v>992.23799999999994</v>
      </c>
      <c r="R4488" s="231">
        <f>(IF(O4488&lt;4172.98,0,MIN(O4488*0.3,O4488-4172.98)))-P4488</f>
        <v>-797</v>
      </c>
      <c r="T4488" s="239"/>
      <c r="U4488" s="97"/>
      <c r="V4488" s="1"/>
      <c r="X4488" s="101">
        <v>0</v>
      </c>
    </row>
    <row r="4489" spans="1:24">
      <c r="A4489">
        <v>2922</v>
      </c>
      <c r="B4489" s="2">
        <v>46275.573136574101</v>
      </c>
      <c r="C4489" s="2">
        <v>46275.589641203696</v>
      </c>
      <c r="D4489" s="1" t="s">
        <v>24</v>
      </c>
      <c r="E4489" s="1"/>
      <c r="F4489" s="29">
        <v>46275</v>
      </c>
      <c r="G4489" s="29">
        <v>46275</v>
      </c>
      <c r="H4489" s="1" t="s">
        <v>9960</v>
      </c>
      <c r="I4489" s="175" t="s">
        <v>9971</v>
      </c>
      <c r="J4489" s="207">
        <v>2381622222</v>
      </c>
      <c r="K4489" s="188"/>
      <c r="L4489" s="62">
        <v>24370230</v>
      </c>
      <c r="M4489" s="30">
        <v>6861633112</v>
      </c>
      <c r="N4489" s="171" t="s">
        <v>37</v>
      </c>
      <c r="O4489" s="52">
        <v>7920.51</v>
      </c>
      <c r="P4489" s="52">
        <v>2373.9499999999998</v>
      </c>
      <c r="Q4489" s="230">
        <f>OfficeForms.Table[[#This Row],[ INFORMEDEPAGO ]]*0.3</f>
        <v>2376.1529999999998</v>
      </c>
      <c r="R4489" s="231">
        <f t="shared" ref="R4489:R4490" si="350">(IF(O4489&lt;4172.98,0,MIN(O4489*0.3,O4489-4172.98)))-P4489</f>
        <v>2.2029999999999745</v>
      </c>
      <c r="S4489" s="74">
        <v>46874</v>
      </c>
      <c r="T4489" s="239" t="s">
        <v>909</v>
      </c>
      <c r="U4489" s="52">
        <v>2373.9499999999998</v>
      </c>
      <c r="V4489" s="1"/>
    </row>
    <row r="4490" spans="1:24">
      <c r="A4490">
        <v>2923</v>
      </c>
      <c r="B4490" s="2">
        <v>46275.503472222197</v>
      </c>
      <c r="C4490" s="2">
        <v>46275.590358796297</v>
      </c>
      <c r="D4490" s="1" t="s">
        <v>24</v>
      </c>
      <c r="E4490" s="1"/>
      <c r="F4490" s="29">
        <v>46275</v>
      </c>
      <c r="G4490" s="29">
        <v>46273</v>
      </c>
      <c r="H4490" s="1" t="s">
        <v>51</v>
      </c>
      <c r="I4490" s="175" t="s">
        <v>9972</v>
      </c>
      <c r="J4490" s="207">
        <v>24916477672</v>
      </c>
      <c r="K4490" s="188" t="s">
        <v>9973</v>
      </c>
      <c r="L4490" s="62">
        <v>24328140</v>
      </c>
      <c r="M4490" s="30">
        <v>5216624003293</v>
      </c>
      <c r="N4490" s="171" t="s">
        <v>37</v>
      </c>
      <c r="O4490" s="52">
        <v>9081.52</v>
      </c>
      <c r="P4490" s="52">
        <v>2616.79</v>
      </c>
      <c r="Q4490" s="230">
        <f>OfficeForms.Table[[#This Row],[ INFORMEDEPAGO ]]*0.3</f>
        <v>2724.4560000000001</v>
      </c>
      <c r="R4490" s="231">
        <f t="shared" si="350"/>
        <v>107.66600000000017</v>
      </c>
      <c r="S4490" s="74">
        <v>46569</v>
      </c>
      <c r="T4490" s="239" t="s">
        <v>9974</v>
      </c>
      <c r="U4490" s="97">
        <v>709.55</v>
      </c>
      <c r="V4490" s="1"/>
    </row>
    <row r="4491" spans="1:24">
      <c r="A4491">
        <v>2924</v>
      </c>
      <c r="B4491" s="2">
        <v>46275.6014236111</v>
      </c>
      <c r="C4491" s="2">
        <v>46275.606365740699</v>
      </c>
      <c r="D4491" s="1" t="s">
        <v>24</v>
      </c>
      <c r="E4491" s="1"/>
      <c r="F4491" s="29">
        <v>46275</v>
      </c>
      <c r="G4491" s="29">
        <v>46274</v>
      </c>
      <c r="H4491" s="1" t="s">
        <v>51</v>
      </c>
      <c r="I4491" s="175" t="s">
        <v>9975</v>
      </c>
      <c r="J4491" s="175" t="s">
        <v>9976</v>
      </c>
      <c r="K4491" s="188" t="s">
        <v>9977</v>
      </c>
      <c r="L4491" s="62">
        <v>24361422</v>
      </c>
      <c r="M4491" s="30">
        <v>5216121400209</v>
      </c>
      <c r="N4491" s="171" t="s">
        <v>28</v>
      </c>
      <c r="O4491" s="50">
        <v>10636.54</v>
      </c>
      <c r="P4491" s="97"/>
      <c r="Q4491" s="230">
        <f>OfficeForms.Table[[#This Row],[ INFORMEDEPAGO ]]*0.3</f>
        <v>3190.962</v>
      </c>
      <c r="R4491" s="231">
        <f t="shared" ref="R4491" si="351">(IF(O4491&lt;4172.98,0,MIN(O4491*0.3,O4491-4172.98)))-P4491</f>
        <v>3190.962</v>
      </c>
      <c r="T4491" s="239"/>
      <c r="U4491" s="97"/>
      <c r="V4491" s="1" t="s">
        <v>8316</v>
      </c>
      <c r="W4491" s="29">
        <v>46275</v>
      </c>
    </row>
    <row r="4492" spans="1:24">
      <c r="A4492">
        <v>2925</v>
      </c>
      <c r="B4492" s="2">
        <v>46275.614097222198</v>
      </c>
      <c r="C4492" s="2">
        <v>46275.617939814802</v>
      </c>
      <c r="D4492" s="1" t="s">
        <v>24</v>
      </c>
      <c r="E4492" s="1"/>
      <c r="F4492" s="29">
        <v>46275</v>
      </c>
      <c r="G4492" s="29">
        <v>46275</v>
      </c>
      <c r="H4492" s="1" t="s">
        <v>51</v>
      </c>
      <c r="I4492" s="175" t="s">
        <v>9978</v>
      </c>
      <c r="J4492" s="175">
        <v>47947744133</v>
      </c>
      <c r="K4492" s="188" t="s">
        <v>9979</v>
      </c>
      <c r="L4492" s="62">
        <v>24377116</v>
      </c>
      <c r="M4492" s="30">
        <v>5218128888530</v>
      </c>
      <c r="N4492" s="171" t="s">
        <v>32</v>
      </c>
      <c r="O4492" s="50">
        <f>14884.67-10548</f>
        <v>4336.67</v>
      </c>
      <c r="P4492" s="97">
        <v>848</v>
      </c>
      <c r="Q4492" s="230">
        <f>OfficeForms.Table[[#This Row],[ INFORMEDEPAGO ]]*0.3</f>
        <v>1301.001</v>
      </c>
      <c r="R4492" s="231">
        <f t="shared" ref="R4492:R4493" si="352">(IF(O4492&lt;4172.98,0,MIN(O4492*0.3,O4492-4172.98)))-P4492</f>
        <v>-684.30999999999949</v>
      </c>
      <c r="T4492" s="239"/>
      <c r="U4492" s="97"/>
      <c r="V4492" s="1"/>
    </row>
    <row r="4493" spans="1:24">
      <c r="A4493">
        <v>2926</v>
      </c>
      <c r="B4493" s="2">
        <v>46275.617418981499</v>
      </c>
      <c r="C4493" s="2">
        <v>46275.618217592601</v>
      </c>
      <c r="D4493" s="1" t="s">
        <v>24</v>
      </c>
      <c r="E4493" s="1"/>
      <c r="F4493" s="29">
        <v>46275</v>
      </c>
      <c r="G4493" s="29">
        <v>46275</v>
      </c>
      <c r="H4493" s="1" t="s">
        <v>8253</v>
      </c>
      <c r="I4493" s="175" t="s">
        <v>9980</v>
      </c>
      <c r="J4493" s="175"/>
      <c r="K4493" s="188" t="s">
        <v>9981</v>
      </c>
      <c r="L4493" s="62">
        <v>24375688</v>
      </c>
      <c r="M4493" s="30">
        <v>2414101871</v>
      </c>
      <c r="N4493" s="171" t="s">
        <v>28</v>
      </c>
      <c r="O4493" s="50">
        <v>9081.51</v>
      </c>
      <c r="P4493" s="97"/>
      <c r="Q4493" s="230">
        <f>OfficeForms.Table[[#This Row],[ INFORMEDEPAGO ]]*0.3</f>
        <v>2724.453</v>
      </c>
      <c r="R4493" s="231">
        <f t="shared" si="352"/>
        <v>2724.453</v>
      </c>
      <c r="T4493" s="239"/>
      <c r="U4493" s="97"/>
      <c r="V4493" s="1" t="s">
        <v>8350</v>
      </c>
      <c r="W4493" s="29">
        <v>46275</v>
      </c>
    </row>
    <row r="4494" spans="1:24">
      <c r="A4494">
        <v>2927</v>
      </c>
      <c r="B4494" s="2">
        <v>46275.590370370403</v>
      </c>
      <c r="C4494" s="2">
        <v>46275.623391203699</v>
      </c>
      <c r="D4494" s="1" t="s">
        <v>24</v>
      </c>
      <c r="E4494" s="1"/>
      <c r="F4494" s="29">
        <v>46275</v>
      </c>
      <c r="G4494" s="29">
        <v>46274</v>
      </c>
      <c r="H4494" s="1" t="s">
        <v>51</v>
      </c>
      <c r="I4494" s="175" t="s">
        <v>9982</v>
      </c>
      <c r="J4494" s="175">
        <v>9153606101</v>
      </c>
      <c r="K4494" s="188" t="s">
        <v>9983</v>
      </c>
      <c r="L4494" s="62">
        <v>24360232</v>
      </c>
      <c r="M4494" s="30">
        <v>5214433589444</v>
      </c>
      <c r="N4494" s="171" t="s">
        <v>37</v>
      </c>
      <c r="O4494" s="52">
        <v>6262.86</v>
      </c>
      <c r="P4494" s="52">
        <v>1878</v>
      </c>
      <c r="Q4494" s="230">
        <f>OfficeForms.Table[[#This Row],[ INFORMEDEPAGO ]]*0.3</f>
        <v>1878.8579999999997</v>
      </c>
      <c r="R4494" s="231">
        <f t="shared" ref="R4494:R4495" si="353">(IF(O4494&lt;4172.98,0,MIN(O4494*0.3,O4494-4172.98)))-P4494</f>
        <v>0.85799999999971988</v>
      </c>
      <c r="S4494" s="74">
        <v>46447</v>
      </c>
      <c r="T4494" s="239" t="s">
        <v>7516</v>
      </c>
      <c r="U4494" s="97">
        <v>1490</v>
      </c>
      <c r="V4494" s="1"/>
    </row>
    <row r="4495" spans="1:24">
      <c r="A4495">
        <v>2928</v>
      </c>
      <c r="B4495" s="2">
        <v>46275.532719907402</v>
      </c>
      <c r="C4495" s="2">
        <v>46275.627962963001</v>
      </c>
      <c r="D4495" s="1" t="s">
        <v>24</v>
      </c>
      <c r="E4495" s="1"/>
      <c r="F4495" s="29">
        <v>46275</v>
      </c>
      <c r="G4495" s="29">
        <v>46275</v>
      </c>
      <c r="H4495" s="1" t="s">
        <v>8381</v>
      </c>
      <c r="I4495" s="175" t="s">
        <v>9984</v>
      </c>
      <c r="J4495" s="175"/>
      <c r="K4495" s="188" t="s">
        <v>9985</v>
      </c>
      <c r="L4495" s="62">
        <v>24376962</v>
      </c>
      <c r="M4495" s="30">
        <v>5217226561796</v>
      </c>
      <c r="N4495" s="171" t="s">
        <v>263</v>
      </c>
      <c r="O4495" s="52">
        <v>5617.63</v>
      </c>
      <c r="P4495" s="52">
        <v>1265.56</v>
      </c>
      <c r="Q4495" s="230">
        <f>OfficeForms.Table[[#This Row],[ INFORMEDEPAGO ]]*0.3</f>
        <v>1685.289</v>
      </c>
      <c r="R4495" s="231">
        <f t="shared" si="353"/>
        <v>179.0900000000006</v>
      </c>
      <c r="S4495" s="74">
        <v>45839</v>
      </c>
      <c r="T4495" s="239" t="s">
        <v>192</v>
      </c>
      <c r="U4495" s="52">
        <v>1265.56</v>
      </c>
      <c r="V4495" s="1" t="s">
        <v>9185</v>
      </c>
      <c r="W4495" s="29">
        <v>46275</v>
      </c>
    </row>
    <row r="4496" spans="1:24">
      <c r="A4496">
        <v>2929</v>
      </c>
      <c r="B4496" s="2">
        <v>46275.562418981499</v>
      </c>
      <c r="C4496" s="2">
        <v>46275.632233796299</v>
      </c>
      <c r="D4496" s="1" t="s">
        <v>24</v>
      </c>
      <c r="E4496" s="1"/>
      <c r="F4496" s="29">
        <v>46275</v>
      </c>
      <c r="G4496" s="29">
        <v>46275</v>
      </c>
      <c r="H4496" s="1" t="s">
        <v>9986</v>
      </c>
      <c r="I4496" s="175" t="s">
        <v>9987</v>
      </c>
      <c r="J4496" s="175">
        <v>67885900901</v>
      </c>
      <c r="K4496" s="188" t="s">
        <v>9988</v>
      </c>
      <c r="L4496" s="62">
        <v>24378904</v>
      </c>
      <c r="M4496" s="30">
        <v>5212721803334</v>
      </c>
      <c r="N4496" s="171" t="s">
        <v>28</v>
      </c>
      <c r="O4496" s="52">
        <v>9760.32</v>
      </c>
      <c r="P4496" s="52">
        <v>1694.35</v>
      </c>
      <c r="Q4496" s="230">
        <f>OfficeForms.Table[[#This Row],[ INFORMEDEPAGO ]]*0.3</f>
        <v>2928.096</v>
      </c>
      <c r="R4496" s="231">
        <f t="shared" ref="R4496:R4498" si="354">(IF(O4496&lt;4172.98,0,MIN(O4496*0.3,O4496-4172.98)))-P4496</f>
        <v>1233.7460000000001</v>
      </c>
      <c r="S4496" s="74">
        <v>46661</v>
      </c>
      <c r="T4496" s="239" t="s">
        <v>8319</v>
      </c>
      <c r="U4496" s="52">
        <v>1694.35</v>
      </c>
      <c r="V4496" s="1" t="s">
        <v>8915</v>
      </c>
      <c r="W4496" s="29">
        <v>46275</v>
      </c>
    </row>
    <row r="4497" spans="1:23">
      <c r="A4497">
        <v>2930</v>
      </c>
      <c r="B4497" s="2">
        <v>46275.623703703699</v>
      </c>
      <c r="C4497" s="2">
        <v>46275.633900462999</v>
      </c>
      <c r="D4497" s="1" t="s">
        <v>24</v>
      </c>
      <c r="E4497" s="1"/>
      <c r="F4497" s="29">
        <v>46275</v>
      </c>
      <c r="G4497" s="29">
        <v>46274</v>
      </c>
      <c r="H4497" s="1" t="s">
        <v>78</v>
      </c>
      <c r="I4497" s="175" t="s">
        <v>9989</v>
      </c>
      <c r="J4497" s="175">
        <v>75937218164</v>
      </c>
      <c r="K4497" s="188" t="s">
        <v>9990</v>
      </c>
      <c r="L4497" s="62">
        <v>24358572</v>
      </c>
      <c r="M4497" s="30">
        <v>5213751308608</v>
      </c>
      <c r="N4497" s="171" t="s">
        <v>98</v>
      </c>
      <c r="O4497" s="50"/>
      <c r="P4497" s="97"/>
      <c r="Q4497" s="230">
        <f>OfficeForms.Table[[#This Row],[ INFORMEDEPAGO ]]*0.3</f>
        <v>0</v>
      </c>
      <c r="R4497" s="231">
        <f t="shared" si="354"/>
        <v>0</v>
      </c>
      <c r="T4497" s="239"/>
      <c r="U4497" s="97"/>
      <c r="V4497" s="1"/>
    </row>
    <row r="4498" spans="1:23">
      <c r="A4498">
        <v>2931</v>
      </c>
      <c r="B4498" s="2">
        <v>46275.594340277799</v>
      </c>
      <c r="C4498" s="2">
        <v>46275.635081018503</v>
      </c>
      <c r="D4498" s="1" t="s">
        <v>24</v>
      </c>
      <c r="E4498" s="1"/>
      <c r="F4498" s="29">
        <v>46275</v>
      </c>
      <c r="G4498" s="29">
        <v>46275</v>
      </c>
      <c r="H4498" s="1" t="s">
        <v>9991</v>
      </c>
      <c r="I4498" s="175" t="s">
        <v>9992</v>
      </c>
      <c r="J4498" s="175"/>
      <c r="K4498" s="188" t="s">
        <v>9993</v>
      </c>
      <c r="L4498" s="62">
        <v>24378844</v>
      </c>
      <c r="M4498" s="30">
        <v>9515819552</v>
      </c>
      <c r="N4498" s="171" t="s">
        <v>98</v>
      </c>
      <c r="O4498" s="50"/>
      <c r="P4498" s="97"/>
      <c r="Q4498" s="230">
        <f>OfficeForms.Table[[#This Row],[ INFORMEDEPAGO ]]*0.3</f>
        <v>0</v>
      </c>
      <c r="R4498" s="231">
        <f t="shared" si="354"/>
        <v>0</v>
      </c>
      <c r="T4498" s="239"/>
      <c r="U4498" s="97"/>
      <c r="V4498" s="1"/>
    </row>
    <row r="4499" spans="1:23">
      <c r="A4499">
        <v>2932</v>
      </c>
      <c r="B4499" s="2">
        <v>46275.623414351903</v>
      </c>
      <c r="C4499" s="2">
        <v>46275.6456481481</v>
      </c>
      <c r="D4499" s="1" t="s">
        <v>24</v>
      </c>
      <c r="E4499" s="1"/>
      <c r="F4499" s="29">
        <v>46275</v>
      </c>
      <c r="G4499" s="29">
        <v>46275</v>
      </c>
      <c r="H4499" s="1" t="s">
        <v>51</v>
      </c>
      <c r="I4499" s="175" t="s">
        <v>9994</v>
      </c>
      <c r="J4499" s="175"/>
      <c r="K4499" s="188" t="s">
        <v>9995</v>
      </c>
      <c r="L4499" s="62">
        <v>24379392</v>
      </c>
      <c r="M4499" s="30">
        <v>5213321123815</v>
      </c>
      <c r="N4499" s="171" t="s">
        <v>47</v>
      </c>
      <c r="O4499" s="52">
        <v>5617.63</v>
      </c>
      <c r="P4499" s="52">
        <v>848</v>
      </c>
      <c r="Q4499" s="230">
        <f>OfficeForms.Table[[#This Row],[ INFORMEDEPAGO ]]*0.3</f>
        <v>1685.289</v>
      </c>
      <c r="R4499" s="231">
        <f t="shared" ref="R4499" si="355">(IF(O4499&lt;4172.98,0,MIN(O4499*0.3,O4499-4172.98)))-P4499</f>
        <v>596.65000000000055</v>
      </c>
      <c r="T4499" s="239"/>
      <c r="U4499" s="97"/>
      <c r="V4499" s="1" t="s">
        <v>8233</v>
      </c>
      <c r="W4499" s="29">
        <v>46275</v>
      </c>
    </row>
    <row r="4500" spans="1:23">
      <c r="A4500">
        <v>2933</v>
      </c>
      <c r="B4500" s="2">
        <v>46275.583032407398</v>
      </c>
      <c r="C4500" s="2">
        <v>46275.654039351903</v>
      </c>
      <c r="D4500" s="1" t="s">
        <v>24</v>
      </c>
      <c r="E4500" s="1"/>
      <c r="F4500" s="29">
        <v>46275</v>
      </c>
      <c r="G4500" s="29">
        <v>46275</v>
      </c>
      <c r="H4500" s="1" t="s">
        <v>1625</v>
      </c>
      <c r="I4500" s="175" t="s">
        <v>9996</v>
      </c>
      <c r="J4500" s="175">
        <v>43715128088</v>
      </c>
      <c r="K4500" s="188" t="s">
        <v>9997</v>
      </c>
      <c r="L4500" s="62">
        <v>2</v>
      </c>
      <c r="M4500" s="30" t="s">
        <v>9998</v>
      </c>
      <c r="N4500" s="171" t="s">
        <v>37</v>
      </c>
      <c r="O4500" s="43">
        <v>10636.54</v>
      </c>
      <c r="P4500" s="43">
        <v>3190.96</v>
      </c>
      <c r="Q4500" s="230">
        <f>OfficeForms.Table[[#This Row],[ INFORMEDEPAGO ]]*0.3</f>
        <v>3190.962</v>
      </c>
      <c r="R4500" s="231">
        <f t="shared" ref="R4500:R4503" si="356">(IF(O4500&lt;4172.98,0,MIN(O4500*0.3,O4500-4172.98)))-P4500</f>
        <v>1.9999999999527063E-3</v>
      </c>
      <c r="S4500" s="74">
        <v>46874</v>
      </c>
      <c r="T4500" s="239" t="s">
        <v>7209</v>
      </c>
      <c r="U4500" s="43">
        <v>3190.96</v>
      </c>
      <c r="V4500" s="1"/>
    </row>
    <row r="4501" spans="1:23">
      <c r="A4501">
        <v>2934</v>
      </c>
      <c r="B4501" s="2">
        <v>46275.654803240701</v>
      </c>
      <c r="C4501" s="2">
        <v>46275.656400462998</v>
      </c>
      <c r="D4501" s="1" t="s">
        <v>24</v>
      </c>
      <c r="E4501" s="1"/>
      <c r="F4501" s="29">
        <v>46275</v>
      </c>
      <c r="G4501" s="29">
        <v>46275</v>
      </c>
      <c r="H4501" s="1" t="s">
        <v>1625</v>
      </c>
      <c r="I4501" s="175" t="s">
        <v>9999</v>
      </c>
      <c r="J4501" s="175">
        <v>17825915477</v>
      </c>
      <c r="K4501" s="188" t="s">
        <v>10000</v>
      </c>
      <c r="L4501" s="62">
        <v>2</v>
      </c>
      <c r="M4501" s="30" t="s">
        <v>10001</v>
      </c>
      <c r="N4501" s="171" t="s">
        <v>37</v>
      </c>
      <c r="O4501" s="43">
        <v>9128.19</v>
      </c>
      <c r="P4501" s="43">
        <v>2640.04</v>
      </c>
      <c r="Q4501" s="230">
        <f>OfficeForms.Table[[#This Row],[ INFORMEDEPAGO ]]*0.3</f>
        <v>2738.4569999999999</v>
      </c>
      <c r="R4501" s="231">
        <f t="shared" si="356"/>
        <v>98.416999999999916</v>
      </c>
      <c r="S4501" s="74">
        <v>46631</v>
      </c>
      <c r="T4501" s="239" t="s">
        <v>7516</v>
      </c>
      <c r="U4501" s="43">
        <v>2640.04</v>
      </c>
      <c r="V4501" s="1"/>
    </row>
    <row r="4502" spans="1:23">
      <c r="A4502">
        <v>2935</v>
      </c>
      <c r="B4502" s="2">
        <v>46275.628009259301</v>
      </c>
      <c r="C4502" s="2">
        <v>46275.656770833302</v>
      </c>
      <c r="D4502" s="1" t="s">
        <v>24</v>
      </c>
      <c r="E4502" s="1"/>
      <c r="F4502" s="29">
        <v>46275</v>
      </c>
      <c r="G4502" s="29">
        <v>46275</v>
      </c>
      <c r="H4502" s="1" t="s">
        <v>8381</v>
      </c>
      <c r="I4502" s="175" t="s">
        <v>10002</v>
      </c>
      <c r="J4502" s="175" t="s">
        <v>10003</v>
      </c>
      <c r="K4502" s="188" t="s">
        <v>10004</v>
      </c>
      <c r="L4502" s="62">
        <v>24375538</v>
      </c>
      <c r="M4502" s="30">
        <v>5212741411936</v>
      </c>
      <c r="N4502" s="171" t="s">
        <v>28</v>
      </c>
      <c r="O4502" s="67">
        <v>6262.86</v>
      </c>
      <c r="P4502" s="99"/>
      <c r="Q4502" s="230">
        <f>OfficeForms.Table[[#This Row],[ INFORMEDEPAGO ]]*0.3</f>
        <v>1878.8579999999997</v>
      </c>
      <c r="R4502" s="231">
        <f t="shared" si="356"/>
        <v>1878.8579999999997</v>
      </c>
      <c r="T4502" s="239"/>
      <c r="U4502" s="97"/>
      <c r="V4502" s="1" t="s">
        <v>8960</v>
      </c>
      <c r="W4502" s="29">
        <v>46275</v>
      </c>
    </row>
    <row r="4503" spans="1:23">
      <c r="A4503">
        <v>2936</v>
      </c>
      <c r="B4503" s="2">
        <v>46275.646666666697</v>
      </c>
      <c r="C4503" s="2">
        <v>46275.656828703701</v>
      </c>
      <c r="D4503" s="1" t="s">
        <v>24</v>
      </c>
      <c r="E4503" s="1"/>
      <c r="F4503" s="29">
        <v>46275</v>
      </c>
      <c r="G4503" s="29">
        <v>46275</v>
      </c>
      <c r="H4503" s="1" t="s">
        <v>8028</v>
      </c>
      <c r="I4503" s="175" t="s">
        <v>10005</v>
      </c>
      <c r="J4503" s="175">
        <v>30916303172</v>
      </c>
      <c r="K4503" s="188" t="s">
        <v>10006</v>
      </c>
      <c r="L4503" s="62">
        <v>24356762</v>
      </c>
      <c r="M4503" s="30">
        <v>5215563580731</v>
      </c>
      <c r="N4503" s="171" t="s">
        <v>37</v>
      </c>
      <c r="O4503" s="43">
        <v>9081.52</v>
      </c>
      <c r="P4503" s="43">
        <v>2627.48</v>
      </c>
      <c r="Q4503" s="230">
        <f>OfficeForms.Table[[#This Row],[ INFORMEDEPAGO ]]*0.3</f>
        <v>2724.4560000000001</v>
      </c>
      <c r="R4503" s="231">
        <f t="shared" si="356"/>
        <v>96.976000000000113</v>
      </c>
      <c r="S4503" s="74">
        <v>46447</v>
      </c>
      <c r="T4503" s="239" t="s">
        <v>7516</v>
      </c>
      <c r="U4503" s="43">
        <v>2627.48</v>
      </c>
      <c r="V4503" s="1"/>
    </row>
    <row r="4504" spans="1:23">
      <c r="A4504">
        <v>2937</v>
      </c>
      <c r="B4504" s="2">
        <v>46275.656574074099</v>
      </c>
      <c r="C4504" s="2">
        <v>46275.658599536997</v>
      </c>
      <c r="D4504" s="1" t="s">
        <v>24</v>
      </c>
      <c r="E4504" s="1"/>
      <c r="F4504" s="29">
        <v>46275</v>
      </c>
      <c r="G4504" s="29">
        <v>46275</v>
      </c>
      <c r="H4504" s="1" t="s">
        <v>1625</v>
      </c>
      <c r="I4504" s="175" t="s">
        <v>10007</v>
      </c>
      <c r="J4504" s="175">
        <v>19846302404</v>
      </c>
      <c r="K4504" s="188" t="s">
        <v>10008</v>
      </c>
      <c r="L4504" s="62">
        <v>2</v>
      </c>
      <c r="M4504" s="30">
        <v>5510060446</v>
      </c>
      <c r="N4504" s="171" t="s">
        <v>37</v>
      </c>
      <c r="O4504" s="52">
        <v>29480.17</v>
      </c>
      <c r="P4504" s="52">
        <v>8843.9599999999991</v>
      </c>
      <c r="Q4504" s="230">
        <f>OfficeForms.Table[[#This Row],[ INFORMEDEPAGO ]]*0.3</f>
        <v>8844.0509999999995</v>
      </c>
      <c r="R4504" s="231">
        <f>(IF(O4504&lt;4172.98,0,MIN(O4504*0.3,O4504-4172.98)))-P4504</f>
        <v>9.1000000000349246E-2</v>
      </c>
      <c r="S4504" s="74">
        <v>46357</v>
      </c>
      <c r="T4504" s="239" t="s">
        <v>7516</v>
      </c>
      <c r="U4504" s="97">
        <v>6882.67</v>
      </c>
      <c r="V4504" s="1"/>
    </row>
    <row r="4505" spans="1:23">
      <c r="A4505">
        <v>2938</v>
      </c>
      <c r="B4505" s="2">
        <v>46275.672754629602</v>
      </c>
      <c r="C4505" s="2">
        <v>46275.673842592601</v>
      </c>
      <c r="D4505" s="1" t="s">
        <v>24</v>
      </c>
      <c r="E4505" s="1"/>
      <c r="F4505" s="29">
        <v>46275</v>
      </c>
      <c r="G4505" s="29">
        <v>46272</v>
      </c>
      <c r="H4505" s="1" t="s">
        <v>269</v>
      </c>
      <c r="I4505" s="175" t="s">
        <v>10009</v>
      </c>
      <c r="J4505" s="175" t="s">
        <v>10010</v>
      </c>
      <c r="K4505" s="188"/>
      <c r="L4505" s="62">
        <v>24307394</v>
      </c>
      <c r="M4505" s="30">
        <v>5214494575601</v>
      </c>
      <c r="N4505" s="171" t="s">
        <v>263</v>
      </c>
      <c r="O4505" s="43">
        <v>7116.73</v>
      </c>
      <c r="P4505" s="43">
        <v>1894.2</v>
      </c>
      <c r="Q4505" s="230">
        <f>OfficeForms.Table[[#This Row],[ INFORMEDEPAGO ]]*0.3</f>
        <v>2135.0189999999998</v>
      </c>
      <c r="R4505" s="231">
        <f>(IF(O4505&lt;4172.98,0,MIN(O4505*0.3,O4505-4172.98)))-P4505</f>
        <v>240.81899999999973</v>
      </c>
      <c r="S4505" s="74">
        <v>46113</v>
      </c>
      <c r="T4505" s="239" t="s">
        <v>192</v>
      </c>
      <c r="U4505" s="43">
        <v>1894.2</v>
      </c>
      <c r="V4505" s="1" t="s">
        <v>9185</v>
      </c>
      <c r="W4505" s="29">
        <v>46275</v>
      </c>
    </row>
    <row r="4506" spans="1:23">
      <c r="A4506">
        <v>2939</v>
      </c>
      <c r="B4506" s="2">
        <v>46275.6613194444</v>
      </c>
      <c r="C4506" s="2">
        <v>46275.677060185197</v>
      </c>
      <c r="D4506" s="1" t="s">
        <v>24</v>
      </c>
      <c r="E4506" s="1"/>
      <c r="F4506" s="29">
        <v>46275</v>
      </c>
      <c r="G4506" s="29">
        <v>46275</v>
      </c>
      <c r="H4506" s="1" t="s">
        <v>78</v>
      </c>
      <c r="I4506" s="175" t="s">
        <v>10011</v>
      </c>
      <c r="J4506" s="175">
        <v>21926646304</v>
      </c>
      <c r="K4506" s="188" t="s">
        <v>10012</v>
      </c>
      <c r="L4506" s="62">
        <v>24375022</v>
      </c>
      <c r="M4506" s="30">
        <v>5216863702114</v>
      </c>
      <c r="N4506" s="171" t="s">
        <v>37</v>
      </c>
      <c r="O4506" s="43">
        <v>10636.54</v>
      </c>
      <c r="P4506" s="43">
        <v>3164.97</v>
      </c>
      <c r="Q4506" s="230">
        <f>OfficeForms.Table[[#This Row],[ INFORMEDEPAGO ]]*0.3</f>
        <v>3190.962</v>
      </c>
      <c r="R4506" s="231">
        <f>(IF(O4506&lt;4172.98,0,MIN(O4506*0.3,O4506-4172.98)))-P4506</f>
        <v>25.992000000000189</v>
      </c>
      <c r="S4506" s="74">
        <v>46874</v>
      </c>
      <c r="T4506" s="239" t="s">
        <v>8338</v>
      </c>
      <c r="U4506" s="43">
        <v>3164.97</v>
      </c>
      <c r="V4506" s="1"/>
    </row>
    <row r="4507" spans="1:23">
      <c r="A4507">
        <v>2940</v>
      </c>
      <c r="B4507" s="2">
        <v>46275.679409722201</v>
      </c>
      <c r="C4507" s="2">
        <v>46275.6820717593</v>
      </c>
      <c r="D4507" s="1" t="s">
        <v>24</v>
      </c>
      <c r="E4507" s="1"/>
      <c r="F4507" s="29">
        <v>46275</v>
      </c>
      <c r="G4507" s="29">
        <v>46275</v>
      </c>
      <c r="H4507" s="1" t="s">
        <v>78</v>
      </c>
      <c r="I4507" s="175" t="s">
        <v>10013</v>
      </c>
      <c r="J4507" s="175">
        <v>67876851410</v>
      </c>
      <c r="K4507" s="188" t="s">
        <v>10014</v>
      </c>
      <c r="L4507" s="62">
        <v>24378094</v>
      </c>
      <c r="M4507" s="30">
        <v>5219213881513</v>
      </c>
      <c r="N4507" s="171" t="s">
        <v>37</v>
      </c>
      <c r="O4507" s="43">
        <v>12698.88</v>
      </c>
      <c r="P4507" s="43">
        <v>3809.66</v>
      </c>
      <c r="Q4507" s="230">
        <f>OfficeForms.Table[[#This Row],[ INFORMEDEPAGO ]]*0.3</f>
        <v>3809.6639999999998</v>
      </c>
      <c r="R4507" s="231">
        <f>(IF(O4507&lt;4172.98,0,MIN(O4507*0.3,O4507-4172.98)))-P4507</f>
        <v>3.9999999999054126E-3</v>
      </c>
      <c r="S4507" s="74">
        <v>46600</v>
      </c>
      <c r="T4507" s="239" t="s">
        <v>8757</v>
      </c>
      <c r="U4507" s="97">
        <v>480.71</v>
      </c>
      <c r="V4507" s="1"/>
    </row>
    <row r="4508" spans="1:23">
      <c r="A4508">
        <v>2941</v>
      </c>
      <c r="B4508" s="2">
        <v>46275.645659722199</v>
      </c>
      <c r="C4508" s="2">
        <v>46275.682175925896</v>
      </c>
      <c r="D4508" s="1" t="s">
        <v>24</v>
      </c>
      <c r="E4508" s="1"/>
      <c r="F4508" s="29">
        <v>46275</v>
      </c>
      <c r="G4508" s="29">
        <v>46275</v>
      </c>
      <c r="H4508" s="1" t="s">
        <v>51</v>
      </c>
      <c r="I4508" s="175" t="s">
        <v>10015</v>
      </c>
      <c r="J4508" s="175"/>
      <c r="K4508" s="188" t="s">
        <v>10016</v>
      </c>
      <c r="L4508" s="62">
        <v>24368196</v>
      </c>
      <c r="M4508" s="30">
        <v>5213320414861</v>
      </c>
      <c r="N4508" s="171" t="s">
        <v>28</v>
      </c>
      <c r="O4508" s="50">
        <v>8690.2800000000007</v>
      </c>
      <c r="P4508" s="97"/>
      <c r="Q4508" s="230">
        <f>OfficeForms.Table[[#This Row],[ INFORMEDEPAGO ]]*0.3</f>
        <v>2607.0840000000003</v>
      </c>
      <c r="R4508" s="231">
        <f>(IF(O4508&lt;4172.98,0,MIN(O4508*0.3,O4508-4172.98)))-P4508</f>
        <v>2607.0840000000003</v>
      </c>
      <c r="T4508" s="239"/>
      <c r="U4508" s="97"/>
      <c r="V4508" s="1" t="s">
        <v>8535</v>
      </c>
      <c r="W4508" s="29">
        <v>46275</v>
      </c>
    </row>
    <row r="4509" spans="1:23">
      <c r="A4509">
        <v>2942</v>
      </c>
      <c r="B4509" s="2">
        <v>46275.686840277798</v>
      </c>
      <c r="C4509" s="2">
        <v>46275.687442129602</v>
      </c>
      <c r="D4509" s="1" t="s">
        <v>24</v>
      </c>
      <c r="E4509" s="1"/>
      <c r="F4509" s="29">
        <v>46275</v>
      </c>
      <c r="G4509" s="29">
        <v>46275</v>
      </c>
      <c r="H4509" s="1" t="s">
        <v>8253</v>
      </c>
      <c r="I4509" s="175" t="s">
        <v>10017</v>
      </c>
      <c r="J4509" s="175"/>
      <c r="K4509" s="188" t="s">
        <v>10018</v>
      </c>
      <c r="L4509" s="62">
        <v>24374234</v>
      </c>
      <c r="M4509" s="30">
        <v>9612465948</v>
      </c>
      <c r="N4509" s="171" t="s">
        <v>28</v>
      </c>
      <c r="O4509" s="50">
        <v>10171.24</v>
      </c>
      <c r="P4509" s="97"/>
      <c r="Q4509" s="230">
        <f>OfficeForms.Table[[#This Row],[ INFORMEDEPAGO ]]*0.3</f>
        <v>3051.3719999999998</v>
      </c>
      <c r="R4509" s="231">
        <f>(IF(O4509&lt;4172.98,0,MIN(O4509*0.3,O4509-4172.98)))-P4509</f>
        <v>3051.3719999999998</v>
      </c>
      <c r="T4509" s="239"/>
      <c r="U4509" s="97"/>
      <c r="V4509" s="1" t="s">
        <v>8350</v>
      </c>
      <c r="W4509" s="29">
        <v>46275</v>
      </c>
    </row>
    <row r="4510" spans="1:23">
      <c r="A4510">
        <v>2943</v>
      </c>
      <c r="B4510" s="2">
        <v>46275.6974305556</v>
      </c>
      <c r="C4510" s="2">
        <v>46275.700613425899</v>
      </c>
      <c r="D4510" s="1" t="s">
        <v>24</v>
      </c>
      <c r="E4510" s="1"/>
      <c r="F4510" s="29">
        <v>46275</v>
      </c>
      <c r="G4510" s="29">
        <v>46275</v>
      </c>
      <c r="H4510" s="1" t="s">
        <v>78</v>
      </c>
      <c r="I4510" s="175" t="s">
        <v>10019</v>
      </c>
      <c r="J4510" s="175">
        <v>21916430909</v>
      </c>
      <c r="K4510" s="188" t="s">
        <v>10020</v>
      </c>
      <c r="L4510" s="62">
        <v>24381098</v>
      </c>
      <c r="M4510" s="30">
        <v>5216866047067</v>
      </c>
      <c r="N4510" s="171" t="s">
        <v>37</v>
      </c>
      <c r="O4510" s="43">
        <v>9760.32</v>
      </c>
      <c r="P4510" s="43">
        <v>2823.89</v>
      </c>
      <c r="Q4510" s="230">
        <f>OfficeForms.Table[[#This Row],[ INFORMEDEPAGO ]]*0.3</f>
        <v>2928.096</v>
      </c>
      <c r="R4510" s="231">
        <f>(IF(O4510&lt;4172.98,0,MIN(O4510*0.3,O4510-4172.98)))-P4510</f>
        <v>104.20600000000013</v>
      </c>
      <c r="S4510" s="74">
        <v>46692</v>
      </c>
      <c r="T4510" s="239" t="s">
        <v>9552</v>
      </c>
      <c r="U4510" s="43">
        <v>2823.89</v>
      </c>
      <c r="V4510" s="1"/>
    </row>
    <row r="4511" spans="1:23">
      <c r="A4511">
        <v>2944</v>
      </c>
      <c r="B4511" s="2">
        <v>46275.656805555598</v>
      </c>
      <c r="C4511" s="2">
        <v>46275.703067129602</v>
      </c>
      <c r="D4511" s="1" t="s">
        <v>24</v>
      </c>
      <c r="E4511" s="1"/>
      <c r="F4511" s="29">
        <v>46275</v>
      </c>
      <c r="G4511" s="29">
        <v>46274</v>
      </c>
      <c r="H4511" s="1" t="s">
        <v>8381</v>
      </c>
      <c r="I4511" s="175" t="s">
        <v>10021</v>
      </c>
      <c r="J4511" s="175">
        <v>4675106522</v>
      </c>
      <c r="K4511" s="188" t="s">
        <v>10022</v>
      </c>
      <c r="L4511" s="62">
        <v>24361520</v>
      </c>
      <c r="M4511" s="30">
        <v>5213312633746</v>
      </c>
      <c r="N4511" s="171" t="s">
        <v>47</v>
      </c>
      <c r="O4511" s="43">
        <v>48251.94</v>
      </c>
      <c r="P4511" s="43">
        <v>13956.28</v>
      </c>
      <c r="Q4511" s="230">
        <f>OfficeForms.Table[[#This Row],[ INFORMEDEPAGO ]]*0.3</f>
        <v>14475.582</v>
      </c>
      <c r="R4511" s="231">
        <f>(IF(O4511&lt;4172.98,0,MIN(O4511*0.3,O4511-4172.98)))-P4511</f>
        <v>519.30199999999968</v>
      </c>
      <c r="S4511" s="74">
        <v>46569</v>
      </c>
      <c r="T4511" s="239" t="s">
        <v>6855</v>
      </c>
      <c r="U4511" s="97">
        <v>3339</v>
      </c>
      <c r="V4511" s="1" t="s">
        <v>8233</v>
      </c>
      <c r="W4511" s="29">
        <v>46275</v>
      </c>
    </row>
    <row r="4512" spans="1:23">
      <c r="A4512">
        <v>2945</v>
      </c>
      <c r="B4512" s="2">
        <v>46275.701562499999</v>
      </c>
      <c r="C4512" s="2">
        <v>46275.705335648097</v>
      </c>
      <c r="D4512" s="1" t="s">
        <v>24</v>
      </c>
      <c r="E4512" s="1"/>
      <c r="F4512" s="29">
        <v>46275</v>
      </c>
      <c r="G4512" s="29">
        <v>46275</v>
      </c>
      <c r="H4512" s="1" t="s">
        <v>9991</v>
      </c>
      <c r="I4512" s="175" t="s">
        <v>10023</v>
      </c>
      <c r="J4512" s="175">
        <v>16826502797</v>
      </c>
      <c r="K4512" s="188"/>
      <c r="L4512" s="62">
        <v>24380200</v>
      </c>
      <c r="M4512" s="30">
        <v>7293743028</v>
      </c>
      <c r="N4512" s="171" t="s">
        <v>37</v>
      </c>
      <c r="O4512" s="43">
        <v>9760.32</v>
      </c>
      <c r="P4512" s="43">
        <v>2926.29</v>
      </c>
      <c r="Q4512" s="230">
        <f>OfficeForms.Table[[#This Row],[ INFORMEDEPAGO ]]*0.3</f>
        <v>2928.096</v>
      </c>
      <c r="R4512" s="231">
        <f>(IF(O4512&lt;4172.98,0,MIN(O4512*0.3,O4512-4172.98)))-P4512</f>
        <v>1.80600000000004</v>
      </c>
      <c r="S4512" s="74">
        <v>46661</v>
      </c>
      <c r="T4512" s="239" t="s">
        <v>8319</v>
      </c>
      <c r="U4512" s="97">
        <v>1874.45</v>
      </c>
      <c r="V4512" s="1"/>
    </row>
    <row r="4513" spans="1:23">
      <c r="A4513">
        <v>2946</v>
      </c>
      <c r="B4513" s="2">
        <v>46275.7206365741</v>
      </c>
      <c r="C4513" s="2">
        <v>46275.728020833303</v>
      </c>
      <c r="D4513" s="1" t="s">
        <v>24</v>
      </c>
      <c r="E4513" s="1"/>
      <c r="F4513" s="29">
        <v>46275</v>
      </c>
      <c r="G4513" s="29">
        <v>46275</v>
      </c>
      <c r="H4513" s="1" t="s">
        <v>8028</v>
      </c>
      <c r="I4513" s="175" t="s">
        <v>10024</v>
      </c>
      <c r="J4513" s="175"/>
      <c r="K4513" s="188" t="s">
        <v>10025</v>
      </c>
      <c r="L4513" s="62">
        <v>24368158</v>
      </c>
      <c r="M4513" s="30">
        <v>5215546708582</v>
      </c>
      <c r="N4513" s="171" t="s">
        <v>28</v>
      </c>
      <c r="O4513" s="50">
        <v>9760.32</v>
      </c>
      <c r="P4513" s="97"/>
      <c r="Q4513" s="230">
        <f>OfficeForms.Table[[#This Row],[ INFORMEDEPAGO ]]*0.3</f>
        <v>2928.096</v>
      </c>
      <c r="R4513" s="231">
        <f>(IF(O4513&lt;4172.98,0,MIN(O4513*0.3,O4513-4172.98)))-P4513</f>
        <v>2928.096</v>
      </c>
      <c r="T4513" s="239"/>
      <c r="U4513" s="97"/>
      <c r="V4513" s="1" t="s">
        <v>8316</v>
      </c>
      <c r="W4513" s="29">
        <v>46275</v>
      </c>
    </row>
    <row r="4514" spans="1:23">
      <c r="A4514">
        <v>2947</v>
      </c>
      <c r="B4514" s="2">
        <v>46275.7356828704</v>
      </c>
      <c r="C4514" s="2">
        <v>46275.740798611099</v>
      </c>
      <c r="D4514" s="1" t="s">
        <v>24</v>
      </c>
      <c r="E4514" s="1"/>
      <c r="F4514" s="29">
        <v>46275</v>
      </c>
      <c r="G4514" s="29">
        <v>46274</v>
      </c>
      <c r="H4514" s="1" t="s">
        <v>78</v>
      </c>
      <c r="I4514" s="175" t="s">
        <v>10026</v>
      </c>
      <c r="J4514" s="175">
        <v>5272531342</v>
      </c>
      <c r="K4514" s="188"/>
      <c r="L4514" s="62">
        <v>24360198</v>
      </c>
      <c r="M4514" s="30">
        <v>5213131132844</v>
      </c>
      <c r="N4514" s="171" t="s">
        <v>32</v>
      </c>
      <c r="O4514" s="50">
        <v>3882.85</v>
      </c>
      <c r="P4514" s="97"/>
      <c r="Q4514" s="230">
        <f>OfficeForms.Table[[#This Row],[ INFORMEDEPAGO ]]*0.3</f>
        <v>1164.855</v>
      </c>
      <c r="R4514" s="231">
        <f>(IF(O4514&lt;4172.98,0,MIN(O4514*0.3,O4514-4172.98)))-P4514</f>
        <v>0</v>
      </c>
      <c r="T4514" s="239"/>
      <c r="U4514" s="97"/>
      <c r="V4514" s="1"/>
    </row>
    <row r="4515" spans="1:23">
      <c r="A4515">
        <v>2948</v>
      </c>
      <c r="B4515" s="2">
        <v>46275.756921296299</v>
      </c>
      <c r="C4515" s="2">
        <v>46275.757384259297</v>
      </c>
      <c r="D4515" s="1" t="s">
        <v>24</v>
      </c>
      <c r="E4515" s="1"/>
      <c r="F4515" s="29">
        <v>46275</v>
      </c>
      <c r="G4515" s="29">
        <v>46275</v>
      </c>
      <c r="H4515" s="1" t="s">
        <v>8253</v>
      </c>
      <c r="I4515" s="175" t="s">
        <v>10027</v>
      </c>
      <c r="J4515" s="175"/>
      <c r="K4515" s="188" t="s">
        <v>10028</v>
      </c>
      <c r="L4515" s="62">
        <v>24382562</v>
      </c>
      <c r="M4515" s="30">
        <v>8120029265</v>
      </c>
      <c r="N4515" s="171" t="s">
        <v>28</v>
      </c>
      <c r="O4515" s="50">
        <v>52003.97</v>
      </c>
      <c r="P4515" s="97"/>
      <c r="Q4515" s="230">
        <f>OfficeForms.Table[[#This Row],[ INFORMEDEPAGO ]]*0.3</f>
        <v>15601.190999999999</v>
      </c>
      <c r="R4515" s="231">
        <f>(IF(O4515&lt;4172.98,0,MIN(O4515*0.3,O4515-4172.98)))-P4515</f>
        <v>15601.190999999999</v>
      </c>
      <c r="T4515" s="239"/>
      <c r="U4515" s="97"/>
      <c r="V4515" s="1" t="s">
        <v>8409</v>
      </c>
      <c r="W4515" s="29">
        <v>46275</v>
      </c>
    </row>
    <row r="4516" spans="1:23">
      <c r="A4516">
        <v>2949</v>
      </c>
      <c r="B4516" s="2">
        <v>46276.400497685201</v>
      </c>
      <c r="C4516" s="2">
        <v>46276.402430555601</v>
      </c>
      <c r="D4516" s="1" t="s">
        <v>24</v>
      </c>
      <c r="E4516" s="1"/>
      <c r="F4516" s="29">
        <v>46276</v>
      </c>
      <c r="G4516" s="29">
        <v>46276</v>
      </c>
      <c r="H4516" s="1" t="s">
        <v>8253</v>
      </c>
      <c r="I4516" s="175" t="s">
        <v>10029</v>
      </c>
      <c r="J4516" s="175"/>
      <c r="K4516" s="188" t="s">
        <v>10030</v>
      </c>
      <c r="L4516" s="62">
        <v>24389196</v>
      </c>
      <c r="M4516" s="30">
        <v>4492609957</v>
      </c>
      <c r="N4516" s="171" t="s">
        <v>37</v>
      </c>
      <c r="O4516" s="52">
        <v>9081.52</v>
      </c>
      <c r="P4516" s="52">
        <v>2627.5</v>
      </c>
      <c r="Q4516" s="230">
        <f>OfficeForms.Table[[#This Row],[ INFORMEDEPAGO ]]*0.3</f>
        <v>2724.4560000000001</v>
      </c>
      <c r="R4516" s="231">
        <f>(IF(O4516&lt;4172.98,0,MIN(O4516*0.3,O4516-4172.98)))-P4516</f>
        <v>96.956000000000131</v>
      </c>
      <c r="S4516" s="74">
        <v>46692</v>
      </c>
      <c r="T4516" s="239" t="s">
        <v>8319</v>
      </c>
      <c r="U4516" s="97">
        <v>2627.5</v>
      </c>
      <c r="V4516" s="1"/>
    </row>
    <row r="4517" spans="1:23">
      <c r="A4517">
        <v>2950</v>
      </c>
      <c r="B4517" s="2">
        <v>46276.404861111099</v>
      </c>
      <c r="C4517" s="2">
        <v>46276.406805555598</v>
      </c>
      <c r="D4517" s="1" t="s">
        <v>24</v>
      </c>
      <c r="E4517" s="1"/>
      <c r="F4517" s="29">
        <v>46276</v>
      </c>
      <c r="G4517" s="29">
        <v>46276</v>
      </c>
      <c r="H4517" s="1" t="s">
        <v>9960</v>
      </c>
      <c r="I4517" s="175" t="s">
        <v>10031</v>
      </c>
      <c r="J4517" s="175"/>
      <c r="K4517" s="188" t="s">
        <v>10032</v>
      </c>
      <c r="L4517" s="62">
        <v>24371764</v>
      </c>
      <c r="M4517" s="30">
        <v>9614250933</v>
      </c>
      <c r="N4517" s="171" t="s">
        <v>235</v>
      </c>
      <c r="O4517" s="50"/>
      <c r="P4517" s="97"/>
      <c r="Q4517" s="230">
        <f>OfficeForms.Table[[#This Row],[ INFORMEDEPAGO ]]*0.3</f>
        <v>0</v>
      </c>
      <c r="R4517" s="231">
        <f t="shared" ref="R4517:R4520" si="357">(IF(O4517&lt;4172.98,0,MIN(O4517*0.3,O4517-4172.98)))-P4517</f>
        <v>0</v>
      </c>
      <c r="T4517" s="239"/>
      <c r="U4517" s="97"/>
      <c r="V4517" s="1"/>
    </row>
    <row r="4518" spans="1:23">
      <c r="A4518">
        <v>2951</v>
      </c>
      <c r="B4518" s="2">
        <v>46275.505891203698</v>
      </c>
      <c r="C4518" s="2">
        <v>46276.408171296302</v>
      </c>
      <c r="D4518" s="1" t="s">
        <v>24</v>
      </c>
      <c r="E4518" s="1"/>
      <c r="F4518" s="29">
        <v>46276</v>
      </c>
      <c r="G4518" s="29">
        <v>46274</v>
      </c>
      <c r="H4518" s="1" t="s">
        <v>8721</v>
      </c>
      <c r="I4518" s="175" t="s">
        <v>10033</v>
      </c>
      <c r="J4518" s="175"/>
      <c r="K4518" s="188" t="s">
        <v>10034</v>
      </c>
      <c r="L4518" s="62">
        <v>24357292</v>
      </c>
      <c r="M4518" s="30">
        <v>5213141037371</v>
      </c>
      <c r="N4518" s="171" t="s">
        <v>37</v>
      </c>
      <c r="O4518" s="43">
        <v>11029.03</v>
      </c>
      <c r="P4518" s="43">
        <v>3308.71</v>
      </c>
      <c r="Q4518" s="230">
        <f>OfficeForms.Table[[#This Row],[ INFORMEDEPAGO ]]*0.3</f>
        <v>3308.7090000000003</v>
      </c>
      <c r="R4518" s="231">
        <f t="shared" si="357"/>
        <v>-9.9999999974897946E-4</v>
      </c>
      <c r="S4518" s="74">
        <v>46813</v>
      </c>
      <c r="T4518" s="239" t="s">
        <v>7209</v>
      </c>
      <c r="U4518" s="230">
        <f>OfficeForms.Table[[#This Row],[ INFORMEDEPAGO ]]*0.3</f>
        <v>3308.7090000000003</v>
      </c>
      <c r="V4518" s="1"/>
    </row>
    <row r="4519" spans="1:23">
      <c r="A4519">
        <v>2952</v>
      </c>
      <c r="B4519" s="2">
        <v>46275.6322685185</v>
      </c>
      <c r="C4519" s="2">
        <v>46276.410428240699</v>
      </c>
      <c r="D4519" s="1" t="s">
        <v>24</v>
      </c>
      <c r="E4519" s="1"/>
      <c r="F4519" s="29">
        <v>46276</v>
      </c>
      <c r="G4519" s="29">
        <v>46274</v>
      </c>
      <c r="H4519" s="1" t="s">
        <v>9986</v>
      </c>
      <c r="I4519" s="175" t="s">
        <v>10035</v>
      </c>
      <c r="J4519" s="175" t="s">
        <v>10036</v>
      </c>
      <c r="K4519" s="188" t="s">
        <v>10037</v>
      </c>
      <c r="L4519" s="62">
        <v>24372114</v>
      </c>
      <c r="M4519" s="30">
        <v>4122012336</v>
      </c>
      <c r="N4519" s="171" t="s">
        <v>235</v>
      </c>
      <c r="O4519" s="50"/>
      <c r="P4519" s="97"/>
      <c r="Q4519" s="230">
        <f>OfficeForms.Table[[#This Row],[ INFORMEDEPAGO ]]*0.3</f>
        <v>0</v>
      </c>
      <c r="R4519" s="231">
        <f t="shared" si="357"/>
        <v>0</v>
      </c>
      <c r="T4519" s="239"/>
      <c r="U4519" s="97"/>
      <c r="V4519" s="1"/>
    </row>
    <row r="4520" spans="1:23">
      <c r="A4520">
        <v>2953</v>
      </c>
      <c r="B4520" s="2">
        <v>46276.411030092597</v>
      </c>
      <c r="C4520" s="2">
        <v>46276.413472222201</v>
      </c>
      <c r="D4520" s="1" t="s">
        <v>24</v>
      </c>
      <c r="E4520" s="1"/>
      <c r="F4520" s="29">
        <v>46276</v>
      </c>
      <c r="G4520" s="29">
        <v>46275</v>
      </c>
      <c r="H4520" s="1" t="s">
        <v>51</v>
      </c>
      <c r="I4520" s="175" t="s">
        <v>10038</v>
      </c>
      <c r="J4520" s="175"/>
      <c r="K4520" s="188" t="s">
        <v>10039</v>
      </c>
      <c r="L4520" s="62">
        <v>24383414</v>
      </c>
      <c r="M4520" s="30">
        <v>5212831116647</v>
      </c>
      <c r="N4520" s="171" t="s">
        <v>28</v>
      </c>
      <c r="O4520" s="52">
        <v>10636.55</v>
      </c>
      <c r="P4520" s="52">
        <v>0</v>
      </c>
      <c r="Q4520" s="230">
        <f>OfficeForms.Table[[#This Row],[ INFORMEDEPAGO ]]*0.3</f>
        <v>3190.9649999999997</v>
      </c>
      <c r="R4520" s="231">
        <f t="shared" si="357"/>
        <v>3190.9649999999997</v>
      </c>
      <c r="T4520" s="239"/>
      <c r="U4520" s="97"/>
      <c r="V4520" s="1" t="s">
        <v>8316</v>
      </c>
      <c r="W4520" s="29">
        <v>46276</v>
      </c>
    </row>
    <row r="4521" spans="1:23">
      <c r="A4521">
        <v>2954</v>
      </c>
      <c r="B4521" s="2">
        <v>46276.406875000001</v>
      </c>
      <c r="C4521" s="2">
        <v>46276.421759259298</v>
      </c>
      <c r="D4521" s="1" t="s">
        <v>24</v>
      </c>
      <c r="E4521" s="1"/>
      <c r="F4521" s="29">
        <v>46276</v>
      </c>
      <c r="G4521" s="29">
        <v>46276</v>
      </c>
      <c r="H4521" s="1" t="s">
        <v>9960</v>
      </c>
      <c r="I4521" s="175" t="s">
        <v>10040</v>
      </c>
      <c r="J4521" s="175">
        <v>13725206083</v>
      </c>
      <c r="K4521" s="188"/>
      <c r="L4521" s="62">
        <v>24395670</v>
      </c>
      <c r="M4521" s="30">
        <v>7716848154</v>
      </c>
      <c r="N4521" s="171" t="s">
        <v>263</v>
      </c>
      <c r="O4521" s="52">
        <v>26478.23</v>
      </c>
      <c r="P4521" s="52">
        <v>7940.63</v>
      </c>
      <c r="Q4521" s="230">
        <f>OfficeForms.Table[[#This Row],[ INFORMEDEPAGO ]]*0.3</f>
        <v>7943.4689999999991</v>
      </c>
      <c r="R4521" s="231">
        <f t="shared" ref="R4521" si="358">(IF(O4521&lt;4172.98,0,MIN(O4521*0.3,O4521-4172.98)))-P4521</f>
        <v>2.8389999999990323</v>
      </c>
      <c r="S4521" s="74">
        <v>46235</v>
      </c>
      <c r="T4521" s="239" t="s">
        <v>84</v>
      </c>
      <c r="U4521" s="97">
        <v>2864.68</v>
      </c>
      <c r="V4521" s="1" t="s">
        <v>9185</v>
      </c>
      <c r="W4521" s="29">
        <v>46276</v>
      </c>
    </row>
    <row r="4522" spans="1:23">
      <c r="A4522">
        <v>2955</v>
      </c>
      <c r="B4522" s="2">
        <v>46276.4223726852</v>
      </c>
      <c r="C4522" s="2">
        <v>46276.423657407402</v>
      </c>
      <c r="D4522" s="1" t="s">
        <v>24</v>
      </c>
      <c r="E4522" s="1"/>
      <c r="F4522" s="29">
        <v>46276</v>
      </c>
      <c r="G4522" s="29">
        <v>46275</v>
      </c>
      <c r="H4522" s="1" t="s">
        <v>269</v>
      </c>
      <c r="I4522" s="175" t="s">
        <v>10041</v>
      </c>
      <c r="J4522" s="175" t="s">
        <v>10042</v>
      </c>
      <c r="K4522" s="188"/>
      <c r="L4522" s="62">
        <v>24380456</v>
      </c>
      <c r="M4522" s="30">
        <v>5214463343501</v>
      </c>
      <c r="N4522" s="171" t="s">
        <v>37</v>
      </c>
      <c r="O4522" s="43">
        <v>12046.58</v>
      </c>
      <c r="P4522" s="43">
        <v>3612.22</v>
      </c>
      <c r="Q4522" s="230">
        <f>OfficeForms.Table[[#This Row],[ INFORMEDEPAGO ]]*0.3</f>
        <v>3613.9739999999997</v>
      </c>
      <c r="R4522" s="231">
        <f t="shared" ref="R4522" si="359">(IF(O4522&lt;4172.98,0,MIN(O4522*0.3,O4522-4172.98)))-P4522</f>
        <v>1.7539999999999054</v>
      </c>
      <c r="S4522" s="74">
        <v>46661</v>
      </c>
      <c r="T4522" s="239" t="s">
        <v>9097</v>
      </c>
      <c r="U4522" s="97">
        <v>3475.22</v>
      </c>
      <c r="V4522" s="1"/>
    </row>
    <row r="4523" spans="1:23">
      <c r="A4523">
        <v>2956</v>
      </c>
      <c r="B4523" s="2">
        <v>46276.425069444398</v>
      </c>
      <c r="C4523" s="2">
        <v>46276.4281597222</v>
      </c>
      <c r="D4523" s="1" t="s">
        <v>24</v>
      </c>
      <c r="E4523" s="1"/>
      <c r="F4523" s="29">
        <v>46276</v>
      </c>
      <c r="G4523" s="29">
        <v>46275</v>
      </c>
      <c r="H4523" s="1" t="s">
        <v>10043</v>
      </c>
      <c r="I4523" s="175" t="s">
        <v>10044</v>
      </c>
      <c r="J4523" s="175"/>
      <c r="K4523" s="188" t="s">
        <v>10045</v>
      </c>
      <c r="L4523" s="62">
        <v>24378740</v>
      </c>
      <c r="M4523" s="30">
        <v>7356091777</v>
      </c>
      <c r="N4523" s="171" t="s">
        <v>37</v>
      </c>
      <c r="O4523" s="43">
        <v>9081.2199999999993</v>
      </c>
      <c r="P4523" s="43">
        <v>2721.88</v>
      </c>
      <c r="Q4523" s="230">
        <f>OfficeForms.Table[[#This Row],[ INFORMEDEPAGO ]]*0.3</f>
        <v>2724.3659999999995</v>
      </c>
      <c r="R4523" s="231">
        <f t="shared" ref="R4523:R4524" si="360">(IF(O4523&lt;4172.98,0,MIN(O4523*0.3,O4523-4172.98)))-P4523</f>
        <v>2.4859999999994216</v>
      </c>
      <c r="S4523" s="74">
        <v>46966</v>
      </c>
      <c r="T4523" s="239" t="s">
        <v>6855</v>
      </c>
      <c r="U4523" s="97">
        <v>2519.58</v>
      </c>
      <c r="V4523" s="1"/>
    </row>
    <row r="4524" spans="1:23">
      <c r="A4524">
        <v>2957</v>
      </c>
      <c r="B4524" s="2">
        <v>46276.413483796299</v>
      </c>
      <c r="C4524" s="2">
        <v>46276.430520833303</v>
      </c>
      <c r="D4524" s="1" t="s">
        <v>24</v>
      </c>
      <c r="E4524" s="1"/>
      <c r="F4524" s="29">
        <v>46276</v>
      </c>
      <c r="G4524" s="29">
        <v>46276</v>
      </c>
      <c r="H4524" s="1" t="s">
        <v>51</v>
      </c>
      <c r="I4524" s="175" t="s">
        <v>10046</v>
      </c>
      <c r="J4524" s="175"/>
      <c r="K4524" s="188" t="s">
        <v>10047</v>
      </c>
      <c r="L4524" s="62">
        <v>24392654</v>
      </c>
      <c r="M4524" s="30">
        <v>5217775646107</v>
      </c>
      <c r="N4524" s="171" t="s">
        <v>28</v>
      </c>
      <c r="O4524" s="50">
        <v>37463.39</v>
      </c>
      <c r="P4524" s="97"/>
      <c r="Q4524" s="230">
        <f>OfficeForms.Table[[#This Row],[ INFORMEDEPAGO ]]*0.3</f>
        <v>11239.017</v>
      </c>
      <c r="R4524" s="231">
        <f t="shared" si="360"/>
        <v>11239.017</v>
      </c>
      <c r="T4524" s="239"/>
      <c r="U4524" s="97"/>
      <c r="V4524" s="1" t="s">
        <v>8915</v>
      </c>
      <c r="W4524" s="29">
        <v>46276</v>
      </c>
    </row>
    <row r="4525" spans="1:23">
      <c r="A4525">
        <v>2958</v>
      </c>
      <c r="B4525" s="2">
        <v>46276.432824074102</v>
      </c>
      <c r="C4525" s="2">
        <v>46276.434456018498</v>
      </c>
      <c r="D4525" s="1" t="s">
        <v>24</v>
      </c>
      <c r="E4525" s="1"/>
      <c r="F4525" s="29">
        <v>46276</v>
      </c>
      <c r="G4525" s="29">
        <v>46276</v>
      </c>
      <c r="H4525" s="1" t="s">
        <v>9960</v>
      </c>
      <c r="I4525" s="175" t="s">
        <v>10048</v>
      </c>
      <c r="J4525" s="175"/>
      <c r="K4525" s="188" t="s">
        <v>10049</v>
      </c>
      <c r="L4525" s="62">
        <v>24396496</v>
      </c>
      <c r="M4525" s="30">
        <v>9371210840</v>
      </c>
      <c r="N4525" s="171" t="s">
        <v>74</v>
      </c>
      <c r="O4525" s="50"/>
      <c r="P4525" s="97"/>
      <c r="Q4525" s="230">
        <f>OfficeForms.Table[[#This Row],[ INFORMEDEPAGO ]]*0.3</f>
        <v>0</v>
      </c>
      <c r="R4525" s="231">
        <f t="shared" ref="R4525" si="361">(IF(O4525&lt;4172.98,0,MIN(O4525*0.3,O4525-4172.98)))-P4525</f>
        <v>0</v>
      </c>
      <c r="T4525" s="239"/>
      <c r="U4525" s="97"/>
      <c r="V4525" s="1"/>
    </row>
    <row r="4526" spans="1:23">
      <c r="A4526">
        <v>2959</v>
      </c>
      <c r="B4526" s="2">
        <v>46276.443113425899</v>
      </c>
      <c r="C4526" s="2">
        <v>46276.4454513889</v>
      </c>
      <c r="D4526" s="1" t="s">
        <v>24</v>
      </c>
      <c r="E4526" s="1"/>
      <c r="F4526" s="29">
        <v>46276</v>
      </c>
      <c r="G4526" s="29">
        <v>46273</v>
      </c>
      <c r="H4526" s="1" t="s">
        <v>8238</v>
      </c>
      <c r="I4526" s="175" t="s">
        <v>10050</v>
      </c>
      <c r="J4526" s="175"/>
      <c r="K4526" s="188" t="s">
        <v>10051</v>
      </c>
      <c r="L4526" s="62">
        <v>24318102</v>
      </c>
      <c r="M4526" s="30">
        <v>8662800723</v>
      </c>
      <c r="N4526" s="171" t="s">
        <v>37</v>
      </c>
      <c r="O4526" s="52">
        <v>9081.52</v>
      </c>
      <c r="P4526" s="52">
        <v>2721.97</v>
      </c>
      <c r="Q4526" s="230">
        <f>OfficeForms.Table[[#This Row],[ INFORMEDEPAGO ]]*0.3</f>
        <v>2724.4560000000001</v>
      </c>
      <c r="R4526" s="231">
        <f t="shared" ref="R4526" si="362">(IF(O4526&lt;4172.98,0,MIN(O4526*0.3,O4526-4172.98)))-P4526</f>
        <v>2.4860000000003311</v>
      </c>
      <c r="S4526" s="74">
        <v>46966</v>
      </c>
      <c r="T4526" s="239" t="s">
        <v>192</v>
      </c>
      <c r="U4526" s="97">
        <v>2475.5100000000002</v>
      </c>
      <c r="V4526" s="1"/>
    </row>
    <row r="4527" spans="1:23">
      <c r="A4527">
        <v>2960</v>
      </c>
      <c r="B4527" s="2">
        <v>46276.347013888902</v>
      </c>
      <c r="C4527" s="2">
        <v>46276.465798611098</v>
      </c>
      <c r="D4527" s="1" t="s">
        <v>24</v>
      </c>
      <c r="E4527" s="1"/>
      <c r="F4527" s="29">
        <v>46276</v>
      </c>
      <c r="G4527" s="29">
        <v>46276</v>
      </c>
      <c r="H4527" s="1" t="s">
        <v>1625</v>
      </c>
      <c r="I4527" s="175" t="s">
        <v>10052</v>
      </c>
      <c r="J4527" s="175">
        <v>88806010752</v>
      </c>
      <c r="K4527" s="188" t="s">
        <v>10053</v>
      </c>
      <c r="L4527" s="62">
        <v>2</v>
      </c>
      <c r="M4527" s="30" t="s">
        <v>10054</v>
      </c>
      <c r="N4527" s="171" t="s">
        <v>106</v>
      </c>
      <c r="O4527" s="43">
        <v>11297.4</v>
      </c>
      <c r="P4527" s="43">
        <v>3381.56</v>
      </c>
      <c r="Q4527" s="230">
        <f>OfficeForms.Table[[#This Row],[ INFORMEDEPAGO ]]*0.3</f>
        <v>3389.22</v>
      </c>
      <c r="R4527" s="231">
        <f>(IF(O4527&lt;4172.98,0,MIN(O4527*0.3,O4527-4172.98)))-P4527</f>
        <v>7.6599999999998545</v>
      </c>
      <c r="S4527" s="74">
        <v>46266</v>
      </c>
      <c r="T4527" s="239" t="s">
        <v>7209</v>
      </c>
      <c r="U4527" s="97">
        <v>3136.56</v>
      </c>
      <c r="V4527" s="1"/>
    </row>
    <row r="4528" spans="1:23">
      <c r="A4528">
        <v>2961</v>
      </c>
      <c r="B4528" s="2">
        <v>46276.466481481497</v>
      </c>
      <c r="C4528" s="2">
        <v>46276.468668981499</v>
      </c>
      <c r="D4528" s="1" t="s">
        <v>24</v>
      </c>
      <c r="E4528" s="1"/>
      <c r="F4528" s="29">
        <v>46276</v>
      </c>
      <c r="G4528" s="29">
        <v>46276</v>
      </c>
      <c r="H4528" s="1" t="s">
        <v>10043</v>
      </c>
      <c r="I4528" s="175" t="s">
        <v>10055</v>
      </c>
      <c r="J4528" s="175"/>
      <c r="K4528" s="188" t="s">
        <v>10056</v>
      </c>
      <c r="L4528" s="62">
        <v>24397608</v>
      </c>
      <c r="M4528" s="30">
        <v>8123497411</v>
      </c>
      <c r="N4528" s="171" t="s">
        <v>47</v>
      </c>
      <c r="O4528" s="43">
        <v>7920.51</v>
      </c>
      <c r="P4528" s="43">
        <v>1794.15</v>
      </c>
      <c r="Q4528" s="230">
        <f>OfficeForms.Table[[#This Row],[ INFORMEDEPAGO ]]*0.3</f>
        <v>2376.1529999999998</v>
      </c>
      <c r="R4528" s="231">
        <f>(IF(O4528&lt;4172.98,0,MIN(O4528*0.3,O4528-4172.98)))-P4528</f>
        <v>582.0029999999997</v>
      </c>
      <c r="S4528" s="74">
        <v>46813</v>
      </c>
      <c r="T4528" s="239" t="s">
        <v>7209</v>
      </c>
      <c r="U4528" s="43">
        <v>1794.15</v>
      </c>
      <c r="V4528" s="1" t="s">
        <v>8233</v>
      </c>
      <c r="W4528" s="29">
        <v>46276</v>
      </c>
    </row>
    <row r="4529" spans="1:23">
      <c r="A4529">
        <v>2962</v>
      </c>
      <c r="B4529" s="2">
        <v>46276.470196759299</v>
      </c>
      <c r="C4529" s="2">
        <v>46276.470914351899</v>
      </c>
      <c r="D4529" s="1" t="s">
        <v>24</v>
      </c>
      <c r="E4529" s="1"/>
      <c r="F4529" s="29">
        <v>46276</v>
      </c>
      <c r="G4529" s="29">
        <v>46275</v>
      </c>
      <c r="H4529" s="1" t="s">
        <v>8253</v>
      </c>
      <c r="I4529" s="175" t="s">
        <v>10057</v>
      </c>
      <c r="J4529" s="175"/>
      <c r="K4529" s="188" t="s">
        <v>10058</v>
      </c>
      <c r="L4529" s="62">
        <v>24386144</v>
      </c>
      <c r="M4529" s="30">
        <v>6623596230</v>
      </c>
      <c r="N4529" s="171" t="s">
        <v>263</v>
      </c>
      <c r="O4529" s="43">
        <v>6411.47</v>
      </c>
      <c r="P4529" s="43">
        <v>1843.68</v>
      </c>
      <c r="Q4529" s="230">
        <f>OfficeForms.Table[[#This Row],[ INFORMEDEPAGO ]]*0.3</f>
        <v>1923.441</v>
      </c>
      <c r="R4529" s="231">
        <f>(IF(O4529&lt;4172.98,0,MIN(O4529*0.3,O4529-4172.98)))-P4529</f>
        <v>79.760999999999967</v>
      </c>
      <c r="S4529" s="74">
        <v>45870</v>
      </c>
      <c r="T4529" s="239" t="s">
        <v>192</v>
      </c>
      <c r="U4529" s="97">
        <v>412.85</v>
      </c>
      <c r="V4529" s="1" t="s">
        <v>9185</v>
      </c>
      <c r="W4529" s="29">
        <v>46276</v>
      </c>
    </row>
    <row r="4530" spans="1:23">
      <c r="A4530">
        <v>2963</v>
      </c>
      <c r="B4530" s="2">
        <v>46276.4305439815</v>
      </c>
      <c r="C4530" s="2">
        <v>46276.474699074097</v>
      </c>
      <c r="D4530" s="1" t="s">
        <v>24</v>
      </c>
      <c r="E4530" s="1"/>
      <c r="F4530" s="29">
        <v>46276</v>
      </c>
      <c r="G4530" s="29">
        <v>46275</v>
      </c>
      <c r="H4530" s="1" t="s">
        <v>51</v>
      </c>
      <c r="I4530" s="175" t="s">
        <v>10059</v>
      </c>
      <c r="J4530" s="175"/>
      <c r="K4530" s="188" t="s">
        <v>10060</v>
      </c>
      <c r="L4530" s="62">
        <v>24386248</v>
      </c>
      <c r="M4530" s="30">
        <v>5216271491671</v>
      </c>
      <c r="N4530" s="171" t="s">
        <v>106</v>
      </c>
      <c r="O4530" s="43">
        <v>6248.08</v>
      </c>
      <c r="P4530" s="43">
        <v>1497.29</v>
      </c>
      <c r="Q4530" s="230">
        <f>OfficeForms.Table[[#This Row],[ INFORMEDEPAGO ]]*0.3</f>
        <v>1874.424</v>
      </c>
      <c r="R4530" s="231">
        <f>(IF(O4530&lt;4172.98,0,MIN(O4530*0.3,O4530-4172.98)))-P4530</f>
        <v>377.13400000000001</v>
      </c>
      <c r="S4530" s="74">
        <v>45383</v>
      </c>
      <c r="T4530" s="239" t="s">
        <v>8415</v>
      </c>
      <c r="U4530" s="43">
        <v>1497.29</v>
      </c>
      <c r="V4530" s="1" t="s">
        <v>8256</v>
      </c>
      <c r="W4530" s="29">
        <v>46276</v>
      </c>
    </row>
    <row r="4531" spans="1:23">
      <c r="A4531">
        <v>2964</v>
      </c>
      <c r="B4531" s="2">
        <v>46276.465208333299</v>
      </c>
      <c r="C4531" s="2">
        <v>46276.479050925896</v>
      </c>
      <c r="D4531" s="1" t="s">
        <v>24</v>
      </c>
      <c r="E4531" s="1"/>
      <c r="F4531" s="29">
        <v>46276</v>
      </c>
      <c r="G4531" s="29">
        <v>46276</v>
      </c>
      <c r="H4531" s="1" t="s">
        <v>9960</v>
      </c>
      <c r="I4531" s="175" t="s">
        <v>10061</v>
      </c>
      <c r="J4531" s="175"/>
      <c r="K4531" s="188" t="s">
        <v>10062</v>
      </c>
      <c r="L4531" s="62">
        <v>24397820</v>
      </c>
      <c r="M4531" s="30">
        <v>6691008482</v>
      </c>
      <c r="N4531" s="171" t="s">
        <v>28</v>
      </c>
      <c r="O4531" s="50">
        <v>11029.03</v>
      </c>
      <c r="P4531" s="97"/>
      <c r="Q4531" s="230">
        <f>OfficeForms.Table[[#This Row],[ INFORMEDEPAGO ]]*0.3</f>
        <v>3308.7090000000003</v>
      </c>
      <c r="R4531" s="231">
        <f>(IF(O4531&lt;4172.98,0,MIN(O4531*0.3,O4531-4172.98)))-P4531</f>
        <v>3308.7090000000003</v>
      </c>
      <c r="T4531" s="239"/>
      <c r="U4531" s="97"/>
      <c r="V4531" s="1" t="s">
        <v>8350</v>
      </c>
      <c r="W4531" s="29">
        <v>46276</v>
      </c>
    </row>
    <row r="4532" spans="1:23">
      <c r="A4532">
        <v>2965</v>
      </c>
      <c r="B4532" s="2">
        <v>46276.410451388903</v>
      </c>
      <c r="C4532" s="2">
        <v>46276.488865740699</v>
      </c>
      <c r="D4532" s="1" t="s">
        <v>24</v>
      </c>
      <c r="E4532" s="1"/>
      <c r="F4532" s="29">
        <v>46276</v>
      </c>
      <c r="G4532" s="29">
        <v>46275</v>
      </c>
      <c r="H4532" s="1" t="s">
        <v>9986</v>
      </c>
      <c r="I4532" s="175" t="s">
        <v>10063</v>
      </c>
      <c r="J4532" s="175">
        <v>89816008372</v>
      </c>
      <c r="K4532" s="188" t="s">
        <v>10064</v>
      </c>
      <c r="L4532" s="62">
        <v>24396814</v>
      </c>
      <c r="M4532" s="30">
        <v>6562749161</v>
      </c>
      <c r="N4532" s="171" t="s">
        <v>37</v>
      </c>
      <c r="O4532" s="43">
        <v>9081.52</v>
      </c>
      <c r="P4532" s="43">
        <v>2720.81</v>
      </c>
      <c r="Q4532" s="230">
        <f>OfficeForms.Table[[#This Row],[ INFORMEDEPAGO ]]*0.3</f>
        <v>2724.4560000000001</v>
      </c>
      <c r="R4532" s="231">
        <f>(IF(O4532&lt;4172.98,0,MIN(O4532*0.3,O4532-4172.98)))-P4532</f>
        <v>3.6460000000001855</v>
      </c>
      <c r="S4532" s="74">
        <v>46905</v>
      </c>
      <c r="T4532" s="239" t="s">
        <v>259</v>
      </c>
      <c r="U4532" s="43">
        <v>2720.81</v>
      </c>
      <c r="V4532" s="1"/>
    </row>
    <row r="4533" spans="1:23">
      <c r="A4533">
        <v>2966</v>
      </c>
      <c r="B4533" s="2">
        <v>46276.482858796298</v>
      </c>
      <c r="C4533" s="2">
        <v>46276.488912036999</v>
      </c>
      <c r="D4533" s="1" t="s">
        <v>24</v>
      </c>
      <c r="E4533" s="1"/>
      <c r="F4533" s="29">
        <v>46276</v>
      </c>
      <c r="G4533" s="29">
        <v>46215</v>
      </c>
      <c r="H4533" s="1" t="s">
        <v>3575</v>
      </c>
      <c r="I4533" s="175" t="s">
        <v>10065</v>
      </c>
      <c r="J4533" s="175"/>
      <c r="K4533" s="188" t="s">
        <v>10066</v>
      </c>
      <c r="L4533" s="62">
        <v>22591716</v>
      </c>
      <c r="M4533" s="30">
        <v>7445061746</v>
      </c>
      <c r="N4533" s="171" t="s">
        <v>106</v>
      </c>
      <c r="O4533" s="43">
        <v>11832.27</v>
      </c>
      <c r="P4533" s="43">
        <v>3421.76</v>
      </c>
      <c r="Q4533" s="230">
        <f>OfficeForms.Table[[#This Row],[ INFORMEDEPAGO ]]*0.3</f>
        <v>3549.681</v>
      </c>
      <c r="R4533" s="231">
        <f>(IF(O4533&lt;4172.98,0,MIN(O4533*0.3,O4533-4172.98)))-P4533</f>
        <v>127.92099999999982</v>
      </c>
      <c r="S4533" s="74">
        <v>45748</v>
      </c>
      <c r="T4533" s="239" t="s">
        <v>7209</v>
      </c>
      <c r="U4533" s="97">
        <v>1301.3699999999999</v>
      </c>
      <c r="V4533" s="1" t="s">
        <v>9185</v>
      </c>
      <c r="W4533" s="29">
        <v>46276</v>
      </c>
    </row>
    <row r="4534" spans="1:23">
      <c r="A4534">
        <v>2967</v>
      </c>
      <c r="B4534" s="2">
        <v>46276.480972222198</v>
      </c>
      <c r="C4534" s="2">
        <v>46276.493784722203</v>
      </c>
      <c r="D4534" s="1" t="s">
        <v>24</v>
      </c>
      <c r="E4534" s="1"/>
      <c r="F4534" s="29">
        <v>46276</v>
      </c>
      <c r="G4534" s="29">
        <v>46275</v>
      </c>
      <c r="H4534" s="1" t="s">
        <v>8381</v>
      </c>
      <c r="I4534" s="175" t="s">
        <v>10067</v>
      </c>
      <c r="J4534" s="175"/>
      <c r="K4534" s="188" t="s">
        <v>10068</v>
      </c>
      <c r="L4534" s="62">
        <v>24387922</v>
      </c>
      <c r="M4534" s="30">
        <v>5215568007548</v>
      </c>
      <c r="N4534" s="171" t="s">
        <v>37</v>
      </c>
      <c r="O4534" s="43">
        <v>8771.68</v>
      </c>
      <c r="P4534" s="43">
        <v>2631.33</v>
      </c>
      <c r="Q4534" s="230">
        <f>OfficeForms.Table[[#This Row],[ INFORMEDEPAGO ]]*0.3</f>
        <v>2631.5039999999999</v>
      </c>
      <c r="R4534" s="231">
        <f>(IF(O4534&lt;4172.98,0,MIN(O4534*0.3,O4534-4172.98)))-P4534</f>
        <v>0.17399999999997817</v>
      </c>
      <c r="S4534" s="74">
        <v>46874</v>
      </c>
      <c r="T4534" s="239" t="s">
        <v>259</v>
      </c>
      <c r="U4534" s="97">
        <v>2351.87</v>
      </c>
      <c r="V4534" s="1"/>
    </row>
    <row r="4535" spans="1:23">
      <c r="A4535">
        <v>2968</v>
      </c>
      <c r="B4535" s="2">
        <v>46276.493819444397</v>
      </c>
      <c r="C4535" s="2">
        <v>46276.497152777803</v>
      </c>
      <c r="D4535" s="1" t="s">
        <v>24</v>
      </c>
      <c r="E4535" s="1"/>
      <c r="F4535" s="29">
        <v>46276</v>
      </c>
      <c r="G4535" s="29">
        <v>46275</v>
      </c>
      <c r="H4535" s="1" t="s">
        <v>78</v>
      </c>
      <c r="I4535" s="175" t="s">
        <v>10069</v>
      </c>
      <c r="J4535" s="175">
        <v>21927510921</v>
      </c>
      <c r="K4535" s="188" t="s">
        <v>10070</v>
      </c>
      <c r="L4535" s="62">
        <v>24387614</v>
      </c>
      <c r="M4535" s="30">
        <v>5216673079880</v>
      </c>
      <c r="N4535" s="171" t="s">
        <v>37</v>
      </c>
      <c r="O4535" s="52">
        <v>8793.09</v>
      </c>
      <c r="P4535" s="52">
        <v>2491.5300000000002</v>
      </c>
      <c r="Q4535" s="230">
        <f>OfficeForms.Table[[#This Row],[ INFORMEDEPAGO ]]*0.3</f>
        <v>2637.9270000000001</v>
      </c>
      <c r="R4535" s="231">
        <f>(IF(O4535&lt;4172.98,0,MIN(O4535*0.3,O4535-4172.98)))-P4535</f>
        <v>146.39699999999993</v>
      </c>
      <c r="S4535" s="74">
        <v>46692</v>
      </c>
      <c r="T4535" s="239" t="s">
        <v>178</v>
      </c>
      <c r="U4535" s="97">
        <v>2491.5300000000002</v>
      </c>
      <c r="V4535" s="1"/>
    </row>
    <row r="4536" spans="1:23">
      <c r="A4536">
        <v>2969</v>
      </c>
      <c r="B4536" s="2">
        <v>46276.493819444397</v>
      </c>
      <c r="C4536" s="2">
        <v>46276.501435185201</v>
      </c>
      <c r="D4536" s="1" t="s">
        <v>24</v>
      </c>
      <c r="E4536" s="1"/>
      <c r="F4536" s="29">
        <v>46276</v>
      </c>
      <c r="G4536" s="29">
        <v>46275</v>
      </c>
      <c r="H4536" s="1" t="s">
        <v>8381</v>
      </c>
      <c r="I4536" s="175" t="s">
        <v>10071</v>
      </c>
      <c r="J4536" s="175">
        <v>54786220019</v>
      </c>
      <c r="K4536" s="188" t="s">
        <v>10072</v>
      </c>
      <c r="L4536" s="62">
        <v>24385714</v>
      </c>
      <c r="M4536" s="30">
        <v>5213228896544</v>
      </c>
      <c r="N4536" s="171" t="s">
        <v>37</v>
      </c>
      <c r="O4536" s="52">
        <v>7116.73</v>
      </c>
      <c r="P4536" s="52">
        <v>2059</v>
      </c>
      <c r="Q4536" s="230">
        <f>OfficeForms.Table[[#This Row],[ INFORMEDEPAGO ]]*0.3</f>
        <v>2135.0189999999998</v>
      </c>
      <c r="R4536" s="231">
        <f>(IF(O4536&lt;4172.98,0,MIN(O4536*0.3,O4536-4172.98)))-P4536</f>
        <v>76.018999999999778</v>
      </c>
      <c r="S4536" s="74">
        <v>46539</v>
      </c>
      <c r="T4536" s="239" t="s">
        <v>8415</v>
      </c>
      <c r="U4536" s="52">
        <v>2059</v>
      </c>
      <c r="V4536" s="1"/>
    </row>
    <row r="4537" spans="1:23">
      <c r="A4537">
        <v>2970</v>
      </c>
      <c r="B4537" s="2">
        <v>46276.408217592601</v>
      </c>
      <c r="C4537" s="2">
        <v>46276.512893518498</v>
      </c>
      <c r="D4537" s="1" t="s">
        <v>24</v>
      </c>
      <c r="E4537" s="1"/>
      <c r="F4537" s="29">
        <v>46276</v>
      </c>
      <c r="G4537" s="29">
        <v>46276</v>
      </c>
      <c r="H4537" s="1" t="s">
        <v>8721</v>
      </c>
      <c r="I4537" s="175" t="s">
        <v>10073</v>
      </c>
      <c r="J4537" s="175">
        <v>83816416495</v>
      </c>
      <c r="K4537" s="188" t="s">
        <v>10074</v>
      </c>
      <c r="L4537" s="62">
        <v>24204694</v>
      </c>
      <c r="M4537" s="30">
        <v>5219991079496</v>
      </c>
      <c r="N4537" s="171" t="s">
        <v>28</v>
      </c>
      <c r="O4537" s="52">
        <v>9081.52</v>
      </c>
      <c r="P4537" s="52">
        <v>1510.61</v>
      </c>
      <c r="Q4537" s="230">
        <f>OfficeForms.Table[[#This Row],[ INFORMEDEPAGO ]]*0.3</f>
        <v>2724.4560000000001</v>
      </c>
      <c r="R4537" s="231">
        <f>(IF(O4537&lt;4172.98,0,MIN(O4537*0.3,O4537-4172.98)))-P4537</f>
        <v>1213.8460000000002</v>
      </c>
      <c r="S4537" s="74">
        <v>46539</v>
      </c>
      <c r="T4537" s="239" t="s">
        <v>178</v>
      </c>
      <c r="U4537" s="97">
        <v>758.14</v>
      </c>
      <c r="V4537" s="1" t="s">
        <v>9958</v>
      </c>
      <c r="W4537" s="29">
        <v>46276</v>
      </c>
    </row>
    <row r="4538" spans="1:23">
      <c r="A4538">
        <v>2971</v>
      </c>
      <c r="B4538" s="2">
        <v>46276.501458333303</v>
      </c>
      <c r="C4538" s="2">
        <v>46276.523240740702</v>
      </c>
      <c r="D4538" s="1" t="s">
        <v>24</v>
      </c>
      <c r="E4538" s="1"/>
      <c r="F4538" s="29">
        <v>46276</v>
      </c>
      <c r="G4538" s="29">
        <v>46269</v>
      </c>
      <c r="H4538" s="1" t="s">
        <v>8381</v>
      </c>
      <c r="I4538" s="175" t="s">
        <v>10075</v>
      </c>
      <c r="J4538" s="175"/>
      <c r="K4538" s="188" t="s">
        <v>10076</v>
      </c>
      <c r="L4538" s="62">
        <v>24256634</v>
      </c>
      <c r="M4538" s="30">
        <v>5216727253698</v>
      </c>
      <c r="N4538" s="171" t="s">
        <v>37</v>
      </c>
      <c r="O4538" s="43">
        <v>16379.62</v>
      </c>
      <c r="P4538" s="43">
        <v>4913.8900000000003</v>
      </c>
      <c r="Q4538" s="230">
        <f>OfficeForms.Table[[#This Row],[ INFORMEDEPAGO ]]*0.3</f>
        <v>4913.8860000000004</v>
      </c>
      <c r="R4538" s="231">
        <f>(IF(O4538&lt;4172.98,0,MIN(O4538*0.3,O4538-4172.98)))-P4538</f>
        <v>-3.9999999999054126E-3</v>
      </c>
      <c r="S4538" s="74">
        <v>46661</v>
      </c>
      <c r="T4538" s="239" t="s">
        <v>7516</v>
      </c>
      <c r="U4538" s="97">
        <v>1452</v>
      </c>
      <c r="V4538" s="1"/>
    </row>
    <row r="4539" spans="1:23">
      <c r="A4539">
        <v>2972</v>
      </c>
      <c r="B4539" s="2">
        <v>46276.522256944401</v>
      </c>
      <c r="C4539" s="2">
        <v>46276.527164351799</v>
      </c>
      <c r="D4539" s="1" t="s">
        <v>24</v>
      </c>
      <c r="E4539" s="1"/>
      <c r="F4539" s="29">
        <v>46276</v>
      </c>
      <c r="G4539" s="29">
        <v>46275</v>
      </c>
      <c r="H4539" s="1" t="s">
        <v>78</v>
      </c>
      <c r="I4539" s="175" t="s">
        <v>10077</v>
      </c>
      <c r="J4539" s="175" t="s">
        <v>10078</v>
      </c>
      <c r="K4539" s="188" t="s">
        <v>10079</v>
      </c>
      <c r="L4539" s="62">
        <v>24383926</v>
      </c>
      <c r="M4539" s="30">
        <v>5216647483912</v>
      </c>
      <c r="N4539" s="171" t="s">
        <v>263</v>
      </c>
      <c r="O4539" s="43">
        <v>7007.26</v>
      </c>
      <c r="P4539" s="43">
        <v>940.64</v>
      </c>
      <c r="Q4539" s="230">
        <f>OfficeForms.Table[[#This Row],[ INFORMEDEPAGO ]]*0.3</f>
        <v>2102.1779999999999</v>
      </c>
      <c r="R4539" s="231">
        <f>(IF(O4539&lt;4172.98,0,MIN(O4539*0.3,O4539-4172.98)))-P4539</f>
        <v>1161.538</v>
      </c>
      <c r="S4539" s="74">
        <v>46054</v>
      </c>
      <c r="T4539" s="239" t="s">
        <v>192</v>
      </c>
      <c r="U4539" s="97">
        <v>940.64</v>
      </c>
      <c r="V4539" s="1" t="s">
        <v>9185</v>
      </c>
      <c r="W4539" s="29">
        <v>46276</v>
      </c>
    </row>
    <row r="4540" spans="1:23">
      <c r="A4540">
        <v>2973</v>
      </c>
      <c r="B4540" s="2">
        <v>46276.543356481503</v>
      </c>
      <c r="C4540" s="2">
        <v>46276.543993055602</v>
      </c>
      <c r="D4540" s="1" t="s">
        <v>24</v>
      </c>
      <c r="E4540" s="1"/>
      <c r="F4540" s="29">
        <v>46276</v>
      </c>
      <c r="G4540" s="29">
        <v>46275</v>
      </c>
      <c r="H4540" s="1" t="s">
        <v>8253</v>
      </c>
      <c r="I4540" s="175" t="s">
        <v>10080</v>
      </c>
      <c r="J4540" s="175"/>
      <c r="K4540" s="188" t="s">
        <v>10081</v>
      </c>
      <c r="L4540" s="62">
        <v>24384866</v>
      </c>
      <c r="M4540" s="30">
        <v>9221059444</v>
      </c>
      <c r="N4540" s="171" t="s">
        <v>37</v>
      </c>
      <c r="O4540" s="52">
        <v>4813.6899999999996</v>
      </c>
      <c r="P4540" s="52">
        <v>616</v>
      </c>
      <c r="Q4540" s="230">
        <f>OfficeForms.Table[[#This Row],[ INFORMEDEPAGO ]]*0.3</f>
        <v>1444.1069999999997</v>
      </c>
      <c r="R4540" s="231">
        <f>(IF(O4540&lt;4172.98,0,MIN(O4540*0.3,O4540-4172.98)))-P4540</f>
        <v>24.710000000000036</v>
      </c>
      <c r="S4540" s="74">
        <v>46569</v>
      </c>
      <c r="T4540" s="239" t="s">
        <v>8757</v>
      </c>
      <c r="U4540" s="97">
        <v>616</v>
      </c>
      <c r="V4540" s="1"/>
    </row>
    <row r="4541" spans="1:23">
      <c r="A4541">
        <v>2974</v>
      </c>
      <c r="B4541" s="2">
        <v>46276.572511574101</v>
      </c>
      <c r="C4541" s="2">
        <v>46276.573993055601</v>
      </c>
      <c r="D4541" s="1" t="s">
        <v>24</v>
      </c>
      <c r="E4541" s="1"/>
      <c r="F4541" s="29">
        <v>46276</v>
      </c>
      <c r="G4541" s="29">
        <v>46276</v>
      </c>
      <c r="H4541" s="1" t="s">
        <v>10043</v>
      </c>
      <c r="I4541" s="175" t="s">
        <v>10082</v>
      </c>
      <c r="J4541" s="175"/>
      <c r="K4541" s="188" t="s">
        <v>10083</v>
      </c>
      <c r="L4541" s="62">
        <v>24395944</v>
      </c>
      <c r="M4541" s="30">
        <v>8713507509</v>
      </c>
      <c r="N4541" s="171" t="s">
        <v>263</v>
      </c>
      <c r="O4541" s="43">
        <v>25364.48</v>
      </c>
      <c r="P4541" s="43">
        <v>7492.06</v>
      </c>
      <c r="Q4541" s="230">
        <f>OfficeForms.Table[[#This Row],[ INFORMEDEPAGO ]]*0.3</f>
        <v>7609.3439999999991</v>
      </c>
      <c r="R4541" s="231">
        <f>(IF(O4541&lt;4172.98,0,MIN(O4541*0.3,O4541-4172.98)))-P4541</f>
        <v>117.28399999999874</v>
      </c>
      <c r="S4541" s="74">
        <v>45627</v>
      </c>
      <c r="T4541" s="239" t="s">
        <v>192</v>
      </c>
      <c r="U4541" s="97">
        <f>491.49+4635.99</f>
        <v>5127.4799999999996</v>
      </c>
      <c r="V4541" s="1" t="s">
        <v>9185</v>
      </c>
      <c r="W4541" s="29">
        <v>46276</v>
      </c>
    </row>
    <row r="4542" spans="1:23">
      <c r="A4542">
        <v>2975</v>
      </c>
      <c r="B4542" s="2">
        <v>46276.512951388897</v>
      </c>
      <c r="C4542" s="2">
        <v>46276.590914351902</v>
      </c>
      <c r="D4542" s="1" t="s">
        <v>24</v>
      </c>
      <c r="E4542" s="1"/>
      <c r="F4542" s="29">
        <v>46276</v>
      </c>
      <c r="G4542" s="29">
        <v>46276</v>
      </c>
      <c r="H4542" s="1" t="s">
        <v>8721</v>
      </c>
      <c r="I4542" s="175" t="s">
        <v>10084</v>
      </c>
      <c r="J4542" s="175" t="s">
        <v>10085</v>
      </c>
      <c r="K4542" s="188"/>
      <c r="L4542" s="62">
        <v>24162456</v>
      </c>
      <c r="M4542" s="30">
        <v>5216648502317</v>
      </c>
      <c r="N4542" s="171" t="s">
        <v>37</v>
      </c>
      <c r="O4542" s="43">
        <v>9760.32</v>
      </c>
      <c r="P4542" s="43">
        <v>2809.95</v>
      </c>
      <c r="Q4542" s="230">
        <f>OfficeForms.Table[[#This Row],[ INFORMEDEPAGO ]]*0.3</f>
        <v>2928.096</v>
      </c>
      <c r="R4542" s="231">
        <f t="shared" ref="R4542:R4545" si="363">(IF(O4542&lt;4172.98,0,MIN(O4542*0.3,O4542-4172.98)))-P4542</f>
        <v>118.14600000000019</v>
      </c>
      <c r="S4542" s="74">
        <v>46753</v>
      </c>
      <c r="T4542" s="43">
        <v>2809.95</v>
      </c>
      <c r="U4542" s="97"/>
      <c r="V4542" s="1"/>
    </row>
    <row r="4543" spans="1:23">
      <c r="A4543">
        <v>2976</v>
      </c>
      <c r="B4543" s="2">
        <v>46276.5808217593</v>
      </c>
      <c r="C4543" s="2">
        <v>46276.601238425901</v>
      </c>
      <c r="D4543" s="1" t="s">
        <v>24</v>
      </c>
      <c r="E4543" s="1"/>
      <c r="F4543" s="29">
        <v>46276</v>
      </c>
      <c r="G4543" s="29">
        <v>46276</v>
      </c>
      <c r="H4543" s="1" t="s">
        <v>10043</v>
      </c>
      <c r="I4543" s="175" t="s">
        <v>10086</v>
      </c>
      <c r="J4543" s="175"/>
      <c r="K4543" s="188" t="s">
        <v>10087</v>
      </c>
      <c r="L4543" s="62">
        <v>24397974</v>
      </c>
      <c r="M4543" s="30">
        <v>7551415589</v>
      </c>
      <c r="N4543" s="171" t="s">
        <v>28</v>
      </c>
      <c r="O4543" s="50">
        <v>9760.32</v>
      </c>
      <c r="P4543" s="97"/>
      <c r="Q4543" s="230">
        <f>OfficeForms.Table[[#This Row],[ INFORMEDEPAGO ]]*0.3</f>
        <v>2928.096</v>
      </c>
      <c r="R4543" s="231">
        <f t="shared" si="363"/>
        <v>2928.096</v>
      </c>
      <c r="T4543" s="239"/>
      <c r="U4543" s="97"/>
      <c r="V4543" s="1" t="s">
        <v>8280</v>
      </c>
      <c r="W4543" s="29">
        <v>46276</v>
      </c>
    </row>
    <row r="4544" spans="1:23">
      <c r="A4544">
        <v>2977</v>
      </c>
      <c r="B4544" s="2">
        <v>46276.600821759297</v>
      </c>
      <c r="C4544" s="2">
        <v>46276.601388888899</v>
      </c>
      <c r="D4544" s="1" t="s">
        <v>24</v>
      </c>
      <c r="E4544" s="1"/>
      <c r="F4544" s="29">
        <v>46276</v>
      </c>
      <c r="G4544" s="29">
        <v>46275</v>
      </c>
      <c r="H4544" s="1" t="s">
        <v>8253</v>
      </c>
      <c r="I4544" s="175" t="s">
        <v>10088</v>
      </c>
      <c r="J4544" s="175"/>
      <c r="K4544" s="188" t="s">
        <v>10089</v>
      </c>
      <c r="L4544" s="62">
        <v>24383666</v>
      </c>
      <c r="M4544" s="30">
        <v>4771551490</v>
      </c>
      <c r="N4544" s="171" t="s">
        <v>28</v>
      </c>
      <c r="O4544" s="43">
        <v>31443.91</v>
      </c>
      <c r="P4544" s="43">
        <v>7500</v>
      </c>
      <c r="Q4544" s="230">
        <f>OfficeForms.Table[[#This Row],[ INFORMEDEPAGO ]]*0.3</f>
        <v>9433.1729999999989</v>
      </c>
      <c r="R4544" s="231">
        <f t="shared" si="363"/>
        <v>1933.1729999999989</v>
      </c>
      <c r="S4544" s="74">
        <v>46966</v>
      </c>
      <c r="T4544" s="239" t="s">
        <v>6855</v>
      </c>
      <c r="U4544" s="43">
        <v>7500</v>
      </c>
      <c r="V4544" s="1" t="s">
        <v>8915</v>
      </c>
      <c r="W4544" s="29">
        <v>46276</v>
      </c>
    </row>
    <row r="4545" spans="1:23">
      <c r="A4545">
        <v>2978</v>
      </c>
      <c r="B4545" s="2">
        <v>46276.591712963003</v>
      </c>
      <c r="C4545" s="2">
        <v>46276.603564814803</v>
      </c>
      <c r="D4545" s="1" t="s">
        <v>24</v>
      </c>
      <c r="E4545" s="1"/>
      <c r="F4545" s="29">
        <v>46276</v>
      </c>
      <c r="G4545" s="29">
        <v>46272</v>
      </c>
      <c r="H4545" s="1" t="s">
        <v>8721</v>
      </c>
      <c r="I4545" s="175" t="s">
        <v>10090</v>
      </c>
      <c r="J4545" s="175"/>
      <c r="K4545" s="188" t="s">
        <v>10091</v>
      </c>
      <c r="L4545" s="62">
        <v>24295260</v>
      </c>
      <c r="M4545" s="30">
        <v>5216867816140</v>
      </c>
      <c r="N4545" s="171" t="s">
        <v>32</v>
      </c>
      <c r="O4545" s="50">
        <v>4199.87</v>
      </c>
      <c r="P4545" s="97"/>
      <c r="Q4545" s="230">
        <f>OfficeForms.Table[[#This Row],[ INFORMEDEPAGO ]]*0.3</f>
        <v>1259.961</v>
      </c>
      <c r="R4545" s="231">
        <f t="shared" si="363"/>
        <v>26.890000000000327</v>
      </c>
      <c r="T4545" s="239"/>
      <c r="U4545" s="97"/>
      <c r="V4545" s="1"/>
    </row>
    <row r="4546" spans="1:23">
      <c r="A4546">
        <v>2979</v>
      </c>
      <c r="B4546" s="2">
        <v>46276.6073032407</v>
      </c>
      <c r="C4546" s="2">
        <v>46276.612731481502</v>
      </c>
      <c r="D4546" s="1" t="s">
        <v>24</v>
      </c>
      <c r="E4546" s="1"/>
      <c r="F4546" s="29">
        <v>46276</v>
      </c>
      <c r="G4546" s="29">
        <v>46274</v>
      </c>
      <c r="H4546" s="1" t="s">
        <v>51</v>
      </c>
      <c r="I4546" s="175" t="s">
        <v>10092</v>
      </c>
      <c r="J4546" s="175"/>
      <c r="K4546" s="188" t="s">
        <v>10093</v>
      </c>
      <c r="L4546" s="62">
        <v>24358246</v>
      </c>
      <c r="M4546" s="30">
        <v>5216391239442</v>
      </c>
      <c r="N4546" s="171" t="s">
        <v>28</v>
      </c>
      <c r="O4546" s="50">
        <v>6494.38</v>
      </c>
      <c r="P4546" s="97"/>
      <c r="Q4546" s="230">
        <f>OfficeForms.Table[[#This Row],[ INFORMEDEPAGO ]]*0.3</f>
        <v>1948.3139999999999</v>
      </c>
      <c r="R4546" s="231">
        <f>(IF(O4546&lt;4172.98,0,MIN(O4546*0.3,O4546-4172.98)))-P4546</f>
        <v>1948.3139999999999</v>
      </c>
      <c r="T4546" s="239"/>
      <c r="U4546" s="97"/>
      <c r="V4546" s="1" t="s">
        <v>8734</v>
      </c>
      <c r="W4546" s="29">
        <v>46276</v>
      </c>
    </row>
    <row r="4547" spans="1:23">
      <c r="A4547">
        <v>2980</v>
      </c>
      <c r="B4547" s="2">
        <v>46276.614143518498</v>
      </c>
      <c r="C4547" s="2">
        <v>46276.615034722199</v>
      </c>
      <c r="D4547" s="1" t="s">
        <v>24</v>
      </c>
      <c r="E4547" s="1"/>
      <c r="F4547" s="29">
        <v>46276</v>
      </c>
      <c r="G4547" s="29">
        <v>46276</v>
      </c>
      <c r="H4547" s="1" t="s">
        <v>8253</v>
      </c>
      <c r="I4547" s="175" t="s">
        <v>10094</v>
      </c>
      <c r="J4547" s="175">
        <v>32825504346</v>
      </c>
      <c r="K4547" s="188" t="s">
        <v>10095</v>
      </c>
      <c r="L4547" s="62">
        <v>24400274</v>
      </c>
      <c r="M4547" s="30">
        <v>8611602001</v>
      </c>
      <c r="N4547" s="171" t="s">
        <v>37</v>
      </c>
      <c r="O4547" s="52">
        <v>56547.9</v>
      </c>
      <c r="P4547" s="52">
        <v>16963.37</v>
      </c>
      <c r="Q4547" s="230">
        <f>OfficeForms.Table[[#This Row],[ INFORMEDEPAGO ]]*0.3</f>
        <v>16964.37</v>
      </c>
      <c r="R4547" s="231">
        <f>(IF(O4547&lt;4172.98,0,MIN(O4547*0.3,O4547-4172.98)))-P4547</f>
        <v>1</v>
      </c>
      <c r="S4547" s="74">
        <v>46357</v>
      </c>
      <c r="T4547" s="239" t="s">
        <v>8757</v>
      </c>
      <c r="U4547" s="97">
        <v>5666.34</v>
      </c>
      <c r="V4547" s="1"/>
    </row>
    <row r="4548" spans="1:23">
      <c r="A4548">
        <v>2981</v>
      </c>
      <c r="B4548" s="2">
        <v>46276.605486111097</v>
      </c>
      <c r="C4548" s="2">
        <v>46276.630300925899</v>
      </c>
      <c r="D4548" s="1" t="s">
        <v>24</v>
      </c>
      <c r="E4548" s="1"/>
      <c r="F4548" s="29">
        <v>46276</v>
      </c>
      <c r="G4548" s="29">
        <v>46275</v>
      </c>
      <c r="H4548" s="1" t="s">
        <v>8381</v>
      </c>
      <c r="I4548" s="175" t="s">
        <v>10096</v>
      </c>
      <c r="J4548" s="175">
        <v>34796005220</v>
      </c>
      <c r="K4548" s="188" t="s">
        <v>10097</v>
      </c>
      <c r="L4548" s="62">
        <v>24384450</v>
      </c>
      <c r="M4548" s="30">
        <v>5214781051522</v>
      </c>
      <c r="N4548" s="171" t="s">
        <v>106</v>
      </c>
      <c r="O4548" s="43">
        <v>5617.63</v>
      </c>
      <c r="P4548" s="43">
        <v>1334.29</v>
      </c>
      <c r="Q4548" s="230">
        <f>OfficeForms.Table[[#This Row],[ INFORMEDEPAGO ]]*0.3</f>
        <v>1685.289</v>
      </c>
      <c r="R4548" s="231">
        <f>(IF(O4548&lt;4172.98,0,MIN(O4548*0.3,O4548-4172.98)))-P4548</f>
        <v>110.36000000000058</v>
      </c>
      <c r="S4548" s="74">
        <v>46204</v>
      </c>
      <c r="T4548" s="239" t="s">
        <v>7516</v>
      </c>
      <c r="U4548" s="43">
        <v>1334.29</v>
      </c>
      <c r="V4548" s="1" t="s">
        <v>8936</v>
      </c>
      <c r="W4548" s="29">
        <v>46276</v>
      </c>
    </row>
    <row r="4549" spans="1:23">
      <c r="A4549">
        <v>2982</v>
      </c>
      <c r="B4549" s="2">
        <v>46276.6086111111</v>
      </c>
      <c r="C4549" s="2">
        <v>46276.632604166698</v>
      </c>
      <c r="D4549" s="1" t="s">
        <v>24</v>
      </c>
      <c r="E4549" s="1"/>
      <c r="F4549" s="29">
        <v>46276</v>
      </c>
      <c r="G4549" s="29">
        <v>46275</v>
      </c>
      <c r="H4549" s="1" t="s">
        <v>78</v>
      </c>
      <c r="I4549" s="175" t="s">
        <v>10098</v>
      </c>
      <c r="J4549" s="175">
        <v>15856312044</v>
      </c>
      <c r="K4549" s="188" t="s">
        <v>10099</v>
      </c>
      <c r="L4549" s="62">
        <v>24319262</v>
      </c>
      <c r="M4549" s="30">
        <v>5217771583541</v>
      </c>
      <c r="N4549" s="171" t="s">
        <v>37</v>
      </c>
      <c r="O4549" s="43">
        <v>5946.91</v>
      </c>
      <c r="P4549" s="43">
        <v>1772.54</v>
      </c>
      <c r="Q4549" s="230">
        <f>OfficeForms.Table[[#This Row],[ INFORMEDEPAGO ]]*0.3</f>
        <v>1784.0729999999999</v>
      </c>
      <c r="R4549" s="231">
        <f>(IF(O4549&lt;4172.98,0,MIN(O4549*0.3,O4549-4172.98)))-P4549</f>
        <v>1.3900000000003274</v>
      </c>
      <c r="S4549" s="74">
        <v>46753</v>
      </c>
      <c r="T4549" s="239" t="s">
        <v>8338</v>
      </c>
      <c r="U4549" s="97">
        <v>1304.54</v>
      </c>
      <c r="V4549" s="1"/>
    </row>
    <row r="4550" spans="1:23">
      <c r="A4550">
        <v>2983</v>
      </c>
      <c r="B4550" s="2">
        <v>46276.612743055601</v>
      </c>
      <c r="C4550" s="2">
        <v>46276.636944444399</v>
      </c>
      <c r="D4550" s="1" t="s">
        <v>24</v>
      </c>
      <c r="E4550" s="1"/>
      <c r="F4550" s="29">
        <v>46276</v>
      </c>
      <c r="G4550" s="29">
        <v>46246</v>
      </c>
      <c r="H4550" s="1" t="s">
        <v>51</v>
      </c>
      <c r="I4550" s="175" t="s">
        <v>10100</v>
      </c>
      <c r="J4550" s="175"/>
      <c r="K4550" s="188" t="s">
        <v>10101</v>
      </c>
      <c r="L4550" s="62">
        <v>23587262</v>
      </c>
      <c r="M4550" s="30">
        <v>5218333023428</v>
      </c>
      <c r="N4550" s="171" t="s">
        <v>37</v>
      </c>
      <c r="O4550" s="43">
        <v>9081.52</v>
      </c>
      <c r="P4550" s="43">
        <v>2538.88</v>
      </c>
      <c r="Q4550" s="230">
        <f>OfficeForms.Table[[#This Row],[ INFORMEDEPAGO ]]*0.3</f>
        <v>2724.4560000000001</v>
      </c>
      <c r="R4550" s="231">
        <f>(IF(O4550&lt;4172.98,0,MIN(O4550*0.3,O4550-4172.98)))-P4550</f>
        <v>185.57600000000002</v>
      </c>
      <c r="S4550" s="74">
        <v>46478</v>
      </c>
      <c r="T4550" s="239" t="s">
        <v>8319</v>
      </c>
      <c r="U4550" s="43">
        <v>2538.88</v>
      </c>
      <c r="V4550" s="1"/>
    </row>
    <row r="4551" spans="1:23">
      <c r="A4551">
        <v>2984</v>
      </c>
      <c r="B4551" s="2">
        <v>46276.635034722203</v>
      </c>
      <c r="C4551" s="2">
        <v>46276.637604166703</v>
      </c>
      <c r="D4551" s="1" t="s">
        <v>24</v>
      </c>
      <c r="E4551" s="1"/>
      <c r="F4551" s="29">
        <v>46276</v>
      </c>
      <c r="G4551" s="29">
        <v>46276</v>
      </c>
      <c r="H4551" s="1" t="s">
        <v>51</v>
      </c>
      <c r="I4551" s="175" t="s">
        <v>10102</v>
      </c>
      <c r="J4551" s="175"/>
      <c r="K4551" s="188" t="s">
        <v>10103</v>
      </c>
      <c r="L4551" s="62">
        <v>24394700</v>
      </c>
      <c r="M4551" s="30">
        <v>5218991242033</v>
      </c>
      <c r="N4551" s="171" t="s">
        <v>106</v>
      </c>
      <c r="O4551" s="43">
        <v>9081.52</v>
      </c>
      <c r="P4551" s="43">
        <v>2723.63</v>
      </c>
      <c r="Q4551" s="230">
        <f>OfficeForms.Table[[#This Row],[ INFORMEDEPAGO ]]*0.3</f>
        <v>2724.4560000000001</v>
      </c>
      <c r="R4551" s="231">
        <f>(IF(O4551&lt;4172.98,0,MIN(O4551*0.3,O4551-4172.98)))-P4551</f>
        <v>0.82600000000002183</v>
      </c>
      <c r="S4551" s="74">
        <v>46143</v>
      </c>
      <c r="T4551" s="239" t="s">
        <v>8452</v>
      </c>
      <c r="U4551" s="97">
        <v>1922.57</v>
      </c>
      <c r="V4551" s="1" t="s">
        <v>9958</v>
      </c>
      <c r="W4551" s="29">
        <v>46276</v>
      </c>
    </row>
    <row r="4552" spans="1:23">
      <c r="A4552">
        <v>2985</v>
      </c>
      <c r="B4552" s="2">
        <v>46276.641805555599</v>
      </c>
      <c r="C4552" s="2">
        <v>46276.642523148097</v>
      </c>
      <c r="D4552" s="1" t="s">
        <v>24</v>
      </c>
      <c r="E4552" s="1"/>
      <c r="F4552" s="29">
        <v>46276</v>
      </c>
      <c r="G4552" s="29">
        <v>46276</v>
      </c>
      <c r="H4552" s="1" t="s">
        <v>8253</v>
      </c>
      <c r="I4552" s="175" t="s">
        <v>10104</v>
      </c>
      <c r="J4552" s="175"/>
      <c r="K4552" s="188" t="s">
        <v>10105</v>
      </c>
      <c r="L4552" s="62">
        <v>24401682</v>
      </c>
      <c r="M4552" s="30">
        <v>9211722085</v>
      </c>
      <c r="N4552" s="171" t="s">
        <v>28</v>
      </c>
      <c r="O4552" s="50">
        <v>22892.720000000001</v>
      </c>
      <c r="P4552" s="97"/>
      <c r="Q4552" s="230">
        <f>OfficeForms.Table[[#This Row],[ INFORMEDEPAGO ]]*0.3</f>
        <v>6867.8159999999998</v>
      </c>
      <c r="R4552" s="231">
        <f>(IF(O4552&lt;4172.98,0,MIN(O4552*0.3,O4552-4172.98)))-P4552</f>
        <v>6867.8159999999998</v>
      </c>
      <c r="T4552" s="239"/>
      <c r="U4552" s="97"/>
      <c r="V4552" s="1" t="s">
        <v>8280</v>
      </c>
      <c r="W4552" s="29">
        <v>46276</v>
      </c>
    </row>
    <row r="4553" spans="1:23">
      <c r="A4553">
        <v>2986</v>
      </c>
      <c r="B4553" s="2">
        <v>46276.645671296297</v>
      </c>
      <c r="C4553" s="2">
        <v>46276.646412037</v>
      </c>
      <c r="D4553" s="1" t="s">
        <v>24</v>
      </c>
      <c r="E4553" s="1"/>
      <c r="F4553" s="29">
        <v>46276</v>
      </c>
      <c r="G4553" s="29">
        <v>46276</v>
      </c>
      <c r="H4553" s="1" t="s">
        <v>269</v>
      </c>
      <c r="I4553" s="175" t="s">
        <v>10106</v>
      </c>
      <c r="J4553" s="175" t="s">
        <v>10107</v>
      </c>
      <c r="K4553" s="188" t="s">
        <v>10108</v>
      </c>
      <c r="L4553" s="62">
        <v>24402534</v>
      </c>
      <c r="M4553" s="30">
        <v>5215611818155</v>
      </c>
      <c r="N4553" s="171" t="s">
        <v>37</v>
      </c>
      <c r="O4553" s="43">
        <v>19444.66</v>
      </c>
      <c r="P4553" s="43">
        <v>5833.13</v>
      </c>
      <c r="Q4553" s="230">
        <f>OfficeForms.Table[[#This Row],[ INFORMEDEPAGO ]]*0.3</f>
        <v>5833.3980000000001</v>
      </c>
      <c r="R4553" s="231">
        <f>(IF(O4553&lt;4172.98,0,MIN(O4553*0.3,O4553-4172.98)))-P4553</f>
        <v>0.2680000000000291</v>
      </c>
      <c r="S4553" s="74">
        <v>46722</v>
      </c>
      <c r="T4553" s="239" t="s">
        <v>8319</v>
      </c>
      <c r="U4553" s="97">
        <v>1012</v>
      </c>
      <c r="V4553" s="1"/>
    </row>
    <row r="4554" spans="1:23">
      <c r="A4554">
        <v>2987</v>
      </c>
      <c r="B4554" s="2">
        <v>46276.6499652778</v>
      </c>
      <c r="C4554" s="2">
        <v>46276.650578703702</v>
      </c>
      <c r="D4554" s="1" t="s">
        <v>24</v>
      </c>
      <c r="E4554" s="1"/>
      <c r="F4554" s="29">
        <v>46276</v>
      </c>
      <c r="G4554" s="29">
        <v>46276</v>
      </c>
      <c r="H4554" s="1" t="s">
        <v>8253</v>
      </c>
      <c r="I4554" s="175" t="s">
        <v>10109</v>
      </c>
      <c r="J4554" s="175"/>
      <c r="K4554" s="188" t="s">
        <v>10110</v>
      </c>
      <c r="L4554" s="62">
        <v>24403058</v>
      </c>
      <c r="M4554" s="30">
        <v>2294638928</v>
      </c>
      <c r="N4554" s="171" t="s">
        <v>28</v>
      </c>
      <c r="O4554" s="50">
        <v>10636.54</v>
      </c>
      <c r="P4554" s="97"/>
      <c r="Q4554" s="230">
        <f>OfficeForms.Table[[#This Row],[ INFORMEDEPAGO ]]*0.3</f>
        <v>3190.962</v>
      </c>
      <c r="R4554" s="231">
        <f>(IF(O4554&lt;4172.98,0,MIN(O4554*0.3,O4554-4172.98)))-P4554</f>
        <v>3190.962</v>
      </c>
      <c r="T4554" s="239"/>
      <c r="U4554" s="97"/>
      <c r="V4554" s="1" t="s">
        <v>8734</v>
      </c>
      <c r="W4554" s="29">
        <v>46276</v>
      </c>
    </row>
    <row r="4555" spans="1:23">
      <c r="A4555">
        <v>2988</v>
      </c>
      <c r="B4555" s="2">
        <v>46276.633391203701</v>
      </c>
      <c r="C4555" s="2">
        <v>46276.665115740703</v>
      </c>
      <c r="D4555" s="1" t="s">
        <v>24</v>
      </c>
      <c r="E4555" s="1"/>
      <c r="F4555" s="29">
        <v>46276</v>
      </c>
      <c r="G4555" s="29">
        <v>46276</v>
      </c>
      <c r="H4555" s="1" t="s">
        <v>78</v>
      </c>
      <c r="I4555" s="175" t="s">
        <v>10111</v>
      </c>
      <c r="J4555" s="175" t="s">
        <v>10112</v>
      </c>
      <c r="K4555" s="188" t="s">
        <v>10113</v>
      </c>
      <c r="L4555" s="62">
        <v>24401394</v>
      </c>
      <c r="M4555" s="30">
        <v>5215513490926</v>
      </c>
      <c r="N4555" s="171" t="s">
        <v>37</v>
      </c>
      <c r="O4555" s="52">
        <v>9081.52</v>
      </c>
      <c r="P4555" s="52">
        <v>2627.5</v>
      </c>
      <c r="Q4555" s="230">
        <f>OfficeForms.Table[[#This Row],[ INFORMEDEPAGO ]]*0.3</f>
        <v>2724.4560000000001</v>
      </c>
      <c r="R4555" s="231">
        <f>(IF(O4555&lt;4172.98,0,MIN(O4555*0.3,O4555-4172.98)))-P4555</f>
        <v>96.956000000000131</v>
      </c>
      <c r="S4555" s="74">
        <v>46692</v>
      </c>
      <c r="T4555" s="239" t="s">
        <v>8319</v>
      </c>
      <c r="U4555" s="97">
        <v>2627.5</v>
      </c>
      <c r="V4555" s="1"/>
    </row>
    <row r="4556" spans="1:23">
      <c r="A4556">
        <v>2989</v>
      </c>
      <c r="B4556" s="2">
        <v>46276.670868055597</v>
      </c>
      <c r="C4556" s="2">
        <v>46276.6726388889</v>
      </c>
      <c r="D4556" s="1" t="s">
        <v>24</v>
      </c>
      <c r="E4556" s="1"/>
      <c r="F4556" s="29">
        <v>46276</v>
      </c>
      <c r="G4556" s="29">
        <v>46275</v>
      </c>
      <c r="H4556" s="1" t="s">
        <v>10043</v>
      </c>
      <c r="I4556" s="175" t="s">
        <v>10114</v>
      </c>
      <c r="J4556" s="175"/>
      <c r="K4556" s="188" t="s">
        <v>10115</v>
      </c>
      <c r="L4556" s="62">
        <v>24381586</v>
      </c>
      <c r="M4556" s="30">
        <v>5531695506</v>
      </c>
      <c r="N4556" s="171" t="s">
        <v>37</v>
      </c>
      <c r="O4556" s="43">
        <v>24465.94</v>
      </c>
      <c r="P4556" s="43">
        <v>7104.61</v>
      </c>
      <c r="Q4556" s="230">
        <f>OfficeForms.Table[[#This Row],[ INFORMEDEPAGO ]]*0.3</f>
        <v>7339.7819999999992</v>
      </c>
      <c r="R4556" s="231">
        <f>(IF(O4556&lt;4172.98,0,MIN(O4556*0.3,O4556-4172.98)))-P4556</f>
        <v>235.17199999999957</v>
      </c>
      <c r="S4556" s="74">
        <v>46539</v>
      </c>
      <c r="T4556" s="239" t="s">
        <v>8319</v>
      </c>
      <c r="U4556" s="43">
        <v>7104.61</v>
      </c>
      <c r="V4556" s="1"/>
    </row>
    <row r="4557" spans="1:23">
      <c r="A4557">
        <v>2990</v>
      </c>
      <c r="B4557" s="2">
        <v>46276.677152777796</v>
      </c>
      <c r="C4557" s="2">
        <v>46276.678171296298</v>
      </c>
      <c r="D4557" s="1" t="s">
        <v>24</v>
      </c>
      <c r="E4557" s="1"/>
      <c r="F4557" s="29">
        <v>46276</v>
      </c>
      <c r="G4557" s="29">
        <v>46276</v>
      </c>
      <c r="H4557" s="1" t="s">
        <v>269</v>
      </c>
      <c r="I4557" s="175" t="s">
        <v>10116</v>
      </c>
      <c r="J4557" s="175"/>
      <c r="K4557" s="188" t="s">
        <v>10117</v>
      </c>
      <c r="L4557" s="62">
        <v>24402086</v>
      </c>
      <c r="M4557" s="30">
        <v>5216643604582</v>
      </c>
      <c r="N4557" s="171" t="s">
        <v>32</v>
      </c>
      <c r="O4557" s="43">
        <v>3879.3</v>
      </c>
      <c r="P4557" s="43">
        <v>848</v>
      </c>
      <c r="Q4557" s="230">
        <f>OfficeForms.Table[[#This Row],[ INFORMEDEPAGO ]]*0.3</f>
        <v>1163.79</v>
      </c>
      <c r="R4557" s="231">
        <f>(IF(O4557&lt;4172.98,0,MIN(O4557*0.3,O4557-4172.98)))-P4557</f>
        <v>-848</v>
      </c>
      <c r="T4557" s="239"/>
      <c r="U4557" s="97"/>
      <c r="V4557" s="1"/>
    </row>
    <row r="4558" spans="1:23">
      <c r="A4558">
        <v>2991</v>
      </c>
      <c r="B4558" s="2">
        <v>46276.685451388897</v>
      </c>
      <c r="C4558" s="2">
        <v>46276.686215277798</v>
      </c>
      <c r="D4558" s="1" t="s">
        <v>24</v>
      </c>
      <c r="E4558" s="1"/>
      <c r="F4558" s="29">
        <v>46276</v>
      </c>
      <c r="G4558" s="29">
        <v>46276</v>
      </c>
      <c r="H4558" s="1" t="s">
        <v>8253</v>
      </c>
      <c r="I4558" s="175" t="s">
        <v>10118</v>
      </c>
      <c r="J4558" s="175"/>
      <c r="K4558" s="188" t="s">
        <v>10119</v>
      </c>
      <c r="L4558" s="62">
        <v>24402396</v>
      </c>
      <c r="M4558" s="30">
        <v>3271120330</v>
      </c>
      <c r="N4558" s="171" t="s">
        <v>37</v>
      </c>
      <c r="O4558" s="52">
        <v>10636.54</v>
      </c>
      <c r="P4558" s="52">
        <v>3190.96</v>
      </c>
      <c r="Q4558" s="230">
        <f>OfficeForms.Table[[#This Row],[ INFORMEDEPAGO ]]*0.3</f>
        <v>3190.962</v>
      </c>
      <c r="R4558" s="231">
        <f>(IF(O4558&lt;4172.98,0,MIN(O4558*0.3,O4558-4172.98)))-P4558</f>
        <v>1.9999999999527063E-3</v>
      </c>
      <c r="S4558" s="74">
        <v>46905</v>
      </c>
      <c r="T4558" s="239" t="s">
        <v>7209</v>
      </c>
      <c r="U4558" s="52">
        <v>3190.96</v>
      </c>
      <c r="V4558" s="1"/>
    </row>
    <row r="4559" spans="1:23">
      <c r="A4559">
        <v>2992</v>
      </c>
      <c r="B4559" s="2">
        <v>46276.691168981502</v>
      </c>
      <c r="C4559" s="2">
        <v>46276.693680555603</v>
      </c>
      <c r="D4559" s="1" t="s">
        <v>24</v>
      </c>
      <c r="E4559" s="1"/>
      <c r="F4559" s="29">
        <v>46276</v>
      </c>
      <c r="G4559" s="29">
        <v>46276</v>
      </c>
      <c r="H4559" s="1" t="s">
        <v>269</v>
      </c>
      <c r="I4559" s="175" t="s">
        <v>10120</v>
      </c>
      <c r="J4559" s="175"/>
      <c r="K4559" s="188" t="s">
        <v>10121</v>
      </c>
      <c r="L4559" s="62">
        <v>24398952</v>
      </c>
      <c r="M4559" s="30">
        <v>5212225088600</v>
      </c>
      <c r="N4559" s="171" t="s">
        <v>37</v>
      </c>
      <c r="O4559" s="43">
        <v>9760.32</v>
      </c>
      <c r="P4559" s="43">
        <v>2928.1</v>
      </c>
      <c r="Q4559" s="230">
        <f>OfficeForms.Table[[#This Row],[ INFORMEDEPAGO ]]*0.3</f>
        <v>2928.096</v>
      </c>
      <c r="R4559" s="231">
        <f>(IF(O4559&lt;4172.98,0,MIN(O4559*0.3,O4559-4172.98)))-P4559</f>
        <v>-3.9999999999054126E-3</v>
      </c>
      <c r="S4559" s="74">
        <v>46569</v>
      </c>
      <c r="T4559" s="239" t="s">
        <v>7516</v>
      </c>
      <c r="U4559" s="97">
        <v>2753.07</v>
      </c>
      <c r="V4559" s="1"/>
    </row>
    <row r="4560" spans="1:23">
      <c r="A4560">
        <v>2993</v>
      </c>
      <c r="B4560" s="2">
        <v>46276.637615740699</v>
      </c>
      <c r="C4560" s="2">
        <v>46276.695914351803</v>
      </c>
      <c r="D4560" s="1" t="s">
        <v>24</v>
      </c>
      <c r="E4560" s="1"/>
      <c r="F4560" s="29">
        <v>46276</v>
      </c>
      <c r="G4560" s="29">
        <v>46276</v>
      </c>
      <c r="H4560" s="1" t="s">
        <v>51</v>
      </c>
      <c r="I4560" s="175" t="s">
        <v>10122</v>
      </c>
      <c r="J4560" s="175"/>
      <c r="K4560" s="188" t="s">
        <v>10123</v>
      </c>
      <c r="L4560" s="62">
        <v>24401792</v>
      </c>
      <c r="M4560" s="30">
        <v>5215534454925</v>
      </c>
      <c r="N4560" s="171" t="s">
        <v>28</v>
      </c>
      <c r="O4560" s="50">
        <v>29672.1</v>
      </c>
      <c r="P4560" s="97"/>
      <c r="Q4560" s="230">
        <f>OfficeForms.Table[[#This Row],[ INFORMEDEPAGO ]]*0.3</f>
        <v>8901.6299999999992</v>
      </c>
      <c r="R4560" s="231">
        <f>(IF(O4560&lt;4172.98,0,MIN(O4560*0.3,O4560-4172.98)))-P4560</f>
        <v>8901.6299999999992</v>
      </c>
      <c r="T4560" s="239"/>
      <c r="U4560" s="97"/>
      <c r="V4560" s="1" t="s">
        <v>8280</v>
      </c>
      <c r="W4560" s="29">
        <v>46276</v>
      </c>
    </row>
    <row r="4561" spans="1:23">
      <c r="A4561">
        <v>2994</v>
      </c>
      <c r="B4561" s="2">
        <v>46276.681284722203</v>
      </c>
      <c r="C4561" s="2">
        <v>46276.698391203703</v>
      </c>
      <c r="D4561" s="1" t="s">
        <v>24</v>
      </c>
      <c r="E4561" s="1"/>
      <c r="F4561" s="29">
        <v>46276</v>
      </c>
      <c r="G4561" s="29">
        <v>46276</v>
      </c>
      <c r="H4561" s="1" t="s">
        <v>78</v>
      </c>
      <c r="I4561" s="175" t="s">
        <v>10124</v>
      </c>
      <c r="J4561" s="209" t="s">
        <v>10125</v>
      </c>
      <c r="K4561" s="188" t="s">
        <v>10126</v>
      </c>
      <c r="L4561" s="62">
        <v>24401808</v>
      </c>
      <c r="M4561" s="30">
        <v>5216691231303</v>
      </c>
      <c r="N4561" s="171" t="s">
        <v>130</v>
      </c>
      <c r="O4561" s="43">
        <v>65409.37</v>
      </c>
      <c r="P4561" s="43">
        <v>19621.07</v>
      </c>
      <c r="Q4561" s="230">
        <f>OfficeForms.Table[[#This Row],[ INFORMEDEPAGO ]]*0.3</f>
        <v>19622.811000000002</v>
      </c>
      <c r="R4561" s="231">
        <f>(IF(O4561&lt;4172.98,0,MIN(O4561*0.3,O4561-4172.98)))-P4561</f>
        <v>1.7410000000018044</v>
      </c>
      <c r="S4561" s="74">
        <v>46082</v>
      </c>
      <c r="T4561" s="239" t="s">
        <v>8415</v>
      </c>
      <c r="U4561" s="97">
        <v>374.89</v>
      </c>
      <c r="V4561" s="1" t="s">
        <v>8233</v>
      </c>
      <c r="W4561" s="29">
        <v>46276</v>
      </c>
    </row>
    <row r="4562" spans="1:23">
      <c r="A4562">
        <v>2995</v>
      </c>
      <c r="B4562" s="2">
        <v>46276.677685185197</v>
      </c>
      <c r="C4562" s="2">
        <v>46276.698738425897</v>
      </c>
      <c r="D4562" s="1" t="s">
        <v>24</v>
      </c>
      <c r="E4562" s="1"/>
      <c r="F4562" s="29">
        <v>46276</v>
      </c>
      <c r="G4562" s="29">
        <v>46275</v>
      </c>
      <c r="H4562" s="1" t="s">
        <v>78</v>
      </c>
      <c r="I4562" s="175" t="s">
        <v>10127</v>
      </c>
      <c r="J4562" s="175">
        <v>88806010653</v>
      </c>
      <c r="K4562" s="188"/>
      <c r="L4562" s="62">
        <v>24385800</v>
      </c>
      <c r="M4562" s="30">
        <v>5215624170186</v>
      </c>
      <c r="N4562" s="171" t="s">
        <v>47</v>
      </c>
      <c r="O4562" s="43">
        <v>6496.63</v>
      </c>
      <c r="P4562" s="43">
        <v>879</v>
      </c>
      <c r="Q4562" s="230">
        <f>OfficeForms.Table[[#This Row],[ INFORMEDEPAGO ]]*0.3</f>
        <v>1948.989</v>
      </c>
      <c r="R4562" s="231">
        <f>(IF(O4562&lt;4172.98,0,MIN(O4562*0.3,O4562-4172.98)))-P4562</f>
        <v>1069.989</v>
      </c>
      <c r="T4562" s="239"/>
      <c r="U4562" s="97"/>
      <c r="V4562" s="1" t="s">
        <v>8233</v>
      </c>
      <c r="W4562" s="29">
        <v>46276</v>
      </c>
    </row>
    <row r="4563" spans="1:23">
      <c r="A4563">
        <v>2996</v>
      </c>
      <c r="B4563" s="2">
        <v>46276.691782407397</v>
      </c>
      <c r="C4563" s="2">
        <v>46276.699270833298</v>
      </c>
      <c r="D4563" s="1" t="s">
        <v>24</v>
      </c>
      <c r="E4563" s="1"/>
      <c r="F4563" s="29">
        <v>46276</v>
      </c>
      <c r="G4563" s="29">
        <v>46276</v>
      </c>
      <c r="H4563" s="1" t="s">
        <v>78</v>
      </c>
      <c r="I4563" s="175" t="s">
        <v>10128</v>
      </c>
      <c r="J4563" s="175">
        <v>33826312689</v>
      </c>
      <c r="K4563" s="188" t="s">
        <v>10129</v>
      </c>
      <c r="L4563" s="62">
        <v>24402274</v>
      </c>
      <c r="M4563" s="30">
        <v>5216564122604</v>
      </c>
      <c r="N4563" s="171" t="s">
        <v>106</v>
      </c>
      <c r="O4563" s="43">
        <v>7920.51</v>
      </c>
      <c r="P4563" s="43">
        <v>2099.5500000000002</v>
      </c>
      <c r="Q4563" s="230">
        <f>OfficeForms.Table[[#This Row],[ INFORMEDEPAGO ]]*0.3</f>
        <v>2376.1529999999998</v>
      </c>
      <c r="R4563" s="231">
        <f>(IF(O4563&lt;4172.98,0,MIN(O4563*0.3,O4563-4172.98)))-P4563</f>
        <v>276.60299999999961</v>
      </c>
      <c r="S4563" s="74">
        <v>45809</v>
      </c>
      <c r="T4563" s="239" t="s">
        <v>10130</v>
      </c>
      <c r="U4563" s="43">
        <v>2099.5500000000002</v>
      </c>
      <c r="V4563" s="1" t="s">
        <v>9958</v>
      </c>
      <c r="W4563" s="29">
        <v>46276</v>
      </c>
    </row>
    <row r="4564" spans="1:23">
      <c r="A4564">
        <v>2997</v>
      </c>
      <c r="B4564" s="2">
        <v>46276.465833333299</v>
      </c>
      <c r="C4564" s="2">
        <v>46276.700127314798</v>
      </c>
      <c r="D4564" s="1" t="s">
        <v>24</v>
      </c>
      <c r="E4564" s="1"/>
      <c r="F4564" s="29">
        <v>46276</v>
      </c>
      <c r="G4564" s="29">
        <v>46276</v>
      </c>
      <c r="H4564" s="1" t="s">
        <v>1625</v>
      </c>
      <c r="I4564" s="175" t="s">
        <v>10131</v>
      </c>
      <c r="J4564" s="175">
        <v>11896513733</v>
      </c>
      <c r="K4564" s="188" t="s">
        <v>10132</v>
      </c>
      <c r="L4564" s="62">
        <v>2</v>
      </c>
      <c r="M4564" s="30">
        <v>5519819724</v>
      </c>
      <c r="N4564" s="171" t="s">
        <v>37</v>
      </c>
      <c r="O4564" s="43">
        <v>11917.67</v>
      </c>
      <c r="P4564" s="43">
        <v>3445.37</v>
      </c>
      <c r="Q4564" s="230">
        <f>OfficeForms.Table[[#This Row],[ INFORMEDEPAGO ]]*0.3</f>
        <v>3575.3009999999999</v>
      </c>
      <c r="R4564" s="231">
        <f>(IF(O4564&lt;4172.98,0,MIN(O4564*0.3,O4564-4172.98)))-P4564</f>
        <v>129.93100000000004</v>
      </c>
      <c r="S4564" s="74">
        <v>46600</v>
      </c>
      <c r="T4564" s="239" t="s">
        <v>7516</v>
      </c>
      <c r="U4564" s="43">
        <v>3445.37</v>
      </c>
      <c r="V4564" s="1"/>
    </row>
    <row r="4565" spans="1:23">
      <c r="A4565">
        <v>2998</v>
      </c>
      <c r="B4565" s="2">
        <v>46276.630624999998</v>
      </c>
      <c r="C4565" s="2">
        <v>46276.703055555598</v>
      </c>
      <c r="D4565" s="1" t="s">
        <v>24</v>
      </c>
      <c r="E4565" s="1"/>
      <c r="F4565" s="29">
        <v>46276</v>
      </c>
      <c r="G4565" s="29">
        <v>46276</v>
      </c>
      <c r="H4565" s="1" t="s">
        <v>8381</v>
      </c>
      <c r="I4565" s="175" t="s">
        <v>10133</v>
      </c>
      <c r="J4565" s="175">
        <v>11674978843</v>
      </c>
      <c r="K4565" s="188" t="s">
        <v>10134</v>
      </c>
      <c r="L4565" s="62">
        <v>24391084</v>
      </c>
      <c r="M4565" s="30">
        <v>5215549982200</v>
      </c>
      <c r="N4565" s="171" t="s">
        <v>28</v>
      </c>
      <c r="O4565" s="50">
        <v>9760.32</v>
      </c>
      <c r="P4565" s="97"/>
      <c r="Q4565" s="230">
        <f>OfficeForms.Table[[#This Row],[ INFORMEDEPAGO ]]*0.3</f>
        <v>2928.096</v>
      </c>
      <c r="R4565" s="231">
        <f>(IF(O4565&lt;4172.98,0,MIN(O4565*0.3,O4565-4172.98)))-P4565</f>
        <v>2928.096</v>
      </c>
      <c r="T4565" s="239"/>
      <c r="U4565" s="97"/>
      <c r="V4565" s="1" t="s">
        <v>8535</v>
      </c>
      <c r="W4565" s="29">
        <v>46276</v>
      </c>
    </row>
    <row r="4566" spans="1:23">
      <c r="A4566">
        <v>2999</v>
      </c>
      <c r="B4566" s="2">
        <v>46276.700173611098</v>
      </c>
      <c r="C4566" s="2">
        <v>46276.703182870398</v>
      </c>
      <c r="D4566" s="1" t="s">
        <v>24</v>
      </c>
      <c r="E4566" s="1"/>
      <c r="F4566" s="29">
        <v>46276</v>
      </c>
      <c r="G4566" s="29">
        <v>46276</v>
      </c>
      <c r="H4566" s="1" t="s">
        <v>1625</v>
      </c>
      <c r="I4566" s="175" t="s">
        <v>10135</v>
      </c>
      <c r="J4566" s="175">
        <v>43826480774</v>
      </c>
      <c r="K4566" s="188" t="s">
        <v>10136</v>
      </c>
      <c r="L4566" s="62">
        <v>2</v>
      </c>
      <c r="M4566" s="30">
        <v>8180145909</v>
      </c>
      <c r="N4566" s="171" t="s">
        <v>37</v>
      </c>
      <c r="O4566" s="43">
        <v>9081.52</v>
      </c>
      <c r="P4566" s="43">
        <v>2624.76</v>
      </c>
      <c r="Q4566" s="230">
        <f>OfficeForms.Table[[#This Row],[ INFORMEDEPAGO ]]*0.3</f>
        <v>2724.4560000000001</v>
      </c>
      <c r="R4566" s="231">
        <f>(IF(O4566&lt;4172.98,0,MIN(O4566*0.3,O4566-4172.98)))-P4566</f>
        <v>99.695999999999913</v>
      </c>
      <c r="S4566" s="74">
        <v>46419</v>
      </c>
      <c r="T4566" s="239" t="s">
        <v>84</v>
      </c>
      <c r="U4566" s="43">
        <v>2624.76</v>
      </c>
      <c r="V4566" s="1"/>
    </row>
    <row r="4567" spans="1:23">
      <c r="A4567">
        <v>3000</v>
      </c>
      <c r="B4567" s="2">
        <v>46276.7047453704</v>
      </c>
      <c r="C4567" s="2">
        <v>46276.706446759301</v>
      </c>
      <c r="D4567" s="1" t="s">
        <v>24</v>
      </c>
      <c r="E4567" s="1"/>
      <c r="F4567" s="29">
        <v>46276</v>
      </c>
      <c r="G4567" s="29">
        <v>46276</v>
      </c>
      <c r="H4567" s="1" t="s">
        <v>269</v>
      </c>
      <c r="I4567" s="175" t="s">
        <v>10137</v>
      </c>
      <c r="J4567" s="175"/>
      <c r="K4567" s="188" t="s">
        <v>10138</v>
      </c>
      <c r="L4567" s="62">
        <v>24399870</v>
      </c>
      <c r="M4567" s="30">
        <v>5219611944342</v>
      </c>
      <c r="N4567" s="171" t="s">
        <v>28</v>
      </c>
      <c r="O4567" s="50">
        <v>10636.54</v>
      </c>
      <c r="P4567" s="97"/>
      <c r="Q4567" s="230">
        <f>OfficeForms.Table[[#This Row],[ INFORMEDEPAGO ]]*0.3</f>
        <v>3190.962</v>
      </c>
      <c r="R4567" s="231">
        <f>(IF(O4567&lt;4172.98,0,MIN(O4567*0.3,O4567-4172.98)))-P4567</f>
        <v>3190.962</v>
      </c>
      <c r="T4567" s="239"/>
      <c r="U4567" s="97"/>
      <c r="V4567" s="1" t="s">
        <v>8960</v>
      </c>
      <c r="W4567" s="29">
        <v>46276</v>
      </c>
    </row>
    <row r="4568" spans="1:23">
      <c r="A4568">
        <v>3001</v>
      </c>
      <c r="B4568" s="2">
        <v>46276.702488425901</v>
      </c>
      <c r="C4568" s="2">
        <v>46276.720613425903</v>
      </c>
      <c r="D4568" s="1" t="s">
        <v>24</v>
      </c>
      <c r="E4568" s="1"/>
      <c r="F4568" s="29">
        <v>46276</v>
      </c>
      <c r="G4568" s="29">
        <v>46273</v>
      </c>
      <c r="H4568" s="1" t="s">
        <v>78</v>
      </c>
      <c r="I4568" s="175" t="s">
        <v>10139</v>
      </c>
      <c r="J4568" s="175">
        <v>19846103299</v>
      </c>
      <c r="K4568" s="188" t="s">
        <v>10140</v>
      </c>
      <c r="L4568" s="62">
        <v>24322594</v>
      </c>
      <c r="M4568" s="30">
        <v>5215513299212</v>
      </c>
      <c r="N4568" s="171" t="s">
        <v>106</v>
      </c>
      <c r="O4568" s="52">
        <v>29697.16</v>
      </c>
      <c r="P4568" s="52">
        <v>8909.15</v>
      </c>
      <c r="Q4568" s="230">
        <f>OfficeForms.Table[[#This Row],[ INFORMEDEPAGO ]]*0.3</f>
        <v>8909.1479999999992</v>
      </c>
      <c r="R4568" s="231">
        <f>(IF(O4568&lt;4172.98,0,MIN(O4568*0.3,O4568-4172.98)))-P4568</f>
        <v>-2.0000000004074536E-3</v>
      </c>
      <c r="S4568" s="74">
        <v>46235</v>
      </c>
      <c r="T4568" s="239" t="s">
        <v>8338</v>
      </c>
      <c r="U4568" s="97">
        <v>7000</v>
      </c>
      <c r="V4568" s="1" t="s">
        <v>9958</v>
      </c>
      <c r="W4568" s="29">
        <v>46276</v>
      </c>
    </row>
    <row r="4569" spans="1:23">
      <c r="A4569">
        <v>3002</v>
      </c>
      <c r="B4569" s="2">
        <v>46276.695937500001</v>
      </c>
      <c r="C4569" s="2">
        <v>46276.730428240699</v>
      </c>
      <c r="D4569" s="1" t="s">
        <v>24</v>
      </c>
      <c r="E4569" s="1"/>
      <c r="F4569" s="29">
        <v>46276</v>
      </c>
      <c r="G4569" s="29">
        <v>46276</v>
      </c>
      <c r="H4569" s="1" t="s">
        <v>51</v>
      </c>
      <c r="I4569" s="175" t="s">
        <v>10141</v>
      </c>
      <c r="J4569" s="175"/>
      <c r="K4569" s="188" t="s">
        <v>10142</v>
      </c>
      <c r="L4569" s="62">
        <v>24405160</v>
      </c>
      <c r="M4569" s="30">
        <v>5216123788851</v>
      </c>
      <c r="N4569" s="171" t="s">
        <v>28</v>
      </c>
      <c r="O4569" s="50">
        <v>7283.61</v>
      </c>
      <c r="P4569" s="97"/>
      <c r="Q4569" s="230">
        <f>OfficeForms.Table[[#This Row],[ INFORMEDEPAGO ]]*0.3</f>
        <v>2185.0829999999996</v>
      </c>
      <c r="R4569" s="231">
        <f>(IF(O4569&lt;4172.98,0,MIN(O4569*0.3,O4569-4172.98)))-P4569</f>
        <v>2185.0829999999996</v>
      </c>
      <c r="T4569" s="239"/>
      <c r="U4569" s="97"/>
      <c r="V4569" s="1" t="s">
        <v>9777</v>
      </c>
      <c r="W4569" s="29">
        <v>46276</v>
      </c>
    </row>
    <row r="4570" spans="1:23">
      <c r="A4570">
        <v>3003</v>
      </c>
      <c r="B4570" s="2">
        <v>46276.734930555598</v>
      </c>
      <c r="C4570" s="2">
        <v>46276.739548611098</v>
      </c>
      <c r="D4570" s="1" t="s">
        <v>24</v>
      </c>
      <c r="E4570" s="1"/>
      <c r="F4570" s="29">
        <v>46276</v>
      </c>
      <c r="G4570" s="29">
        <v>46276</v>
      </c>
      <c r="H4570" s="1" t="s">
        <v>8028</v>
      </c>
      <c r="I4570" s="175" t="s">
        <v>10143</v>
      </c>
      <c r="J4570" s="175"/>
      <c r="K4570" s="188" t="s">
        <v>10144</v>
      </c>
      <c r="L4570" s="62">
        <v>24403954</v>
      </c>
      <c r="M4570" s="30">
        <v>5219622206449</v>
      </c>
      <c r="N4570" s="171" t="s">
        <v>74</v>
      </c>
      <c r="O4570" s="50"/>
      <c r="P4570" s="97"/>
      <c r="Q4570" s="230">
        <f>OfficeForms.Table[[#This Row],[ INFORMEDEPAGO ]]*0.3</f>
        <v>0</v>
      </c>
      <c r="R4570" s="231">
        <f>(IF(O4570&lt;4172.98,0,MIN(O4570*0.3,O4570-4172.98)))-P4570</f>
        <v>0</v>
      </c>
      <c r="T4570" s="239"/>
      <c r="U4570" s="97"/>
      <c r="V4570" s="1"/>
    </row>
    <row r="4571" spans="1:23">
      <c r="A4571">
        <v>3004</v>
      </c>
      <c r="B4571" s="2">
        <v>46276.703090277799</v>
      </c>
      <c r="C4571" s="2">
        <v>46276.739861111098</v>
      </c>
      <c r="D4571" s="1" t="s">
        <v>24</v>
      </c>
      <c r="E4571" s="1"/>
      <c r="F4571" s="29">
        <v>46276</v>
      </c>
      <c r="G4571" s="29">
        <v>46270</v>
      </c>
      <c r="H4571" s="1" t="s">
        <v>8381</v>
      </c>
      <c r="I4571" s="175" t="s">
        <v>10145</v>
      </c>
      <c r="J4571" s="175">
        <v>67795924306</v>
      </c>
      <c r="K4571" s="188" t="s">
        <v>10146</v>
      </c>
      <c r="L4571" s="62">
        <v>24266570</v>
      </c>
      <c r="M4571" s="30">
        <v>5216391287576</v>
      </c>
      <c r="N4571" s="171" t="s">
        <v>106</v>
      </c>
      <c r="O4571" s="43">
        <v>17083.41</v>
      </c>
      <c r="P4571" s="43">
        <v>5124.43</v>
      </c>
      <c r="Q4571" s="230">
        <f>OfficeForms.Table[[#This Row],[ INFORMEDEPAGO ]]*0.3</f>
        <v>5125.0230000000001</v>
      </c>
      <c r="R4571" s="231">
        <f>(IF(O4571&lt;4172.98,0,MIN(O4571*0.3,O4571-4172.98)))-P4571</f>
        <v>0.5929999999998472</v>
      </c>
      <c r="S4571" s="74">
        <v>46266</v>
      </c>
      <c r="T4571" s="239" t="s">
        <v>8398</v>
      </c>
      <c r="U4571" s="97">
        <v>3578.78</v>
      </c>
      <c r="V4571" s="1" t="s">
        <v>8960</v>
      </c>
      <c r="W4571" s="29">
        <v>46276</v>
      </c>
    </row>
    <row r="4572" spans="1:23">
      <c r="A4572">
        <v>3005</v>
      </c>
      <c r="B4572" s="2">
        <v>46276.715243055602</v>
      </c>
      <c r="C4572" s="2">
        <v>46276.745682870402</v>
      </c>
      <c r="D4572" s="1" t="s">
        <v>24</v>
      </c>
      <c r="E4572" s="1"/>
      <c r="F4572" s="29">
        <v>46276</v>
      </c>
      <c r="G4572" s="29">
        <v>46275</v>
      </c>
      <c r="H4572" s="1" t="s">
        <v>8028</v>
      </c>
      <c r="I4572" s="175" t="s">
        <v>10147</v>
      </c>
      <c r="J4572" s="175"/>
      <c r="K4572" s="188" t="s">
        <v>10148</v>
      </c>
      <c r="L4572" s="62">
        <v>24365640</v>
      </c>
      <c r="M4572" s="30">
        <v>5631304679</v>
      </c>
      <c r="N4572" s="171" t="s">
        <v>28</v>
      </c>
      <c r="O4572" s="50">
        <f>98006.69-88246.37</f>
        <v>9760.320000000007</v>
      </c>
      <c r="P4572" s="97"/>
      <c r="Q4572" s="230">
        <f>OfficeForms.Table[[#This Row],[ INFORMEDEPAGO ]]*0.3</f>
        <v>2928.0960000000018</v>
      </c>
      <c r="R4572" s="231">
        <f>(IF(O4572&lt;4172.98,0,MIN(O4572*0.3,O4572-4172.98)))-P4572</f>
        <v>2928.0960000000018</v>
      </c>
      <c r="T4572" s="239"/>
      <c r="U4572" s="97"/>
      <c r="V4572" s="1" t="s">
        <v>8409</v>
      </c>
      <c r="W4572" s="29">
        <v>46276</v>
      </c>
    </row>
    <row r="4573" spans="1:23">
      <c r="A4573">
        <v>3006</v>
      </c>
      <c r="B4573" s="2">
        <v>46276.747974537</v>
      </c>
      <c r="C4573" s="2">
        <v>46276.748842592599</v>
      </c>
      <c r="D4573" s="1" t="s">
        <v>24</v>
      </c>
      <c r="E4573" s="1"/>
      <c r="F4573" s="29">
        <v>46276</v>
      </c>
      <c r="G4573" s="29">
        <v>46276</v>
      </c>
      <c r="H4573" s="1" t="s">
        <v>8253</v>
      </c>
      <c r="I4573" s="175" t="s">
        <v>10149</v>
      </c>
      <c r="J4573" s="175">
        <v>51877030737</v>
      </c>
      <c r="K4573" s="188" t="s">
        <v>10150</v>
      </c>
      <c r="L4573" s="62">
        <v>24400844</v>
      </c>
      <c r="M4573" s="30">
        <v>4494356286</v>
      </c>
      <c r="N4573" s="171" t="s">
        <v>37</v>
      </c>
      <c r="O4573" s="43">
        <v>7128.48</v>
      </c>
      <c r="P4573" s="43">
        <v>1979</v>
      </c>
      <c r="Q4573" s="230">
        <f>OfficeForms.Table[[#This Row],[ INFORMEDEPAGO ]]*0.3</f>
        <v>2138.5439999999999</v>
      </c>
      <c r="R4573" s="231">
        <f>(IF(O4573&lt;4172.98,0,MIN(O4573*0.3,O4573-4172.98)))-P4573</f>
        <v>159.54399999999987</v>
      </c>
      <c r="S4573" s="74">
        <v>46296</v>
      </c>
      <c r="T4573" s="239" t="s">
        <v>7209</v>
      </c>
      <c r="U4573" s="43">
        <v>1979</v>
      </c>
      <c r="V4573" s="1"/>
    </row>
    <row r="4574" spans="1:23">
      <c r="A4574">
        <v>3007</v>
      </c>
      <c r="B4574" s="2">
        <v>46276.739953703698</v>
      </c>
      <c r="C4574" s="2">
        <v>46276.753020833297</v>
      </c>
      <c r="D4574" s="1" t="s">
        <v>24</v>
      </c>
      <c r="E4574" s="1"/>
      <c r="F4574" s="29">
        <v>46276</v>
      </c>
      <c r="G4574" s="29">
        <v>46276</v>
      </c>
      <c r="H4574" s="1" t="s">
        <v>8381</v>
      </c>
      <c r="I4574" s="175" t="s">
        <v>10151</v>
      </c>
      <c r="J4574" s="175"/>
      <c r="K4574" s="188" t="s">
        <v>10152</v>
      </c>
      <c r="L4574" s="62">
        <v>24393582</v>
      </c>
      <c r="M4574" s="30">
        <v>5214111540583</v>
      </c>
      <c r="N4574" s="171" t="s">
        <v>28</v>
      </c>
      <c r="O4574" s="50">
        <f>6836.83+879</f>
        <v>7715.83</v>
      </c>
      <c r="P4574" s="97">
        <v>879</v>
      </c>
      <c r="Q4574" s="230">
        <f>OfficeForms.Table[[#This Row],[ INFORMEDEPAGO ]]*0.3</f>
        <v>2314.7489999999998</v>
      </c>
      <c r="R4574" s="231">
        <f>(IF(O4574&lt;4172.98,0,MIN(O4574*0.3,O4574-4172.98)))-P4574</f>
        <v>1435.7489999999998</v>
      </c>
      <c r="T4574" s="239"/>
      <c r="U4574" s="97"/>
      <c r="V4574" s="1" t="s">
        <v>8356</v>
      </c>
      <c r="W4574" s="29">
        <v>46277</v>
      </c>
    </row>
    <row r="4575" spans="1:23">
      <c r="A4575">
        <v>3008</v>
      </c>
      <c r="B4575" s="2">
        <v>46276.603599536997</v>
      </c>
      <c r="C4575" s="2">
        <v>46277.352083333302</v>
      </c>
      <c r="D4575" s="1" t="s">
        <v>24</v>
      </c>
      <c r="E4575" s="1"/>
      <c r="F4575" s="29">
        <v>46277</v>
      </c>
      <c r="G4575" s="29">
        <v>46270</v>
      </c>
      <c r="H4575" s="1" t="s">
        <v>8721</v>
      </c>
      <c r="I4575" s="175" t="s">
        <v>10153</v>
      </c>
      <c r="J4575" s="175">
        <v>11755955587</v>
      </c>
      <c r="K4575" s="188" t="s">
        <v>10154</v>
      </c>
      <c r="L4575" s="62">
        <v>24270794</v>
      </c>
      <c r="M4575" s="30">
        <v>5215562200115</v>
      </c>
      <c r="N4575" s="171" t="s">
        <v>37</v>
      </c>
      <c r="O4575" s="43">
        <v>5776.61</v>
      </c>
      <c r="P4575" s="43">
        <v>1546.56</v>
      </c>
      <c r="Q4575" s="230">
        <f>OfficeForms.Table[[#This Row],[ INFORMEDEPAGO ]]*0.3</f>
        <v>1732.9829999999999</v>
      </c>
      <c r="R4575" s="231">
        <f>(IF(O4575&lt;4172.98,0,MIN(O4575*0.3,O4575-4172.98)))-P4575</f>
        <v>57.070000000000164</v>
      </c>
      <c r="S4575" s="74">
        <v>46600</v>
      </c>
      <c r="T4575" s="239" t="s">
        <v>9097</v>
      </c>
      <c r="U4575" s="43">
        <v>1546.56</v>
      </c>
      <c r="V4575" s="1"/>
    </row>
    <row r="4576" spans="1:23">
      <c r="A4576">
        <v>3009</v>
      </c>
      <c r="B4576" s="2">
        <v>46277.451412037</v>
      </c>
      <c r="C4576" s="2">
        <v>46277.452303240701</v>
      </c>
      <c r="D4576" s="1" t="s">
        <v>24</v>
      </c>
      <c r="E4576" s="1"/>
      <c r="F4576" s="29">
        <v>46277</v>
      </c>
      <c r="G4576" s="29">
        <v>46277</v>
      </c>
      <c r="H4576" s="1" t="s">
        <v>269</v>
      </c>
      <c r="I4576" s="175" t="s">
        <v>10155</v>
      </c>
      <c r="J4576" s="175"/>
      <c r="K4576" s="188" t="s">
        <v>10156</v>
      </c>
      <c r="L4576" s="62">
        <v>24409818</v>
      </c>
      <c r="M4576" s="30">
        <v>5216634834532</v>
      </c>
      <c r="N4576" s="171" t="s">
        <v>28</v>
      </c>
      <c r="O4576" s="50">
        <v>6576.05</v>
      </c>
      <c r="P4576" s="97"/>
      <c r="Q4576" s="230">
        <f>OfficeForms.Table[[#This Row],[ INFORMEDEPAGO ]]*0.3</f>
        <v>1972.8150000000001</v>
      </c>
      <c r="R4576" s="231">
        <f>(IF(O4576&lt;4172.98,0,MIN(O4576*0.3,O4576-4172.98)))-P4576</f>
        <v>1972.8150000000001</v>
      </c>
      <c r="T4576" s="239"/>
      <c r="U4576" s="97"/>
      <c r="V4576" s="1" t="s">
        <v>8356</v>
      </c>
      <c r="W4576" s="29">
        <v>46277</v>
      </c>
    </row>
    <row r="4577" spans="1:23">
      <c r="A4577">
        <v>3010</v>
      </c>
      <c r="B4577" s="2">
        <v>46277.4543402778</v>
      </c>
      <c r="C4577" s="2">
        <v>46277.455000000002</v>
      </c>
      <c r="D4577" s="1" t="s">
        <v>24</v>
      </c>
      <c r="E4577" s="1"/>
      <c r="F4577" s="29">
        <v>46277</v>
      </c>
      <c r="G4577" s="29">
        <v>46276</v>
      </c>
      <c r="H4577" s="1" t="s">
        <v>269</v>
      </c>
      <c r="I4577" s="175" t="s">
        <v>10157</v>
      </c>
      <c r="J4577" s="207" t="s">
        <v>10158</v>
      </c>
      <c r="K4577" s="188" t="s">
        <v>10159</v>
      </c>
      <c r="L4577" s="62">
        <v>24408688</v>
      </c>
      <c r="M4577" s="30">
        <v>5213522436313</v>
      </c>
      <c r="N4577" s="171" t="s">
        <v>28</v>
      </c>
      <c r="O4577" s="50">
        <v>10011.879999999999</v>
      </c>
      <c r="P4577" s="97"/>
      <c r="Q4577" s="230">
        <f>OfficeForms.Table[[#This Row],[ INFORMEDEPAGO ]]*0.3</f>
        <v>3003.5639999999999</v>
      </c>
      <c r="R4577" s="231">
        <f>(IF(O4577&lt;4172.98,0,MIN(O4577*0.3,O4577-4172.98)))-P4577</f>
        <v>3003.5639999999999</v>
      </c>
      <c r="T4577" s="239"/>
      <c r="U4577" s="97"/>
      <c r="V4577" s="1" t="s">
        <v>9958</v>
      </c>
      <c r="W4577" s="29">
        <v>46277</v>
      </c>
    </row>
    <row r="4578" spans="1:23">
      <c r="A4578">
        <v>3011</v>
      </c>
      <c r="B4578" s="2">
        <v>46276.753043981502</v>
      </c>
      <c r="C4578" s="2">
        <v>46277.458217592597</v>
      </c>
      <c r="D4578" s="1" t="s">
        <v>24</v>
      </c>
      <c r="E4578" s="1"/>
      <c r="F4578" s="29">
        <v>46277</v>
      </c>
      <c r="G4578" s="29">
        <v>46277</v>
      </c>
      <c r="H4578" s="1" t="s">
        <v>8381</v>
      </c>
      <c r="I4578" s="175" t="s">
        <v>10160</v>
      </c>
      <c r="J4578" s="207"/>
      <c r="K4578" s="188" t="s">
        <v>10161</v>
      </c>
      <c r="L4578" s="62">
        <v>24414648</v>
      </c>
      <c r="M4578" s="30">
        <v>5215586777989</v>
      </c>
      <c r="N4578" s="171" t="s">
        <v>37</v>
      </c>
      <c r="O4578" s="52">
        <v>6460.14</v>
      </c>
      <c r="P4578" s="52">
        <v>1868.81</v>
      </c>
      <c r="Q4578" s="230">
        <f>OfficeForms.Table[[#This Row],[ INFORMEDEPAGO ]]*0.3</f>
        <v>1938.0419999999999</v>
      </c>
      <c r="R4578" s="231">
        <f t="shared" ref="R4578:R4579" si="364">(IF(O4578&lt;4172.98,0,MIN(O4578*0.3,O4578-4172.98)))-P4578</f>
        <v>69.231999999999971</v>
      </c>
      <c r="S4578" s="74">
        <v>46692</v>
      </c>
      <c r="T4578" s="239" t="s">
        <v>7516</v>
      </c>
      <c r="U4578" s="52">
        <v>1868.81</v>
      </c>
      <c r="V4578" s="1"/>
    </row>
    <row r="4579" spans="1:23">
      <c r="A4579">
        <v>3012</v>
      </c>
      <c r="B4579" s="2">
        <v>46276.750636574099</v>
      </c>
      <c r="C4579" s="2">
        <v>46277.458483796298</v>
      </c>
      <c r="D4579" s="1" t="s">
        <v>24</v>
      </c>
      <c r="E4579" s="1"/>
      <c r="F4579" s="29">
        <v>46277</v>
      </c>
      <c r="G4579" s="29">
        <v>46275</v>
      </c>
      <c r="H4579" s="1" t="s">
        <v>78</v>
      </c>
      <c r="I4579" s="175" t="s">
        <v>10162</v>
      </c>
      <c r="J4579" s="207">
        <v>6783650898</v>
      </c>
      <c r="K4579" s="188" t="s">
        <v>10163</v>
      </c>
      <c r="L4579" s="62">
        <v>24409246</v>
      </c>
      <c r="M4579" s="30">
        <v>5215651984257</v>
      </c>
      <c r="N4579" s="171" t="s">
        <v>37</v>
      </c>
      <c r="O4579" s="52">
        <v>9760.32</v>
      </c>
      <c r="P4579" s="52">
        <v>2926.65</v>
      </c>
      <c r="Q4579" s="230">
        <f>OfficeForms.Table[[#This Row],[ INFORMEDEPAGO ]]*0.3</f>
        <v>2928.096</v>
      </c>
      <c r="R4579" s="231">
        <f t="shared" si="364"/>
        <v>1.4459999999999127</v>
      </c>
      <c r="S4579" s="74">
        <v>46813</v>
      </c>
      <c r="T4579" s="239" t="s">
        <v>7516</v>
      </c>
      <c r="U4579" s="52">
        <v>2926.65</v>
      </c>
      <c r="V4579" s="1"/>
    </row>
    <row r="4580" spans="1:23">
      <c r="A4580">
        <v>3013</v>
      </c>
      <c r="B4580" s="2">
        <v>46277.461932870399</v>
      </c>
      <c r="C4580" s="2">
        <v>46277.464988425898</v>
      </c>
      <c r="D4580" s="1" t="s">
        <v>24</v>
      </c>
      <c r="E4580" s="1"/>
      <c r="F4580" s="29">
        <v>46277</v>
      </c>
      <c r="G4580" s="29">
        <v>46277</v>
      </c>
      <c r="H4580" s="1" t="s">
        <v>51</v>
      </c>
      <c r="I4580" s="175" t="s">
        <v>10164</v>
      </c>
      <c r="J4580" s="207">
        <v>49884202224</v>
      </c>
      <c r="K4580" s="188" t="s">
        <v>10165</v>
      </c>
      <c r="L4580" s="62">
        <v>24408298</v>
      </c>
      <c r="M4580" s="30">
        <v>5218682446310</v>
      </c>
      <c r="N4580" s="171" t="s">
        <v>32</v>
      </c>
      <c r="O4580" s="50">
        <v>1210.71</v>
      </c>
      <c r="P4580" s="97">
        <v>302</v>
      </c>
      <c r="Q4580" s="230">
        <f>OfficeForms.Table[[#This Row],[ INFORMEDEPAGO ]]*0.3</f>
        <v>363.21300000000002</v>
      </c>
      <c r="R4580" s="231">
        <f t="shared" ref="R4580" si="365">(IF(O4580&lt;4172.98,0,MIN(O4580*0.3,O4580-4172.98)))-P4580</f>
        <v>-302</v>
      </c>
      <c r="T4580" s="239"/>
      <c r="U4580" s="97"/>
      <c r="V4580" s="1"/>
    </row>
    <row r="4581" spans="1:23">
      <c r="A4581">
        <v>3014</v>
      </c>
      <c r="B4581" s="2">
        <v>46277.456423611096</v>
      </c>
      <c r="C4581" s="2">
        <v>46277.474074074104</v>
      </c>
      <c r="D4581" s="1" t="s">
        <v>24</v>
      </c>
      <c r="E4581" s="1"/>
      <c r="F4581" s="29">
        <v>46277</v>
      </c>
      <c r="G4581" s="29">
        <v>46276</v>
      </c>
      <c r="H4581" s="1" t="s">
        <v>78</v>
      </c>
      <c r="I4581" s="175" t="s">
        <v>10166</v>
      </c>
      <c r="J4581" s="207" t="s">
        <v>10167</v>
      </c>
      <c r="K4581" s="188" t="s">
        <v>10168</v>
      </c>
      <c r="L4581" s="62">
        <v>24408040</v>
      </c>
      <c r="M4581" s="30">
        <v>5216141314197</v>
      </c>
      <c r="N4581" s="171" t="s">
        <v>37</v>
      </c>
      <c r="O4581" s="52">
        <v>19102.669999999998</v>
      </c>
      <c r="P4581" s="52">
        <v>5523.79</v>
      </c>
      <c r="Q4581" s="230">
        <f>OfficeForms.Table[[#This Row],[ INFORMEDEPAGO ]]*0.3</f>
        <v>5730.8009999999995</v>
      </c>
      <c r="R4581" s="231">
        <f t="shared" ref="R4581" si="366">(IF(O4581&lt;4172.98,0,MIN(O4581*0.3,O4581-4172.98)))-P4581</f>
        <v>207.01099999999951</v>
      </c>
      <c r="S4581" s="74">
        <v>46600</v>
      </c>
      <c r="T4581" s="239" t="s">
        <v>84</v>
      </c>
      <c r="U4581" s="52">
        <v>5523.79</v>
      </c>
      <c r="V4581" s="1"/>
    </row>
    <row r="4582" spans="1:23">
      <c r="A4582">
        <v>3015</v>
      </c>
      <c r="B4582" s="2">
        <v>46277.480995370403</v>
      </c>
      <c r="C4582" s="2">
        <v>46277.482997685198</v>
      </c>
      <c r="D4582" s="1" t="s">
        <v>24</v>
      </c>
      <c r="E4582" s="1"/>
      <c r="F4582" s="29">
        <v>46277</v>
      </c>
      <c r="G4582" s="29">
        <v>46275</v>
      </c>
      <c r="H4582" s="1" t="s">
        <v>269</v>
      </c>
      <c r="I4582" s="175" t="s">
        <v>10169</v>
      </c>
      <c r="J4582" s="207"/>
      <c r="K4582" s="188" t="s">
        <v>10170</v>
      </c>
      <c r="L4582" s="62">
        <v>24387952</v>
      </c>
      <c r="M4582" s="30">
        <v>5215519304566</v>
      </c>
      <c r="N4582" s="171" t="s">
        <v>37</v>
      </c>
      <c r="O4582" s="52">
        <v>10171.01</v>
      </c>
      <c r="P4582" s="52">
        <v>3050.15</v>
      </c>
      <c r="Q4582" s="230">
        <f>OfficeForms.Table[[#This Row],[ INFORMEDEPAGO ]]*0.3</f>
        <v>3051.3029999999999</v>
      </c>
      <c r="R4582" s="231">
        <f t="shared" ref="R4582" si="367">(IF(O4582&lt;4172.98,0,MIN(O4582*0.3,O4582-4172.98)))-P4582</f>
        <v>1.1529999999997926</v>
      </c>
      <c r="S4582" s="74">
        <v>46935</v>
      </c>
      <c r="T4582" s="239" t="s">
        <v>259</v>
      </c>
      <c r="U4582" s="99"/>
      <c r="V4582" s="1"/>
    </row>
    <row r="4583" spans="1:23">
      <c r="A4583">
        <v>3016</v>
      </c>
      <c r="B4583" s="2">
        <v>46277.474108796298</v>
      </c>
      <c r="C4583" s="2">
        <v>46277.494675925896</v>
      </c>
      <c r="D4583" s="1" t="s">
        <v>24</v>
      </c>
      <c r="E4583" s="1"/>
      <c r="F4583" s="29">
        <v>46277</v>
      </c>
      <c r="G4583" s="29">
        <v>46276</v>
      </c>
      <c r="H4583" s="1" t="s">
        <v>78</v>
      </c>
      <c r="I4583" s="175" t="s">
        <v>10171</v>
      </c>
      <c r="J4583" s="207"/>
      <c r="K4583" s="188" t="s">
        <v>10172</v>
      </c>
      <c r="L4583" s="62">
        <v>24406980</v>
      </c>
      <c r="M4583" s="30">
        <v>5216128687004</v>
      </c>
      <c r="N4583" s="171" t="s">
        <v>28</v>
      </c>
      <c r="O4583" s="67">
        <v>6262.86</v>
      </c>
      <c r="P4583" s="99"/>
      <c r="Q4583" s="230">
        <f>OfficeForms.Table[[#This Row],[ INFORMEDEPAGO ]]*0.3</f>
        <v>1878.8579999999997</v>
      </c>
      <c r="R4583" s="231">
        <f t="shared" ref="R4583" si="368">(IF(O4583&lt;4172.98,0,MIN(O4583*0.3,O4583-4172.98)))-P4583</f>
        <v>1878.8579999999997</v>
      </c>
      <c r="T4583" s="239"/>
      <c r="U4583" s="99"/>
      <c r="V4583" s="1" t="s">
        <v>8356</v>
      </c>
      <c r="W4583" s="29">
        <v>46277</v>
      </c>
    </row>
    <row r="4584" spans="1:23">
      <c r="A4584">
        <v>3017</v>
      </c>
      <c r="B4584" s="2">
        <v>46277.505185185197</v>
      </c>
      <c r="C4584" s="2">
        <v>46277.505659722199</v>
      </c>
      <c r="D4584" s="1" t="s">
        <v>24</v>
      </c>
      <c r="E4584" s="1"/>
      <c r="F4584" s="29">
        <v>46277</v>
      </c>
      <c r="G4584" s="29">
        <v>46276</v>
      </c>
      <c r="H4584" s="1" t="s">
        <v>269</v>
      </c>
      <c r="I4584" s="175" t="s">
        <v>10173</v>
      </c>
      <c r="J4584" s="207" t="s">
        <v>10174</v>
      </c>
      <c r="K4584" s="188" t="s">
        <v>10175</v>
      </c>
      <c r="L4584" s="62">
        <v>24403818</v>
      </c>
      <c r="M4584" s="30">
        <v>5218662569600</v>
      </c>
      <c r="N4584" s="171" t="s">
        <v>47</v>
      </c>
      <c r="O4584" s="52">
        <v>11995.34</v>
      </c>
      <c r="P4584" s="52">
        <v>2769.32</v>
      </c>
      <c r="Q4584" s="230">
        <f>OfficeForms.Table[[#This Row],[ INFORMEDEPAGO ]]*0.3</f>
        <v>3598.6019999999999</v>
      </c>
      <c r="R4584" s="231">
        <f t="shared" ref="R4584" si="369">(IF(O4584&lt;4172.98,0,MIN(O4584*0.3,O4584-4172.98)))-P4584</f>
        <v>829.2819999999997</v>
      </c>
      <c r="S4584" s="74">
        <v>46447</v>
      </c>
      <c r="T4584" s="239" t="s">
        <v>7516</v>
      </c>
      <c r="U4584" s="97">
        <v>2297.3200000000002</v>
      </c>
      <c r="V4584" s="1" t="s">
        <v>10176</v>
      </c>
      <c r="W4584" s="29">
        <v>46277</v>
      </c>
    </row>
    <row r="4585" spans="1:23">
      <c r="A4585">
        <v>3018</v>
      </c>
      <c r="B4585" s="2">
        <v>46277.5176041667</v>
      </c>
      <c r="C4585" s="2">
        <v>46277.519155092603</v>
      </c>
      <c r="D4585" s="1" t="s">
        <v>24</v>
      </c>
      <c r="E4585" s="1"/>
      <c r="F4585" s="29">
        <v>46277</v>
      </c>
      <c r="G4585" s="29">
        <v>46276</v>
      </c>
      <c r="H4585" s="1" t="s">
        <v>269</v>
      </c>
      <c r="I4585" s="175" t="s">
        <v>10177</v>
      </c>
      <c r="J4585" s="207" t="s">
        <v>10178</v>
      </c>
      <c r="K4585" s="188" t="s">
        <v>10179</v>
      </c>
      <c r="L4585" s="62">
        <v>24406718</v>
      </c>
      <c r="M4585" s="30">
        <v>5215585673262</v>
      </c>
      <c r="N4585" s="171" t="s">
        <v>37</v>
      </c>
      <c r="O4585" s="52">
        <v>5288.38</v>
      </c>
      <c r="P4585" s="52">
        <v>1115</v>
      </c>
      <c r="Q4585" s="230">
        <f>OfficeForms.Table[[#This Row],[ INFORMEDEPAGO ]]*0.3</f>
        <v>1586.5139999999999</v>
      </c>
      <c r="R4585" s="231">
        <f t="shared" ref="R4585" si="370">(IF(O4585&lt;4172.98,0,MIN(O4585*0.3,O4585-4172.98)))-P4585</f>
        <v>0.4000000000005457</v>
      </c>
      <c r="S4585" s="74">
        <v>46935</v>
      </c>
      <c r="T4585" s="239" t="s">
        <v>8338</v>
      </c>
      <c r="U4585" s="97">
        <v>1115</v>
      </c>
      <c r="V4585" s="1"/>
    </row>
    <row r="4586" spans="1:23">
      <c r="A4586">
        <v>3019</v>
      </c>
      <c r="B4586" s="2">
        <v>46277.3521064815</v>
      </c>
      <c r="C4586" s="2">
        <v>46277.534259259301</v>
      </c>
      <c r="D4586" s="1" t="s">
        <v>24</v>
      </c>
      <c r="E4586" s="1"/>
      <c r="F4586" s="29">
        <v>46277</v>
      </c>
      <c r="G4586" s="29">
        <v>46274</v>
      </c>
      <c r="H4586" s="1" t="s">
        <v>8721</v>
      </c>
      <c r="I4586" s="175" t="s">
        <v>10180</v>
      </c>
      <c r="J4586" s="207">
        <v>4282660614</v>
      </c>
      <c r="K4586" s="188"/>
      <c r="L4586" s="244">
        <v>23808686</v>
      </c>
      <c r="M4586" s="245">
        <v>5215652802887</v>
      </c>
      <c r="N4586" s="171" t="s">
        <v>28</v>
      </c>
      <c r="O4586" s="67">
        <v>10663.02</v>
      </c>
      <c r="P4586" s="99"/>
      <c r="Q4586" s="230">
        <f>OfficeForms.Table[[#This Row],[ INFORMEDEPAGO ]]*0.3</f>
        <v>3198.9059999999999</v>
      </c>
      <c r="R4586" s="231">
        <f t="shared" ref="R4586" si="371">(IF(O4586&lt;4172.98,0,MIN(O4586*0.3,O4586-4172.98)))-P4586</f>
        <v>3198.9059999999999</v>
      </c>
      <c r="T4586" s="239"/>
      <c r="U4586" s="97"/>
      <c r="V4586" s="1" t="s">
        <v>9958</v>
      </c>
      <c r="W4586" s="29">
        <v>46277</v>
      </c>
    </row>
    <row r="4587" spans="1:23">
      <c r="A4587">
        <v>3020</v>
      </c>
      <c r="B4587" s="2">
        <v>46277.528703703698</v>
      </c>
      <c r="C4587" s="2">
        <v>46277.538900462998</v>
      </c>
      <c r="D4587" s="1" t="s">
        <v>24</v>
      </c>
      <c r="E4587" s="1"/>
      <c r="F4587" s="29">
        <v>46277</v>
      </c>
      <c r="G4587" s="29">
        <v>46277</v>
      </c>
      <c r="H4587" s="1" t="s">
        <v>78</v>
      </c>
      <c r="I4587" s="175" t="s">
        <v>10181</v>
      </c>
      <c r="J4587" s="207">
        <v>55907504264</v>
      </c>
      <c r="K4587" s="188" t="s">
        <v>10182</v>
      </c>
      <c r="L4587" s="242">
        <v>24412420</v>
      </c>
      <c r="M4587" s="243">
        <v>5215529398617</v>
      </c>
      <c r="N4587" s="171" t="s">
        <v>32</v>
      </c>
      <c r="O4587" s="67">
        <f>4181.93+879</f>
        <v>5060.93</v>
      </c>
      <c r="P4587" s="99">
        <v>879</v>
      </c>
      <c r="Q4587" s="230">
        <f>OfficeForms.Table[[#This Row],[ INFORMEDEPAGO ]]*0.3</f>
        <v>1518.279</v>
      </c>
      <c r="R4587" s="231">
        <f>(IF(O4587&lt;4172.98,0,MIN(O4587*0.3,O4587-4172.98)))-P4587</f>
        <v>8.9500000000007276</v>
      </c>
      <c r="T4587" s="239"/>
      <c r="U4587" s="97"/>
      <c r="V4587" s="1"/>
    </row>
    <row r="4588" spans="1:23">
      <c r="A4588">
        <v>3021</v>
      </c>
      <c r="B4588" s="2">
        <v>46277.613912036999</v>
      </c>
      <c r="C4588" s="2">
        <v>46277.617210648197</v>
      </c>
      <c r="D4588" s="1" t="s">
        <v>24</v>
      </c>
      <c r="E4588" s="1"/>
      <c r="F4588" s="29">
        <v>46277</v>
      </c>
      <c r="G4588" s="29">
        <v>46277</v>
      </c>
      <c r="H4588" s="1" t="s">
        <v>78</v>
      </c>
      <c r="I4588" s="175" t="s">
        <v>10183</v>
      </c>
      <c r="J4588" s="207">
        <v>52725415666</v>
      </c>
      <c r="K4588" s="188" t="s">
        <v>10184</v>
      </c>
      <c r="L4588" s="242">
        <v>24416270</v>
      </c>
      <c r="M4588" s="243">
        <v>5213121007483</v>
      </c>
      <c r="N4588" s="171" t="s">
        <v>28</v>
      </c>
      <c r="O4588" s="67">
        <f>18468.51-10548</f>
        <v>7920.5099999999984</v>
      </c>
      <c r="P4588" s="99">
        <v>879</v>
      </c>
      <c r="Q4588" s="230">
        <f>OfficeForms.Table[[#This Row],[ INFORMEDEPAGO ]]*0.3</f>
        <v>2376.1529999999993</v>
      </c>
      <c r="R4588" s="231">
        <f>(IF(O4588&lt;4172.98,0,MIN(O4588*0.3,O4588-4172.98)))-P4588</f>
        <v>1497.1529999999993</v>
      </c>
      <c r="T4588" s="239"/>
      <c r="U4588" s="97"/>
      <c r="V4588" s="1" t="s">
        <v>8960</v>
      </c>
      <c r="W4588" s="29">
        <v>46278</v>
      </c>
    </row>
    <row r="4589" spans="1:23">
      <c r="A4589">
        <v>3023</v>
      </c>
      <c r="B4589" s="2">
        <v>46277.625983796301</v>
      </c>
      <c r="C4589" s="2">
        <v>46277.6358680556</v>
      </c>
      <c r="D4589" s="1" t="s">
        <v>24</v>
      </c>
      <c r="E4589" s="1"/>
      <c r="F4589" s="29">
        <v>46277</v>
      </c>
      <c r="G4589" s="29">
        <v>46277</v>
      </c>
      <c r="H4589" s="1" t="s">
        <v>8028</v>
      </c>
      <c r="I4589" s="175" t="s">
        <v>10185</v>
      </c>
      <c r="J4589" s="247" t="s">
        <v>10186</v>
      </c>
      <c r="K4589" s="188" t="s">
        <v>10187</v>
      </c>
      <c r="L4589" s="242">
        <v>24416608</v>
      </c>
      <c r="M4589" s="243">
        <v>5219844681272</v>
      </c>
      <c r="N4589" s="171" t="s">
        <v>28</v>
      </c>
      <c r="O4589" s="67">
        <v>10636.54</v>
      </c>
      <c r="P4589" s="99"/>
      <c r="Q4589" s="230">
        <f>OfficeForms.Table[[#This Row],[ INFORMEDEPAGO ]]*0.3</f>
        <v>3190.962</v>
      </c>
      <c r="R4589" s="231">
        <f>(IF(O4589&lt;4172.98,0,MIN(O4589*0.3,O4589-4172.98)))-P4589</f>
        <v>3190.962</v>
      </c>
      <c r="T4589" s="239"/>
      <c r="U4589" s="97"/>
      <c r="V4589" s="1" t="s">
        <v>8256</v>
      </c>
      <c r="W4589" s="29">
        <v>46278</v>
      </c>
    </row>
    <row r="4590" spans="1:23">
      <c r="A4590">
        <v>3024</v>
      </c>
      <c r="B4590" s="2">
        <v>46277.655694444402</v>
      </c>
      <c r="C4590" s="2">
        <v>46277.6613194444</v>
      </c>
      <c r="D4590" s="1" t="s">
        <v>24</v>
      </c>
      <c r="E4590" s="1"/>
      <c r="F4590" s="29">
        <v>46277</v>
      </c>
      <c r="G4590" s="29">
        <v>46276</v>
      </c>
      <c r="H4590" s="1" t="s">
        <v>8028</v>
      </c>
      <c r="I4590" s="175" t="s">
        <v>10188</v>
      </c>
      <c r="J4590" s="207"/>
      <c r="K4590" s="188" t="s">
        <v>10189</v>
      </c>
      <c r="L4590" s="242">
        <v>24409114</v>
      </c>
      <c r="M4590" s="243">
        <v>5216121685371</v>
      </c>
      <c r="N4590" s="171" t="s">
        <v>28</v>
      </c>
      <c r="O4590" s="67">
        <v>9760.32</v>
      </c>
      <c r="P4590" s="99"/>
      <c r="Q4590" s="230">
        <f>0.3*OfficeForms.Table[[#This Row],[ INFORMEDEPAGO ]]</f>
        <v>2928.096</v>
      </c>
      <c r="R4590" s="231">
        <f>(IF(O4590&lt;4172.98,0,MIN(O4590*0.3,O4590-4172.98)))-P4590</f>
        <v>2928.096</v>
      </c>
      <c r="T4590" s="239"/>
      <c r="U4590" s="97"/>
      <c r="V4590" s="1" t="s">
        <v>8960</v>
      </c>
      <c r="W4590" s="29">
        <v>46278</v>
      </c>
    </row>
    <row r="4591" spans="1:23">
      <c r="A4591">
        <v>3025</v>
      </c>
      <c r="B4591" s="2">
        <v>46277.664409722202</v>
      </c>
      <c r="C4591" s="2">
        <v>46277.665960648097</v>
      </c>
      <c r="D4591" s="1" t="s">
        <v>24</v>
      </c>
      <c r="E4591" s="1"/>
      <c r="F4591" s="29">
        <v>46277</v>
      </c>
      <c r="G4591" s="29">
        <v>46271</v>
      </c>
      <c r="H4591" s="1" t="s">
        <v>8238</v>
      </c>
      <c r="I4591" s="175" t="s">
        <v>10190</v>
      </c>
      <c r="J4591" s="207">
        <v>10725473838</v>
      </c>
      <c r="K4591" s="188" t="s">
        <v>10191</v>
      </c>
      <c r="L4591" s="242">
        <v>24280514</v>
      </c>
      <c r="M4591" s="243">
        <v>19566560476</v>
      </c>
      <c r="N4591" s="171" t="s">
        <v>37</v>
      </c>
      <c r="O4591" s="52">
        <v>5055.8599999999997</v>
      </c>
      <c r="P4591" s="52">
        <v>1253.6500000000001</v>
      </c>
      <c r="Q4591" s="230">
        <f>OfficeForms.Table[[#This Row],[ INFORMEDEPAGO ]]*0.3</f>
        <v>1516.7579999999998</v>
      </c>
      <c r="R4591" s="231">
        <f>(IF(O4591&lt;4172.98,0,MIN(O4591*0.3,O4591-4172.98)))-P4591</f>
        <v>-370.77</v>
      </c>
      <c r="S4591" s="74">
        <v>46419</v>
      </c>
      <c r="T4591" s="239" t="s">
        <v>178</v>
      </c>
      <c r="U4591" s="52">
        <v>1253.6500000000001</v>
      </c>
      <c r="V4591" s="1"/>
    </row>
    <row r="4592" spans="1:23">
      <c r="A4592">
        <v>3026</v>
      </c>
      <c r="B4592" s="2">
        <v>46277.723043981503</v>
      </c>
      <c r="C4592" s="2">
        <v>46277.723425925898</v>
      </c>
      <c r="D4592" s="1" t="s">
        <v>24</v>
      </c>
      <c r="E4592" s="1"/>
      <c r="F4592" s="29">
        <v>46277</v>
      </c>
      <c r="G4592" s="29">
        <v>46277</v>
      </c>
      <c r="H4592" s="1" t="s">
        <v>269</v>
      </c>
      <c r="I4592" s="175" t="s">
        <v>10192</v>
      </c>
      <c r="J4592" s="175" t="s">
        <v>10193</v>
      </c>
      <c r="K4592" s="188" t="s">
        <v>10194</v>
      </c>
      <c r="L4592" s="242">
        <v>24418318</v>
      </c>
      <c r="M4592" s="243">
        <v>5219513405776</v>
      </c>
      <c r="N4592" s="171" t="s">
        <v>263</v>
      </c>
      <c r="O4592" s="52">
        <v>11722.7</v>
      </c>
      <c r="P4592" s="52">
        <v>3388.95</v>
      </c>
      <c r="Q4592" s="230">
        <f>OfficeForms.Table[[#This Row],[ INFORMEDEPAGO ]]*0.3</f>
        <v>3516.81</v>
      </c>
      <c r="R4592" s="231">
        <f>(IF(O4592&lt;4172.98,0,MIN(O4592*0.3,O4592-4172.98)))-P4592</f>
        <v>127.86000000000013</v>
      </c>
      <c r="S4592" s="74">
        <v>46082</v>
      </c>
      <c r="T4592" s="239" t="s">
        <v>192</v>
      </c>
      <c r="U4592" s="97">
        <v>3103.03</v>
      </c>
      <c r="V4592" s="1" t="s">
        <v>9185</v>
      </c>
      <c r="W4592" s="29">
        <v>46279</v>
      </c>
    </row>
    <row r="4593" spans="1:23">
      <c r="A4593">
        <v>3027</v>
      </c>
      <c r="B4593" s="2">
        <v>46277.724236111098</v>
      </c>
      <c r="C4593" s="2">
        <v>46277.724560185197</v>
      </c>
      <c r="D4593" s="1" t="s">
        <v>24</v>
      </c>
      <c r="E4593" s="1"/>
      <c r="F4593" s="29">
        <v>46277</v>
      </c>
      <c r="G4593" s="29">
        <v>46277</v>
      </c>
      <c r="H4593" s="1" t="s">
        <v>269</v>
      </c>
      <c r="I4593" s="175" t="s">
        <v>10195</v>
      </c>
      <c r="J4593" s="175" t="s">
        <v>10196</v>
      </c>
      <c r="K4593" s="188"/>
      <c r="L4593" s="242">
        <v>24417200</v>
      </c>
      <c r="M4593" s="243">
        <v>5214271491785</v>
      </c>
      <c r="N4593" s="171" t="s">
        <v>28</v>
      </c>
      <c r="O4593" s="67">
        <v>29453.33</v>
      </c>
      <c r="P4593" s="99"/>
      <c r="Q4593" s="230">
        <f>OfficeForms.Table[[#This Row],[ INFORMEDEPAGO ]]*0.3</f>
        <v>8835.9989999999998</v>
      </c>
      <c r="R4593" s="231">
        <f>(IF(O4593&lt;4172.98,0,MIN(O4593*0.3,O4593-4172.98)))-P4593</f>
        <v>8835.9989999999998</v>
      </c>
      <c r="T4593" s="239"/>
      <c r="U4593" s="97"/>
      <c r="V4593" s="1" t="s">
        <v>8264</v>
      </c>
      <c r="W4593" s="29">
        <v>46278</v>
      </c>
    </row>
    <row r="4594" spans="1:23">
      <c r="A4594">
        <v>3028</v>
      </c>
      <c r="B4594" s="2">
        <v>46277.725231481498</v>
      </c>
      <c r="C4594" s="2">
        <v>46277.725555555597</v>
      </c>
      <c r="D4594" s="1" t="s">
        <v>24</v>
      </c>
      <c r="E4594" s="1"/>
      <c r="F4594" s="29">
        <v>46277</v>
      </c>
      <c r="G4594" s="29">
        <v>46277</v>
      </c>
      <c r="H4594" s="1" t="s">
        <v>269</v>
      </c>
      <c r="I4594" s="175" t="s">
        <v>10197</v>
      </c>
      <c r="J4594" s="207"/>
      <c r="K4594" s="188" t="s">
        <v>10198</v>
      </c>
      <c r="L4594" s="242">
        <v>24416912</v>
      </c>
      <c r="M4594" s="243">
        <v>5215530587908</v>
      </c>
      <c r="N4594" s="171" t="s">
        <v>28</v>
      </c>
      <c r="O4594" s="67">
        <v>15274.2</v>
      </c>
      <c r="P4594" s="99"/>
      <c r="Q4594" s="230">
        <f>OfficeForms.Table[[#This Row],[ INFORMEDEPAGO ]]*0.3</f>
        <v>4582.26</v>
      </c>
      <c r="R4594" s="231">
        <f>(IF(O4594&lt;4172.98,0,MIN(O4594*0.3,O4594-4172.98)))-P4594</f>
        <v>4582.26</v>
      </c>
      <c r="T4594" s="239"/>
      <c r="U4594" s="97"/>
      <c r="V4594" s="1" t="s">
        <v>8436</v>
      </c>
      <c r="W4594" s="29">
        <v>46278</v>
      </c>
    </row>
    <row r="4595" spans="1:23">
      <c r="A4595">
        <v>3029</v>
      </c>
      <c r="B4595" s="2">
        <v>46277.726585648197</v>
      </c>
      <c r="C4595" s="2">
        <v>46277.727002314801</v>
      </c>
      <c r="D4595" s="1" t="s">
        <v>24</v>
      </c>
      <c r="E4595" s="1"/>
      <c r="F4595" s="29">
        <v>46277</v>
      </c>
      <c r="G4595" s="29">
        <v>46277</v>
      </c>
      <c r="H4595" s="1" t="s">
        <v>269</v>
      </c>
      <c r="I4595" s="175" t="s">
        <v>10199</v>
      </c>
      <c r="J4595" s="207"/>
      <c r="K4595" s="188" t="s">
        <v>10200</v>
      </c>
      <c r="L4595" s="242">
        <v>24416128</v>
      </c>
      <c r="M4595" s="243">
        <v>5215630391399</v>
      </c>
      <c r="N4595" s="171" t="s">
        <v>32</v>
      </c>
      <c r="O4595" s="52">
        <v>4040.11</v>
      </c>
      <c r="P4595" s="52">
        <v>879</v>
      </c>
      <c r="Q4595" s="230">
        <f>OfficeForms.Table[[#This Row],[ INFORMEDEPAGO ]]*0.3</f>
        <v>1212.0329999999999</v>
      </c>
      <c r="R4595" s="231">
        <f>(IF(O4595&lt;4172.98,0,MIN(O4595*0.3,O4595-4172.98)))-P4595</f>
        <v>-879</v>
      </c>
      <c r="T4595" s="239"/>
      <c r="U4595" s="97"/>
      <c r="V4595" s="1"/>
    </row>
    <row r="4596" spans="1:23">
      <c r="A4596">
        <v>3030</v>
      </c>
      <c r="B4596" s="2">
        <v>46277.727962962999</v>
      </c>
      <c r="C4596" s="2">
        <v>46277.728391203702</v>
      </c>
      <c r="D4596" s="1" t="s">
        <v>24</v>
      </c>
      <c r="E4596" s="1"/>
      <c r="F4596" s="29">
        <v>46277</v>
      </c>
      <c r="G4596" s="29">
        <v>46277</v>
      </c>
      <c r="H4596" s="1" t="s">
        <v>269</v>
      </c>
      <c r="I4596" s="175" t="s">
        <v>10201</v>
      </c>
      <c r="J4596" s="175" t="s">
        <v>10202</v>
      </c>
      <c r="K4596" s="188" t="s">
        <v>10203</v>
      </c>
      <c r="L4596" s="242">
        <v>24415868</v>
      </c>
      <c r="M4596" s="243">
        <v>5213222179157</v>
      </c>
      <c r="N4596" s="171" t="s">
        <v>106</v>
      </c>
      <c r="O4596" s="52">
        <v>24261.17</v>
      </c>
      <c r="P4596" s="52">
        <v>5337.68</v>
      </c>
      <c r="Q4596" s="230">
        <f>OfficeForms.Table[[#This Row],[ INFORMEDEPAGO ]]*0.3</f>
        <v>7278.3509999999997</v>
      </c>
      <c r="R4596" s="231">
        <f>(IF(O4596&lt;4172.98,0,MIN(O4596*0.3,O4596-4172.98)))-P4596</f>
        <v>1940.6709999999994</v>
      </c>
      <c r="S4596" s="74">
        <v>45839</v>
      </c>
      <c r="T4596" s="239" t="s">
        <v>7209</v>
      </c>
      <c r="U4596" s="52">
        <v>5337.68</v>
      </c>
      <c r="V4596" s="1" t="s">
        <v>8264</v>
      </c>
      <c r="W4596" s="29">
        <v>46278</v>
      </c>
    </row>
    <row r="4597" spans="1:23">
      <c r="A4597">
        <v>3031</v>
      </c>
      <c r="B4597" s="2">
        <v>46277.729421296302</v>
      </c>
      <c r="C4597" s="2">
        <v>46277.729780092603</v>
      </c>
      <c r="D4597" s="1" t="s">
        <v>24</v>
      </c>
      <c r="E4597" s="1"/>
      <c r="F4597" s="29">
        <v>46277</v>
      </c>
      <c r="G4597" s="29">
        <v>46277</v>
      </c>
      <c r="H4597" s="1" t="s">
        <v>269</v>
      </c>
      <c r="I4597" s="175" t="s">
        <v>10204</v>
      </c>
      <c r="J4597" s="175" t="s">
        <v>10205</v>
      </c>
      <c r="K4597" s="188" t="s">
        <v>10206</v>
      </c>
      <c r="L4597" s="242">
        <v>24415770</v>
      </c>
      <c r="M4597" s="243">
        <v>5212291919726</v>
      </c>
      <c r="N4597" s="171" t="s">
        <v>37</v>
      </c>
      <c r="O4597" s="52">
        <v>4772.1400000000003</v>
      </c>
      <c r="P4597" s="52">
        <v>577</v>
      </c>
      <c r="Q4597" s="230">
        <f>OfficeForms.Table[[#This Row],[ INFORMEDEPAGO ]]*0.3</f>
        <v>1431.6420000000001</v>
      </c>
      <c r="R4597" s="231">
        <f>(IF(O4597&lt;4172.98,0,MIN(O4597*0.3,O4597-4172.98)))-P4597</f>
        <v>22.160000000000764</v>
      </c>
      <c r="S4597" s="74">
        <v>46539</v>
      </c>
      <c r="T4597" s="239" t="s">
        <v>7516</v>
      </c>
      <c r="U4597" s="52">
        <v>577</v>
      </c>
      <c r="V4597" s="1"/>
    </row>
    <row r="4598" spans="1:23">
      <c r="A4598">
        <v>3032</v>
      </c>
      <c r="B4598" s="2">
        <v>46277.725057870397</v>
      </c>
      <c r="C4598" s="2">
        <v>46277.730486111097</v>
      </c>
      <c r="D4598" s="1" t="s">
        <v>24</v>
      </c>
      <c r="E4598" s="1"/>
      <c r="F4598" s="29">
        <v>46277</v>
      </c>
      <c r="G4598" s="29">
        <v>46277</v>
      </c>
      <c r="H4598" s="1" t="s">
        <v>78</v>
      </c>
      <c r="I4598" s="175" t="s">
        <v>10207</v>
      </c>
      <c r="J4598" s="207"/>
      <c r="K4598" s="188" t="s">
        <v>10208</v>
      </c>
      <c r="L4598" s="242">
        <v>24417396</v>
      </c>
      <c r="M4598" s="243">
        <v>5215646779474</v>
      </c>
      <c r="N4598" s="171" t="s">
        <v>28</v>
      </c>
      <c r="O4598" s="67">
        <v>12579.91</v>
      </c>
      <c r="P4598" s="99"/>
      <c r="Q4598" s="230">
        <f>OfficeForms.Table[[#This Row],[ INFORMEDEPAGO ]]*0.3</f>
        <v>3773.973</v>
      </c>
      <c r="R4598" s="231">
        <f>(IF(O4598&lt;4172.98,0,MIN(O4598*0.3,O4598-4172.98)))-P4598</f>
        <v>3773.973</v>
      </c>
      <c r="T4598" s="239"/>
      <c r="U4598" s="97"/>
      <c r="V4598" s="1" t="s">
        <v>8716</v>
      </c>
      <c r="W4598" s="29">
        <v>46278</v>
      </c>
    </row>
    <row r="4599" spans="1:23">
      <c r="A4599">
        <v>3033</v>
      </c>
      <c r="B4599" s="2">
        <v>46277.725023148101</v>
      </c>
      <c r="C4599" s="2">
        <v>46277.730775463002</v>
      </c>
      <c r="D4599" s="1" t="s">
        <v>24</v>
      </c>
      <c r="E4599" s="1"/>
      <c r="F4599" s="29">
        <v>46277</v>
      </c>
      <c r="G4599" s="29">
        <v>46277</v>
      </c>
      <c r="H4599" s="1" t="s">
        <v>78</v>
      </c>
      <c r="I4599" s="175" t="s">
        <v>10209</v>
      </c>
      <c r="J4599" s="207">
        <v>24856439146</v>
      </c>
      <c r="K4599" s="188" t="s">
        <v>10210</v>
      </c>
      <c r="L4599" s="242">
        <v>24419368</v>
      </c>
      <c r="M4599" s="243">
        <v>5216624166808</v>
      </c>
      <c r="N4599" s="171" t="s">
        <v>28</v>
      </c>
      <c r="O4599" s="67">
        <f>26236.79-15600.25</f>
        <v>10636.54</v>
      </c>
      <c r="P4599" s="99"/>
      <c r="Q4599" s="230">
        <f>OfficeForms.Table[[#This Row],[ INFORMEDEPAGO ]]*0.3</f>
        <v>3190.962</v>
      </c>
      <c r="R4599" s="231">
        <f>(IF(O4599&lt;4172.98,0,MIN(O4599*0.3,O4599-4172.98)))-P4599</f>
        <v>3190.962</v>
      </c>
      <c r="T4599" s="239"/>
      <c r="U4599" s="97"/>
      <c r="V4599" s="1" t="s">
        <v>8291</v>
      </c>
      <c r="W4599" s="29">
        <v>46278</v>
      </c>
    </row>
    <row r="4600" spans="1:23">
      <c r="A4600">
        <v>3034</v>
      </c>
      <c r="B4600" s="2">
        <v>46277.724965277797</v>
      </c>
      <c r="C4600" s="2">
        <v>46277.731099536999</v>
      </c>
      <c r="D4600" s="1" t="s">
        <v>24</v>
      </c>
      <c r="E4600" s="1"/>
      <c r="F4600" s="29">
        <v>46277</v>
      </c>
      <c r="G4600" s="29">
        <v>46277</v>
      </c>
      <c r="H4600" s="1" t="s">
        <v>78</v>
      </c>
      <c r="I4600" s="175" t="s">
        <v>10211</v>
      </c>
      <c r="J4600" s="207">
        <v>49917206283</v>
      </c>
      <c r="K4600" s="188" t="s">
        <v>10212</v>
      </c>
      <c r="L4600" s="242">
        <v>24420950</v>
      </c>
      <c r="M4600" s="243">
        <v>5216566028205</v>
      </c>
      <c r="N4600" s="171" t="s">
        <v>74</v>
      </c>
      <c r="O4600" s="67"/>
      <c r="P4600" s="99"/>
      <c r="Q4600" s="230">
        <f>OfficeForms.Table[[#This Row],[ INFORMEDEPAGO ]]*0.3</f>
        <v>0</v>
      </c>
      <c r="R4600" s="231">
        <f>(IF(O4600&lt;4172.98,0,MIN(O4600*0.3,O4600-4172.98)))-P4600</f>
        <v>0</v>
      </c>
      <c r="T4600" s="239"/>
      <c r="U4600" s="97"/>
      <c r="V4600" s="1"/>
    </row>
    <row r="4601" spans="1:23">
      <c r="A4601">
        <v>3035</v>
      </c>
      <c r="B4601" s="2">
        <v>46277.458275463003</v>
      </c>
      <c r="C4601" s="2">
        <v>46277.740810185198</v>
      </c>
      <c r="D4601" s="1" t="s">
        <v>24</v>
      </c>
      <c r="E4601" s="1"/>
      <c r="F4601" s="29">
        <v>46277</v>
      </c>
      <c r="G4601" s="29">
        <v>46277</v>
      </c>
      <c r="H4601" s="1" t="s">
        <v>8381</v>
      </c>
      <c r="I4601" s="175" t="s">
        <v>10213</v>
      </c>
      <c r="J4601" s="175" t="s">
        <v>10214</v>
      </c>
      <c r="K4601" s="188" t="s">
        <v>10215</v>
      </c>
      <c r="L4601" s="242">
        <v>24417880</v>
      </c>
      <c r="M4601" s="243">
        <v>5216145326145</v>
      </c>
      <c r="N4601" s="171" t="s">
        <v>28</v>
      </c>
      <c r="O4601" s="67">
        <v>5617.63</v>
      </c>
      <c r="P4601" s="99"/>
      <c r="Q4601" s="230">
        <f>OfficeForms.Table[[#This Row],[ INFORMEDEPAGO ]]*0.3</f>
        <v>1685.289</v>
      </c>
      <c r="R4601" s="231">
        <f>(IF(O4601&lt;4172.98,0,MIN(O4601*0.3,O4601-4172.98)))-P4601</f>
        <v>1444.6500000000005</v>
      </c>
      <c r="T4601" s="239"/>
      <c r="U4601" s="97"/>
      <c r="V4601" s="1" t="s">
        <v>8436</v>
      </c>
      <c r="W4601" s="29">
        <v>46278</v>
      </c>
    </row>
    <row r="4602" spans="1:23">
      <c r="A4602">
        <v>3036</v>
      </c>
      <c r="B4602" s="2">
        <v>46277.739074074103</v>
      </c>
      <c r="C4602" s="2">
        <v>46277.742824074099</v>
      </c>
      <c r="D4602" s="1" t="s">
        <v>24</v>
      </c>
      <c r="E4602" s="1"/>
      <c r="F4602" s="29">
        <v>46277</v>
      </c>
      <c r="G4602" s="29">
        <v>46272</v>
      </c>
      <c r="H4602" s="1" t="s">
        <v>8381</v>
      </c>
      <c r="I4602" s="175" t="s">
        <v>10216</v>
      </c>
      <c r="J4602" s="207"/>
      <c r="K4602" s="188" t="s">
        <v>10217</v>
      </c>
      <c r="L4602" s="242">
        <v>24307288</v>
      </c>
      <c r="M4602" s="243">
        <v>5216221637118</v>
      </c>
      <c r="N4602" s="171" t="s">
        <v>98</v>
      </c>
      <c r="O4602" s="67"/>
      <c r="P4602" s="99"/>
      <c r="Q4602" s="230">
        <f>OfficeForms.Table[[#This Row],[ INFORMEDEPAGO ]]*0.3</f>
        <v>0</v>
      </c>
      <c r="R4602" s="231">
        <f>(IF(O4602&lt;4172.98,0,MIN(O4602*0.3,O4602-4172.98)))-P4602</f>
        <v>0</v>
      </c>
      <c r="T4602" s="239"/>
      <c r="U4602" s="97"/>
      <c r="V4602" s="1"/>
    </row>
    <row r="4603" spans="1:23">
      <c r="A4603">
        <v>3037</v>
      </c>
      <c r="B4603" s="2">
        <v>46277.740821759297</v>
      </c>
      <c r="C4603" s="2">
        <v>46277.744201388901</v>
      </c>
      <c r="D4603" s="1" t="s">
        <v>24</v>
      </c>
      <c r="E4603" s="1"/>
      <c r="F4603" s="29">
        <v>46277</v>
      </c>
      <c r="G4603" s="29">
        <v>46277</v>
      </c>
      <c r="H4603" s="1" t="s">
        <v>8381</v>
      </c>
      <c r="I4603" s="175" t="s">
        <v>10218</v>
      </c>
      <c r="J4603" s="207"/>
      <c r="K4603" s="188" t="s">
        <v>10219</v>
      </c>
      <c r="L4603" s="242">
        <v>24415530</v>
      </c>
      <c r="M4603" s="243">
        <v>5216182038904</v>
      </c>
      <c r="N4603" s="171" t="s">
        <v>37</v>
      </c>
      <c r="O4603" s="52">
        <v>25507.46</v>
      </c>
      <c r="P4603" s="52">
        <v>7638.22</v>
      </c>
      <c r="Q4603" s="230">
        <f>OfficeForms.Table[[#This Row],[ INFORMEDEPAGO ]]*0.3</f>
        <v>7652.2379999999994</v>
      </c>
      <c r="R4603" s="231">
        <f>(IF(O4603&lt;4172.98,0,MIN(O4603*0.3,O4603-4172.98)))-P4603</f>
        <v>14.01799999999912</v>
      </c>
      <c r="S4603" s="74">
        <v>46722</v>
      </c>
      <c r="T4603" s="239" t="s">
        <v>7516</v>
      </c>
      <c r="U4603" s="97">
        <v>949.52</v>
      </c>
      <c r="V4603" s="1"/>
    </row>
    <row r="4604" spans="1:23">
      <c r="A4604">
        <v>3038</v>
      </c>
      <c r="B4604" s="2">
        <v>46277.743171296301</v>
      </c>
      <c r="C4604" s="2">
        <v>46277.745833333298</v>
      </c>
      <c r="D4604" s="1" t="s">
        <v>24</v>
      </c>
      <c r="E4604" s="1"/>
      <c r="F4604" s="29">
        <v>46277</v>
      </c>
      <c r="G4604" s="29">
        <v>46277</v>
      </c>
      <c r="H4604" s="1" t="s">
        <v>8381</v>
      </c>
      <c r="I4604" s="175" t="s">
        <v>10220</v>
      </c>
      <c r="J4604" s="175" t="s">
        <v>10221</v>
      </c>
      <c r="K4604" s="188" t="s">
        <v>10222</v>
      </c>
      <c r="L4604" s="242">
        <v>24419370</v>
      </c>
      <c r="M4604" s="243">
        <v>5216629347930</v>
      </c>
      <c r="N4604" s="171" t="s">
        <v>47</v>
      </c>
      <c r="O4604" s="52">
        <v>61828.47</v>
      </c>
      <c r="P4604" s="52">
        <v>17813</v>
      </c>
      <c r="Q4604" s="230">
        <f>OfficeForms.Table[[#This Row],[ INFORMEDEPAGO ]]*0.3</f>
        <v>18548.541000000001</v>
      </c>
      <c r="R4604" s="231">
        <f>(IF(O4604&lt;4172.98,0,MIN(O4604*0.3,O4604-4172.98)))-P4604</f>
        <v>735.54100000000108</v>
      </c>
      <c r="S4604" s="74">
        <v>46661</v>
      </c>
      <c r="T4604" s="239" t="s">
        <v>8338</v>
      </c>
      <c r="U4604" s="52">
        <v>17813</v>
      </c>
      <c r="V4604" s="1" t="s">
        <v>8233</v>
      </c>
      <c r="W4604" s="29">
        <v>46278</v>
      </c>
    </row>
    <row r="4605" spans="1:23">
      <c r="A4605">
        <v>3039</v>
      </c>
      <c r="B4605" s="2">
        <v>46277.744236111103</v>
      </c>
      <c r="C4605" s="2">
        <v>46277.748437499999</v>
      </c>
      <c r="D4605" s="1" t="s">
        <v>24</v>
      </c>
      <c r="E4605" s="1"/>
      <c r="F4605" s="29">
        <v>46277</v>
      </c>
      <c r="G4605" s="29">
        <v>46276</v>
      </c>
      <c r="H4605" s="1" t="s">
        <v>8381</v>
      </c>
      <c r="I4605" s="175" t="s">
        <v>10223</v>
      </c>
      <c r="J4605" s="175" t="s">
        <v>10224</v>
      </c>
      <c r="K4605" s="188" t="s">
        <v>10225</v>
      </c>
      <c r="L4605" s="242">
        <v>24408254</v>
      </c>
      <c r="M4605" s="243">
        <v>5214775276016</v>
      </c>
      <c r="N4605" s="171" t="s">
        <v>37</v>
      </c>
      <c r="O4605" s="43">
        <v>9081.52</v>
      </c>
      <c r="P4605" s="43">
        <v>2558.7199999999998</v>
      </c>
      <c r="Q4605" s="230">
        <f>OfficeForms.Table[[#This Row],[ INFORMEDEPAGO ]]*0.3</f>
        <v>2724.4560000000001</v>
      </c>
      <c r="R4605" s="231">
        <f>(IF(O4605&lt;4172.98,0,MIN(O4605*0.3,O4605-4172.98)))-P4605</f>
        <v>165.73600000000033</v>
      </c>
      <c r="S4605" s="74">
        <v>46600</v>
      </c>
      <c r="T4605" s="239" t="s">
        <v>8319</v>
      </c>
      <c r="U4605" s="43">
        <v>2558.7199999999998</v>
      </c>
      <c r="V4605" s="1"/>
    </row>
    <row r="4606" spans="1:23">
      <c r="A4606">
        <v>3040</v>
      </c>
      <c r="B4606" s="2">
        <v>46277.836932870399</v>
      </c>
      <c r="C4606" s="2">
        <v>46277.839236111096</v>
      </c>
      <c r="D4606" s="1" t="s">
        <v>24</v>
      </c>
      <c r="E4606" s="1"/>
      <c r="F4606" s="29">
        <v>46277</v>
      </c>
      <c r="G4606" s="29">
        <v>46272</v>
      </c>
      <c r="H4606" s="1" t="s">
        <v>78</v>
      </c>
      <c r="I4606" s="175" t="s">
        <v>10226</v>
      </c>
      <c r="J4606" s="175" t="s">
        <v>10227</v>
      </c>
      <c r="K4606" s="188" t="s">
        <v>10228</v>
      </c>
      <c r="L4606" s="242">
        <v>24306882</v>
      </c>
      <c r="M4606" s="243">
        <v>5214661879736</v>
      </c>
      <c r="N4606" s="171" t="s">
        <v>37</v>
      </c>
      <c r="O4606" s="43">
        <v>8554.24</v>
      </c>
      <c r="P4606" s="43">
        <v>2473</v>
      </c>
      <c r="Q4606" s="230">
        <f>OfficeForms.Table[[#This Row],[ INFORMEDEPAGO ]]*0.3</f>
        <v>2566.2719999999999</v>
      </c>
      <c r="R4606" s="231">
        <f>(IF(O4606&lt;4172.98,0,MIN(O4606*0.3,O4606-4172.98)))-P4606</f>
        <v>93.271999999999935</v>
      </c>
      <c r="S4606" s="74">
        <v>46419</v>
      </c>
      <c r="T4606" s="239" t="s">
        <v>7209</v>
      </c>
      <c r="U4606" s="43">
        <v>2473</v>
      </c>
      <c r="V4606" s="1"/>
    </row>
    <row r="4607" spans="1:23">
      <c r="A4607">
        <v>3041</v>
      </c>
      <c r="B4607" s="2">
        <v>46277.839293981502</v>
      </c>
      <c r="C4607" s="2">
        <v>46277.839745370402</v>
      </c>
      <c r="D4607" s="1" t="s">
        <v>24</v>
      </c>
      <c r="E4607" s="1"/>
      <c r="F4607" s="29">
        <v>46277</v>
      </c>
      <c r="G4607" s="29">
        <v>46277</v>
      </c>
      <c r="H4607" s="1" t="s">
        <v>269</v>
      </c>
      <c r="I4607" s="175" t="s">
        <v>10229</v>
      </c>
      <c r="J4607" s="175" t="s">
        <v>10230</v>
      </c>
      <c r="K4607" s="188" t="s">
        <v>10231</v>
      </c>
      <c r="L4607" s="242">
        <v>24414092</v>
      </c>
      <c r="M4607" s="243">
        <v>5216444629186</v>
      </c>
      <c r="N4607" s="171" t="s">
        <v>47</v>
      </c>
      <c r="O4607" s="52">
        <v>6277.93</v>
      </c>
      <c r="P4607" s="52">
        <v>1035.3</v>
      </c>
      <c r="Q4607" s="230">
        <f>OfficeForms.Table[[#This Row],[ INFORMEDEPAGO ]]*0.3</f>
        <v>1883.3789999999999</v>
      </c>
      <c r="R4607" s="231">
        <f>(IF(O4607&lt;4172.98,0,MIN(O4607*0.3,O4607-4172.98)))-P4607</f>
        <v>848.07899999999995</v>
      </c>
      <c r="S4607" s="74">
        <v>46813</v>
      </c>
      <c r="T4607" s="239" t="s">
        <v>7209</v>
      </c>
      <c r="U4607" s="52">
        <v>1035.3</v>
      </c>
      <c r="V4607" s="1" t="s">
        <v>8233</v>
      </c>
      <c r="W4607" s="29">
        <v>46278</v>
      </c>
    </row>
    <row r="4608" spans="1:23">
      <c r="A4608">
        <v>3042</v>
      </c>
      <c r="B4608" s="2">
        <v>46278.368078703701</v>
      </c>
      <c r="C4608" s="2">
        <v>46278.4132523148</v>
      </c>
      <c r="D4608" s="1" t="s">
        <v>24</v>
      </c>
      <c r="E4608" s="1"/>
      <c r="F4608" s="29">
        <v>46278</v>
      </c>
      <c r="G4608" s="29">
        <v>46277</v>
      </c>
      <c r="H4608" s="1" t="s">
        <v>9986</v>
      </c>
      <c r="I4608" s="175" t="s">
        <v>10232</v>
      </c>
      <c r="J4608" s="207" t="s">
        <v>10233</v>
      </c>
      <c r="K4608" s="188" t="s">
        <v>10234</v>
      </c>
      <c r="L4608" s="242">
        <v>24423950</v>
      </c>
      <c r="M4608" s="243">
        <v>5533053616</v>
      </c>
      <c r="N4608" s="171" t="s">
        <v>37</v>
      </c>
      <c r="O4608" s="67">
        <f>6937.48+2822.84</f>
        <v>9760.32</v>
      </c>
      <c r="P4608" s="99">
        <v>2822.84</v>
      </c>
      <c r="Q4608" s="230">
        <f>OfficeForms.Table[[#This Row],[ INFORMEDEPAGO ]]*0.3</f>
        <v>2928.096</v>
      </c>
      <c r="R4608" s="231">
        <f>(IF(O4608&lt;4172.98,0,MIN(O4608*0.3,O4608-4172.98)))-P4608</f>
        <v>105.25599999999986</v>
      </c>
      <c r="S4608" s="74">
        <v>46539</v>
      </c>
      <c r="T4608" s="239" t="s">
        <v>7209</v>
      </c>
      <c r="U4608" s="97">
        <v>2822.84</v>
      </c>
      <c r="V4608" s="1"/>
    </row>
    <row r="4609" spans="1:23">
      <c r="A4609">
        <v>3043</v>
      </c>
      <c r="B4609" s="2">
        <v>46278.4139236111</v>
      </c>
      <c r="C4609" s="2">
        <v>46278.427326388897</v>
      </c>
      <c r="D4609" s="1" t="s">
        <v>24</v>
      </c>
      <c r="E4609" s="1"/>
      <c r="F4609" s="29">
        <v>46278</v>
      </c>
      <c r="G4609" s="29">
        <v>46278</v>
      </c>
      <c r="H4609" s="1" t="s">
        <v>9960</v>
      </c>
      <c r="I4609" s="175" t="s">
        <v>10235</v>
      </c>
      <c r="J4609" s="207" t="s">
        <v>10236</v>
      </c>
      <c r="K4609" s="188"/>
      <c r="L4609" s="242">
        <v>24426410</v>
      </c>
      <c r="M4609" s="243">
        <v>5562074482</v>
      </c>
      <c r="N4609" s="171" t="s">
        <v>98</v>
      </c>
      <c r="O4609" s="67"/>
      <c r="P4609" s="99"/>
      <c r="Q4609" s="230">
        <f>OfficeForms.Table[[#This Row],[ INFORMEDEPAGO ]]*0.3</f>
        <v>0</v>
      </c>
      <c r="R4609" s="231">
        <f>(IF(O4609&lt;4172.98,0,MIN(O4609*0.3,O4609-4172.98)))-P4609</f>
        <v>0</v>
      </c>
      <c r="T4609" s="239"/>
      <c r="U4609" s="97"/>
      <c r="V4609" s="1"/>
    </row>
    <row r="4610" spans="1:23">
      <c r="A4610">
        <v>3044</v>
      </c>
      <c r="B4610" s="2">
        <v>46278.430879629603</v>
      </c>
      <c r="C4610" s="2">
        <v>46278.433842592603</v>
      </c>
      <c r="D4610" s="1" t="s">
        <v>24</v>
      </c>
      <c r="E4610" s="1"/>
      <c r="F4610" s="29">
        <v>46278</v>
      </c>
      <c r="G4610" s="29">
        <v>46277</v>
      </c>
      <c r="H4610" s="1" t="s">
        <v>9960</v>
      </c>
      <c r="I4610" s="175" t="s">
        <v>10237</v>
      </c>
      <c r="J4610" s="207"/>
      <c r="K4610" s="188" t="s">
        <v>10238</v>
      </c>
      <c r="L4610" s="242">
        <v>24422146</v>
      </c>
      <c r="M4610" s="243">
        <v>2215350615</v>
      </c>
      <c r="N4610" s="171" t="s">
        <v>28</v>
      </c>
      <c r="O4610" s="67">
        <v>62108.17</v>
      </c>
      <c r="P4610" s="99"/>
      <c r="Q4610" s="230">
        <f>OfficeForms.Table[[#This Row],[ INFORMEDEPAGO ]]*0.3</f>
        <v>18632.450999999997</v>
      </c>
      <c r="R4610" s="231">
        <f>(IF(O4610&lt;4172.98,0,MIN(O4610*0.3,O4610-4172.98)))-P4610</f>
        <v>18632.450999999997</v>
      </c>
      <c r="T4610" s="239"/>
      <c r="U4610" s="97"/>
      <c r="V4610" s="1" t="s">
        <v>8409</v>
      </c>
      <c r="W4610" s="29">
        <v>46278</v>
      </c>
    </row>
    <row r="4611" spans="1:23">
      <c r="A4611">
        <v>3045</v>
      </c>
      <c r="B4611" s="2">
        <v>46276.405787037002</v>
      </c>
      <c r="C4611" s="2">
        <v>46278.462835648097</v>
      </c>
      <c r="D4611" s="1" t="s">
        <v>24</v>
      </c>
      <c r="E4611" s="1"/>
      <c r="F4611" s="29">
        <v>46278</v>
      </c>
      <c r="G4611" s="29">
        <v>46278</v>
      </c>
      <c r="H4611" s="1" t="s">
        <v>9991</v>
      </c>
      <c r="I4611" s="175" t="s">
        <v>10239</v>
      </c>
      <c r="J4611" s="207">
        <v>4856893799</v>
      </c>
      <c r="K4611" s="188" t="s">
        <v>10240</v>
      </c>
      <c r="L4611" s="242">
        <v>24426192</v>
      </c>
      <c r="M4611" s="243">
        <v>3323478130</v>
      </c>
      <c r="N4611" s="171" t="s">
        <v>32</v>
      </c>
      <c r="O4611" s="67">
        <v>4090.78</v>
      </c>
      <c r="P4611" s="99"/>
      <c r="Q4611" s="230">
        <f>OfficeForms.Table[[#This Row],[ INFORMEDEPAGO ]]*0.3</f>
        <v>1227.2339999999999</v>
      </c>
      <c r="R4611" s="231">
        <f>(IF(O4611&lt;4172.98,0,MIN(O4611*0.3,O4611-4172.98)))-P4611</f>
        <v>0</v>
      </c>
      <c r="T4611" s="239"/>
      <c r="U4611" s="97"/>
      <c r="V4611" s="1"/>
    </row>
    <row r="4612" spans="1:23">
      <c r="A4612">
        <v>3046</v>
      </c>
      <c r="B4612" s="2">
        <v>46278.476412037002</v>
      </c>
      <c r="C4612" s="2">
        <v>46278.478333333303</v>
      </c>
      <c r="D4612" s="1" t="s">
        <v>24</v>
      </c>
      <c r="E4612" s="1"/>
      <c r="F4612" s="29">
        <v>46278</v>
      </c>
      <c r="G4612" s="29">
        <v>46278</v>
      </c>
      <c r="H4612" s="1" t="s">
        <v>9991</v>
      </c>
      <c r="I4612" s="175" t="s">
        <v>10241</v>
      </c>
      <c r="J4612" s="207">
        <v>43786012047</v>
      </c>
      <c r="K4612" s="188"/>
      <c r="L4612" s="242">
        <v>24427512</v>
      </c>
      <c r="M4612" s="243">
        <v>8122894328</v>
      </c>
      <c r="N4612" s="171" t="s">
        <v>37</v>
      </c>
      <c r="O4612" s="67">
        <f>5547.28+2373.23</f>
        <v>7920.51</v>
      </c>
      <c r="P4612" s="99">
        <v>2373.23</v>
      </c>
      <c r="Q4612" s="230">
        <f>OfficeForms.Table[[#This Row],[ INFORMEDEPAGO ]]*0.3</f>
        <v>2376.1529999999998</v>
      </c>
      <c r="R4612" s="231">
        <f>(IF(O4612&lt;4172.98,0,MIN(O4612*0.3,O4612-4172.98)))-P4612</f>
        <v>2.9229999999997744</v>
      </c>
      <c r="S4612" s="74">
        <v>46113</v>
      </c>
      <c r="T4612" s="239" t="s">
        <v>8398</v>
      </c>
      <c r="U4612" s="97">
        <v>2373.23</v>
      </c>
      <c r="V4612" s="1"/>
    </row>
    <row r="4613" spans="1:23">
      <c r="A4613">
        <v>3047</v>
      </c>
      <c r="B4613" s="2">
        <v>46278.512094907397</v>
      </c>
      <c r="C4613" s="2">
        <v>46278.513321759303</v>
      </c>
      <c r="D4613" s="1" t="s">
        <v>24</v>
      </c>
      <c r="E4613" s="1"/>
      <c r="F4613" s="29">
        <v>46278</v>
      </c>
      <c r="G4613" s="29">
        <v>46270</v>
      </c>
      <c r="H4613" s="1" t="s">
        <v>8238</v>
      </c>
      <c r="I4613" s="175" t="s">
        <v>10242</v>
      </c>
      <c r="J4613" s="207"/>
      <c r="K4613" s="188" t="s">
        <v>10243</v>
      </c>
      <c r="L4613" s="242">
        <v>24274678</v>
      </c>
      <c r="M4613" s="243">
        <v>7702095111</v>
      </c>
      <c r="N4613" s="171" t="s">
        <v>28</v>
      </c>
      <c r="O4613" s="67">
        <v>5617.63</v>
      </c>
      <c r="P4613" s="99"/>
      <c r="Q4613" s="230">
        <f>OfficeForms.Table[[#This Row],[ INFORMEDEPAGO ]]*0.3</f>
        <v>1685.289</v>
      </c>
      <c r="R4613" s="231">
        <f t="shared" ref="R4613:R4615" si="372">(IF(O4613&lt;4172.98,0,MIN(O4613*0.3,O4613-4172.98)))-P4613</f>
        <v>1444.6500000000005</v>
      </c>
      <c r="T4613" s="239"/>
      <c r="U4613" s="97"/>
      <c r="V4613" s="1" t="s">
        <v>8436</v>
      </c>
      <c r="W4613" s="29">
        <v>46278</v>
      </c>
    </row>
    <row r="4614" spans="1:23">
      <c r="A4614">
        <v>3048</v>
      </c>
      <c r="B4614" s="2">
        <v>46278.438946759299</v>
      </c>
      <c r="C4614" s="2">
        <v>46278.554375</v>
      </c>
      <c r="D4614" s="1" t="s">
        <v>24</v>
      </c>
      <c r="E4614" s="1"/>
      <c r="F4614" s="29">
        <v>46278</v>
      </c>
      <c r="G4614" s="29">
        <v>46277</v>
      </c>
      <c r="H4614" s="1" t="s">
        <v>9960</v>
      </c>
      <c r="I4614" s="175" t="s">
        <v>10244</v>
      </c>
      <c r="J4614" s="207" t="s">
        <v>10245</v>
      </c>
      <c r="K4614" s="188"/>
      <c r="L4614" s="242">
        <v>24423334</v>
      </c>
      <c r="M4614" s="243">
        <v>4612278373</v>
      </c>
      <c r="N4614" s="171" t="s">
        <v>98</v>
      </c>
      <c r="O4614" s="50"/>
      <c r="P4614" s="97"/>
      <c r="Q4614" s="230">
        <f>OfficeForms.Table[[#This Row],[ INFORMEDEPAGO ]]*0.3</f>
        <v>0</v>
      </c>
      <c r="R4614" s="231">
        <f t="shared" si="372"/>
        <v>0</v>
      </c>
      <c r="T4614" s="239"/>
      <c r="U4614" s="97"/>
      <c r="V4614" s="1"/>
    </row>
    <row r="4615" spans="1:23">
      <c r="A4615">
        <v>3049</v>
      </c>
      <c r="B4615" s="2">
        <v>46278.559131944399</v>
      </c>
      <c r="C4615" s="2">
        <v>46278.5616435185</v>
      </c>
      <c r="D4615" s="1" t="s">
        <v>24</v>
      </c>
      <c r="E4615" s="1"/>
      <c r="F4615" s="29">
        <v>46278</v>
      </c>
      <c r="G4615" s="29">
        <v>46277</v>
      </c>
      <c r="H4615" s="1" t="s">
        <v>9960</v>
      </c>
      <c r="I4615" s="175" t="s">
        <v>10246</v>
      </c>
      <c r="J4615" s="207"/>
      <c r="K4615" s="188" t="s">
        <v>10247</v>
      </c>
      <c r="L4615" s="242">
        <v>24422408</v>
      </c>
      <c r="M4615" s="243">
        <v>4422304825</v>
      </c>
      <c r="N4615" s="171" t="s">
        <v>28</v>
      </c>
      <c r="O4615" s="52">
        <v>26510.63</v>
      </c>
      <c r="P4615" s="52">
        <v>6329.93</v>
      </c>
      <c r="Q4615" s="230">
        <f>OfficeForms.Table[[#This Row],[ INFORMEDEPAGO ]]*0.3</f>
        <v>7953.1890000000003</v>
      </c>
      <c r="R4615" s="231">
        <f t="shared" si="372"/>
        <v>1623.259</v>
      </c>
      <c r="S4615" s="74">
        <v>46753</v>
      </c>
      <c r="T4615" s="239" t="s">
        <v>8338</v>
      </c>
      <c r="U4615" s="97">
        <v>3029.97</v>
      </c>
      <c r="V4615" s="1" t="s">
        <v>8960</v>
      </c>
      <c r="W4615" s="29">
        <v>46278</v>
      </c>
    </row>
    <row r="4616" spans="1:23">
      <c r="A4616">
        <v>3050</v>
      </c>
      <c r="B4616" s="2">
        <v>46278.339270833298</v>
      </c>
      <c r="C4616" s="2">
        <v>46278.581122685202</v>
      </c>
      <c r="D4616" s="1" t="s">
        <v>24</v>
      </c>
      <c r="E4616" s="1"/>
      <c r="F4616" s="29">
        <v>46278</v>
      </c>
      <c r="G4616" s="29">
        <v>46278</v>
      </c>
      <c r="H4616" s="1" t="s">
        <v>10043</v>
      </c>
      <c r="I4616" s="175" t="s">
        <v>10248</v>
      </c>
      <c r="J4616" s="207"/>
      <c r="K4616" s="188" t="s">
        <v>10249</v>
      </c>
      <c r="L4616" s="242">
        <v>24428750</v>
      </c>
      <c r="M4616" s="243">
        <v>6251261543</v>
      </c>
      <c r="N4616" s="171" t="s">
        <v>37</v>
      </c>
      <c r="O4616" s="50">
        <f>6857.61+2902.71</f>
        <v>9760.32</v>
      </c>
      <c r="P4616" s="97">
        <v>2902.71</v>
      </c>
      <c r="Q4616" s="230">
        <f>OfficeForms.Table[[#This Row],[ INFORMEDEPAGO ]]*0.3</f>
        <v>2928.096</v>
      </c>
      <c r="R4616" s="231">
        <f t="shared" ref="R4616:R4618" si="373">(IF(O4616&lt;4172.98,0,MIN(O4616*0.3,O4616-4172.98)))-P4616</f>
        <v>25.385999999999967</v>
      </c>
      <c r="S4616" s="74">
        <v>46935</v>
      </c>
      <c r="T4616" s="239" t="s">
        <v>7516</v>
      </c>
      <c r="U4616" s="97">
        <v>2902.71</v>
      </c>
      <c r="V4616" s="1"/>
    </row>
    <row r="4617" spans="1:23">
      <c r="A4617">
        <v>3051</v>
      </c>
      <c r="B4617" s="2">
        <v>46278.615196759303</v>
      </c>
      <c r="C4617" s="2">
        <v>46278.616597222201</v>
      </c>
      <c r="D4617" s="1" t="s">
        <v>24</v>
      </c>
      <c r="E4617" s="1"/>
      <c r="F4617" s="29">
        <v>46278</v>
      </c>
      <c r="G4617" s="29">
        <v>46277</v>
      </c>
      <c r="H4617" s="1" t="s">
        <v>10043</v>
      </c>
      <c r="I4617" s="208" t="s">
        <v>10250</v>
      </c>
      <c r="J4617" s="175"/>
      <c r="K4617" s="188" t="s">
        <v>10251</v>
      </c>
      <c r="L4617" s="242">
        <v>24424018</v>
      </c>
      <c r="M4617" s="243">
        <v>9211235157</v>
      </c>
      <c r="N4617" s="171" t="s">
        <v>28</v>
      </c>
      <c r="O4617" s="50">
        <v>19664.919999999998</v>
      </c>
      <c r="P4617" s="97"/>
      <c r="Q4617" s="230">
        <f>OfficeForms.Table[[#This Row],[ INFORMEDEPAGO ]]*0.3</f>
        <v>5899.4759999999997</v>
      </c>
      <c r="R4617" s="231">
        <f t="shared" si="373"/>
        <v>5899.4759999999997</v>
      </c>
      <c r="T4617" s="239"/>
      <c r="U4617" s="97"/>
      <c r="V4617" s="1" t="s">
        <v>9777</v>
      </c>
      <c r="W4617" s="29">
        <v>46279</v>
      </c>
    </row>
    <row r="4618" spans="1:23">
      <c r="A4618">
        <v>3052</v>
      </c>
      <c r="B4618" s="2">
        <v>46278.6245949074</v>
      </c>
      <c r="C4618" s="2">
        <v>46278.625833333303</v>
      </c>
      <c r="D4618" s="1" t="s">
        <v>24</v>
      </c>
      <c r="E4618" s="1"/>
      <c r="F4618" s="29">
        <v>46278</v>
      </c>
      <c r="G4618" s="29">
        <v>46278</v>
      </c>
      <c r="H4618" s="1" t="s">
        <v>10043</v>
      </c>
      <c r="I4618" s="208" t="s">
        <v>10252</v>
      </c>
      <c r="J4618" s="175"/>
      <c r="K4618" s="188" t="s">
        <v>10253</v>
      </c>
      <c r="L4618" s="242">
        <v>24429568</v>
      </c>
      <c r="M4618" s="243">
        <v>9241362108</v>
      </c>
      <c r="N4618" s="171" t="s">
        <v>32</v>
      </c>
      <c r="O4618" s="50">
        <f>3351.87+848</f>
        <v>4199.87</v>
      </c>
      <c r="P4618" s="97"/>
      <c r="Q4618" s="230">
        <f>OfficeForms.Table[[#This Row],[ INFORMEDEPAGO ]]*0.3</f>
        <v>1259.961</v>
      </c>
      <c r="R4618" s="231">
        <f t="shared" si="373"/>
        <v>26.890000000000327</v>
      </c>
      <c r="T4618" s="239"/>
      <c r="U4618" s="97"/>
      <c r="V4618" s="1"/>
    </row>
    <row r="4619" spans="1:23">
      <c r="A4619">
        <v>3053</v>
      </c>
      <c r="B4619" s="2">
        <v>46278.628043981502</v>
      </c>
      <c r="C4619" s="2">
        <v>46278.629502314798</v>
      </c>
      <c r="D4619" s="1" t="s">
        <v>24</v>
      </c>
      <c r="E4619" s="1"/>
      <c r="F4619" s="29">
        <v>46278</v>
      </c>
      <c r="G4619" s="29">
        <v>46278</v>
      </c>
      <c r="H4619" s="1" t="s">
        <v>9991</v>
      </c>
      <c r="I4619" s="175" t="s">
        <v>10254</v>
      </c>
      <c r="J4619" s="248" t="s">
        <v>10255</v>
      </c>
      <c r="K4619" s="249" t="s">
        <v>10256</v>
      </c>
      <c r="L4619" s="246">
        <v>24429180</v>
      </c>
      <c r="M4619" s="243">
        <v>8448709309</v>
      </c>
      <c r="N4619" s="171" t="s">
        <v>37</v>
      </c>
      <c r="O4619" s="50">
        <f>6854.58+2905.74</f>
        <v>9760.32</v>
      </c>
      <c r="P4619" s="97">
        <f>2905.74</f>
        <v>2905.74</v>
      </c>
      <c r="Q4619" s="230">
        <f>OfficeForms.Table[[#This Row],[ INFORMEDEPAGO ]]*0.3</f>
        <v>2928.096</v>
      </c>
      <c r="R4619" s="231">
        <f t="shared" ref="R4619:R4620" si="374">(IF(O4619&lt;4172.98,0,MIN(O4619*0.3,O4619-4172.98)))-P4619</f>
        <v>22.356000000000222</v>
      </c>
      <c r="S4619" s="74">
        <v>46844</v>
      </c>
      <c r="T4619" s="239" t="s">
        <v>10257</v>
      </c>
      <c r="U4619" s="97">
        <v>2905.74</v>
      </c>
      <c r="V4619" s="1"/>
    </row>
    <row r="4620" spans="1:23">
      <c r="A4620">
        <v>3055</v>
      </c>
      <c r="B4620" s="2">
        <v>46278.6876388889</v>
      </c>
      <c r="C4620" s="2">
        <v>46278.6894791667</v>
      </c>
      <c r="D4620" s="1" t="s">
        <v>24</v>
      </c>
      <c r="E4620" s="1"/>
      <c r="F4620" s="29">
        <v>46278</v>
      </c>
      <c r="G4620" s="29">
        <v>46278</v>
      </c>
      <c r="H4620" s="1" t="s">
        <v>9991</v>
      </c>
      <c r="I4620" s="175"/>
      <c r="J4620" s="248" t="s">
        <v>10258</v>
      </c>
      <c r="K4620" s="249"/>
      <c r="L4620" s="246">
        <v>24429892</v>
      </c>
      <c r="M4620" s="243">
        <v>9381920136</v>
      </c>
      <c r="N4620" s="171" t="s">
        <v>235</v>
      </c>
      <c r="O4620" s="50"/>
      <c r="P4620" s="97"/>
      <c r="Q4620" s="230">
        <f>OfficeForms.Table[[#This Row],[ INFORMEDEPAGO ]]*0.3</f>
        <v>0</v>
      </c>
      <c r="R4620" s="231">
        <f t="shared" si="374"/>
        <v>0</v>
      </c>
      <c r="T4620" s="239"/>
      <c r="U4620" s="97"/>
      <c r="V4620" s="1"/>
    </row>
    <row r="4621" spans="1:23">
      <c r="A4621">
        <v>3056</v>
      </c>
      <c r="B4621" s="2">
        <v>46278.613981481503</v>
      </c>
      <c r="C4621" s="2">
        <v>46278.689583333296</v>
      </c>
      <c r="D4621" s="1" t="s">
        <v>24</v>
      </c>
      <c r="E4621" s="1"/>
      <c r="F4621" s="29">
        <v>46278</v>
      </c>
      <c r="G4621" s="29">
        <v>46278</v>
      </c>
      <c r="H4621" s="1" t="s">
        <v>9960</v>
      </c>
      <c r="I4621" s="175" t="s">
        <v>10259</v>
      </c>
      <c r="J4621" s="207"/>
      <c r="K4621" s="188" t="s">
        <v>10260</v>
      </c>
      <c r="L4621" s="242">
        <v>24428180</v>
      </c>
      <c r="M4621" s="243">
        <v>4252048615</v>
      </c>
      <c r="N4621" s="171" t="s">
        <v>28</v>
      </c>
      <c r="O4621" s="50">
        <v>9760.32</v>
      </c>
      <c r="P4621" s="97"/>
      <c r="Q4621" s="230">
        <f>OfficeForms.Table[[#This Row],[ INFORMEDEPAGO ]]*0.3</f>
        <v>2928.096</v>
      </c>
      <c r="R4621" s="231">
        <f t="shared" ref="R4621" si="375">(IF(O4621&lt;4172.98,0,MIN(O4621*0.3,O4621-4172.98)))-P4621</f>
        <v>2928.096</v>
      </c>
      <c r="T4621" s="239"/>
      <c r="U4621" s="97"/>
      <c r="V4621" s="1" t="s">
        <v>8960</v>
      </c>
      <c r="W4621" s="29">
        <v>46279</v>
      </c>
    </row>
    <row r="4622" spans="1:23">
      <c r="A4622">
        <v>3057</v>
      </c>
      <c r="B4622" s="2">
        <v>46278.697280092601</v>
      </c>
      <c r="C4622" s="2">
        <v>46278.6980555556</v>
      </c>
      <c r="D4622" s="1" t="s">
        <v>24</v>
      </c>
      <c r="E4622" s="1"/>
      <c r="F4622" s="29">
        <v>46278</v>
      </c>
      <c r="G4622" s="29">
        <v>46278</v>
      </c>
      <c r="H4622" s="1" t="s">
        <v>9991</v>
      </c>
      <c r="I4622" s="175" t="s">
        <v>10261</v>
      </c>
      <c r="J4622" s="244">
        <v>83775702059</v>
      </c>
      <c r="K4622" s="188" t="s">
        <v>10262</v>
      </c>
      <c r="L4622" s="242">
        <v>24430460</v>
      </c>
      <c r="M4622" s="243">
        <v>9931477205</v>
      </c>
      <c r="N4622" s="171" t="s">
        <v>37</v>
      </c>
      <c r="O4622" s="43">
        <v>5055.87</v>
      </c>
      <c r="P4622" s="43">
        <v>1292.92</v>
      </c>
      <c r="Q4622" s="230">
        <f>OfficeForms.Table[[#This Row],[ INFORMEDEPAGO ]]*0.3</f>
        <v>1516.761</v>
      </c>
      <c r="R4622" s="231">
        <f>(IF(O4622&lt;4172.98,0,MIN(O4622*0.3,O4622-4172.98)))-P4622</f>
        <v>-410.02999999999975</v>
      </c>
      <c r="S4622" s="74">
        <v>46296</v>
      </c>
      <c r="T4622" s="239" t="s">
        <v>192</v>
      </c>
      <c r="U4622" s="43">
        <v>1292.92</v>
      </c>
      <c r="V4622" s="1"/>
    </row>
    <row r="4623" spans="1:23">
      <c r="A4623">
        <v>3058</v>
      </c>
      <c r="B4623" s="2">
        <v>46279.356724537</v>
      </c>
      <c r="C4623" s="2">
        <v>46279.3582523148</v>
      </c>
      <c r="D4623" s="1" t="s">
        <v>24</v>
      </c>
      <c r="E4623" s="1"/>
      <c r="F4623" s="29">
        <v>46279</v>
      </c>
      <c r="G4623" s="29">
        <v>46279</v>
      </c>
      <c r="H4623" s="1" t="s">
        <v>1625</v>
      </c>
      <c r="I4623" s="175" t="s">
        <v>10263</v>
      </c>
      <c r="J4623" s="207">
        <v>15896211156</v>
      </c>
      <c r="K4623" s="188" t="s">
        <v>10264</v>
      </c>
      <c r="L4623" s="242">
        <v>2</v>
      </c>
      <c r="M4623" s="243" t="s">
        <v>10265</v>
      </c>
      <c r="N4623" s="171" t="s">
        <v>37</v>
      </c>
      <c r="O4623" s="43">
        <v>8649.98</v>
      </c>
      <c r="P4623" s="43">
        <v>2594.64</v>
      </c>
      <c r="Q4623" s="230">
        <f>OfficeForms.Table[[#This Row],[ INFORMEDEPAGO ]]*0.3</f>
        <v>2594.9939999999997</v>
      </c>
      <c r="R4623" s="231">
        <f>(IF(O4623&lt;4172.98,0,MIN(O4623*0.3,O4623-4172.98)))-P4623</f>
        <v>0.35399999999981446</v>
      </c>
      <c r="S4623" s="74">
        <v>46447</v>
      </c>
      <c r="T4623" s="239" t="s">
        <v>10266</v>
      </c>
      <c r="U4623" s="97">
        <f>289.93+100.82</f>
        <v>390.75</v>
      </c>
      <c r="V4623" s="1"/>
    </row>
    <row r="4624" spans="1:23">
      <c r="A4624">
        <v>3059</v>
      </c>
      <c r="B4624" s="2">
        <v>46279.358287037001</v>
      </c>
      <c r="C4624" s="2">
        <v>46279.361192129603</v>
      </c>
      <c r="D4624" s="1" t="s">
        <v>24</v>
      </c>
      <c r="E4624" s="1"/>
      <c r="F4624" s="29">
        <v>46279</v>
      </c>
      <c r="G4624" s="29">
        <v>46279</v>
      </c>
      <c r="H4624" s="1" t="s">
        <v>1625</v>
      </c>
      <c r="I4624" s="175" t="s">
        <v>10267</v>
      </c>
      <c r="J4624" s="207" t="s">
        <v>10268</v>
      </c>
      <c r="K4624" s="188" t="s">
        <v>10269</v>
      </c>
      <c r="L4624" s="242">
        <v>2</v>
      </c>
      <c r="M4624" s="243" t="s">
        <v>10270</v>
      </c>
      <c r="N4624" s="171" t="s">
        <v>32</v>
      </c>
      <c r="O4624" s="50">
        <v>3779.88</v>
      </c>
      <c r="P4624" s="97"/>
      <c r="Q4624" s="230">
        <f>OfficeForms.Table[[#This Row],[ INFORMEDEPAGO ]]*0.3</f>
        <v>1133.9639999999999</v>
      </c>
      <c r="R4624" s="231">
        <f>(IF(O4624&lt;4172.98,0,MIN(O4624*0.3,O4624-4172.98)))-P4624</f>
        <v>0</v>
      </c>
      <c r="T4624" s="239"/>
      <c r="U4624" s="97"/>
      <c r="V4624" s="1"/>
    </row>
    <row r="4625" spans="1:23">
      <c r="A4625">
        <v>3060</v>
      </c>
      <c r="B4625" s="2">
        <v>46279.361226851797</v>
      </c>
      <c r="C4625" s="2">
        <v>46279.364675925899</v>
      </c>
      <c r="D4625" s="1" t="s">
        <v>24</v>
      </c>
      <c r="E4625" s="1"/>
      <c r="F4625" s="29">
        <v>46279</v>
      </c>
      <c r="G4625" s="29">
        <v>46279</v>
      </c>
      <c r="H4625" s="1" t="s">
        <v>1625</v>
      </c>
      <c r="I4625" s="175" t="s">
        <v>10271</v>
      </c>
      <c r="J4625" s="207">
        <v>19855700944</v>
      </c>
      <c r="K4625" s="188" t="s">
        <v>10272</v>
      </c>
      <c r="L4625" s="242">
        <v>2</v>
      </c>
      <c r="M4625" s="243" t="s">
        <v>10273</v>
      </c>
      <c r="N4625" s="171" t="s">
        <v>37</v>
      </c>
      <c r="O4625" s="43">
        <v>11677.34</v>
      </c>
      <c r="P4625" s="43">
        <v>3500.71</v>
      </c>
      <c r="Q4625" s="230">
        <f>OfficeForms.Table[[#This Row],[ INFORMEDEPAGO ]]*0.3</f>
        <v>3503.2019999999998</v>
      </c>
      <c r="R4625" s="231">
        <f>(IF(O4625&lt;4172.98,0,MIN(O4625*0.3,O4625-4172.98)))-P4625</f>
        <v>2.4919999999997344</v>
      </c>
      <c r="S4625" s="74">
        <v>46569</v>
      </c>
      <c r="T4625" s="239" t="s">
        <v>84</v>
      </c>
      <c r="U4625" s="97">
        <v>3220.71</v>
      </c>
      <c r="V4625" s="1"/>
    </row>
    <row r="4626" spans="1:23">
      <c r="A4626">
        <v>3061</v>
      </c>
      <c r="B4626" s="2">
        <v>46279.368298611102</v>
      </c>
      <c r="C4626" s="2">
        <v>46279.370393518497</v>
      </c>
      <c r="D4626" s="1" t="s">
        <v>24</v>
      </c>
      <c r="E4626" s="1"/>
      <c r="F4626" s="29">
        <v>46279</v>
      </c>
      <c r="G4626" s="29">
        <v>46279</v>
      </c>
      <c r="H4626" s="1" t="s">
        <v>1625</v>
      </c>
      <c r="I4626" s="175" t="s">
        <v>10274</v>
      </c>
      <c r="J4626" s="207">
        <v>42806382703</v>
      </c>
      <c r="K4626" s="188" t="s">
        <v>10275</v>
      </c>
      <c r="L4626" s="242">
        <v>2</v>
      </c>
      <c r="M4626" s="243" t="s">
        <v>10276</v>
      </c>
      <c r="N4626" s="171" t="s">
        <v>263</v>
      </c>
      <c r="O4626" s="43">
        <v>7920.51</v>
      </c>
      <c r="P4626" s="43">
        <v>2375.9</v>
      </c>
      <c r="Q4626" s="230">
        <f>OfficeForms.Table[[#This Row],[ INFORMEDEPAGO ]]*0.3</f>
        <v>2376.1529999999998</v>
      </c>
      <c r="R4626" s="231">
        <f>(IF(O4626&lt;4172.98,0,MIN(O4626*0.3,O4626-4172.98)))-P4626</f>
        <v>0.25299999999970169</v>
      </c>
      <c r="S4626" s="74">
        <v>45931</v>
      </c>
      <c r="T4626" s="239" t="s">
        <v>192</v>
      </c>
      <c r="U4626" s="97">
        <v>2080.9</v>
      </c>
      <c r="V4626" s="1"/>
    </row>
    <row r="4627" spans="1:23">
      <c r="A4627">
        <v>3062</v>
      </c>
      <c r="B4627" s="2">
        <v>46279.370428240698</v>
      </c>
      <c r="C4627" s="2">
        <v>46279.384050925903</v>
      </c>
      <c r="D4627" s="1" t="s">
        <v>24</v>
      </c>
      <c r="E4627" s="1"/>
      <c r="F4627" s="29">
        <v>46279</v>
      </c>
      <c r="G4627" s="29">
        <v>46279</v>
      </c>
      <c r="H4627" s="1" t="s">
        <v>1625</v>
      </c>
      <c r="I4627" s="175" t="s">
        <v>10277</v>
      </c>
      <c r="J4627" s="207" t="s">
        <v>10278</v>
      </c>
      <c r="K4627" s="188" t="s">
        <v>6121</v>
      </c>
      <c r="L4627" s="242">
        <v>2</v>
      </c>
      <c r="M4627" s="243" t="s">
        <v>10279</v>
      </c>
      <c r="N4627" s="171" t="s">
        <v>32</v>
      </c>
      <c r="O4627" s="50">
        <v>4342.43</v>
      </c>
      <c r="P4627" s="97"/>
      <c r="Q4627" s="230">
        <f>OfficeForms.Table[[#This Row],[ INFORMEDEPAGO ]]*0.3</f>
        <v>1302.729</v>
      </c>
      <c r="R4627" s="231">
        <f t="shared" ref="R4627:R4629" si="376">(IF(O4627&lt;4172.98,0,MIN(O4627*0.3,O4627-4172.98)))-P4627</f>
        <v>169.45000000000073</v>
      </c>
      <c r="T4627" s="239"/>
      <c r="U4627" s="97"/>
      <c r="V4627" s="1"/>
    </row>
    <row r="4628" spans="1:23">
      <c r="A4628">
        <v>3063</v>
      </c>
      <c r="B4628" s="2">
        <v>46279.384085648097</v>
      </c>
      <c r="C4628" s="2">
        <v>46279.392094907402</v>
      </c>
      <c r="D4628" s="1" t="s">
        <v>24</v>
      </c>
      <c r="E4628" s="1"/>
      <c r="F4628" s="29">
        <v>46279</v>
      </c>
      <c r="G4628" s="29">
        <v>46279</v>
      </c>
      <c r="H4628" s="1" t="s">
        <v>1625</v>
      </c>
      <c r="I4628" s="175" t="s">
        <v>10280</v>
      </c>
      <c r="J4628" s="207">
        <v>49947965677</v>
      </c>
      <c r="K4628" s="188" t="s">
        <v>10281</v>
      </c>
      <c r="L4628" s="242">
        <v>2</v>
      </c>
      <c r="M4628" s="243">
        <v>8332340026</v>
      </c>
      <c r="N4628" s="171" t="s">
        <v>32</v>
      </c>
      <c r="O4628" s="50">
        <v>3517.29</v>
      </c>
      <c r="P4628" s="97"/>
      <c r="Q4628" s="230">
        <f>OfficeForms.Table[[#This Row],[ INFORMEDEPAGO ]]*0.3</f>
        <v>1055.1869999999999</v>
      </c>
      <c r="R4628" s="231">
        <f t="shared" si="376"/>
        <v>0</v>
      </c>
      <c r="T4628" s="239"/>
      <c r="U4628" s="97"/>
      <c r="V4628" s="1"/>
    </row>
    <row r="4629" spans="1:23">
      <c r="A4629">
        <v>3064</v>
      </c>
      <c r="B4629" s="2">
        <v>46279.396886574097</v>
      </c>
      <c r="C4629" s="2">
        <v>46279.399814814802</v>
      </c>
      <c r="D4629" s="1" t="s">
        <v>24</v>
      </c>
      <c r="E4629" s="1"/>
      <c r="F4629" s="29">
        <v>46279</v>
      </c>
      <c r="G4629" s="29">
        <v>46276</v>
      </c>
      <c r="H4629" s="1" t="s">
        <v>269</v>
      </c>
      <c r="I4629" s="175" t="s">
        <v>10282</v>
      </c>
      <c r="J4629" s="175" t="s">
        <v>10283</v>
      </c>
      <c r="K4629" s="188" t="s">
        <v>10284</v>
      </c>
      <c r="L4629" s="242">
        <v>24407092</v>
      </c>
      <c r="M4629" s="243">
        <v>5215613889415</v>
      </c>
      <c r="N4629" s="171" t="s">
        <v>37</v>
      </c>
      <c r="O4629" s="52">
        <v>9081.52</v>
      </c>
      <c r="P4629" s="52">
        <v>2724</v>
      </c>
      <c r="Q4629" s="230">
        <f>OfficeForms.Table[[#This Row],[ INFORMEDEPAGO ]]*0.3</f>
        <v>2724.4560000000001</v>
      </c>
      <c r="R4629" s="231">
        <f t="shared" si="376"/>
        <v>0.45600000000013097</v>
      </c>
      <c r="S4629" s="74">
        <v>46997</v>
      </c>
      <c r="T4629" s="239" t="s">
        <v>8319</v>
      </c>
      <c r="U4629" s="52">
        <v>2724</v>
      </c>
      <c r="V4629" s="1"/>
    </row>
    <row r="4630" spans="1:23">
      <c r="A4630">
        <v>3065</v>
      </c>
      <c r="B4630" s="2">
        <v>46279.392118055599</v>
      </c>
      <c r="C4630" s="2">
        <v>46279.420590277798</v>
      </c>
      <c r="D4630" s="1" t="s">
        <v>24</v>
      </c>
      <c r="E4630" s="1"/>
      <c r="F4630" s="29">
        <v>46279</v>
      </c>
      <c r="G4630" s="29">
        <v>46279</v>
      </c>
      <c r="H4630" s="1" t="s">
        <v>1625</v>
      </c>
      <c r="I4630" s="175" t="s">
        <v>10285</v>
      </c>
      <c r="J4630" s="175">
        <v>4285590159</v>
      </c>
      <c r="K4630" s="188" t="s">
        <v>10286</v>
      </c>
      <c r="L4630" s="242">
        <v>2</v>
      </c>
      <c r="M4630" s="243" t="s">
        <v>10287</v>
      </c>
      <c r="N4630" s="171" t="s">
        <v>37</v>
      </c>
      <c r="O4630" s="52">
        <v>8180.82</v>
      </c>
      <c r="P4630" s="52">
        <v>2366.88</v>
      </c>
      <c r="Q4630" s="230">
        <f>OfficeForms.Table[[#This Row],[ INFORMEDEPAGO ]]*0.3</f>
        <v>2454.2459999999996</v>
      </c>
      <c r="R4630" s="231">
        <f t="shared" ref="R4630:R4631" si="377">(IF(O4630&lt;4172.98,0,MIN(O4630*0.3,O4630-4172.98)))-P4630</f>
        <v>87.365999999999531</v>
      </c>
      <c r="S4630" s="74">
        <v>46753</v>
      </c>
      <c r="T4630" s="239" t="s">
        <v>7516</v>
      </c>
      <c r="U4630" s="97">
        <v>2169.91</v>
      </c>
      <c r="V4630" s="1"/>
    </row>
    <row r="4631" spans="1:23">
      <c r="A4631">
        <v>3066</v>
      </c>
      <c r="B4631" s="2">
        <v>46279.4234953704</v>
      </c>
      <c r="C4631" s="2">
        <v>46279.425081018497</v>
      </c>
      <c r="D4631" s="1" t="s">
        <v>24</v>
      </c>
      <c r="E4631" s="1"/>
      <c r="F4631" s="29">
        <v>46279</v>
      </c>
      <c r="G4631" s="29">
        <v>46279</v>
      </c>
      <c r="H4631" s="1" t="s">
        <v>269</v>
      </c>
      <c r="I4631" s="175" t="s">
        <v>10288</v>
      </c>
      <c r="J4631" s="175" t="s">
        <v>10289</v>
      </c>
      <c r="K4631" s="188" t="s">
        <v>10290</v>
      </c>
      <c r="L4631" s="242">
        <v>24436146</v>
      </c>
      <c r="M4631" s="243">
        <v>5217838320588</v>
      </c>
      <c r="N4631" s="171" t="s">
        <v>98</v>
      </c>
      <c r="O4631" s="50"/>
      <c r="P4631" s="97"/>
      <c r="Q4631" s="230">
        <f>OfficeForms.Table[[#This Row],[ INFORMEDEPAGO ]]*0.3</f>
        <v>0</v>
      </c>
      <c r="R4631" s="231">
        <f t="shared" si="377"/>
        <v>0</v>
      </c>
      <c r="T4631" s="239"/>
      <c r="U4631" s="97"/>
      <c r="V4631" s="1"/>
    </row>
    <row r="4632" spans="1:23">
      <c r="A4632">
        <v>3067</v>
      </c>
      <c r="B4632" s="2">
        <v>46279.425254629597</v>
      </c>
      <c r="C4632" s="2">
        <v>46279.433703703697</v>
      </c>
      <c r="D4632" s="1" t="s">
        <v>24</v>
      </c>
      <c r="E4632" s="1"/>
      <c r="F4632" s="29">
        <v>46279</v>
      </c>
      <c r="G4632" s="29">
        <v>46276</v>
      </c>
      <c r="H4632" s="1" t="s">
        <v>51</v>
      </c>
      <c r="I4632" s="175" t="s">
        <v>10291</v>
      </c>
      <c r="J4632" s="175">
        <v>17796132979</v>
      </c>
      <c r="K4632" s="188" t="s">
        <v>10292</v>
      </c>
      <c r="L4632" s="242">
        <v>24407292</v>
      </c>
      <c r="M4632" s="243">
        <v>5215551738227</v>
      </c>
      <c r="N4632" s="171" t="s">
        <v>37</v>
      </c>
      <c r="O4632" s="52">
        <v>9511.7000000000007</v>
      </c>
      <c r="P4632" s="52">
        <v>2751.96</v>
      </c>
      <c r="Q4632" s="230">
        <f>OfficeForms.Table[[#This Row],[ INFORMEDEPAGO ]]*0.3</f>
        <v>2853.51</v>
      </c>
      <c r="R4632" s="231">
        <f t="shared" ref="R4632:R4634" si="378">(IF(O4632&lt;4172.98,0,MIN(O4632*0.3,O4632-4172.98)))-P4632</f>
        <v>101.55000000000018</v>
      </c>
      <c r="S4632" s="74">
        <v>46508</v>
      </c>
      <c r="T4632" s="239" t="s">
        <v>192</v>
      </c>
      <c r="U4632" s="97">
        <v>2516.31</v>
      </c>
      <c r="V4632" s="1"/>
    </row>
    <row r="4633" spans="1:23">
      <c r="A4633">
        <v>3068</v>
      </c>
      <c r="B4633" s="2">
        <v>46279.431655092601</v>
      </c>
      <c r="C4633" s="2">
        <v>46279.433773148201</v>
      </c>
      <c r="D4633" s="1" t="s">
        <v>24</v>
      </c>
      <c r="E4633" s="1"/>
      <c r="F4633" s="29">
        <v>46279</v>
      </c>
      <c r="G4633" s="29">
        <v>46276</v>
      </c>
      <c r="H4633" s="1" t="s">
        <v>51</v>
      </c>
      <c r="I4633" s="175" t="s">
        <v>10293</v>
      </c>
      <c r="J4633" s="175" t="s">
        <v>10294</v>
      </c>
      <c r="K4633" s="188" t="s">
        <v>10295</v>
      </c>
      <c r="L4633" s="242">
        <v>24407574</v>
      </c>
      <c r="M4633" s="243">
        <v>5212226107652</v>
      </c>
      <c r="N4633" s="171" t="s">
        <v>37</v>
      </c>
      <c r="O4633" s="52">
        <v>7920.51</v>
      </c>
      <c r="P4633" s="52">
        <v>2376.15</v>
      </c>
      <c r="Q4633" s="230">
        <f>OfficeForms.Table[[#This Row],[ INFORMEDEPAGO ]]*0.3</f>
        <v>2376.1529999999998</v>
      </c>
      <c r="R4633" s="231">
        <f t="shared" si="378"/>
        <v>2.9999999997016857E-3</v>
      </c>
      <c r="S4633" s="74">
        <v>46844</v>
      </c>
      <c r="T4633" s="239" t="s">
        <v>9709</v>
      </c>
      <c r="U4633" s="97">
        <v>1600</v>
      </c>
      <c r="V4633" s="1"/>
    </row>
    <row r="4634" spans="1:23">
      <c r="A4634">
        <v>3069</v>
      </c>
      <c r="B4634" s="2">
        <v>46279.434097222198</v>
      </c>
      <c r="C4634" s="2">
        <v>46279.434641203698</v>
      </c>
      <c r="D4634" s="1" t="s">
        <v>24</v>
      </c>
      <c r="E4634" s="1"/>
      <c r="F4634" s="29">
        <v>46279</v>
      </c>
      <c r="G4634" s="29">
        <v>46279</v>
      </c>
      <c r="H4634" s="1" t="s">
        <v>269</v>
      </c>
      <c r="I4634" s="175" t="s">
        <v>10296</v>
      </c>
      <c r="J4634" s="175" t="s">
        <v>10297</v>
      </c>
      <c r="K4634" s="188"/>
      <c r="L4634" s="242">
        <v>24436594</v>
      </c>
      <c r="M4634" s="243">
        <v>5216645749097</v>
      </c>
      <c r="N4634" s="171" t="s">
        <v>106</v>
      </c>
      <c r="O4634" s="52">
        <v>8108.29</v>
      </c>
      <c r="P4634" s="52">
        <v>2247.1999999999998</v>
      </c>
      <c r="Q4634" s="230">
        <f>OfficeForms.Table[[#This Row],[ INFORMEDEPAGO ]]*0.3</f>
        <v>2432.4870000000001</v>
      </c>
      <c r="R4634" s="231">
        <f t="shared" si="378"/>
        <v>185.28700000000026</v>
      </c>
      <c r="S4634" s="74">
        <v>46235</v>
      </c>
      <c r="T4634" s="239" t="s">
        <v>9857</v>
      </c>
      <c r="U4634" s="52">
        <v>2247.1999999999998</v>
      </c>
      <c r="V4634" s="1" t="s">
        <v>8936</v>
      </c>
      <c r="W4634" s="29">
        <v>46279</v>
      </c>
    </row>
    <row r="4635" spans="1:23">
      <c r="A4635">
        <v>3070</v>
      </c>
      <c r="B4635" s="2">
        <v>46279.433738425898</v>
      </c>
      <c r="C4635" s="2">
        <v>46279.440891203703</v>
      </c>
      <c r="D4635" s="1" t="s">
        <v>24</v>
      </c>
      <c r="E4635" s="1"/>
      <c r="F4635" s="29">
        <v>46279</v>
      </c>
      <c r="G4635" s="29">
        <v>46279</v>
      </c>
      <c r="H4635" s="1" t="s">
        <v>51</v>
      </c>
      <c r="I4635" s="175" t="s">
        <v>10298</v>
      </c>
      <c r="J4635" s="175"/>
      <c r="K4635" s="188" t="s">
        <v>10299</v>
      </c>
      <c r="L4635" s="242">
        <v>24444508</v>
      </c>
      <c r="M4635" s="243">
        <v>5212221883452</v>
      </c>
      <c r="N4635" s="171" t="s">
        <v>263</v>
      </c>
      <c r="O4635" s="52">
        <v>7116.73</v>
      </c>
      <c r="P4635" s="52">
        <v>1885.86</v>
      </c>
      <c r="Q4635" s="230">
        <f>OfficeForms.Table[[#This Row],[ INFORMEDEPAGO ]]*0.3</f>
        <v>2135.0189999999998</v>
      </c>
      <c r="R4635" s="231">
        <f t="shared" ref="R4635:R4636" si="379">(IF(O4635&lt;4172.98,0,MIN(O4635*0.3,O4635-4172.98)))-P4635</f>
        <v>249.15899999999988</v>
      </c>
      <c r="S4635" s="74">
        <v>45870</v>
      </c>
      <c r="T4635" s="239" t="s">
        <v>192</v>
      </c>
      <c r="U4635" s="52">
        <v>1885.86</v>
      </c>
      <c r="V4635" s="1" t="s">
        <v>8291</v>
      </c>
      <c r="W4635" s="29">
        <v>46279</v>
      </c>
    </row>
    <row r="4636" spans="1:23">
      <c r="A4636">
        <v>3071</v>
      </c>
      <c r="B4636" s="2">
        <v>46279.440995370402</v>
      </c>
      <c r="C4636" s="2">
        <v>46279.441655092603</v>
      </c>
      <c r="D4636" s="1" t="s">
        <v>24</v>
      </c>
      <c r="E4636" s="1"/>
      <c r="F4636" s="29">
        <v>46279</v>
      </c>
      <c r="G4636" s="29">
        <v>46278</v>
      </c>
      <c r="H4636" s="1" t="s">
        <v>8253</v>
      </c>
      <c r="I4636" s="175" t="s">
        <v>10300</v>
      </c>
      <c r="J4636" s="175"/>
      <c r="K4636" s="188" t="s">
        <v>10301</v>
      </c>
      <c r="L4636" s="242">
        <v>24429940</v>
      </c>
      <c r="M4636" s="243">
        <v>9131249838</v>
      </c>
      <c r="N4636" s="171" t="s">
        <v>74</v>
      </c>
      <c r="O4636" s="50"/>
      <c r="P4636" s="97"/>
      <c r="Q4636" s="230">
        <f>OfficeForms.Table[[#This Row],[ INFORMEDEPAGO ]]*0.3</f>
        <v>0</v>
      </c>
      <c r="R4636" s="231">
        <f t="shared" si="379"/>
        <v>0</v>
      </c>
      <c r="T4636" s="239"/>
      <c r="U4636" s="97"/>
      <c r="V4636" s="1"/>
    </row>
    <row r="4637" spans="1:23">
      <c r="A4637">
        <v>3072</v>
      </c>
      <c r="B4637" s="2">
        <v>46279.4535300926</v>
      </c>
      <c r="C4637" s="2">
        <v>46279.454456018502</v>
      </c>
      <c r="D4637" s="1" t="s">
        <v>24</v>
      </c>
      <c r="E4637" s="1"/>
      <c r="F4637" s="29">
        <v>46279</v>
      </c>
      <c r="G4637" s="29">
        <v>46279</v>
      </c>
      <c r="H4637" s="1" t="s">
        <v>269</v>
      </c>
      <c r="I4637" s="175" t="s">
        <v>10302</v>
      </c>
      <c r="J4637" s="175" t="s">
        <v>10303</v>
      </c>
      <c r="K4637" s="188"/>
      <c r="L4637" s="242">
        <v>24435884</v>
      </c>
      <c r="M4637" s="243">
        <v>5214441563732</v>
      </c>
      <c r="N4637" s="171" t="s">
        <v>98</v>
      </c>
      <c r="O4637" s="50"/>
      <c r="P4637" s="97"/>
      <c r="Q4637" s="230">
        <f>OfficeForms.Table[[#This Row],[ INFORMEDEPAGO ]]*0.3</f>
        <v>0</v>
      </c>
      <c r="R4637" s="231">
        <f>(IF(O4637&lt;4172.98,0,MIN(O4637*0.3,O4637-4172.98)))-P4637</f>
        <v>0</v>
      </c>
      <c r="T4637" s="239"/>
      <c r="U4637" s="97"/>
      <c r="V4637" s="1"/>
    </row>
    <row r="4638" spans="1:23">
      <c r="A4638">
        <v>3073</v>
      </c>
      <c r="B4638" s="2">
        <v>46279.440960648099</v>
      </c>
      <c r="C4638" s="2">
        <v>46279.4624189815</v>
      </c>
      <c r="D4638" s="1" t="s">
        <v>24</v>
      </c>
      <c r="E4638" s="1"/>
      <c r="F4638" s="29">
        <v>46279</v>
      </c>
      <c r="G4638" s="29">
        <v>46279</v>
      </c>
      <c r="H4638" s="1" t="s">
        <v>51</v>
      </c>
      <c r="I4638" s="175" t="s">
        <v>10304</v>
      </c>
      <c r="J4638" s="175"/>
      <c r="K4638" s="188" t="s">
        <v>10305</v>
      </c>
      <c r="L4638" s="242">
        <v>24436100</v>
      </c>
      <c r="M4638" s="243">
        <v>5217752581148</v>
      </c>
      <c r="N4638" s="171" t="s">
        <v>28</v>
      </c>
      <c r="O4638" s="50">
        <v>23442.54</v>
      </c>
      <c r="P4638" s="97"/>
      <c r="Q4638" s="230">
        <f>OfficeForms.Table[[#This Row],[ INFORMEDEPAGO ]]*0.3</f>
        <v>7032.7619999999997</v>
      </c>
      <c r="R4638" s="231">
        <f>(IF(O4638&lt;4172.98,0,MIN(O4638*0.3,O4638-4172.98)))-P4638</f>
        <v>7032.7619999999997</v>
      </c>
      <c r="T4638" s="239"/>
      <c r="U4638" s="97"/>
      <c r="V4638" s="1" t="s">
        <v>8915</v>
      </c>
      <c r="W4638" s="29">
        <v>46279</v>
      </c>
    </row>
    <row r="4639" spans="1:23">
      <c r="A4639">
        <v>3074</v>
      </c>
      <c r="B4639" s="2">
        <v>46277.748483796298</v>
      </c>
      <c r="C4639" s="2">
        <v>46279.462986111103</v>
      </c>
      <c r="D4639" s="1" t="s">
        <v>24</v>
      </c>
      <c r="E4639" s="1"/>
      <c r="F4639" s="29">
        <v>46279</v>
      </c>
      <c r="G4639" s="29">
        <v>46279</v>
      </c>
      <c r="H4639" s="1" t="s">
        <v>8381</v>
      </c>
      <c r="I4639" s="175" t="s">
        <v>10306</v>
      </c>
      <c r="J4639" s="175" t="s">
        <v>10307</v>
      </c>
      <c r="K4639" s="188" t="s">
        <v>10308</v>
      </c>
      <c r="L4639" s="242">
        <v>24436222</v>
      </c>
      <c r="M4639" s="243">
        <v>5214774133233</v>
      </c>
      <c r="N4639" s="171" t="s">
        <v>28</v>
      </c>
      <c r="O4639" s="50">
        <v>9760.32</v>
      </c>
      <c r="P4639" s="97"/>
      <c r="Q4639" s="230">
        <f>OfficeForms.Table[[#This Row],[ INFORMEDEPAGO ]]*0.3</f>
        <v>2928.096</v>
      </c>
      <c r="R4639" s="231">
        <f>(IF(O4639&lt;4172.98,0,MIN(O4639*0.3,O4639-4172.98)))-P4639</f>
        <v>2928.096</v>
      </c>
      <c r="T4639" s="239"/>
      <c r="U4639" s="97"/>
      <c r="V4639" s="1" t="s">
        <v>8716</v>
      </c>
      <c r="W4639" s="29">
        <v>46279</v>
      </c>
    </row>
    <row r="4640" spans="1:23">
      <c r="A4640">
        <v>3075</v>
      </c>
      <c r="B4640" s="2">
        <v>46279.462662037004</v>
      </c>
      <c r="C4640" s="2">
        <v>46279.467858796299</v>
      </c>
      <c r="D4640" s="1" t="s">
        <v>24</v>
      </c>
      <c r="E4640" s="1"/>
      <c r="F4640" s="29">
        <v>46279</v>
      </c>
      <c r="G4640" s="29">
        <v>46266</v>
      </c>
      <c r="H4640" s="1" t="s">
        <v>51</v>
      </c>
      <c r="I4640" s="175" t="s">
        <v>10309</v>
      </c>
      <c r="J4640" s="175"/>
      <c r="K4640" s="188" t="s">
        <v>10310</v>
      </c>
      <c r="L4640" s="242">
        <v>24174154</v>
      </c>
      <c r="M4640" s="243">
        <v>5215543635717</v>
      </c>
      <c r="N4640" s="171" t="s">
        <v>28</v>
      </c>
      <c r="O4640" s="50">
        <v>8539.91</v>
      </c>
      <c r="P4640" s="97"/>
      <c r="Q4640" s="230">
        <f>OfficeForms.Table[[#This Row],[ INFORMEDEPAGO ]]*0.3</f>
        <v>2561.973</v>
      </c>
      <c r="R4640" s="231">
        <f>(IF(O4640&lt;4172.98,0,MIN(O4640*0.3,O4640-4172.98)))-P4640</f>
        <v>2561.973</v>
      </c>
      <c r="T4640" s="239"/>
      <c r="U4640" s="97"/>
      <c r="V4640" s="1" t="s">
        <v>8264</v>
      </c>
      <c r="W4640" s="29">
        <v>46279</v>
      </c>
    </row>
    <row r="4641" spans="1:23">
      <c r="A4641">
        <v>3076</v>
      </c>
      <c r="B4641" s="2">
        <v>46279.467870370398</v>
      </c>
      <c r="C4641" s="2">
        <v>46279.477523148104</v>
      </c>
      <c r="D4641" s="1" t="s">
        <v>24</v>
      </c>
      <c r="E4641" s="1"/>
      <c r="F4641" s="29">
        <v>46279</v>
      </c>
      <c r="G4641" s="29">
        <v>46278</v>
      </c>
      <c r="H4641" s="1" t="s">
        <v>51</v>
      </c>
      <c r="I4641" s="175" t="s">
        <v>10311</v>
      </c>
      <c r="J4641" s="175"/>
      <c r="K4641" s="188" t="s">
        <v>10312</v>
      </c>
      <c r="L4641" s="242">
        <v>24431628</v>
      </c>
      <c r="M4641" s="243">
        <v>5219999554448</v>
      </c>
      <c r="N4641" s="171" t="s">
        <v>106</v>
      </c>
      <c r="O4641" s="43">
        <v>42073.32</v>
      </c>
      <c r="P4641" s="43">
        <v>12172.41</v>
      </c>
      <c r="Q4641" s="230">
        <f>OfficeForms.Table[[#This Row],[ INFORMEDEPAGO ]]*0.3</f>
        <v>12621.995999999999</v>
      </c>
      <c r="R4641" s="231">
        <f>(IF(O4641&lt;4172.98,0,MIN(O4641*0.3,O4641-4172.98)))-P4641</f>
        <v>449.58599999999933</v>
      </c>
      <c r="S4641" s="74">
        <v>46266</v>
      </c>
      <c r="T4641" s="239" t="s">
        <v>8415</v>
      </c>
      <c r="U4641" s="97">
        <v>3024.41</v>
      </c>
      <c r="V4641" s="1" t="s">
        <v>8328</v>
      </c>
      <c r="W4641" s="29">
        <v>46279</v>
      </c>
    </row>
    <row r="4642" spans="1:23">
      <c r="A4642">
        <v>3077</v>
      </c>
      <c r="B4642" s="2">
        <v>46279.482546296298</v>
      </c>
      <c r="C4642" s="2">
        <v>46279.483692129601</v>
      </c>
      <c r="D4642" s="1" t="s">
        <v>24</v>
      </c>
      <c r="E4642" s="1"/>
      <c r="F4642" s="29">
        <v>46279</v>
      </c>
      <c r="G4642" s="29">
        <v>46278</v>
      </c>
      <c r="H4642" s="1" t="s">
        <v>8253</v>
      </c>
      <c r="I4642" s="175" t="s">
        <v>10313</v>
      </c>
      <c r="J4642" s="175">
        <v>22907301760</v>
      </c>
      <c r="K4642" s="188" t="s">
        <v>10314</v>
      </c>
      <c r="L4642" s="242">
        <v>24429688</v>
      </c>
      <c r="M4642" s="243">
        <v>6122311828</v>
      </c>
      <c r="N4642" s="171" t="s">
        <v>32</v>
      </c>
      <c r="O4642" s="50">
        <v>3504.44</v>
      </c>
      <c r="P4642" s="97"/>
      <c r="Q4642" s="230">
        <f>OfficeForms.Table[[#This Row],[ INFORMEDEPAGO ]]*0.3</f>
        <v>1051.3319999999999</v>
      </c>
      <c r="R4642" s="231">
        <f>(IF(O4642&lt;4172.98,0,MIN(O4642*0.3,O4642-4172.98)))-P4642</f>
        <v>0</v>
      </c>
      <c r="T4642" s="239"/>
      <c r="U4642" s="97"/>
      <c r="V4642" s="1"/>
    </row>
    <row r="4643" spans="1:23">
      <c r="A4643">
        <v>3078</v>
      </c>
      <c r="B4643" s="2">
        <v>46279.477546296301</v>
      </c>
      <c r="C4643" s="2">
        <v>46279.493865740696</v>
      </c>
      <c r="D4643" s="1" t="s">
        <v>24</v>
      </c>
      <c r="E4643" s="1"/>
      <c r="F4643" s="29">
        <v>46279</v>
      </c>
      <c r="G4643" s="29">
        <v>46276</v>
      </c>
      <c r="H4643" s="1" t="s">
        <v>51</v>
      </c>
      <c r="I4643" s="175" t="s">
        <v>10315</v>
      </c>
      <c r="J4643" s="175" t="s">
        <v>10316</v>
      </c>
      <c r="K4643" s="188" t="s">
        <v>10317</v>
      </c>
      <c r="L4643" s="242">
        <v>24400734</v>
      </c>
      <c r="M4643" s="243">
        <v>5216141006292</v>
      </c>
      <c r="N4643" s="171" t="s">
        <v>28</v>
      </c>
      <c r="O4643" s="50">
        <v>8173.36</v>
      </c>
      <c r="P4643" s="97"/>
      <c r="Q4643" s="230">
        <f>OfficeForms.Table[[#This Row],[ INFORMEDEPAGO ]]*0.3</f>
        <v>2452.0079999999998</v>
      </c>
      <c r="R4643" s="231">
        <f>(IF(O4643&lt;4172.98,0,MIN(O4643*0.3,O4643-4172.98)))-P4643</f>
        <v>2452.0079999999998</v>
      </c>
      <c r="T4643" s="239"/>
      <c r="U4643" s="97"/>
      <c r="V4643" s="1" t="s">
        <v>8316</v>
      </c>
      <c r="W4643" s="29">
        <v>46279</v>
      </c>
    </row>
    <row r="4644" spans="1:23">
      <c r="A4644">
        <v>3079</v>
      </c>
      <c r="B4644" s="2">
        <v>46279.495034722197</v>
      </c>
      <c r="C4644" s="2">
        <v>46279.495810185203</v>
      </c>
      <c r="D4644" s="1" t="s">
        <v>24</v>
      </c>
      <c r="E4644" s="1"/>
      <c r="F4644" s="29">
        <v>46279</v>
      </c>
      <c r="G4644" s="29">
        <v>46279</v>
      </c>
      <c r="H4644" s="1" t="s">
        <v>9991</v>
      </c>
      <c r="I4644" s="175" t="s">
        <v>10318</v>
      </c>
      <c r="J4644" s="175">
        <v>20896601703</v>
      </c>
      <c r="K4644" s="188"/>
      <c r="L4644" s="242">
        <v>24447000</v>
      </c>
      <c r="M4644" s="243">
        <v>5513692338</v>
      </c>
      <c r="N4644" s="171" t="s">
        <v>37</v>
      </c>
      <c r="O4644" s="43">
        <v>10636.54</v>
      </c>
      <c r="P4644" s="43">
        <v>3162.86</v>
      </c>
      <c r="Q4644" s="230">
        <f>OfficeForms.Table[[#This Row],[ INFORMEDEPAGO ]]*0.3</f>
        <v>3190.962</v>
      </c>
      <c r="R4644" s="231">
        <f>(IF(O4644&lt;4172.98,0,MIN(O4644*0.3,O4644-4172.98)))-P4644</f>
        <v>28.101999999999862</v>
      </c>
      <c r="S4644" s="74">
        <v>46966</v>
      </c>
      <c r="T4644" s="239" t="s">
        <v>178</v>
      </c>
      <c r="U4644" s="43">
        <v>3162.86</v>
      </c>
      <c r="V4644" s="1"/>
    </row>
    <row r="4645" spans="1:23">
      <c r="A4645">
        <v>3080</v>
      </c>
      <c r="B4645" s="2">
        <v>46279.493888888901</v>
      </c>
      <c r="C4645" s="2">
        <v>46279.5000925926</v>
      </c>
      <c r="D4645" s="1" t="s">
        <v>24</v>
      </c>
      <c r="E4645" s="1"/>
      <c r="F4645" s="29">
        <v>46279</v>
      </c>
      <c r="G4645" s="29">
        <v>46278</v>
      </c>
      <c r="H4645" s="1" t="s">
        <v>51</v>
      </c>
      <c r="I4645" s="175" t="s">
        <v>10319</v>
      </c>
      <c r="J4645" s="175" t="s">
        <v>10320</v>
      </c>
      <c r="K4645" s="188" t="s">
        <v>10321</v>
      </c>
      <c r="L4645" s="242">
        <v>24433612</v>
      </c>
      <c r="M4645" s="243">
        <v>5218332837935</v>
      </c>
      <c r="N4645" s="171" t="s">
        <v>32</v>
      </c>
      <c r="O4645" s="50">
        <v>3591.45</v>
      </c>
      <c r="P4645" s="97"/>
      <c r="Q4645" s="230">
        <f>OfficeForms.Table[[#This Row],[ INFORMEDEPAGO ]]*0.3</f>
        <v>1077.4349999999999</v>
      </c>
      <c r="R4645" s="231">
        <f>(IF(O4645&lt;4172.98,0,MIN(O4645*0.3,O4645-4172.98)))-P4645</f>
        <v>0</v>
      </c>
      <c r="T4645" s="239"/>
      <c r="U4645" s="97"/>
      <c r="V4645" s="1"/>
    </row>
    <row r="4646" spans="1:23">
      <c r="A4646">
        <v>3081</v>
      </c>
      <c r="B4646" s="2">
        <v>46278.689629629604</v>
      </c>
      <c r="C4646" s="2">
        <v>46279.5070949074</v>
      </c>
      <c r="D4646" s="1" t="s">
        <v>24</v>
      </c>
      <c r="E4646" s="1"/>
      <c r="F4646" s="29">
        <v>46279</v>
      </c>
      <c r="G4646" s="29">
        <v>46278</v>
      </c>
      <c r="H4646" s="1" t="s">
        <v>9960</v>
      </c>
      <c r="I4646" s="175" t="s">
        <v>10322</v>
      </c>
      <c r="J4646" s="175"/>
      <c r="K4646" s="188" t="s">
        <v>10323</v>
      </c>
      <c r="L4646" s="242">
        <v>24445236</v>
      </c>
      <c r="M4646" s="243">
        <v>8681753982</v>
      </c>
      <c r="N4646" s="171" t="s">
        <v>37</v>
      </c>
      <c r="O4646" s="43">
        <v>9081.52</v>
      </c>
      <c r="P4646" s="43">
        <v>2518.2800000000002</v>
      </c>
      <c r="Q4646" s="230">
        <f>OfficeForms.Table[[#This Row],[ INFORMEDEPAGO ]]*0.3</f>
        <v>2724.4560000000001</v>
      </c>
      <c r="R4646" s="231">
        <f>(IF(O4646&lt;4172.98,0,MIN(O4646*0.3,O4646-4172.98)))-P4646</f>
        <v>206.17599999999993</v>
      </c>
      <c r="S4646" s="74">
        <v>46357</v>
      </c>
      <c r="T4646" s="239" t="s">
        <v>7516</v>
      </c>
      <c r="U4646" s="43">
        <v>2518.2800000000002</v>
      </c>
      <c r="V4646" s="1"/>
    </row>
    <row r="4647" spans="1:23">
      <c r="A4647">
        <v>3082</v>
      </c>
      <c r="B4647" s="2">
        <v>46279.528912037</v>
      </c>
      <c r="C4647" s="2">
        <v>46279.529618055603</v>
      </c>
      <c r="D4647" s="1" t="s">
        <v>24</v>
      </c>
      <c r="E4647" s="1"/>
      <c r="F4647" s="29">
        <v>46279</v>
      </c>
      <c r="G4647" s="29">
        <v>46278</v>
      </c>
      <c r="H4647" s="1" t="s">
        <v>8253</v>
      </c>
      <c r="I4647" s="175" t="s">
        <v>10324</v>
      </c>
      <c r="J4647" s="175"/>
      <c r="K4647" s="188" t="s">
        <v>10325</v>
      </c>
      <c r="L4647" s="242">
        <v>24424300</v>
      </c>
      <c r="M4647" s="243">
        <v>6565867479</v>
      </c>
      <c r="N4647" s="171" t="s">
        <v>37</v>
      </c>
      <c r="O4647" s="52">
        <v>8075.38</v>
      </c>
      <c r="P4647" s="52">
        <v>2417.54</v>
      </c>
      <c r="Q4647" s="230">
        <f>OfficeForms.Table[[#This Row],[ INFORMEDEPAGO ]]*0.3</f>
        <v>2422.614</v>
      </c>
      <c r="R4647" s="231">
        <f>(IF(O4647&lt;4172.98,0,MIN(O4647*0.3,O4647-4172.98)))-P4647</f>
        <v>5.0740000000000691</v>
      </c>
      <c r="S4647" s="74">
        <v>46874</v>
      </c>
      <c r="T4647" s="239" t="s">
        <v>84</v>
      </c>
      <c r="U4647" s="97">
        <v>2141.14</v>
      </c>
      <c r="V4647" s="1"/>
    </row>
    <row r="4648" spans="1:23">
      <c r="A4648">
        <v>3083</v>
      </c>
      <c r="B4648" s="2">
        <v>46279.500104166698</v>
      </c>
      <c r="C4648" s="2">
        <v>46279.534965277802</v>
      </c>
      <c r="D4648" s="1" t="s">
        <v>24</v>
      </c>
      <c r="E4648" s="1"/>
      <c r="F4648" s="29">
        <v>46279</v>
      </c>
      <c r="G4648" s="29">
        <v>46278</v>
      </c>
      <c r="H4648" s="1" t="s">
        <v>51</v>
      </c>
      <c r="I4648" s="175" t="s">
        <v>10326</v>
      </c>
      <c r="J4648" s="175"/>
      <c r="K4648" s="188" t="s">
        <v>10327</v>
      </c>
      <c r="L4648" s="242">
        <v>24435678</v>
      </c>
      <c r="M4648" s="243">
        <v>5216681358393</v>
      </c>
      <c r="N4648" s="171" t="s">
        <v>28</v>
      </c>
      <c r="O4648" s="50">
        <v>8912.7900000000009</v>
      </c>
      <c r="P4648" s="97"/>
      <c r="Q4648" s="230">
        <f>OfficeForms.Table[[#This Row],[ INFORMEDEPAGO ]]*0.3</f>
        <v>2673.837</v>
      </c>
      <c r="R4648" s="231">
        <f t="shared" ref="R4648:R4649" si="380">(IF(O4648&lt;4172.98,0,MIN(O4648*0.3,O4648-4172.98)))-P4648</f>
        <v>2673.837</v>
      </c>
      <c r="T4648" s="239"/>
      <c r="U4648" s="97"/>
      <c r="V4648" s="1" t="s">
        <v>8350</v>
      </c>
      <c r="W4648" s="29">
        <v>46279</v>
      </c>
    </row>
    <row r="4649" spans="1:23">
      <c r="A4649">
        <v>3084</v>
      </c>
      <c r="B4649" s="2">
        <v>46279.5369907407</v>
      </c>
      <c r="C4649" s="2">
        <v>46279.538194444402</v>
      </c>
      <c r="D4649" s="1" t="s">
        <v>24</v>
      </c>
      <c r="E4649" s="1"/>
      <c r="F4649" s="29">
        <v>46279</v>
      </c>
      <c r="G4649" s="29">
        <v>46277</v>
      </c>
      <c r="H4649" s="1" t="s">
        <v>269</v>
      </c>
      <c r="I4649" s="175" t="s">
        <v>10328</v>
      </c>
      <c r="J4649" s="175" t="s">
        <v>10329</v>
      </c>
      <c r="K4649" s="188" t="s">
        <v>10330</v>
      </c>
      <c r="L4649" s="242">
        <v>24418860</v>
      </c>
      <c r="M4649" s="243">
        <v>5216623470450</v>
      </c>
      <c r="N4649" s="171" t="s">
        <v>37</v>
      </c>
      <c r="O4649" s="52">
        <v>9760.32</v>
      </c>
      <c r="P4649" s="52">
        <v>2823.89</v>
      </c>
      <c r="Q4649" s="230">
        <f>OfficeForms.Table[[#This Row],[ INFORMEDEPAGO ]]*0.3</f>
        <v>2928.096</v>
      </c>
      <c r="R4649" s="231">
        <f t="shared" si="380"/>
        <v>104.20600000000013</v>
      </c>
      <c r="S4649" s="74">
        <v>46539</v>
      </c>
      <c r="T4649" s="239" t="s">
        <v>7209</v>
      </c>
      <c r="U4649" s="97">
        <v>1895.57</v>
      </c>
      <c r="V4649" s="1"/>
    </row>
    <row r="4650" spans="1:23">
      <c r="A4650">
        <v>3085</v>
      </c>
      <c r="B4650" s="2">
        <v>46279.531168981499</v>
      </c>
      <c r="C4650" s="2">
        <v>46279.540011574099</v>
      </c>
      <c r="D4650" s="1" t="s">
        <v>24</v>
      </c>
      <c r="E4650" s="1"/>
      <c r="F4650" s="29">
        <v>46279</v>
      </c>
      <c r="G4650" s="29">
        <v>46279</v>
      </c>
      <c r="H4650" s="1" t="s">
        <v>51</v>
      </c>
      <c r="I4650" s="175" t="s">
        <v>10331</v>
      </c>
      <c r="J4650" s="175"/>
      <c r="K4650" s="188" t="s">
        <v>10332</v>
      </c>
      <c r="L4650" s="242">
        <v>24442956</v>
      </c>
      <c r="M4650" s="243">
        <v>5219321118626</v>
      </c>
      <c r="N4650" s="171" t="s">
        <v>28</v>
      </c>
      <c r="O4650" s="50">
        <v>25862.51</v>
      </c>
      <c r="P4650" s="97"/>
      <c r="Q4650" s="230">
        <f>OfficeForms.Table[[#This Row],[ INFORMEDEPAGO ]]*0.3</f>
        <v>7758.7529999999988</v>
      </c>
      <c r="R4650" s="231">
        <f t="shared" ref="R4650" si="381">(IF(O4650&lt;4172.98,0,MIN(O4650*0.3,O4650-4172.98)))-P4650</f>
        <v>7758.7529999999988</v>
      </c>
      <c r="T4650" s="239"/>
      <c r="U4650" s="97"/>
      <c r="V4650" s="1" t="s">
        <v>8734</v>
      </c>
      <c r="W4650" s="29">
        <v>46279</v>
      </c>
    </row>
    <row r="4651" spans="1:23">
      <c r="A4651">
        <v>3086</v>
      </c>
      <c r="B4651" s="2">
        <v>46279.463668981502</v>
      </c>
      <c r="C4651" s="2">
        <v>46279.5488078704</v>
      </c>
      <c r="D4651" s="1" t="s">
        <v>24</v>
      </c>
      <c r="E4651" s="1"/>
      <c r="F4651" s="29">
        <v>46279</v>
      </c>
      <c r="G4651" s="29">
        <v>46279</v>
      </c>
      <c r="H4651" s="1" t="s">
        <v>8381</v>
      </c>
      <c r="I4651" s="175" t="s">
        <v>10333</v>
      </c>
      <c r="J4651" s="175">
        <v>33664512663</v>
      </c>
      <c r="K4651" s="188" t="s">
        <v>10334</v>
      </c>
      <c r="L4651" s="242">
        <v>24443860</v>
      </c>
      <c r="M4651" s="243">
        <v>5216143444178</v>
      </c>
      <c r="N4651" s="171" t="s">
        <v>28</v>
      </c>
      <c r="O4651" s="50">
        <v>9170.91</v>
      </c>
      <c r="P4651" s="97"/>
      <c r="Q4651" s="230">
        <f>OfficeForms.Table[[#This Row],[ INFORMEDEPAGO ]]*0.3</f>
        <v>2751.2729999999997</v>
      </c>
      <c r="R4651" s="231">
        <f t="shared" ref="R4651" si="382">(IF(O4651&lt;4172.98,0,MIN(O4651*0.3,O4651-4172.98)))-P4651</f>
        <v>2751.2729999999997</v>
      </c>
      <c r="T4651" s="239"/>
      <c r="U4651" s="97"/>
      <c r="V4651" s="1" t="s">
        <v>8291</v>
      </c>
      <c r="W4651" s="29">
        <v>46279</v>
      </c>
    </row>
    <row r="4652" spans="1:23">
      <c r="A4652">
        <v>3087</v>
      </c>
      <c r="B4652" s="2">
        <v>46279.552696759303</v>
      </c>
      <c r="C4652" s="2">
        <v>46279.553449074097</v>
      </c>
      <c r="D4652" s="1" t="s">
        <v>24</v>
      </c>
      <c r="E4652" s="1"/>
      <c r="F4652" s="29">
        <v>46279</v>
      </c>
      <c r="G4652" s="29">
        <v>46279</v>
      </c>
      <c r="H4652" s="1" t="s">
        <v>9991</v>
      </c>
      <c r="I4652" s="175" t="s">
        <v>10335</v>
      </c>
      <c r="J4652" s="175" t="s">
        <v>10336</v>
      </c>
      <c r="K4652" s="188" t="s">
        <v>10337</v>
      </c>
      <c r="L4652" s="242">
        <v>24446208</v>
      </c>
      <c r="M4652" s="243">
        <v>5626053478</v>
      </c>
      <c r="N4652" s="171" t="s">
        <v>32</v>
      </c>
      <c r="O4652" s="50">
        <v>3409.43</v>
      </c>
      <c r="P4652" s="97"/>
      <c r="Q4652" s="230">
        <f>OfficeForms.Table[[#This Row],[ INFORMEDEPAGO ]]*0.3</f>
        <v>1022.829</v>
      </c>
      <c r="R4652" s="231">
        <f t="shared" ref="R4652" si="383">(IF(O4652&lt;4172.98,0,MIN(O4652*0.3,O4652-4172.98)))-P4652</f>
        <v>0</v>
      </c>
      <c r="T4652" s="239"/>
      <c r="U4652" s="97"/>
      <c r="V4652" s="1"/>
    </row>
    <row r="4653" spans="1:23">
      <c r="A4653">
        <v>3088</v>
      </c>
      <c r="B4653" s="2">
        <v>46279.5071412037</v>
      </c>
      <c r="C4653" s="2">
        <v>46279.566226851799</v>
      </c>
      <c r="D4653" s="1" t="s">
        <v>24</v>
      </c>
      <c r="E4653" s="1"/>
      <c r="F4653" s="29">
        <v>46279</v>
      </c>
      <c r="G4653" s="29">
        <v>46278</v>
      </c>
      <c r="H4653" s="1" t="s">
        <v>9960</v>
      </c>
      <c r="I4653" s="175" t="s">
        <v>10338</v>
      </c>
      <c r="J4653" s="175"/>
      <c r="K4653" s="188" t="s">
        <v>10339</v>
      </c>
      <c r="L4653" s="242">
        <v>24430102</v>
      </c>
      <c r="M4653" s="243">
        <v>4493432759</v>
      </c>
      <c r="N4653" s="171" t="s">
        <v>37</v>
      </c>
      <c r="O4653" s="250">
        <f>4224.66+1392.97</f>
        <v>5617.63</v>
      </c>
      <c r="P4653" s="97">
        <v>1392.97</v>
      </c>
      <c r="Q4653" s="230">
        <f>OfficeForms.Table[[#This Row],[ INFORMEDEPAGO ]]*0.3</f>
        <v>1685.289</v>
      </c>
      <c r="R4653" s="231">
        <f t="shared" ref="R4653:R4656" si="384">(IF(O4653&lt;4172.98,0,MIN(O4653*0.3,O4653-4172.98)))-P4653</f>
        <v>51.680000000000518</v>
      </c>
      <c r="S4653" s="74">
        <v>46569</v>
      </c>
      <c r="T4653" s="239" t="s">
        <v>7516</v>
      </c>
      <c r="U4653" s="97">
        <v>1392.97</v>
      </c>
      <c r="V4653" s="1"/>
    </row>
    <row r="4654" spans="1:23">
      <c r="A4654">
        <v>3089</v>
      </c>
      <c r="B4654" s="2">
        <v>46279.581192129597</v>
      </c>
      <c r="C4654" s="2">
        <v>46279.584606481498</v>
      </c>
      <c r="D4654" s="1" t="s">
        <v>24</v>
      </c>
      <c r="E4654" s="1"/>
      <c r="F4654" s="29">
        <v>46279</v>
      </c>
      <c r="G4654" s="29">
        <v>46279</v>
      </c>
      <c r="H4654" s="1" t="s">
        <v>10043</v>
      </c>
      <c r="I4654" s="175" t="s">
        <v>10340</v>
      </c>
      <c r="J4654" s="175">
        <v>83957960285</v>
      </c>
      <c r="K4654" s="188" t="s">
        <v>10341</v>
      </c>
      <c r="L4654" s="242">
        <v>24447118</v>
      </c>
      <c r="M4654" s="243">
        <v>9932586976</v>
      </c>
      <c r="N4654" s="171" t="s">
        <v>32</v>
      </c>
      <c r="O4654" s="52">
        <v>3494.87</v>
      </c>
      <c r="P4654" s="52">
        <v>848</v>
      </c>
      <c r="Q4654" s="230">
        <f>OfficeForms.Table[[#This Row],[ INFORMEDEPAGO ]]*0.3</f>
        <v>1048.461</v>
      </c>
      <c r="R4654" s="231">
        <f t="shared" si="384"/>
        <v>-848</v>
      </c>
      <c r="T4654" s="239"/>
      <c r="U4654" s="97"/>
      <c r="V4654" s="1"/>
    </row>
    <row r="4655" spans="1:23">
      <c r="A4655">
        <v>3090</v>
      </c>
      <c r="B4655" s="2">
        <v>46279.591655092598</v>
      </c>
      <c r="C4655" s="2">
        <v>46279.592592592599</v>
      </c>
      <c r="D4655" s="1" t="s">
        <v>24</v>
      </c>
      <c r="E4655" s="1"/>
      <c r="F4655" s="29">
        <v>46279</v>
      </c>
      <c r="G4655" s="29">
        <v>46279</v>
      </c>
      <c r="H4655" s="1" t="s">
        <v>10043</v>
      </c>
      <c r="I4655" s="175" t="s">
        <v>10342</v>
      </c>
      <c r="J4655" s="175" t="s">
        <v>10343</v>
      </c>
      <c r="K4655" s="188" t="s">
        <v>10344</v>
      </c>
      <c r="L4655" s="242">
        <v>24445578</v>
      </c>
      <c r="M4655" s="243">
        <v>7226014309</v>
      </c>
      <c r="N4655" s="171" t="s">
        <v>74</v>
      </c>
      <c r="O4655" s="50"/>
      <c r="P4655" s="97"/>
      <c r="Q4655" s="230">
        <f>OfficeForms.Table[[#This Row],[ INFORMEDEPAGO ]]*0.3</f>
        <v>0</v>
      </c>
      <c r="R4655" s="231">
        <f t="shared" si="384"/>
        <v>0</v>
      </c>
      <c r="T4655" s="239"/>
      <c r="U4655" s="97"/>
      <c r="V4655" s="1"/>
    </row>
    <row r="4656" spans="1:23">
      <c r="A4656">
        <v>3091</v>
      </c>
      <c r="B4656" s="2">
        <v>46279.540023148104</v>
      </c>
      <c r="C4656" s="2">
        <v>46279.5933449074</v>
      </c>
      <c r="D4656" s="1" t="s">
        <v>24</v>
      </c>
      <c r="E4656" s="1"/>
      <c r="F4656" s="29">
        <v>46279</v>
      </c>
      <c r="G4656" s="29">
        <v>46279</v>
      </c>
      <c r="H4656" s="1" t="s">
        <v>51</v>
      </c>
      <c r="I4656" s="175" t="s">
        <v>10345</v>
      </c>
      <c r="J4656" s="207" t="s">
        <v>10346</v>
      </c>
      <c r="K4656" s="188" t="s">
        <v>9776</v>
      </c>
      <c r="L4656" s="242">
        <v>24450184</v>
      </c>
      <c r="M4656" s="243">
        <v>5214494023776</v>
      </c>
      <c r="N4656" s="171" t="s">
        <v>106</v>
      </c>
      <c r="O4656" s="50">
        <f>16859.91+278+4014.75+2569.92</f>
        <v>23722.58</v>
      </c>
      <c r="P4656" s="97">
        <f>278+4014.75+2569.92</f>
        <v>6862.67</v>
      </c>
      <c r="Q4656" s="230">
        <f>OfficeForms.Table[[#This Row],[ INFORMEDEPAGO ]]*0.3</f>
        <v>7116.7740000000003</v>
      </c>
      <c r="R4656" s="231">
        <f t="shared" si="384"/>
        <v>254.10400000000027</v>
      </c>
      <c r="S4656" s="74">
        <v>45870</v>
      </c>
      <c r="T4656" s="239" t="s">
        <v>8338</v>
      </c>
      <c r="U4656" s="97">
        <v>2569.92</v>
      </c>
      <c r="V4656" s="1" t="s">
        <v>8936</v>
      </c>
      <c r="W4656" s="29">
        <v>46279</v>
      </c>
    </row>
    <row r="4657" spans="1:23">
      <c r="A4657">
        <v>3092</v>
      </c>
      <c r="B4657" s="2">
        <v>46279.596481481502</v>
      </c>
      <c r="C4657" s="2">
        <v>46279.597025463001</v>
      </c>
      <c r="D4657" s="1" t="s">
        <v>24</v>
      </c>
      <c r="E4657" s="1"/>
      <c r="F4657" s="29">
        <v>46279</v>
      </c>
      <c r="G4657" s="29">
        <v>46279</v>
      </c>
      <c r="H4657" s="1" t="s">
        <v>269</v>
      </c>
      <c r="I4657" s="175" t="s">
        <v>10347</v>
      </c>
      <c r="J4657" s="175" t="s">
        <v>10348</v>
      </c>
      <c r="K4657" s="188" t="s">
        <v>10349</v>
      </c>
      <c r="L4657" s="242">
        <v>24450614</v>
      </c>
      <c r="M4657" s="243">
        <v>5212227149293</v>
      </c>
      <c r="N4657" s="171" t="s">
        <v>28</v>
      </c>
      <c r="O4657" s="50">
        <v>29032.15</v>
      </c>
      <c r="P4657" s="97"/>
      <c r="Q4657" s="230">
        <f>OfficeForms.Table[[#This Row],[ INFORMEDEPAGO ]]*0.3</f>
        <v>8709.6450000000004</v>
      </c>
      <c r="R4657" s="231">
        <f>(IF(O4657&lt;4172.98,0,MIN(O4657*0.3,O4657-4172.98)))-P4657</f>
        <v>8709.6450000000004</v>
      </c>
      <c r="T4657" s="239"/>
      <c r="U4657" s="97"/>
      <c r="V4657" s="1" t="s">
        <v>8436</v>
      </c>
      <c r="W4657" s="29">
        <v>46279</v>
      </c>
    </row>
    <row r="4658" spans="1:23">
      <c r="A4658">
        <v>3093</v>
      </c>
      <c r="B4658" s="2">
        <v>46279.593368055597</v>
      </c>
      <c r="C4658" s="2">
        <v>46279.601944444403</v>
      </c>
      <c r="D4658" s="1" t="s">
        <v>24</v>
      </c>
      <c r="E4658" s="1"/>
      <c r="F4658" s="29">
        <v>46279</v>
      </c>
      <c r="G4658" s="29">
        <v>46279</v>
      </c>
      <c r="H4658" s="1" t="s">
        <v>51</v>
      </c>
      <c r="I4658" s="175" t="s">
        <v>10350</v>
      </c>
      <c r="J4658" s="207" t="s">
        <v>10351</v>
      </c>
      <c r="K4658" s="188" t="s">
        <v>10352</v>
      </c>
      <c r="L4658" s="242">
        <v>24436252</v>
      </c>
      <c r="M4658" s="243">
        <v>5218461088892</v>
      </c>
      <c r="N4658" s="171" t="s">
        <v>74</v>
      </c>
      <c r="O4658" s="50"/>
      <c r="P4658" s="97"/>
      <c r="Q4658" s="230">
        <f>OfficeForms.Table[[#This Row],[ INFORMEDEPAGO ]]*0.3</f>
        <v>0</v>
      </c>
      <c r="R4658" s="231">
        <f>(IF(O4658&lt;4172.98,0,MIN(O4658*0.3,O4658-4172.98)))-P4658</f>
        <v>0</v>
      </c>
      <c r="T4658" s="239"/>
      <c r="U4658" s="97"/>
      <c r="V4658" s="1"/>
    </row>
    <row r="4659" spans="1:23">
      <c r="A4659">
        <v>3094</v>
      </c>
      <c r="B4659" s="2">
        <v>46279.606712963003</v>
      </c>
      <c r="C4659" s="2">
        <v>46279.607372685197</v>
      </c>
      <c r="D4659" s="1" t="s">
        <v>24</v>
      </c>
      <c r="E4659" s="1"/>
      <c r="F4659" s="29">
        <v>46279</v>
      </c>
      <c r="G4659" s="29">
        <v>46275</v>
      </c>
      <c r="H4659" s="1" t="s">
        <v>269</v>
      </c>
      <c r="I4659" s="175" t="s">
        <v>9930</v>
      </c>
      <c r="J4659" s="207" t="s">
        <v>9931</v>
      </c>
      <c r="K4659" s="188" t="s">
        <v>9932</v>
      </c>
      <c r="L4659" s="242">
        <v>24362654</v>
      </c>
      <c r="M4659" s="243">
        <v>5215524059451</v>
      </c>
      <c r="N4659" s="171" t="s">
        <v>28</v>
      </c>
      <c r="O4659" s="50">
        <f>21627.63-10991.09</f>
        <v>10636.54</v>
      </c>
      <c r="P4659" s="97"/>
      <c r="Q4659" s="230">
        <f>OfficeForms.Table[[#This Row],[ INFORMEDEPAGO ]]*0.3</f>
        <v>3190.962</v>
      </c>
      <c r="R4659" s="231">
        <f>(IF(O4659&lt;4172.98,0,MIN(O4659*0.3,O4659-4172.98)))-P4659</f>
        <v>3190.962</v>
      </c>
      <c r="T4659" s="239"/>
      <c r="U4659" s="97"/>
      <c r="V4659" s="1" t="s">
        <v>8350</v>
      </c>
      <c r="W4659" s="29">
        <v>46279</v>
      </c>
    </row>
    <row r="4660" spans="1:23">
      <c r="A4660">
        <v>3095</v>
      </c>
      <c r="B4660" s="2">
        <v>46279.607314814799</v>
      </c>
      <c r="C4660" s="2">
        <v>46279.608680555597</v>
      </c>
      <c r="D4660" s="1" t="s">
        <v>24</v>
      </c>
      <c r="E4660" s="1"/>
      <c r="F4660" s="29">
        <v>46279</v>
      </c>
      <c r="G4660" s="29">
        <v>46279</v>
      </c>
      <c r="H4660" s="1" t="s">
        <v>9986</v>
      </c>
      <c r="I4660" s="175" t="s">
        <v>10353</v>
      </c>
      <c r="J4660" s="207">
        <v>43745760900</v>
      </c>
      <c r="K4660" s="188" t="s">
        <v>10354</v>
      </c>
      <c r="L4660" s="242">
        <v>24451126</v>
      </c>
      <c r="M4660" s="243">
        <v>8111799316</v>
      </c>
      <c r="N4660" s="171" t="s">
        <v>32</v>
      </c>
      <c r="O4660" s="50">
        <f>3351.87+848</f>
        <v>4199.87</v>
      </c>
      <c r="P4660" s="97"/>
      <c r="Q4660" s="230">
        <f>OfficeForms.Table[[#This Row],[ INFORMEDEPAGO ]]*0.3</f>
        <v>1259.961</v>
      </c>
      <c r="R4660" s="231">
        <f>(IF(O4660&lt;4172.98,0,MIN(O4660*0.3,O4660-4172.98)))-P4660</f>
        <v>26.890000000000327</v>
      </c>
      <c r="T4660" s="239"/>
      <c r="U4660" s="97"/>
      <c r="V4660" s="1"/>
    </row>
    <row r="4661" spans="1:23">
      <c r="A4661">
        <v>3096</v>
      </c>
      <c r="B4661" s="2">
        <v>46279.609606481499</v>
      </c>
      <c r="C4661" s="2">
        <v>46279.610925925903</v>
      </c>
      <c r="D4661" s="1" t="s">
        <v>24</v>
      </c>
      <c r="E4661" s="1"/>
      <c r="F4661" s="29">
        <v>46279</v>
      </c>
      <c r="G4661" s="29">
        <v>46279</v>
      </c>
      <c r="H4661" s="1" t="s">
        <v>10043</v>
      </c>
      <c r="I4661" s="175" t="s">
        <v>10355</v>
      </c>
      <c r="J4661" s="207"/>
      <c r="K4661" s="188" t="s">
        <v>10356</v>
      </c>
      <c r="L4661" s="242">
        <v>24451434</v>
      </c>
      <c r="M4661" s="243">
        <v>8442762583</v>
      </c>
      <c r="N4661" s="171" t="s">
        <v>98</v>
      </c>
      <c r="O4661" s="50"/>
      <c r="P4661" s="97"/>
      <c r="Q4661" s="230">
        <f>OfficeForms.Table[[#This Row],[ INFORMEDEPAGO ]]*0.3</f>
        <v>0</v>
      </c>
      <c r="R4661" s="231">
        <f>(IF(O4661&lt;4172.98,0,MIN(O4661*0.3,O4661-4172.98)))-P4661</f>
        <v>0</v>
      </c>
      <c r="T4661" s="239"/>
      <c r="U4661" s="97"/>
      <c r="V4661" s="1"/>
    </row>
    <row r="4662" spans="1:23">
      <c r="A4662">
        <v>3097</v>
      </c>
      <c r="B4662" s="2">
        <v>46279.601956018501</v>
      </c>
      <c r="C4662" s="2">
        <v>46279.6242361111</v>
      </c>
      <c r="D4662" s="1" t="s">
        <v>24</v>
      </c>
      <c r="E4662" s="1"/>
      <c r="F4662" s="29">
        <v>46279</v>
      </c>
      <c r="G4662" s="29">
        <v>46278</v>
      </c>
      <c r="H4662" s="1" t="s">
        <v>51</v>
      </c>
      <c r="I4662" s="175" t="s">
        <v>10357</v>
      </c>
      <c r="J4662" s="207"/>
      <c r="K4662" s="188" t="s">
        <v>10358</v>
      </c>
      <c r="L4662" s="242">
        <v>24433052</v>
      </c>
      <c r="M4662" s="243">
        <v>5219373787986</v>
      </c>
      <c r="N4662" s="171" t="s">
        <v>28</v>
      </c>
      <c r="O4662" s="50">
        <v>9760.32</v>
      </c>
      <c r="P4662" s="97"/>
      <c r="Q4662" s="230">
        <f>OfficeForms.Table[[#This Row],[ INFORMEDEPAGO ]]*0.3</f>
        <v>2928.096</v>
      </c>
      <c r="R4662" s="231">
        <f>(IF(O4662&lt;4172.98,0,MIN(O4662*0.3,O4662-4172.98)))-P4662</f>
        <v>2928.096</v>
      </c>
      <c r="T4662" s="239"/>
      <c r="U4662" s="97"/>
      <c r="V4662" s="1" t="s">
        <v>8915</v>
      </c>
      <c r="W4662" s="29">
        <v>46279</v>
      </c>
    </row>
    <row r="4663" spans="1:23">
      <c r="A4663">
        <v>3098</v>
      </c>
      <c r="B4663" s="2">
        <v>46279.629039351901</v>
      </c>
      <c r="C4663" s="2">
        <v>46279.629745370403</v>
      </c>
      <c r="D4663" s="1" t="s">
        <v>24</v>
      </c>
      <c r="E4663" s="1"/>
      <c r="F4663" s="29">
        <v>46279</v>
      </c>
      <c r="G4663" s="29">
        <v>46277</v>
      </c>
      <c r="H4663" s="1" t="s">
        <v>8253</v>
      </c>
      <c r="I4663" s="175" t="s">
        <v>10359</v>
      </c>
      <c r="J4663" s="207"/>
      <c r="K4663" s="188" t="s">
        <v>10360</v>
      </c>
      <c r="L4663" s="242">
        <v>24423430</v>
      </c>
      <c r="M4663" s="243">
        <v>5518046008</v>
      </c>
      <c r="N4663" s="171" t="s">
        <v>98</v>
      </c>
      <c r="O4663" s="50"/>
      <c r="P4663" s="97"/>
      <c r="Q4663" s="230">
        <f>OfficeForms.Table[[#This Row],[ INFORMEDEPAGO ]]*0.3</f>
        <v>0</v>
      </c>
      <c r="R4663" s="231">
        <f>(IF(O4663&lt;4172.98,0,MIN(O4663*0.3,O4663-4172.98)))-P4663</f>
        <v>0</v>
      </c>
      <c r="T4663" s="239"/>
      <c r="U4663" s="97"/>
      <c r="V4663" s="1"/>
    </row>
    <row r="4664" spans="1:23">
      <c r="A4664">
        <v>3099</v>
      </c>
      <c r="B4664" s="2">
        <v>46279.589178240698</v>
      </c>
      <c r="C4664" s="2">
        <v>46279.631863425901</v>
      </c>
      <c r="D4664" s="1" t="s">
        <v>24</v>
      </c>
      <c r="E4664" s="1"/>
      <c r="F4664" s="29">
        <v>46279</v>
      </c>
      <c r="G4664" s="29">
        <v>46279</v>
      </c>
      <c r="H4664" s="1" t="s">
        <v>78</v>
      </c>
      <c r="I4664" s="175" t="s">
        <v>10361</v>
      </c>
      <c r="J4664" s="207"/>
      <c r="K4664" s="188" t="s">
        <v>10362</v>
      </c>
      <c r="L4664" s="242">
        <v>24436210</v>
      </c>
      <c r="M4664" s="243">
        <v>5216143636659</v>
      </c>
      <c r="N4664" s="171" t="s">
        <v>28</v>
      </c>
      <c r="O4664" s="50">
        <v>40172.75</v>
      </c>
      <c r="P4664" s="97"/>
      <c r="Q4664" s="230">
        <f>OfficeForms.Table[[#This Row],[ INFORMEDEPAGO ]]*0.3</f>
        <v>12051.824999999999</v>
      </c>
      <c r="R4664" s="231">
        <f>(IF(O4664&lt;4172.98,0,MIN(O4664*0.3,O4664-4172.98)))-P4664</f>
        <v>12051.824999999999</v>
      </c>
      <c r="T4664" s="239"/>
      <c r="U4664" s="97"/>
      <c r="V4664" s="1" t="s">
        <v>8264</v>
      </c>
      <c r="W4664" s="29">
        <v>46279</v>
      </c>
    </row>
    <row r="4665" spans="1:23">
      <c r="A4665">
        <v>3100</v>
      </c>
      <c r="B4665" s="2">
        <v>46279.5488541667</v>
      </c>
      <c r="C4665" s="2">
        <v>46279.648622685199</v>
      </c>
      <c r="D4665" s="1" t="s">
        <v>24</v>
      </c>
      <c r="E4665" s="1"/>
      <c r="F4665" s="29">
        <v>46279</v>
      </c>
      <c r="G4665" s="29">
        <v>46278</v>
      </c>
      <c r="H4665" s="1" t="s">
        <v>8381</v>
      </c>
      <c r="I4665" s="175" t="s">
        <v>10363</v>
      </c>
      <c r="J4665" s="207"/>
      <c r="K4665" s="188" t="s">
        <v>10364</v>
      </c>
      <c r="L4665" s="242">
        <v>24432526</v>
      </c>
      <c r="M4665" s="243">
        <v>5215522148061</v>
      </c>
      <c r="N4665" s="171" t="s">
        <v>37</v>
      </c>
      <c r="O4665" s="52">
        <v>4813.6899999999996</v>
      </c>
      <c r="P4665" s="52">
        <v>617.88</v>
      </c>
      <c r="Q4665" s="230">
        <f>OfficeForms.Table[[#This Row],[ INFORMEDEPAGO ]]*0.3</f>
        <v>1444.1069999999997</v>
      </c>
      <c r="R4665" s="231">
        <f t="shared" ref="R4665:R4667" si="385">(IF(O4665&lt;4172.98,0,MIN(O4665*0.3,O4665-4172.98)))-P4665</f>
        <v>22.830000000000041</v>
      </c>
      <c r="S4665" s="74">
        <v>46569</v>
      </c>
      <c r="T4665" s="239" t="s">
        <v>7516</v>
      </c>
      <c r="U4665" s="52">
        <v>617.88</v>
      </c>
      <c r="V4665" s="1"/>
    </row>
    <row r="4666" spans="1:23">
      <c r="A4666">
        <v>3101</v>
      </c>
      <c r="B4666" s="2">
        <v>46279.420717592599</v>
      </c>
      <c r="C4666" s="2">
        <v>46279.6487962963</v>
      </c>
      <c r="D4666" s="1" t="s">
        <v>24</v>
      </c>
      <c r="E4666" s="1"/>
      <c r="F4666" s="29">
        <v>46279</v>
      </c>
      <c r="G4666" s="29">
        <v>46279</v>
      </c>
      <c r="H4666" s="1" t="s">
        <v>1625</v>
      </c>
      <c r="I4666" s="175" t="s">
        <v>10365</v>
      </c>
      <c r="J4666" s="207">
        <v>43826222242</v>
      </c>
      <c r="K4666" s="188" t="s">
        <v>10366</v>
      </c>
      <c r="L4666" s="242">
        <v>2</v>
      </c>
      <c r="M4666" s="243" t="s">
        <v>10367</v>
      </c>
      <c r="N4666" s="171" t="s">
        <v>106</v>
      </c>
      <c r="O4666" s="43">
        <v>5636.59</v>
      </c>
      <c r="P4666" s="43">
        <v>1544.05</v>
      </c>
      <c r="Q4666" s="230">
        <f>OfficeForms.Table[[#This Row],[ INFORMEDEPAGO ]]*0.3</f>
        <v>1690.9770000000001</v>
      </c>
      <c r="R4666" s="231">
        <f t="shared" si="385"/>
        <v>-80.439999999999372</v>
      </c>
      <c r="S4666" s="74">
        <v>46143</v>
      </c>
      <c r="T4666" s="239" t="s">
        <v>8897</v>
      </c>
      <c r="U4666" s="43">
        <v>1544.05</v>
      </c>
      <c r="V4666" s="1"/>
    </row>
    <row r="4667" spans="1:23">
      <c r="A4667">
        <v>3102</v>
      </c>
      <c r="B4667" s="2">
        <v>46279.644386574102</v>
      </c>
      <c r="C4667" s="2">
        <v>46279.649039351803</v>
      </c>
      <c r="D4667" s="1" t="s">
        <v>24</v>
      </c>
      <c r="E4667" s="1"/>
      <c r="F4667" s="29">
        <v>46279</v>
      </c>
      <c r="G4667" s="29">
        <v>46278</v>
      </c>
      <c r="H4667" s="1" t="s">
        <v>78</v>
      </c>
      <c r="I4667" s="175" t="s">
        <v>10368</v>
      </c>
      <c r="J4667" s="207">
        <v>6580610157</v>
      </c>
      <c r="K4667" s="188" t="s">
        <v>10369</v>
      </c>
      <c r="L4667" s="242">
        <v>24433294</v>
      </c>
      <c r="M4667" s="243">
        <v>5212294778714</v>
      </c>
      <c r="N4667" s="171" t="s">
        <v>37</v>
      </c>
      <c r="O4667" s="43">
        <v>19658.919999999998</v>
      </c>
      <c r="P4667" s="43">
        <v>5684.64</v>
      </c>
      <c r="Q4667" s="230">
        <f>OfficeForms.Table[[#This Row],[ INFORMEDEPAGO ]]*0.3</f>
        <v>5897.6759999999995</v>
      </c>
      <c r="R4667" s="231">
        <f t="shared" si="385"/>
        <v>213.03599999999915</v>
      </c>
      <c r="S4667" s="74">
        <v>46661</v>
      </c>
      <c r="T4667" s="239" t="s">
        <v>259</v>
      </c>
      <c r="U4667" s="43">
        <v>5684.64</v>
      </c>
      <c r="V4667" s="1"/>
    </row>
    <row r="4668" spans="1:23">
      <c r="A4668">
        <v>3103</v>
      </c>
      <c r="B4668" s="2">
        <v>46279.650451388901</v>
      </c>
      <c r="C4668" s="2">
        <v>46279.651504629597</v>
      </c>
      <c r="D4668" s="1" t="s">
        <v>24</v>
      </c>
      <c r="E4668" s="1"/>
      <c r="F4668" s="29">
        <v>46279</v>
      </c>
      <c r="G4668" s="29">
        <v>46276</v>
      </c>
      <c r="H4668" s="1" t="s">
        <v>9991</v>
      </c>
      <c r="I4668" s="175" t="s">
        <v>10370</v>
      </c>
      <c r="J4668" s="207"/>
      <c r="K4668" s="188" t="s">
        <v>10371</v>
      </c>
      <c r="L4668" s="242">
        <v>24398088</v>
      </c>
      <c r="M4668" s="243">
        <v>6681141616</v>
      </c>
      <c r="N4668" s="171" t="s">
        <v>130</v>
      </c>
      <c r="O4668" s="43">
        <v>36621.78</v>
      </c>
      <c r="P4668" s="43">
        <v>10595.5</v>
      </c>
      <c r="Q4668" s="230">
        <f>OfficeForms.Table[[#This Row],[ INFORMEDEPAGO ]]*0.3</f>
        <v>10986.534</v>
      </c>
      <c r="R4668" s="231">
        <f>(IF(O4668&lt;4172.98,0,MIN(O4668*0.3,O4668-4172.98)))-P4668</f>
        <v>391.03399999999965</v>
      </c>
      <c r="S4668" s="74">
        <v>46054</v>
      </c>
      <c r="T4668" s="239" t="s">
        <v>10372</v>
      </c>
      <c r="U4668" s="97">
        <v>454.3</v>
      </c>
      <c r="V4668" s="1" t="s">
        <v>8233</v>
      </c>
      <c r="W4668" s="29">
        <v>46279</v>
      </c>
    </row>
    <row r="4669" spans="1:23">
      <c r="A4669">
        <v>3104</v>
      </c>
      <c r="B4669" s="2">
        <v>46279.624259259297</v>
      </c>
      <c r="C4669" s="2">
        <v>46279.671342592599</v>
      </c>
      <c r="D4669" s="1" t="s">
        <v>24</v>
      </c>
      <c r="E4669" s="1"/>
      <c r="F4669" s="29">
        <v>46279</v>
      </c>
      <c r="G4669" s="29">
        <v>46277</v>
      </c>
      <c r="H4669" s="1" t="s">
        <v>51</v>
      </c>
      <c r="I4669" s="175" t="s">
        <v>10373</v>
      </c>
      <c r="J4669" s="207">
        <v>49906212821</v>
      </c>
      <c r="K4669" s="188" t="s">
        <v>10374</v>
      </c>
      <c r="L4669" s="242">
        <v>24419146</v>
      </c>
      <c r="M4669" s="243">
        <v>5218333906360</v>
      </c>
      <c r="N4669" s="171" t="s">
        <v>37</v>
      </c>
      <c r="O4669" s="52">
        <v>9154.1200000000008</v>
      </c>
      <c r="P4669" s="52">
        <v>2734.91</v>
      </c>
      <c r="Q4669" s="230">
        <f>OfficeForms.Table[[#This Row],[ INFORMEDEPAGO ]]*0.3</f>
        <v>2746.2360000000003</v>
      </c>
      <c r="R4669" s="231">
        <f>(IF(O4669&lt;4172.98,0,MIN(O4669*0.3,O4669-4172.98)))-P4669</f>
        <v>11.326000000000477</v>
      </c>
      <c r="S4669" s="74">
        <v>46784</v>
      </c>
      <c r="T4669" s="239" t="s">
        <v>84</v>
      </c>
      <c r="U4669" s="52">
        <v>2734.91</v>
      </c>
      <c r="V4669" s="1"/>
    </row>
    <row r="4670" spans="1:23">
      <c r="A4670">
        <v>3105</v>
      </c>
      <c r="B4670" s="2">
        <v>46279.676886574103</v>
      </c>
      <c r="C4670" s="2">
        <v>46279.677824074097</v>
      </c>
      <c r="D4670" s="1" t="s">
        <v>24</v>
      </c>
      <c r="E4670" s="1"/>
      <c r="F4670" s="29">
        <v>46279</v>
      </c>
      <c r="G4670" s="29">
        <v>46277</v>
      </c>
      <c r="H4670" s="1" t="s">
        <v>8253</v>
      </c>
      <c r="I4670" s="175" t="s">
        <v>10375</v>
      </c>
      <c r="J4670" s="207"/>
      <c r="K4670" s="188" t="s">
        <v>10376</v>
      </c>
      <c r="L4670" s="242">
        <v>24422376</v>
      </c>
      <c r="M4670" s="243">
        <v>2212663835</v>
      </c>
      <c r="N4670" s="171" t="s">
        <v>37</v>
      </c>
      <c r="O4670" s="52">
        <v>15344.74</v>
      </c>
      <c r="P4670" s="52">
        <v>4603.38</v>
      </c>
      <c r="Q4670" s="230">
        <f>OfficeForms.Table[[#This Row],[ INFORMEDEPAGO ]]*0.3</f>
        <v>4603.4219999999996</v>
      </c>
      <c r="R4670" s="231">
        <f t="shared" ref="R4670:R4671" si="386">(IF(O4670&lt;4172.98,0,MIN(O4670*0.3,O4670-4172.98)))-P4670</f>
        <v>4.1999999999461579E-2</v>
      </c>
      <c r="S4670" s="74">
        <v>46357</v>
      </c>
      <c r="T4670" s="239" t="s">
        <v>10377</v>
      </c>
      <c r="U4670" s="99">
        <v>3936.46</v>
      </c>
      <c r="V4670" s="1"/>
    </row>
    <row r="4671" spans="1:23">
      <c r="A4671">
        <v>3106</v>
      </c>
      <c r="B4671" s="2">
        <v>46279.648831018501</v>
      </c>
      <c r="C4671" s="2">
        <v>46279.677928240701</v>
      </c>
      <c r="D4671" s="1" t="s">
        <v>24</v>
      </c>
      <c r="E4671" s="1"/>
      <c r="F4671" s="29">
        <v>46279</v>
      </c>
      <c r="G4671" s="29">
        <v>46279</v>
      </c>
      <c r="H4671" s="1" t="s">
        <v>1625</v>
      </c>
      <c r="I4671" s="175" t="s">
        <v>10378</v>
      </c>
      <c r="J4671" s="207" t="s">
        <v>10379</v>
      </c>
      <c r="K4671" s="188" t="s">
        <v>10380</v>
      </c>
      <c r="L4671" s="242">
        <v>2</v>
      </c>
      <c r="M4671" s="243" t="s">
        <v>10381</v>
      </c>
      <c r="N4671" s="171" t="s">
        <v>37</v>
      </c>
      <c r="O4671" s="52">
        <v>9760.32</v>
      </c>
      <c r="P4671" s="52">
        <v>2820.04</v>
      </c>
      <c r="Q4671" s="230">
        <f>OfficeForms.Table[[#This Row],[ INFORMEDEPAGO ]]*0.3</f>
        <v>2928.096</v>
      </c>
      <c r="R4671" s="231">
        <f t="shared" si="386"/>
        <v>108.05600000000004</v>
      </c>
      <c r="S4671" s="74">
        <v>46753</v>
      </c>
      <c r="T4671" s="239" t="s">
        <v>7209</v>
      </c>
      <c r="U4671" s="99">
        <v>1860.27</v>
      </c>
      <c r="V4671" s="1"/>
    </row>
    <row r="4672" spans="1:23">
      <c r="A4672">
        <v>3107</v>
      </c>
      <c r="B4672" s="2">
        <v>46279.694317129601</v>
      </c>
      <c r="C4672" s="2">
        <v>46279.697256944397</v>
      </c>
      <c r="D4672" s="1" t="s">
        <v>24</v>
      </c>
      <c r="E4672" s="1"/>
      <c r="F4672" s="29">
        <v>46279</v>
      </c>
      <c r="G4672" s="29">
        <v>46279</v>
      </c>
      <c r="H4672" s="1" t="s">
        <v>269</v>
      </c>
      <c r="I4672" s="175" t="s">
        <v>10382</v>
      </c>
      <c r="J4672" s="175" t="s">
        <v>10383</v>
      </c>
      <c r="K4672" s="188" t="s">
        <v>10384</v>
      </c>
      <c r="L4672" s="242">
        <v>24453680</v>
      </c>
      <c r="M4672" s="243">
        <v>5216251576647</v>
      </c>
      <c r="N4672" s="171" t="s">
        <v>37</v>
      </c>
      <c r="O4672" s="43">
        <v>9081.52</v>
      </c>
      <c r="P4672" s="43">
        <v>2484</v>
      </c>
      <c r="Q4672" s="230">
        <f>OfficeForms.Table[[#This Row],[ INFORMEDEPAGO ]]*0.3</f>
        <v>2724.4560000000001</v>
      </c>
      <c r="R4672" s="231">
        <f t="shared" ref="R4672" si="387">(IF(O4672&lt;4172.98,0,MIN(O4672*0.3,O4672-4172.98)))-P4672</f>
        <v>240.45600000000013</v>
      </c>
      <c r="S4672" s="74">
        <v>46447</v>
      </c>
      <c r="T4672" s="239" t="s">
        <v>7209</v>
      </c>
      <c r="U4672" s="43">
        <v>2484</v>
      </c>
      <c r="V4672" s="1"/>
    </row>
    <row r="4673" spans="1:23">
      <c r="A4673">
        <v>3108</v>
      </c>
      <c r="B4673" s="2">
        <v>46279.671365740702</v>
      </c>
      <c r="C4673" s="2">
        <v>46279.699444444399</v>
      </c>
      <c r="D4673" s="1" t="s">
        <v>24</v>
      </c>
      <c r="E4673" s="1"/>
      <c r="F4673" s="29">
        <v>46279</v>
      </c>
      <c r="G4673" s="29">
        <v>46279</v>
      </c>
      <c r="H4673" s="1" t="s">
        <v>51</v>
      </c>
      <c r="I4673" s="175" t="s">
        <v>10385</v>
      </c>
      <c r="J4673" s="175" t="s">
        <v>10386</v>
      </c>
      <c r="K4673" s="188" t="s">
        <v>10387</v>
      </c>
      <c r="L4673" s="242">
        <v>24441276</v>
      </c>
      <c r="M4673" s="243">
        <v>5213741161680</v>
      </c>
      <c r="N4673" s="171" t="s">
        <v>37</v>
      </c>
      <c r="O4673" s="43">
        <v>8554.24</v>
      </c>
      <c r="P4673" s="43">
        <v>2370.16</v>
      </c>
      <c r="Q4673" s="230">
        <f>OfficeForms.Table[[#This Row],[ INFORMEDEPAGO ]]*0.3</f>
        <v>2566.2719999999999</v>
      </c>
      <c r="R4673" s="231">
        <f>(IF(O4673&lt;4172.98,0,MIN(O4673*0.3,O4673-4172.98)))-P4673</f>
        <v>196.11200000000008</v>
      </c>
      <c r="S4673" s="74">
        <v>46327</v>
      </c>
      <c r="T4673" s="239" t="s">
        <v>7209</v>
      </c>
      <c r="U4673" s="43">
        <v>2370.16</v>
      </c>
      <c r="V4673" s="1"/>
    </row>
    <row r="4674" spans="1:23">
      <c r="A4674">
        <v>3109</v>
      </c>
      <c r="B4674" s="2">
        <v>46279.681875000002</v>
      </c>
      <c r="C4674" s="2">
        <v>46279.700104166703</v>
      </c>
      <c r="D4674" s="1" t="s">
        <v>24</v>
      </c>
      <c r="E4674" s="1"/>
      <c r="F4674" s="29">
        <v>46279</v>
      </c>
      <c r="G4674" s="29">
        <v>46278</v>
      </c>
      <c r="H4674" s="1" t="s">
        <v>78</v>
      </c>
      <c r="I4674" s="175" t="s">
        <v>10388</v>
      </c>
      <c r="J4674" s="175"/>
      <c r="K4674" s="188" t="s">
        <v>10389</v>
      </c>
      <c r="L4674" s="242">
        <v>24432506</v>
      </c>
      <c r="M4674" s="243">
        <v>5213122005036</v>
      </c>
      <c r="N4674" s="171" t="s">
        <v>32</v>
      </c>
      <c r="O4674" s="43">
        <v>3961.31</v>
      </c>
      <c r="P4674" s="43">
        <v>879</v>
      </c>
      <c r="Q4674" s="230">
        <f>OfficeForms.Table[[#This Row],[ INFORMEDEPAGO ]]*0.3</f>
        <v>1188.393</v>
      </c>
      <c r="R4674" s="231">
        <f>(IF(O4674&lt;4172.98,0,MIN(O4674*0.3,O4674-4172.98)))-P4674</f>
        <v>-879</v>
      </c>
      <c r="T4674" s="239"/>
      <c r="U4674" s="97"/>
      <c r="V4674" s="1"/>
    </row>
    <row r="4675" spans="1:23">
      <c r="A4675">
        <v>3110</v>
      </c>
      <c r="B4675" s="2">
        <v>46279.714618055601</v>
      </c>
      <c r="C4675" s="2">
        <v>46279.715300925898</v>
      </c>
      <c r="D4675" s="1" t="s">
        <v>24</v>
      </c>
      <c r="E4675" s="1"/>
      <c r="F4675" s="29">
        <v>46279</v>
      </c>
      <c r="G4675" s="29">
        <v>46277</v>
      </c>
      <c r="H4675" s="1" t="s">
        <v>9991</v>
      </c>
      <c r="I4675" s="175" t="s">
        <v>10390</v>
      </c>
      <c r="J4675" s="175" t="s">
        <v>10391</v>
      </c>
      <c r="K4675" s="188"/>
      <c r="L4675" s="242">
        <v>24422216</v>
      </c>
      <c r="M4675" s="243">
        <v>8186006316</v>
      </c>
      <c r="N4675" s="171" t="s">
        <v>37</v>
      </c>
      <c r="O4675" s="43">
        <v>9760.32</v>
      </c>
      <c r="P4675" s="43">
        <v>2820.17</v>
      </c>
      <c r="Q4675" s="230">
        <f>OfficeForms.Table[[#This Row],[ INFORMEDEPAGO ]]*0.3</f>
        <v>2928.096</v>
      </c>
      <c r="R4675" s="231">
        <f>(IF(O4675&lt;4172.98,0,MIN(O4675*0.3,O4675-4172.98)))-P4675</f>
        <v>107.92599999999993</v>
      </c>
      <c r="S4675" s="74">
        <v>46722</v>
      </c>
      <c r="T4675" s="239" t="s">
        <v>8757</v>
      </c>
      <c r="U4675" s="43">
        <v>2820.17</v>
      </c>
      <c r="V4675" s="1"/>
    </row>
    <row r="4676" spans="1:23">
      <c r="A4676">
        <v>3111</v>
      </c>
      <c r="B4676" s="2">
        <v>46279.732314814799</v>
      </c>
      <c r="C4676" s="2">
        <v>46279.7328935185</v>
      </c>
      <c r="D4676" s="1" t="s">
        <v>24</v>
      </c>
      <c r="E4676" s="1"/>
      <c r="F4676" s="29">
        <v>46279</v>
      </c>
      <c r="G4676" s="29">
        <v>46279</v>
      </c>
      <c r="H4676" s="1" t="s">
        <v>269</v>
      </c>
      <c r="I4676" s="175" t="s">
        <v>10392</v>
      </c>
      <c r="J4676" s="175" t="s">
        <v>10393</v>
      </c>
      <c r="K4676" s="188" t="s">
        <v>10394</v>
      </c>
      <c r="L4676" s="242">
        <v>24455956</v>
      </c>
      <c r="M4676" s="243">
        <v>5212281610988</v>
      </c>
      <c r="N4676" s="171" t="s">
        <v>37</v>
      </c>
      <c r="O4676" s="43">
        <v>20334.88</v>
      </c>
      <c r="P4676" s="43">
        <v>5880.09</v>
      </c>
      <c r="Q4676" s="230">
        <f>OfficeForms.Table[[#This Row],[ INFORMEDEPAGO ]]*0.3</f>
        <v>6100.4639999999999</v>
      </c>
      <c r="R4676" s="231">
        <f>(IF(O4676&lt;4172.98,0,MIN(O4676*0.3,O4676-4172.98)))-P4676</f>
        <v>220.3739999999998</v>
      </c>
      <c r="S4676" s="74">
        <v>46478</v>
      </c>
      <c r="T4676" s="239" t="s">
        <v>7516</v>
      </c>
      <c r="U4676" s="43">
        <v>5880.09</v>
      </c>
      <c r="V4676" s="1"/>
    </row>
    <row r="4677" spans="1:23">
      <c r="A4677">
        <v>3112</v>
      </c>
      <c r="B4677" s="2">
        <v>46279.7288078704</v>
      </c>
      <c r="C4677" s="2">
        <v>46279.745879629598</v>
      </c>
      <c r="D4677" s="1" t="s">
        <v>24</v>
      </c>
      <c r="E4677" s="1"/>
      <c r="F4677" s="29">
        <v>46279</v>
      </c>
      <c r="G4677" s="29">
        <v>46279</v>
      </c>
      <c r="H4677" s="1" t="s">
        <v>78</v>
      </c>
      <c r="I4677" s="175" t="s">
        <v>10395</v>
      </c>
      <c r="J4677" s="175"/>
      <c r="K4677" s="188" t="s">
        <v>10396</v>
      </c>
      <c r="L4677" s="242">
        <v>24453148</v>
      </c>
      <c r="M4677" s="243">
        <v>5216672355141</v>
      </c>
      <c r="N4677" s="171" t="s">
        <v>28</v>
      </c>
      <c r="O4677" s="50">
        <v>10636.54</v>
      </c>
      <c r="P4677" s="97"/>
      <c r="Q4677" s="230">
        <f>OfficeForms.Table[[#This Row],[ INFORMEDEPAGO ]]*0.3</f>
        <v>3190.962</v>
      </c>
      <c r="R4677" s="231">
        <f>(IF(O4677&lt;4172.98,0,MIN(O4677*0.3,O4677-4172.98)))-P4677</f>
        <v>3190.962</v>
      </c>
      <c r="T4677" s="239"/>
      <c r="U4677" s="97"/>
      <c r="V4677" s="1" t="s">
        <v>8535</v>
      </c>
      <c r="W4677" s="29">
        <v>46279</v>
      </c>
    </row>
    <row r="4678" spans="1:23">
      <c r="A4678">
        <v>3113</v>
      </c>
      <c r="B4678" s="2">
        <v>46279.756585648203</v>
      </c>
      <c r="C4678" s="2">
        <v>46279.757442129601</v>
      </c>
      <c r="D4678" s="1" t="s">
        <v>24</v>
      </c>
      <c r="E4678" s="1"/>
      <c r="F4678" s="29">
        <v>46279</v>
      </c>
      <c r="G4678" s="29">
        <v>46279</v>
      </c>
      <c r="H4678" s="1" t="s">
        <v>269</v>
      </c>
      <c r="I4678" s="175" t="s">
        <v>10397</v>
      </c>
      <c r="J4678" s="175" t="s">
        <v>10398</v>
      </c>
      <c r="K4678" s="188" t="s">
        <v>10399</v>
      </c>
      <c r="L4678" s="242">
        <v>24456524</v>
      </c>
      <c r="M4678" s="243">
        <v>24456524</v>
      </c>
      <c r="N4678" s="171" t="s">
        <v>28</v>
      </c>
      <c r="O4678" s="50">
        <f>24109.49-13472.95</f>
        <v>10636.54</v>
      </c>
      <c r="P4678" s="97"/>
      <c r="Q4678" s="230">
        <f>OfficeForms.Table[[#This Row],[ INFORMEDEPAGO ]]*0.3</f>
        <v>3190.962</v>
      </c>
      <c r="R4678" s="231">
        <f>(IF(O4678&lt;4172.98,0,MIN(O4678*0.3,O4678-4172.98)))-P4678</f>
        <v>3190.962</v>
      </c>
      <c r="T4678" s="239"/>
      <c r="U4678" s="97"/>
      <c r="V4678" s="1" t="s">
        <v>9958</v>
      </c>
      <c r="W4678" s="29">
        <v>46279</v>
      </c>
    </row>
    <row r="4679" spans="1:23">
      <c r="A4679">
        <v>3114</v>
      </c>
      <c r="B4679" s="2">
        <v>46279.773414351803</v>
      </c>
      <c r="C4679" s="2">
        <v>46279.774074074099</v>
      </c>
      <c r="D4679" s="1" t="s">
        <v>24</v>
      </c>
      <c r="E4679" s="1"/>
      <c r="F4679" s="29">
        <v>46279</v>
      </c>
      <c r="G4679" s="29">
        <v>46277</v>
      </c>
      <c r="H4679" s="1" t="s">
        <v>8253</v>
      </c>
      <c r="I4679" s="175" t="s">
        <v>10400</v>
      </c>
      <c r="J4679" s="175"/>
      <c r="K4679" s="188" t="s">
        <v>10401</v>
      </c>
      <c r="L4679" s="242">
        <v>24423322</v>
      </c>
      <c r="M4679" s="243">
        <v>5518126696</v>
      </c>
      <c r="N4679" s="171" t="s">
        <v>47</v>
      </c>
      <c r="O4679" s="43">
        <v>41132.89</v>
      </c>
      <c r="P4679" s="43">
        <v>11898.98</v>
      </c>
      <c r="Q4679" s="230">
        <f>OfficeForms.Table[[#This Row],[ INFORMEDEPAGO ]]*0.3</f>
        <v>12339.867</v>
      </c>
      <c r="R4679" s="231">
        <f>(IF(O4679&lt;4172.98,0,MIN(O4679*0.3,O4679-4172.98)))-P4679</f>
        <v>440.88700000000063</v>
      </c>
      <c r="S4679" s="74">
        <v>46661</v>
      </c>
      <c r="T4679" s="239" t="s">
        <v>8319</v>
      </c>
      <c r="U4679" s="43">
        <v>11898.98</v>
      </c>
      <c r="V4679" s="1" t="s">
        <v>8350</v>
      </c>
      <c r="W4679" s="29">
        <v>46279</v>
      </c>
    </row>
    <row r="4680" spans="1:23">
      <c r="A4680">
        <v>3115</v>
      </c>
      <c r="B4680" s="2">
        <v>46280.322210648097</v>
      </c>
      <c r="C4680" s="2">
        <v>46280.363796296297</v>
      </c>
      <c r="D4680" s="1" t="s">
        <v>24</v>
      </c>
      <c r="E4680" s="1"/>
      <c r="F4680" s="29">
        <v>46280</v>
      </c>
      <c r="G4680" s="29">
        <v>46280</v>
      </c>
      <c r="H4680" s="1" t="s">
        <v>1625</v>
      </c>
      <c r="I4680" s="251"/>
      <c r="J4680" s="251" t="s">
        <v>10402</v>
      </c>
      <c r="K4680" s="188" t="s">
        <v>4438</v>
      </c>
      <c r="L4680" s="242">
        <v>2</v>
      </c>
      <c r="M4680" s="243" t="s">
        <v>10403</v>
      </c>
      <c r="N4680" s="171" t="s">
        <v>37</v>
      </c>
      <c r="O4680" s="43">
        <v>28019.74</v>
      </c>
      <c r="P4680" s="43">
        <v>8391.69</v>
      </c>
      <c r="Q4680" s="230">
        <f>OfficeForms.Table[[#This Row],[ INFORMEDEPAGO ]]*0.3</f>
        <v>8405.9220000000005</v>
      </c>
      <c r="R4680" s="231">
        <f>(IF(O4680&lt;4172.98,0,MIN(O4680*0.3,O4680-4172.98)))-P4680</f>
        <v>14.231999999999971</v>
      </c>
      <c r="S4680" s="74">
        <v>46753</v>
      </c>
      <c r="T4680" s="239"/>
      <c r="U4680" s="97"/>
      <c r="V4680" s="1"/>
    </row>
    <row r="4681" spans="1:23">
      <c r="A4681">
        <v>3116</v>
      </c>
      <c r="B4681" s="2">
        <v>46280.3833101852</v>
      </c>
      <c r="C4681" s="2">
        <v>46280.391145833302</v>
      </c>
      <c r="D4681" s="1" t="s">
        <v>24</v>
      </c>
      <c r="E4681" s="1"/>
      <c r="F4681" s="29">
        <v>46280</v>
      </c>
      <c r="G4681" s="29">
        <v>46279</v>
      </c>
      <c r="H4681" s="1" t="s">
        <v>51</v>
      </c>
      <c r="I4681" s="251" t="s">
        <v>10404</v>
      </c>
      <c r="J4681" s="251"/>
      <c r="K4681" s="188" t="s">
        <v>10405</v>
      </c>
      <c r="L4681" s="242">
        <v>24456054</v>
      </c>
      <c r="M4681" s="243">
        <v>5215527086083</v>
      </c>
      <c r="N4681" s="171" t="s">
        <v>32</v>
      </c>
      <c r="O4681" s="50"/>
      <c r="P4681" s="97"/>
      <c r="Q4681" s="230">
        <f>OfficeForms.Table[[#This Row],[ INFORMEDEPAGO ]]*0.3</f>
        <v>0</v>
      </c>
      <c r="R4681" s="231">
        <f>(IF(O4681&lt;4172.98,0,MIN(O4681*0.3,O4681-4172.98)))-P4681</f>
        <v>0</v>
      </c>
      <c r="T4681" s="239"/>
      <c r="U4681" s="97"/>
      <c r="V4681" s="1"/>
    </row>
    <row r="4682" spans="1:23">
      <c r="A4682">
        <v>3117</v>
      </c>
      <c r="B4682" s="2">
        <v>46280.393738425897</v>
      </c>
      <c r="C4682" s="2">
        <v>46280.394270833298</v>
      </c>
      <c r="D4682" s="1" t="s">
        <v>24</v>
      </c>
      <c r="E4682" s="1"/>
      <c r="F4682" s="29">
        <v>46280</v>
      </c>
      <c r="G4682" s="29">
        <v>46278</v>
      </c>
      <c r="H4682" s="1" t="s">
        <v>269</v>
      </c>
      <c r="I4682" s="251" t="s">
        <v>10406</v>
      </c>
      <c r="J4682" s="252" t="s">
        <v>10407</v>
      </c>
      <c r="K4682" s="188"/>
      <c r="L4682" s="242">
        <v>24433794</v>
      </c>
      <c r="M4682" s="243">
        <v>5212282284613</v>
      </c>
      <c r="N4682" s="171" t="s">
        <v>106</v>
      </c>
      <c r="O4682" s="43">
        <v>18588.330000000002</v>
      </c>
      <c r="P4682" s="43">
        <v>5373.54</v>
      </c>
      <c r="Q4682" s="230">
        <f>OfficeForms.Table[[#This Row],[ INFORMEDEPAGO ]]*0.3</f>
        <v>5576.4990000000007</v>
      </c>
      <c r="R4682" s="231">
        <f>(IF(O4682&lt;4172.98,0,MIN(O4682*0.3,O4682-4172.98)))-P4682</f>
        <v>202.95900000000074</v>
      </c>
      <c r="S4682" s="74">
        <v>46266</v>
      </c>
      <c r="T4682" s="239" t="s">
        <v>6855</v>
      </c>
      <c r="U4682" s="97">
        <v>3060.26</v>
      </c>
      <c r="V4682" s="1" t="s">
        <v>10408</v>
      </c>
      <c r="W4682" s="29">
        <v>46280</v>
      </c>
    </row>
    <row r="4683" spans="1:23">
      <c r="A4683">
        <v>3118</v>
      </c>
      <c r="B4683" s="2">
        <v>46280.3911689815</v>
      </c>
      <c r="C4683" s="2">
        <v>46280.397604166697</v>
      </c>
      <c r="D4683" s="1" t="s">
        <v>24</v>
      </c>
      <c r="E4683" s="1"/>
      <c r="F4683" s="29">
        <v>46280</v>
      </c>
      <c r="G4683" s="29">
        <v>46279</v>
      </c>
      <c r="H4683" s="1" t="s">
        <v>51</v>
      </c>
      <c r="I4683" s="251" t="s">
        <v>10409</v>
      </c>
      <c r="J4683" s="252"/>
      <c r="K4683" s="188" t="s">
        <v>10410</v>
      </c>
      <c r="L4683" s="242">
        <v>24452844</v>
      </c>
      <c r="M4683" s="243">
        <v>5218715779109</v>
      </c>
      <c r="N4683" s="171" t="s">
        <v>37</v>
      </c>
      <c r="O4683" s="52">
        <v>11029.03</v>
      </c>
      <c r="P4683" s="43">
        <f>2605+703.71</f>
        <v>3308.71</v>
      </c>
      <c r="Q4683" s="230">
        <f>OfficeForms.Table[[#This Row],[ INFORMEDEPAGO ]]*0.3</f>
        <v>3308.7090000000003</v>
      </c>
      <c r="R4683" s="231">
        <f>(IF(O4683&lt;4172.98,0,MIN(O4683*0.3,O4683-4172.98)))-P4683</f>
        <v>-9.9999999974897946E-4</v>
      </c>
      <c r="S4683" s="74">
        <v>46874</v>
      </c>
      <c r="T4683" s="239" t="s">
        <v>10411</v>
      </c>
      <c r="U4683" s="97">
        <v>1000</v>
      </c>
      <c r="V4683" s="1"/>
    </row>
    <row r="4684" spans="1:23">
      <c r="A4684">
        <v>3119</v>
      </c>
      <c r="B4684" s="2">
        <v>46280.3976273148</v>
      </c>
      <c r="C4684" s="2">
        <v>46280.4089467593</v>
      </c>
      <c r="D4684" s="1" t="s">
        <v>24</v>
      </c>
      <c r="E4684" s="1"/>
      <c r="F4684" s="29">
        <v>46280</v>
      </c>
      <c r="G4684" s="29">
        <v>46280</v>
      </c>
      <c r="H4684" s="1" t="s">
        <v>51</v>
      </c>
      <c r="I4684" s="251" t="s">
        <v>10412</v>
      </c>
      <c r="J4684" s="207">
        <v>10725432255</v>
      </c>
      <c r="K4684" s="188" t="s">
        <v>10413</v>
      </c>
      <c r="L4684" s="242">
        <v>24464736</v>
      </c>
      <c r="M4684" s="243">
        <v>5215643508968</v>
      </c>
      <c r="N4684" s="171" t="s">
        <v>74</v>
      </c>
      <c r="O4684" s="50"/>
      <c r="P4684" s="97"/>
      <c r="Q4684" s="230">
        <f>OfficeForms.Table[[#This Row],[ INFORMEDEPAGO ]]*0.3</f>
        <v>0</v>
      </c>
      <c r="R4684" s="231">
        <f t="shared" ref="R4684:R4685" si="388">(IF(O4684&lt;4172.98,0,MIN(O4684*0.3,O4684-4172.98)))-P4684</f>
        <v>0</v>
      </c>
      <c r="T4684" s="239"/>
      <c r="U4684" s="97"/>
      <c r="V4684" s="1"/>
    </row>
    <row r="4685" spans="1:23">
      <c r="A4685">
        <v>3120</v>
      </c>
      <c r="B4685" s="2">
        <v>46279.648668981499</v>
      </c>
      <c r="C4685" s="2">
        <v>46280.409004629597</v>
      </c>
      <c r="D4685" s="1" t="s">
        <v>24</v>
      </c>
      <c r="E4685" s="1"/>
      <c r="F4685" s="29">
        <v>46280</v>
      </c>
      <c r="G4685" s="29">
        <v>46279</v>
      </c>
      <c r="H4685" s="1" t="s">
        <v>8381</v>
      </c>
      <c r="I4685" s="251" t="s">
        <v>10414</v>
      </c>
      <c r="J4685" s="252"/>
      <c r="K4685" s="188" t="s">
        <v>10415</v>
      </c>
      <c r="L4685" s="242">
        <v>24449494</v>
      </c>
      <c r="M4685" s="243">
        <v>5215523293873</v>
      </c>
      <c r="N4685" s="171" t="s">
        <v>37</v>
      </c>
      <c r="O4685" s="52">
        <v>12415.5</v>
      </c>
      <c r="P4685" s="52">
        <v>3721.51</v>
      </c>
      <c r="Q4685" s="230">
        <f>OfficeForms.Table[[#This Row],[ INFORMEDEPAGO ]]*0.3</f>
        <v>3724.6499999999996</v>
      </c>
      <c r="R4685" s="231">
        <f t="shared" si="388"/>
        <v>3.1399999999994179</v>
      </c>
      <c r="S4685" s="74">
        <v>46357</v>
      </c>
      <c r="T4685" s="239" t="s">
        <v>7209</v>
      </c>
      <c r="U4685" s="97">
        <v>1547.61</v>
      </c>
      <c r="V4685" s="1"/>
    </row>
    <row r="4686" spans="1:23">
      <c r="A4686">
        <v>3121</v>
      </c>
      <c r="B4686" s="2">
        <v>46279.656527777799</v>
      </c>
      <c r="C4686" s="2">
        <v>46280.4469328704</v>
      </c>
      <c r="D4686" s="1" t="s">
        <v>24</v>
      </c>
      <c r="E4686" s="1"/>
      <c r="F4686" s="29">
        <v>46280</v>
      </c>
      <c r="G4686" s="29">
        <v>46275</v>
      </c>
      <c r="H4686" s="1" t="s">
        <v>10043</v>
      </c>
      <c r="I4686" s="251" t="s">
        <v>10416</v>
      </c>
      <c r="J4686" s="252"/>
      <c r="K4686" s="188" t="s">
        <v>10417</v>
      </c>
      <c r="L4686" s="242">
        <v>24371460</v>
      </c>
      <c r="M4686" s="243">
        <v>5657851969</v>
      </c>
      <c r="N4686" s="171" t="s">
        <v>130</v>
      </c>
      <c r="O4686" s="43">
        <v>5617.64</v>
      </c>
      <c r="P4686" s="43">
        <v>1387.65</v>
      </c>
      <c r="Q4686" s="230">
        <f>OfficeForms.Table[[#This Row],[ INFORMEDEPAGO ]]*0.3</f>
        <v>1685.2920000000001</v>
      </c>
      <c r="R4686" s="231">
        <f>(IF(O4686&lt;4172.98,0,MIN(O4686*0.3,O4686-4172.98)))-P4686</f>
        <v>57.010000000000673</v>
      </c>
      <c r="S4686" s="74">
        <v>45444</v>
      </c>
      <c r="T4686" s="239" t="s">
        <v>10418</v>
      </c>
      <c r="U4686" s="97">
        <v>444.72</v>
      </c>
      <c r="V4686" s="1" t="s">
        <v>8233</v>
      </c>
      <c r="W4686" s="29">
        <v>46280</v>
      </c>
    </row>
    <row r="4687" spans="1:23">
      <c r="A4687">
        <v>3122</v>
      </c>
      <c r="B4687" s="2">
        <v>46280.3979861111</v>
      </c>
      <c r="C4687" s="2">
        <v>46280.454641203702</v>
      </c>
      <c r="D4687" s="1" t="s">
        <v>24</v>
      </c>
      <c r="E4687" s="1"/>
      <c r="F4687" s="29">
        <v>46280</v>
      </c>
      <c r="G4687" s="29">
        <v>46276</v>
      </c>
      <c r="H4687" s="1" t="s">
        <v>269</v>
      </c>
      <c r="I4687" s="251" t="s">
        <v>10419</v>
      </c>
      <c r="J4687" s="251" t="s">
        <v>10420</v>
      </c>
      <c r="K4687" s="188"/>
      <c r="L4687" s="242">
        <v>24405518</v>
      </c>
      <c r="M4687" s="243">
        <v>5218713485215</v>
      </c>
      <c r="N4687" s="171" t="s">
        <v>32</v>
      </c>
      <c r="O4687" s="43">
        <v>4443.28</v>
      </c>
      <c r="P4687" s="43">
        <v>879</v>
      </c>
      <c r="Q4687" s="230">
        <f>OfficeForms.Table[[#This Row],[ INFORMEDEPAGO ]]*0.3</f>
        <v>1332.9839999999999</v>
      </c>
      <c r="R4687" s="231">
        <f>(IF(O4687&lt;4172.98,0,MIN(O4687*0.3,O4687-4172.98)))-P4687</f>
        <v>-608.69999999999982</v>
      </c>
      <c r="T4687" s="239"/>
      <c r="U4687" s="97"/>
      <c r="V4687" s="1"/>
    </row>
    <row r="4688" spans="1:23">
      <c r="A4688">
        <v>3123</v>
      </c>
      <c r="B4688" s="2">
        <v>46280.455451388902</v>
      </c>
      <c r="C4688" s="2">
        <v>46280.456354166701</v>
      </c>
      <c r="D4688" s="1" t="s">
        <v>24</v>
      </c>
      <c r="E4688" s="1"/>
      <c r="F4688" s="29">
        <v>46280</v>
      </c>
      <c r="G4688" s="29">
        <v>46280</v>
      </c>
      <c r="H4688" s="1" t="s">
        <v>269</v>
      </c>
      <c r="I4688" s="251" t="s">
        <v>10421</v>
      </c>
      <c r="J4688" s="251"/>
      <c r="K4688" s="188" t="s">
        <v>10422</v>
      </c>
      <c r="L4688" s="242">
        <v>24471826</v>
      </c>
      <c r="M4688" s="243">
        <v>5215579470898</v>
      </c>
      <c r="N4688" s="171" t="s">
        <v>47</v>
      </c>
      <c r="O4688" s="43">
        <v>24862.55</v>
      </c>
      <c r="P4688" s="43">
        <v>6595</v>
      </c>
      <c r="Q4688" s="230">
        <f>OfficeForms.Table[[#This Row],[ INFORMEDEPAGO ]]*0.3</f>
        <v>7458.7649999999994</v>
      </c>
      <c r="R4688" s="231">
        <f>(IF(O4688&lt;4172.98,0,MIN(O4688*0.3,O4688-4172.98)))-P4688</f>
        <v>863.76499999999942</v>
      </c>
      <c r="S4688" s="74">
        <v>46569</v>
      </c>
      <c r="T4688" s="239" t="s">
        <v>7209</v>
      </c>
      <c r="U4688" s="97">
        <v>6595</v>
      </c>
      <c r="V4688" s="1" t="s">
        <v>8233</v>
      </c>
      <c r="W4688" s="29">
        <v>46280</v>
      </c>
    </row>
    <row r="4689" spans="1:23">
      <c r="A4689">
        <v>3124</v>
      </c>
      <c r="B4689" s="2">
        <v>46280.363842592596</v>
      </c>
      <c r="C4689" s="2">
        <v>46280.4585069444</v>
      </c>
      <c r="D4689" s="1" t="s">
        <v>24</v>
      </c>
      <c r="E4689" s="1"/>
      <c r="F4689" s="29">
        <v>46280</v>
      </c>
      <c r="G4689" s="29">
        <v>46280</v>
      </c>
      <c r="H4689" s="1" t="s">
        <v>1625</v>
      </c>
      <c r="I4689" s="251" t="s">
        <v>10423</v>
      </c>
      <c r="J4689" s="251" t="s">
        <v>10424</v>
      </c>
      <c r="K4689" s="188" t="s">
        <v>10425</v>
      </c>
      <c r="L4689" s="242">
        <v>2</v>
      </c>
      <c r="M4689" s="243">
        <v>4421735939</v>
      </c>
      <c r="N4689" s="171" t="s">
        <v>37</v>
      </c>
      <c r="O4689" s="52">
        <v>9902.0499999999993</v>
      </c>
      <c r="P4689" s="52">
        <v>2863.99</v>
      </c>
      <c r="Q4689" s="230">
        <f>OfficeForms.Table[[#This Row],[ INFORMEDEPAGO ]]*0.3</f>
        <v>2970.6149999999998</v>
      </c>
      <c r="R4689" s="231">
        <f>(IF(O4689&lt;4172.98,0,MIN(O4689*0.3,O4689-4172.98)))-P4689</f>
        <v>106.625</v>
      </c>
      <c r="S4689" s="74">
        <v>46722</v>
      </c>
      <c r="T4689" s="239" t="s">
        <v>7209</v>
      </c>
      <c r="U4689" s="52">
        <v>2863.99</v>
      </c>
      <c r="V4689" s="1"/>
    </row>
    <row r="4690" spans="1:23">
      <c r="A4690">
        <v>3125</v>
      </c>
      <c r="B4690" s="2">
        <v>46280.408981481502</v>
      </c>
      <c r="C4690" s="2">
        <v>46280.460277777798</v>
      </c>
      <c r="D4690" s="1" t="s">
        <v>24</v>
      </c>
      <c r="E4690" s="1"/>
      <c r="F4690" s="29">
        <v>46280</v>
      </c>
      <c r="G4690" s="29">
        <v>46279</v>
      </c>
      <c r="H4690" s="1" t="s">
        <v>51</v>
      </c>
      <c r="I4690" s="251" t="s">
        <v>10426</v>
      </c>
      <c r="J4690" s="251"/>
      <c r="K4690" s="188" t="s">
        <v>10427</v>
      </c>
      <c r="L4690" s="242">
        <v>24456608</v>
      </c>
      <c r="M4690" s="243">
        <v>5218113206966</v>
      </c>
      <c r="N4690" s="171" t="s">
        <v>106</v>
      </c>
      <c r="O4690" s="52">
        <v>9418.66</v>
      </c>
      <c r="P4690" s="52">
        <v>2317.29</v>
      </c>
      <c r="Q4690" s="230">
        <f>OfficeForms.Table[[#This Row],[ INFORMEDEPAGO ]]*0.3</f>
        <v>2825.598</v>
      </c>
      <c r="R4690" s="231">
        <f>(IF(O4690&lt;4172.98,0,MIN(O4690*0.3,O4690-4172.98)))-P4690</f>
        <v>508.30799999999999</v>
      </c>
      <c r="S4690" s="74">
        <v>45627</v>
      </c>
      <c r="T4690" s="239" t="s">
        <v>7516</v>
      </c>
      <c r="U4690" s="52">
        <v>2317.29</v>
      </c>
      <c r="V4690" s="1" t="s">
        <v>10408</v>
      </c>
      <c r="W4690" s="29">
        <v>46280</v>
      </c>
    </row>
    <row r="4691" spans="1:23">
      <c r="A4691">
        <v>3126</v>
      </c>
      <c r="B4691" s="2">
        <v>46280.458541666703</v>
      </c>
      <c r="C4691" s="2">
        <v>46280.4688425926</v>
      </c>
      <c r="D4691" s="1" t="s">
        <v>24</v>
      </c>
      <c r="E4691" s="1"/>
      <c r="F4691" s="29">
        <v>46280</v>
      </c>
      <c r="G4691" s="29">
        <v>46280</v>
      </c>
      <c r="H4691" s="1" t="s">
        <v>1625</v>
      </c>
      <c r="I4691" s="251" t="s">
        <v>10428</v>
      </c>
      <c r="J4691" s="175">
        <v>49786105509</v>
      </c>
      <c r="K4691" s="188" t="s">
        <v>10429</v>
      </c>
      <c r="L4691" s="242">
        <v>2</v>
      </c>
      <c r="M4691" s="243">
        <v>8139906435</v>
      </c>
      <c r="N4691" s="171" t="s">
        <v>37</v>
      </c>
      <c r="O4691" s="43">
        <v>7116.73</v>
      </c>
      <c r="P4691" s="43">
        <v>2135</v>
      </c>
      <c r="Q4691" s="230">
        <f>OfficeForms.Table[[#This Row],[ INFORMEDEPAGO ]]*0.3</f>
        <v>2135.0189999999998</v>
      </c>
      <c r="R4691" s="231">
        <f>(IF(O4691&lt;4172.98,0,MIN(O4691*0.3,O4691-4172.98)))-P4691</f>
        <v>1.8999999999778083E-2</v>
      </c>
      <c r="S4691" s="74">
        <v>46447</v>
      </c>
      <c r="T4691" s="239" t="s">
        <v>7516</v>
      </c>
      <c r="U4691" s="97">
        <v>1119</v>
      </c>
      <c r="V4691" s="1"/>
    </row>
    <row r="4692" spans="1:23">
      <c r="A4692">
        <v>3127</v>
      </c>
      <c r="B4692" s="2">
        <v>46280.465289351901</v>
      </c>
      <c r="C4692" s="2">
        <v>46280.473229166702</v>
      </c>
      <c r="D4692" s="1" t="s">
        <v>24</v>
      </c>
      <c r="E4692" s="1"/>
      <c r="F4692" s="29">
        <v>46280</v>
      </c>
      <c r="G4692" s="29">
        <v>46280</v>
      </c>
      <c r="H4692" s="1" t="s">
        <v>10043</v>
      </c>
      <c r="I4692" s="251" t="s">
        <v>10430</v>
      </c>
      <c r="J4692" s="251" t="s">
        <v>10431</v>
      </c>
      <c r="K4692" s="188"/>
      <c r="L4692" s="242">
        <v>24475770</v>
      </c>
      <c r="M4692" s="243">
        <v>2282814848</v>
      </c>
      <c r="N4692" s="171" t="s">
        <v>32</v>
      </c>
      <c r="O4692" s="52">
        <v>4385.34</v>
      </c>
      <c r="P4692" s="52">
        <v>879</v>
      </c>
      <c r="Q4692" s="230">
        <f>OfficeForms.Table[[#This Row],[ INFORMEDEPAGO ]]*0.3</f>
        <v>1315.6020000000001</v>
      </c>
      <c r="R4692" s="231">
        <f>(IF(O4692&lt;4172.98,0,MIN(O4692*0.3,O4692-4172.98)))-P4692</f>
        <v>-666.63999999999942</v>
      </c>
      <c r="T4692" s="239"/>
      <c r="U4692" s="97"/>
      <c r="V4692" s="1"/>
    </row>
    <row r="4693" spans="1:23">
      <c r="A4693">
        <v>3128</v>
      </c>
      <c r="B4693" s="2">
        <v>46280.490740740701</v>
      </c>
      <c r="C4693" s="2">
        <v>46280.491666666698</v>
      </c>
      <c r="D4693" s="1" t="s">
        <v>24</v>
      </c>
      <c r="E4693" s="1"/>
      <c r="F4693" s="29">
        <v>46280</v>
      </c>
      <c r="G4693" s="29">
        <v>46279</v>
      </c>
      <c r="H4693" s="1" t="s">
        <v>10043</v>
      </c>
      <c r="I4693" s="251" t="s">
        <v>10432</v>
      </c>
      <c r="J4693" s="251"/>
      <c r="K4693" s="188" t="s">
        <v>10433</v>
      </c>
      <c r="L4693" s="242">
        <v>24455812</v>
      </c>
      <c r="M4693" s="243">
        <v>4779090382</v>
      </c>
      <c r="N4693" s="171" t="s">
        <v>98</v>
      </c>
      <c r="O4693" s="50"/>
      <c r="P4693" s="97"/>
      <c r="Q4693" s="230">
        <f>OfficeForms.Table[[#This Row],[ INFORMEDEPAGO ]]*0.3</f>
        <v>0</v>
      </c>
      <c r="R4693" s="231">
        <f>(IF(O4693&lt;4172.98,0,MIN(O4693*0.3,O4693-4172.98)))-P4693</f>
        <v>0</v>
      </c>
      <c r="T4693" s="239"/>
      <c r="U4693" s="97"/>
      <c r="V4693" s="1"/>
    </row>
    <row r="4694" spans="1:23">
      <c r="A4694">
        <v>3129</v>
      </c>
      <c r="B4694" s="2">
        <v>46280.460289351897</v>
      </c>
      <c r="C4694" s="2">
        <v>46280.493599537003</v>
      </c>
      <c r="D4694" s="1" t="s">
        <v>24</v>
      </c>
      <c r="E4694" s="1"/>
      <c r="F4694" s="29">
        <v>46280</v>
      </c>
      <c r="G4694" s="29">
        <v>46265</v>
      </c>
      <c r="H4694" s="1" t="s">
        <v>51</v>
      </c>
      <c r="I4694" s="251" t="s">
        <v>10434</v>
      </c>
      <c r="J4694" s="251">
        <v>41916000015</v>
      </c>
      <c r="K4694" s="188" t="s">
        <v>10435</v>
      </c>
      <c r="L4694" s="242">
        <v>24140424</v>
      </c>
      <c r="M4694" s="243">
        <v>5214811441557</v>
      </c>
      <c r="N4694" s="171" t="s">
        <v>28</v>
      </c>
      <c r="O4694" s="50">
        <f>42900.71-32264.17</f>
        <v>10636.54</v>
      </c>
      <c r="P4694" s="97"/>
      <c r="Q4694" s="230">
        <f>OfficeForms.Table[[#This Row],[ INFORMEDEPAGO ]]*0.3</f>
        <v>3190.962</v>
      </c>
      <c r="R4694" s="231">
        <f>(IF(O4694&lt;4172.98,0,MIN(O4694*0.3,O4694-4172.98)))-P4694</f>
        <v>3190.962</v>
      </c>
      <c r="T4694" s="239"/>
      <c r="U4694" s="97"/>
      <c r="V4694" s="1" t="s">
        <v>9958</v>
      </c>
      <c r="W4694" s="29">
        <v>46280</v>
      </c>
    </row>
    <row r="4695" spans="1:23">
      <c r="A4695">
        <v>3130</v>
      </c>
      <c r="B4695" s="2">
        <v>46280.493101851898</v>
      </c>
      <c r="C4695" s="2">
        <v>46280.4992361111</v>
      </c>
      <c r="D4695" s="1" t="s">
        <v>24</v>
      </c>
      <c r="E4695" s="1"/>
      <c r="F4695" s="29">
        <v>46280</v>
      </c>
      <c r="G4695" s="29">
        <v>46267</v>
      </c>
      <c r="H4695" s="1" t="s">
        <v>78</v>
      </c>
      <c r="I4695" s="251" t="s">
        <v>8974</v>
      </c>
      <c r="J4695" s="251"/>
      <c r="K4695" s="188" t="s">
        <v>8975</v>
      </c>
      <c r="L4695" s="242">
        <v>24194850</v>
      </c>
      <c r="M4695" s="243">
        <v>5213322147621</v>
      </c>
      <c r="N4695" s="171" t="s">
        <v>28</v>
      </c>
      <c r="O4695" s="50">
        <f>32264.17-21627.63</f>
        <v>10636.539999999997</v>
      </c>
      <c r="P4695" s="97"/>
      <c r="Q4695" s="230">
        <f>OfficeForms.Table[[#This Row],[ INFORMEDEPAGO ]]*0.3</f>
        <v>3190.9619999999991</v>
      </c>
      <c r="R4695" s="231">
        <f>(IF(O4695&lt;4172.98,0,MIN(O4695*0.3,O4695-4172.98)))-P4695</f>
        <v>3190.9619999999991</v>
      </c>
      <c r="T4695" s="239"/>
      <c r="U4695" s="97"/>
      <c r="V4695" s="1" t="s">
        <v>8291</v>
      </c>
      <c r="W4695" s="29">
        <v>46280</v>
      </c>
    </row>
    <row r="4696" spans="1:23">
      <c r="A4696">
        <v>3131</v>
      </c>
      <c r="B4696" s="2">
        <v>46280.498912037001</v>
      </c>
      <c r="C4696" s="2">
        <v>46280.507939814801</v>
      </c>
      <c r="D4696" s="1" t="s">
        <v>24</v>
      </c>
      <c r="E4696" s="1"/>
      <c r="F4696" s="29">
        <v>46280</v>
      </c>
      <c r="G4696" s="29">
        <v>46275</v>
      </c>
      <c r="H4696" s="1" t="s">
        <v>78</v>
      </c>
      <c r="I4696" s="251" t="s">
        <v>10436</v>
      </c>
      <c r="J4696" s="175">
        <v>53806208137</v>
      </c>
      <c r="K4696" s="188" t="s">
        <v>10437</v>
      </c>
      <c r="L4696" s="242">
        <v>24377376</v>
      </c>
      <c r="M4696" s="243">
        <v>5214531377821</v>
      </c>
      <c r="N4696" s="171" t="s">
        <v>28</v>
      </c>
      <c r="O4696" s="50">
        <f>33327.82-22691.28</f>
        <v>10636.54</v>
      </c>
      <c r="P4696" s="97"/>
      <c r="Q4696" s="230">
        <f>OfficeForms.Table[[#This Row],[ INFORMEDEPAGO ]]*0.3</f>
        <v>3190.962</v>
      </c>
      <c r="R4696" s="231">
        <f>(IF(O4696&lt;4172.98,0,MIN(O4696*0.3,O4696-4172.98)))-P4696</f>
        <v>3190.962</v>
      </c>
      <c r="T4696" s="239"/>
      <c r="U4696" s="97"/>
      <c r="V4696" s="1" t="s">
        <v>8280</v>
      </c>
      <c r="W4696" s="29">
        <v>46280</v>
      </c>
    </row>
    <row r="4697" spans="1:23">
      <c r="A4697">
        <v>3132</v>
      </c>
      <c r="B4697" s="2">
        <v>46280.493611111102</v>
      </c>
      <c r="C4697" s="2">
        <v>46280.508842592601</v>
      </c>
      <c r="D4697" s="1" t="s">
        <v>24</v>
      </c>
      <c r="E4697" s="1"/>
      <c r="F4697" s="29">
        <v>46280</v>
      </c>
      <c r="G4697" s="29">
        <v>46265</v>
      </c>
      <c r="H4697" s="1" t="s">
        <v>51</v>
      </c>
      <c r="I4697" s="251" t="s">
        <v>10438</v>
      </c>
      <c r="J4697" s="175">
        <v>53846631009</v>
      </c>
      <c r="K4697" s="188" t="s">
        <v>10439</v>
      </c>
      <c r="L4697" s="242">
        <v>24140380</v>
      </c>
      <c r="M4697" s="243">
        <v>5214434006657</v>
      </c>
      <c r="N4697" s="171" t="s">
        <v>28</v>
      </c>
      <c r="O4697" s="50">
        <f>31909.62-21273.08</f>
        <v>10636.539999999997</v>
      </c>
      <c r="P4697" s="97"/>
      <c r="Q4697" s="230">
        <f>OfficeForms.Table[[#This Row],[ INFORMEDEPAGO ]]*0.3</f>
        <v>3190.9619999999991</v>
      </c>
      <c r="R4697" s="231">
        <f>(IF(O4697&lt;4172.98,0,MIN(O4697*0.3,O4697-4172.98)))-P4697</f>
        <v>3190.9619999999991</v>
      </c>
      <c r="T4697" s="239"/>
      <c r="U4697" s="97"/>
      <c r="V4697" s="1" t="s">
        <v>8716</v>
      </c>
      <c r="W4697" s="29">
        <v>46280</v>
      </c>
    </row>
    <row r="4698" spans="1:23">
      <c r="A4698">
        <v>3133</v>
      </c>
      <c r="B4698" s="2">
        <v>46280.4090393519</v>
      </c>
      <c r="C4698" s="2">
        <v>46280.516365740703</v>
      </c>
      <c r="D4698" s="1" t="s">
        <v>24</v>
      </c>
      <c r="E4698" s="1"/>
      <c r="F4698" s="29">
        <v>46280</v>
      </c>
      <c r="G4698" s="29">
        <v>46279</v>
      </c>
      <c r="H4698" s="1" t="s">
        <v>8381</v>
      </c>
      <c r="I4698" s="251" t="s">
        <v>10440</v>
      </c>
      <c r="J4698" s="175"/>
      <c r="K4698" s="188" t="s">
        <v>10441</v>
      </c>
      <c r="L4698" s="242">
        <v>24450564</v>
      </c>
      <c r="M4698" s="243">
        <v>5216731161212</v>
      </c>
      <c r="N4698" s="171" t="s">
        <v>98</v>
      </c>
      <c r="O4698" s="50"/>
      <c r="P4698" s="97"/>
      <c r="Q4698" s="230">
        <f>OfficeForms.Table[[#This Row],[ INFORMEDEPAGO ]]*0.3</f>
        <v>0</v>
      </c>
      <c r="R4698" s="231">
        <f>(IF(O4698&lt;4172.98,0,MIN(O4698*0.3,O4698-4172.98)))-P4698</f>
        <v>0</v>
      </c>
      <c r="T4698" s="239"/>
      <c r="U4698" s="97"/>
      <c r="V4698" s="1"/>
    </row>
    <row r="4699" spans="1:23">
      <c r="A4699">
        <v>3134</v>
      </c>
      <c r="B4699" s="2">
        <v>46280.516400462999</v>
      </c>
      <c r="C4699" s="2">
        <v>46280.522615740701</v>
      </c>
      <c r="D4699" s="1" t="s">
        <v>24</v>
      </c>
      <c r="E4699" s="1"/>
      <c r="F4699" s="29">
        <v>46280</v>
      </c>
      <c r="G4699" s="29">
        <v>46279</v>
      </c>
      <c r="H4699" s="1" t="s">
        <v>8381</v>
      </c>
      <c r="I4699" s="251" t="s">
        <v>10442</v>
      </c>
      <c r="J4699" s="175"/>
      <c r="K4699" s="188" t="s">
        <v>10443</v>
      </c>
      <c r="L4699" s="242">
        <v>24457664</v>
      </c>
      <c r="M4699" s="243">
        <v>5214591116492</v>
      </c>
      <c r="N4699" s="171" t="s">
        <v>32</v>
      </c>
      <c r="O4699" s="50">
        <v>3485.91</v>
      </c>
      <c r="P4699" s="97"/>
      <c r="Q4699" s="230">
        <f>OfficeForms.Table[[#This Row],[ INFORMEDEPAGO ]]*0.3</f>
        <v>1045.7729999999999</v>
      </c>
      <c r="R4699" s="231">
        <f>(IF(O4699&lt;4172.98,0,MIN(O4699*0.3,O4699-4172.98)))-P4699</f>
        <v>0</v>
      </c>
      <c r="T4699" s="239"/>
      <c r="U4699" s="97"/>
      <c r="V4699" s="1"/>
    </row>
    <row r="4700" spans="1:23">
      <c r="A4700">
        <v>3135</v>
      </c>
      <c r="B4700" s="2">
        <v>46280.583171296297</v>
      </c>
      <c r="C4700" s="2">
        <v>46280.584131944401</v>
      </c>
      <c r="D4700" s="1" t="s">
        <v>24</v>
      </c>
      <c r="E4700" s="1"/>
      <c r="F4700" s="29">
        <v>46280</v>
      </c>
      <c r="G4700" s="29">
        <v>46280</v>
      </c>
      <c r="H4700" s="1" t="s">
        <v>9986</v>
      </c>
      <c r="I4700" s="251" t="s">
        <v>10444</v>
      </c>
      <c r="J4700" s="175">
        <v>17846301327</v>
      </c>
      <c r="K4700" s="188"/>
      <c r="L4700" s="242">
        <v>24445448</v>
      </c>
      <c r="M4700" s="243">
        <v>3223098227</v>
      </c>
      <c r="N4700" s="171" t="s">
        <v>37</v>
      </c>
      <c r="O4700" s="43">
        <v>9760.32</v>
      </c>
      <c r="P4700" s="43">
        <v>2928.05</v>
      </c>
      <c r="Q4700" s="230">
        <f>OfficeForms.Table[[#This Row],[ INFORMEDEPAGO ]]*0.3</f>
        <v>2928.096</v>
      </c>
      <c r="R4700" s="231">
        <f>(IF(O4700&lt;4172.98,0,MIN(O4700*0.3,O4700-4172.98)))-P4700</f>
        <v>4.5999999999821739E-2</v>
      </c>
      <c r="S4700" s="74">
        <v>46905</v>
      </c>
      <c r="T4700" s="239" t="s">
        <v>7209</v>
      </c>
      <c r="U4700" s="97">
        <v>2008.85</v>
      </c>
      <c r="V4700" s="1"/>
    </row>
    <row r="4701" spans="1:23">
      <c r="A4701">
        <v>3136</v>
      </c>
      <c r="B4701" s="2">
        <v>46280.5872453704</v>
      </c>
      <c r="C4701" s="2">
        <v>46280.587754629603</v>
      </c>
      <c r="D4701" s="1" t="s">
        <v>24</v>
      </c>
      <c r="E4701" s="1"/>
      <c r="F4701" s="29">
        <v>46280</v>
      </c>
      <c r="G4701" s="29">
        <v>46275</v>
      </c>
      <c r="H4701" s="1" t="s">
        <v>8721</v>
      </c>
      <c r="I4701" s="251" t="s">
        <v>10445</v>
      </c>
      <c r="J4701" s="175">
        <v>23865205209</v>
      </c>
      <c r="K4701" s="188"/>
      <c r="L4701" s="242">
        <v>24363678</v>
      </c>
      <c r="M4701" s="243">
        <v>5216692643582</v>
      </c>
      <c r="N4701" s="171" t="s">
        <v>47</v>
      </c>
      <c r="O4701" s="50">
        <v>4813.6899999999996</v>
      </c>
      <c r="P4701" s="97"/>
      <c r="Q4701" s="230">
        <f>OfficeForms.Table[[#This Row],[ INFORMEDEPAGO ]]*0.3</f>
        <v>1444.1069999999997</v>
      </c>
      <c r="R4701" s="231">
        <f>(IF(O4701&lt;4172.98,0,MIN(O4701*0.3,O4701-4172.98)))-P4701</f>
        <v>640.71</v>
      </c>
      <c r="T4701" s="239"/>
      <c r="U4701" s="97"/>
      <c r="V4701" s="1" t="s">
        <v>9958</v>
      </c>
      <c r="W4701" s="29">
        <v>46280</v>
      </c>
    </row>
    <row r="4702" spans="1:23">
      <c r="A4702">
        <v>3137</v>
      </c>
      <c r="B4702" s="2">
        <v>46280.584166666697</v>
      </c>
      <c r="C4702" s="2">
        <v>46280.588090277801</v>
      </c>
      <c r="D4702" s="1" t="s">
        <v>24</v>
      </c>
      <c r="E4702" s="1"/>
      <c r="F4702" s="29">
        <v>46280</v>
      </c>
      <c r="G4702" s="29">
        <v>46280</v>
      </c>
      <c r="H4702" s="1" t="s">
        <v>9986</v>
      </c>
      <c r="I4702" s="251" t="s">
        <v>10446</v>
      </c>
      <c r="J4702" s="175">
        <v>71825200372</v>
      </c>
      <c r="K4702" s="188" t="s">
        <v>10447</v>
      </c>
      <c r="L4702" s="242">
        <v>24430518</v>
      </c>
      <c r="M4702" s="243">
        <v>9622936229</v>
      </c>
      <c r="N4702" s="171" t="s">
        <v>32</v>
      </c>
      <c r="O4702" s="50">
        <v>3632.16</v>
      </c>
      <c r="P4702" s="97">
        <v>848</v>
      </c>
      <c r="Q4702" s="230">
        <f>OfficeForms.Table[[#This Row],[ INFORMEDEPAGO ]]*0.3</f>
        <v>1089.6479999999999</v>
      </c>
      <c r="R4702" s="231">
        <f>(IF(O4702&lt;4172.98,0,MIN(O4702*0.3,O4702-4172.98)))-P4702</f>
        <v>-848</v>
      </c>
      <c r="T4702" s="239"/>
      <c r="U4702" s="97"/>
      <c r="V4702" s="1"/>
    </row>
    <row r="4703" spans="1:23">
      <c r="A4703">
        <v>3138</v>
      </c>
      <c r="B4703" s="2">
        <v>46280.631076388898</v>
      </c>
      <c r="C4703" s="2">
        <v>46280.631770833301</v>
      </c>
      <c r="D4703" s="1" t="s">
        <v>24</v>
      </c>
      <c r="E4703" s="1"/>
      <c r="F4703" s="29">
        <v>46280</v>
      </c>
      <c r="G4703" s="29">
        <v>46280</v>
      </c>
      <c r="H4703" s="1" t="s">
        <v>269</v>
      </c>
      <c r="I4703" s="251" t="s">
        <v>10448</v>
      </c>
      <c r="J4703" s="207" t="s">
        <v>10449</v>
      </c>
      <c r="K4703" s="188" t="s">
        <v>10450</v>
      </c>
      <c r="L4703" s="242">
        <v>24487622</v>
      </c>
      <c r="M4703" s="243">
        <v>5218334507342</v>
      </c>
      <c r="N4703" s="171" t="s">
        <v>37</v>
      </c>
      <c r="O4703" s="52">
        <v>27086.7</v>
      </c>
      <c r="P4703" s="52">
        <v>8125.41</v>
      </c>
      <c r="Q4703" s="230">
        <f>OfficeForms.Table[[#This Row],[ INFORMEDEPAGO ]]*0.3</f>
        <v>8126.01</v>
      </c>
      <c r="R4703" s="231">
        <f>(IF(O4703&lt;4172.98,0,MIN(O4703*0.3,O4703-4172.98)))-P4703</f>
        <v>0.6000000000003638</v>
      </c>
      <c r="S4703" s="74">
        <v>46296</v>
      </c>
      <c r="T4703" s="239" t="s">
        <v>8398</v>
      </c>
      <c r="U4703" s="97">
        <v>3031.79</v>
      </c>
      <c r="V4703" s="1"/>
    </row>
    <row r="4704" spans="1:23">
      <c r="A4704">
        <v>3139</v>
      </c>
      <c r="B4704" s="2">
        <v>46280.522650462997</v>
      </c>
      <c r="C4704" s="2">
        <v>46280.653113425898</v>
      </c>
      <c r="D4704" s="1" t="s">
        <v>24</v>
      </c>
      <c r="E4704" s="1"/>
      <c r="F4704" s="29">
        <v>46280</v>
      </c>
      <c r="G4704" s="29">
        <v>46268</v>
      </c>
      <c r="H4704" s="1" t="s">
        <v>8381</v>
      </c>
      <c r="I4704" s="251" t="s">
        <v>10451</v>
      </c>
      <c r="J4704" s="207">
        <v>19856615075</v>
      </c>
      <c r="K4704" s="188" t="s">
        <v>10452</v>
      </c>
      <c r="L4704" s="242">
        <v>24232976</v>
      </c>
      <c r="M4704" s="243">
        <v>5215513107083</v>
      </c>
      <c r="N4704" s="171" t="s">
        <v>28</v>
      </c>
      <c r="O4704" s="50">
        <f>24818.59-14182.05</f>
        <v>10636.54</v>
      </c>
      <c r="P4704" s="97"/>
      <c r="Q4704" s="230">
        <f>OfficeForms.Table[[#This Row],[ INFORMEDEPAGO ]]*0.3</f>
        <v>3190.962</v>
      </c>
      <c r="R4704" s="231">
        <f>(IF(O4704&lt;4172.98,0,MIN(O4704*0.3,O4704-4172.98)))-P4704</f>
        <v>3190.962</v>
      </c>
      <c r="T4704" s="239"/>
      <c r="U4704" s="97"/>
      <c r="V4704" s="1" t="s">
        <v>8328</v>
      </c>
      <c r="W4704" s="29">
        <v>46280</v>
      </c>
    </row>
    <row r="4705" spans="1:23">
      <c r="A4705">
        <v>3140</v>
      </c>
      <c r="B4705" s="2">
        <v>46280.6433680556</v>
      </c>
      <c r="C4705" s="2">
        <v>46280.665104166699</v>
      </c>
      <c r="D4705" s="1" t="s">
        <v>24</v>
      </c>
      <c r="E4705" s="1"/>
      <c r="F4705" s="29">
        <v>46280</v>
      </c>
      <c r="G4705" s="29">
        <v>46279</v>
      </c>
      <c r="H4705" s="1" t="s">
        <v>9991</v>
      </c>
      <c r="I4705" s="251" t="s">
        <v>10453</v>
      </c>
      <c r="J4705" s="207" t="s">
        <v>10454</v>
      </c>
      <c r="K4705" s="188" t="s">
        <v>10455</v>
      </c>
      <c r="L4705" s="242">
        <v>24450980</v>
      </c>
      <c r="M4705" s="243">
        <v>5527156077</v>
      </c>
      <c r="N4705" s="171" t="s">
        <v>98</v>
      </c>
      <c r="O4705" s="50"/>
      <c r="P4705" s="97"/>
      <c r="Q4705" s="230">
        <f>OfficeForms.Table[[#This Row],[ INFORMEDEPAGO ]]*0.3</f>
        <v>0</v>
      </c>
      <c r="R4705" s="231">
        <f t="shared" ref="R4705:R4707" si="389">(IF(O4705&lt;4172.98,0,MIN(O4705*0.3,O4705-4172.98)))-P4705</f>
        <v>0</v>
      </c>
      <c r="T4705" s="239"/>
      <c r="U4705" s="97"/>
      <c r="V4705" s="1"/>
    </row>
    <row r="4706" spans="1:23">
      <c r="A4706">
        <v>3141</v>
      </c>
      <c r="B4706" s="2">
        <v>46280.696736111102</v>
      </c>
      <c r="C4706" s="2">
        <v>46280.697337963</v>
      </c>
      <c r="D4706" s="1" t="s">
        <v>24</v>
      </c>
      <c r="E4706" s="1"/>
      <c r="F4706" s="29">
        <v>46280</v>
      </c>
      <c r="G4706" s="29">
        <v>46280</v>
      </c>
      <c r="H4706" s="1" t="s">
        <v>269</v>
      </c>
      <c r="I4706" s="251" t="s">
        <v>10456</v>
      </c>
      <c r="J4706" s="207"/>
      <c r="K4706" s="188" t="s">
        <v>10457</v>
      </c>
      <c r="L4706" s="242">
        <v>24489842</v>
      </c>
      <c r="M4706" s="243">
        <v>5216677854411</v>
      </c>
      <c r="N4706" s="171" t="s">
        <v>37</v>
      </c>
      <c r="O4706" s="50">
        <f>5629.51+2291</f>
        <v>7920.51</v>
      </c>
      <c r="P4706" s="97">
        <v>2291</v>
      </c>
      <c r="Q4706" s="230">
        <f>OfficeForms.Table[[#This Row],[ INFORMEDEPAGO ]]*0.3</f>
        <v>2376.1529999999998</v>
      </c>
      <c r="R4706" s="231">
        <f t="shared" si="389"/>
        <v>85.152999999999793</v>
      </c>
      <c r="S4706" s="74">
        <v>46722</v>
      </c>
      <c r="T4706" s="239" t="s">
        <v>8338</v>
      </c>
      <c r="U4706" s="97">
        <v>2291</v>
      </c>
      <c r="V4706" s="1"/>
    </row>
    <row r="4707" spans="1:23">
      <c r="A4707">
        <v>3142</v>
      </c>
      <c r="B4707" s="2">
        <v>46280.508877314802</v>
      </c>
      <c r="C4707" s="2">
        <v>46280.703680555598</v>
      </c>
      <c r="D4707" s="1" t="s">
        <v>24</v>
      </c>
      <c r="E4707" s="1"/>
      <c r="F4707" s="29">
        <v>46280</v>
      </c>
      <c r="G4707" s="29">
        <v>46280</v>
      </c>
      <c r="H4707" s="1" t="s">
        <v>51</v>
      </c>
      <c r="I4707" s="251" t="s">
        <v>10458</v>
      </c>
      <c r="J4707" s="207"/>
      <c r="K4707" s="188" t="s">
        <v>10459</v>
      </c>
      <c r="L4707" s="242">
        <v>24489856</v>
      </c>
      <c r="M4707" s="243">
        <v>5218123619900</v>
      </c>
      <c r="N4707" s="171" t="s">
        <v>32</v>
      </c>
      <c r="O4707" s="50">
        <f>3965.69+848</f>
        <v>4813.6900000000005</v>
      </c>
      <c r="P4707" s="97">
        <v>848</v>
      </c>
      <c r="Q4707" s="230">
        <f>OfficeForms.Table[[#This Row],[ INFORMEDEPAGO ]]*0.3</f>
        <v>1444.1070000000002</v>
      </c>
      <c r="R4707" s="231">
        <f t="shared" si="389"/>
        <v>-207.28999999999905</v>
      </c>
      <c r="T4707" s="239"/>
      <c r="U4707" s="97"/>
      <c r="V4707" s="1"/>
    </row>
    <row r="4708" spans="1:23">
      <c r="A4708">
        <v>3143</v>
      </c>
      <c r="B4708" s="2">
        <v>46280.703703703701</v>
      </c>
      <c r="C4708" s="2">
        <v>46280.730011574102</v>
      </c>
      <c r="D4708" s="1" t="s">
        <v>24</v>
      </c>
      <c r="E4708" s="1"/>
      <c r="F4708" s="29">
        <v>46280</v>
      </c>
      <c r="G4708" s="29">
        <v>46280</v>
      </c>
      <c r="H4708" s="1" t="s">
        <v>51</v>
      </c>
      <c r="I4708" s="251" t="s">
        <v>10460</v>
      </c>
      <c r="J4708" s="207"/>
      <c r="K4708" s="188" t="s">
        <v>10461</v>
      </c>
      <c r="L4708" s="242">
        <v>24490714</v>
      </c>
      <c r="M4708" s="243">
        <v>5213133294251</v>
      </c>
      <c r="N4708" s="171" t="s">
        <v>28</v>
      </c>
      <c r="O4708" s="50">
        <v>8539.77</v>
      </c>
      <c r="P4708" s="97"/>
      <c r="Q4708" s="230">
        <f>OfficeForms.Table[[#This Row],[ INFORMEDEPAGO ]]*0.3</f>
        <v>2561.931</v>
      </c>
      <c r="R4708" s="231">
        <f>(IF(O4708&lt;4172.98,0,MIN(O4708*0.3,O4708-4172.98)))-P4708</f>
        <v>2561.931</v>
      </c>
      <c r="T4708" s="239"/>
      <c r="U4708" s="97"/>
      <c r="V4708" s="1" t="s">
        <v>8280</v>
      </c>
      <c r="W4708" s="29">
        <v>46282</v>
      </c>
    </row>
    <row r="4709" spans="1:23">
      <c r="A4709">
        <v>3144</v>
      </c>
      <c r="B4709" s="2">
        <v>46280.653148148202</v>
      </c>
      <c r="C4709" s="2">
        <v>46280.731793981497</v>
      </c>
      <c r="D4709" s="1" t="s">
        <v>24</v>
      </c>
      <c r="E4709" s="1"/>
      <c r="F4709" s="29">
        <v>46280</v>
      </c>
      <c r="G4709" s="29">
        <v>46280</v>
      </c>
      <c r="H4709" s="1" t="s">
        <v>8381</v>
      </c>
      <c r="I4709" s="251" t="s">
        <v>10462</v>
      </c>
      <c r="J4709" s="207">
        <v>24836467969</v>
      </c>
      <c r="K4709" s="188" t="s">
        <v>10463</v>
      </c>
      <c r="L4709" s="242">
        <v>24488246</v>
      </c>
      <c r="M4709" s="243">
        <v>5216421426329</v>
      </c>
      <c r="N4709" s="171" t="s">
        <v>28</v>
      </c>
      <c r="O4709" s="50">
        <f>7072.51+848</f>
        <v>7920.51</v>
      </c>
      <c r="P4709" s="97">
        <v>848</v>
      </c>
      <c r="Q4709" s="230">
        <f>OfficeForms.Table[[#This Row],[ INFORMEDEPAGO ]]*0.3</f>
        <v>2376.1529999999998</v>
      </c>
      <c r="R4709" s="231">
        <f>(IF(O4709&lt;4172.98,0,MIN(O4709*0.3,O4709-4172.98)))-P4709</f>
        <v>1528.1529999999998</v>
      </c>
      <c r="T4709" s="239"/>
      <c r="U4709" s="97"/>
      <c r="V4709" s="1" t="s">
        <v>8436</v>
      </c>
      <c r="W4709" s="29">
        <v>46282</v>
      </c>
    </row>
    <row r="4710" spans="1:23">
      <c r="A4710">
        <v>3145</v>
      </c>
      <c r="B4710" s="2">
        <v>46280.731817129599</v>
      </c>
      <c r="C4710" s="2">
        <v>46280.742060185199</v>
      </c>
      <c r="D4710" s="1" t="s">
        <v>24</v>
      </c>
      <c r="E4710" s="1"/>
      <c r="F4710" s="29">
        <v>46280</v>
      </c>
      <c r="G4710" s="29">
        <v>46279</v>
      </c>
      <c r="H4710" s="1" t="s">
        <v>8381</v>
      </c>
      <c r="I4710" s="251" t="s">
        <v>10464</v>
      </c>
      <c r="J4710" s="207"/>
      <c r="K4710" s="188" t="s">
        <v>10465</v>
      </c>
      <c r="L4710" s="242">
        <v>24463860</v>
      </c>
      <c r="M4710" s="243">
        <v>5216145221416</v>
      </c>
      <c r="N4710" s="171" t="s">
        <v>28</v>
      </c>
      <c r="O4710" s="50">
        <v>23314.61</v>
      </c>
      <c r="P4710" s="97"/>
      <c r="Q4710" s="230">
        <f>OfficeForms.Table[[#This Row],[ INFORMEDEPAGO ]]*0.3</f>
        <v>6994.3829999999998</v>
      </c>
      <c r="R4710" s="231">
        <f>(IF(O4710&lt;4172.98,0,MIN(O4710*0.3,O4710-4172.98)))-P4710</f>
        <v>6994.3829999999998</v>
      </c>
      <c r="T4710" s="239"/>
      <c r="U4710" s="97"/>
      <c r="V4710" s="1" t="s">
        <v>8436</v>
      </c>
      <c r="W4710" s="29">
        <v>46282</v>
      </c>
    </row>
    <row r="4711" spans="1:23">
      <c r="A4711">
        <v>3146</v>
      </c>
      <c r="B4711" s="2">
        <v>46281.436122685198</v>
      </c>
      <c r="C4711" s="2">
        <v>46281.4382638889</v>
      </c>
      <c r="D4711" s="1" t="s">
        <v>24</v>
      </c>
      <c r="E4711" s="1"/>
      <c r="F4711" s="29">
        <v>46281</v>
      </c>
      <c r="G4711" s="29">
        <v>46281</v>
      </c>
      <c r="H4711" s="1" t="s">
        <v>10043</v>
      </c>
      <c r="I4711" s="251" t="s">
        <v>10466</v>
      </c>
      <c r="J4711" s="207" t="s">
        <v>10467</v>
      </c>
      <c r="K4711" s="188" t="s">
        <v>10468</v>
      </c>
      <c r="L4711" s="242">
        <v>24497374</v>
      </c>
      <c r="M4711" s="243">
        <v>6462419600</v>
      </c>
      <c r="N4711" s="171" t="s">
        <v>106</v>
      </c>
      <c r="O4711" s="43">
        <v>17210.88</v>
      </c>
      <c r="P4711" s="43">
        <v>4979.5200000000004</v>
      </c>
      <c r="Q4711" s="230">
        <f>OfficeForms.Table[[#This Row],[ INFORMEDEPAGO ]]*0.3</f>
        <v>5163.2640000000001</v>
      </c>
      <c r="R4711" s="231">
        <f>(IF(O4711&lt;4172.98,0,MIN(O4711*0.3,O4711-4172.98)))-P4711</f>
        <v>183.74399999999969</v>
      </c>
      <c r="S4711" s="74">
        <v>46266</v>
      </c>
      <c r="T4711" s="239" t="s">
        <v>7516</v>
      </c>
      <c r="U4711" s="97">
        <v>4456.84</v>
      </c>
      <c r="V4711" s="1" t="s">
        <v>10408</v>
      </c>
      <c r="W4711" s="29">
        <v>46282</v>
      </c>
    </row>
    <row r="4712" spans="1:23">
      <c r="A4712">
        <v>3147</v>
      </c>
      <c r="B4712" s="2">
        <v>46281.460324074098</v>
      </c>
      <c r="C4712" s="2">
        <v>46281.464942129598</v>
      </c>
      <c r="D4712" s="1" t="s">
        <v>24</v>
      </c>
      <c r="E4712" s="1"/>
      <c r="F4712" s="29">
        <v>46281</v>
      </c>
      <c r="G4712" s="29">
        <v>46281</v>
      </c>
      <c r="H4712" s="1" t="s">
        <v>51</v>
      </c>
      <c r="I4712" s="251" t="s">
        <v>10469</v>
      </c>
      <c r="J4712" s="207" t="s">
        <v>10470</v>
      </c>
      <c r="K4712" s="188" t="s">
        <v>10471</v>
      </c>
      <c r="L4712" s="242">
        <v>24506632</v>
      </c>
      <c r="M4712" s="243">
        <v>5218673066691</v>
      </c>
      <c r="N4712" s="171" t="s">
        <v>32</v>
      </c>
      <c r="O4712" s="50">
        <v>3887</v>
      </c>
      <c r="P4712" s="97"/>
      <c r="Q4712" s="230">
        <f>OfficeForms.Table[[#This Row],[ INFORMEDEPAGO ]]*0.3</f>
        <v>1166.0999999999999</v>
      </c>
      <c r="R4712" s="231">
        <f>(IF(O4712&lt;4172.98,0,MIN(O4712*0.3,O4712-4172.98)))-P4712</f>
        <v>0</v>
      </c>
      <c r="T4712" s="239"/>
      <c r="U4712" s="97"/>
      <c r="V4712" s="1"/>
    </row>
    <row r="4713" spans="1:23">
      <c r="A4713">
        <v>3148</v>
      </c>
      <c r="B4713" s="2">
        <v>46281.464953703697</v>
      </c>
      <c r="C4713" s="2">
        <v>46281.491481481498</v>
      </c>
      <c r="D4713" s="1" t="s">
        <v>24</v>
      </c>
      <c r="E4713" s="1"/>
      <c r="F4713" s="29">
        <v>46281</v>
      </c>
      <c r="G4713" s="29">
        <v>46280</v>
      </c>
      <c r="H4713" s="1" t="s">
        <v>51</v>
      </c>
      <c r="I4713" s="251" t="s">
        <v>10472</v>
      </c>
      <c r="J4713" s="207" t="s">
        <v>10473</v>
      </c>
      <c r="K4713" s="188" t="s">
        <v>10474</v>
      </c>
      <c r="L4713" s="242">
        <v>24496366</v>
      </c>
      <c r="M4713" s="243">
        <v>5213312807264</v>
      </c>
      <c r="N4713" s="171" t="s">
        <v>28</v>
      </c>
      <c r="O4713" s="50">
        <v>19475.54</v>
      </c>
      <c r="P4713" s="97"/>
      <c r="Q4713" s="230">
        <f>OfficeForms.Table[[#This Row],[ INFORMEDEPAGO ]]*0.3</f>
        <v>5842.6620000000003</v>
      </c>
      <c r="R4713" s="231">
        <f>(IF(O4713&lt;4172.98,0,MIN(O4713*0.3,O4713-4172.98)))-P4713</f>
        <v>5842.6620000000003</v>
      </c>
      <c r="T4713" s="239"/>
      <c r="U4713" s="97"/>
      <c r="V4713" s="1" t="s">
        <v>8316</v>
      </c>
      <c r="W4713" s="29">
        <v>46282</v>
      </c>
    </row>
    <row r="4714" spans="1:23">
      <c r="A4714">
        <v>3149</v>
      </c>
      <c r="B4714" s="2">
        <v>46281.495613425897</v>
      </c>
      <c r="C4714" s="2">
        <v>46281.498356481497</v>
      </c>
      <c r="D4714" s="1" t="s">
        <v>24</v>
      </c>
      <c r="E4714" s="1"/>
      <c r="F4714" s="29">
        <v>46281</v>
      </c>
      <c r="G4714" s="29">
        <v>46281</v>
      </c>
      <c r="H4714" s="1" t="s">
        <v>9991</v>
      </c>
      <c r="I4714" s="251" t="s">
        <v>10475</v>
      </c>
      <c r="J4714" s="207">
        <v>7172550035</v>
      </c>
      <c r="K4714" s="188"/>
      <c r="L4714" s="242">
        <v>24508078</v>
      </c>
      <c r="M4714" s="243">
        <v>9661066887</v>
      </c>
      <c r="N4714" s="171" t="s">
        <v>28</v>
      </c>
      <c r="O4714" s="50">
        <v>6262.86</v>
      </c>
      <c r="P4714" s="97"/>
      <c r="Q4714" s="230">
        <f>OfficeForms.Table[[#This Row],[ INFORMEDEPAGO ]]*0.3</f>
        <v>1878.8579999999997</v>
      </c>
      <c r="R4714" s="231">
        <f>(IF(O4714&lt;4172.98,0,MIN(O4714*0.3,O4714-4172.98)))-P4714</f>
        <v>1878.8579999999997</v>
      </c>
      <c r="T4714" s="239"/>
      <c r="U4714" s="97"/>
      <c r="V4714" s="1" t="s">
        <v>8316</v>
      </c>
      <c r="W4714" s="29">
        <v>46282</v>
      </c>
    </row>
    <row r="4715" spans="1:23">
      <c r="A4715">
        <v>3150</v>
      </c>
      <c r="B4715" s="2">
        <v>46281.502488425896</v>
      </c>
      <c r="C4715" s="2">
        <v>46281.508055555598</v>
      </c>
      <c r="D4715" s="1" t="s">
        <v>24</v>
      </c>
      <c r="E4715" s="1"/>
      <c r="F4715" s="29">
        <v>46281</v>
      </c>
      <c r="G4715" s="29">
        <v>46281</v>
      </c>
      <c r="H4715" s="1" t="s">
        <v>10043</v>
      </c>
      <c r="I4715" s="251" t="s">
        <v>10476</v>
      </c>
      <c r="J4715" s="207">
        <v>13816212289</v>
      </c>
      <c r="K4715" s="188" t="s">
        <v>10477</v>
      </c>
      <c r="L4715" s="242">
        <v>24505658</v>
      </c>
      <c r="M4715" s="243">
        <v>7731043133</v>
      </c>
      <c r="N4715" s="171" t="s">
        <v>28</v>
      </c>
      <c r="O4715" s="50">
        <v>10636.54</v>
      </c>
      <c r="P4715" s="97"/>
      <c r="Q4715" s="230">
        <f>OfficeForms.Table[[#This Row],[ INFORMEDEPAGO ]]*0.3</f>
        <v>3190.962</v>
      </c>
      <c r="R4715" s="231">
        <f>(IF(O4715&lt;4172.98,0,MIN(O4715*0.3,O4715-4172.98)))-P4715</f>
        <v>3190.962</v>
      </c>
      <c r="T4715" s="239"/>
      <c r="U4715" s="97"/>
      <c r="V4715" s="1" t="s">
        <v>8264</v>
      </c>
      <c r="W4715" s="29">
        <v>46282</v>
      </c>
    </row>
    <row r="4716" spans="1:23">
      <c r="A4716">
        <v>3151</v>
      </c>
      <c r="B4716" s="2">
        <v>46281.512118055602</v>
      </c>
      <c r="C4716" s="2">
        <v>46281.513460648101</v>
      </c>
      <c r="D4716" s="1" t="s">
        <v>24</v>
      </c>
      <c r="E4716" s="1"/>
      <c r="F4716" s="29">
        <v>46281</v>
      </c>
      <c r="G4716" s="29">
        <v>46281</v>
      </c>
      <c r="H4716" s="1" t="s">
        <v>10043</v>
      </c>
      <c r="I4716" s="251" t="s">
        <v>10478</v>
      </c>
      <c r="J4716" s="207" t="s">
        <v>10479</v>
      </c>
      <c r="K4716" s="188" t="s">
        <v>10480</v>
      </c>
      <c r="L4716" s="242">
        <v>24507922</v>
      </c>
      <c r="M4716" s="243">
        <v>4445748342</v>
      </c>
      <c r="N4716" s="171" t="s">
        <v>130</v>
      </c>
      <c r="O4716" s="50">
        <f>4174.05+252+1191.58</f>
        <v>5617.63</v>
      </c>
      <c r="P4716" s="97">
        <f>252+1191.58</f>
        <v>1443.58</v>
      </c>
      <c r="Q4716" s="230">
        <f>OfficeForms.Table[[#This Row],[ INFORMEDEPAGO ]]*0.3</f>
        <v>1685.289</v>
      </c>
      <c r="R4716" s="231">
        <f>(IF(O4716&lt;4172.98,0,MIN(O4716*0.3,O4716-4172.98)))-P4716</f>
        <v>1.0700000000006185</v>
      </c>
      <c r="S4716" s="74">
        <v>46266</v>
      </c>
      <c r="T4716" s="239" t="s">
        <v>8415</v>
      </c>
      <c r="U4716" s="97">
        <v>1191.58</v>
      </c>
      <c r="V4716" s="1" t="s">
        <v>8233</v>
      </c>
      <c r="W4716" s="29">
        <v>46282</v>
      </c>
    </row>
    <row r="4717" spans="1:23">
      <c r="A4717">
        <v>3152</v>
      </c>
      <c r="B4717" s="2">
        <v>46281.575648148202</v>
      </c>
      <c r="C4717" s="2">
        <v>46281.576354166697</v>
      </c>
      <c r="D4717" s="1" t="s">
        <v>24</v>
      </c>
      <c r="E4717" s="1"/>
      <c r="F4717" s="29">
        <v>46281</v>
      </c>
      <c r="G4717" s="29">
        <v>46281</v>
      </c>
      <c r="H4717" s="1" t="s">
        <v>9991</v>
      </c>
      <c r="I4717" s="251" t="s">
        <v>10481</v>
      </c>
      <c r="J4717" s="207"/>
      <c r="K4717" s="188" t="s">
        <v>10482</v>
      </c>
      <c r="L4717" s="242">
        <v>24506038</v>
      </c>
      <c r="M4717" s="243">
        <v>9935903557</v>
      </c>
      <c r="N4717" s="171" t="s">
        <v>98</v>
      </c>
      <c r="O4717" s="50"/>
      <c r="P4717" s="97"/>
      <c r="Q4717" s="230">
        <f>OfficeForms.Table[[#This Row],[ INFORMEDEPAGO ]]*0.3</f>
        <v>0</v>
      </c>
      <c r="R4717" s="231">
        <f>(IF(O4717&lt;4172.98,0,MIN(O4717*0.3,O4717-4172.98)))-P4717</f>
        <v>0</v>
      </c>
      <c r="T4717" s="239"/>
      <c r="U4717" s="97"/>
      <c r="V4717" s="1"/>
    </row>
    <row r="4718" spans="1:23">
      <c r="A4718">
        <v>3153</v>
      </c>
      <c r="B4718" s="2">
        <v>46281.512094907397</v>
      </c>
      <c r="C4718" s="2">
        <v>46281.581423611096</v>
      </c>
      <c r="D4718" s="1" t="s">
        <v>24</v>
      </c>
      <c r="E4718" s="1"/>
      <c r="F4718" s="29">
        <v>46281</v>
      </c>
      <c r="G4718" s="29">
        <v>46281</v>
      </c>
      <c r="H4718" s="1" t="s">
        <v>9960</v>
      </c>
      <c r="I4718" s="251" t="s">
        <v>10483</v>
      </c>
      <c r="J4718" s="207"/>
      <c r="K4718" s="188" t="s">
        <v>10484</v>
      </c>
      <c r="L4718" s="242">
        <v>24508746</v>
      </c>
      <c r="M4718" s="243">
        <v>6682220176</v>
      </c>
      <c r="N4718" s="171" t="s">
        <v>98</v>
      </c>
      <c r="O4718" s="50"/>
      <c r="P4718" s="97"/>
      <c r="Q4718" s="230">
        <f>OfficeForms.Table[[#This Row],[ INFORMEDEPAGO ]]*0.3</f>
        <v>0</v>
      </c>
      <c r="R4718" s="231">
        <f>(IF(O4718&lt;4172.98,0,MIN(O4718*0.3,O4718-4172.98)))-P4718</f>
        <v>0</v>
      </c>
      <c r="T4718" s="239"/>
      <c r="U4718" s="97"/>
      <c r="V4718" s="1"/>
    </row>
    <row r="4719" spans="1:23">
      <c r="A4719">
        <v>3154</v>
      </c>
      <c r="B4719" s="2">
        <v>46281.592557870397</v>
      </c>
      <c r="C4719" s="2">
        <v>46281.593449074098</v>
      </c>
      <c r="D4719" s="1" t="s">
        <v>24</v>
      </c>
      <c r="E4719" s="1"/>
      <c r="F4719" s="29">
        <v>46281</v>
      </c>
      <c r="G4719" s="29">
        <v>46281</v>
      </c>
      <c r="H4719" s="1" t="s">
        <v>9991</v>
      </c>
      <c r="I4719" s="251" t="s">
        <v>10485</v>
      </c>
      <c r="J4719" s="207"/>
      <c r="K4719" s="188" t="s">
        <v>10486</v>
      </c>
      <c r="L4719" s="242">
        <v>24503360</v>
      </c>
      <c r="M4719" s="243">
        <v>3223221849</v>
      </c>
      <c r="N4719" s="171" t="s">
        <v>37</v>
      </c>
      <c r="O4719" s="50">
        <f>4450.87+1811.99</f>
        <v>6262.86</v>
      </c>
      <c r="P4719" s="97">
        <v>1811.99</v>
      </c>
      <c r="Q4719" s="230">
        <f>OfficeForms.Table[[#This Row],[ INFORMEDEPAGO ]]*0.3</f>
        <v>1878.8579999999997</v>
      </c>
      <c r="R4719" s="231">
        <f>(IF(O4719&lt;4172.98,0,MIN(O4719*0.3,O4719-4172.98)))-P4719</f>
        <v>66.867999999999711</v>
      </c>
      <c r="S4719" s="74">
        <v>46722</v>
      </c>
      <c r="T4719" s="239" t="s">
        <v>7209</v>
      </c>
      <c r="U4719" s="97">
        <v>1811.99</v>
      </c>
      <c r="V4719" s="1"/>
    </row>
    <row r="4720" spans="1:23">
      <c r="A4720">
        <v>3155</v>
      </c>
      <c r="B4720" s="2">
        <v>46281.491493055597</v>
      </c>
      <c r="C4720" s="2">
        <v>46281.597858796304</v>
      </c>
      <c r="D4720" s="1" t="s">
        <v>24</v>
      </c>
      <c r="E4720" s="1"/>
      <c r="F4720" s="29">
        <v>46281</v>
      </c>
      <c r="G4720" s="29">
        <v>46281</v>
      </c>
      <c r="H4720" s="1" t="s">
        <v>51</v>
      </c>
      <c r="I4720" s="251" t="s">
        <v>10487</v>
      </c>
      <c r="J4720" s="207" t="s">
        <v>10488</v>
      </c>
      <c r="K4720" s="188" t="s">
        <v>10489</v>
      </c>
      <c r="L4720" s="242">
        <v>24509532</v>
      </c>
      <c r="M4720" s="243">
        <v>5216561747299</v>
      </c>
      <c r="N4720" s="171" t="s">
        <v>106</v>
      </c>
      <c r="O4720" s="50">
        <f>4721.71+1700.33</f>
        <v>6422.04</v>
      </c>
      <c r="P4720" s="97">
        <v>1700.33</v>
      </c>
      <c r="Q4720" s="230">
        <f>OfficeForms.Table[[#This Row],[ INFORMEDEPAGO ]]*0.3</f>
        <v>1926.6119999999999</v>
      </c>
      <c r="R4720" s="231">
        <f>(IF(O4720&lt;4172.98,0,MIN(O4720*0.3,O4720-4172.98)))-P4720</f>
        <v>226.28199999999993</v>
      </c>
      <c r="S4720" s="74">
        <v>45839</v>
      </c>
      <c r="T4720" s="239" t="s">
        <v>7209</v>
      </c>
      <c r="U4720" s="97">
        <v>1700.33</v>
      </c>
      <c r="V4720" s="1" t="s">
        <v>8256</v>
      </c>
      <c r="W4720" s="29">
        <v>46282</v>
      </c>
    </row>
    <row r="4721" spans="1:23">
      <c r="A4721">
        <v>3156</v>
      </c>
      <c r="B4721" s="2">
        <v>46281.597870370402</v>
      </c>
      <c r="C4721" s="2">
        <v>46281.600011574097</v>
      </c>
      <c r="D4721" s="1" t="s">
        <v>24</v>
      </c>
      <c r="E4721" s="1"/>
      <c r="F4721" s="29">
        <v>46281</v>
      </c>
      <c r="G4721" s="29">
        <v>46281</v>
      </c>
      <c r="H4721" s="1" t="s">
        <v>51</v>
      </c>
      <c r="I4721" s="251" t="s">
        <v>10490</v>
      </c>
      <c r="J4721" s="207" t="s">
        <v>10491</v>
      </c>
      <c r="K4721" s="188" t="s">
        <v>10492</v>
      </c>
      <c r="L4721" s="242">
        <v>24508832</v>
      </c>
      <c r="M4721" s="243">
        <v>5216142196223</v>
      </c>
      <c r="N4721" s="171" t="s">
        <v>28</v>
      </c>
      <c r="O4721" s="50">
        <v>9760.32</v>
      </c>
      <c r="P4721" s="97"/>
      <c r="Q4721" s="230">
        <f>OfficeForms.Table[[#This Row],[ INFORMEDEPAGO ]]*0.3</f>
        <v>2928.096</v>
      </c>
      <c r="R4721" s="231">
        <f>(IF(O4721&lt;4172.98,0,MIN(O4721*0.3,O4721-4172.98)))-P4721</f>
        <v>2928.096</v>
      </c>
      <c r="T4721" s="239"/>
      <c r="U4721" s="97"/>
      <c r="V4721" s="1" t="s">
        <v>8264</v>
      </c>
      <c r="W4721" s="29">
        <v>46282</v>
      </c>
    </row>
    <row r="4722" spans="1:23">
      <c r="A4722">
        <v>3157</v>
      </c>
      <c r="B4722" s="2">
        <v>46281.600023148101</v>
      </c>
      <c r="C4722" s="2">
        <v>46281.602951388901</v>
      </c>
      <c r="D4722" s="1" t="s">
        <v>24</v>
      </c>
      <c r="E4722" s="1"/>
      <c r="F4722" s="29">
        <v>46281</v>
      </c>
      <c r="G4722" s="29">
        <v>46280</v>
      </c>
      <c r="H4722" s="1" t="s">
        <v>51</v>
      </c>
      <c r="I4722" s="251" t="s">
        <v>10493</v>
      </c>
      <c r="J4722" s="207" t="s">
        <v>10494</v>
      </c>
      <c r="K4722" s="188" t="s">
        <v>10495</v>
      </c>
      <c r="L4722" s="242">
        <v>24491298</v>
      </c>
      <c r="M4722" s="243">
        <v>4821205546</v>
      </c>
      <c r="N4722" s="171" t="s">
        <v>32</v>
      </c>
      <c r="O4722" s="50">
        <v>3469.89</v>
      </c>
      <c r="P4722" s="97"/>
      <c r="Q4722" s="230">
        <f>OfficeForms.Table[[#This Row],[ INFORMEDEPAGO ]]*0.3</f>
        <v>1040.9669999999999</v>
      </c>
      <c r="R4722" s="231">
        <f>(IF(O4722&lt;4172.98,0,MIN(O4722*0.3,O4722-4172.98)))-P4722</f>
        <v>0</v>
      </c>
      <c r="T4722" s="239"/>
      <c r="U4722" s="97"/>
      <c r="V4722" s="1"/>
    </row>
    <row r="4723" spans="1:23">
      <c r="A4723">
        <v>3158</v>
      </c>
      <c r="B4723" s="2">
        <v>46281.602754629603</v>
      </c>
      <c r="C4723" s="2">
        <v>46281.6036342593</v>
      </c>
      <c r="D4723" s="1" t="s">
        <v>24</v>
      </c>
      <c r="E4723" s="1"/>
      <c r="F4723" s="29">
        <v>46281</v>
      </c>
      <c r="G4723" s="29">
        <v>46281</v>
      </c>
      <c r="H4723" s="1" t="s">
        <v>8253</v>
      </c>
      <c r="I4723" s="251" t="s">
        <v>10496</v>
      </c>
      <c r="J4723" s="207">
        <v>67856320022</v>
      </c>
      <c r="K4723" s="188" t="s">
        <v>10497</v>
      </c>
      <c r="L4723" s="242">
        <v>24496590</v>
      </c>
      <c r="M4723" s="243">
        <v>2711639777</v>
      </c>
      <c r="N4723" s="171" t="s">
        <v>37</v>
      </c>
      <c r="O4723" s="43">
        <v>7966.05</v>
      </c>
      <c r="P4723" s="43">
        <v>2304.5</v>
      </c>
      <c r="Q4723" s="230">
        <f>OfficeForms.Table[[#This Row],[ INFORMEDEPAGO ]]*0.3</f>
        <v>2389.8150000000001</v>
      </c>
      <c r="R4723" s="231">
        <f>(IF(O4723&lt;4172.98,0,MIN(O4723*0.3,O4723-4172.98)))-P4723</f>
        <v>85.315000000000055</v>
      </c>
      <c r="S4723" s="74" t="s">
        <v>10498</v>
      </c>
      <c r="T4723" s="239" t="s">
        <v>8757</v>
      </c>
      <c r="U4723" s="97">
        <v>2112</v>
      </c>
      <c r="V4723" s="1"/>
    </row>
    <row r="4724" spans="1:23">
      <c r="A4724">
        <v>3159</v>
      </c>
      <c r="B4724" s="2">
        <v>46281.602962962999</v>
      </c>
      <c r="C4724" s="2">
        <v>46281.612974536998</v>
      </c>
      <c r="D4724" s="1" t="s">
        <v>24</v>
      </c>
      <c r="E4724" s="1"/>
      <c r="F4724" s="29">
        <v>46281</v>
      </c>
      <c r="G4724" s="29">
        <v>46281</v>
      </c>
      <c r="H4724" s="1" t="s">
        <v>51</v>
      </c>
      <c r="I4724" s="251" t="s">
        <v>10499</v>
      </c>
      <c r="J4724" s="207">
        <v>65695227416</v>
      </c>
      <c r="K4724" s="188" t="s">
        <v>10500</v>
      </c>
      <c r="L4724" s="242">
        <v>24500766</v>
      </c>
      <c r="M4724" s="243">
        <v>5212282364165</v>
      </c>
      <c r="N4724" s="171" t="s">
        <v>106</v>
      </c>
      <c r="O4724" s="43">
        <v>13932.79</v>
      </c>
      <c r="P4724" s="43">
        <v>4025.34</v>
      </c>
      <c r="Q4724" s="230">
        <f>OfficeForms.Table[[#This Row],[ INFORMEDEPAGO ]]*0.3</f>
        <v>4179.8370000000004</v>
      </c>
      <c r="R4724" s="231">
        <f>(IF(O4724&lt;4172.98,0,MIN(O4724*0.3,O4724-4172.98)))-P4724</f>
        <v>154.4970000000003</v>
      </c>
      <c r="S4724" s="74">
        <v>46266</v>
      </c>
      <c r="T4724" s="239" t="s">
        <v>7516</v>
      </c>
      <c r="U4724" s="97">
        <f>850+639</f>
        <v>1489</v>
      </c>
      <c r="V4724" s="1" t="s">
        <v>8256</v>
      </c>
      <c r="W4724" s="29">
        <v>46282</v>
      </c>
    </row>
    <row r="4725" spans="1:23">
      <c r="A4725">
        <v>3160</v>
      </c>
      <c r="B4725" s="2">
        <v>46281.612986111097</v>
      </c>
      <c r="C4725" s="2">
        <v>46281.623483796298</v>
      </c>
      <c r="D4725" s="1" t="s">
        <v>24</v>
      </c>
      <c r="E4725" s="1"/>
      <c r="F4725" s="29">
        <v>46281</v>
      </c>
      <c r="G4725" s="29">
        <v>46278</v>
      </c>
      <c r="H4725" s="1" t="s">
        <v>51</v>
      </c>
      <c r="I4725" s="251" t="s">
        <v>10501</v>
      </c>
      <c r="J4725" s="207" t="s">
        <v>10502</v>
      </c>
      <c r="K4725" s="188" t="s">
        <v>5467</v>
      </c>
      <c r="L4725" s="242">
        <v>24434902</v>
      </c>
      <c r="M4725" s="243">
        <v>5213310109385</v>
      </c>
      <c r="N4725" s="171" t="s">
        <v>37</v>
      </c>
      <c r="O4725" s="43">
        <v>10636.54</v>
      </c>
      <c r="P4725" s="43">
        <v>3162.83</v>
      </c>
      <c r="Q4725" s="230">
        <f>OfficeForms.Table[[#This Row],[ INFORMEDEPAGO ]]*0.3</f>
        <v>3190.962</v>
      </c>
      <c r="R4725" s="231">
        <f>(IF(O4725&lt;4172.98,0,MIN(O4725*0.3,O4725-4172.98)))-P4725</f>
        <v>28.132000000000062</v>
      </c>
      <c r="S4725" s="74">
        <v>46966</v>
      </c>
      <c r="T4725" s="239" t="s">
        <v>192</v>
      </c>
      <c r="U4725" s="43">
        <v>3162.83</v>
      </c>
      <c r="V4725" s="1"/>
    </row>
    <row r="4726" spans="1:23">
      <c r="A4726">
        <v>3161</v>
      </c>
      <c r="B4726" s="2">
        <v>46281.623495370397</v>
      </c>
      <c r="C4726" s="2">
        <v>46281.627199074101</v>
      </c>
      <c r="D4726" s="1" t="s">
        <v>24</v>
      </c>
      <c r="E4726" s="1"/>
      <c r="F4726" s="29">
        <v>46281</v>
      </c>
      <c r="G4726" s="29">
        <v>46225</v>
      </c>
      <c r="H4726" s="1" t="s">
        <v>51</v>
      </c>
      <c r="I4726" s="251" t="s">
        <v>10503</v>
      </c>
      <c r="J4726" s="207" t="s">
        <v>10504</v>
      </c>
      <c r="K4726" s="188" t="s">
        <v>10505</v>
      </c>
      <c r="L4726" s="242">
        <v>22983338</v>
      </c>
      <c r="M4726" s="243">
        <v>5219821152554</v>
      </c>
      <c r="N4726" s="171" t="s">
        <v>37</v>
      </c>
      <c r="O4726" s="43">
        <v>9081.52</v>
      </c>
      <c r="P4726" s="43">
        <v>2521.34</v>
      </c>
      <c r="Q4726" s="230">
        <f>OfficeForms.Table[[#This Row],[ INFORMEDEPAGO ]]*0.3</f>
        <v>2724.4560000000001</v>
      </c>
      <c r="R4726" s="231">
        <f>(IF(O4726&lt;4172.98,0,MIN(O4726*0.3,O4726-4172.98)))-P4726</f>
        <v>203.11599999999999</v>
      </c>
      <c r="S4726" s="74">
        <v>46296</v>
      </c>
      <c r="T4726" s="239" t="s">
        <v>8319</v>
      </c>
      <c r="U4726" s="97">
        <v>391.76</v>
      </c>
      <c r="V4726" s="1"/>
    </row>
    <row r="4727" spans="1:23">
      <c r="A4727">
        <v>3162</v>
      </c>
      <c r="B4727" s="2">
        <v>46281.623587962997</v>
      </c>
      <c r="C4727" s="2">
        <v>46281.659884259301</v>
      </c>
      <c r="D4727" s="1" t="s">
        <v>24</v>
      </c>
      <c r="E4727" s="1"/>
      <c r="F4727" s="29">
        <v>46281</v>
      </c>
      <c r="G4727" s="29">
        <v>46280</v>
      </c>
      <c r="H4727" s="1" t="s">
        <v>9991</v>
      </c>
      <c r="I4727" s="251" t="s">
        <v>10506</v>
      </c>
      <c r="J4727" s="207"/>
      <c r="K4727" s="188" t="s">
        <v>10507</v>
      </c>
      <c r="L4727" s="242">
        <v>24492356</v>
      </c>
      <c r="M4727" s="243">
        <v>6731033249</v>
      </c>
      <c r="N4727" s="171" t="s">
        <v>47</v>
      </c>
      <c r="O4727" s="43">
        <v>7116.73</v>
      </c>
      <c r="P4727" s="43">
        <v>1198.94</v>
      </c>
      <c r="Q4727" s="230">
        <f>OfficeForms.Table[[#This Row],[ INFORMEDEPAGO ]]*0.3</f>
        <v>2135.0189999999998</v>
      </c>
      <c r="R4727" s="231">
        <f>(IF(O4727&lt;4172.98,0,MIN(O4727*0.3,O4727-4172.98)))-P4727</f>
        <v>936.07899999999972</v>
      </c>
      <c r="S4727" s="74">
        <v>46539</v>
      </c>
      <c r="T4727" s="239" t="s">
        <v>7516</v>
      </c>
      <c r="U4727" s="97">
        <v>1198.94</v>
      </c>
      <c r="V4727" s="1" t="s">
        <v>8233</v>
      </c>
      <c r="W4727" s="29">
        <v>46282</v>
      </c>
    </row>
    <row r="4728" spans="1:23">
      <c r="A4728">
        <v>3163</v>
      </c>
      <c r="B4728" s="2">
        <v>46281.667395833298</v>
      </c>
      <c r="C4728" s="2">
        <v>46281.668333333299</v>
      </c>
      <c r="D4728" s="1" t="s">
        <v>24</v>
      </c>
      <c r="E4728" s="1"/>
      <c r="F4728" s="29">
        <v>46281</v>
      </c>
      <c r="G4728" s="29">
        <v>46278</v>
      </c>
      <c r="H4728" s="1" t="s">
        <v>8253</v>
      </c>
      <c r="I4728" s="251" t="s">
        <v>10508</v>
      </c>
      <c r="J4728" s="207">
        <v>23766000311</v>
      </c>
      <c r="K4728" s="188" t="s">
        <v>10509</v>
      </c>
      <c r="L4728" s="242">
        <v>24426370</v>
      </c>
      <c r="M4728" s="243">
        <v>6671855416</v>
      </c>
      <c r="N4728" s="171" t="s">
        <v>32</v>
      </c>
      <c r="O4728" s="50">
        <v>3494.57</v>
      </c>
      <c r="P4728" s="97"/>
      <c r="Q4728" s="230">
        <f>OfficeForms.Table[[#This Row],[ INFORMEDEPAGO ]]*0.3</f>
        <v>1048.3710000000001</v>
      </c>
      <c r="R4728" s="231">
        <f>(IF(O4728&lt;4172.98,0,MIN(O4728*0.3,O4728-4172.98)))-P4728</f>
        <v>0</v>
      </c>
      <c r="T4728" s="239"/>
      <c r="U4728" s="97"/>
      <c r="V4728" s="1"/>
    </row>
    <row r="4729" spans="1:23">
      <c r="A4729">
        <v>3164</v>
      </c>
      <c r="B4729" s="2">
        <v>46281.6272453704</v>
      </c>
      <c r="C4729" s="2">
        <v>46281.670451388898</v>
      </c>
      <c r="D4729" s="1" t="s">
        <v>24</v>
      </c>
      <c r="E4729" s="1"/>
      <c r="F4729" s="29">
        <v>46281</v>
      </c>
      <c r="G4729" s="29">
        <v>46281</v>
      </c>
      <c r="H4729" s="1" t="s">
        <v>51</v>
      </c>
      <c r="I4729" s="251" t="s">
        <v>10510</v>
      </c>
      <c r="J4729" s="207">
        <v>23815902178</v>
      </c>
      <c r="K4729" s="188" t="s">
        <v>10511</v>
      </c>
      <c r="L4729" s="242">
        <v>24506160</v>
      </c>
      <c r="M4729" s="243">
        <v>5216145100893</v>
      </c>
      <c r="N4729" s="171" t="s">
        <v>130</v>
      </c>
      <c r="O4729" s="43">
        <v>6261.96</v>
      </c>
      <c r="P4729" s="43">
        <v>1806.85</v>
      </c>
      <c r="Q4729" s="230">
        <f>OfficeForms.Table[[#This Row],[ INFORMEDEPAGO ]]*0.3</f>
        <v>1878.588</v>
      </c>
      <c r="R4729" s="231">
        <f>(IF(O4729&lt;4172.98,0,MIN(O4729*0.3,O4729-4172.98)))-P4729</f>
        <v>71.738000000000056</v>
      </c>
      <c r="S4729" s="74">
        <v>46204</v>
      </c>
      <c r="T4729" s="239" t="s">
        <v>6855</v>
      </c>
      <c r="U4729" s="97">
        <f>536.9+530.95</f>
        <v>1067.8499999999999</v>
      </c>
      <c r="V4729" s="1" t="s">
        <v>8233</v>
      </c>
      <c r="W4729" s="29">
        <v>46282</v>
      </c>
    </row>
    <row r="4730" spans="1:23">
      <c r="A4730">
        <v>3165</v>
      </c>
      <c r="B4730" s="2">
        <v>46281.620011574101</v>
      </c>
      <c r="C4730" s="2">
        <v>46281.6729976852</v>
      </c>
      <c r="D4730" s="1" t="s">
        <v>24</v>
      </c>
      <c r="E4730" s="1"/>
      <c r="F4730" s="29">
        <v>46281</v>
      </c>
      <c r="G4730" s="29">
        <v>46281</v>
      </c>
      <c r="H4730" s="1" t="s">
        <v>9960</v>
      </c>
      <c r="I4730" s="251" t="s">
        <v>10512</v>
      </c>
      <c r="J4730" s="207">
        <v>31786016480</v>
      </c>
      <c r="K4730" s="188" t="s">
        <v>10513</v>
      </c>
      <c r="L4730" s="242">
        <v>24510566</v>
      </c>
      <c r="M4730" s="243">
        <v>6144579051</v>
      </c>
      <c r="N4730" s="171" t="s">
        <v>37</v>
      </c>
      <c r="O4730" s="52">
        <v>5617.63</v>
      </c>
      <c r="P4730" s="52">
        <v>1433.94</v>
      </c>
      <c r="Q4730" s="230">
        <f>OfficeForms.Table[[#This Row],[ INFORMEDEPAGO ]]*0.3</f>
        <v>1685.289</v>
      </c>
      <c r="R4730" s="231">
        <f>(IF(O4730&lt;4172.98,0,MIN(O4730*0.3,O4730-4172.98)))-P4730</f>
        <v>10.710000000000491</v>
      </c>
      <c r="S4730" s="74">
        <v>46784</v>
      </c>
      <c r="T4730" s="239" t="s">
        <v>7209</v>
      </c>
      <c r="U4730" s="97">
        <v>1433.94</v>
      </c>
      <c r="V4730" s="1"/>
    </row>
    <row r="4731" spans="1:23">
      <c r="A4731">
        <v>3166</v>
      </c>
      <c r="B4731" s="2">
        <v>46280.742071759298</v>
      </c>
      <c r="C4731" s="2">
        <v>46281.722650463002</v>
      </c>
      <c r="D4731" s="1" t="s">
        <v>24</v>
      </c>
      <c r="E4731" s="1"/>
      <c r="F4731" s="29">
        <v>46281</v>
      </c>
      <c r="G4731" s="29">
        <v>46280</v>
      </c>
      <c r="H4731" s="1" t="s">
        <v>8381</v>
      </c>
      <c r="I4731" s="251" t="s">
        <v>10514</v>
      </c>
      <c r="J4731" s="207" t="s">
        <v>10515</v>
      </c>
      <c r="K4731" s="188" t="s">
        <v>10516</v>
      </c>
      <c r="L4731" s="242">
        <v>24491252</v>
      </c>
      <c r="M4731" s="243">
        <v>5218661015469</v>
      </c>
      <c r="N4731" s="171" t="s">
        <v>106</v>
      </c>
      <c r="O4731" s="43">
        <v>23463.16</v>
      </c>
      <c r="P4731" s="43">
        <v>7038.15</v>
      </c>
      <c r="Q4731" s="230">
        <f>OfficeForms.Table[[#This Row],[ INFORMEDEPAGO ]]*0.3</f>
        <v>7038.9479999999994</v>
      </c>
      <c r="R4731" s="231">
        <f>(IF(O4731&lt;4172.98,0,MIN(O4731*0.3,O4731-4172.98)))-P4731</f>
        <v>0.79799999999977445</v>
      </c>
      <c r="S4731" s="74">
        <v>46266</v>
      </c>
      <c r="T4731" s="239" t="s">
        <v>8757</v>
      </c>
      <c r="U4731" s="97">
        <f>570.4+842.48</f>
        <v>1412.88</v>
      </c>
      <c r="V4731" s="1" t="s">
        <v>8328</v>
      </c>
      <c r="W4731" s="29">
        <v>46282</v>
      </c>
    </row>
    <row r="4732" spans="1:23">
      <c r="A4732">
        <v>3167</v>
      </c>
      <c r="B4732" s="2">
        <v>46281.723530092597</v>
      </c>
      <c r="C4732" s="2">
        <v>46281.725960648197</v>
      </c>
      <c r="D4732" s="1" t="s">
        <v>24</v>
      </c>
      <c r="E4732" s="1"/>
      <c r="F4732" s="29">
        <v>46281</v>
      </c>
      <c r="G4732" s="29">
        <v>46270</v>
      </c>
      <c r="H4732" s="1" t="s">
        <v>8381</v>
      </c>
      <c r="I4732" s="251" t="s">
        <v>10517</v>
      </c>
      <c r="J4732" s="207" t="s">
        <v>10518</v>
      </c>
      <c r="K4732" s="188" t="s">
        <v>10519</v>
      </c>
      <c r="L4732" s="242">
        <v>24260292</v>
      </c>
      <c r="M4732" s="243">
        <v>5218443296628</v>
      </c>
      <c r="N4732" s="171" t="s">
        <v>37</v>
      </c>
      <c r="O4732" s="43">
        <v>7920.51</v>
      </c>
      <c r="P4732" s="43">
        <v>2285.09</v>
      </c>
      <c r="Q4732" s="230">
        <f>OfficeForms.Table[[#This Row],[ INFORMEDEPAGO ]]*0.3</f>
        <v>2376.1529999999998</v>
      </c>
      <c r="R4732" s="231">
        <f>(IF(O4732&lt;4172.98,0,MIN(O4732*0.3,O4732-4172.98)))-P4732</f>
        <v>91.062999999999647</v>
      </c>
      <c r="S4732" s="74">
        <v>46569</v>
      </c>
      <c r="T4732" s="239" t="s">
        <v>84</v>
      </c>
      <c r="U4732" s="97">
        <v>2285.09</v>
      </c>
      <c r="V4732" s="1"/>
    </row>
    <row r="4733" spans="1:23">
      <c r="A4733">
        <v>3168</v>
      </c>
      <c r="B4733" s="2">
        <v>46281.725983796299</v>
      </c>
      <c r="C4733" s="2">
        <v>46281.729097222204</v>
      </c>
      <c r="D4733" s="1" t="s">
        <v>24</v>
      </c>
      <c r="E4733" s="1"/>
      <c r="F4733" s="29">
        <v>46281</v>
      </c>
      <c r="G4733" s="29">
        <v>46280</v>
      </c>
      <c r="H4733" s="1" t="s">
        <v>8381</v>
      </c>
      <c r="I4733" s="251" t="s">
        <v>10520</v>
      </c>
      <c r="J4733" s="207" t="s">
        <v>10521</v>
      </c>
      <c r="K4733" s="188" t="s">
        <v>10522</v>
      </c>
      <c r="L4733" s="242">
        <v>24492772</v>
      </c>
      <c r="M4733" s="243">
        <v>5217491065607</v>
      </c>
      <c r="N4733" s="171" t="s">
        <v>28</v>
      </c>
      <c r="O4733" s="50">
        <v>8346.31</v>
      </c>
      <c r="P4733" s="97"/>
      <c r="Q4733" s="230">
        <f>OfficeForms.Table[[#This Row],[ INFORMEDEPAGO ]]*0.3</f>
        <v>2503.8929999999996</v>
      </c>
      <c r="R4733" s="231">
        <f>(IF(O4733&lt;4172.98,0,MIN(O4733*0.3,O4733-4172.98)))-P4733</f>
        <v>2503.8929999999996</v>
      </c>
      <c r="T4733" s="239"/>
      <c r="U4733" s="97"/>
      <c r="V4733" s="1" t="s">
        <v>8280</v>
      </c>
      <c r="W4733" s="29">
        <v>46282</v>
      </c>
    </row>
    <row r="4734" spans="1:23">
      <c r="A4734">
        <v>3169</v>
      </c>
      <c r="B4734" s="2">
        <v>46281.729120370401</v>
      </c>
      <c r="C4734" s="2">
        <v>46281.731608796297</v>
      </c>
      <c r="D4734" s="1" t="s">
        <v>24</v>
      </c>
      <c r="E4734" s="1"/>
      <c r="F4734" s="29">
        <v>46281</v>
      </c>
      <c r="G4734" s="29">
        <v>46281</v>
      </c>
      <c r="H4734" s="1" t="s">
        <v>8381</v>
      </c>
      <c r="I4734" s="251" t="s">
        <v>10523</v>
      </c>
      <c r="J4734" s="207" t="s">
        <v>10524</v>
      </c>
      <c r="K4734" s="188" t="s">
        <v>10525</v>
      </c>
      <c r="L4734" s="242">
        <v>24507444</v>
      </c>
      <c r="M4734" s="243">
        <v>5217208496312</v>
      </c>
      <c r="N4734" s="171" t="s">
        <v>28</v>
      </c>
      <c r="O4734" s="50">
        <v>10636.54</v>
      </c>
      <c r="P4734" s="97"/>
      <c r="Q4734" s="230">
        <f>OfficeForms.Table[[#This Row],[ INFORMEDEPAGO ]]*0.3</f>
        <v>3190.962</v>
      </c>
      <c r="R4734" s="231">
        <f>(IF(O4734&lt;4172.98,0,MIN(O4734*0.3,O4734-4172.98)))-P4734</f>
        <v>3190.962</v>
      </c>
      <c r="T4734" s="239"/>
      <c r="U4734" s="97"/>
      <c r="V4734" s="1" t="s">
        <v>8535</v>
      </c>
      <c r="W4734" s="29">
        <v>46282</v>
      </c>
    </row>
    <row r="4735" spans="1:23">
      <c r="A4735">
        <v>3170</v>
      </c>
      <c r="B4735" s="2">
        <v>46281.731666666703</v>
      </c>
      <c r="C4735" s="2">
        <v>46281.735462962999</v>
      </c>
      <c r="D4735" s="1" t="s">
        <v>24</v>
      </c>
      <c r="E4735" s="1"/>
      <c r="F4735" s="29">
        <v>46281</v>
      </c>
      <c r="G4735" s="29">
        <v>46281</v>
      </c>
      <c r="H4735" s="1" t="s">
        <v>8381</v>
      </c>
      <c r="I4735" s="251" t="s">
        <v>10526</v>
      </c>
      <c r="J4735" s="208" t="s">
        <v>10527</v>
      </c>
      <c r="K4735" s="188" t="s">
        <v>10528</v>
      </c>
      <c r="L4735" s="242">
        <v>24503844</v>
      </c>
      <c r="M4735" s="243">
        <v>5213349023360</v>
      </c>
      <c r="N4735" s="171" t="s">
        <v>37</v>
      </c>
      <c r="O4735" s="50">
        <v>7128.48</v>
      </c>
      <c r="P4735" s="97">
        <v>2062.0300000000002</v>
      </c>
      <c r="Q4735" s="230">
        <f>OfficeForms.Table[[#This Row],[ INFORMEDEPAGO ]]*0.3</f>
        <v>2138.5439999999999</v>
      </c>
      <c r="R4735" s="231">
        <f>(IF(O4735&lt;4172.98,0,MIN(O4735*0.3,O4735-4172.98)))-P4735</f>
        <v>76.513999999999669</v>
      </c>
      <c r="S4735" s="74">
        <v>46600</v>
      </c>
      <c r="T4735" s="239" t="s">
        <v>7209</v>
      </c>
      <c r="U4735" s="97">
        <v>2062.0300000000002</v>
      </c>
      <c r="V4735" s="1"/>
    </row>
    <row r="4736" spans="1:23">
      <c r="A4736">
        <v>3171</v>
      </c>
      <c r="B4736" s="2">
        <v>46281.737418981502</v>
      </c>
      <c r="C4736" s="2">
        <v>46281.740717592598</v>
      </c>
      <c r="D4736" s="1" t="s">
        <v>24</v>
      </c>
      <c r="E4736" s="1"/>
      <c r="F4736" s="29">
        <v>46281</v>
      </c>
      <c r="G4736" s="29">
        <v>46280</v>
      </c>
      <c r="H4736" s="1" t="s">
        <v>8028</v>
      </c>
      <c r="I4736" s="251" t="s">
        <v>10529</v>
      </c>
      <c r="J4736" s="207"/>
      <c r="K4736" s="188" t="s">
        <v>10530</v>
      </c>
      <c r="L4736" s="242">
        <v>24488026</v>
      </c>
      <c r="M4736" s="243">
        <v>5219615808803</v>
      </c>
      <c r="N4736" s="185" t="s">
        <v>32</v>
      </c>
      <c r="O4736" s="50">
        <v>4199.87</v>
      </c>
      <c r="P4736" s="97"/>
      <c r="Q4736" s="230">
        <f>OfficeForms.Table[[#This Row],[ INFORMEDEPAGO ]]*0.3</f>
        <v>1259.961</v>
      </c>
      <c r="R4736" s="231">
        <f>(IF(O4736&lt;4172.98,0,MIN(O4736*0.3,O4736-4172.98)))-P4736</f>
        <v>26.890000000000327</v>
      </c>
      <c r="T4736" s="239"/>
      <c r="U4736" s="97"/>
      <c r="V4736" s="1"/>
    </row>
    <row r="4737" spans="1:23">
      <c r="A4737">
        <v>3172</v>
      </c>
      <c r="B4737" s="2">
        <v>46281.7354976852</v>
      </c>
      <c r="C4737" s="2">
        <v>46281.742002314801</v>
      </c>
      <c r="D4737" s="1" t="s">
        <v>24</v>
      </c>
      <c r="E4737" s="1"/>
      <c r="F4737" s="29">
        <v>46281</v>
      </c>
      <c r="G4737" s="29">
        <v>46281</v>
      </c>
      <c r="H4737" s="1" t="s">
        <v>8381</v>
      </c>
      <c r="I4737" s="251" t="s">
        <v>10531</v>
      </c>
      <c r="J4737" s="207"/>
      <c r="K4737" s="188" t="s">
        <v>10532</v>
      </c>
      <c r="L4737" s="242">
        <v>24511172</v>
      </c>
      <c r="M4737" s="243">
        <v>5216424280066</v>
      </c>
      <c r="N4737" s="171" t="s">
        <v>37</v>
      </c>
      <c r="O4737" s="43">
        <v>26899.599999999999</v>
      </c>
      <c r="P4737" s="43">
        <v>8064.79</v>
      </c>
      <c r="Q4737" s="230">
        <f>OfficeForms.Table[[#This Row],[ INFORMEDEPAGO ]]*0.3</f>
        <v>8069.8799999999992</v>
      </c>
      <c r="R4737" s="231">
        <f>(IF(O4737&lt;4172.98,0,MIN(O4737*0.3,O4737-4172.98)))-P4737</f>
        <v>5.089999999999236</v>
      </c>
      <c r="S4737" s="74">
        <v>46327</v>
      </c>
      <c r="T4737" s="239" t="s">
        <v>7516</v>
      </c>
      <c r="U4737" s="97">
        <v>3067.34</v>
      </c>
      <c r="V4737" s="1"/>
    </row>
    <row r="4738" spans="1:23">
      <c r="A4738">
        <v>3173</v>
      </c>
      <c r="B4738" s="2">
        <v>46282.350949074098</v>
      </c>
      <c r="C4738" s="2">
        <v>46282.351643518501</v>
      </c>
      <c r="D4738" s="1" t="s">
        <v>24</v>
      </c>
      <c r="E4738" s="1"/>
      <c r="F4738" s="29">
        <v>46282</v>
      </c>
      <c r="G4738" s="29">
        <v>46282</v>
      </c>
      <c r="H4738" s="1" t="s">
        <v>1625</v>
      </c>
      <c r="I4738" s="251" t="s">
        <v>10533</v>
      </c>
      <c r="J4738" s="207" t="s">
        <v>10534</v>
      </c>
      <c r="K4738" s="188" t="s">
        <v>8616</v>
      </c>
      <c r="L4738" s="242">
        <v>2</v>
      </c>
      <c r="M4738" s="243">
        <v>8187770489</v>
      </c>
      <c r="N4738" s="171" t="s">
        <v>37</v>
      </c>
      <c r="O4738" s="52">
        <v>6411.47</v>
      </c>
      <c r="P4738" s="52">
        <v>1922.97</v>
      </c>
      <c r="Q4738" s="230">
        <f>OfficeForms.Table[[#This Row],[ INFORMEDEPAGO ]]*0.3</f>
        <v>1923.441</v>
      </c>
      <c r="R4738" s="231">
        <f t="shared" ref="R4738:R4747" si="390">(IF(O4738&lt;4172.98,0,MIN(O4738*0.3,O4738-4172.98)))-P4738</f>
        <v>0.47100000000000364</v>
      </c>
      <c r="S4738" s="74">
        <v>46905</v>
      </c>
      <c r="T4738" s="239" t="s">
        <v>178</v>
      </c>
      <c r="U4738" s="52">
        <v>1922.97</v>
      </c>
      <c r="V4738" s="1"/>
    </row>
    <row r="4739" spans="1:23">
      <c r="A4739">
        <v>3174</v>
      </c>
      <c r="B4739" s="2">
        <v>46282.352743055599</v>
      </c>
      <c r="C4739" s="2">
        <v>46282.353645833296</v>
      </c>
      <c r="D4739" s="1" t="s">
        <v>24</v>
      </c>
      <c r="E4739" s="1"/>
      <c r="F4739" s="29">
        <v>46282</v>
      </c>
      <c r="G4739" s="29">
        <v>46270</v>
      </c>
      <c r="H4739" s="1" t="s">
        <v>8253</v>
      </c>
      <c r="I4739" s="251" t="s">
        <v>10535</v>
      </c>
      <c r="J4739" s="207"/>
      <c r="K4739" s="188" t="s">
        <v>10536</v>
      </c>
      <c r="L4739" s="242">
        <v>24262950</v>
      </c>
      <c r="M4739" s="243">
        <v>9622206666</v>
      </c>
      <c r="N4739" s="171" t="s">
        <v>32</v>
      </c>
      <c r="O4739" s="50">
        <v>3879.3</v>
      </c>
      <c r="P4739" s="97"/>
      <c r="Q4739" s="230">
        <f>OfficeForms.Table[[#This Row],[ INFORMEDEPAGO ]]*0.3</f>
        <v>1163.79</v>
      </c>
      <c r="R4739" s="231">
        <f t="shared" si="390"/>
        <v>0</v>
      </c>
      <c r="T4739" s="239"/>
      <c r="U4739" s="97"/>
      <c r="V4739" s="1"/>
    </row>
    <row r="4740" spans="1:23">
      <c r="A4740">
        <v>3175</v>
      </c>
      <c r="B4740" s="2">
        <v>46282.355312500003</v>
      </c>
      <c r="C4740" s="2">
        <v>46282.356550925899</v>
      </c>
      <c r="D4740" s="1" t="s">
        <v>24</v>
      </c>
      <c r="E4740" s="1"/>
      <c r="F4740" s="29">
        <v>46282</v>
      </c>
      <c r="G4740" s="29">
        <v>46282</v>
      </c>
      <c r="H4740" s="1" t="s">
        <v>10043</v>
      </c>
      <c r="I4740" s="251" t="s">
        <v>10537</v>
      </c>
      <c r="J4740" s="207" t="s">
        <v>10538</v>
      </c>
      <c r="K4740" s="188" t="s">
        <v>10539</v>
      </c>
      <c r="L4740" s="242">
        <v>24533922</v>
      </c>
      <c r="M4740" s="243" t="s">
        <v>10540</v>
      </c>
      <c r="N4740" s="171" t="s">
        <v>32</v>
      </c>
      <c r="O4740" s="50">
        <f>3052.89+848</f>
        <v>3900.89</v>
      </c>
      <c r="P4740" s="97">
        <v>848</v>
      </c>
      <c r="Q4740" s="230">
        <f>OfficeForms.Table[[#This Row],[ INFORMEDEPAGO ]]*0.3</f>
        <v>1170.2669999999998</v>
      </c>
      <c r="R4740" s="231">
        <f t="shared" si="390"/>
        <v>-848</v>
      </c>
      <c r="T4740" s="239"/>
      <c r="U4740" s="97"/>
      <c r="V4740" s="1"/>
    </row>
    <row r="4741" spans="1:23">
      <c r="A4741">
        <v>3176</v>
      </c>
      <c r="B4741" s="2">
        <v>46282.358958333301</v>
      </c>
      <c r="C4741" s="2">
        <v>46282.359756944403</v>
      </c>
      <c r="D4741" s="1" t="s">
        <v>24</v>
      </c>
      <c r="E4741" s="1"/>
      <c r="F4741" s="29">
        <v>46282</v>
      </c>
      <c r="G4741" s="29">
        <v>46281</v>
      </c>
      <c r="H4741" s="1" t="s">
        <v>8253</v>
      </c>
      <c r="I4741" s="251" t="s">
        <v>10541</v>
      </c>
      <c r="J4741" s="207"/>
      <c r="K4741" s="188" t="s">
        <v>10542</v>
      </c>
      <c r="L4741" s="242">
        <v>24511866</v>
      </c>
      <c r="M4741" s="243">
        <v>3531489417</v>
      </c>
      <c r="N4741" s="171" t="s">
        <v>37</v>
      </c>
      <c r="O4741" s="52">
        <v>9081.52</v>
      </c>
      <c r="P4741" s="52">
        <v>2627.5</v>
      </c>
      <c r="Q4741" s="230">
        <f>OfficeForms.Table[[#This Row],[ INFORMEDEPAGO ]]*0.3</f>
        <v>2724.4560000000001</v>
      </c>
      <c r="R4741" s="231">
        <f t="shared" si="390"/>
        <v>96.956000000000131</v>
      </c>
      <c r="S4741" s="74">
        <v>46478</v>
      </c>
      <c r="T4741" s="239" t="s">
        <v>7209</v>
      </c>
      <c r="U4741" s="52">
        <v>2627.5</v>
      </c>
      <c r="V4741" s="1"/>
    </row>
    <row r="4742" spans="1:23">
      <c r="A4742">
        <v>3177</v>
      </c>
      <c r="B4742" s="2">
        <v>46282.351724537002</v>
      </c>
      <c r="C4742" s="2">
        <v>46282.383298611101</v>
      </c>
      <c r="D4742" s="1" t="s">
        <v>24</v>
      </c>
      <c r="E4742" s="1"/>
      <c r="F4742" s="29">
        <v>46282</v>
      </c>
      <c r="G4742" s="29">
        <v>46282</v>
      </c>
      <c r="H4742" s="1" t="s">
        <v>1625</v>
      </c>
      <c r="I4742" s="251" t="s">
        <v>10543</v>
      </c>
      <c r="J4742" s="207" t="s">
        <v>10544</v>
      </c>
      <c r="K4742" s="188" t="s">
        <v>10545</v>
      </c>
      <c r="L4742" s="242">
        <v>2</v>
      </c>
      <c r="M4742" s="243">
        <v>3310661584</v>
      </c>
      <c r="N4742" s="171" t="s">
        <v>37</v>
      </c>
      <c r="O4742" s="52">
        <v>39461.360000000001</v>
      </c>
      <c r="P4742" s="52">
        <v>11838.41</v>
      </c>
      <c r="Q4742" s="230">
        <f>OfficeForms.Table[[#This Row],[ INFORMEDEPAGO ]]*0.3</f>
        <v>11838.407999999999</v>
      </c>
      <c r="R4742" s="231">
        <f t="shared" si="390"/>
        <v>-2.0000000004074536E-3</v>
      </c>
      <c r="S4742" s="74">
        <v>46631</v>
      </c>
      <c r="T4742" s="239" t="s">
        <v>8338</v>
      </c>
      <c r="U4742" s="97">
        <v>10163.76</v>
      </c>
      <c r="V4742" s="1"/>
    </row>
    <row r="4743" spans="1:23">
      <c r="A4743">
        <v>3178</v>
      </c>
      <c r="B4743" s="2">
        <v>46282.381631944401</v>
      </c>
      <c r="C4743" s="2">
        <v>46282.392500000002</v>
      </c>
      <c r="D4743" s="1" t="s">
        <v>24</v>
      </c>
      <c r="E4743" s="1"/>
      <c r="F4743" s="29">
        <v>46282</v>
      </c>
      <c r="G4743" s="29">
        <v>46197</v>
      </c>
      <c r="H4743" s="1" t="s">
        <v>78</v>
      </c>
      <c r="I4743" s="251" t="s">
        <v>10546</v>
      </c>
      <c r="J4743" s="207" t="s">
        <v>10547</v>
      </c>
      <c r="K4743" s="188" t="s">
        <v>10548</v>
      </c>
      <c r="L4743" s="242">
        <v>21975326</v>
      </c>
      <c r="M4743" s="243">
        <v>5218132418505</v>
      </c>
      <c r="N4743" s="171" t="s">
        <v>37</v>
      </c>
      <c r="O4743" s="52">
        <v>9081.52</v>
      </c>
      <c r="P4743" s="52">
        <v>2511.2399999999998</v>
      </c>
      <c r="Q4743" s="230">
        <f>OfficeForms.Table[[#This Row],[ INFORMEDEPAGO ]]*0.3</f>
        <v>2724.4560000000001</v>
      </c>
      <c r="R4743" s="231">
        <f t="shared" si="390"/>
        <v>213.21600000000035</v>
      </c>
      <c r="S4743" s="74">
        <v>46388</v>
      </c>
      <c r="T4743" s="239" t="s">
        <v>7209</v>
      </c>
      <c r="U4743" s="52">
        <v>2511.2399999999998</v>
      </c>
      <c r="V4743" s="1"/>
    </row>
    <row r="4744" spans="1:23">
      <c r="A4744">
        <v>3179</v>
      </c>
      <c r="B4744" s="2">
        <v>46282.380856481497</v>
      </c>
      <c r="C4744" s="2">
        <v>46282.404386574097</v>
      </c>
      <c r="D4744" s="1" t="s">
        <v>24</v>
      </c>
      <c r="E4744" s="1"/>
      <c r="F4744" s="29">
        <v>46282</v>
      </c>
      <c r="G4744" s="29">
        <v>46233</v>
      </c>
      <c r="H4744" s="1" t="s">
        <v>51</v>
      </c>
      <c r="I4744" s="251" t="s">
        <v>10549</v>
      </c>
      <c r="J4744" s="175" t="s">
        <v>10550</v>
      </c>
      <c r="K4744" s="188" t="s">
        <v>10551</v>
      </c>
      <c r="L4744" s="242">
        <v>23231596</v>
      </c>
      <c r="M4744" s="243">
        <v>5216471199942</v>
      </c>
      <c r="N4744" s="171" t="s">
        <v>37</v>
      </c>
      <c r="O4744" s="52">
        <v>7920.51</v>
      </c>
      <c r="P4744" s="52">
        <v>2365.91</v>
      </c>
      <c r="Q4744" s="230">
        <f>OfficeForms.Table[[#This Row],[ INFORMEDEPAGO ]]*0.3</f>
        <v>2376.1529999999998</v>
      </c>
      <c r="R4744" s="231">
        <f t="shared" si="390"/>
        <v>10.242999999999938</v>
      </c>
      <c r="S4744" s="74">
        <v>46478</v>
      </c>
      <c r="T4744" s="239" t="s">
        <v>178</v>
      </c>
      <c r="U4744" s="97">
        <v>1462.13</v>
      </c>
      <c r="V4744" s="1"/>
    </row>
    <row r="4745" spans="1:23">
      <c r="A4745">
        <v>3180</v>
      </c>
      <c r="B4745" s="2">
        <v>46282.395925925899</v>
      </c>
      <c r="C4745" s="2">
        <v>46282.404432870397</v>
      </c>
      <c r="D4745" s="1" t="s">
        <v>24</v>
      </c>
      <c r="E4745" s="1"/>
      <c r="F4745" s="29">
        <v>46282</v>
      </c>
      <c r="G4745" s="29">
        <v>46280</v>
      </c>
      <c r="H4745" s="1" t="s">
        <v>78</v>
      </c>
      <c r="I4745" s="251" t="s">
        <v>10552</v>
      </c>
      <c r="J4745" s="207" t="s">
        <v>10553</v>
      </c>
      <c r="K4745" s="188" t="s">
        <v>10554</v>
      </c>
      <c r="L4745" s="242">
        <v>24490596</v>
      </c>
      <c r="M4745" s="243">
        <v>5212285021351</v>
      </c>
      <c r="N4745" s="171" t="s">
        <v>37</v>
      </c>
      <c r="O4745" s="52">
        <v>9760.32</v>
      </c>
      <c r="P4745" s="52">
        <v>2928.1</v>
      </c>
      <c r="Q4745" s="230">
        <f>OfficeForms.Table[[#This Row],[ INFORMEDEPAGO ]]*0.3</f>
        <v>2928.096</v>
      </c>
      <c r="R4745" s="231">
        <f t="shared" si="390"/>
        <v>-3.9999999999054126E-3</v>
      </c>
      <c r="S4745" s="74">
        <v>46844</v>
      </c>
      <c r="T4745" s="239" t="s">
        <v>7209</v>
      </c>
      <c r="U4745" s="52">
        <v>2928.1</v>
      </c>
      <c r="V4745" s="1"/>
    </row>
    <row r="4746" spans="1:23">
      <c r="A4746">
        <v>3181</v>
      </c>
      <c r="B4746" s="2">
        <v>46282.397118055596</v>
      </c>
      <c r="C4746" s="2">
        <v>46282.405787037002</v>
      </c>
      <c r="D4746" s="1" t="s">
        <v>24</v>
      </c>
      <c r="E4746" s="1"/>
      <c r="F4746" s="29">
        <v>46282</v>
      </c>
      <c r="G4746" s="29">
        <v>46281</v>
      </c>
      <c r="H4746" s="1" t="s">
        <v>51</v>
      </c>
      <c r="I4746" s="251" t="s">
        <v>10555</v>
      </c>
      <c r="J4746" s="175" t="s">
        <v>10556</v>
      </c>
      <c r="K4746" s="188" t="s">
        <v>10557</v>
      </c>
      <c r="L4746" s="242">
        <v>24535254</v>
      </c>
      <c r="M4746" s="243">
        <v>5216624662717</v>
      </c>
      <c r="N4746" s="171" t="s">
        <v>37</v>
      </c>
      <c r="O4746" s="52">
        <v>9760.32</v>
      </c>
      <c r="P4746" s="52">
        <v>2917.28</v>
      </c>
      <c r="Q4746" s="230">
        <f>OfficeForms.Table[[#This Row],[ INFORMEDEPAGO ]]*0.3</f>
        <v>2928.096</v>
      </c>
      <c r="R4746" s="231">
        <f t="shared" si="390"/>
        <v>10.815999999999804</v>
      </c>
      <c r="S4746" s="74">
        <v>46874</v>
      </c>
      <c r="T4746" s="239" t="s">
        <v>178</v>
      </c>
      <c r="U4746" s="97">
        <v>2917.28</v>
      </c>
      <c r="V4746" s="1"/>
    </row>
    <row r="4747" spans="1:23">
      <c r="A4747">
        <v>3182</v>
      </c>
      <c r="B4747" s="2">
        <v>46282.402847222198</v>
      </c>
      <c r="C4747" s="2">
        <v>46282.4067476852</v>
      </c>
      <c r="D4747" s="1" t="s">
        <v>24</v>
      </c>
      <c r="E4747" s="1"/>
      <c r="F4747" s="29">
        <v>46282</v>
      </c>
      <c r="G4747" s="29">
        <v>46281</v>
      </c>
      <c r="H4747" s="1" t="s">
        <v>51</v>
      </c>
      <c r="I4747" s="251" t="s">
        <v>10558</v>
      </c>
      <c r="J4747" s="175"/>
      <c r="K4747" s="188" t="s">
        <v>10559</v>
      </c>
      <c r="L4747" s="242">
        <v>24511098</v>
      </c>
      <c r="M4747" s="243">
        <v>5216331321924</v>
      </c>
      <c r="N4747" s="171" t="s">
        <v>37</v>
      </c>
      <c r="O4747" s="52">
        <v>7116.73</v>
      </c>
      <c r="P4747" s="52">
        <v>2132.9699999999998</v>
      </c>
      <c r="Q4747" s="230">
        <f>OfficeForms.Table[[#This Row],[ INFORMEDEPAGO ]]*0.3</f>
        <v>2135.0189999999998</v>
      </c>
      <c r="R4747" s="231">
        <f t="shared" si="390"/>
        <v>2.0489999999999782</v>
      </c>
      <c r="S4747" s="74">
        <v>46935</v>
      </c>
      <c r="T4747" s="239" t="s">
        <v>8338</v>
      </c>
      <c r="U4747" s="52">
        <v>2132.9699999999998</v>
      </c>
      <c r="V4747" s="1"/>
    </row>
    <row r="4748" spans="1:23">
      <c r="A4748">
        <v>3183</v>
      </c>
      <c r="B4748" s="2">
        <v>46282.406909722202</v>
      </c>
      <c r="C4748" s="2">
        <v>46282.4077777778</v>
      </c>
      <c r="D4748" s="1" t="s">
        <v>24</v>
      </c>
      <c r="E4748" s="1"/>
      <c r="F4748" s="29">
        <v>46282</v>
      </c>
      <c r="G4748" s="29">
        <v>46281</v>
      </c>
      <c r="H4748" s="1" t="s">
        <v>8253</v>
      </c>
      <c r="I4748" s="251" t="s">
        <v>10560</v>
      </c>
      <c r="J4748" s="175"/>
      <c r="K4748" s="188" t="s">
        <v>10561</v>
      </c>
      <c r="L4748" s="242">
        <v>24533680</v>
      </c>
      <c r="M4748" s="243">
        <v>2711409059</v>
      </c>
      <c r="N4748" s="171" t="s">
        <v>32</v>
      </c>
      <c r="O4748" s="50">
        <f>3234.3+848</f>
        <v>4082.3</v>
      </c>
      <c r="P4748" s="97">
        <v>848</v>
      </c>
      <c r="Q4748" s="230">
        <f>OfficeForms.Table[[#This Row],[ INFORMEDEPAGO ]]*0.3</f>
        <v>1224.69</v>
      </c>
      <c r="R4748" s="231">
        <f t="shared" ref="R4748:R4758" si="391">(IF(O4748&lt;4172.98,0,MIN(O4748*0.3,O4748-4172.98)))-P4748</f>
        <v>-848</v>
      </c>
      <c r="T4748" s="239"/>
      <c r="U4748" s="97"/>
      <c r="V4748" s="1"/>
    </row>
    <row r="4749" spans="1:23">
      <c r="A4749">
        <v>3184</v>
      </c>
      <c r="B4749" s="2">
        <v>46282.409155092602</v>
      </c>
      <c r="C4749" s="2">
        <v>46282.410937499997</v>
      </c>
      <c r="D4749" s="1" t="s">
        <v>24</v>
      </c>
      <c r="E4749" s="1"/>
      <c r="F4749" s="29">
        <v>46282</v>
      </c>
      <c r="G4749" s="29">
        <v>46282</v>
      </c>
      <c r="H4749" s="1" t="s">
        <v>8253</v>
      </c>
      <c r="I4749" s="251"/>
      <c r="J4749" s="175" t="s">
        <v>10562</v>
      </c>
      <c r="K4749" s="188"/>
      <c r="L4749" s="242">
        <v>24542550</v>
      </c>
      <c r="M4749" s="243">
        <v>8110284416</v>
      </c>
      <c r="N4749" s="171" t="s">
        <v>37</v>
      </c>
      <c r="O4749" s="52">
        <v>7920.51</v>
      </c>
      <c r="P4749" s="52">
        <v>2361.73</v>
      </c>
      <c r="Q4749" s="230">
        <f>OfficeForms.Table[[#This Row],[ INFORMEDEPAGO ]]*0.3</f>
        <v>2376.1529999999998</v>
      </c>
      <c r="R4749" s="231">
        <f t="shared" si="391"/>
        <v>14.422999999999774</v>
      </c>
      <c r="S4749" s="74">
        <v>46966</v>
      </c>
      <c r="T4749" s="239" t="s">
        <v>192</v>
      </c>
      <c r="U4749" s="52">
        <v>2361.73</v>
      </c>
      <c r="V4749" s="1"/>
    </row>
    <row r="4750" spans="1:23">
      <c r="A4750">
        <v>3185</v>
      </c>
      <c r="B4750" s="2">
        <v>46282.408391203702</v>
      </c>
      <c r="C4750" s="2">
        <v>46282.411157407398</v>
      </c>
      <c r="D4750" s="1" t="s">
        <v>24</v>
      </c>
      <c r="E4750" s="1"/>
      <c r="F4750" s="29">
        <v>46282</v>
      </c>
      <c r="G4750" s="29">
        <v>46281</v>
      </c>
      <c r="H4750" s="1" t="s">
        <v>10043</v>
      </c>
      <c r="I4750" s="251"/>
      <c r="J4750" s="175">
        <v>55815701614</v>
      </c>
      <c r="K4750" s="188"/>
      <c r="L4750" s="242">
        <v>24514518</v>
      </c>
      <c r="M4750" s="243">
        <v>3222322925</v>
      </c>
      <c r="N4750" s="171" t="s">
        <v>130</v>
      </c>
      <c r="O4750" s="52">
        <v>4342.43</v>
      </c>
      <c r="P4750" s="52">
        <v>355.85</v>
      </c>
      <c r="Q4750" s="230">
        <f>OfficeForms.Table[[#This Row],[ INFORMEDEPAGO ]]*0.3</f>
        <v>1302.729</v>
      </c>
      <c r="R4750" s="231">
        <f t="shared" si="391"/>
        <v>-186.3999999999993</v>
      </c>
      <c r="S4750" s="74">
        <v>45352</v>
      </c>
      <c r="T4750" s="239" t="s">
        <v>7209</v>
      </c>
      <c r="U4750" s="97">
        <v>355.85</v>
      </c>
      <c r="V4750" s="1" t="s">
        <v>8233</v>
      </c>
      <c r="W4750" s="29">
        <v>46282</v>
      </c>
    </row>
    <row r="4751" spans="1:23">
      <c r="A4751">
        <v>3186</v>
      </c>
      <c r="B4751" s="2">
        <v>46282.418784722198</v>
      </c>
      <c r="C4751" s="2">
        <v>46282.419594907398</v>
      </c>
      <c r="D4751" s="1" t="s">
        <v>24</v>
      </c>
      <c r="E4751" s="1"/>
      <c r="F4751" s="29">
        <v>46282</v>
      </c>
      <c r="G4751" s="29">
        <v>46282</v>
      </c>
      <c r="H4751" s="1" t="s">
        <v>269</v>
      </c>
      <c r="I4751" s="251" t="s">
        <v>10563</v>
      </c>
      <c r="J4751" s="175"/>
      <c r="K4751" s="188" t="s">
        <v>10564</v>
      </c>
      <c r="L4751" s="242">
        <v>24548092</v>
      </c>
      <c r="M4751" s="243">
        <v>5219998021197</v>
      </c>
      <c r="N4751" s="171" t="s">
        <v>37</v>
      </c>
      <c r="O4751" s="52">
        <v>7956.74</v>
      </c>
      <c r="P4751" s="52">
        <v>2380.86</v>
      </c>
      <c r="Q4751" s="230">
        <f>OfficeForms.Table[[#This Row],[ INFORMEDEPAGO ]]*0.3</f>
        <v>2387.0219999999999</v>
      </c>
      <c r="R4751" s="231">
        <f t="shared" si="391"/>
        <v>6.1619999999998072</v>
      </c>
      <c r="S4751" s="74">
        <v>46997</v>
      </c>
      <c r="T4751" s="239" t="s">
        <v>10372</v>
      </c>
      <c r="U4751" s="52">
        <v>2380.86</v>
      </c>
      <c r="V4751" s="1"/>
    </row>
    <row r="4752" spans="1:23">
      <c r="A4752">
        <v>3187</v>
      </c>
      <c r="B4752" s="2">
        <v>46282.423275462999</v>
      </c>
      <c r="C4752" s="2">
        <v>46282.4241666667</v>
      </c>
      <c r="D4752" s="1" t="s">
        <v>24</v>
      </c>
      <c r="E4752" s="1"/>
      <c r="F4752" s="29">
        <v>46282</v>
      </c>
      <c r="G4752" s="29">
        <v>46281</v>
      </c>
      <c r="H4752" s="1" t="s">
        <v>8253</v>
      </c>
      <c r="I4752" s="251" t="s">
        <v>10565</v>
      </c>
      <c r="J4752" s="175"/>
      <c r="K4752" s="188" t="s">
        <v>10566</v>
      </c>
      <c r="L4752" s="242">
        <v>24532874</v>
      </c>
      <c r="M4752" s="243">
        <v>3411065844</v>
      </c>
      <c r="N4752" s="171" t="s">
        <v>28</v>
      </c>
      <c r="O4752" s="50">
        <v>9760.32</v>
      </c>
      <c r="P4752" s="97"/>
      <c r="Q4752" s="230">
        <f>OfficeForms.Table[[#This Row],[ INFORMEDEPAGO ]]*0.3</f>
        <v>2928.096</v>
      </c>
      <c r="R4752" s="231">
        <f t="shared" si="391"/>
        <v>2928.096</v>
      </c>
      <c r="T4752" s="239"/>
      <c r="U4752" s="97"/>
      <c r="V4752" s="1" t="s">
        <v>8456</v>
      </c>
      <c r="W4752" s="29">
        <v>46282</v>
      </c>
    </row>
    <row r="4753" spans="1:23">
      <c r="A4753">
        <v>3188</v>
      </c>
      <c r="B4753" s="2">
        <v>46282.383333333302</v>
      </c>
      <c r="C4753" s="2">
        <v>46282.424687500003</v>
      </c>
      <c r="D4753" s="1" t="s">
        <v>24</v>
      </c>
      <c r="E4753" s="1"/>
      <c r="F4753" s="29">
        <v>46282</v>
      </c>
      <c r="G4753" s="29">
        <v>46282</v>
      </c>
      <c r="H4753" s="1" t="s">
        <v>1625</v>
      </c>
      <c r="I4753" s="251" t="s">
        <v>10567</v>
      </c>
      <c r="J4753" s="175">
        <v>15816408940</v>
      </c>
      <c r="K4753" s="188" t="s">
        <v>10568</v>
      </c>
      <c r="L4753" s="242">
        <v>2</v>
      </c>
      <c r="M4753" s="243">
        <v>7351779682</v>
      </c>
      <c r="N4753" s="171" t="s">
        <v>37</v>
      </c>
      <c r="O4753" s="52">
        <v>10914.26</v>
      </c>
      <c r="P4753" s="52">
        <v>3273.76</v>
      </c>
      <c r="Q4753" s="230">
        <f>OfficeForms.Table[[#This Row],[ INFORMEDEPAGO ]]*0.3</f>
        <v>3274.2779999999998</v>
      </c>
      <c r="R4753" s="231">
        <f t="shared" si="391"/>
        <v>0.51799999999957436</v>
      </c>
      <c r="S4753" s="74">
        <v>46327</v>
      </c>
      <c r="T4753" s="239" t="s">
        <v>7516</v>
      </c>
      <c r="U4753" s="97">
        <v>3028.38</v>
      </c>
      <c r="V4753" s="1"/>
    </row>
    <row r="4754" spans="1:23">
      <c r="A4754">
        <v>3189</v>
      </c>
      <c r="B4754" s="2">
        <v>46279.566365740699</v>
      </c>
      <c r="C4754" s="2">
        <v>46282.446064814802</v>
      </c>
      <c r="D4754" s="1" t="s">
        <v>24</v>
      </c>
      <c r="E4754" s="1"/>
      <c r="F4754" s="29">
        <v>46282</v>
      </c>
      <c r="G4754" s="29">
        <v>46282</v>
      </c>
      <c r="H4754" s="1" t="s">
        <v>9960</v>
      </c>
      <c r="I4754" s="251" t="s">
        <v>10569</v>
      </c>
      <c r="J4754" s="175">
        <v>34886400422</v>
      </c>
      <c r="K4754" s="188"/>
      <c r="L4754" s="242">
        <v>24546110</v>
      </c>
      <c r="M4754" s="243">
        <v>4921818289</v>
      </c>
      <c r="N4754" s="171" t="s">
        <v>37</v>
      </c>
      <c r="O4754" s="52">
        <v>16844.080000000002</v>
      </c>
      <c r="P4754" s="52">
        <v>5052.16</v>
      </c>
      <c r="Q4754" s="230">
        <f>OfficeForms.Table[[#This Row],[ INFORMEDEPAGO ]]*0.3</f>
        <v>5053.2240000000002</v>
      </c>
      <c r="R4754" s="231">
        <f t="shared" si="391"/>
        <v>1.0640000000003056</v>
      </c>
      <c r="S4754" s="74">
        <v>46997</v>
      </c>
      <c r="T4754" s="239" t="s">
        <v>192</v>
      </c>
      <c r="U4754" s="97">
        <v>4638.2700000000004</v>
      </c>
      <c r="V4754" s="1"/>
    </row>
    <row r="4755" spans="1:23">
      <c r="A4755">
        <v>3190</v>
      </c>
      <c r="B4755" s="2">
        <v>46282.465601851902</v>
      </c>
      <c r="C4755" s="2">
        <v>46282.466585648101</v>
      </c>
      <c r="D4755" s="1" t="s">
        <v>24</v>
      </c>
      <c r="E4755" s="1"/>
      <c r="F4755" s="29">
        <v>46282</v>
      </c>
      <c r="G4755" s="29">
        <v>46281</v>
      </c>
      <c r="H4755" s="1" t="s">
        <v>8253</v>
      </c>
      <c r="I4755" s="251" t="s">
        <v>10570</v>
      </c>
      <c r="J4755" s="175">
        <v>84745505556</v>
      </c>
      <c r="K4755" s="188" t="s">
        <v>10571</v>
      </c>
      <c r="L4755" s="242">
        <v>24496764</v>
      </c>
      <c r="M4755" s="243">
        <v>9991524991</v>
      </c>
      <c r="N4755" s="171" t="s">
        <v>106</v>
      </c>
      <c r="O4755" s="52">
        <v>17409.240000000002</v>
      </c>
      <c r="P4755" s="52">
        <v>5035.3</v>
      </c>
      <c r="Q4755" s="230">
        <f>OfficeForms.Table[[#This Row],[ INFORMEDEPAGO ]]*0.3</f>
        <v>5222.7719999999999</v>
      </c>
      <c r="R4755" s="231">
        <f t="shared" si="391"/>
        <v>187.47199999999975</v>
      </c>
      <c r="S4755" s="74">
        <v>45901</v>
      </c>
      <c r="T4755" s="239" t="s">
        <v>7209</v>
      </c>
      <c r="U4755" s="97">
        <v>4617.3500000000004</v>
      </c>
      <c r="V4755" s="1" t="s">
        <v>8936</v>
      </c>
      <c r="W4755" s="29">
        <v>46282</v>
      </c>
    </row>
    <row r="4756" spans="1:23">
      <c r="A4756">
        <v>3191</v>
      </c>
      <c r="B4756" s="2">
        <v>46282.446226851898</v>
      </c>
      <c r="C4756" s="2">
        <v>46282.4671759259</v>
      </c>
      <c r="D4756" s="1" t="s">
        <v>24</v>
      </c>
      <c r="E4756" s="1"/>
      <c r="F4756" s="29">
        <v>46282</v>
      </c>
      <c r="G4756" s="29">
        <v>46282</v>
      </c>
      <c r="H4756" s="1" t="s">
        <v>9960</v>
      </c>
      <c r="I4756" s="251" t="s">
        <v>10572</v>
      </c>
      <c r="J4756" s="175">
        <v>67796037991</v>
      </c>
      <c r="K4756" s="188"/>
      <c r="L4756" s="242">
        <v>24541946</v>
      </c>
      <c r="M4756" s="243">
        <v>8132369849</v>
      </c>
      <c r="N4756" s="171" t="s">
        <v>37</v>
      </c>
      <c r="O4756" s="43">
        <v>8042.32</v>
      </c>
      <c r="P4756" s="43">
        <v>2412.21</v>
      </c>
      <c r="Q4756" s="230">
        <f>OfficeForms.Table[[#This Row],[ INFORMEDEPAGO ]]*0.3</f>
        <v>2412.6959999999999</v>
      </c>
      <c r="R4756" s="231">
        <f t="shared" si="391"/>
        <v>0.48599999999987631</v>
      </c>
      <c r="S4756" s="74">
        <v>46357</v>
      </c>
      <c r="T4756" s="239" t="s">
        <v>7209</v>
      </c>
      <c r="U4756" s="97">
        <v>2231.41</v>
      </c>
      <c r="V4756" s="1"/>
    </row>
    <row r="4757" spans="1:23">
      <c r="A4757">
        <v>3192</v>
      </c>
      <c r="B4757" s="2">
        <v>46282.412743055596</v>
      </c>
      <c r="C4757" s="2">
        <v>46282.467569444401</v>
      </c>
      <c r="D4757" s="1" t="s">
        <v>24</v>
      </c>
      <c r="E4757" s="1"/>
      <c r="F4757" s="29">
        <v>46282</v>
      </c>
      <c r="G4757" s="29">
        <v>46275</v>
      </c>
      <c r="H4757" s="1" t="s">
        <v>78</v>
      </c>
      <c r="I4757" s="251" t="s">
        <v>10573</v>
      </c>
      <c r="J4757" s="209" t="s">
        <v>10574</v>
      </c>
      <c r="K4757" s="188" t="s">
        <v>10575</v>
      </c>
      <c r="L4757" s="242">
        <v>24379660</v>
      </c>
      <c r="M4757" s="243">
        <v>5218444436449</v>
      </c>
      <c r="N4757" s="171" t="s">
        <v>32</v>
      </c>
      <c r="O4757" s="50">
        <v>3881.65</v>
      </c>
      <c r="P4757" s="97"/>
      <c r="Q4757" s="230">
        <f>OfficeForms.Table[[#This Row],[ INFORMEDEPAGO ]]*0.3</f>
        <v>1164.4949999999999</v>
      </c>
      <c r="R4757" s="231">
        <f t="shared" si="391"/>
        <v>0</v>
      </c>
      <c r="T4757" s="239"/>
      <c r="U4757" s="97"/>
      <c r="V4757" s="1"/>
    </row>
    <row r="4758" spans="1:23">
      <c r="A4758">
        <v>3193</v>
      </c>
      <c r="B4758" s="2">
        <v>46282.4067939815</v>
      </c>
      <c r="C4758" s="2">
        <v>46282.468414351897</v>
      </c>
      <c r="D4758" s="1" t="s">
        <v>24</v>
      </c>
      <c r="E4758" s="1"/>
      <c r="F4758" s="29">
        <v>46282</v>
      </c>
      <c r="G4758" s="29">
        <v>46281</v>
      </c>
      <c r="H4758" s="1" t="s">
        <v>51</v>
      </c>
      <c r="I4758" s="251" t="s">
        <v>10576</v>
      </c>
      <c r="J4758" s="175"/>
      <c r="K4758" s="188" t="s">
        <v>10577</v>
      </c>
      <c r="L4758" s="242">
        <v>24533676</v>
      </c>
      <c r="M4758" s="243">
        <v>5212291747585</v>
      </c>
      <c r="N4758" s="171" t="s">
        <v>37</v>
      </c>
      <c r="O4758" s="43">
        <v>26334.11</v>
      </c>
      <c r="P4758" s="43">
        <v>7900.02</v>
      </c>
      <c r="Q4758" s="230">
        <f>OfficeForms.Table[[#This Row],[ INFORMEDEPAGO ]]*0.3</f>
        <v>7900.2330000000002</v>
      </c>
      <c r="R4758" s="231">
        <f t="shared" si="391"/>
        <v>0.21299999999973807</v>
      </c>
      <c r="S4758" s="74">
        <v>46419</v>
      </c>
      <c r="T4758" s="239" t="s">
        <v>7209</v>
      </c>
      <c r="U4758" s="97">
        <v>920</v>
      </c>
      <c r="V4758" s="1"/>
    </row>
    <row r="4759" spans="1:23">
      <c r="A4759">
        <v>3194</v>
      </c>
      <c r="B4759" s="2">
        <v>46282.476261574098</v>
      </c>
      <c r="C4759" s="2">
        <v>46282.477256944403</v>
      </c>
      <c r="D4759" s="1" t="s">
        <v>24</v>
      </c>
      <c r="E4759" s="1"/>
      <c r="F4759" s="29">
        <v>46282</v>
      </c>
      <c r="G4759" s="29">
        <v>46281</v>
      </c>
      <c r="H4759" s="1" t="s">
        <v>10043</v>
      </c>
      <c r="I4759" s="251" t="s">
        <v>10578</v>
      </c>
      <c r="J4759" s="175"/>
      <c r="K4759" s="188" t="s">
        <v>10579</v>
      </c>
      <c r="L4759" s="242">
        <v>24533044</v>
      </c>
      <c r="M4759" s="243">
        <v>6699259824</v>
      </c>
      <c r="N4759" s="171" t="s">
        <v>98</v>
      </c>
      <c r="O4759" s="50"/>
      <c r="P4759" s="97"/>
      <c r="Q4759" s="230">
        <f>OfficeForms.Table[[#This Row],[ INFORMEDEPAGO ]]*0.3</f>
        <v>0</v>
      </c>
      <c r="R4759" s="231">
        <f>(IF(O4759&lt;4172.98,0,MIN(O4759*0.3,O4759-4172.98)))-P4759</f>
        <v>0</v>
      </c>
      <c r="T4759" s="239"/>
      <c r="U4759" s="97"/>
      <c r="V4759" s="1"/>
    </row>
    <row r="4760" spans="1:23">
      <c r="A4760">
        <v>3195</v>
      </c>
      <c r="B4760" s="2">
        <v>46282.484502314801</v>
      </c>
      <c r="C4760" s="2">
        <v>46282.485254629602</v>
      </c>
      <c r="D4760" s="1" t="s">
        <v>24</v>
      </c>
      <c r="E4760" s="1"/>
      <c r="F4760" s="29">
        <v>46282</v>
      </c>
      <c r="G4760" s="29">
        <v>46281</v>
      </c>
      <c r="H4760" s="1" t="s">
        <v>269</v>
      </c>
      <c r="I4760" s="251" t="s">
        <v>10580</v>
      </c>
      <c r="J4760" s="207" t="s">
        <v>10581</v>
      </c>
      <c r="K4760" s="188" t="s">
        <v>10582</v>
      </c>
      <c r="L4760" s="242">
        <v>24516072</v>
      </c>
      <c r="M4760" s="243">
        <v>5216565748587</v>
      </c>
      <c r="N4760" s="171" t="s">
        <v>37</v>
      </c>
      <c r="O4760" s="43">
        <v>7116.73</v>
      </c>
      <c r="P4760" s="43">
        <v>1974</v>
      </c>
      <c r="Q4760" s="230">
        <f>OfficeForms.Table[[#This Row],[ INFORMEDEPAGO ]]*0.3</f>
        <v>2135.0189999999998</v>
      </c>
      <c r="R4760" s="231">
        <f>(IF(O4760&lt;4172.98,0,MIN(O4760*0.3,O4760-4172.98)))-P4760</f>
        <v>161.01899999999978</v>
      </c>
      <c r="S4760" s="74">
        <v>46388</v>
      </c>
      <c r="T4760" s="239" t="s">
        <v>8338</v>
      </c>
      <c r="U4760" s="43">
        <v>1974</v>
      </c>
      <c r="V4760" s="1"/>
    </row>
    <row r="4761" spans="1:23">
      <c r="A4761">
        <v>3196</v>
      </c>
      <c r="B4761" s="2">
        <v>46282.485844907402</v>
      </c>
      <c r="C4761" s="2">
        <v>46282.487743055601</v>
      </c>
      <c r="D4761" s="1" t="s">
        <v>24</v>
      </c>
      <c r="E4761" s="1"/>
      <c r="F4761" s="29">
        <v>46282</v>
      </c>
      <c r="G4761" s="29">
        <v>46281</v>
      </c>
      <c r="H4761" s="1" t="s">
        <v>9960</v>
      </c>
      <c r="I4761" s="251" t="s">
        <v>10583</v>
      </c>
      <c r="J4761" s="175"/>
      <c r="K4761" s="188" t="s">
        <v>10584</v>
      </c>
      <c r="L4761" s="242">
        <v>24532100</v>
      </c>
      <c r="M4761" s="243">
        <v>9851223163</v>
      </c>
      <c r="N4761" s="171" t="s">
        <v>98</v>
      </c>
      <c r="O4761" s="50"/>
      <c r="P4761" s="97"/>
      <c r="Q4761" s="230">
        <f>OfficeForms.Table[[#This Row],[ INFORMEDEPAGO ]]*0.3</f>
        <v>0</v>
      </c>
      <c r="R4761" s="231">
        <f>(IF(O4761&lt;4172.98,0,MIN(O4761*0.3,O4761-4172.98)))-P4761</f>
        <v>0</v>
      </c>
      <c r="T4761" s="239"/>
      <c r="U4761" s="97"/>
      <c r="V4761" s="1"/>
    </row>
    <row r="4762" spans="1:23">
      <c r="A4762">
        <v>3197</v>
      </c>
      <c r="B4762" s="2">
        <v>46282.4684375</v>
      </c>
      <c r="C4762" s="2">
        <v>46282.489120370403</v>
      </c>
      <c r="D4762" s="1" t="s">
        <v>24</v>
      </c>
      <c r="E4762" s="1"/>
      <c r="F4762" s="29">
        <v>46282</v>
      </c>
      <c r="G4762" s="29">
        <v>46282</v>
      </c>
      <c r="H4762" s="1" t="s">
        <v>51</v>
      </c>
      <c r="I4762" s="251" t="s">
        <v>10585</v>
      </c>
      <c r="J4762" s="175"/>
      <c r="K4762" s="188" t="s">
        <v>10586</v>
      </c>
      <c r="L4762" s="242">
        <v>24547210</v>
      </c>
      <c r="M4762" s="243">
        <v>5216565272633</v>
      </c>
      <c r="N4762" s="171" t="s">
        <v>37</v>
      </c>
      <c r="O4762" s="43">
        <v>18666.349999999999</v>
      </c>
      <c r="P4762" s="43">
        <v>5599.56</v>
      </c>
      <c r="Q4762" s="230">
        <f>OfficeForms.Table[[#This Row],[ INFORMEDEPAGO ]]*0.3</f>
        <v>5599.9049999999997</v>
      </c>
      <c r="R4762" s="231">
        <f>(IF(O4762&lt;4172.98,0,MIN(O4762*0.3,O4762-4172.98)))-P4762</f>
        <v>0.34499999999934516</v>
      </c>
      <c r="S4762" s="74">
        <v>46296</v>
      </c>
      <c r="T4762" s="239" t="s">
        <v>7209</v>
      </c>
      <c r="U4762" s="97">
        <v>681.16</v>
      </c>
      <c r="V4762" s="1"/>
    </row>
    <row r="4763" spans="1:23">
      <c r="A4763">
        <v>3198</v>
      </c>
      <c r="B4763" s="2">
        <v>46282.4891319444</v>
      </c>
      <c r="C4763" s="2">
        <v>46282.497499999998</v>
      </c>
      <c r="D4763" s="1" t="s">
        <v>24</v>
      </c>
      <c r="E4763" s="1"/>
      <c r="F4763" s="29">
        <v>46282</v>
      </c>
      <c r="G4763" s="29">
        <v>46282</v>
      </c>
      <c r="H4763" s="1" t="s">
        <v>51</v>
      </c>
      <c r="I4763" s="251" t="s">
        <v>10587</v>
      </c>
      <c r="J4763" s="175"/>
      <c r="K4763" s="188" t="s">
        <v>10588</v>
      </c>
      <c r="L4763" s="242">
        <v>24548536</v>
      </c>
      <c r="M4763" s="243">
        <v>5219515879283</v>
      </c>
      <c r="N4763" s="171" t="s">
        <v>47</v>
      </c>
      <c r="O4763" s="50">
        <v>5260.82</v>
      </c>
      <c r="P4763" s="97"/>
      <c r="Q4763" s="230">
        <f>OfficeForms.Table[[#This Row],[ INFORMEDEPAGO ]]*0.3</f>
        <v>1578.2459999999999</v>
      </c>
      <c r="R4763" s="231">
        <f>(IF(O4763&lt;4172.98,0,MIN(O4763*0.3,O4763-4172.98)))-P4763</f>
        <v>1087.8400000000001</v>
      </c>
      <c r="T4763" s="239"/>
      <c r="U4763" s="97"/>
      <c r="V4763" s="1" t="s">
        <v>8233</v>
      </c>
      <c r="W4763" s="29">
        <v>46282</v>
      </c>
    </row>
    <row r="4764" spans="1:23">
      <c r="A4764">
        <v>3199</v>
      </c>
      <c r="B4764" s="2">
        <v>46282.497511574104</v>
      </c>
      <c r="C4764" s="2">
        <v>46282.510775463001</v>
      </c>
      <c r="D4764" s="1" t="s">
        <v>24</v>
      </c>
      <c r="E4764" s="1"/>
      <c r="F4764" s="29">
        <v>46282</v>
      </c>
      <c r="G4764" s="29">
        <v>46282</v>
      </c>
      <c r="H4764" s="1" t="s">
        <v>51</v>
      </c>
      <c r="I4764" s="251" t="s">
        <v>10589</v>
      </c>
      <c r="J4764" s="175">
        <v>11674923500</v>
      </c>
      <c r="K4764" s="188" t="s">
        <v>10590</v>
      </c>
      <c r="L4764" s="242">
        <v>24551114</v>
      </c>
      <c r="M4764" s="243">
        <v>5214424902530</v>
      </c>
      <c r="N4764" s="171" t="s">
        <v>37</v>
      </c>
      <c r="O4764" s="43">
        <v>6262.86</v>
      </c>
      <c r="P4764" s="43">
        <v>1811</v>
      </c>
      <c r="Q4764" s="230">
        <f>OfficeForms.Table[[#This Row],[ INFORMEDEPAGO ]]*0.3</f>
        <v>1878.8579999999997</v>
      </c>
      <c r="R4764" s="231">
        <f>(IF(O4764&lt;4172.98,0,MIN(O4764*0.3,O4764-4172.98)))-P4764</f>
        <v>67.85799999999972</v>
      </c>
      <c r="S4764" s="74">
        <v>46631</v>
      </c>
      <c r="T4764" s="239" t="s">
        <v>6855</v>
      </c>
      <c r="U4764" s="97">
        <v>1811</v>
      </c>
      <c r="V4764" s="1"/>
    </row>
    <row r="4765" spans="1:23">
      <c r="A4765">
        <v>3200</v>
      </c>
      <c r="B4765" s="2">
        <v>46282.467604166697</v>
      </c>
      <c r="C4765" s="2">
        <v>46282.511226851901</v>
      </c>
      <c r="D4765" s="1" t="s">
        <v>24</v>
      </c>
      <c r="E4765" s="1"/>
      <c r="F4765" s="29">
        <v>46282</v>
      </c>
      <c r="G4765" s="29">
        <v>46275</v>
      </c>
      <c r="H4765" s="1" t="s">
        <v>78</v>
      </c>
      <c r="I4765" s="251" t="s">
        <v>10573</v>
      </c>
      <c r="J4765" s="209" t="s">
        <v>10574</v>
      </c>
      <c r="K4765" s="188" t="s">
        <v>10575</v>
      </c>
      <c r="L4765" s="242">
        <v>24379660</v>
      </c>
      <c r="M4765" s="243">
        <v>5218444436449</v>
      </c>
      <c r="N4765" s="171" t="s">
        <v>37</v>
      </c>
      <c r="O4765" s="50">
        <v>5055.88</v>
      </c>
      <c r="P4765" s="97">
        <v>1214.68</v>
      </c>
      <c r="Q4765" s="230">
        <f>OfficeForms.Table[[#This Row],[ INFORMEDEPAGO ]]*0.3</f>
        <v>1516.7639999999999</v>
      </c>
      <c r="R4765" s="231">
        <f>(IF(O4765&lt;4172.98,0,MIN(O4765*0.3,O4765-4172.98)))-P4765</f>
        <v>-331.77999999999952</v>
      </c>
      <c r="S4765" s="74">
        <v>46508</v>
      </c>
      <c r="T4765" s="239" t="s">
        <v>7209</v>
      </c>
      <c r="U4765" s="97">
        <v>1214.68</v>
      </c>
      <c r="V4765" s="1"/>
    </row>
    <row r="4766" spans="1:23">
      <c r="A4766">
        <v>3201</v>
      </c>
      <c r="B4766" s="2">
        <v>46282.518599536997</v>
      </c>
      <c r="C4766" s="2">
        <v>46282.519826388903</v>
      </c>
      <c r="D4766" s="1" t="s">
        <v>24</v>
      </c>
      <c r="E4766" s="1"/>
      <c r="F4766" s="29">
        <v>46282</v>
      </c>
      <c r="G4766" s="29">
        <v>46282</v>
      </c>
      <c r="H4766" s="1" t="s">
        <v>269</v>
      </c>
      <c r="I4766" s="251" t="s">
        <v>10591</v>
      </c>
      <c r="J4766" s="207" t="s">
        <v>10592</v>
      </c>
      <c r="K4766" s="188" t="s">
        <v>10593</v>
      </c>
      <c r="L4766" s="242">
        <v>24552002</v>
      </c>
      <c r="M4766" s="243">
        <v>5218444982859</v>
      </c>
      <c r="N4766" s="171" t="s">
        <v>28</v>
      </c>
      <c r="O4766" s="50">
        <v>6262.86</v>
      </c>
      <c r="P4766" s="97"/>
      <c r="Q4766" s="230">
        <f>OfficeForms.Table[[#This Row],[ INFORMEDEPAGO ]]*0.3</f>
        <v>1878.8579999999997</v>
      </c>
      <c r="R4766" s="231">
        <f>(IF(O4766&lt;4172.98,0,MIN(O4766*0.3,O4766-4172.98)))-P4766</f>
        <v>1878.8579999999997</v>
      </c>
      <c r="T4766" s="239"/>
      <c r="U4766" s="97"/>
      <c r="V4766" s="1" t="s">
        <v>8356</v>
      </c>
      <c r="W4766" s="29">
        <v>46282</v>
      </c>
    </row>
    <row r="4767" spans="1:23">
      <c r="A4767">
        <v>3202</v>
      </c>
      <c r="B4767" s="2">
        <v>46282.511307870402</v>
      </c>
      <c r="C4767" s="2">
        <v>46282.525277777801</v>
      </c>
      <c r="D4767" s="1" t="s">
        <v>24</v>
      </c>
      <c r="E4767" s="1"/>
      <c r="F4767" s="29">
        <v>46282</v>
      </c>
      <c r="G4767" s="29">
        <v>46282</v>
      </c>
      <c r="H4767" s="1" t="s">
        <v>78</v>
      </c>
      <c r="I4767" s="251" t="s">
        <v>10594</v>
      </c>
      <c r="J4767" s="175">
        <v>72826450222</v>
      </c>
      <c r="K4767" s="188" t="s">
        <v>10595</v>
      </c>
      <c r="L4767" s="242">
        <v>24550038</v>
      </c>
      <c r="M4767" s="243">
        <v>5213221350020</v>
      </c>
      <c r="N4767" s="171" t="s">
        <v>28</v>
      </c>
      <c r="O4767" s="52">
        <v>9760.32</v>
      </c>
      <c r="P4767" s="52">
        <v>879</v>
      </c>
      <c r="Q4767" s="230">
        <f>OfficeForms.Table[[#This Row],[ INFORMEDEPAGO ]]*0.3</f>
        <v>2928.096</v>
      </c>
      <c r="R4767" s="231">
        <f>(IF(O4767&lt;4172.98,0,MIN(O4767*0.3,O4767-4172.98)))-P4767</f>
        <v>2049.096</v>
      </c>
      <c r="T4767" s="239"/>
      <c r="U4767" s="97"/>
      <c r="V4767" s="1" t="s">
        <v>8350</v>
      </c>
      <c r="W4767" s="29">
        <v>46282</v>
      </c>
    </row>
    <row r="4768" spans="1:23">
      <c r="A4768">
        <v>3203</v>
      </c>
      <c r="B4768" s="2">
        <v>46282.510798611103</v>
      </c>
      <c r="C4768" s="2">
        <v>46282.525543981501</v>
      </c>
      <c r="D4768" s="1" t="s">
        <v>24</v>
      </c>
      <c r="E4768" s="1"/>
      <c r="F4768" s="29">
        <v>46282</v>
      </c>
      <c r="G4768" s="29">
        <v>46282</v>
      </c>
      <c r="H4768" s="1" t="s">
        <v>51</v>
      </c>
      <c r="I4768" s="251" t="s">
        <v>10596</v>
      </c>
      <c r="J4768" s="175"/>
      <c r="K4768" s="188" t="s">
        <v>10597</v>
      </c>
      <c r="L4768" s="242">
        <v>24549898</v>
      </c>
      <c r="M4768" s="243">
        <v>5215572254660</v>
      </c>
      <c r="N4768" s="171" t="s">
        <v>106</v>
      </c>
      <c r="O4768" s="52">
        <v>9081.52</v>
      </c>
      <c r="P4768" s="52">
        <v>2515.1</v>
      </c>
      <c r="Q4768" s="230">
        <f>OfficeForms.Table[[#This Row],[ INFORMEDEPAGO ]]*0.3</f>
        <v>2724.4560000000001</v>
      </c>
      <c r="R4768" s="231">
        <f>(IF(O4768&lt;4172.98,0,MIN(O4768*0.3,O4768-4172.98)))-P4768</f>
        <v>209.35600000000022</v>
      </c>
      <c r="S4768" s="74">
        <v>46266</v>
      </c>
      <c r="T4768" s="239" t="s">
        <v>8319</v>
      </c>
      <c r="U4768" s="52">
        <v>2515.1</v>
      </c>
      <c r="V4768" s="1" t="s">
        <v>8936</v>
      </c>
      <c r="W4768" s="29">
        <v>46282</v>
      </c>
    </row>
    <row r="4769" spans="1:23">
      <c r="A4769">
        <v>3204</v>
      </c>
      <c r="B4769" s="2">
        <v>46282.424710648098</v>
      </c>
      <c r="C4769" s="2">
        <v>46282.543576388904</v>
      </c>
      <c r="D4769" s="1" t="s">
        <v>24</v>
      </c>
      <c r="E4769" s="1"/>
      <c r="F4769" s="29">
        <v>46282</v>
      </c>
      <c r="G4769" s="29">
        <v>46282</v>
      </c>
      <c r="H4769" s="1" t="s">
        <v>1625</v>
      </c>
      <c r="I4769" s="251" t="s">
        <v>10598</v>
      </c>
      <c r="J4769" s="175">
        <v>43866624448</v>
      </c>
      <c r="K4769" s="188" t="s">
        <v>10599</v>
      </c>
      <c r="L4769" s="242">
        <v>2</v>
      </c>
      <c r="M4769" s="243" t="s">
        <v>10600</v>
      </c>
      <c r="N4769" s="171" t="s">
        <v>28</v>
      </c>
      <c r="O4769" s="50">
        <f>31909.68-21273.08</f>
        <v>10636.599999999999</v>
      </c>
      <c r="P4769" s="97"/>
      <c r="Q4769" s="230">
        <f>OfficeForms.Table[[#This Row],[ INFORMEDEPAGO ]]*0.3</f>
        <v>3190.9799999999996</v>
      </c>
      <c r="R4769" s="231">
        <f>(IF(O4769&lt;4172.98,0,MIN(O4769*0.3,O4769-4172.98)))-P4769</f>
        <v>3190.9799999999996</v>
      </c>
      <c r="T4769" s="239"/>
      <c r="U4769" s="97"/>
      <c r="V4769" s="1"/>
    </row>
    <row r="4770" spans="1:23">
      <c r="A4770">
        <v>3205</v>
      </c>
      <c r="B4770" s="2">
        <v>46282.5333680556</v>
      </c>
      <c r="C4770" s="2">
        <v>46282.545115740701</v>
      </c>
      <c r="D4770" s="1" t="s">
        <v>24</v>
      </c>
      <c r="E4770" s="1"/>
      <c r="F4770" s="29">
        <v>46282</v>
      </c>
      <c r="G4770" s="29">
        <v>46279</v>
      </c>
      <c r="H4770" s="1" t="s">
        <v>78</v>
      </c>
      <c r="I4770" s="251" t="s">
        <v>10601</v>
      </c>
      <c r="J4770" s="175">
        <v>14735606759</v>
      </c>
      <c r="K4770" s="188" t="s">
        <v>10602</v>
      </c>
      <c r="L4770" s="242">
        <v>24451838</v>
      </c>
      <c r="M4770" s="243">
        <v>5214422830366</v>
      </c>
      <c r="N4770" s="171" t="s">
        <v>37</v>
      </c>
      <c r="O4770" s="52">
        <v>20194.38</v>
      </c>
      <c r="P4770" s="52">
        <v>6057.25</v>
      </c>
      <c r="Q4770" s="230">
        <f>OfficeForms.Table[[#This Row],[ INFORMEDEPAGO ]]*0.3</f>
        <v>6058.3140000000003</v>
      </c>
      <c r="R4770" s="231">
        <f>(IF(O4770&lt;4172.98,0,MIN(O4770*0.3,O4770-4172.98)))-P4770</f>
        <v>1.0640000000003056</v>
      </c>
      <c r="S4770" s="74">
        <v>46997</v>
      </c>
      <c r="T4770" s="239" t="s">
        <v>178</v>
      </c>
      <c r="U4770" s="97">
        <v>6057.25</v>
      </c>
      <c r="V4770" s="1"/>
    </row>
    <row r="4771" spans="1:23">
      <c r="A4771">
        <v>3206</v>
      </c>
      <c r="B4771" s="2">
        <v>46282.566087963001</v>
      </c>
      <c r="C4771" s="2">
        <v>46282.566979166702</v>
      </c>
      <c r="D4771" s="1" t="s">
        <v>24</v>
      </c>
      <c r="E4771" s="1"/>
      <c r="F4771" s="29">
        <v>46282</v>
      </c>
      <c r="G4771" s="29">
        <v>46271</v>
      </c>
      <c r="H4771" s="1" t="s">
        <v>8253</v>
      </c>
      <c r="I4771" s="251" t="s">
        <v>10603</v>
      </c>
      <c r="J4771" s="175"/>
      <c r="K4771" s="188" t="s">
        <v>10604</v>
      </c>
      <c r="L4771" s="242">
        <v>24280566</v>
      </c>
      <c r="M4771" s="243">
        <v>5576947140</v>
      </c>
      <c r="N4771" s="171" t="s">
        <v>130</v>
      </c>
      <c r="O4771" s="43">
        <v>20796.63</v>
      </c>
      <c r="P4771" s="43">
        <v>6016.96</v>
      </c>
      <c r="Q4771" s="230">
        <f>OfficeForms.Table[[#This Row],[ INFORMEDEPAGO ]]*0.3</f>
        <v>6238.9890000000005</v>
      </c>
      <c r="R4771" s="231">
        <f>(IF(O4771&lt;4172.98,0,MIN(O4771*0.3,O4771-4172.98)))-P4771</f>
        <v>222.02900000000045</v>
      </c>
      <c r="S4771" s="74">
        <v>45778</v>
      </c>
      <c r="T4771" s="239" t="s">
        <v>8319</v>
      </c>
      <c r="U4771" s="97">
        <v>400</v>
      </c>
      <c r="V4771" s="1" t="s">
        <v>8233</v>
      </c>
      <c r="W4771" s="29">
        <v>46282</v>
      </c>
    </row>
    <row r="4772" spans="1:23">
      <c r="A4772">
        <v>3207</v>
      </c>
      <c r="B4772" s="2">
        <v>46282.570960648103</v>
      </c>
      <c r="C4772" s="2">
        <v>46282.572268518503</v>
      </c>
      <c r="D4772" s="1" t="s">
        <v>24</v>
      </c>
      <c r="E4772" s="1"/>
      <c r="F4772" s="29">
        <v>46282</v>
      </c>
      <c r="G4772" s="29">
        <v>46282</v>
      </c>
      <c r="H4772" s="1" t="s">
        <v>10043</v>
      </c>
      <c r="I4772" s="251"/>
      <c r="J4772" s="175">
        <v>47957825947</v>
      </c>
      <c r="K4772" s="188"/>
      <c r="L4772" s="242">
        <v>24550878</v>
      </c>
      <c r="M4772" s="243">
        <v>8120308387</v>
      </c>
      <c r="N4772" s="171" t="s">
        <v>74</v>
      </c>
      <c r="O4772" s="50"/>
      <c r="P4772" s="97"/>
      <c r="Q4772" s="230">
        <f>OfficeForms.Table[[#This Row],[ INFORMEDEPAGO ]]*0.3</f>
        <v>0</v>
      </c>
      <c r="R4772" s="231">
        <f>(IF(O4772&lt;4172.98,0,MIN(O4772*0.3,O4772-4172.98)))-P4772</f>
        <v>0</v>
      </c>
      <c r="T4772" s="239"/>
      <c r="U4772" s="97"/>
      <c r="V4772" s="1"/>
    </row>
    <row r="4773" spans="1:23">
      <c r="A4773">
        <v>3208</v>
      </c>
      <c r="B4773" s="2">
        <v>46282.577083333301</v>
      </c>
      <c r="C4773" s="2">
        <v>46282.578182870398</v>
      </c>
      <c r="D4773" s="1" t="s">
        <v>24</v>
      </c>
      <c r="E4773" s="1"/>
      <c r="F4773" s="29">
        <v>46282</v>
      </c>
      <c r="G4773" s="29">
        <v>46282</v>
      </c>
      <c r="H4773" s="1" t="s">
        <v>10043</v>
      </c>
      <c r="I4773" s="251" t="s">
        <v>10605</v>
      </c>
      <c r="J4773" s="175" t="s">
        <v>10606</v>
      </c>
      <c r="K4773" s="188" t="s">
        <v>10607</v>
      </c>
      <c r="L4773" s="242">
        <v>24553848</v>
      </c>
      <c r="M4773" s="243">
        <v>9646242804</v>
      </c>
      <c r="N4773" s="171" t="s">
        <v>37</v>
      </c>
      <c r="O4773" s="43">
        <v>9081.52</v>
      </c>
      <c r="P4773" s="43">
        <v>2521.35</v>
      </c>
      <c r="Q4773" s="230">
        <f>OfficeForms.Table[[#This Row],[ INFORMEDEPAGO ]]*0.3</f>
        <v>2724.4560000000001</v>
      </c>
      <c r="R4773" s="231">
        <f>(IF(O4773&lt;4172.98,0,MIN(O4773*0.3,O4773-4172.98)))-P4773</f>
        <v>203.10600000000022</v>
      </c>
      <c r="S4773" s="74">
        <v>46296</v>
      </c>
      <c r="T4773" s="239" t="s">
        <v>7516</v>
      </c>
      <c r="U4773" s="43">
        <v>2521.35</v>
      </c>
      <c r="V4773" s="1"/>
    </row>
    <row r="4774" spans="1:23">
      <c r="A4774">
        <v>3209</v>
      </c>
      <c r="B4774" s="2">
        <v>46282.581099536997</v>
      </c>
      <c r="C4774" s="2">
        <v>46282.582847222198</v>
      </c>
      <c r="D4774" s="1" t="s">
        <v>24</v>
      </c>
      <c r="E4774" s="1"/>
      <c r="F4774" s="29">
        <v>46282</v>
      </c>
      <c r="G4774" s="29">
        <v>46280</v>
      </c>
      <c r="H4774" s="1" t="s">
        <v>8253</v>
      </c>
      <c r="I4774" s="251" t="s">
        <v>10608</v>
      </c>
      <c r="J4774" s="175">
        <v>96038504757</v>
      </c>
      <c r="K4774" s="188" t="s">
        <v>10609</v>
      </c>
      <c r="L4774" s="242">
        <v>24493868</v>
      </c>
      <c r="M4774" s="243">
        <v>8135676673</v>
      </c>
      <c r="N4774" s="171" t="s">
        <v>98</v>
      </c>
      <c r="O4774" s="50"/>
      <c r="P4774" s="97"/>
      <c r="Q4774" s="230">
        <f>OfficeForms.Table[[#This Row],[ INFORMEDEPAGO ]]*0.3</f>
        <v>0</v>
      </c>
      <c r="R4774" s="231">
        <f t="shared" ref="R4774:R4775" si="392">(IF(O4774&lt;4172.98,0,MIN(O4774*0.3,O4774-4172.98)))-P4774</f>
        <v>0</v>
      </c>
      <c r="T4774" s="239"/>
      <c r="U4774" s="97"/>
      <c r="V4774" s="1"/>
    </row>
    <row r="4775" spans="1:23">
      <c r="A4775">
        <v>3210</v>
      </c>
      <c r="B4775" s="2">
        <v>46280.5886805556</v>
      </c>
      <c r="C4775" s="2">
        <v>46282.585104166697</v>
      </c>
      <c r="D4775" s="1" t="s">
        <v>24</v>
      </c>
      <c r="E4775" s="1"/>
      <c r="F4775" s="29">
        <v>46282</v>
      </c>
      <c r="G4775" s="29">
        <v>46282</v>
      </c>
      <c r="H4775" s="1" t="s">
        <v>9986</v>
      </c>
      <c r="I4775" s="251" t="s">
        <v>10610</v>
      </c>
      <c r="J4775" s="175">
        <v>6580610024</v>
      </c>
      <c r="K4775" s="188" t="s">
        <v>10611</v>
      </c>
      <c r="L4775" s="242">
        <v>24551744</v>
      </c>
      <c r="M4775" s="243">
        <v>2297230617</v>
      </c>
      <c r="N4775" s="171" t="s">
        <v>130</v>
      </c>
      <c r="O4775" s="43">
        <v>7062.68</v>
      </c>
      <c r="P4775" s="43">
        <v>2043</v>
      </c>
      <c r="Q4775" s="230">
        <f>OfficeForms.Table[[#This Row],[ INFORMEDEPAGO ]]*0.3</f>
        <v>2118.8040000000001</v>
      </c>
      <c r="R4775" s="231">
        <f t="shared" si="392"/>
        <v>75.804000000000087</v>
      </c>
      <c r="S4775" s="74">
        <v>46204</v>
      </c>
      <c r="T4775" s="239" t="s">
        <v>7209</v>
      </c>
      <c r="U4775" s="97">
        <v>1128</v>
      </c>
      <c r="V4775" s="1" t="s">
        <v>8316</v>
      </c>
      <c r="W4775" s="29">
        <v>46282</v>
      </c>
    </row>
    <row r="4776" spans="1:23">
      <c r="A4776">
        <v>3211</v>
      </c>
      <c r="B4776" s="2">
        <v>46282.583796296298</v>
      </c>
      <c r="C4776" s="2">
        <v>46282.5863888889</v>
      </c>
      <c r="D4776" s="1" t="s">
        <v>24</v>
      </c>
      <c r="E4776" s="1"/>
      <c r="F4776" s="29">
        <v>46282</v>
      </c>
      <c r="G4776" s="29">
        <v>46282</v>
      </c>
      <c r="H4776" s="1" t="s">
        <v>9960</v>
      </c>
      <c r="I4776" s="251" t="s">
        <v>10612</v>
      </c>
      <c r="J4776" s="175">
        <v>24956325450</v>
      </c>
      <c r="K4776" s="188"/>
      <c r="L4776" s="242">
        <v>24552364</v>
      </c>
      <c r="M4776" s="243">
        <v>6622982918</v>
      </c>
      <c r="N4776" s="171" t="s">
        <v>106</v>
      </c>
      <c r="O4776" s="43">
        <v>9081.52</v>
      </c>
      <c r="P4776" s="43">
        <v>2521.35</v>
      </c>
      <c r="Q4776" s="230">
        <f>OfficeForms.Table[[#This Row],[ INFORMEDEPAGO ]]*0.3</f>
        <v>2724.4560000000001</v>
      </c>
      <c r="R4776" s="231">
        <f t="shared" ref="R4776" si="393">(IF(O4776&lt;4172.98,0,MIN(O4776*0.3,O4776-4172.98)))-P4776</f>
        <v>203.10600000000022</v>
      </c>
      <c r="S4776" s="74">
        <v>46266</v>
      </c>
      <c r="T4776" s="239" t="s">
        <v>8319</v>
      </c>
      <c r="U4776" s="43">
        <v>2521.35</v>
      </c>
      <c r="V4776" s="1" t="s">
        <v>8256</v>
      </c>
      <c r="W4776" s="29">
        <v>46282</v>
      </c>
    </row>
    <row r="4777" spans="1:23">
      <c r="A4777">
        <v>3212</v>
      </c>
      <c r="B4777" s="2">
        <v>46282.586412037002</v>
      </c>
      <c r="C4777" s="2">
        <v>46282.593043981498</v>
      </c>
      <c r="D4777" s="1" t="s">
        <v>24</v>
      </c>
      <c r="E4777" s="1"/>
      <c r="F4777" s="29">
        <v>46282</v>
      </c>
      <c r="G4777" s="29">
        <v>46282</v>
      </c>
      <c r="H4777" s="1" t="s">
        <v>9960</v>
      </c>
      <c r="I4777" s="251" t="s">
        <v>10613</v>
      </c>
      <c r="J4777" s="175"/>
      <c r="K4777" s="188" t="s">
        <v>10614</v>
      </c>
      <c r="L4777" s="242">
        <v>24554254</v>
      </c>
      <c r="M4777" s="243">
        <v>8713274358</v>
      </c>
      <c r="N4777" s="171" t="s">
        <v>28</v>
      </c>
      <c r="O4777" s="43">
        <v>9081.52</v>
      </c>
      <c r="P4777" s="43">
        <v>879</v>
      </c>
      <c r="Q4777" s="230">
        <f>OfficeForms.Table[[#This Row],[ INFORMEDEPAGO ]]*0.3</f>
        <v>2724.4560000000001</v>
      </c>
      <c r="R4777" s="231">
        <f>(IF(O4777&lt;4172.98,0,MIN(O4777*0.3,O4777-4172.98)))-P4777</f>
        <v>1845.4560000000001</v>
      </c>
      <c r="T4777" s="239"/>
      <c r="U4777" s="97"/>
      <c r="V4777" s="1" t="s">
        <v>8436</v>
      </c>
      <c r="W4777" s="29">
        <v>46282</v>
      </c>
    </row>
    <row r="4778" spans="1:23">
      <c r="A4778">
        <v>3213</v>
      </c>
      <c r="B4778" s="2">
        <v>46282.592349537001</v>
      </c>
      <c r="C4778" s="2">
        <v>46282.593530092599</v>
      </c>
      <c r="D4778" s="1" t="s">
        <v>24</v>
      </c>
      <c r="E4778" s="1"/>
      <c r="F4778" s="29">
        <v>46282</v>
      </c>
      <c r="G4778" s="29">
        <v>46267</v>
      </c>
      <c r="H4778" s="1" t="s">
        <v>8253</v>
      </c>
      <c r="I4778" s="251" t="s">
        <v>10615</v>
      </c>
      <c r="J4778" s="175"/>
      <c r="K4778" s="188" t="s">
        <v>10616</v>
      </c>
      <c r="L4778" s="242">
        <v>24202310</v>
      </c>
      <c r="M4778" s="243">
        <v>4881261581</v>
      </c>
      <c r="N4778" s="171" t="s">
        <v>32</v>
      </c>
      <c r="O4778" s="50">
        <v>4199.87</v>
      </c>
      <c r="P4778" s="97"/>
      <c r="Q4778" s="230">
        <f>OfficeForms.Table[[#This Row],[ INFORMEDEPAGO ]]*0.3</f>
        <v>1259.961</v>
      </c>
      <c r="R4778" s="231">
        <f>(IF(O4778&lt;4172.98,0,MIN(O4778*0.3,O4778-4172.98)))-P4778</f>
        <v>26.890000000000327</v>
      </c>
      <c r="T4778" s="239"/>
      <c r="U4778" s="97"/>
      <c r="V4778" s="1"/>
    </row>
    <row r="4779" spans="1:23">
      <c r="A4779">
        <v>3214</v>
      </c>
      <c r="B4779" s="2">
        <v>46282.597361111097</v>
      </c>
      <c r="C4779" s="2">
        <v>46282.598194444399</v>
      </c>
      <c r="D4779" s="1" t="s">
        <v>24</v>
      </c>
      <c r="E4779" s="1"/>
      <c r="F4779" s="29">
        <v>46282</v>
      </c>
      <c r="G4779" s="29">
        <v>46281</v>
      </c>
      <c r="H4779" s="1" t="s">
        <v>8253</v>
      </c>
      <c r="I4779" s="251" t="s">
        <v>10617</v>
      </c>
      <c r="J4779" s="175"/>
      <c r="K4779" s="188" t="s">
        <v>10618</v>
      </c>
      <c r="L4779" s="242">
        <v>24532302</v>
      </c>
      <c r="M4779" s="243">
        <v>9982302008</v>
      </c>
      <c r="N4779" s="171" t="s">
        <v>37</v>
      </c>
      <c r="O4779" s="52">
        <v>6262.86</v>
      </c>
      <c r="P4779" s="52">
        <v>1861.8</v>
      </c>
      <c r="Q4779" s="230">
        <f>OfficeForms.Table[[#This Row],[ INFORMEDEPAGO ]]*0.3</f>
        <v>1878.8579999999997</v>
      </c>
      <c r="R4779" s="231">
        <f t="shared" ref="R4779:R4781" si="394">(IF(O4779&lt;4172.98,0,MIN(O4779*0.3,O4779-4172.98)))-P4779</f>
        <v>17.057999999999765</v>
      </c>
      <c r="S4779" s="74">
        <v>46874</v>
      </c>
      <c r="T4779" s="239" t="s">
        <v>192</v>
      </c>
      <c r="U4779" s="52">
        <v>1861.8</v>
      </c>
      <c r="V4779" s="1"/>
    </row>
    <row r="4780" spans="1:23">
      <c r="A4780">
        <v>3215</v>
      </c>
      <c r="B4780" s="2">
        <v>46282.598576388897</v>
      </c>
      <c r="C4780" s="2">
        <v>46282.599571759303</v>
      </c>
      <c r="D4780" s="1" t="s">
        <v>24</v>
      </c>
      <c r="E4780" s="1"/>
      <c r="F4780" s="29">
        <v>46282</v>
      </c>
      <c r="G4780" s="29">
        <v>46282</v>
      </c>
      <c r="H4780" s="1" t="s">
        <v>269</v>
      </c>
      <c r="I4780" s="251" t="s">
        <v>10619</v>
      </c>
      <c r="J4780" s="207" t="s">
        <v>10620</v>
      </c>
      <c r="K4780" s="188" t="s">
        <v>10621</v>
      </c>
      <c r="L4780" s="242">
        <v>24510454</v>
      </c>
      <c r="M4780" s="243">
        <v>5216676991645</v>
      </c>
      <c r="N4780" s="171" t="s">
        <v>28</v>
      </c>
      <c r="O4780" s="50">
        <v>5617.64</v>
      </c>
      <c r="P4780" s="97"/>
      <c r="Q4780" s="230">
        <f>OfficeForms.Table[[#This Row],[ INFORMEDEPAGO ]]*0.3</f>
        <v>1685.2920000000001</v>
      </c>
      <c r="R4780" s="231">
        <f t="shared" si="394"/>
        <v>1444.6600000000008</v>
      </c>
      <c r="T4780" s="239"/>
      <c r="U4780" s="97"/>
      <c r="V4780" s="1" t="s">
        <v>8356</v>
      </c>
      <c r="W4780" s="29">
        <v>46282</v>
      </c>
    </row>
    <row r="4781" spans="1:23">
      <c r="A4781">
        <v>3216</v>
      </c>
      <c r="B4781" s="2">
        <v>46282.592361111099</v>
      </c>
      <c r="C4781" s="2">
        <v>46282.602662037003</v>
      </c>
      <c r="D4781" s="1" t="s">
        <v>24</v>
      </c>
      <c r="E4781" s="1"/>
      <c r="F4781" s="29">
        <v>46282</v>
      </c>
      <c r="G4781" s="29">
        <v>46282</v>
      </c>
      <c r="H4781" s="1" t="s">
        <v>78</v>
      </c>
      <c r="I4781" s="251" t="s">
        <v>10622</v>
      </c>
      <c r="J4781" s="207">
        <v>96887122354</v>
      </c>
      <c r="K4781" s="188" t="s">
        <v>10623</v>
      </c>
      <c r="L4781" s="242">
        <v>24552214</v>
      </c>
      <c r="M4781" s="243">
        <v>5213347195922</v>
      </c>
      <c r="N4781" s="171" t="s">
        <v>32</v>
      </c>
      <c r="O4781" s="50">
        <v>3850.22</v>
      </c>
      <c r="P4781" s="97">
        <v>879</v>
      </c>
      <c r="Q4781" s="230">
        <f>OfficeForms.Table[[#This Row],[ INFORMEDEPAGO ]]*0.3</f>
        <v>1155.0659999999998</v>
      </c>
      <c r="R4781" s="231">
        <f t="shared" si="394"/>
        <v>-879</v>
      </c>
      <c r="T4781" s="239"/>
      <c r="U4781" s="97"/>
      <c r="V4781" s="1"/>
    </row>
    <row r="4782" spans="1:23">
      <c r="A4782">
        <v>3217</v>
      </c>
      <c r="B4782" s="2">
        <v>46282.543611111098</v>
      </c>
      <c r="C4782" s="2">
        <v>46282.612175925897</v>
      </c>
      <c r="D4782" s="1" t="s">
        <v>24</v>
      </c>
      <c r="E4782" s="1"/>
      <c r="F4782" s="29">
        <v>46282</v>
      </c>
      <c r="G4782" s="29">
        <v>46282</v>
      </c>
      <c r="H4782" s="1" t="s">
        <v>1625</v>
      </c>
      <c r="I4782" s="251" t="s">
        <v>10624</v>
      </c>
      <c r="J4782" s="207" t="s">
        <v>10625</v>
      </c>
      <c r="K4782" s="188" t="s">
        <v>10626</v>
      </c>
      <c r="L4782" s="242">
        <v>2</v>
      </c>
      <c r="M4782" s="243" t="s">
        <v>10627</v>
      </c>
      <c r="N4782" s="171" t="s">
        <v>37</v>
      </c>
      <c r="O4782" s="52">
        <v>36565.089999999997</v>
      </c>
      <c r="P4782" s="52">
        <v>10969.53</v>
      </c>
      <c r="Q4782" s="230">
        <f>OfficeForms.Table[[#This Row],[ INFORMEDEPAGO ]]*0.3</f>
        <v>10969.526999999998</v>
      </c>
      <c r="R4782" s="231">
        <f t="shared" ref="R4782:R4783" si="395">(IF(O4782&lt;4172.98,0,MIN(O4782*0.3,O4782-4172.98)))-P4782</f>
        <v>-3.0000000024301698E-3</v>
      </c>
      <c r="S4782" s="74">
        <v>46419</v>
      </c>
      <c r="T4782" s="239" t="s">
        <v>8415</v>
      </c>
      <c r="U4782" s="97">
        <v>10150.959999999999</v>
      </c>
      <c r="V4782" s="1"/>
    </row>
    <row r="4783" spans="1:23">
      <c r="A4783">
        <v>3218</v>
      </c>
      <c r="B4783" s="2">
        <v>46282.614780092597</v>
      </c>
      <c r="C4783" s="2">
        <v>46282.617164351803</v>
      </c>
      <c r="D4783" s="1" t="s">
        <v>24</v>
      </c>
      <c r="E4783" s="1"/>
      <c r="F4783" s="29">
        <v>46282</v>
      </c>
      <c r="G4783" s="29">
        <v>46282</v>
      </c>
      <c r="H4783" s="1" t="s">
        <v>269</v>
      </c>
      <c r="I4783" s="251" t="s">
        <v>10628</v>
      </c>
      <c r="J4783" s="207"/>
      <c r="K4783" s="188" t="s">
        <v>10629</v>
      </c>
      <c r="L4783" s="242">
        <v>24552596</v>
      </c>
      <c r="M4783" s="243">
        <v>5214921744450</v>
      </c>
      <c r="N4783" s="171" t="s">
        <v>28</v>
      </c>
      <c r="O4783" s="50">
        <v>9760.32</v>
      </c>
      <c r="P4783" s="97"/>
      <c r="Q4783" s="230">
        <f>OfficeForms.Table[[#This Row],[ INFORMEDEPAGO ]]*0.3</f>
        <v>2928.096</v>
      </c>
      <c r="R4783" s="231">
        <f t="shared" si="395"/>
        <v>2928.096</v>
      </c>
      <c r="T4783" s="239"/>
      <c r="U4783" s="97"/>
      <c r="V4783" s="1" t="s">
        <v>8350</v>
      </c>
      <c r="W4783" s="29">
        <v>46282</v>
      </c>
    </row>
    <row r="4784" spans="1:23">
      <c r="A4784">
        <v>3219</v>
      </c>
      <c r="B4784" s="2">
        <v>46282.621701388904</v>
      </c>
      <c r="C4784" s="2">
        <v>46282.624259259297</v>
      </c>
      <c r="D4784" s="1" t="s">
        <v>24</v>
      </c>
      <c r="E4784" s="1"/>
      <c r="F4784" s="29">
        <v>46282</v>
      </c>
      <c r="G4784" s="29">
        <v>46282</v>
      </c>
      <c r="H4784" s="1" t="s">
        <v>8253</v>
      </c>
      <c r="I4784" s="251"/>
      <c r="J4784" s="207">
        <v>32816611373</v>
      </c>
      <c r="K4784" s="188"/>
      <c r="L4784" s="242">
        <v>24547718</v>
      </c>
      <c r="M4784" s="243">
        <v>32816611373</v>
      </c>
      <c r="N4784" s="171" t="s">
        <v>28</v>
      </c>
      <c r="O4784" s="50">
        <f>9757.54+879</f>
        <v>10636.54</v>
      </c>
      <c r="P4784" s="97">
        <v>879</v>
      </c>
      <c r="Q4784" s="230">
        <f>OfficeForms.Table[[#This Row],[ INFORMEDEPAGO ]]*0.3</f>
        <v>3190.962</v>
      </c>
      <c r="R4784" s="231">
        <f t="shared" ref="R4784" si="396">(IF(O4784&lt;4172.98,0,MIN(O4784*0.3,O4784-4172.98)))-P4784</f>
        <v>2311.962</v>
      </c>
      <c r="T4784" s="239"/>
      <c r="U4784" s="97"/>
      <c r="V4784" s="1" t="s">
        <v>9777</v>
      </c>
      <c r="W4784" s="29">
        <v>46282</v>
      </c>
    </row>
    <row r="4785" spans="1:23">
      <c r="A4785">
        <v>3220</v>
      </c>
      <c r="B4785" s="2">
        <v>46282.6343865741</v>
      </c>
      <c r="C4785" s="2">
        <v>46282.640462962998</v>
      </c>
      <c r="D4785" s="1" t="s">
        <v>24</v>
      </c>
      <c r="E4785" s="1"/>
      <c r="F4785" s="29">
        <v>46282</v>
      </c>
      <c r="G4785" s="29">
        <v>46282</v>
      </c>
      <c r="H4785" s="1" t="s">
        <v>78</v>
      </c>
      <c r="I4785" s="251" t="s">
        <v>10630</v>
      </c>
      <c r="J4785" s="207">
        <v>30876309532</v>
      </c>
      <c r="K4785" s="188" t="s">
        <v>10631</v>
      </c>
      <c r="L4785" s="242">
        <v>24552776</v>
      </c>
      <c r="M4785" s="243">
        <v>5215521116827</v>
      </c>
      <c r="N4785" s="171" t="s">
        <v>28</v>
      </c>
      <c r="O4785" s="50">
        <v>10636.54</v>
      </c>
      <c r="P4785" s="97"/>
      <c r="Q4785" s="230">
        <f>OfficeForms.Table[[#This Row],[ INFORMEDEPAGO ]]*0.3</f>
        <v>3190.962</v>
      </c>
      <c r="R4785" s="231">
        <f t="shared" ref="R4785" si="397">(IF(O4785&lt;4172.98,0,MIN(O4785*0.3,O4785-4172.98)))-P4785</f>
        <v>3190.962</v>
      </c>
      <c r="T4785" s="239"/>
      <c r="U4785" s="97"/>
      <c r="V4785" s="1" t="s">
        <v>10632</v>
      </c>
      <c r="W4785" s="29">
        <v>46282</v>
      </c>
    </row>
    <row r="4786" spans="1:23">
      <c r="A4786">
        <v>3221</v>
      </c>
      <c r="B4786" s="2">
        <v>46282.640844907401</v>
      </c>
      <c r="C4786" s="2">
        <v>46282.644444444399</v>
      </c>
      <c r="D4786" s="1" t="s">
        <v>24</v>
      </c>
      <c r="E4786" s="1"/>
      <c r="F4786" s="29">
        <v>46282</v>
      </c>
      <c r="G4786" s="29">
        <v>46282</v>
      </c>
      <c r="H4786" s="1" t="s">
        <v>9986</v>
      </c>
      <c r="I4786" s="251" t="s">
        <v>10633</v>
      </c>
      <c r="J4786" s="207">
        <v>8482660286</v>
      </c>
      <c r="K4786" s="188"/>
      <c r="L4786" s="242">
        <v>24554820</v>
      </c>
      <c r="M4786" s="243">
        <v>9991587394</v>
      </c>
      <c r="N4786" s="171" t="s">
        <v>47</v>
      </c>
      <c r="O4786" s="52">
        <v>10636.54</v>
      </c>
      <c r="P4786" s="52">
        <v>2600.0100000000002</v>
      </c>
      <c r="Q4786" s="230">
        <f>OfficeForms.Table[[#This Row],[ INFORMEDEPAGO ]]*0.3</f>
        <v>3190.962</v>
      </c>
      <c r="R4786" s="231">
        <f t="shared" ref="R4786" si="398">(IF(O4786&lt;4172.98,0,MIN(O4786*0.3,O4786-4172.98)))-P4786</f>
        <v>590.95199999999977</v>
      </c>
      <c r="S4786" s="74">
        <v>46905</v>
      </c>
      <c r="T4786" s="239" t="s">
        <v>7209</v>
      </c>
      <c r="U4786" s="52">
        <v>2600.0100000000002</v>
      </c>
      <c r="V4786" s="1" t="s">
        <v>8316</v>
      </c>
      <c r="W4786" s="29">
        <v>46282</v>
      </c>
    </row>
    <row r="4787" spans="1:23">
      <c r="A4787">
        <v>3222</v>
      </c>
      <c r="B4787" s="2">
        <v>46282.653599537</v>
      </c>
      <c r="C4787" s="2">
        <v>46282.6583680556</v>
      </c>
      <c r="D4787" s="1" t="s">
        <v>24</v>
      </c>
      <c r="E4787" s="1"/>
      <c r="F4787" s="29">
        <v>46282</v>
      </c>
      <c r="G4787" s="29">
        <v>46282</v>
      </c>
      <c r="H4787" s="1" t="s">
        <v>9960</v>
      </c>
      <c r="I4787" s="251" t="s">
        <v>10634</v>
      </c>
      <c r="J4787" s="207"/>
      <c r="K4787" s="188" t="s">
        <v>10635</v>
      </c>
      <c r="L4787" s="242">
        <v>24553832</v>
      </c>
      <c r="M4787" s="243">
        <v>9621007495</v>
      </c>
      <c r="N4787" s="171" t="s">
        <v>32</v>
      </c>
      <c r="O4787" s="52">
        <v>4035.69</v>
      </c>
      <c r="P4787" s="52">
        <v>848</v>
      </c>
      <c r="Q4787" s="230">
        <f>OfficeForms.Table[[#This Row],[ INFORMEDEPAGO ]]*0.3</f>
        <v>1210.7069999999999</v>
      </c>
      <c r="R4787" s="231">
        <f t="shared" ref="R4787" si="399">(IF(O4787&lt;4172.98,0,MIN(O4787*0.3,O4787-4172.98)))-P4787</f>
        <v>-848</v>
      </c>
      <c r="T4787" s="239"/>
      <c r="U4787" s="97"/>
      <c r="V4787" s="1"/>
    </row>
    <row r="4788" spans="1:23">
      <c r="A4788">
        <v>3223</v>
      </c>
      <c r="B4788" s="2">
        <v>46282.668298611097</v>
      </c>
      <c r="C4788" s="2">
        <v>46282.670219907399</v>
      </c>
      <c r="D4788" s="1" t="s">
        <v>24</v>
      </c>
      <c r="E4788" s="1"/>
      <c r="F4788" s="29">
        <v>46282</v>
      </c>
      <c r="G4788" s="29">
        <v>46281</v>
      </c>
      <c r="H4788" s="1" t="s">
        <v>8028</v>
      </c>
      <c r="I4788" s="251" t="s">
        <v>10636</v>
      </c>
      <c r="J4788" s="207"/>
      <c r="K4788" s="188" t="s">
        <v>10637</v>
      </c>
      <c r="L4788" s="242">
        <v>24537472</v>
      </c>
      <c r="M4788" s="243">
        <v>5216621281150</v>
      </c>
      <c r="N4788" s="171" t="s">
        <v>98</v>
      </c>
      <c r="O4788" s="50"/>
      <c r="P4788" s="97"/>
      <c r="Q4788" s="230">
        <f>OfficeForms.Table[[#This Row],[ INFORMEDEPAGO ]]*0.3</f>
        <v>0</v>
      </c>
      <c r="R4788" s="231">
        <f t="shared" ref="R4788:R4789" si="400">(IF(O4788&lt;4172.98,0,MIN(O4788*0.3,O4788-4172.98)))-P4788</f>
        <v>0</v>
      </c>
      <c r="T4788" s="239"/>
      <c r="U4788" s="97"/>
      <c r="V4788" s="1"/>
    </row>
    <row r="4789" spans="1:23">
      <c r="A4789">
        <v>3224</v>
      </c>
      <c r="B4789" s="2">
        <v>46282.612210648098</v>
      </c>
      <c r="C4789" s="2">
        <v>46282.6702546296</v>
      </c>
      <c r="D4789" s="1" t="s">
        <v>24</v>
      </c>
      <c r="E4789" s="1"/>
      <c r="F4789" s="29">
        <v>46282</v>
      </c>
      <c r="G4789" s="29">
        <v>46282</v>
      </c>
      <c r="H4789" s="1" t="s">
        <v>1625</v>
      </c>
      <c r="I4789" s="251" t="s">
        <v>10638</v>
      </c>
      <c r="J4789" s="207">
        <v>32725419660</v>
      </c>
      <c r="K4789" s="188" t="s">
        <v>7089</v>
      </c>
      <c r="L4789" s="242">
        <v>2</v>
      </c>
      <c r="M4789" s="243" t="s">
        <v>10639</v>
      </c>
      <c r="N4789" s="171" t="s">
        <v>37</v>
      </c>
      <c r="O4789" s="52">
        <v>29527.24</v>
      </c>
      <c r="P4789" s="52">
        <v>8856.5300000000007</v>
      </c>
      <c r="Q4789" s="230">
        <f>OfficeForms.Table[[#This Row],[ INFORMEDEPAGO ]]*0.3</f>
        <v>8858.1720000000005</v>
      </c>
      <c r="R4789" s="231">
        <f t="shared" si="400"/>
        <v>1.6419999999998254</v>
      </c>
      <c r="S4789" s="74">
        <v>46569</v>
      </c>
      <c r="T4789" s="239" t="s">
        <v>7516</v>
      </c>
      <c r="U4789" s="97">
        <v>6066</v>
      </c>
      <c r="V4789" s="1"/>
    </row>
    <row r="4790" spans="1:23">
      <c r="A4790">
        <v>3225</v>
      </c>
      <c r="B4790" s="2">
        <v>46282.6820717593</v>
      </c>
      <c r="C4790" s="2">
        <v>46282.682638888902</v>
      </c>
      <c r="D4790" s="1" t="s">
        <v>24</v>
      </c>
      <c r="E4790" s="1"/>
      <c r="F4790" s="29">
        <v>46282</v>
      </c>
      <c r="G4790" s="29">
        <v>46282</v>
      </c>
      <c r="H4790" s="1" t="s">
        <v>8253</v>
      </c>
      <c r="I4790" s="251" t="s">
        <v>10640</v>
      </c>
      <c r="J4790" s="207"/>
      <c r="K4790" s="188" t="s">
        <v>10641</v>
      </c>
      <c r="L4790" s="242">
        <v>24556796</v>
      </c>
      <c r="M4790" s="243">
        <v>2221195742</v>
      </c>
      <c r="N4790" s="171" t="s">
        <v>37</v>
      </c>
      <c r="O4790" s="43">
        <v>6262.89</v>
      </c>
      <c r="P4790" s="43">
        <v>1811.95</v>
      </c>
      <c r="Q4790" s="230">
        <f>OfficeForms.Table[[#This Row],[ INFORMEDEPAGO ]]*0.3</f>
        <v>1878.867</v>
      </c>
      <c r="R4790" s="231">
        <f t="shared" ref="R4790" si="401">(IF(O4790&lt;4172.98,0,MIN(O4790*0.3,O4790-4172.98)))-P4790</f>
        <v>66.916999999999916</v>
      </c>
      <c r="S4790" s="74">
        <v>46722</v>
      </c>
      <c r="T4790" s="239" t="s">
        <v>8319</v>
      </c>
      <c r="U4790" s="97">
        <v>1611.02</v>
      </c>
      <c r="V4790" s="1"/>
    </row>
    <row r="4791" spans="1:23">
      <c r="A4791">
        <v>3226</v>
      </c>
      <c r="B4791" s="2">
        <v>46282.615405092598</v>
      </c>
      <c r="C4791" s="2">
        <v>46282.6866898148</v>
      </c>
      <c r="D4791" s="1" t="s">
        <v>24</v>
      </c>
      <c r="E4791" s="1"/>
      <c r="F4791" s="29">
        <v>46282</v>
      </c>
      <c r="G4791" s="29">
        <v>46282</v>
      </c>
      <c r="H4791" s="1" t="s">
        <v>10043</v>
      </c>
      <c r="I4791" s="251" t="s">
        <v>10642</v>
      </c>
      <c r="J4791" s="207">
        <v>31786201132</v>
      </c>
      <c r="K4791" s="188"/>
      <c r="L4791" s="242">
        <v>24538370</v>
      </c>
      <c r="M4791" s="243">
        <v>8713628213</v>
      </c>
      <c r="N4791" s="171" t="s">
        <v>37</v>
      </c>
      <c r="O4791" s="52">
        <v>7116.73</v>
      </c>
      <c r="P4791" s="52">
        <v>1874.45</v>
      </c>
      <c r="Q4791" s="230">
        <f>OfficeForms.Table[[#This Row],[ INFORMEDEPAGO ]]*0.3</f>
        <v>2135.0189999999998</v>
      </c>
      <c r="R4791" s="231">
        <f t="shared" ref="R4791" si="402">(IF(O4791&lt;4172.98,0,MIN(O4791*0.3,O4791-4172.98)))-P4791</f>
        <v>260.56899999999973</v>
      </c>
      <c r="S4791" s="74">
        <v>46661</v>
      </c>
      <c r="T4791" s="239" t="s">
        <v>7209</v>
      </c>
      <c r="U4791" s="52">
        <v>1874.45</v>
      </c>
      <c r="V4791" s="1"/>
    </row>
    <row r="4792" spans="1:23">
      <c r="A4792">
        <v>3227</v>
      </c>
      <c r="B4792" s="2">
        <v>46282.696851851899</v>
      </c>
      <c r="C4792" s="2">
        <v>46282.697754629597</v>
      </c>
      <c r="D4792" s="1" t="s">
        <v>24</v>
      </c>
      <c r="E4792" s="1"/>
      <c r="F4792" s="29">
        <v>46282</v>
      </c>
      <c r="G4792" s="29">
        <v>46282</v>
      </c>
      <c r="H4792" s="1" t="s">
        <v>9960</v>
      </c>
      <c r="I4792" s="251" t="s">
        <v>10643</v>
      </c>
      <c r="J4792" s="207"/>
      <c r="K4792" s="188" t="s">
        <v>10644</v>
      </c>
      <c r="L4792" s="242">
        <v>24555018</v>
      </c>
      <c r="M4792" s="243">
        <v>2223248217</v>
      </c>
      <c r="N4792" s="171" t="s">
        <v>98</v>
      </c>
      <c r="O4792" s="50"/>
      <c r="P4792" s="97"/>
      <c r="Q4792" s="230">
        <f>OfficeForms.Table[[#This Row],[ INFORMEDEPAGO ]]*0.3</f>
        <v>0</v>
      </c>
      <c r="R4792" s="231">
        <f>(IF(O4792&lt;4172.98,0,MIN(O4792*0.3,O4792-4172.98)))-P4792</f>
        <v>0</v>
      </c>
      <c r="T4792" s="239"/>
      <c r="U4792" s="97"/>
      <c r="V4792" s="1"/>
    </row>
    <row r="4793" spans="1:23">
      <c r="A4793">
        <v>3228</v>
      </c>
      <c r="B4793" s="2">
        <v>46282.672893518502</v>
      </c>
      <c r="C4793" s="2">
        <v>46282.699212963002</v>
      </c>
      <c r="D4793" s="1" t="s">
        <v>24</v>
      </c>
      <c r="E4793" s="1"/>
      <c r="F4793" s="29">
        <v>46282</v>
      </c>
      <c r="G4793" s="29">
        <v>46282</v>
      </c>
      <c r="H4793" s="1" t="s">
        <v>1625</v>
      </c>
      <c r="I4793" s="251" t="s">
        <v>10645</v>
      </c>
      <c r="J4793" s="207" t="s">
        <v>10646</v>
      </c>
      <c r="K4793" s="188" t="s">
        <v>10647</v>
      </c>
      <c r="L4793" s="242">
        <v>2</v>
      </c>
      <c r="M4793" s="243">
        <v>3343198497</v>
      </c>
      <c r="N4793" s="171" t="s">
        <v>37</v>
      </c>
      <c r="O4793" s="43">
        <v>9760.32</v>
      </c>
      <c r="P4793" s="43">
        <v>2823</v>
      </c>
      <c r="Q4793" s="230">
        <f>OfficeForms.Table[[#This Row],[ INFORMEDEPAGO ]]*0.3</f>
        <v>2928.096</v>
      </c>
      <c r="R4793" s="231">
        <f>(IF(O4793&lt;4172.98,0,MIN(O4793*0.3,O4793-4172.98)))-P4793</f>
        <v>105.096</v>
      </c>
      <c r="S4793" s="74">
        <v>46600</v>
      </c>
      <c r="T4793" s="239" t="s">
        <v>8319</v>
      </c>
      <c r="U4793" s="97">
        <v>2823</v>
      </c>
      <c r="V4793" s="1"/>
    </row>
    <row r="4794" spans="1:23">
      <c r="A4794">
        <v>3229</v>
      </c>
      <c r="B4794" s="2">
        <v>46282.700856481497</v>
      </c>
      <c r="C4794" s="2">
        <v>46282.701273148203</v>
      </c>
      <c r="D4794" s="1" t="s">
        <v>24</v>
      </c>
      <c r="E4794" s="1"/>
      <c r="F4794" s="29">
        <v>46282</v>
      </c>
      <c r="G4794" s="29">
        <v>46282</v>
      </c>
      <c r="H4794" s="1" t="s">
        <v>8253</v>
      </c>
      <c r="I4794" s="251" t="s">
        <v>10648</v>
      </c>
      <c r="J4794" s="207"/>
      <c r="K4794" s="188" t="s">
        <v>10649</v>
      </c>
      <c r="L4794" s="242">
        <v>24552270</v>
      </c>
      <c r="M4794" s="243">
        <v>2971042454</v>
      </c>
      <c r="N4794" s="171" t="s">
        <v>263</v>
      </c>
      <c r="O4794" s="43">
        <v>9081.52</v>
      </c>
      <c r="P4794" s="43">
        <v>2514.25</v>
      </c>
      <c r="Q4794" s="230">
        <f>OfficeForms.Table[[#This Row],[ INFORMEDEPAGO ]]*0.3</f>
        <v>2724.4560000000001</v>
      </c>
      <c r="R4794" s="231">
        <f>(IF(O4794&lt;4172.98,0,MIN(O4794*0.3,O4794-4172.98)))-P4794</f>
        <v>210.20600000000013</v>
      </c>
      <c r="S4794" s="74">
        <v>46266</v>
      </c>
      <c r="T4794" s="239" t="s">
        <v>192</v>
      </c>
      <c r="U4794" s="43">
        <v>2514.25</v>
      </c>
      <c r="V4794" s="1" t="s">
        <v>8291</v>
      </c>
      <c r="W4794" s="29">
        <v>46282</v>
      </c>
    </row>
    <row r="4795" spans="1:23">
      <c r="A4795">
        <v>3230</v>
      </c>
      <c r="B4795" s="2">
        <v>46282.707349536999</v>
      </c>
      <c r="C4795" s="2">
        <v>46282.7089583333</v>
      </c>
      <c r="D4795" s="1" t="s">
        <v>24</v>
      </c>
      <c r="E4795" s="1"/>
      <c r="F4795" s="29">
        <v>46282</v>
      </c>
      <c r="G4795" s="29">
        <v>46282</v>
      </c>
      <c r="H4795" s="1" t="s">
        <v>269</v>
      </c>
      <c r="I4795" s="251" t="s">
        <v>10650</v>
      </c>
      <c r="J4795" s="175" t="s">
        <v>10651</v>
      </c>
      <c r="K4795" s="188" t="s">
        <v>483</v>
      </c>
      <c r="L4795" s="242">
        <v>24557436</v>
      </c>
      <c r="M4795" s="243">
        <v>5216182928831</v>
      </c>
      <c r="N4795" s="171" t="s">
        <v>37</v>
      </c>
      <c r="O4795" s="43">
        <v>9631.32</v>
      </c>
      <c r="P4795" s="43">
        <v>2866.31</v>
      </c>
      <c r="Q4795" s="230">
        <f>OfficeForms.Table[[#This Row],[ INFORMEDEPAGO ]]*0.3</f>
        <v>2889.3959999999997</v>
      </c>
      <c r="R4795" s="231">
        <f t="shared" ref="R4795:R4798" si="403">(IF(O4795&lt;4172.98,0,MIN(O4795*0.3,O4795-4172.98)))-P4795</f>
        <v>23.085999999999785</v>
      </c>
      <c r="S4795" s="74">
        <v>46631</v>
      </c>
      <c r="T4795" s="239" t="s">
        <v>7209</v>
      </c>
      <c r="U4795" s="97">
        <v>2273.33</v>
      </c>
      <c r="V4795" s="1"/>
    </row>
    <row r="4796" spans="1:23">
      <c r="A4796">
        <v>3231</v>
      </c>
      <c r="B4796" s="2">
        <v>46282.709467592598</v>
      </c>
      <c r="C4796" s="2">
        <v>46282.709884259297</v>
      </c>
      <c r="D4796" s="1" t="s">
        <v>24</v>
      </c>
      <c r="E4796" s="1"/>
      <c r="F4796" s="29">
        <v>46282</v>
      </c>
      <c r="G4796" s="29">
        <v>46282</v>
      </c>
      <c r="H4796" s="1" t="s">
        <v>8253</v>
      </c>
      <c r="I4796" s="251" t="s">
        <v>10652</v>
      </c>
      <c r="J4796" s="207"/>
      <c r="K4796" s="188" t="s">
        <v>10653</v>
      </c>
      <c r="L4796" s="242">
        <v>24558354</v>
      </c>
      <c r="M4796" s="243">
        <v>9982026078</v>
      </c>
      <c r="N4796" s="171" t="s">
        <v>32</v>
      </c>
      <c r="O4796" s="43">
        <v>968.57</v>
      </c>
      <c r="P4796" s="43">
        <v>242</v>
      </c>
      <c r="Q4796" s="230">
        <f>OfficeForms.Table[[#This Row],[ INFORMEDEPAGO ]]*0.3</f>
        <v>290.57100000000003</v>
      </c>
      <c r="R4796" s="231">
        <f t="shared" si="403"/>
        <v>-242</v>
      </c>
      <c r="T4796" s="239"/>
      <c r="U4796" s="97"/>
      <c r="V4796" s="1"/>
    </row>
    <row r="4797" spans="1:23">
      <c r="A4797">
        <v>3232</v>
      </c>
      <c r="B4797" s="2">
        <v>46282.525567129604</v>
      </c>
      <c r="C4797" s="2">
        <v>46282.710925925901</v>
      </c>
      <c r="D4797" s="1" t="s">
        <v>24</v>
      </c>
      <c r="E4797" s="1"/>
      <c r="F4797" s="29">
        <v>46282</v>
      </c>
      <c r="G4797" s="29">
        <v>46282</v>
      </c>
      <c r="H4797" s="1" t="s">
        <v>51</v>
      </c>
      <c r="I4797" s="251" t="s">
        <v>10654</v>
      </c>
      <c r="J4797" s="207"/>
      <c r="K4797" s="188" t="s">
        <v>10655</v>
      </c>
      <c r="L4797" s="242">
        <v>24555554</v>
      </c>
      <c r="M4797" s="243">
        <v>5214448658730</v>
      </c>
      <c r="N4797" s="171" t="s">
        <v>28</v>
      </c>
      <c r="O4797" s="50">
        <v>10636.54</v>
      </c>
      <c r="P4797" s="97"/>
      <c r="Q4797" s="230">
        <f>OfficeForms.Table[[#This Row],[ INFORMEDEPAGO ]]*0.3</f>
        <v>3190.962</v>
      </c>
      <c r="R4797" s="231">
        <f t="shared" si="403"/>
        <v>3190.962</v>
      </c>
      <c r="T4797" s="239"/>
      <c r="U4797" s="97"/>
      <c r="V4797" s="1" t="s">
        <v>8716</v>
      </c>
      <c r="W4797" s="29">
        <v>46282</v>
      </c>
    </row>
    <row r="4798" spans="1:23">
      <c r="A4798">
        <v>3233</v>
      </c>
      <c r="B4798" s="2">
        <v>46282.7055092593</v>
      </c>
      <c r="C4798" s="2">
        <v>46282.712256944404</v>
      </c>
      <c r="D4798" s="1" t="s">
        <v>24</v>
      </c>
      <c r="E4798" s="1"/>
      <c r="F4798" s="29">
        <v>46282</v>
      </c>
      <c r="G4798" s="29">
        <v>46281</v>
      </c>
      <c r="H4798" s="1" t="s">
        <v>8028</v>
      </c>
      <c r="I4798" s="251" t="s">
        <v>10656</v>
      </c>
      <c r="J4798" s="207">
        <v>12664414286</v>
      </c>
      <c r="K4798" s="188" t="s">
        <v>10657</v>
      </c>
      <c r="L4798" s="242">
        <v>24533810</v>
      </c>
      <c r="M4798" s="243">
        <v>5212297957629</v>
      </c>
      <c r="N4798" s="171" t="s">
        <v>32</v>
      </c>
      <c r="O4798" s="43">
        <v>3510.83</v>
      </c>
      <c r="P4798" s="43">
        <v>877</v>
      </c>
      <c r="Q4798" s="230">
        <f>OfficeForms.Table[[#This Row],[ INFORMEDEPAGO ]]*0.3</f>
        <v>1053.249</v>
      </c>
      <c r="R4798" s="231">
        <f t="shared" si="403"/>
        <v>-877</v>
      </c>
      <c r="T4798" s="239"/>
      <c r="U4798" s="97"/>
      <c r="V4798" s="1"/>
    </row>
    <row r="4799" spans="1:23">
      <c r="A4799">
        <v>3234</v>
      </c>
      <c r="B4799" s="2">
        <v>46282.737569444398</v>
      </c>
      <c r="C4799" s="2">
        <v>46282.738298611097</v>
      </c>
      <c r="D4799" s="1" t="s">
        <v>24</v>
      </c>
      <c r="E4799" s="1"/>
      <c r="F4799" s="29">
        <v>46282</v>
      </c>
      <c r="G4799" s="29">
        <v>46282</v>
      </c>
      <c r="H4799" s="1" t="s">
        <v>269</v>
      </c>
      <c r="I4799" s="251" t="s">
        <v>10658</v>
      </c>
      <c r="J4799" s="175" t="s">
        <v>10659</v>
      </c>
      <c r="K4799" s="190" t="s">
        <v>10660</v>
      </c>
      <c r="L4799" s="253">
        <v>24559130</v>
      </c>
      <c r="M4799" s="243">
        <v>5216561309320</v>
      </c>
      <c r="N4799" s="171" t="s">
        <v>37</v>
      </c>
      <c r="O4799" s="43">
        <v>9760.32</v>
      </c>
      <c r="P4799" s="43">
        <v>2928.1</v>
      </c>
      <c r="Q4799" s="230">
        <f>OfficeForms.Table[[#This Row],[ INFORMEDEPAGO ]]*0.3</f>
        <v>2928.096</v>
      </c>
      <c r="R4799" s="231">
        <f>(IF(O4799&lt;4172.98,0,MIN(O4799*0.3,O4799-4172.98)))-P4799</f>
        <v>-3.9999999999054126E-3</v>
      </c>
      <c r="S4799" s="74">
        <v>46813</v>
      </c>
      <c r="T4799" s="239" t="s">
        <v>7209</v>
      </c>
      <c r="U4799" s="43">
        <v>2928.1</v>
      </c>
      <c r="V4799" s="1"/>
    </row>
    <row r="4800" spans="1:23">
      <c r="A4800">
        <v>3235</v>
      </c>
      <c r="B4800" s="2">
        <v>46282.733726851897</v>
      </c>
      <c r="C4800" s="2">
        <v>46282.744965277801</v>
      </c>
      <c r="D4800" s="1" t="s">
        <v>24</v>
      </c>
      <c r="E4800" s="1"/>
      <c r="F4800" s="29">
        <v>46282</v>
      </c>
      <c r="G4800" s="29">
        <v>46282</v>
      </c>
      <c r="H4800" s="1" t="s">
        <v>78</v>
      </c>
      <c r="I4800" s="251" t="s">
        <v>10661</v>
      </c>
      <c r="J4800" s="175">
        <v>54937743364</v>
      </c>
      <c r="K4800" s="190" t="s">
        <v>10662</v>
      </c>
      <c r="L4800" s="253">
        <v>24555696</v>
      </c>
      <c r="M4800" s="243">
        <v>5213412152475</v>
      </c>
      <c r="N4800" s="171" t="s">
        <v>47</v>
      </c>
      <c r="O4800" s="43">
        <v>5642.22</v>
      </c>
      <c r="P4800" s="43">
        <v>848</v>
      </c>
      <c r="Q4800" s="230">
        <f>OfficeForms.Table[[#This Row],[ INFORMEDEPAGO ]]*0.3</f>
        <v>1692.6659999999999</v>
      </c>
      <c r="R4800" s="231">
        <f>(IF(O4800&lt;4172.98,0,MIN(O4800*0.3,O4800-4172.98)))-P4800</f>
        <v>621.24000000000069</v>
      </c>
      <c r="T4800" s="239"/>
      <c r="U4800" s="97"/>
      <c r="V4800" s="1" t="s">
        <v>8316</v>
      </c>
      <c r="W4800" s="29">
        <v>46282</v>
      </c>
    </row>
    <row r="4801" spans="1:23">
      <c r="A4801">
        <v>3236</v>
      </c>
      <c r="B4801" s="2">
        <v>46282.751458333303</v>
      </c>
      <c r="C4801" s="2">
        <v>46282.757280092599</v>
      </c>
      <c r="D4801" s="1" t="s">
        <v>24</v>
      </c>
      <c r="E4801" s="1"/>
      <c r="F4801" s="29">
        <v>46282</v>
      </c>
      <c r="G4801" s="29">
        <v>46281</v>
      </c>
      <c r="H4801" s="1" t="s">
        <v>8028</v>
      </c>
      <c r="I4801" s="251" t="s">
        <v>10663</v>
      </c>
      <c r="J4801" s="175"/>
      <c r="K4801" s="190" t="s">
        <v>10664</v>
      </c>
      <c r="L4801" s="253">
        <v>24559020</v>
      </c>
      <c r="M4801" s="243">
        <v>5216331000622</v>
      </c>
      <c r="N4801" s="171" t="s">
        <v>47</v>
      </c>
      <c r="O4801" s="50">
        <v>4813.6899999999996</v>
      </c>
      <c r="P4801" s="97"/>
      <c r="Q4801" s="230">
        <f>OfficeForms.Table[[#This Row],[ INFORMEDEPAGO ]]*0.3</f>
        <v>1444.1069999999997</v>
      </c>
      <c r="R4801" s="231">
        <f>(IF(O4801&lt;4172.98,0,MIN(O4801*0.3,O4801-4172.98)))-P4801</f>
        <v>640.71</v>
      </c>
      <c r="T4801" s="239"/>
      <c r="U4801" s="97"/>
      <c r="V4801" s="1" t="s">
        <v>8316</v>
      </c>
      <c r="W4801" s="29">
        <v>46282</v>
      </c>
    </row>
    <row r="4802" spans="1:23">
      <c r="A4802">
        <v>3237</v>
      </c>
      <c r="B4802" s="2">
        <v>46282.670312499999</v>
      </c>
      <c r="C4802" s="2">
        <v>46282.774421296301</v>
      </c>
      <c r="D4802" s="1" t="s">
        <v>24</v>
      </c>
      <c r="E4802" s="1"/>
      <c r="F4802" s="29">
        <v>46282</v>
      </c>
      <c r="G4802" s="29">
        <v>46281</v>
      </c>
      <c r="H4802" s="1" t="s">
        <v>8028</v>
      </c>
      <c r="I4802" s="251" t="s">
        <v>10636</v>
      </c>
      <c r="J4802" s="175">
        <v>24893101808</v>
      </c>
      <c r="K4802" s="190" t="s">
        <v>10637</v>
      </c>
      <c r="L4802" s="253">
        <v>24537472</v>
      </c>
      <c r="M4802" s="243">
        <v>5216621281150</v>
      </c>
      <c r="N4802" s="171" t="s">
        <v>47</v>
      </c>
      <c r="O4802" s="43">
        <v>5636.59</v>
      </c>
      <c r="P4802" s="43">
        <v>879</v>
      </c>
      <c r="Q4802" s="230">
        <f>OfficeForms.Table[[#This Row],[ INFORMEDEPAGO ]]*0.3</f>
        <v>1690.9770000000001</v>
      </c>
      <c r="R4802" s="231">
        <f>(IF(O4802&lt;4172.98,0,MIN(O4802*0.3,O4802-4172.98)))-P4802</f>
        <v>584.61000000000058</v>
      </c>
      <c r="T4802" s="239"/>
      <c r="U4802" s="97"/>
      <c r="V4802" s="1" t="s">
        <v>8291</v>
      </c>
      <c r="W4802" s="29">
        <v>46282</v>
      </c>
    </row>
    <row r="4803" spans="1:23">
      <c r="A4803">
        <v>3238</v>
      </c>
      <c r="B4803" s="2">
        <v>46283.341886574097</v>
      </c>
      <c r="C4803" s="2">
        <v>46283.343495370398</v>
      </c>
      <c r="D4803" s="1" t="s">
        <v>24</v>
      </c>
      <c r="E4803" s="1"/>
      <c r="F4803" s="29">
        <v>46283</v>
      </c>
      <c r="G4803" s="29">
        <v>46283</v>
      </c>
      <c r="H4803" s="1" t="s">
        <v>8721</v>
      </c>
      <c r="I4803" s="251" t="s">
        <v>10665</v>
      </c>
      <c r="J4803" s="175">
        <v>4866223581</v>
      </c>
      <c r="K4803" s="190" t="s">
        <v>10666</v>
      </c>
      <c r="L4803" s="253">
        <v>24283370</v>
      </c>
      <c r="M4803" s="243">
        <v>5213411292090</v>
      </c>
      <c r="N4803" s="171" t="s">
        <v>28</v>
      </c>
      <c r="O4803" s="51">
        <v>10636.54</v>
      </c>
      <c r="P4803" s="97"/>
      <c r="Q4803" s="230">
        <f>OfficeForms.Table[[#This Row],[ INFORMEDEPAGO ]]*0.3</f>
        <v>3190.962</v>
      </c>
      <c r="R4803" s="231">
        <f>(IF(O4803&lt;4172.98,0,MIN(O4803*0.3,O4803-4172.98)))-P4803</f>
        <v>3190.962</v>
      </c>
      <c r="T4803" s="239"/>
      <c r="U4803" s="97"/>
      <c r="V4803" s="1" t="s">
        <v>10632</v>
      </c>
      <c r="W4803" s="29">
        <v>46283</v>
      </c>
    </row>
    <row r="4804" spans="1:23">
      <c r="A4804">
        <v>3239</v>
      </c>
      <c r="B4804" s="2">
        <v>46283.392638888901</v>
      </c>
      <c r="C4804" s="2">
        <v>46283.394236111097</v>
      </c>
      <c r="D4804" s="1" t="s">
        <v>24</v>
      </c>
      <c r="E4804" s="1"/>
      <c r="F4804" s="29">
        <v>46283</v>
      </c>
      <c r="G4804" s="29">
        <v>46282</v>
      </c>
      <c r="H4804" s="1" t="s">
        <v>269</v>
      </c>
      <c r="I4804" s="251" t="s">
        <v>10667</v>
      </c>
      <c r="J4804" s="207" t="s">
        <v>10668</v>
      </c>
      <c r="K4804" s="190" t="s">
        <v>10669</v>
      </c>
      <c r="L4804" s="253">
        <v>24560768</v>
      </c>
      <c r="M4804" s="243">
        <v>5215575004798</v>
      </c>
      <c r="N4804" s="171" t="s">
        <v>37</v>
      </c>
      <c r="O4804" s="52">
        <v>29304.400000000001</v>
      </c>
      <c r="P4804" s="52">
        <v>8791.08</v>
      </c>
      <c r="Q4804" s="230">
        <f>OfficeForms.Table[[#This Row],[ INFORMEDEPAGO ]]*0.3</f>
        <v>8791.32</v>
      </c>
      <c r="R4804" s="231">
        <f>(IF(O4804&lt;4172.98,0,MIN(O4804*0.3,O4804-4172.98)))-P4804</f>
        <v>0.23999999999978172</v>
      </c>
      <c r="S4804" s="74">
        <v>46813</v>
      </c>
      <c r="T4804" s="239" t="s">
        <v>178</v>
      </c>
      <c r="U4804" s="97">
        <f>315.02+327.06</f>
        <v>642.07999999999993</v>
      </c>
      <c r="V4804" s="1"/>
    </row>
    <row r="4805" spans="1:23">
      <c r="A4805">
        <v>3240</v>
      </c>
      <c r="B4805" s="2">
        <v>46283.402523148201</v>
      </c>
      <c r="C4805" s="2">
        <v>46283.403796296298</v>
      </c>
      <c r="D4805" s="1" t="s">
        <v>24</v>
      </c>
      <c r="E4805" s="1"/>
      <c r="F4805" s="29">
        <v>46283</v>
      </c>
      <c r="G4805" s="29">
        <v>46281</v>
      </c>
      <c r="H4805" s="1" t="s">
        <v>9991</v>
      </c>
      <c r="I4805" s="251" t="s">
        <v>10481</v>
      </c>
      <c r="J4805" s="207">
        <v>83947431397</v>
      </c>
      <c r="K4805" s="190" t="s">
        <v>10482</v>
      </c>
      <c r="L4805" s="253">
        <v>24506038</v>
      </c>
      <c r="M4805" s="243">
        <v>9935906557</v>
      </c>
      <c r="N4805" s="171" t="s">
        <v>74</v>
      </c>
      <c r="P4805" s="97"/>
      <c r="Q4805" s="230">
        <f>OfficeForms.Table[[#This Row],[ INFORMEDEPAGO ]]*0.3</f>
        <v>0</v>
      </c>
      <c r="R4805" s="231">
        <f>(IF(O4805&lt;4172.98,0,MIN(O4805*0.3,O4805-4172.98)))-P4805</f>
        <v>0</v>
      </c>
      <c r="T4805" s="239"/>
      <c r="U4805" s="97"/>
      <c r="V4805" s="1"/>
    </row>
    <row r="4806" spans="1:23">
      <c r="A4806">
        <v>3241</v>
      </c>
      <c r="B4806" s="2">
        <v>46283.417418981502</v>
      </c>
      <c r="C4806" s="2">
        <v>46283.430057870399</v>
      </c>
      <c r="D4806" s="1" t="s">
        <v>24</v>
      </c>
      <c r="E4806" s="1"/>
      <c r="F4806" s="29">
        <v>46283</v>
      </c>
      <c r="G4806" s="29">
        <v>46281</v>
      </c>
      <c r="H4806" s="1" t="s">
        <v>9991</v>
      </c>
      <c r="I4806" s="251" t="s">
        <v>10670</v>
      </c>
      <c r="J4806" s="208" t="s">
        <v>10671</v>
      </c>
      <c r="K4806" s="255" t="s">
        <v>10672</v>
      </c>
      <c r="L4806" s="253">
        <v>24507082</v>
      </c>
      <c r="M4806" s="243">
        <v>4425749647</v>
      </c>
      <c r="N4806" s="171" t="s">
        <v>98</v>
      </c>
      <c r="P4806" s="97"/>
      <c r="Q4806" s="230">
        <f>OfficeForms.Table[[#This Row],[ INFORMEDEPAGO ]]*0.3</f>
        <v>0</v>
      </c>
      <c r="R4806" s="231">
        <f>(IF(O4806&lt;4172.98,0,MIN(O4806*0.3,O4806-4172.98)))-P4806</f>
        <v>0</v>
      </c>
      <c r="T4806" s="239"/>
      <c r="U4806" s="97"/>
      <c r="V4806" s="1"/>
    </row>
    <row r="4807" spans="1:23">
      <c r="A4807">
        <v>3242</v>
      </c>
      <c r="B4807" s="2">
        <v>46283.429490740702</v>
      </c>
      <c r="C4807" s="2">
        <v>46283.430694444403</v>
      </c>
      <c r="D4807" s="1" t="s">
        <v>24</v>
      </c>
      <c r="E4807" s="1"/>
      <c r="F4807" s="29">
        <v>46283</v>
      </c>
      <c r="G4807" s="29">
        <v>46282</v>
      </c>
      <c r="H4807" s="1" t="s">
        <v>269</v>
      </c>
      <c r="I4807" s="251" t="s">
        <v>10673</v>
      </c>
      <c r="J4807" s="207"/>
      <c r="K4807" s="190" t="s">
        <v>10674</v>
      </c>
      <c r="L4807" s="253">
        <v>24562834</v>
      </c>
      <c r="M4807" s="243">
        <v>5216563049747</v>
      </c>
      <c r="N4807" s="171" t="s">
        <v>28</v>
      </c>
      <c r="O4807" s="51">
        <f>22090.18-13908.63</f>
        <v>8181.5500000000011</v>
      </c>
      <c r="P4807" s="97"/>
      <c r="Q4807" s="230">
        <f>OfficeForms.Table[[#This Row],[ INFORMEDEPAGO ]]*0.3</f>
        <v>2454.4650000000001</v>
      </c>
      <c r="R4807" s="231">
        <f t="shared" ref="R4806:R4807" si="404">(IF(O4807&lt;4172.98,0,MIN(O4807*0.3,O4807-4172.98)))-P4807</f>
        <v>2454.4650000000001</v>
      </c>
      <c r="T4807" s="239"/>
      <c r="U4807" s="97"/>
      <c r="V4807" s="1" t="s">
        <v>8316</v>
      </c>
      <c r="W4807" s="29">
        <v>46283</v>
      </c>
    </row>
    <row r="4808" spans="1:23">
      <c r="A4808">
        <v>3243</v>
      </c>
      <c r="B4808" s="2">
        <v>46283.436469907399</v>
      </c>
      <c r="C4808" s="2">
        <v>46283.4370486111</v>
      </c>
      <c r="D4808" s="1" t="s">
        <v>24</v>
      </c>
      <c r="E4808" s="1"/>
      <c r="F4808" s="29">
        <v>46283</v>
      </c>
      <c r="G4808" s="29">
        <v>46282</v>
      </c>
      <c r="H4808" s="1" t="s">
        <v>269</v>
      </c>
      <c r="I4808" s="251" t="s">
        <v>10675</v>
      </c>
      <c r="J4808" s="207"/>
      <c r="K4808" s="190" t="s">
        <v>10676</v>
      </c>
      <c r="L4808" s="253">
        <v>24558084</v>
      </c>
      <c r="M4808" s="243">
        <v>5218666517569</v>
      </c>
      <c r="N4808" s="171" t="s">
        <v>28</v>
      </c>
      <c r="O4808" s="51">
        <v>10636.54</v>
      </c>
      <c r="P4808" s="97"/>
      <c r="Q4808" s="230">
        <f>OfficeForms.Table[[#This Row],[ INFORMEDEPAGO ]]*0.3</f>
        <v>3190.962</v>
      </c>
      <c r="R4808" s="231">
        <f t="shared" ref="R4808" si="405">(IF(O4808&lt;4172.98,0,MIN(O4808*0.3,O4808-4172.98)))-P4808</f>
        <v>3190.962</v>
      </c>
      <c r="T4808" s="239"/>
      <c r="U4808" s="97"/>
      <c r="V4808" s="1" t="s">
        <v>8280</v>
      </c>
      <c r="W4808" s="29">
        <v>46283</v>
      </c>
    </row>
    <row r="4809" spans="1:23">
      <c r="A4809">
        <v>3244</v>
      </c>
      <c r="B4809" s="2">
        <v>46283.448460648098</v>
      </c>
      <c r="C4809" s="2">
        <v>46283.449560185203</v>
      </c>
      <c r="D4809" s="1" t="s">
        <v>24</v>
      </c>
      <c r="E4809" s="1"/>
      <c r="F4809" s="29">
        <v>46283</v>
      </c>
      <c r="G4809" s="29">
        <v>46283</v>
      </c>
      <c r="H4809" s="1" t="s">
        <v>1625</v>
      </c>
      <c r="I4809" s="251" t="s">
        <v>10677</v>
      </c>
      <c r="J4809" s="207">
        <v>65755313224</v>
      </c>
      <c r="K4809" s="190" t="s">
        <v>10678</v>
      </c>
      <c r="L4809" s="253">
        <v>2</v>
      </c>
      <c r="M4809" s="243" t="s">
        <v>10679</v>
      </c>
      <c r="N4809" s="171" t="s">
        <v>32</v>
      </c>
      <c r="O4809" s="51">
        <v>4329</v>
      </c>
      <c r="P4809" s="97"/>
      <c r="Q4809" s="230">
        <f>OfficeForms.Table[[#This Row],[ INFORMEDEPAGO ]]*0.3</f>
        <v>1298.7</v>
      </c>
      <c r="R4809" s="231">
        <f>(IF(O4809&lt;4172.98,0,MIN(O4809*0.3,O4809-4172.98)))-P4809</f>
        <v>156.02000000000044</v>
      </c>
      <c r="T4809" s="239"/>
      <c r="U4809" s="97"/>
      <c r="V4809" s="1"/>
    </row>
    <row r="4810" spans="1:23">
      <c r="A4810">
        <v>3246</v>
      </c>
      <c r="B4810" s="2">
        <v>46283.461377314801</v>
      </c>
      <c r="C4810" s="2">
        <v>46283.4618402778</v>
      </c>
      <c r="D4810" s="1" t="s">
        <v>24</v>
      </c>
      <c r="E4810" s="1"/>
      <c r="F4810" s="29">
        <v>46283</v>
      </c>
      <c r="G4810" s="29">
        <v>46283</v>
      </c>
      <c r="H4810" s="1" t="s">
        <v>9986</v>
      </c>
      <c r="I4810" s="251"/>
      <c r="J4810" s="207">
        <v>31826611001</v>
      </c>
      <c r="K4810" s="190"/>
      <c r="L4810" s="254">
        <v>24636432</v>
      </c>
      <c r="M4810" s="243">
        <v>8712404121</v>
      </c>
      <c r="N4810" s="171" t="s">
        <v>28</v>
      </c>
      <c r="O4810" s="51">
        <f>24109.49-13472.95</f>
        <v>10636.54</v>
      </c>
      <c r="P4810" s="97"/>
      <c r="Q4810" s="230">
        <f>OfficeForms.Table[[#This Row],[ INFORMEDEPAGO ]]*0.3</f>
        <v>3190.962</v>
      </c>
      <c r="R4810" s="231">
        <f>(IF(O4810&lt;4172.98,0,MIN(O4810*0.3,O4810-4172.98)))-P4810</f>
        <v>3190.962</v>
      </c>
      <c r="T4810" s="239"/>
      <c r="U4810" s="97"/>
      <c r="V4810" s="1" t="s">
        <v>8436</v>
      </c>
      <c r="W4810" s="29">
        <v>46283</v>
      </c>
    </row>
    <row r="4811" spans="1:23">
      <c r="A4811">
        <v>3247</v>
      </c>
      <c r="B4811" s="2">
        <v>46283.4761111111</v>
      </c>
      <c r="C4811" s="2">
        <v>46283.476689814801</v>
      </c>
      <c r="D4811" s="1" t="s">
        <v>24</v>
      </c>
      <c r="E4811" s="1"/>
      <c r="F4811" s="29">
        <v>46283</v>
      </c>
      <c r="G4811" s="29">
        <v>46283</v>
      </c>
      <c r="H4811" s="1" t="s">
        <v>269</v>
      </c>
      <c r="I4811" s="251" t="s">
        <v>10680</v>
      </c>
      <c r="J4811" s="207"/>
      <c r="K4811" s="190" t="s">
        <v>10681</v>
      </c>
      <c r="L4811" s="253">
        <v>24636190</v>
      </c>
      <c r="M4811" s="243">
        <v>5219971224306</v>
      </c>
      <c r="N4811" s="171" t="s">
        <v>98</v>
      </c>
      <c r="P4811" s="97"/>
      <c r="Q4811" s="230">
        <f>OfficeForms.Table[[#This Row],[ INFORMEDEPAGO ]]*0.3</f>
        <v>0</v>
      </c>
      <c r="R4811" s="231">
        <f>(IF(O4811&lt;4172.98,0,MIN(O4811*0.3,O4811-4172.98)))-P4811</f>
        <v>0</v>
      </c>
      <c r="T4811" s="239"/>
      <c r="U4811" s="97"/>
      <c r="V4811" s="1"/>
    </row>
    <row r="4812" spans="1:23">
      <c r="A4812">
        <v>3248</v>
      </c>
      <c r="B4812" s="2">
        <v>46283.479942129597</v>
      </c>
      <c r="C4812" s="2">
        <v>46283.480462963002</v>
      </c>
      <c r="D4812" s="1" t="s">
        <v>24</v>
      </c>
      <c r="E4812" s="1"/>
      <c r="F4812" s="29">
        <v>46283</v>
      </c>
      <c r="G4812" s="29">
        <v>46283</v>
      </c>
      <c r="H4812" s="1" t="s">
        <v>269</v>
      </c>
      <c r="I4812" s="251" t="s">
        <v>10682</v>
      </c>
      <c r="J4812" s="207"/>
      <c r="K4812" s="190" t="s">
        <v>10683</v>
      </c>
      <c r="L4812" s="253">
        <v>24636434</v>
      </c>
      <c r="M4812" s="243">
        <v>5216861072798</v>
      </c>
      <c r="N4812" s="171" t="s">
        <v>37</v>
      </c>
      <c r="O4812" s="43">
        <v>26913.25</v>
      </c>
      <c r="P4812" s="43">
        <v>8072.49</v>
      </c>
      <c r="Q4812" s="230">
        <f>OfficeForms.Table[[#This Row],[ INFORMEDEPAGO ]]*0.3</f>
        <v>8073.9749999999995</v>
      </c>
      <c r="R4812" s="231">
        <f>(IF(O4812&lt;4172.98,0,MIN(O4812*0.3,O4812-4172.98)))-P4812</f>
        <v>1.4849999999996726</v>
      </c>
      <c r="S4812" s="74">
        <v>46388</v>
      </c>
      <c r="T4812" s="239" t="s">
        <v>7209</v>
      </c>
      <c r="U4812" s="97">
        <v>4948.13</v>
      </c>
      <c r="V4812" s="1"/>
    </row>
    <row r="4813" spans="1:23">
      <c r="A4813">
        <v>3249</v>
      </c>
      <c r="B4813" s="2">
        <v>46283.449594907397</v>
      </c>
      <c r="C4813" s="2">
        <v>46283.4815856481</v>
      </c>
      <c r="D4813" s="1" t="s">
        <v>24</v>
      </c>
      <c r="E4813" s="1"/>
      <c r="F4813" s="29">
        <v>46283</v>
      </c>
      <c r="G4813" s="29">
        <v>46283</v>
      </c>
      <c r="H4813" s="1" t="s">
        <v>1625</v>
      </c>
      <c r="I4813" s="251" t="s">
        <v>10684</v>
      </c>
      <c r="J4813" s="207" t="s">
        <v>10685</v>
      </c>
      <c r="K4813" s="190" t="s">
        <v>10686</v>
      </c>
      <c r="L4813" s="253">
        <v>2</v>
      </c>
      <c r="M4813" s="243" t="s">
        <v>10687</v>
      </c>
      <c r="N4813" s="171" t="s">
        <v>32</v>
      </c>
      <c r="O4813" s="51">
        <v>3882.85</v>
      </c>
      <c r="P4813" s="97"/>
      <c r="Q4813" s="230">
        <f>OfficeForms.Table[[#This Row],[ INFORMEDEPAGO ]]*0.3</f>
        <v>1164.855</v>
      </c>
      <c r="R4813" s="231">
        <f>(IF(O4813&lt;4172.98,0,MIN(O4813*0.3,O4813-4172.98)))-P4813</f>
        <v>0</v>
      </c>
      <c r="T4813" s="239"/>
      <c r="U4813" s="97"/>
      <c r="V4813" s="1"/>
    </row>
    <row r="4814" spans="1:23">
      <c r="A4814">
        <v>3250</v>
      </c>
      <c r="B4814" s="2">
        <v>46281.742025462998</v>
      </c>
      <c r="C4814" s="2">
        <v>46283.482025463003</v>
      </c>
      <c r="D4814" s="1" t="s">
        <v>24</v>
      </c>
      <c r="E4814" s="1"/>
      <c r="F4814" s="29">
        <v>46283</v>
      </c>
      <c r="G4814" s="29">
        <v>46283</v>
      </c>
      <c r="H4814" s="1" t="s">
        <v>8381</v>
      </c>
      <c r="I4814" s="251" t="s">
        <v>10688</v>
      </c>
      <c r="J4814" s="207"/>
      <c r="K4814" s="190" t="s">
        <v>10689</v>
      </c>
      <c r="L4814" s="253">
        <v>24563472</v>
      </c>
      <c r="M4814" s="243">
        <v>5216941184201</v>
      </c>
      <c r="N4814" s="171" t="s">
        <v>32</v>
      </c>
      <c r="O4814" s="51">
        <v>4342.43</v>
      </c>
      <c r="P4814" s="97"/>
      <c r="Q4814" s="230">
        <f>OfficeForms.Table[[#This Row],[ INFORMEDEPAGO ]]*0.3</f>
        <v>1302.729</v>
      </c>
      <c r="R4814" s="231">
        <f>(IF(O4814&lt;4172.98,0,MIN(O4814*0.3,O4814-4172.98)))-P4814</f>
        <v>169.45000000000073</v>
      </c>
      <c r="T4814" s="239"/>
      <c r="U4814" s="97"/>
      <c r="V4814" s="1"/>
    </row>
    <row r="4815" spans="1:23">
      <c r="A4815">
        <v>3251</v>
      </c>
      <c r="B4815" s="2">
        <v>46283.484548611101</v>
      </c>
      <c r="C4815" s="2">
        <v>46283.485659722202</v>
      </c>
      <c r="D4815" s="1" t="s">
        <v>24</v>
      </c>
      <c r="E4815" s="1"/>
      <c r="F4815" s="29">
        <v>46283</v>
      </c>
      <c r="G4815" s="29">
        <v>46283</v>
      </c>
      <c r="H4815" s="1" t="s">
        <v>9991</v>
      </c>
      <c r="I4815" s="251" t="s">
        <v>10690</v>
      </c>
      <c r="J4815" s="207">
        <v>5372540481</v>
      </c>
      <c r="K4815" s="190" t="s">
        <v>10691</v>
      </c>
      <c r="L4815" s="253">
        <v>24636372</v>
      </c>
      <c r="M4815" s="243">
        <v>3541051794</v>
      </c>
      <c r="N4815" s="171" t="s">
        <v>32</v>
      </c>
      <c r="O4815" s="51">
        <v>3882.85</v>
      </c>
      <c r="P4815" s="97"/>
      <c r="Q4815" s="230">
        <f>OfficeForms.Table[[#This Row],[ INFORMEDEPAGO ]]*0.3</f>
        <v>1164.855</v>
      </c>
      <c r="R4815" s="231">
        <f>(IF(O4815&lt;4172.98,0,MIN(O4815*0.3,O4815-4172.98)))-P4815</f>
        <v>0</v>
      </c>
      <c r="T4815" s="239"/>
      <c r="U4815" s="97"/>
      <c r="V4815" s="1"/>
    </row>
    <row r="4816" spans="1:23">
      <c r="A4816">
        <v>3252</v>
      </c>
      <c r="B4816" s="2">
        <v>46283.482048611098</v>
      </c>
      <c r="C4816" s="2">
        <v>46283.5053819444</v>
      </c>
      <c r="D4816" s="1" t="s">
        <v>24</v>
      </c>
      <c r="E4816" s="1"/>
      <c r="F4816" s="29">
        <v>46283</v>
      </c>
      <c r="G4816" s="29">
        <v>46283</v>
      </c>
      <c r="H4816" s="1" t="s">
        <v>8381</v>
      </c>
      <c r="I4816" s="251" t="s">
        <v>10692</v>
      </c>
      <c r="J4816" s="207">
        <v>33856641312</v>
      </c>
      <c r="K4816" s="190"/>
      <c r="L4816" s="253">
        <v>24636206</v>
      </c>
      <c r="M4816" s="243">
        <v>5216391749185</v>
      </c>
      <c r="N4816" s="171" t="s">
        <v>28</v>
      </c>
      <c r="O4816" s="51">
        <v>10636.54</v>
      </c>
      <c r="P4816" s="97"/>
      <c r="Q4816" s="230">
        <f>OfficeForms.Table[[#This Row],[ INFORMEDEPAGO ]]*0.3</f>
        <v>3190.962</v>
      </c>
      <c r="R4816" s="231">
        <f>(IF(O4816&lt;4172.98,0,MIN(O4816*0.3,O4816-4172.98)))-P4816</f>
        <v>3190.962</v>
      </c>
      <c r="T4816" s="239"/>
      <c r="U4816" s="97"/>
      <c r="V4816" s="1" t="s">
        <v>10632</v>
      </c>
      <c r="W4816" s="29">
        <v>46283</v>
      </c>
    </row>
    <row r="4817" spans="1:23">
      <c r="A4817">
        <v>3253</v>
      </c>
      <c r="B4817" s="2">
        <v>46283.535648148099</v>
      </c>
      <c r="C4817" s="2">
        <v>46283.536284722199</v>
      </c>
      <c r="D4817" s="1" t="s">
        <v>24</v>
      </c>
      <c r="E4817" s="1"/>
      <c r="F4817" s="29">
        <v>46283</v>
      </c>
      <c r="G4817" s="29">
        <v>46281</v>
      </c>
      <c r="H4817" s="1" t="s">
        <v>8253</v>
      </c>
      <c r="I4817" s="251" t="s">
        <v>10693</v>
      </c>
      <c r="J4817" s="207"/>
      <c r="K4817" s="190" t="s">
        <v>10694</v>
      </c>
      <c r="L4817" s="253">
        <v>24506056</v>
      </c>
      <c r="M4817" s="243">
        <v>6623940209</v>
      </c>
      <c r="N4817" s="171" t="s">
        <v>28</v>
      </c>
      <c r="O4817" s="43">
        <v>11908.03</v>
      </c>
      <c r="P4817" s="43">
        <v>879</v>
      </c>
      <c r="Q4817" s="230">
        <f>OfficeForms.Table[[#This Row],[ INFORMEDEPAGO ]]*0.3</f>
        <v>3572.4090000000001</v>
      </c>
      <c r="R4817" s="231">
        <f>(IF(O4817&lt;4172.98,0,MIN(O4817*0.3,O4817-4172.98)))-P4817</f>
        <v>2693.4090000000001</v>
      </c>
      <c r="T4817" s="239"/>
      <c r="U4817" s="97"/>
      <c r="V4817" s="1" t="s">
        <v>8316</v>
      </c>
      <c r="W4817" s="29">
        <v>46283</v>
      </c>
    </row>
    <row r="4818" spans="1:23">
      <c r="A4818">
        <v>3254</v>
      </c>
      <c r="B4818" s="2">
        <v>46283.535810185203</v>
      </c>
      <c r="C4818" s="2">
        <v>46283.536655092597</v>
      </c>
      <c r="D4818" s="1" t="s">
        <v>24</v>
      </c>
      <c r="E4818" s="1"/>
      <c r="F4818" s="29">
        <v>46283</v>
      </c>
      <c r="G4818" s="29">
        <v>46283</v>
      </c>
      <c r="H4818" s="1" t="s">
        <v>269</v>
      </c>
      <c r="I4818" s="251" t="s">
        <v>10695</v>
      </c>
      <c r="J4818" s="175" t="s">
        <v>10696</v>
      </c>
      <c r="K4818" s="188" t="s">
        <v>10697</v>
      </c>
      <c r="L4818" s="242">
        <v>24639144</v>
      </c>
      <c r="M4818" s="243">
        <v>5215627609993</v>
      </c>
      <c r="N4818" s="171" t="s">
        <v>47</v>
      </c>
      <c r="O4818" s="43">
        <v>5617.63</v>
      </c>
      <c r="P4818" s="43">
        <v>579.23</v>
      </c>
      <c r="Q4818" s="230">
        <f>OfficeForms.Table[[#This Row],[ INFORMEDEPAGO ]]*0.3</f>
        <v>1685.289</v>
      </c>
      <c r="R4818" s="231">
        <f>(IF(O4818&lt;4172.98,0,MIN(O4818*0.3,O4818-4172.98)))-P4818</f>
        <v>865.42000000000053</v>
      </c>
      <c r="S4818" s="74">
        <v>46478</v>
      </c>
      <c r="T4818" s="239" t="s">
        <v>7209</v>
      </c>
      <c r="U4818" s="97">
        <v>579.23</v>
      </c>
      <c r="V4818" s="1" t="s">
        <v>8233</v>
      </c>
      <c r="W4818" s="29">
        <v>46283</v>
      </c>
    </row>
    <row r="4819" spans="1:23">
      <c r="A4819">
        <v>3255</v>
      </c>
      <c r="B4819" s="2">
        <v>46283.343541666698</v>
      </c>
      <c r="C4819" s="2">
        <v>46283.536851851903</v>
      </c>
      <c r="D4819" s="1" t="s">
        <v>24</v>
      </c>
      <c r="E4819" s="1"/>
      <c r="F4819" s="29">
        <v>46283</v>
      </c>
      <c r="G4819" s="29">
        <v>46269</v>
      </c>
      <c r="H4819" s="1" t="s">
        <v>8721</v>
      </c>
      <c r="I4819" s="251" t="s">
        <v>10698</v>
      </c>
      <c r="J4819" s="207">
        <v>23825918313</v>
      </c>
      <c r="K4819" s="190" t="s">
        <v>10699</v>
      </c>
      <c r="L4819" s="253">
        <v>24244148</v>
      </c>
      <c r="M4819" s="243">
        <v>5216961099390</v>
      </c>
      <c r="N4819" s="171" t="s">
        <v>37</v>
      </c>
      <c r="O4819" s="43">
        <v>9572.89</v>
      </c>
      <c r="P4819" s="43">
        <v>2871.66</v>
      </c>
      <c r="Q4819" s="230">
        <f>OfficeForms.Table[[#This Row],[ INFORMEDEPAGO ]]*0.3</f>
        <v>2871.8669999999997</v>
      </c>
      <c r="R4819" s="231">
        <f>(IF(O4819&lt;4172.98,0,MIN(O4819*0.3,O4819-4172.98)))-P4819</f>
        <v>0.20699999999987995</v>
      </c>
      <c r="S4819" s="74">
        <v>46966</v>
      </c>
      <c r="T4819" s="239" t="s">
        <v>7209</v>
      </c>
      <c r="U4819" s="97">
        <v>1285.6600000000001</v>
      </c>
      <c r="V4819" s="1"/>
    </row>
    <row r="4820" spans="1:23">
      <c r="A4820">
        <v>3256</v>
      </c>
      <c r="B4820" s="2">
        <v>46283.559490740699</v>
      </c>
      <c r="C4820" s="2">
        <v>46283.560682870397</v>
      </c>
      <c r="D4820" s="1" t="s">
        <v>24</v>
      </c>
      <c r="E4820" s="1"/>
      <c r="F4820" s="29">
        <v>46283</v>
      </c>
      <c r="G4820" s="29">
        <v>46283</v>
      </c>
      <c r="H4820" s="1" t="s">
        <v>9991</v>
      </c>
      <c r="I4820" s="251" t="s">
        <v>10700</v>
      </c>
      <c r="J4820" s="207">
        <v>23816124616</v>
      </c>
      <c r="K4820" s="190" t="s">
        <v>10701</v>
      </c>
      <c r="L4820" s="253">
        <v>24637882</v>
      </c>
      <c r="M4820" s="243">
        <v>6674265858</v>
      </c>
      <c r="N4820" s="171" t="s">
        <v>37</v>
      </c>
      <c r="O4820" s="52">
        <v>16605.13</v>
      </c>
      <c r="P4820" s="52">
        <v>4932.79</v>
      </c>
      <c r="Q4820" s="230">
        <f>OfficeForms.Table[[#This Row],[ INFORMEDEPAGO ]]*0.3</f>
        <v>4981.5389999999998</v>
      </c>
      <c r="R4820" s="231">
        <f>(IF(O4820&lt;4172.98,0,MIN(O4820*0.3,O4820-4172.98)))-P4820</f>
        <v>48.748999999999796</v>
      </c>
      <c r="S4820" s="74">
        <v>46388</v>
      </c>
      <c r="T4820" s="239" t="s">
        <v>8338</v>
      </c>
      <c r="U4820" s="97">
        <v>357</v>
      </c>
      <c r="V4820" s="1"/>
    </row>
    <row r="4821" spans="1:23">
      <c r="A4821">
        <v>3257</v>
      </c>
      <c r="B4821" s="2">
        <v>46283.6031365741</v>
      </c>
      <c r="C4821" s="2">
        <v>46283.611481481501</v>
      </c>
      <c r="D4821" s="1" t="s">
        <v>24</v>
      </c>
      <c r="E4821" s="1"/>
      <c r="F4821" s="29">
        <v>46283</v>
      </c>
      <c r="G4821" s="29">
        <v>46282</v>
      </c>
      <c r="H4821" s="1" t="s">
        <v>78</v>
      </c>
      <c r="I4821" s="251" t="s">
        <v>10702</v>
      </c>
      <c r="J4821" s="207"/>
      <c r="K4821" s="190" t="s">
        <v>10703</v>
      </c>
      <c r="L4821" s="253">
        <v>24559782</v>
      </c>
      <c r="M4821" s="243">
        <v>5215523691453</v>
      </c>
      <c r="N4821" s="171" t="s">
        <v>32</v>
      </c>
      <c r="O4821" s="67">
        <f>3320.8+879</f>
        <v>4199.8</v>
      </c>
      <c r="P4821" s="99">
        <v>879</v>
      </c>
      <c r="Q4821" s="230">
        <f>OfficeForms.Table[[#This Row],[ INFORMEDEPAGO ]]*0.3</f>
        <v>1259.94</v>
      </c>
      <c r="R4821" s="231">
        <f>(IF(O4821&lt;4172.98,0,MIN(O4821*0.3,O4821-4172.98)))-P4821</f>
        <v>-852.17999999999938</v>
      </c>
      <c r="T4821" s="239"/>
      <c r="U4821" s="97"/>
      <c r="V4821" s="1"/>
    </row>
    <row r="4822" spans="1:23">
      <c r="A4822">
        <v>3258</v>
      </c>
      <c r="B4822" s="2">
        <v>46283.6172800926</v>
      </c>
      <c r="C4822" s="2">
        <v>46283.625648148103</v>
      </c>
      <c r="D4822" s="1" t="s">
        <v>24</v>
      </c>
      <c r="E4822" s="1"/>
      <c r="F4822" s="29">
        <v>46283</v>
      </c>
      <c r="G4822" s="29">
        <v>46282</v>
      </c>
      <c r="H4822" s="1" t="s">
        <v>8028</v>
      </c>
      <c r="I4822" s="251" t="s">
        <v>10704</v>
      </c>
      <c r="J4822" s="207">
        <v>21846337968</v>
      </c>
      <c r="K4822" s="190" t="s">
        <v>10705</v>
      </c>
      <c r="L4822" s="253">
        <v>24516326</v>
      </c>
      <c r="M4822" s="243">
        <v>5216861626024</v>
      </c>
      <c r="N4822" s="171" t="s">
        <v>37</v>
      </c>
      <c r="O4822" s="43">
        <v>9081.5300000000007</v>
      </c>
      <c r="P4822" s="43">
        <v>2626.96</v>
      </c>
      <c r="Q4822" s="256">
        <f>OfficeForms.Table[[#This Row],[ INFORMEDEPAGO ]]*0.3</f>
        <v>2724.4590000000003</v>
      </c>
      <c r="R4822" s="43">
        <f>(IF(O4822&lt;4172.98,0,MIN(O4822*0.3,O4822-4172.98)))-P4822</f>
        <v>97.499000000000251</v>
      </c>
      <c r="S4822" s="235">
        <v>46569</v>
      </c>
      <c r="T4822" t="s">
        <v>84</v>
      </c>
      <c r="U4822" s="98">
        <v>2626.95</v>
      </c>
      <c r="V4822" s="1"/>
    </row>
    <row r="4823" spans="1:23">
      <c r="A4823">
        <v>3259</v>
      </c>
      <c r="B4823" s="2">
        <v>46283.678819444402</v>
      </c>
      <c r="C4823" s="2">
        <v>46283.679618055598</v>
      </c>
      <c r="D4823" s="1" t="s">
        <v>24</v>
      </c>
      <c r="E4823" s="1"/>
      <c r="F4823" s="29">
        <v>46283</v>
      </c>
      <c r="G4823" s="29">
        <v>46283</v>
      </c>
      <c r="H4823" s="1" t="s">
        <v>9986</v>
      </c>
      <c r="I4823" s="251" t="s">
        <v>10706</v>
      </c>
      <c r="J4823" s="207">
        <v>41896504085</v>
      </c>
      <c r="K4823" s="190"/>
      <c r="L4823" s="253">
        <v>24643024</v>
      </c>
      <c r="M4823" s="243">
        <v>6182599205</v>
      </c>
      <c r="N4823" s="171" t="s">
        <v>28</v>
      </c>
      <c r="O4823" s="50">
        <v>10636.54</v>
      </c>
      <c r="P4823" s="97"/>
      <c r="Q4823" s="256">
        <f>OfficeForms.Table[[#This Row],[ INFORMEDEPAGO ]]*0.3</f>
        <v>3190.962</v>
      </c>
      <c r="R4823" s="43">
        <f>(IF(O4823&lt;4172.98,0,MIN(O4823*0.3,O4823-4172.98)))-P4823</f>
        <v>3190.962</v>
      </c>
      <c r="T4823" s="1"/>
      <c r="V4823" s="1" t="s">
        <v>8535</v>
      </c>
      <c r="W4823" s="29">
        <v>46283</v>
      </c>
    </row>
    <row r="4824" spans="1:23">
      <c r="A4824">
        <v>3260</v>
      </c>
      <c r="B4824" s="2">
        <v>46283.674837963001</v>
      </c>
      <c r="C4824" s="2">
        <v>46283.690856481502</v>
      </c>
      <c r="D4824" s="1" t="s">
        <v>24</v>
      </c>
      <c r="E4824" s="1"/>
      <c r="F4824" s="29">
        <v>46283</v>
      </c>
      <c r="G4824" s="29">
        <v>46283</v>
      </c>
      <c r="H4824" s="1" t="s">
        <v>78</v>
      </c>
      <c r="I4824" s="251" t="s">
        <v>10707</v>
      </c>
      <c r="J4824" s="207"/>
      <c r="K4824" s="190" t="s">
        <v>10708</v>
      </c>
      <c r="L4824" s="253">
        <v>24637060</v>
      </c>
      <c r="M4824" s="243">
        <v>5215544544770</v>
      </c>
      <c r="N4824" s="171" t="s">
        <v>28</v>
      </c>
      <c r="O4824" s="50">
        <v>31455.54</v>
      </c>
      <c r="P4824" s="97"/>
      <c r="Q4824" s="256">
        <f>OfficeForms.Table[[#This Row],[ INFORMEDEPAGO ]]*0.3</f>
        <v>9436.6620000000003</v>
      </c>
      <c r="R4824" s="43">
        <f>(IF(O4824&lt;4172.98,0,MIN(O4824*0.3,O4824-4172.98)))-P4824</f>
        <v>9436.6620000000003</v>
      </c>
      <c r="T4824" s="1"/>
      <c r="V4824" s="1" t="s">
        <v>8716</v>
      </c>
      <c r="W4824" s="29">
        <v>46283</v>
      </c>
    </row>
    <row r="4825" spans="1:23">
      <c r="A4825">
        <v>3261</v>
      </c>
      <c r="B4825" s="2">
        <v>46283.6792824074</v>
      </c>
      <c r="C4825" s="2">
        <v>46283.690914351901</v>
      </c>
      <c r="D4825" s="1" t="s">
        <v>24</v>
      </c>
      <c r="E4825" s="1"/>
      <c r="F4825" s="29">
        <v>46283</v>
      </c>
      <c r="G4825" s="29">
        <v>46283</v>
      </c>
      <c r="H4825" s="1" t="s">
        <v>78</v>
      </c>
      <c r="I4825" s="251" t="s">
        <v>10709</v>
      </c>
      <c r="J4825" s="207">
        <v>64846805113</v>
      </c>
      <c r="K4825" s="190" t="s">
        <v>10710</v>
      </c>
      <c r="L4825" s="253">
        <v>24640756</v>
      </c>
      <c r="M4825" s="243">
        <v>5215564213010</v>
      </c>
      <c r="N4825" s="171" t="s">
        <v>32</v>
      </c>
      <c r="O4825" s="50">
        <v>807.15</v>
      </c>
      <c r="P4825" s="97"/>
      <c r="Q4825" s="256">
        <f>OfficeForms.Table[[#This Row],[ INFORMEDEPAGO ]]*0.3</f>
        <v>242.14499999999998</v>
      </c>
      <c r="R4825" s="43">
        <f>(IF(O4825&lt;4172.98,0,MIN(O4825*0.3,O4825-4172.98)))-P4825</f>
        <v>0</v>
      </c>
      <c r="T4825" s="1"/>
      <c r="V4825" s="1"/>
    </row>
    <row r="4826" spans="1:23">
      <c r="A4826">
        <v>3262</v>
      </c>
      <c r="B4826" s="2">
        <v>46283.683634259301</v>
      </c>
      <c r="C4826" s="2">
        <v>46283.690983796303</v>
      </c>
      <c r="D4826" s="1" t="s">
        <v>24</v>
      </c>
      <c r="E4826" s="1"/>
      <c r="F4826" s="29">
        <v>46283</v>
      </c>
      <c r="G4826" s="29">
        <v>46283</v>
      </c>
      <c r="H4826" s="1" t="s">
        <v>78</v>
      </c>
      <c r="I4826" s="251" t="s">
        <v>10711</v>
      </c>
      <c r="J4826" s="207"/>
      <c r="K4826" s="190" t="s">
        <v>10712</v>
      </c>
      <c r="L4826" s="253">
        <v>24642312</v>
      </c>
      <c r="M4826" s="243">
        <v>5212381006887</v>
      </c>
      <c r="N4826" s="171" t="s">
        <v>37</v>
      </c>
      <c r="O4826" s="52">
        <v>6889.88</v>
      </c>
      <c r="P4826" s="52">
        <v>1992</v>
      </c>
      <c r="Q4826" s="256">
        <f>OfficeForms.Table[[#This Row],[ INFORMEDEPAGO ]]*0.3</f>
        <v>2066.9639999999999</v>
      </c>
      <c r="R4826" s="43">
        <f>(IF(O4826&lt;4172.98,0,MIN(O4826*0.3,O4826-4172.98)))-P4826</f>
        <v>74.963999999999942</v>
      </c>
      <c r="S4826" s="74">
        <v>46478</v>
      </c>
      <c r="T4826" s="1" t="s">
        <v>8319</v>
      </c>
      <c r="U4826" s="98">
        <v>1992</v>
      </c>
      <c r="V4826" s="1"/>
    </row>
    <row r="4827" spans="1:23">
      <c r="A4827">
        <v>3263</v>
      </c>
      <c r="B4827" s="2">
        <v>46283.505405092597</v>
      </c>
      <c r="C4827" s="2">
        <v>46283.692268518498</v>
      </c>
      <c r="D4827" s="1" t="s">
        <v>24</v>
      </c>
      <c r="E4827" s="1"/>
      <c r="F4827" s="29">
        <v>46283</v>
      </c>
      <c r="G4827" s="29">
        <v>46281</v>
      </c>
      <c r="H4827" s="1" t="s">
        <v>8381</v>
      </c>
      <c r="I4827" s="251" t="s">
        <v>10713</v>
      </c>
      <c r="J4827" s="207" t="s">
        <v>10714</v>
      </c>
      <c r="K4827" s="190" t="s">
        <v>10715</v>
      </c>
      <c r="L4827" s="253">
        <v>24496878</v>
      </c>
      <c r="M4827" s="243">
        <v>5215571942912</v>
      </c>
      <c r="N4827" s="171" t="s">
        <v>32</v>
      </c>
      <c r="O4827" s="52">
        <v>3137.31</v>
      </c>
      <c r="P4827" s="52">
        <v>879</v>
      </c>
      <c r="Q4827" s="256">
        <f>OfficeForms.Table[[#This Row],[ INFORMEDEPAGO ]]*0.3</f>
        <v>941.19299999999998</v>
      </c>
      <c r="R4827" s="43">
        <f>(IF(O4827&lt;4172.98,0,MIN(O4827*0.3,O4827-4172.98)))-P4827</f>
        <v>-879</v>
      </c>
      <c r="T4827" s="1"/>
      <c r="V4827" s="1"/>
    </row>
    <row r="4828" spans="1:23">
      <c r="A4828">
        <v>3264</v>
      </c>
      <c r="B4828" s="2">
        <v>46283.4816319444</v>
      </c>
      <c r="C4828" s="2">
        <v>46283.713969907403</v>
      </c>
      <c r="D4828" s="1" t="s">
        <v>24</v>
      </c>
      <c r="E4828" s="1"/>
      <c r="F4828" s="29">
        <v>46283</v>
      </c>
      <c r="G4828" s="29">
        <v>46283</v>
      </c>
      <c r="H4828" s="1" t="s">
        <v>1625</v>
      </c>
      <c r="I4828" s="251" t="s">
        <v>8128</v>
      </c>
      <c r="J4828" s="207" t="s">
        <v>8129</v>
      </c>
      <c r="K4828" s="190" t="s">
        <v>8130</v>
      </c>
      <c r="L4828" s="253">
        <v>2</v>
      </c>
      <c r="M4828" s="243">
        <v>3330360282</v>
      </c>
      <c r="N4828" s="171" t="s">
        <v>37</v>
      </c>
      <c r="O4828" s="52">
        <v>9111.52</v>
      </c>
      <c r="P4828" s="52">
        <v>2753.43</v>
      </c>
      <c r="Q4828" s="256">
        <f>OfficeForms.Table[[#This Row],[ INFORMEDEPAGO ]]*0.3</f>
        <v>2733.4560000000001</v>
      </c>
      <c r="R4828" s="43">
        <f>(IF(O4828&lt;4172.98,0,MIN(O4828*0.3,O4828-4172.98)))-P4828</f>
        <v>-19.973999999999705</v>
      </c>
      <c r="S4828" s="74">
        <v>46813</v>
      </c>
      <c r="T4828" s="1" t="s">
        <v>7516</v>
      </c>
      <c r="U4828" s="98">
        <v>1873.86</v>
      </c>
      <c r="V4828" s="1"/>
    </row>
    <row r="4829" spans="1:23">
      <c r="A4829">
        <v>3265</v>
      </c>
      <c r="B4829" s="2">
        <v>46283.692291666703</v>
      </c>
      <c r="C4829" s="2">
        <v>46283.717569444401</v>
      </c>
      <c r="D4829" s="1" t="s">
        <v>24</v>
      </c>
      <c r="E4829" s="1"/>
      <c r="F4829" s="29">
        <v>46283</v>
      </c>
      <c r="G4829" s="29">
        <v>46283</v>
      </c>
      <c r="H4829" s="1" t="s">
        <v>8381</v>
      </c>
      <c r="I4829" s="251" t="s">
        <v>10716</v>
      </c>
      <c r="J4829" s="207">
        <v>23806423143</v>
      </c>
      <c r="K4829" s="190" t="s">
        <v>10717</v>
      </c>
      <c r="L4829" s="253">
        <v>24643778</v>
      </c>
      <c r="M4829" s="243">
        <v>5216674286534</v>
      </c>
      <c r="N4829" s="171" t="s">
        <v>37</v>
      </c>
      <c r="O4829" s="52">
        <v>7920.51</v>
      </c>
      <c r="P4829" s="52">
        <v>2375.8200000000002</v>
      </c>
      <c r="Q4829" s="256">
        <f>OfficeForms.Table[[#This Row],[ INFORMEDEPAGO ]]*0.3</f>
        <v>2376.1529999999998</v>
      </c>
      <c r="R4829" s="43">
        <f>(IF(O4829&lt;4172.98,0,MIN(O4829*0.3,O4829-4172.98)))-P4829</f>
        <v>0.33299999999962893</v>
      </c>
      <c r="S4829" s="74">
        <v>46874</v>
      </c>
      <c r="T4829" s="1" t="s">
        <v>7516</v>
      </c>
      <c r="U4829" s="98">
        <v>2150</v>
      </c>
      <c r="V4829" s="1"/>
    </row>
    <row r="4830" spans="1:23">
      <c r="A4830">
        <v>3266</v>
      </c>
      <c r="B4830" s="2">
        <v>46283.730335648099</v>
      </c>
      <c r="C4830" s="2">
        <v>46283.730752314797</v>
      </c>
      <c r="D4830" s="1" t="s">
        <v>24</v>
      </c>
      <c r="E4830" s="1"/>
      <c r="F4830" s="29">
        <v>46283</v>
      </c>
      <c r="G4830" s="29">
        <v>46283</v>
      </c>
      <c r="H4830" s="1" t="s">
        <v>269</v>
      </c>
      <c r="I4830" s="251" t="s">
        <v>10718</v>
      </c>
      <c r="J4830" s="175" t="s">
        <v>10719</v>
      </c>
      <c r="K4830" s="188" t="s">
        <v>10720</v>
      </c>
      <c r="L4830" s="242">
        <v>24645006</v>
      </c>
      <c r="M4830" s="243">
        <v>5219981893267</v>
      </c>
      <c r="N4830" s="171" t="s">
        <v>37</v>
      </c>
      <c r="O4830" s="52">
        <v>8156.63</v>
      </c>
      <c r="P4830" s="52">
        <v>2446.9899999999998</v>
      </c>
      <c r="Q4830" s="256">
        <f>OfficeForms.Table[[#This Row],[ INFORMEDEPAGO ]]*0.3</f>
        <v>2446.989</v>
      </c>
      <c r="R4830" s="43">
        <f>(IF(O4830&lt;4172.98,0,MIN(O4830*0.3,O4830-4172.98)))-P4830</f>
        <v>-9.9999999974897946E-4</v>
      </c>
      <c r="S4830" s="74">
        <v>46569</v>
      </c>
      <c r="T4830" s="1" t="s">
        <v>7209</v>
      </c>
      <c r="U4830" s="98">
        <v>1515.91</v>
      </c>
      <c r="V4830" s="1"/>
    </row>
    <row r="4831" spans="1:23">
      <c r="A4831">
        <v>3267</v>
      </c>
      <c r="B4831" s="2">
        <v>46283.729594907403</v>
      </c>
      <c r="C4831" s="2">
        <v>46283.734259259298</v>
      </c>
      <c r="D4831" s="1" t="s">
        <v>24</v>
      </c>
      <c r="E4831" s="1"/>
      <c r="F4831" s="29">
        <v>46283</v>
      </c>
      <c r="G4831" s="29">
        <v>46283</v>
      </c>
      <c r="H4831" s="1" t="s">
        <v>78</v>
      </c>
      <c r="I4831" s="251" t="s">
        <v>10721</v>
      </c>
      <c r="J4831" s="175"/>
      <c r="K4831" s="188" t="s">
        <v>10722</v>
      </c>
      <c r="L4831" s="242">
        <v>24583688</v>
      </c>
      <c r="M4831" s="243">
        <v>5218771925967</v>
      </c>
      <c r="N4831" s="171" t="s">
        <v>28</v>
      </c>
      <c r="O4831" s="50">
        <v>13095.44</v>
      </c>
      <c r="P4831" s="97"/>
      <c r="Q4831" s="256">
        <f>OfficeForms.Table[[#This Row],[ INFORMEDEPAGO ]]*0.3</f>
        <v>3928.6320000000001</v>
      </c>
      <c r="R4831" s="43">
        <f t="shared" ref="R4831" si="406">(IF(O4831&lt;4172.98,0,MIN(O4831*0.3,O4831-4172.98)))-P4831</f>
        <v>3928.6320000000001</v>
      </c>
      <c r="T4831" s="1"/>
      <c r="V4831" s="1" t="s">
        <v>8280</v>
      </c>
      <c r="W4831" s="29">
        <v>46283</v>
      </c>
    </row>
    <row r="4832" spans="1:23">
      <c r="A4832">
        <v>3268</v>
      </c>
      <c r="B4832" s="2">
        <v>46283.736412036997</v>
      </c>
      <c r="C4832" s="2">
        <v>46283.739699074104</v>
      </c>
      <c r="D4832" s="1" t="s">
        <v>24</v>
      </c>
      <c r="E4832" s="1"/>
      <c r="F4832" s="29">
        <v>46283</v>
      </c>
      <c r="G4832" s="29">
        <v>46283</v>
      </c>
      <c r="H4832" s="1" t="s">
        <v>269</v>
      </c>
      <c r="I4832" s="251" t="s">
        <v>10723</v>
      </c>
      <c r="J4832" s="175" t="s">
        <v>10724</v>
      </c>
      <c r="K4832" s="188" t="s">
        <v>10725</v>
      </c>
      <c r="L4832" s="242">
        <v>24642240</v>
      </c>
      <c r="M4832" s="243">
        <v>5213329469233</v>
      </c>
      <c r="N4832" s="171" t="s">
        <v>263</v>
      </c>
      <c r="O4832" s="43">
        <v>4332.32</v>
      </c>
      <c r="P4832" s="43">
        <v>671.85</v>
      </c>
      <c r="Q4832" s="256">
        <f>OfficeForms.Table[[#This Row],[ INFORMEDEPAGO ]]*0.3</f>
        <v>1299.6959999999999</v>
      </c>
      <c r="R4832" s="43">
        <f t="shared" ref="R4832:R4833" si="407">(IF(O4832&lt;4172.98,0,MIN(O4832*0.3,O4832-4172.98)))-P4832</f>
        <v>-512.50999999999988</v>
      </c>
      <c r="S4832" s="74">
        <v>45352</v>
      </c>
      <c r="T4832" s="1" t="s">
        <v>192</v>
      </c>
      <c r="U4832" s="98">
        <v>671.85</v>
      </c>
      <c r="V4832" s="1" t="s">
        <v>8291</v>
      </c>
      <c r="W4832" s="29">
        <v>46283</v>
      </c>
    </row>
    <row r="4833" spans="1:23">
      <c r="A4833">
        <v>3269</v>
      </c>
      <c r="B4833" s="2">
        <v>46283.7416435185</v>
      </c>
      <c r="C4833" s="2">
        <v>46283.743611111102</v>
      </c>
      <c r="D4833" s="1" t="s">
        <v>24</v>
      </c>
      <c r="E4833" s="1"/>
      <c r="F4833" s="29">
        <v>46283</v>
      </c>
      <c r="G4833" s="29">
        <v>46283</v>
      </c>
      <c r="H4833" s="1" t="s">
        <v>269</v>
      </c>
      <c r="I4833" s="251" t="s">
        <v>10726</v>
      </c>
      <c r="J4833" s="175"/>
      <c r="K4833" s="188" t="s">
        <v>10727</v>
      </c>
      <c r="L4833" s="242">
        <v>24645494</v>
      </c>
      <c r="M4833" s="243">
        <v>5218183961245</v>
      </c>
      <c r="N4833" s="171" t="s">
        <v>28</v>
      </c>
      <c r="O4833" s="50">
        <v>47125</v>
      </c>
      <c r="P4833" s="97"/>
      <c r="Q4833" s="256">
        <f>OfficeForms.Table[[#This Row],[ INFORMEDEPAGO ]]*0.3</f>
        <v>14137.5</v>
      </c>
      <c r="R4833" s="43">
        <f t="shared" si="407"/>
        <v>14137.5</v>
      </c>
      <c r="T4833" s="1"/>
      <c r="V4833" s="1" t="s">
        <v>8716</v>
      </c>
      <c r="W4833" s="29">
        <v>46283</v>
      </c>
    </row>
    <row r="4834" spans="1:23">
      <c r="A4834">
        <v>3270</v>
      </c>
      <c r="B4834" s="2">
        <v>46283.717604166697</v>
      </c>
      <c r="C4834" s="2">
        <v>46283.745173611103</v>
      </c>
      <c r="D4834" s="1" t="s">
        <v>24</v>
      </c>
      <c r="E4834" s="1"/>
      <c r="F4834" s="29">
        <v>46283</v>
      </c>
      <c r="G4834" s="29">
        <v>46283</v>
      </c>
      <c r="H4834" s="1" t="s">
        <v>8381</v>
      </c>
      <c r="I4834" s="251" t="s">
        <v>10728</v>
      </c>
      <c r="J4834" s="175"/>
      <c r="K4834" s="188" t="s">
        <v>10729</v>
      </c>
      <c r="L4834" s="242">
        <v>24638484</v>
      </c>
      <c r="M4834" s="243">
        <v>5216561314354</v>
      </c>
      <c r="N4834" s="171" t="s">
        <v>28</v>
      </c>
      <c r="O4834" s="50">
        <v>42234.79</v>
      </c>
      <c r="P4834" s="97"/>
      <c r="Q4834" s="256">
        <f>OfficeForms.Table[[#This Row],[ INFORMEDEPAGO ]]*0.3</f>
        <v>12670.437</v>
      </c>
      <c r="R4834" s="43">
        <f>(IF(O4834&lt;4172.98,0,MIN(O4834*0.3,O4834-4172.98)))-P4834</f>
        <v>12670.437</v>
      </c>
      <c r="T4834" s="1"/>
      <c r="V4834" s="1" t="s">
        <v>8535</v>
      </c>
      <c r="W4834" s="29">
        <v>46283</v>
      </c>
    </row>
    <row r="4835" spans="1:23">
      <c r="A4835">
        <v>3271</v>
      </c>
      <c r="B4835" s="2">
        <v>46284.373078703698</v>
      </c>
      <c r="C4835" s="2">
        <v>46284.373668981498</v>
      </c>
      <c r="D4835" s="1" t="s">
        <v>24</v>
      </c>
      <c r="E4835" s="1"/>
      <c r="F4835" s="29">
        <v>46284</v>
      </c>
      <c r="G4835" s="29">
        <v>46283</v>
      </c>
      <c r="H4835" s="1" t="s">
        <v>269</v>
      </c>
      <c r="I4835" s="251" t="s">
        <v>10730</v>
      </c>
      <c r="J4835" s="207" t="s">
        <v>10731</v>
      </c>
      <c r="K4835" s="188" t="s">
        <v>10732</v>
      </c>
      <c r="L4835" s="242">
        <v>24647114</v>
      </c>
      <c r="M4835" s="243">
        <v>5216142136285</v>
      </c>
      <c r="N4835" s="171" t="s">
        <v>37</v>
      </c>
      <c r="O4835" s="52">
        <v>5332.33</v>
      </c>
      <c r="P4835" s="52">
        <v>1118</v>
      </c>
      <c r="Q4835" s="256">
        <f>OfficeForms.Table[[#This Row],[ INFORMEDEPAGO ]]*0.3</f>
        <v>1599.6989999999998</v>
      </c>
      <c r="R4835" s="43">
        <f>(IF(O4835&lt;4172.98,0,MIN(O4835*0.3,O4835-4172.98)))-P4835</f>
        <v>41.350000000000364</v>
      </c>
      <c r="S4835" s="74">
        <v>46478</v>
      </c>
      <c r="T4835" s="1" t="s">
        <v>7516</v>
      </c>
      <c r="U4835" s="52">
        <v>1118</v>
      </c>
      <c r="V4835" s="1"/>
    </row>
    <row r="4836" spans="1:23">
      <c r="A4836">
        <v>3272</v>
      </c>
      <c r="B4836" s="2">
        <v>46284.382916666698</v>
      </c>
      <c r="C4836" s="2">
        <v>46284.3855555556</v>
      </c>
      <c r="D4836" s="1" t="s">
        <v>24</v>
      </c>
      <c r="E4836" s="1"/>
      <c r="F4836" s="29">
        <v>46284</v>
      </c>
      <c r="G4836" s="29">
        <v>46284</v>
      </c>
      <c r="H4836" s="1" t="s">
        <v>8297</v>
      </c>
      <c r="I4836" s="251" t="s">
        <v>10733</v>
      </c>
      <c r="J4836" s="207">
        <v>49846522560</v>
      </c>
      <c r="K4836" s="188" t="s">
        <v>10734</v>
      </c>
      <c r="L4836" s="257">
        <v>4</v>
      </c>
      <c r="M4836" s="258">
        <v>8683037914</v>
      </c>
      <c r="N4836" s="171" t="s">
        <v>37</v>
      </c>
      <c r="O4836" s="52">
        <v>9760.32</v>
      </c>
      <c r="P4836" s="52">
        <v>2813.7</v>
      </c>
      <c r="Q4836" s="256">
        <f>OfficeForms.Table[[#This Row],[ INFORMEDEPAGO ]]*0.3</f>
        <v>2928.096</v>
      </c>
      <c r="R4836" s="43">
        <f>(IF(O4836&lt;4172.98,0,MIN(O4836*0.3,O4836-4172.98)))-P4836</f>
        <v>114.39600000000019</v>
      </c>
      <c r="S4836" s="74">
        <v>46661</v>
      </c>
      <c r="T4836" s="1" t="s">
        <v>8415</v>
      </c>
      <c r="U4836" s="98">
        <v>601.58000000000004</v>
      </c>
      <c r="V4836" s="1"/>
    </row>
    <row r="4837" spans="1:23">
      <c r="A4837">
        <v>3273</v>
      </c>
      <c r="B4837" s="2">
        <v>46284.393738425897</v>
      </c>
      <c r="C4837" s="2">
        <v>46284.400717592602</v>
      </c>
      <c r="D4837" s="1" t="s">
        <v>24</v>
      </c>
      <c r="E4837" s="1"/>
      <c r="F4837" s="29">
        <v>46284</v>
      </c>
      <c r="G4837" s="29">
        <v>46284</v>
      </c>
      <c r="H4837" s="1" t="s">
        <v>51</v>
      </c>
      <c r="I4837" s="251" t="s">
        <v>10735</v>
      </c>
      <c r="J4837" s="207"/>
      <c r="K4837" s="188" t="s">
        <v>10736</v>
      </c>
      <c r="L4837" s="242">
        <v>24658322</v>
      </c>
      <c r="M4837" s="243">
        <v>5217291103767</v>
      </c>
      <c r="N4837" s="171" t="s">
        <v>74</v>
      </c>
      <c r="O4837" s="50"/>
      <c r="P4837" s="97"/>
      <c r="Q4837" s="256">
        <f>OfficeForms.Table[[#This Row],[ INFORMEDEPAGO ]]*0.3</f>
        <v>0</v>
      </c>
      <c r="R4837" s="43">
        <f t="shared" ref="R4837:R4839" si="408">(IF(O4837&lt;4172.98,0,MIN(O4837*0.3,O4837-4172.98)))-P4837</f>
        <v>0</v>
      </c>
      <c r="T4837" s="1"/>
      <c r="V4837" s="1"/>
    </row>
    <row r="4838" spans="1:23">
      <c r="A4838">
        <v>3274</v>
      </c>
      <c r="B4838" s="2">
        <v>46284.3494907407</v>
      </c>
      <c r="C4838" s="2">
        <v>46284.415381944404</v>
      </c>
      <c r="D4838" s="1" t="s">
        <v>24</v>
      </c>
      <c r="E4838" s="1"/>
      <c r="F4838" s="29">
        <v>46284</v>
      </c>
      <c r="G4838" s="29">
        <v>46284</v>
      </c>
      <c r="H4838" s="1" t="s">
        <v>1625</v>
      </c>
      <c r="I4838" s="251" t="s">
        <v>10737</v>
      </c>
      <c r="J4838" s="207">
        <v>64866413780</v>
      </c>
      <c r="K4838" s="188" t="s">
        <v>10738</v>
      </c>
      <c r="L4838" s="242">
        <v>2</v>
      </c>
      <c r="M4838" s="243">
        <v>5566677678</v>
      </c>
      <c r="N4838" s="171" t="s">
        <v>37</v>
      </c>
      <c r="O4838" s="52">
        <v>9081.52</v>
      </c>
      <c r="P4838" s="52">
        <v>2624.39</v>
      </c>
      <c r="Q4838" s="256">
        <f>OfficeForms.Table[[#This Row],[ INFORMEDEPAGO ]]*0.3</f>
        <v>2724.4560000000001</v>
      </c>
      <c r="R4838" s="43">
        <f t="shared" si="408"/>
        <v>100.06600000000026</v>
      </c>
      <c r="S4838" s="74">
        <v>46419</v>
      </c>
      <c r="T4838" s="1" t="s">
        <v>178</v>
      </c>
      <c r="U4838" s="98">
        <v>489.52</v>
      </c>
      <c r="V4838" s="1"/>
    </row>
    <row r="4839" spans="1:23">
      <c r="A4839">
        <v>3275</v>
      </c>
      <c r="B4839" s="2">
        <v>46283.759467592601</v>
      </c>
      <c r="C4839" s="2">
        <v>46284.423483796301</v>
      </c>
      <c r="D4839" s="1" t="s">
        <v>24</v>
      </c>
      <c r="E4839" s="1"/>
      <c r="F4839" s="29">
        <v>46284</v>
      </c>
      <c r="G4839" s="29">
        <v>46282</v>
      </c>
      <c r="H4839" s="1" t="s">
        <v>78</v>
      </c>
      <c r="I4839" s="251" t="s">
        <v>10739</v>
      </c>
      <c r="J4839" s="207">
        <v>82806304133</v>
      </c>
      <c r="K4839" s="188" t="s">
        <v>10740</v>
      </c>
      <c r="L4839" s="242">
        <v>24649886</v>
      </c>
      <c r="M4839" s="243">
        <v>5212228439060</v>
      </c>
      <c r="N4839" s="171" t="s">
        <v>28</v>
      </c>
      <c r="O4839" s="50">
        <v>9760.32</v>
      </c>
      <c r="P4839" s="97"/>
      <c r="Q4839" s="256">
        <f>OfficeForms.Table[[#This Row],[ INFORMEDEPAGO ]]*0.3</f>
        <v>2928.096</v>
      </c>
      <c r="R4839" s="43">
        <f t="shared" si="408"/>
        <v>2928.096</v>
      </c>
      <c r="T4839" s="1"/>
      <c r="V4839" s="1" t="s">
        <v>8350</v>
      </c>
      <c r="W4839" s="29">
        <v>46284</v>
      </c>
    </row>
    <row r="4840" spans="1:23">
      <c r="A4840">
        <v>3276</v>
      </c>
      <c r="B4840" s="2">
        <v>46283.745208333297</v>
      </c>
      <c r="C4840" s="2">
        <v>46284.442824074104</v>
      </c>
      <c r="D4840" s="1" t="s">
        <v>24</v>
      </c>
      <c r="E4840" s="1"/>
      <c r="F4840" s="29">
        <v>46284</v>
      </c>
      <c r="G4840" s="29">
        <v>46279</v>
      </c>
      <c r="H4840" s="1" t="s">
        <v>8381</v>
      </c>
      <c r="I4840" s="251" t="s">
        <v>10741</v>
      </c>
      <c r="J4840" s="207"/>
      <c r="K4840" s="188" t="s">
        <v>10742</v>
      </c>
      <c r="L4840" s="242">
        <v>24458092</v>
      </c>
      <c r="M4840" s="243">
        <v>5214445893199</v>
      </c>
      <c r="N4840" s="171" t="s">
        <v>37</v>
      </c>
      <c r="O4840" s="52">
        <v>7116.73</v>
      </c>
      <c r="P4840" s="52">
        <v>2053.3200000000002</v>
      </c>
      <c r="Q4840" s="256">
        <f>OfficeForms.Table[[#This Row],[ INFORMEDEPAGO ]]*0.3</f>
        <v>2135.0189999999998</v>
      </c>
      <c r="R4840" s="43">
        <f t="shared" ref="R4840:R4841" si="409">(IF(O4840&lt;4172.98,0,MIN(O4840*0.3,O4840-4172.98)))-P4840</f>
        <v>81.698999999999614</v>
      </c>
      <c r="S4840" s="74">
        <v>46600</v>
      </c>
      <c r="T4840" s="1" t="s">
        <v>178</v>
      </c>
      <c r="U4840" s="98">
        <v>602.67999999999995</v>
      </c>
      <c r="V4840" s="1"/>
    </row>
    <row r="4841" spans="1:23">
      <c r="A4841">
        <v>3277</v>
      </c>
      <c r="B4841" s="2">
        <v>46284.400740740697</v>
      </c>
      <c r="C4841" s="2">
        <v>46284.442893518499</v>
      </c>
      <c r="D4841" s="1" t="s">
        <v>24</v>
      </c>
      <c r="E4841" s="1"/>
      <c r="F4841" s="29">
        <v>46284</v>
      </c>
      <c r="G4841" s="29">
        <v>46279</v>
      </c>
      <c r="H4841" s="1" t="s">
        <v>51</v>
      </c>
      <c r="I4841" s="251" t="s">
        <v>10743</v>
      </c>
      <c r="J4841" s="175" t="s">
        <v>10744</v>
      </c>
      <c r="K4841" s="188" t="s">
        <v>10745</v>
      </c>
      <c r="L4841" s="242">
        <v>24447812</v>
      </c>
      <c r="M4841" s="243">
        <v>5219844345912</v>
      </c>
      <c r="N4841" s="171" t="s">
        <v>28</v>
      </c>
      <c r="O4841" s="43">
        <v>21419.040000000001</v>
      </c>
      <c r="P4841" s="43">
        <v>879</v>
      </c>
      <c r="Q4841" s="256">
        <f>OfficeForms.Table[[#This Row],[ INFORMEDEPAGO ]]*0.3</f>
        <v>6425.7120000000004</v>
      </c>
      <c r="R4841" s="43">
        <f t="shared" si="409"/>
        <v>5546.7120000000004</v>
      </c>
      <c r="T4841" s="1"/>
      <c r="V4841" s="1" t="s">
        <v>8716</v>
      </c>
      <c r="W4841" s="29">
        <v>46284</v>
      </c>
    </row>
    <row r="4842" spans="1:23">
      <c r="A4842">
        <v>3278</v>
      </c>
      <c r="B4842" s="2">
        <v>46284.418657407397</v>
      </c>
      <c r="C4842" s="2">
        <v>46284.451296296298</v>
      </c>
      <c r="D4842" s="1" t="s">
        <v>24</v>
      </c>
      <c r="E4842" s="1"/>
      <c r="F4842" s="29">
        <v>46284</v>
      </c>
      <c r="G4842" s="29">
        <v>46283</v>
      </c>
      <c r="H4842" s="1" t="s">
        <v>78</v>
      </c>
      <c r="I4842" s="251" t="s">
        <v>10746</v>
      </c>
      <c r="J4842" s="175"/>
      <c r="K4842" s="188" t="s">
        <v>10747</v>
      </c>
      <c r="L4842" s="242">
        <v>24643228</v>
      </c>
      <c r="M4842" s="243">
        <v>5215543730520</v>
      </c>
      <c r="N4842" s="171" t="s">
        <v>28</v>
      </c>
      <c r="O4842" s="43">
        <v>29188.38</v>
      </c>
      <c r="P4842" s="43">
        <v>4775.8599999999997</v>
      </c>
      <c r="Q4842" s="256">
        <f>OfficeForms.Table[[#This Row],[ INFORMEDEPAGO ]]*0.3</f>
        <v>8756.5139999999992</v>
      </c>
      <c r="R4842" s="43">
        <f>(IF(O4842&lt;4172.98,0,MIN(O4842*0.3,O4842-4172.98)))-P4842</f>
        <v>3980.6539999999995</v>
      </c>
      <c r="S4842" s="74">
        <v>46813</v>
      </c>
      <c r="T4842" s="1" t="s">
        <v>7516</v>
      </c>
      <c r="U4842" s="98">
        <v>4775.8599999999997</v>
      </c>
      <c r="V4842" s="1" t="s">
        <v>8960</v>
      </c>
      <c r="W4842" s="29">
        <v>46284</v>
      </c>
    </row>
    <row r="4843" spans="1:23">
      <c r="A4843">
        <v>3279</v>
      </c>
      <c r="B4843" s="2">
        <v>46284.442847222199</v>
      </c>
      <c r="C4843" s="2">
        <v>46284.462280092601</v>
      </c>
      <c r="D4843" s="1" t="s">
        <v>24</v>
      </c>
      <c r="E4843" s="1"/>
      <c r="F4843" s="29">
        <v>46284</v>
      </c>
      <c r="G4843" s="29">
        <v>46284</v>
      </c>
      <c r="H4843" s="1" t="s">
        <v>8381</v>
      </c>
      <c r="I4843" s="251" t="s">
        <v>10748</v>
      </c>
      <c r="J4843" s="175"/>
      <c r="K4843" s="188" t="s">
        <v>10749</v>
      </c>
      <c r="L4843" s="242">
        <v>24652330</v>
      </c>
      <c r="M4843" s="243">
        <v>5215528508604</v>
      </c>
      <c r="N4843" s="171" t="s">
        <v>28</v>
      </c>
      <c r="O4843" s="50">
        <v>9760.32</v>
      </c>
      <c r="P4843" s="97"/>
      <c r="Q4843" s="256">
        <f>OfficeForms.Table[[#This Row],[ INFORMEDEPAGO ]]*0.3</f>
        <v>2928.096</v>
      </c>
      <c r="R4843" s="43">
        <f>(IF(O4843&lt;4172.98,0,MIN(O4843*0.3,O4843-4172.98)))-P4843</f>
        <v>2928.096</v>
      </c>
      <c r="T4843" s="1"/>
      <c r="V4843" s="1" t="s">
        <v>8264</v>
      </c>
      <c r="W4843" s="29">
        <v>46284</v>
      </c>
    </row>
    <row r="4844" spans="1:23">
      <c r="A4844">
        <v>3280</v>
      </c>
      <c r="B4844" s="2">
        <v>46284.462175925903</v>
      </c>
      <c r="C4844" s="2">
        <v>46284.462546296301</v>
      </c>
      <c r="D4844" s="1" t="s">
        <v>24</v>
      </c>
      <c r="E4844" s="1"/>
      <c r="F4844" s="29">
        <v>46284</v>
      </c>
      <c r="G4844" s="29">
        <v>46284</v>
      </c>
      <c r="H4844" s="1" t="s">
        <v>269</v>
      </c>
      <c r="I4844" s="251" t="s">
        <v>10750</v>
      </c>
      <c r="J4844" s="175"/>
      <c r="K4844" s="188" t="s">
        <v>10751</v>
      </c>
      <c r="L4844" s="242">
        <v>24646242</v>
      </c>
      <c r="M4844" s="243">
        <v>5218128612039</v>
      </c>
      <c r="N4844" s="171" t="s">
        <v>47</v>
      </c>
      <c r="O4844" s="52">
        <v>28013.52</v>
      </c>
      <c r="P4844" s="52">
        <v>8104</v>
      </c>
      <c r="Q4844" s="256">
        <f>OfficeForms.Table[[#This Row],[ INFORMEDEPAGO ]]*0.3</f>
        <v>8404.0560000000005</v>
      </c>
      <c r="R4844" s="43">
        <f>(IF(O4844&lt;4172.98,0,MIN(O4844*0.3,O4844-4172.98)))-P4844</f>
        <v>300.05600000000049</v>
      </c>
      <c r="S4844" s="74">
        <v>46753</v>
      </c>
      <c r="T4844" s="1" t="s">
        <v>192</v>
      </c>
      <c r="U4844" s="52">
        <v>8104</v>
      </c>
      <c r="V4844" s="1" t="s">
        <v>8233</v>
      </c>
      <c r="W4844" s="29">
        <v>46284</v>
      </c>
    </row>
    <row r="4845" spans="1:23">
      <c r="A4845">
        <v>3281</v>
      </c>
      <c r="B4845" s="2">
        <v>46284.4774652778</v>
      </c>
      <c r="C4845" s="2">
        <v>46284.480451388903</v>
      </c>
      <c r="D4845" s="1" t="s">
        <v>24</v>
      </c>
      <c r="E4845" s="1"/>
      <c r="F4845" s="29">
        <v>46284</v>
      </c>
      <c r="G4845" s="29">
        <v>46280</v>
      </c>
      <c r="H4845" s="1" t="s">
        <v>51</v>
      </c>
      <c r="I4845" s="251" t="s">
        <v>10752</v>
      </c>
      <c r="J4845" s="175"/>
      <c r="K4845" s="188" t="s">
        <v>10753</v>
      </c>
      <c r="L4845" s="242">
        <v>24494990</v>
      </c>
      <c r="M4845" s="243">
        <v>18566736205</v>
      </c>
      <c r="N4845" s="171" t="s">
        <v>263</v>
      </c>
      <c r="O4845" s="52">
        <v>4981.78</v>
      </c>
      <c r="P4845" s="52">
        <v>746.77</v>
      </c>
      <c r="Q4845" s="256">
        <f>OfficeForms.Table[[#This Row],[ INFORMEDEPAGO ]]*0.3</f>
        <v>1494.5339999999999</v>
      </c>
      <c r="R4845" s="43">
        <f t="shared" ref="R4845:R4846" si="410">(IF(O4845&lt;4172.98,0,MIN(O4845*0.3,O4845-4172.98)))-P4845</f>
        <v>62.0300000000002</v>
      </c>
      <c r="S4845" s="74">
        <v>46266</v>
      </c>
      <c r="T4845" s="1" t="s">
        <v>192</v>
      </c>
      <c r="U4845" s="97">
        <v>746.77</v>
      </c>
      <c r="V4845" s="1" t="s">
        <v>8291</v>
      </c>
      <c r="W4845" s="29">
        <v>46284</v>
      </c>
    </row>
    <row r="4846" spans="1:23">
      <c r="A4846">
        <v>3282</v>
      </c>
      <c r="B4846" s="2">
        <v>46284.415497685201</v>
      </c>
      <c r="C4846" s="2">
        <v>46284.487453703703</v>
      </c>
      <c r="D4846" s="1" t="s">
        <v>24</v>
      </c>
      <c r="E4846" s="1"/>
      <c r="F4846" s="29">
        <v>46284</v>
      </c>
      <c r="G4846" s="29">
        <v>46284</v>
      </c>
      <c r="H4846" s="1" t="s">
        <v>1625</v>
      </c>
      <c r="I4846" s="251" t="s">
        <v>10754</v>
      </c>
      <c r="J4846" s="175">
        <v>52846509983</v>
      </c>
      <c r="K4846" s="188" t="s">
        <v>10755</v>
      </c>
      <c r="L4846" s="242">
        <v>2</v>
      </c>
      <c r="M4846" s="243">
        <v>3131201818</v>
      </c>
      <c r="N4846" s="171" t="s">
        <v>47</v>
      </c>
      <c r="O4846" s="52">
        <v>40528.559999999998</v>
      </c>
      <c r="P4846" s="52">
        <v>11724.56</v>
      </c>
      <c r="Q4846" s="256">
        <f>OfficeForms.Table[[#This Row],[ INFORMEDEPAGO ]]*0.3</f>
        <v>12158.567999999999</v>
      </c>
      <c r="R4846" s="43">
        <f t="shared" si="410"/>
        <v>434.00799999999981</v>
      </c>
      <c r="S4846" s="74">
        <v>46753</v>
      </c>
      <c r="T4846" s="1" t="s">
        <v>7516</v>
      </c>
      <c r="U4846" s="52">
        <v>11724.56</v>
      </c>
      <c r="V4846" s="1"/>
    </row>
    <row r="4847" spans="1:23">
      <c r="A4847">
        <v>3283</v>
      </c>
      <c r="B4847" s="2">
        <v>46284.492650462998</v>
      </c>
      <c r="C4847" s="2">
        <v>46284.493240740703</v>
      </c>
      <c r="D4847" s="1" t="s">
        <v>24</v>
      </c>
      <c r="E4847" s="1"/>
      <c r="F4847" s="29">
        <v>46284</v>
      </c>
      <c r="G4847" s="29">
        <v>46283</v>
      </c>
      <c r="H4847" s="1" t="s">
        <v>269</v>
      </c>
      <c r="I4847" s="251" t="s">
        <v>10756</v>
      </c>
      <c r="J4847" s="175"/>
      <c r="K4847" s="188" t="s">
        <v>10757</v>
      </c>
      <c r="L4847" s="242">
        <v>24645856</v>
      </c>
      <c r="M4847" s="243">
        <v>5215545141722</v>
      </c>
      <c r="N4847" s="171" t="s">
        <v>130</v>
      </c>
      <c r="O4847" s="43">
        <v>4604.68</v>
      </c>
      <c r="P4847" s="43">
        <v>380</v>
      </c>
      <c r="Q4847" s="256">
        <f>OfficeForms.Table[[#This Row],[ INFORMEDEPAGO ]]*0.3</f>
        <v>1381.404</v>
      </c>
      <c r="R4847" s="43">
        <f>(IF(O4847&lt;4172.98,0,MIN(O4847*0.3,O4847-4172.98)))-P4847</f>
        <v>51.700000000000728</v>
      </c>
      <c r="S4847" s="74">
        <v>45839</v>
      </c>
      <c r="T4847" s="1" t="s">
        <v>7516</v>
      </c>
      <c r="U4847" s="43">
        <v>380</v>
      </c>
      <c r="V4847" s="1" t="s">
        <v>8233</v>
      </c>
      <c r="W4847" s="29">
        <v>46284</v>
      </c>
    </row>
    <row r="4848" spans="1:23">
      <c r="A4848">
        <v>3284</v>
      </c>
      <c r="B4848" s="2">
        <v>46284.480497685203</v>
      </c>
      <c r="C4848" s="2">
        <v>46284.4994560185</v>
      </c>
      <c r="D4848" s="1" t="s">
        <v>24</v>
      </c>
      <c r="E4848" s="1"/>
      <c r="F4848" s="29">
        <v>46284</v>
      </c>
      <c r="G4848" s="29">
        <v>46284</v>
      </c>
      <c r="H4848" s="1" t="s">
        <v>51</v>
      </c>
      <c r="I4848" s="251" t="s">
        <v>10758</v>
      </c>
      <c r="J4848" s="175"/>
      <c r="K4848" s="188" t="s">
        <v>10759</v>
      </c>
      <c r="L4848" s="242">
        <v>24660712</v>
      </c>
      <c r="M4848" s="243">
        <v>5219994099040</v>
      </c>
      <c r="N4848" s="171" t="s">
        <v>263</v>
      </c>
      <c r="O4848" s="43">
        <v>24733.74</v>
      </c>
      <c r="P4848" s="43">
        <v>6479.56</v>
      </c>
      <c r="Q4848" s="256">
        <f>OfficeForms.Table[[#This Row],[ INFORMEDEPAGO ]]*0.3</f>
        <v>7420.1220000000003</v>
      </c>
      <c r="R4848" s="43">
        <f>(IF(O4848&lt;4172.98,0,MIN(O4848*0.3,O4848-4172.98)))-P4848</f>
        <v>940.5619999999999</v>
      </c>
      <c r="S4848" s="74">
        <v>46266</v>
      </c>
      <c r="T4848" s="1" t="s">
        <v>10760</v>
      </c>
      <c r="U4848" s="43">
        <v>6479.56</v>
      </c>
      <c r="V4848" s="1" t="s">
        <v>8291</v>
      </c>
      <c r="W4848" s="29">
        <v>46284</v>
      </c>
    </row>
    <row r="4849" spans="1:23">
      <c r="A4849">
        <v>3285</v>
      </c>
      <c r="B4849" s="2">
        <v>46284.486342592601</v>
      </c>
      <c r="C4849" s="2">
        <v>46284.502824074101</v>
      </c>
      <c r="D4849" s="1" t="s">
        <v>24</v>
      </c>
      <c r="E4849" s="1"/>
      <c r="F4849" s="29">
        <v>46284</v>
      </c>
      <c r="G4849" s="29">
        <v>46283</v>
      </c>
      <c r="H4849" s="1" t="s">
        <v>78</v>
      </c>
      <c r="I4849" s="251"/>
      <c r="J4849" s="175">
        <v>56886729385</v>
      </c>
      <c r="K4849" s="188"/>
      <c r="L4849" s="242">
        <v>24646198</v>
      </c>
      <c r="M4849" s="243">
        <v>5213324070149</v>
      </c>
      <c r="N4849" s="171" t="s">
        <v>263</v>
      </c>
      <c r="O4849" s="43">
        <v>5819.95</v>
      </c>
      <c r="P4849" s="43">
        <v>1523.56</v>
      </c>
      <c r="Q4849" s="256">
        <f>OfficeForms.Table[[#This Row],[ INFORMEDEPAGO ]]*0.3</f>
        <v>1745.9849999999999</v>
      </c>
      <c r="R4849" s="43">
        <f>(IF(O4849&lt;4172.98,0,MIN(O4849*0.3,O4849-4172.98)))-P4849</f>
        <v>123.41000000000031</v>
      </c>
      <c r="S4849" s="74">
        <v>46235</v>
      </c>
      <c r="T4849" s="1" t="s">
        <v>192</v>
      </c>
      <c r="U4849" s="43">
        <v>1523.56</v>
      </c>
      <c r="V4849" s="1" t="s">
        <v>8291</v>
      </c>
      <c r="W4849" s="29">
        <v>46284</v>
      </c>
    </row>
    <row r="4850" spans="1:23">
      <c r="A4850">
        <v>3286</v>
      </c>
      <c r="B4850" s="2">
        <v>46284.503101851798</v>
      </c>
      <c r="C4850" s="2">
        <v>46284.505231481497</v>
      </c>
      <c r="D4850" s="1" t="s">
        <v>24</v>
      </c>
      <c r="E4850" s="1"/>
      <c r="F4850" s="29">
        <v>46284</v>
      </c>
      <c r="G4850" s="29">
        <v>46284</v>
      </c>
      <c r="H4850" s="1" t="s">
        <v>269</v>
      </c>
      <c r="I4850" s="251" t="s">
        <v>10761</v>
      </c>
      <c r="J4850" s="175"/>
      <c r="K4850" s="188" t="s">
        <v>10762</v>
      </c>
      <c r="L4850" s="242">
        <v>24660976</v>
      </c>
      <c r="M4850" s="243">
        <v>5219992169431</v>
      </c>
      <c r="N4850" s="171" t="s">
        <v>37</v>
      </c>
      <c r="O4850" s="43">
        <v>9081.52</v>
      </c>
      <c r="P4850" s="43">
        <v>2723.76</v>
      </c>
      <c r="Q4850" s="256">
        <f>OfficeForms.Table[[#This Row],[ INFORMEDEPAGO ]]*0.3</f>
        <v>2724.4560000000001</v>
      </c>
      <c r="R4850" s="43">
        <f>(IF(O4850&lt;4172.98,0,MIN(O4850*0.3,O4850-4172.98)))-P4850</f>
        <v>0.69599999999991269</v>
      </c>
      <c r="S4850" s="74">
        <v>46296</v>
      </c>
      <c r="T4850" s="1" t="s">
        <v>8452</v>
      </c>
      <c r="U4850" s="97">
        <v>2521.27</v>
      </c>
      <c r="V4850" s="1"/>
    </row>
    <row r="4851" spans="1:23">
      <c r="A4851">
        <v>3287</v>
      </c>
      <c r="B4851" s="2">
        <v>46284.514166666697</v>
      </c>
      <c r="C4851" s="2">
        <v>46284.5153125</v>
      </c>
      <c r="D4851" s="1" t="s">
        <v>24</v>
      </c>
      <c r="E4851" s="1"/>
      <c r="F4851" s="29">
        <v>46284</v>
      </c>
      <c r="G4851" s="29">
        <v>46284</v>
      </c>
      <c r="H4851" s="1" t="s">
        <v>269</v>
      </c>
      <c r="I4851" s="251" t="s">
        <v>10763</v>
      </c>
      <c r="J4851" s="175"/>
      <c r="K4851" s="188" t="s">
        <v>10764</v>
      </c>
      <c r="L4851" s="242">
        <v>24660770</v>
      </c>
      <c r="M4851" s="243">
        <v>5218713637555</v>
      </c>
      <c r="N4851" s="171" t="s">
        <v>28</v>
      </c>
      <c r="O4851" s="50">
        <v>9760.3700000000008</v>
      </c>
      <c r="P4851" s="97"/>
      <c r="Q4851" s="256">
        <f>OfficeForms.Table[[#This Row],[ INFORMEDEPAGO ]]*0.3</f>
        <v>2928.1110000000003</v>
      </c>
      <c r="R4851" s="43">
        <f>(IF(O4851&lt;4172.98,0,MIN(O4851*0.3,O4851-4172.98)))-P4851</f>
        <v>2928.1110000000003</v>
      </c>
      <c r="T4851" s="1"/>
      <c r="U4851" s="97"/>
      <c r="V4851" s="1" t="s">
        <v>8436</v>
      </c>
      <c r="W4851" s="29">
        <v>46284</v>
      </c>
    </row>
    <row r="4852" spans="1:23">
      <c r="A4852">
        <v>3288</v>
      </c>
      <c r="B4852" s="2">
        <v>46284.5301273148</v>
      </c>
      <c r="C4852" s="2">
        <v>46284.530821759297</v>
      </c>
      <c r="D4852" s="1" t="s">
        <v>24</v>
      </c>
      <c r="E4852" s="1"/>
      <c r="F4852" s="29">
        <v>46284</v>
      </c>
      <c r="G4852" s="29">
        <v>46282</v>
      </c>
      <c r="H4852" s="1" t="s">
        <v>269</v>
      </c>
      <c r="I4852" s="251" t="s">
        <v>10765</v>
      </c>
      <c r="J4852" s="175"/>
      <c r="K4852" s="188" t="s">
        <v>10766</v>
      </c>
      <c r="L4852" s="242">
        <v>24562668</v>
      </c>
      <c r="M4852" s="243">
        <v>5218123293238</v>
      </c>
      <c r="N4852" s="171" t="s">
        <v>106</v>
      </c>
      <c r="O4852" s="52">
        <v>47214.66</v>
      </c>
      <c r="P4852" s="52">
        <v>12765.19</v>
      </c>
      <c r="Q4852" s="256">
        <f>OfficeForms.Table[[#This Row],[ INFORMEDEPAGO ]]*0.3</f>
        <v>14164.398000000001</v>
      </c>
      <c r="R4852" s="43">
        <f t="shared" ref="R4852:R4854" si="411">(IF(O4852&lt;4172.98,0,MIN(O4852*0.3,O4852-4172.98)))-P4852</f>
        <v>1399.2080000000005</v>
      </c>
      <c r="S4852" s="74">
        <v>46235</v>
      </c>
      <c r="T4852" s="1" t="s">
        <v>7516</v>
      </c>
      <c r="U4852" s="97">
        <v>1433.22</v>
      </c>
      <c r="V4852" s="1" t="s">
        <v>8328</v>
      </c>
      <c r="W4852" s="29">
        <v>46284</v>
      </c>
    </row>
    <row r="4853" spans="1:23">
      <c r="A4853">
        <v>3289</v>
      </c>
      <c r="B4853" s="2">
        <v>46284.503483796303</v>
      </c>
      <c r="C4853" s="2">
        <v>46284.533287036997</v>
      </c>
      <c r="D4853" s="1" t="s">
        <v>24</v>
      </c>
      <c r="E4853" s="1"/>
      <c r="F4853" s="29">
        <v>46284</v>
      </c>
      <c r="G4853" s="29">
        <v>46284</v>
      </c>
      <c r="H4853" s="1" t="s">
        <v>78</v>
      </c>
      <c r="I4853" s="251" t="s">
        <v>10767</v>
      </c>
      <c r="J4853" s="175">
        <v>82877203644</v>
      </c>
      <c r="K4853" s="188" t="s">
        <v>10768</v>
      </c>
      <c r="L4853" s="242">
        <v>24659740</v>
      </c>
      <c r="M4853" s="243">
        <v>5219983032059</v>
      </c>
      <c r="N4853" s="171" t="s">
        <v>37</v>
      </c>
      <c r="O4853" s="52">
        <v>5055.87</v>
      </c>
      <c r="P4853" s="52">
        <v>1300</v>
      </c>
      <c r="Q4853" s="256">
        <f>OfficeForms.Table[[#This Row],[ INFORMEDEPAGO ]]*0.3</f>
        <v>1516.761</v>
      </c>
      <c r="R4853" s="43">
        <f t="shared" si="411"/>
        <v>-417.10999999999967</v>
      </c>
      <c r="S4853" s="74">
        <v>46935</v>
      </c>
      <c r="T4853" s="1" t="s">
        <v>7209</v>
      </c>
      <c r="U4853" s="52">
        <v>1300</v>
      </c>
      <c r="V4853" s="1"/>
    </row>
    <row r="4854" spans="1:23">
      <c r="A4854">
        <v>3290</v>
      </c>
      <c r="B4854" s="2">
        <v>46284.529710648101</v>
      </c>
      <c r="C4854" s="2">
        <v>46284.533819444398</v>
      </c>
      <c r="D4854" s="1" t="s">
        <v>24</v>
      </c>
      <c r="E4854" s="1"/>
      <c r="F4854" s="29">
        <v>46284</v>
      </c>
      <c r="G4854" s="29">
        <v>46284</v>
      </c>
      <c r="H4854" s="1" t="s">
        <v>78</v>
      </c>
      <c r="I4854" s="251" t="s">
        <v>10769</v>
      </c>
      <c r="J4854" s="175"/>
      <c r="K4854" s="188" t="s">
        <v>10770</v>
      </c>
      <c r="L4854" s="242">
        <v>24659888</v>
      </c>
      <c r="M4854" s="243">
        <v>5215669528935</v>
      </c>
      <c r="N4854" s="171" t="s">
        <v>106</v>
      </c>
      <c r="O4854" s="52">
        <v>6262.86</v>
      </c>
      <c r="P4854" s="52">
        <v>1539.17</v>
      </c>
      <c r="Q4854" s="256">
        <f>OfficeForms.Table[[#This Row],[ INFORMEDEPAGO ]]*0.3</f>
        <v>1878.8579999999997</v>
      </c>
      <c r="R4854" s="43">
        <f t="shared" si="411"/>
        <v>339.68799999999965</v>
      </c>
      <c r="S4854" s="74">
        <v>45566</v>
      </c>
      <c r="T4854" s="1" t="s">
        <v>9857</v>
      </c>
      <c r="U4854" s="52">
        <v>1539.17</v>
      </c>
      <c r="V4854" s="1" t="s">
        <v>8256</v>
      </c>
      <c r="W4854" s="29">
        <v>46284</v>
      </c>
    </row>
    <row r="4855" spans="1:23">
      <c r="A4855">
        <v>3291</v>
      </c>
      <c r="B4855" s="2">
        <v>46284.499479166698</v>
      </c>
      <c r="C4855" s="2">
        <v>46284.5383449074</v>
      </c>
      <c r="D4855" s="1" t="s">
        <v>24</v>
      </c>
      <c r="E4855" s="1"/>
      <c r="F4855" s="29">
        <v>46284</v>
      </c>
      <c r="G4855" s="29">
        <v>46284</v>
      </c>
      <c r="H4855" s="1" t="s">
        <v>51</v>
      </c>
      <c r="I4855" s="251" t="s">
        <v>10771</v>
      </c>
      <c r="J4855" s="175">
        <v>32745432180</v>
      </c>
      <c r="K4855" s="188" t="s">
        <v>10772</v>
      </c>
      <c r="L4855" s="242">
        <v>24660812</v>
      </c>
      <c r="M4855" s="243">
        <v>5214443018610</v>
      </c>
      <c r="N4855" s="171" t="s">
        <v>37</v>
      </c>
      <c r="O4855" s="52">
        <v>5770.32</v>
      </c>
      <c r="P4855" s="52">
        <v>1668.26</v>
      </c>
      <c r="Q4855" s="256">
        <f>OfficeForms.Table[[#This Row],[ INFORMEDEPAGO ]]*0.3</f>
        <v>1731.0959999999998</v>
      </c>
      <c r="R4855" s="43">
        <f t="shared" ref="R4855:R4856" si="412">(IF(O4855&lt;4172.98,0,MIN(O4855*0.3,O4855-4172.98)))-P4855</f>
        <v>-70.919999999999845</v>
      </c>
      <c r="S4855" s="74">
        <v>46631</v>
      </c>
      <c r="T4855" s="1" t="s">
        <v>8319</v>
      </c>
      <c r="U4855" s="52">
        <v>1668.26</v>
      </c>
      <c r="V4855" s="1"/>
    </row>
    <row r="4856" spans="1:23">
      <c r="A4856">
        <v>3292</v>
      </c>
      <c r="B4856" s="2">
        <v>46284.462303240703</v>
      </c>
      <c r="C4856" s="2">
        <v>46284.542129629597</v>
      </c>
      <c r="D4856" s="1" t="s">
        <v>24</v>
      </c>
      <c r="E4856" s="1"/>
      <c r="F4856" s="29">
        <v>46284</v>
      </c>
      <c r="G4856" s="29">
        <v>46284</v>
      </c>
      <c r="H4856" s="1" t="s">
        <v>8381</v>
      </c>
      <c r="I4856" s="251" t="s">
        <v>10773</v>
      </c>
      <c r="J4856" s="175"/>
      <c r="K4856" s="188" t="s">
        <v>10774</v>
      </c>
      <c r="L4856" s="242">
        <v>24659478</v>
      </c>
      <c r="M4856" s="243">
        <v>5214381179859</v>
      </c>
      <c r="N4856" s="171" t="s">
        <v>130</v>
      </c>
      <c r="O4856" s="52">
        <v>8190.07</v>
      </c>
      <c r="P4856" s="52">
        <v>2369.58</v>
      </c>
      <c r="Q4856" s="256">
        <f>OfficeForms.Table[[#This Row],[ INFORMEDEPAGO ]]*0.3</f>
        <v>2457.0209999999997</v>
      </c>
      <c r="R4856" s="43">
        <f t="shared" si="412"/>
        <v>87.440999999999804</v>
      </c>
      <c r="S4856" s="74">
        <v>46113</v>
      </c>
      <c r="T4856" s="1" t="s">
        <v>10775</v>
      </c>
      <c r="U4856" s="52">
        <v>549.28</v>
      </c>
      <c r="V4856" s="1" t="s">
        <v>8233</v>
      </c>
      <c r="W4856" s="29">
        <v>46284</v>
      </c>
    </row>
    <row r="4857" spans="1:23">
      <c r="A4857">
        <v>3293</v>
      </c>
      <c r="B4857" s="2">
        <v>46284.538402777798</v>
      </c>
      <c r="C4857" s="2">
        <v>46284.592465277798</v>
      </c>
      <c r="D4857" s="1" t="s">
        <v>24</v>
      </c>
      <c r="E4857" s="1"/>
      <c r="F4857" s="29">
        <v>46284</v>
      </c>
      <c r="G4857" s="29">
        <v>46284</v>
      </c>
      <c r="H4857" s="1" t="s">
        <v>51</v>
      </c>
      <c r="I4857" s="251" t="s">
        <v>10776</v>
      </c>
      <c r="J4857" s="175" t="s">
        <v>10777</v>
      </c>
      <c r="K4857" s="188" t="s">
        <v>10778</v>
      </c>
      <c r="L4857" s="242">
        <v>24662274</v>
      </c>
      <c r="M4857" s="243">
        <v>5212294640698</v>
      </c>
      <c r="N4857" s="259" t="s">
        <v>37</v>
      </c>
      <c r="O4857" s="43">
        <v>8939.7900000000009</v>
      </c>
      <c r="P4857" s="43">
        <v>2525.15</v>
      </c>
      <c r="Q4857" s="256">
        <f>OfficeForms.Table[[#This Row],[ INFORMEDEPAGO ]]*0.3</f>
        <v>2681.9370000000004</v>
      </c>
      <c r="R4857" s="43">
        <f>(IF(O4857&lt;4172.98,0,MIN(O4857*0.3,O4857-4172.98)))-P4857</f>
        <v>156.78700000000026</v>
      </c>
      <c r="S4857" s="74">
        <v>46447</v>
      </c>
      <c r="T4857" s="1" t="s">
        <v>10779</v>
      </c>
      <c r="U4857" s="99">
        <v>2105.15</v>
      </c>
      <c r="V4857" s="1"/>
    </row>
    <row r="4858" spans="1:23">
      <c r="A4858">
        <v>3294</v>
      </c>
      <c r="B4858" s="2">
        <v>46284.618194444403</v>
      </c>
      <c r="C4858" s="2">
        <v>46284.6188541667</v>
      </c>
      <c r="D4858" s="1" t="s">
        <v>24</v>
      </c>
      <c r="E4858" s="1"/>
      <c r="F4858" s="29">
        <v>46284</v>
      </c>
      <c r="G4858" s="29">
        <v>46284</v>
      </c>
      <c r="H4858" s="1" t="s">
        <v>269</v>
      </c>
      <c r="I4858" s="251" t="s">
        <v>10780</v>
      </c>
      <c r="J4858" s="207" t="s">
        <v>10781</v>
      </c>
      <c r="K4858" s="188" t="s">
        <v>10782</v>
      </c>
      <c r="L4858" s="242">
        <v>24662622</v>
      </c>
      <c r="M4858" s="243">
        <v>5213121457442</v>
      </c>
      <c r="N4858" s="171" t="s">
        <v>37</v>
      </c>
      <c r="O4858" s="67">
        <f>7447.34+3189.2</f>
        <v>10636.54</v>
      </c>
      <c r="P4858" s="99">
        <v>3189.2</v>
      </c>
      <c r="Q4858" s="256">
        <f>OfficeForms.Table[[#This Row],[ INFORMEDEPAGO ]]*0.3</f>
        <v>3190.962</v>
      </c>
      <c r="R4858" s="43">
        <f t="shared" ref="R4858:R4890" si="413">(IF(O4858&lt;4172.98,0,MIN(O4858*0.3,O4858-4172.98)))-P4858</f>
        <v>1.762000000000171</v>
      </c>
      <c r="S4858" s="74">
        <v>46844</v>
      </c>
      <c r="T4858" s="1" t="s">
        <v>192</v>
      </c>
      <c r="U4858" s="99">
        <v>318920</v>
      </c>
      <c r="V4858" s="1"/>
    </row>
    <row r="4859" spans="1:23">
      <c r="A4859">
        <v>3295</v>
      </c>
      <c r="B4859" s="2">
        <v>46284.542164351798</v>
      </c>
      <c r="C4859" s="2">
        <v>46284.6419328704</v>
      </c>
      <c r="D4859" s="1" t="s">
        <v>24</v>
      </c>
      <c r="E4859" s="1"/>
      <c r="F4859" s="29">
        <v>46284</v>
      </c>
      <c r="G4859" s="29">
        <v>46284</v>
      </c>
      <c r="H4859" s="1" t="s">
        <v>8381</v>
      </c>
      <c r="I4859" s="251" t="s">
        <v>10783</v>
      </c>
      <c r="J4859" s="207"/>
      <c r="K4859" s="188" t="s">
        <v>10784</v>
      </c>
      <c r="L4859" s="242">
        <v>24662326</v>
      </c>
      <c r="M4859" s="243">
        <v>5219371707707</v>
      </c>
      <c r="N4859" s="171" t="s">
        <v>28</v>
      </c>
      <c r="O4859" s="67">
        <v>5617.63</v>
      </c>
      <c r="P4859" s="99"/>
      <c r="Q4859" s="256">
        <f>OfficeForms.Table[[#This Row],[ INFORMEDEPAGO ]]*0.3</f>
        <v>1685.289</v>
      </c>
      <c r="R4859" s="43">
        <f t="shared" si="413"/>
        <v>1444.6500000000005</v>
      </c>
      <c r="T4859" s="1"/>
      <c r="U4859" s="99"/>
      <c r="V4859" s="1" t="s">
        <v>8316</v>
      </c>
      <c r="W4859" s="29">
        <v>46286</v>
      </c>
    </row>
    <row r="4860" spans="1:23">
      <c r="A4860">
        <v>3296</v>
      </c>
      <c r="B4860" s="2">
        <v>46284.5924884259</v>
      </c>
      <c r="C4860" s="2">
        <v>46284.653645833299</v>
      </c>
      <c r="D4860" s="1" t="s">
        <v>24</v>
      </c>
      <c r="E4860" s="1"/>
      <c r="F4860" s="29">
        <v>46284</v>
      </c>
      <c r="G4860" s="29">
        <v>46284</v>
      </c>
      <c r="H4860" s="1" t="s">
        <v>51</v>
      </c>
      <c r="I4860" s="251" t="s">
        <v>10785</v>
      </c>
      <c r="J4860" s="207"/>
      <c r="K4860" s="188" t="s">
        <v>10786</v>
      </c>
      <c r="L4860" s="242">
        <v>24663178</v>
      </c>
      <c r="M4860" s="243">
        <v>5218677279347</v>
      </c>
      <c r="N4860" s="171" t="s">
        <v>28</v>
      </c>
      <c r="O4860" s="67">
        <v>7116.7330000000002</v>
      </c>
      <c r="P4860" s="99"/>
      <c r="Q4860" s="256">
        <f>OfficeForms.Table[[#This Row],[ INFORMEDEPAGO ]]*0.3</f>
        <v>2135.0198999999998</v>
      </c>
      <c r="R4860" s="43">
        <f t="shared" si="413"/>
        <v>2135.0198999999998</v>
      </c>
      <c r="T4860" s="1"/>
      <c r="U4860" s="99"/>
      <c r="V4860" s="1" t="s">
        <v>8915</v>
      </c>
      <c r="W4860" s="29">
        <v>46286</v>
      </c>
    </row>
    <row r="4861" spans="1:23">
      <c r="A4861">
        <v>3297</v>
      </c>
      <c r="B4861" s="2">
        <v>46284.641956018502</v>
      </c>
      <c r="C4861" s="2">
        <v>46284.660011574102</v>
      </c>
      <c r="D4861" s="1" t="s">
        <v>24</v>
      </c>
      <c r="E4861" s="1"/>
      <c r="F4861" s="29">
        <v>46284</v>
      </c>
      <c r="G4861" s="29">
        <v>46284</v>
      </c>
      <c r="H4861" s="1" t="s">
        <v>8381</v>
      </c>
      <c r="I4861" s="251" t="s">
        <v>10787</v>
      </c>
      <c r="J4861" s="207"/>
      <c r="K4861" s="188" t="s">
        <v>10788</v>
      </c>
      <c r="L4861" s="242">
        <v>24663452</v>
      </c>
      <c r="M4861" s="243">
        <v>5216621286508</v>
      </c>
      <c r="N4861" s="171" t="s">
        <v>106</v>
      </c>
      <c r="O4861" s="67">
        <f>4453.21+1276.48</f>
        <v>5729.6900000000005</v>
      </c>
      <c r="P4861" s="99">
        <v>1276.48</v>
      </c>
      <c r="Q4861" s="256">
        <f>OfficeForms.Table[[#This Row],[ INFORMEDEPAGO ]]*0.3</f>
        <v>1718.9070000000002</v>
      </c>
      <c r="R4861" s="43">
        <f t="shared" si="413"/>
        <v>280.23000000000093</v>
      </c>
      <c r="S4861" s="74">
        <v>45536</v>
      </c>
      <c r="T4861" s="1" t="s">
        <v>8319</v>
      </c>
      <c r="U4861" s="99">
        <v>1276.48</v>
      </c>
      <c r="V4861" s="1" t="s">
        <v>8936</v>
      </c>
      <c r="W4861" s="29">
        <v>46286</v>
      </c>
    </row>
    <row r="4862" spans="1:23">
      <c r="A4862">
        <v>3298</v>
      </c>
      <c r="B4862" s="2">
        <v>46284.653657407398</v>
      </c>
      <c r="C4862" s="2">
        <v>46284.663101851896</v>
      </c>
      <c r="D4862" s="1" t="s">
        <v>24</v>
      </c>
      <c r="E4862" s="1"/>
      <c r="F4862" s="29">
        <v>46284</v>
      </c>
      <c r="G4862" s="29">
        <v>46284</v>
      </c>
      <c r="H4862" s="1" t="s">
        <v>51</v>
      </c>
      <c r="I4862" s="251" t="s">
        <v>10789</v>
      </c>
      <c r="J4862" s="207"/>
      <c r="K4862" s="188" t="s">
        <v>10790</v>
      </c>
      <c r="L4862" s="242">
        <v>24652208</v>
      </c>
      <c r="M4862" s="243">
        <v>5218715711384</v>
      </c>
      <c r="N4862" s="171" t="s">
        <v>32</v>
      </c>
      <c r="O4862" s="67">
        <f>3031.3+848</f>
        <v>3879.3</v>
      </c>
      <c r="P4862" s="99">
        <v>848</v>
      </c>
      <c r="Q4862" s="256">
        <f>OfficeForms.Table[[#This Row],[ INFORMEDEPAGO ]]*0.3</f>
        <v>1163.79</v>
      </c>
      <c r="R4862" s="43">
        <f t="shared" si="413"/>
        <v>-848</v>
      </c>
      <c r="T4862" s="1"/>
      <c r="U4862" s="99"/>
      <c r="V4862" s="1"/>
    </row>
    <row r="4863" spans="1:23">
      <c r="A4863">
        <v>3299</v>
      </c>
      <c r="B4863" s="2">
        <v>46284.663113425901</v>
      </c>
      <c r="C4863" s="2">
        <v>46284.6691319444</v>
      </c>
      <c r="D4863" s="1" t="s">
        <v>24</v>
      </c>
      <c r="E4863" s="1"/>
      <c r="F4863" s="29">
        <v>46284</v>
      </c>
      <c r="G4863" s="29">
        <v>46284</v>
      </c>
      <c r="H4863" s="1" t="s">
        <v>51</v>
      </c>
      <c r="I4863" s="251" t="s">
        <v>10791</v>
      </c>
      <c r="J4863" s="207"/>
      <c r="K4863" s="188" t="s">
        <v>10792</v>
      </c>
      <c r="L4863" s="242">
        <v>24663042</v>
      </c>
      <c r="M4863" s="243">
        <v>5217891004992</v>
      </c>
      <c r="N4863" s="171" t="s">
        <v>28</v>
      </c>
      <c r="O4863" s="67">
        <v>24929.67</v>
      </c>
      <c r="P4863" s="99"/>
      <c r="Q4863" s="256">
        <f>OfficeForms.Table[[#This Row],[ INFORMEDEPAGO ]]*0.3</f>
        <v>7478.9009999999989</v>
      </c>
      <c r="R4863" s="43">
        <f t="shared" si="413"/>
        <v>7478.9009999999989</v>
      </c>
      <c r="T4863" s="1"/>
      <c r="U4863" s="99"/>
      <c r="V4863" s="1" t="s">
        <v>9777</v>
      </c>
      <c r="W4863" s="29">
        <v>46286</v>
      </c>
    </row>
    <row r="4864" spans="1:23">
      <c r="A4864">
        <v>3300</v>
      </c>
      <c r="B4864" s="2">
        <v>46284.689710648097</v>
      </c>
      <c r="C4864" s="2">
        <v>46284.693229166704</v>
      </c>
      <c r="D4864" s="1" t="s">
        <v>24</v>
      </c>
      <c r="E4864" s="1"/>
      <c r="F4864" s="29">
        <v>46284</v>
      </c>
      <c r="G4864" s="29">
        <v>46284</v>
      </c>
      <c r="H4864" s="1" t="s">
        <v>8028</v>
      </c>
      <c r="I4864" s="251" t="s">
        <v>10793</v>
      </c>
      <c r="J4864" s="207">
        <v>31846624265</v>
      </c>
      <c r="K4864" s="188" t="s">
        <v>10794</v>
      </c>
      <c r="L4864" s="242">
        <v>24663940</v>
      </c>
      <c r="M4864" s="243">
        <v>5216182161770</v>
      </c>
      <c r="N4864" s="171" t="s">
        <v>37</v>
      </c>
      <c r="O4864" s="67">
        <v>9926.1200000000008</v>
      </c>
      <c r="P4864" s="99">
        <v>2977.14</v>
      </c>
      <c r="Q4864" s="256">
        <f>OfficeForms.Table[[#This Row],[ INFORMEDEPAGO ]]*0.3</f>
        <v>2977.8360000000002</v>
      </c>
      <c r="R4864" s="43">
        <f t="shared" si="413"/>
        <v>0.69600000000036744</v>
      </c>
      <c r="S4864" s="74">
        <v>46905</v>
      </c>
      <c r="T4864" s="1" t="s">
        <v>259</v>
      </c>
      <c r="U4864" s="99">
        <v>2977.14</v>
      </c>
      <c r="V4864" s="1"/>
    </row>
    <row r="4865" spans="1:23">
      <c r="A4865">
        <v>3301</v>
      </c>
      <c r="B4865" s="2">
        <v>46284.701388888898</v>
      </c>
      <c r="C4865" s="2">
        <v>46284.705543981501</v>
      </c>
      <c r="D4865" s="1" t="s">
        <v>24</v>
      </c>
      <c r="E4865" s="1"/>
      <c r="F4865" s="29">
        <v>46284</v>
      </c>
      <c r="G4865" s="29">
        <v>46282</v>
      </c>
      <c r="H4865" s="1" t="s">
        <v>78</v>
      </c>
      <c r="I4865" s="251" t="s">
        <v>10795</v>
      </c>
      <c r="J4865" s="207">
        <v>3376593308</v>
      </c>
      <c r="K4865" s="188" t="s">
        <v>10796</v>
      </c>
      <c r="L4865" s="242">
        <v>24560966</v>
      </c>
      <c r="M4865" s="243">
        <v>5216141760640</v>
      </c>
      <c r="N4865" s="171" t="s">
        <v>28</v>
      </c>
      <c r="O4865" s="67">
        <f>24620.77+1191.37</f>
        <v>25812.14</v>
      </c>
      <c r="P4865" s="99">
        <v>1191.3699999999999</v>
      </c>
      <c r="Q4865" s="256">
        <f>OfficeForms.Table[[#This Row],[ INFORMEDEPAGO ]]*0.3</f>
        <v>7743.6419999999998</v>
      </c>
      <c r="R4865" s="43">
        <f t="shared" si="413"/>
        <v>6552.2719999999999</v>
      </c>
      <c r="S4865" s="74">
        <v>46905</v>
      </c>
      <c r="T4865" s="1" t="s">
        <v>7209</v>
      </c>
      <c r="U4865" s="99">
        <v>1191.3699999999999</v>
      </c>
      <c r="V4865" s="1" t="s">
        <v>8716</v>
      </c>
      <c r="W4865" s="29">
        <v>46286</v>
      </c>
    </row>
    <row r="4866" spans="1:23">
      <c r="A4866">
        <v>3302</v>
      </c>
      <c r="B4866" s="2">
        <v>46284.706863425898</v>
      </c>
      <c r="C4866" s="2">
        <v>46284.707349536999</v>
      </c>
      <c r="D4866" s="1" t="s">
        <v>24</v>
      </c>
      <c r="E4866" s="1"/>
      <c r="F4866" s="29">
        <v>46284</v>
      </c>
      <c r="G4866" s="29">
        <v>46283</v>
      </c>
      <c r="H4866" s="1" t="s">
        <v>269</v>
      </c>
      <c r="I4866" s="251" t="s">
        <v>10797</v>
      </c>
      <c r="J4866" s="207"/>
      <c r="K4866" s="188" t="s">
        <v>10798</v>
      </c>
      <c r="L4866" s="242">
        <v>24648992</v>
      </c>
      <c r="M4866" s="243">
        <v>5219993940010</v>
      </c>
      <c r="N4866" s="171" t="s">
        <v>28</v>
      </c>
      <c r="O4866" s="67">
        <v>7343.52</v>
      </c>
      <c r="P4866" s="99"/>
      <c r="Q4866" s="256">
        <f>OfficeForms.Table[[#This Row],[ INFORMEDEPAGO ]]*0.3</f>
        <v>2203.056</v>
      </c>
      <c r="R4866" s="43">
        <f t="shared" si="413"/>
        <v>2203.056</v>
      </c>
      <c r="T4866" s="1"/>
      <c r="U4866" s="99"/>
      <c r="V4866" s="1" t="s">
        <v>8436</v>
      </c>
      <c r="W4866" s="29">
        <v>46286</v>
      </c>
    </row>
    <row r="4867" spans="1:23">
      <c r="A4867">
        <v>3303</v>
      </c>
      <c r="B4867" s="2">
        <v>46284.709236111099</v>
      </c>
      <c r="C4867" s="2">
        <v>46284.717152777797</v>
      </c>
      <c r="D4867" s="1" t="s">
        <v>24</v>
      </c>
      <c r="E4867" s="1"/>
      <c r="F4867" s="29">
        <v>46284</v>
      </c>
      <c r="G4867" s="29">
        <v>46284</v>
      </c>
      <c r="H4867" s="1" t="s">
        <v>8028</v>
      </c>
      <c r="I4867" s="251" t="s">
        <v>10799</v>
      </c>
      <c r="J4867" s="207"/>
      <c r="K4867" s="188" t="s">
        <v>10800</v>
      </c>
      <c r="L4867" s="242">
        <v>24664610</v>
      </c>
      <c r="M4867" s="243">
        <v>5213310205764</v>
      </c>
      <c r="N4867" s="171" t="s">
        <v>28</v>
      </c>
      <c r="O4867" s="67">
        <f>18940.03+848</f>
        <v>19788.03</v>
      </c>
      <c r="P4867" s="99">
        <v>848</v>
      </c>
      <c r="Q4867" s="256">
        <f>OfficeForms.Table[[#This Row],[ INFORMEDEPAGO ]]*0.3</f>
        <v>5936.4089999999997</v>
      </c>
      <c r="R4867" s="43">
        <f t="shared" si="413"/>
        <v>5088.4089999999997</v>
      </c>
      <c r="T4867" s="1"/>
      <c r="U4867" s="99"/>
      <c r="V4867" s="1" t="s">
        <v>8535</v>
      </c>
      <c r="W4867" s="29">
        <v>46286</v>
      </c>
    </row>
    <row r="4868" spans="1:23">
      <c r="A4868">
        <v>3304</v>
      </c>
      <c r="B4868" s="2">
        <v>46284.7058217593</v>
      </c>
      <c r="C4868" s="2">
        <v>46284.718900462998</v>
      </c>
      <c r="D4868" s="1" t="s">
        <v>24</v>
      </c>
      <c r="E4868" s="1"/>
      <c r="F4868" s="29">
        <v>46284</v>
      </c>
      <c r="G4868" s="29">
        <v>46282</v>
      </c>
      <c r="H4868" s="1" t="s">
        <v>78</v>
      </c>
      <c r="I4868" s="251" t="s">
        <v>10801</v>
      </c>
      <c r="J4868" s="207"/>
      <c r="K4868" s="188" t="s">
        <v>10802</v>
      </c>
      <c r="L4868" s="242">
        <v>24561580</v>
      </c>
      <c r="M4868" s="243">
        <v>5216622247571</v>
      </c>
      <c r="N4868" s="185" t="s">
        <v>106</v>
      </c>
      <c r="O4868" s="67">
        <f>5819.4+2101.11</f>
        <v>7920.51</v>
      </c>
      <c r="P4868" s="99">
        <v>2101.11</v>
      </c>
      <c r="Q4868" s="256">
        <f>OfficeForms.Table[[#This Row],[ INFORMEDEPAGO ]]*0.3</f>
        <v>2376.1529999999998</v>
      </c>
      <c r="R4868" s="43">
        <f t="shared" si="413"/>
        <v>275.04299999999967</v>
      </c>
      <c r="S4868" s="74">
        <v>45962</v>
      </c>
      <c r="T4868" s="1" t="s">
        <v>7209</v>
      </c>
      <c r="U4868" s="99">
        <v>2101.11</v>
      </c>
      <c r="V4868" s="1" t="s">
        <v>8328</v>
      </c>
      <c r="W4868" s="29">
        <v>46286</v>
      </c>
    </row>
    <row r="4869" spans="1:23">
      <c r="A4869">
        <v>3305</v>
      </c>
      <c r="B4869" s="2">
        <v>46284.718946759298</v>
      </c>
      <c r="C4869" s="2">
        <v>46284.7254861111</v>
      </c>
      <c r="D4869" s="1" t="s">
        <v>24</v>
      </c>
      <c r="E4869" s="1"/>
      <c r="F4869" s="29">
        <v>46284</v>
      </c>
      <c r="G4869" s="29">
        <v>46284</v>
      </c>
      <c r="H4869" s="1" t="s">
        <v>78</v>
      </c>
      <c r="I4869" s="251" t="s">
        <v>10803</v>
      </c>
      <c r="J4869" s="207">
        <v>32877005515</v>
      </c>
      <c r="K4869" s="188" t="s">
        <v>10804</v>
      </c>
      <c r="L4869" s="242">
        <v>24660426</v>
      </c>
      <c r="M4869" s="243">
        <v>5218711145390</v>
      </c>
      <c r="N4869" s="185" t="s">
        <v>37</v>
      </c>
      <c r="O4869" s="67">
        <f>5974.9+2206.65</f>
        <v>8181.5499999999993</v>
      </c>
      <c r="P4869" s="99">
        <v>2206.65</v>
      </c>
      <c r="Q4869" s="256">
        <f>OfficeForms.Table[[#This Row],[ INFORMEDEPAGO ]]*0.3</f>
        <v>2454.4649999999997</v>
      </c>
      <c r="R4869" s="43">
        <f t="shared" si="413"/>
        <v>247.8149999999996</v>
      </c>
      <c r="S4869" s="74">
        <v>46905</v>
      </c>
      <c r="T4869" s="1" t="s">
        <v>178</v>
      </c>
      <c r="U4869" s="99">
        <v>2206.65</v>
      </c>
      <c r="V4869" s="1"/>
    </row>
    <row r="4870" spans="1:23">
      <c r="A4870">
        <v>3306</v>
      </c>
      <c r="B4870" s="2">
        <v>46284.725520833301</v>
      </c>
      <c r="C4870" s="2">
        <v>46284.729780092603</v>
      </c>
      <c r="D4870" s="1" t="s">
        <v>24</v>
      </c>
      <c r="E4870" s="1"/>
      <c r="F4870" s="29">
        <v>46284</v>
      </c>
      <c r="G4870" s="29">
        <v>46284</v>
      </c>
      <c r="H4870" s="1" t="s">
        <v>78</v>
      </c>
      <c r="I4870" s="251" t="s">
        <v>10805</v>
      </c>
      <c r="J4870" s="207">
        <v>31846205537</v>
      </c>
      <c r="K4870" s="188" t="s">
        <v>10806</v>
      </c>
      <c r="L4870" s="242">
        <v>24663518</v>
      </c>
      <c r="M4870" s="243">
        <v>5218714656322</v>
      </c>
      <c r="N4870" s="185" t="s">
        <v>106</v>
      </c>
      <c r="O4870" s="67">
        <f>9457.67+778.09+2856.9</f>
        <v>13092.66</v>
      </c>
      <c r="P4870" s="99">
        <f>778.03+2856.9</f>
        <v>3634.9300000000003</v>
      </c>
      <c r="Q4870" s="256">
        <f>OfficeForms.Table[[#This Row],[ INFORMEDEPAGO ]]*0.3</f>
        <v>3927.7979999999998</v>
      </c>
      <c r="R4870" s="43">
        <f t="shared" si="413"/>
        <v>292.86799999999948</v>
      </c>
      <c r="S4870" s="74">
        <v>46082</v>
      </c>
      <c r="T4870" s="1" t="s">
        <v>6855</v>
      </c>
      <c r="U4870" s="99">
        <v>2856.9</v>
      </c>
      <c r="V4870" s="1" t="s">
        <v>10408</v>
      </c>
      <c r="W4870" s="29">
        <v>46286</v>
      </c>
    </row>
    <row r="4871" spans="1:23">
      <c r="A4871">
        <v>3307</v>
      </c>
      <c r="B4871" s="2">
        <v>46284.729502314804</v>
      </c>
      <c r="C4871" s="2">
        <v>46284.733946759297</v>
      </c>
      <c r="D4871" s="1" t="s">
        <v>24</v>
      </c>
      <c r="E4871" s="1"/>
      <c r="F4871" s="29">
        <v>46284</v>
      </c>
      <c r="G4871" s="29">
        <v>46284</v>
      </c>
      <c r="H4871" s="1" t="s">
        <v>8028</v>
      </c>
      <c r="I4871" s="251" t="s">
        <v>10807</v>
      </c>
      <c r="J4871" s="207"/>
      <c r="K4871" s="188" t="s">
        <v>10808</v>
      </c>
      <c r="L4871" s="242">
        <v>24664568</v>
      </c>
      <c r="M4871" s="243">
        <v>5217352465702</v>
      </c>
      <c r="N4871" s="171" t="s">
        <v>32</v>
      </c>
      <c r="O4871" s="67">
        <v>4177.1499999999996</v>
      </c>
      <c r="P4871" s="99"/>
      <c r="Q4871" s="256">
        <f>OfficeForms.Table[[#This Row],[ INFORMEDEPAGO ]]*0.3</f>
        <v>1253.1449999999998</v>
      </c>
      <c r="R4871" s="43">
        <f t="shared" si="413"/>
        <v>4.1700000000000728</v>
      </c>
      <c r="T4871" s="1"/>
      <c r="U4871" s="99"/>
      <c r="V4871" s="1"/>
    </row>
    <row r="4872" spans="1:23">
      <c r="A4872">
        <v>3308</v>
      </c>
      <c r="B4872" s="2">
        <v>46284.737939814797</v>
      </c>
      <c r="C4872" s="2">
        <v>46284.738344907397</v>
      </c>
      <c r="D4872" s="1" t="s">
        <v>24</v>
      </c>
      <c r="E4872" s="1"/>
      <c r="F4872" s="29">
        <v>46284</v>
      </c>
      <c r="G4872" s="29">
        <v>46284</v>
      </c>
      <c r="H4872" s="1" t="s">
        <v>269</v>
      </c>
      <c r="I4872" s="251" t="s">
        <v>10809</v>
      </c>
      <c r="J4872" s="207" t="s">
        <v>10810</v>
      </c>
      <c r="K4872" s="188" t="s">
        <v>10811</v>
      </c>
      <c r="L4872" s="242">
        <v>24664102</v>
      </c>
      <c r="M4872" s="243">
        <v>5214443106209</v>
      </c>
      <c r="N4872" s="171" t="s">
        <v>32</v>
      </c>
      <c r="O4872" s="67">
        <v>1038.8499999999999</v>
      </c>
      <c r="P4872" s="99"/>
      <c r="Q4872" s="256">
        <f>OfficeForms.Table[[#This Row],[ INFORMEDEPAGO ]]*0.3</f>
        <v>311.65499999999997</v>
      </c>
      <c r="R4872" s="43">
        <f t="shared" si="413"/>
        <v>0</v>
      </c>
      <c r="T4872" s="1"/>
      <c r="U4872" s="99"/>
      <c r="V4872" s="1"/>
    </row>
    <row r="4873" spans="1:23">
      <c r="A4873">
        <v>3309</v>
      </c>
      <c r="B4873" s="2">
        <v>46284.740624999999</v>
      </c>
      <c r="C4873" s="2">
        <v>46284.742291666698</v>
      </c>
      <c r="D4873" s="1" t="s">
        <v>24</v>
      </c>
      <c r="E4873" s="1"/>
      <c r="F4873" s="29">
        <v>46284</v>
      </c>
      <c r="G4873" s="29">
        <v>46284</v>
      </c>
      <c r="H4873" s="1" t="s">
        <v>78</v>
      </c>
      <c r="I4873" s="251" t="s">
        <v>10812</v>
      </c>
      <c r="J4873" s="207">
        <v>54845607990</v>
      </c>
      <c r="K4873" s="188" t="s">
        <v>10813</v>
      </c>
      <c r="L4873" s="242">
        <v>24664864</v>
      </c>
      <c r="M4873" s="243">
        <v>5213334961522</v>
      </c>
      <c r="N4873" s="171" t="s">
        <v>32</v>
      </c>
      <c r="O4873" s="67">
        <v>3961.31</v>
      </c>
      <c r="P4873" s="99"/>
      <c r="Q4873" s="256">
        <f>OfficeForms.Table[[#This Row],[ INFORMEDEPAGO ]]*0.3</f>
        <v>1188.393</v>
      </c>
      <c r="R4873" s="43">
        <f t="shared" si="413"/>
        <v>0</v>
      </c>
      <c r="T4873" s="1"/>
      <c r="U4873" s="99"/>
      <c r="V4873" s="1"/>
    </row>
    <row r="4874" spans="1:23">
      <c r="A4874">
        <v>3310</v>
      </c>
      <c r="B4874" s="2">
        <v>46284.660046296303</v>
      </c>
      <c r="C4874" s="2">
        <v>46284.7433564815</v>
      </c>
      <c r="D4874" s="1" t="s">
        <v>24</v>
      </c>
      <c r="E4874" s="1"/>
      <c r="F4874" s="29">
        <v>46284</v>
      </c>
      <c r="G4874" s="29">
        <v>46281</v>
      </c>
      <c r="H4874" s="1" t="s">
        <v>8381</v>
      </c>
      <c r="I4874" s="251" t="s">
        <v>10814</v>
      </c>
      <c r="J4874" s="207">
        <v>49825824367</v>
      </c>
      <c r="K4874" s="188" t="s">
        <v>10815</v>
      </c>
      <c r="L4874" s="242">
        <v>24498862</v>
      </c>
      <c r="M4874" s="243">
        <v>5213541130527</v>
      </c>
      <c r="N4874" s="171" t="s">
        <v>130</v>
      </c>
      <c r="O4874" s="43">
        <v>4342.43</v>
      </c>
      <c r="P4874" s="43">
        <v>371.76</v>
      </c>
      <c r="Q4874" s="256">
        <f>OfficeForms.Table[[#This Row],[ INFORMEDEPAGO ]]*0.3</f>
        <v>1302.729</v>
      </c>
      <c r="R4874" s="43">
        <f t="shared" si="413"/>
        <v>-202.30999999999926</v>
      </c>
      <c r="S4874" s="74">
        <v>45323</v>
      </c>
      <c r="T4874" s="1" t="s">
        <v>6855</v>
      </c>
      <c r="U4874" s="99">
        <v>371.76</v>
      </c>
      <c r="V4874" s="1" t="s">
        <v>8233</v>
      </c>
      <c r="W4874" s="29">
        <v>46286</v>
      </c>
    </row>
    <row r="4875" spans="1:23">
      <c r="A4875">
        <v>3311</v>
      </c>
      <c r="B4875" s="2">
        <v>46284.742118055598</v>
      </c>
      <c r="C4875" s="2">
        <v>46284.746759259302</v>
      </c>
      <c r="D4875" s="1" t="s">
        <v>24</v>
      </c>
      <c r="E4875" s="1"/>
      <c r="F4875" s="29">
        <v>46284</v>
      </c>
      <c r="G4875" s="29">
        <v>46284</v>
      </c>
      <c r="H4875" s="1" t="s">
        <v>8028</v>
      </c>
      <c r="I4875" s="251" t="s">
        <v>10816</v>
      </c>
      <c r="J4875" s="207">
        <v>15816302994</v>
      </c>
      <c r="K4875" s="188" t="s">
        <v>10817</v>
      </c>
      <c r="L4875" s="242">
        <v>24664164</v>
      </c>
      <c r="M4875" s="243">
        <v>5217772360417</v>
      </c>
      <c r="N4875" s="171" t="s">
        <v>37</v>
      </c>
      <c r="O4875" s="43">
        <v>9081.49</v>
      </c>
      <c r="P4875" s="43">
        <v>2627.26</v>
      </c>
      <c r="Q4875" s="256">
        <f>OfficeForms.Table[[#This Row],[ INFORMEDEPAGO ]]*0.3</f>
        <v>2724.4469999999997</v>
      </c>
      <c r="R4875" s="43">
        <f t="shared" si="413"/>
        <v>97.186999999999443</v>
      </c>
      <c r="S4875" s="74">
        <v>46539</v>
      </c>
      <c r="T4875" s="1" t="s">
        <v>8319</v>
      </c>
      <c r="U4875" s="43">
        <v>2627.26</v>
      </c>
      <c r="V4875" s="1"/>
    </row>
    <row r="4876" spans="1:23">
      <c r="A4876">
        <v>3312</v>
      </c>
      <c r="B4876" s="2">
        <v>46283.701967592599</v>
      </c>
      <c r="C4876" s="2">
        <v>46285.3960532407</v>
      </c>
      <c r="D4876" s="1" t="s">
        <v>24</v>
      </c>
      <c r="E4876" s="1"/>
      <c r="F4876" s="29">
        <v>46285</v>
      </c>
      <c r="G4876" s="29">
        <v>46284</v>
      </c>
      <c r="H4876" s="1" t="s">
        <v>9991</v>
      </c>
      <c r="I4876" s="251" t="s">
        <v>10818</v>
      </c>
      <c r="J4876" s="207" t="s">
        <v>10819</v>
      </c>
      <c r="K4876" s="188" t="s">
        <v>10820</v>
      </c>
      <c r="L4876" s="242">
        <v>24667930</v>
      </c>
      <c r="M4876" s="243">
        <v>3315138388</v>
      </c>
      <c r="N4876" s="171" t="s">
        <v>98</v>
      </c>
      <c r="O4876" s="67"/>
      <c r="P4876" s="99"/>
      <c r="Q4876" s="256">
        <f>OfficeForms.Table[[#This Row],[ INFORMEDEPAGO ]]*0.3</f>
        <v>0</v>
      </c>
      <c r="R4876" s="43">
        <f t="shared" si="413"/>
        <v>0</v>
      </c>
      <c r="T4876" s="1"/>
      <c r="U4876" s="99"/>
      <c r="V4876" s="1"/>
    </row>
    <row r="4877" spans="1:23">
      <c r="A4877">
        <v>3313</v>
      </c>
      <c r="B4877" s="2">
        <v>46285.389791666697</v>
      </c>
      <c r="C4877" s="2">
        <v>46285.419918981497</v>
      </c>
      <c r="D4877" s="1" t="s">
        <v>24</v>
      </c>
      <c r="E4877" s="1"/>
      <c r="F4877" s="29">
        <v>46285</v>
      </c>
      <c r="G4877" s="29">
        <v>46284</v>
      </c>
      <c r="H4877" s="1" t="s">
        <v>10043</v>
      </c>
      <c r="I4877" s="251" t="s">
        <v>10821</v>
      </c>
      <c r="J4877" s="207"/>
      <c r="K4877" s="188" t="s">
        <v>10822</v>
      </c>
      <c r="L4877" s="242">
        <v>24668264</v>
      </c>
      <c r="M4877" s="243">
        <v>6624281422</v>
      </c>
      <c r="N4877" s="171" t="s">
        <v>28</v>
      </c>
      <c r="O4877" s="67">
        <f>8671.24+1500</f>
        <v>10171.24</v>
      </c>
      <c r="P4877" s="99">
        <v>1500</v>
      </c>
      <c r="Q4877" s="256">
        <f>OfficeForms.Table[[#This Row],[ INFORMEDEPAGO ]]*0.3</f>
        <v>3051.3719999999998</v>
      </c>
      <c r="R4877" s="43">
        <f t="shared" si="413"/>
        <v>1551.3719999999998</v>
      </c>
      <c r="S4877" s="74">
        <v>46631</v>
      </c>
      <c r="T4877" s="1" t="s">
        <v>8319</v>
      </c>
      <c r="U4877" s="99">
        <v>1500</v>
      </c>
      <c r="V4877" s="1" t="s">
        <v>8734</v>
      </c>
      <c r="W4877" s="29">
        <v>46286</v>
      </c>
    </row>
    <row r="4878" spans="1:23">
      <c r="A4878">
        <v>3314</v>
      </c>
      <c r="B4878" s="2">
        <v>46285.416898148098</v>
      </c>
      <c r="C4878" s="2">
        <v>46285.420127314799</v>
      </c>
      <c r="D4878" s="1" t="s">
        <v>24</v>
      </c>
      <c r="E4878" s="1"/>
      <c r="F4878" s="29">
        <v>46285</v>
      </c>
      <c r="G4878" s="29">
        <v>46285</v>
      </c>
      <c r="H4878" s="1" t="s">
        <v>9960</v>
      </c>
      <c r="I4878" s="251" t="s">
        <v>10823</v>
      </c>
      <c r="J4878" s="207">
        <v>67877171446</v>
      </c>
      <c r="K4878" s="188" t="s">
        <v>10824</v>
      </c>
      <c r="L4878" s="242">
        <v>24671442</v>
      </c>
      <c r="M4878" s="243">
        <v>9241505122</v>
      </c>
      <c r="N4878" s="171" t="s">
        <v>28</v>
      </c>
      <c r="O4878" s="67">
        <v>7718.73</v>
      </c>
      <c r="P4878" s="99"/>
      <c r="Q4878" s="256">
        <f>OfficeForms.Table[[#This Row],[ INFORMEDEPAGO ]]*0.3</f>
        <v>2315.6189999999997</v>
      </c>
      <c r="R4878" s="43">
        <f t="shared" si="413"/>
        <v>2315.6189999999997</v>
      </c>
      <c r="T4878" s="1"/>
      <c r="U4878" s="99"/>
      <c r="V4878" s="1" t="s">
        <v>8280</v>
      </c>
      <c r="W4878" s="29">
        <v>46286</v>
      </c>
    </row>
    <row r="4879" spans="1:23">
      <c r="A4879">
        <v>3315</v>
      </c>
      <c r="B4879" s="2">
        <v>46285.448564814797</v>
      </c>
      <c r="C4879" s="2">
        <v>46285.449467592603</v>
      </c>
      <c r="D4879" s="1" t="s">
        <v>24</v>
      </c>
      <c r="E4879" s="1"/>
      <c r="F4879" s="29">
        <v>46285</v>
      </c>
      <c r="G4879" s="29">
        <v>46282</v>
      </c>
      <c r="H4879" s="1" t="s">
        <v>10043</v>
      </c>
      <c r="I4879" s="251" t="s">
        <v>10825</v>
      </c>
      <c r="J4879" s="207">
        <v>33917144124</v>
      </c>
      <c r="K4879" s="188"/>
      <c r="L4879" s="242">
        <v>24542512</v>
      </c>
      <c r="M4879" s="243">
        <v>6561217975</v>
      </c>
      <c r="N4879" s="171" t="s">
        <v>32</v>
      </c>
      <c r="O4879" s="67">
        <v>3437.04</v>
      </c>
      <c r="P4879" s="99"/>
      <c r="Q4879" s="256">
        <f>OfficeForms.Table[[#This Row],[ INFORMEDEPAGO ]]*0.3</f>
        <v>1031.1119999999999</v>
      </c>
      <c r="R4879" s="43">
        <f t="shared" si="413"/>
        <v>0</v>
      </c>
      <c r="T4879" s="1"/>
      <c r="U4879" s="99"/>
      <c r="V4879" s="1"/>
    </row>
    <row r="4880" spans="1:23">
      <c r="A4880">
        <v>3316</v>
      </c>
      <c r="B4880" s="2">
        <v>46285.396076388897</v>
      </c>
      <c r="C4880" s="2">
        <v>46285.450636574104</v>
      </c>
      <c r="D4880" s="1" t="s">
        <v>24</v>
      </c>
      <c r="E4880" s="1"/>
      <c r="F4880" s="29">
        <v>46285</v>
      </c>
      <c r="G4880" s="29">
        <v>46285</v>
      </c>
      <c r="H4880" s="1" t="s">
        <v>9991</v>
      </c>
      <c r="I4880" s="251" t="s">
        <v>10826</v>
      </c>
      <c r="J4880" s="207"/>
      <c r="K4880" s="188" t="s">
        <v>10827</v>
      </c>
      <c r="L4880" s="242">
        <v>24673554</v>
      </c>
      <c r="M4880" s="243">
        <v>3314251640</v>
      </c>
      <c r="N4880" s="171" t="s">
        <v>98</v>
      </c>
      <c r="O4880" s="67"/>
      <c r="P4880" s="99"/>
      <c r="Q4880" s="256">
        <f>OfficeForms.Table[[#This Row],[ INFORMEDEPAGO ]]*0.3</f>
        <v>0</v>
      </c>
      <c r="R4880" s="43">
        <f t="shared" si="413"/>
        <v>0</v>
      </c>
      <c r="T4880" s="1"/>
      <c r="U4880" s="99"/>
      <c r="V4880" s="1"/>
    </row>
    <row r="4881" spans="1:23">
      <c r="A4881">
        <v>3317</v>
      </c>
      <c r="B4881" s="2">
        <v>46285.473206018498</v>
      </c>
      <c r="C4881" s="2">
        <v>46285.473888888897</v>
      </c>
      <c r="D4881" s="1" t="s">
        <v>24</v>
      </c>
      <c r="E4881" s="1"/>
      <c r="F4881" s="29">
        <v>46285</v>
      </c>
      <c r="G4881" s="29">
        <v>46271</v>
      </c>
      <c r="H4881" s="1" t="s">
        <v>8253</v>
      </c>
      <c r="I4881" s="251" t="s">
        <v>10828</v>
      </c>
      <c r="J4881" s="207"/>
      <c r="K4881" s="188" t="s">
        <v>10829</v>
      </c>
      <c r="L4881" s="242">
        <v>24285568</v>
      </c>
      <c r="M4881" s="243">
        <v>3222378254</v>
      </c>
      <c r="N4881" s="171" t="s">
        <v>28</v>
      </c>
      <c r="O4881" s="67">
        <v>11029.03</v>
      </c>
      <c r="P4881" s="99"/>
      <c r="Q4881" s="256">
        <f>OfficeForms.Table[[#This Row],[ INFORMEDEPAGO ]]*0.3</f>
        <v>3308.7090000000003</v>
      </c>
      <c r="R4881" s="43">
        <f t="shared" si="413"/>
        <v>3308.7090000000003</v>
      </c>
      <c r="T4881" s="1"/>
      <c r="U4881" s="99"/>
      <c r="V4881" s="1" t="s">
        <v>8264</v>
      </c>
      <c r="W4881" s="29">
        <v>46286</v>
      </c>
    </row>
    <row r="4882" spans="1:23">
      <c r="A4882">
        <v>3318</v>
      </c>
      <c r="B4882" s="2">
        <v>46283.679664351803</v>
      </c>
      <c r="C4882" s="2">
        <v>46285.496145833298</v>
      </c>
      <c r="D4882" s="1" t="s">
        <v>24</v>
      </c>
      <c r="E4882" s="1"/>
      <c r="F4882" s="29">
        <v>46285</v>
      </c>
      <c r="G4882" s="29">
        <v>46285</v>
      </c>
      <c r="H4882" s="1" t="s">
        <v>9986</v>
      </c>
      <c r="I4882" s="251" t="s">
        <v>10830</v>
      </c>
      <c r="J4882" s="207" t="s">
        <v>10831</v>
      </c>
      <c r="K4882" s="188"/>
      <c r="L4882" s="242">
        <v>24672120</v>
      </c>
      <c r="M4882" s="243">
        <v>3231051540</v>
      </c>
      <c r="N4882" s="171" t="s">
        <v>32</v>
      </c>
      <c r="O4882" s="67">
        <f>3351.87+848</f>
        <v>4199.87</v>
      </c>
      <c r="P4882" s="99"/>
      <c r="Q4882" s="256">
        <f>OfficeForms.Table[[#This Row],[ INFORMEDEPAGO ]]*0.3</f>
        <v>1259.961</v>
      </c>
      <c r="R4882" s="43">
        <f t="shared" si="413"/>
        <v>26.890000000000327</v>
      </c>
      <c r="T4882" s="1"/>
      <c r="U4882" s="99"/>
      <c r="V4882" s="1"/>
    </row>
    <row r="4883" spans="1:23">
      <c r="A4883">
        <v>3319</v>
      </c>
      <c r="B4883" s="2">
        <v>46285.5</v>
      </c>
      <c r="C4883" s="2">
        <v>46285.501412037003</v>
      </c>
      <c r="D4883" s="1" t="s">
        <v>24</v>
      </c>
      <c r="E4883" s="1"/>
      <c r="F4883" s="29">
        <v>46285</v>
      </c>
      <c r="G4883" s="29">
        <v>46285</v>
      </c>
      <c r="H4883" s="1" t="s">
        <v>10043</v>
      </c>
      <c r="I4883" s="251" t="s">
        <v>10832</v>
      </c>
      <c r="J4883" s="207">
        <v>24896958766</v>
      </c>
      <c r="K4883" s="188" t="s">
        <v>10833</v>
      </c>
      <c r="L4883" s="242">
        <v>24672808</v>
      </c>
      <c r="M4883" s="243" t="s">
        <v>10834</v>
      </c>
      <c r="N4883" s="171" t="s">
        <v>32</v>
      </c>
      <c r="O4883" s="67">
        <v>3565.2</v>
      </c>
      <c r="P4883" s="99"/>
      <c r="Q4883" s="256">
        <f>OfficeForms.Table[[#This Row],[ INFORMEDEPAGO ]]*0.3</f>
        <v>1069.56</v>
      </c>
      <c r="R4883" s="43">
        <f t="shared" si="413"/>
        <v>0</v>
      </c>
      <c r="T4883" s="1"/>
      <c r="U4883" s="99"/>
      <c r="V4883" s="1"/>
    </row>
    <row r="4884" spans="1:23">
      <c r="A4884">
        <v>3320</v>
      </c>
      <c r="B4884" s="2">
        <v>46285.498622685198</v>
      </c>
      <c r="C4884" s="2">
        <v>46285.570138888899</v>
      </c>
      <c r="D4884" s="1" t="s">
        <v>24</v>
      </c>
      <c r="E4884" s="1"/>
      <c r="F4884" s="29">
        <v>46285</v>
      </c>
      <c r="G4884" s="29">
        <v>46285</v>
      </c>
      <c r="H4884" s="1" t="s">
        <v>9991</v>
      </c>
      <c r="I4884" s="251" t="s">
        <v>10835</v>
      </c>
      <c r="J4884" s="207"/>
      <c r="K4884" s="188" t="s">
        <v>10836</v>
      </c>
      <c r="L4884" s="242">
        <v>24674862</v>
      </c>
      <c r="M4884" s="243">
        <v>4423715901</v>
      </c>
      <c r="N4884" s="171" t="s">
        <v>98</v>
      </c>
      <c r="O4884" s="67"/>
      <c r="P4884" s="99"/>
      <c r="Q4884" s="256">
        <f>OfficeForms.Table[[#This Row],[ INFORMEDEPAGO ]]*0.3</f>
        <v>0</v>
      </c>
      <c r="R4884" s="43">
        <f t="shared" si="413"/>
        <v>0</v>
      </c>
      <c r="T4884" s="1"/>
      <c r="U4884" s="99"/>
      <c r="V4884" s="1"/>
    </row>
    <row r="4885" spans="1:23">
      <c r="A4885">
        <v>3321</v>
      </c>
      <c r="B4885" s="2">
        <v>46285.582893518498</v>
      </c>
      <c r="C4885" s="2">
        <v>46285.584027777797</v>
      </c>
      <c r="D4885" s="1" t="s">
        <v>24</v>
      </c>
      <c r="E4885" s="1"/>
      <c r="F4885" s="29">
        <v>46285</v>
      </c>
      <c r="G4885" s="29">
        <v>46285</v>
      </c>
      <c r="H4885" s="1" t="s">
        <v>10043</v>
      </c>
      <c r="I4885" s="251"/>
      <c r="J4885" s="207">
        <v>42806024586</v>
      </c>
      <c r="K4885" s="188"/>
      <c r="L4885" s="242">
        <v>24672388</v>
      </c>
      <c r="M4885" s="243">
        <v>5512696370</v>
      </c>
      <c r="N4885" s="171" t="s">
        <v>28</v>
      </c>
      <c r="O4885" s="67">
        <v>6262.86</v>
      </c>
      <c r="P4885" s="99"/>
      <c r="Q4885" s="256">
        <f>OfficeForms.Table[[#This Row],[ INFORMEDEPAGO ]]*0.3</f>
        <v>1878.8579999999997</v>
      </c>
      <c r="R4885" s="43">
        <f t="shared" si="413"/>
        <v>1878.8579999999997</v>
      </c>
      <c r="T4885" s="1"/>
      <c r="U4885" s="99"/>
      <c r="V4885" s="1" t="s">
        <v>8356</v>
      </c>
      <c r="W4885" s="29">
        <v>46286</v>
      </c>
    </row>
    <row r="4886" spans="1:23">
      <c r="A4886">
        <v>3322</v>
      </c>
      <c r="B4886" s="2">
        <v>46285.585520833301</v>
      </c>
      <c r="C4886" s="2">
        <v>46285.586851851898</v>
      </c>
      <c r="D4886" s="1" t="s">
        <v>24</v>
      </c>
      <c r="E4886" s="1"/>
      <c r="F4886" s="29">
        <v>46285</v>
      </c>
      <c r="G4886" s="29">
        <v>46285</v>
      </c>
      <c r="H4886" s="1" t="s">
        <v>9960</v>
      </c>
      <c r="I4886" s="251" t="s">
        <v>10837</v>
      </c>
      <c r="J4886" s="207"/>
      <c r="K4886" s="188" t="s">
        <v>10838</v>
      </c>
      <c r="L4886" s="242">
        <v>24677006</v>
      </c>
      <c r="M4886" s="243">
        <v>7227821687</v>
      </c>
      <c r="N4886" s="171" t="s">
        <v>37</v>
      </c>
      <c r="O4886" s="67">
        <f>7229.31+2941.93</f>
        <v>10171.24</v>
      </c>
      <c r="P4886" s="99">
        <v>2941.93</v>
      </c>
      <c r="Q4886" s="256">
        <f>OfficeForms.Table[[#This Row],[ INFORMEDEPAGO ]]*0.3</f>
        <v>3051.3719999999998</v>
      </c>
      <c r="R4886" s="43">
        <f t="shared" si="413"/>
        <v>109.44200000000001</v>
      </c>
      <c r="S4886" s="74">
        <v>46539</v>
      </c>
      <c r="T4886" s="1" t="s">
        <v>8319</v>
      </c>
      <c r="U4886" s="99">
        <v>2941.93</v>
      </c>
      <c r="V4886" s="1"/>
    </row>
    <row r="4887" spans="1:23">
      <c r="A4887">
        <v>3323</v>
      </c>
      <c r="B4887" s="2">
        <v>46285.605023148099</v>
      </c>
      <c r="C4887" s="2">
        <v>46285.6081134259</v>
      </c>
      <c r="D4887" s="1" t="s">
        <v>24</v>
      </c>
      <c r="E4887" s="1"/>
      <c r="F4887" s="29">
        <v>46285</v>
      </c>
      <c r="G4887" s="29">
        <v>46283</v>
      </c>
      <c r="H4887" s="1" t="s">
        <v>9960</v>
      </c>
      <c r="I4887" s="251" t="s">
        <v>1853</v>
      </c>
      <c r="J4887" s="207"/>
      <c r="K4887" s="188" t="s">
        <v>1854</v>
      </c>
      <c r="L4887" s="242">
        <v>24638680</v>
      </c>
      <c r="M4887" s="243">
        <v>5644639872</v>
      </c>
      <c r="N4887" s="171" t="s">
        <v>98</v>
      </c>
      <c r="O4887" s="67"/>
      <c r="P4887" s="99"/>
      <c r="Q4887" s="256">
        <f>OfficeForms.Table[[#This Row],[ INFORMEDEPAGO ]]*0.3</f>
        <v>0</v>
      </c>
      <c r="R4887" s="43">
        <f t="shared" si="413"/>
        <v>0</v>
      </c>
      <c r="T4887" s="1"/>
      <c r="U4887" s="99"/>
      <c r="V4887" s="1"/>
    </row>
    <row r="4888" spans="1:23">
      <c r="A4888">
        <v>3324</v>
      </c>
      <c r="B4888" s="2">
        <v>46285.610208333303</v>
      </c>
      <c r="C4888" s="2">
        <v>46285.610740740703</v>
      </c>
      <c r="D4888" s="1" t="s">
        <v>24</v>
      </c>
      <c r="E4888" s="1"/>
      <c r="F4888" s="29">
        <v>46285</v>
      </c>
      <c r="G4888" s="29">
        <v>46285</v>
      </c>
      <c r="H4888" s="1" t="s">
        <v>9991</v>
      </c>
      <c r="I4888" s="251" t="s">
        <v>10839</v>
      </c>
      <c r="J4888" s="207">
        <v>6745317609</v>
      </c>
      <c r="K4888" s="188"/>
      <c r="L4888" s="242">
        <v>24672012</v>
      </c>
      <c r="M4888" s="243">
        <v>5577885662</v>
      </c>
      <c r="N4888" s="171" t="s">
        <v>98</v>
      </c>
      <c r="O4888" s="67"/>
      <c r="P4888" s="99"/>
      <c r="Q4888" s="256">
        <f>OfficeForms.Table[[#This Row],[ INFORMEDEPAGO ]]*0.3</f>
        <v>0</v>
      </c>
      <c r="R4888" s="43">
        <f t="shared" si="413"/>
        <v>0</v>
      </c>
      <c r="T4888" s="1"/>
      <c r="U4888" s="99"/>
      <c r="V4888" s="1"/>
    </row>
    <row r="4889" spans="1:23">
      <c r="A4889">
        <v>3325</v>
      </c>
      <c r="B4889" s="2">
        <v>46285.621701388904</v>
      </c>
      <c r="C4889" s="2">
        <v>46285.625034722201</v>
      </c>
      <c r="D4889" s="1" t="s">
        <v>24</v>
      </c>
      <c r="E4889" s="1"/>
      <c r="F4889" s="29">
        <v>46285</v>
      </c>
      <c r="G4889" s="29">
        <v>46284</v>
      </c>
      <c r="H4889" s="1" t="s">
        <v>9960</v>
      </c>
      <c r="I4889" s="251" t="s">
        <v>10840</v>
      </c>
      <c r="J4889" s="207" t="s">
        <v>10841</v>
      </c>
      <c r="K4889" s="188"/>
      <c r="L4889" s="242">
        <v>24666636</v>
      </c>
      <c r="M4889" s="243">
        <v>8991221685</v>
      </c>
      <c r="N4889" s="171" t="s">
        <v>37</v>
      </c>
      <c r="O4889" s="67">
        <f>3946.53+1564+126.06</f>
        <v>5636.5900000000011</v>
      </c>
      <c r="P4889" s="99">
        <f>1564+126.06</f>
        <v>1690.06</v>
      </c>
      <c r="Q4889" s="256">
        <f>OfficeForms.Table[[#This Row],[ INFORMEDEPAGO ]]*0.3</f>
        <v>1690.9770000000003</v>
      </c>
      <c r="R4889" s="43">
        <f t="shared" si="413"/>
        <v>-226.44999999999845</v>
      </c>
      <c r="S4889" s="74">
        <v>46997</v>
      </c>
      <c r="T4889" s="1" t="s">
        <v>10779</v>
      </c>
      <c r="U4889" s="99">
        <v>1564</v>
      </c>
      <c r="V4889" s="1"/>
    </row>
    <row r="4890" spans="1:23">
      <c r="A4890">
        <v>3326</v>
      </c>
      <c r="B4890" s="2">
        <v>46285.7124189815</v>
      </c>
      <c r="C4890" s="2">
        <v>46285.7130555556</v>
      </c>
      <c r="D4890" s="1" t="s">
        <v>24</v>
      </c>
      <c r="E4890" s="1"/>
      <c r="F4890" s="29">
        <v>46285</v>
      </c>
      <c r="G4890" s="29">
        <v>46285</v>
      </c>
      <c r="H4890" s="1" t="s">
        <v>9986</v>
      </c>
      <c r="I4890" s="251"/>
      <c r="J4890" s="207">
        <v>90906301305</v>
      </c>
      <c r="K4890" s="188"/>
      <c r="L4890" s="242">
        <v>24371186</v>
      </c>
      <c r="M4890" s="243">
        <v>5551027521</v>
      </c>
      <c r="N4890" s="171" t="s">
        <v>98</v>
      </c>
      <c r="O4890" s="67"/>
      <c r="P4890" s="99"/>
      <c r="Q4890" s="256">
        <f>OfficeForms.Table[[#This Row],[ INFORMEDEPAGO ]]*0.3</f>
        <v>0</v>
      </c>
      <c r="R4890" s="43">
        <f t="shared" si="413"/>
        <v>0</v>
      </c>
      <c r="T4890" s="1"/>
      <c r="U4890" s="99"/>
      <c r="V4890" s="1"/>
    </row>
    <row r="4891" spans="1:23">
      <c r="A4891">
        <v>3327</v>
      </c>
      <c r="B4891" s="2">
        <v>46286.3415046296</v>
      </c>
      <c r="C4891" s="2">
        <v>46286.344282407401</v>
      </c>
      <c r="D4891" s="1" t="s">
        <v>24</v>
      </c>
      <c r="E4891" s="1"/>
      <c r="F4891" s="29">
        <v>46286</v>
      </c>
      <c r="G4891" s="29">
        <v>46286</v>
      </c>
      <c r="H4891" s="1" t="s">
        <v>1625</v>
      </c>
      <c r="I4891" s="251" t="s">
        <v>10842</v>
      </c>
      <c r="J4891" s="207">
        <v>16876227949</v>
      </c>
      <c r="K4891" s="188" t="s">
        <v>10843</v>
      </c>
      <c r="L4891" s="242">
        <v>2</v>
      </c>
      <c r="M4891" s="243">
        <v>7207920843</v>
      </c>
      <c r="N4891" s="171" t="s">
        <v>37</v>
      </c>
      <c r="O4891" s="43">
        <v>7116.73</v>
      </c>
      <c r="P4891" s="43">
        <v>2059.04</v>
      </c>
      <c r="Q4891" s="256">
        <f>OfficeForms.Table[[#This Row],[ INFORMEDEPAGO ]]*0.3</f>
        <v>2135.0189999999998</v>
      </c>
      <c r="R4891" s="43">
        <f>(IF(O4891&lt;4172.98,0,MIN(O4891*0.3,O4891-4172.98)))-P4891</f>
        <v>75.978999999999814</v>
      </c>
      <c r="S4891" s="74">
        <v>46508</v>
      </c>
      <c r="T4891" s="1" t="s">
        <v>7209</v>
      </c>
      <c r="U4891" s="99">
        <v>2059.04</v>
      </c>
      <c r="V4891" s="1"/>
    </row>
    <row r="4892" spans="1:23">
      <c r="A4892">
        <v>3328</v>
      </c>
      <c r="B4892" s="2">
        <v>46286.344305555598</v>
      </c>
      <c r="C4892" s="2">
        <v>46286.346898148098</v>
      </c>
      <c r="D4892" s="1" t="s">
        <v>24</v>
      </c>
      <c r="E4892" s="1"/>
      <c r="F4892" s="29">
        <v>46286</v>
      </c>
      <c r="G4892" s="29">
        <v>46286</v>
      </c>
      <c r="H4892" s="1" t="s">
        <v>1625</v>
      </c>
      <c r="I4892" s="251" t="s">
        <v>10844</v>
      </c>
      <c r="J4892" s="207">
        <v>32816714409</v>
      </c>
      <c r="K4892" s="188" t="s">
        <v>10845</v>
      </c>
      <c r="L4892" s="242">
        <v>2</v>
      </c>
      <c r="M4892" s="243">
        <v>8110392028</v>
      </c>
      <c r="N4892" s="171" t="s">
        <v>37</v>
      </c>
      <c r="O4892" s="52">
        <v>6086.57</v>
      </c>
      <c r="P4892" s="52">
        <v>1825.97</v>
      </c>
      <c r="Q4892" s="256">
        <f>OfficeForms.Table[[#This Row],[ INFORMEDEPAGO ]]*0.3</f>
        <v>1825.9709999999998</v>
      </c>
      <c r="R4892" s="43">
        <f>(IF(O4892&lt;4172.98,0,MIN(O4892*0.3,O4892-4172.98)))-P4892</f>
        <v>9.9999999974897946E-4</v>
      </c>
      <c r="S4892" s="74">
        <v>46539</v>
      </c>
      <c r="T4892" s="1" t="s">
        <v>7516</v>
      </c>
      <c r="U4892" s="99">
        <v>500</v>
      </c>
      <c r="V4892" s="1"/>
    </row>
    <row r="4893" spans="1:23">
      <c r="A4893">
        <v>3329</v>
      </c>
      <c r="B4893" s="2">
        <v>46286.332326388903</v>
      </c>
      <c r="C4893" s="2">
        <v>46286.364537037</v>
      </c>
      <c r="D4893" s="1" t="s">
        <v>24</v>
      </c>
      <c r="E4893" s="1"/>
      <c r="F4893" s="29">
        <v>46286</v>
      </c>
      <c r="G4893" s="29">
        <v>46285</v>
      </c>
      <c r="H4893" s="1" t="s">
        <v>10043</v>
      </c>
      <c r="I4893" s="251" t="s">
        <v>10846</v>
      </c>
      <c r="J4893" s="207"/>
      <c r="K4893" s="188" t="s">
        <v>10847</v>
      </c>
      <c r="L4893" s="242">
        <v>24684614</v>
      </c>
      <c r="M4893" s="243">
        <v>9611896561</v>
      </c>
      <c r="N4893" s="171" t="s">
        <v>98</v>
      </c>
      <c r="O4893" s="50"/>
      <c r="P4893" s="97"/>
      <c r="Q4893" s="256">
        <f>OfficeForms.Table[[#This Row],[ INFORMEDEPAGO ]]*0.3</f>
        <v>0</v>
      </c>
      <c r="R4893" s="43">
        <f>(IF(O4893&lt;4172.98,0,MIN(O4893*0.3,O4893-4172.98)))-P4893</f>
        <v>0</v>
      </c>
      <c r="T4893" s="1"/>
      <c r="U4893" s="97"/>
      <c r="V4893" s="1"/>
    </row>
    <row r="4894" spans="1:23">
      <c r="A4894">
        <v>3330</v>
      </c>
      <c r="B4894" s="2">
        <v>46286.346932870401</v>
      </c>
      <c r="C4894" s="2">
        <v>46286.370601851901</v>
      </c>
      <c r="D4894" s="1" t="s">
        <v>24</v>
      </c>
      <c r="E4894" s="1"/>
      <c r="F4894" s="29">
        <v>46286</v>
      </c>
      <c r="G4894" s="29">
        <v>46286</v>
      </c>
      <c r="H4894" s="1" t="s">
        <v>1625</v>
      </c>
      <c r="I4894" s="251" t="s">
        <v>10848</v>
      </c>
      <c r="J4894" s="207" t="s">
        <v>4514</v>
      </c>
      <c r="K4894" s="188" t="s">
        <v>4515</v>
      </c>
      <c r="L4894" s="242">
        <v>2</v>
      </c>
      <c r="M4894" s="243">
        <v>5567835339</v>
      </c>
      <c r="N4894" s="171" t="s">
        <v>37</v>
      </c>
      <c r="O4894" s="52">
        <v>10636.54</v>
      </c>
      <c r="P4894" s="52">
        <v>3143.79</v>
      </c>
      <c r="Q4894" s="256">
        <f>OfficeForms.Table[[#This Row],[ INFORMEDEPAGO ]]*0.3</f>
        <v>3190.962</v>
      </c>
      <c r="R4894" s="43">
        <f>(IF(O4894&lt;4172.98,0,MIN(O4894*0.3,O4894-4172.98)))-P4894</f>
        <v>47.172000000000025</v>
      </c>
      <c r="S4894" s="74">
        <v>46844</v>
      </c>
      <c r="T4894" s="1" t="s">
        <v>6855</v>
      </c>
      <c r="U4894" s="52">
        <v>3143.79</v>
      </c>
      <c r="V4894" s="1"/>
    </row>
    <row r="4895" spans="1:23">
      <c r="A4895">
        <v>3331</v>
      </c>
      <c r="B4895" s="2">
        <v>46286.404861111099</v>
      </c>
      <c r="C4895" s="2">
        <v>46286.405590277798</v>
      </c>
      <c r="D4895" s="1" t="s">
        <v>24</v>
      </c>
      <c r="E4895" s="1"/>
      <c r="F4895" s="29">
        <v>46286</v>
      </c>
      <c r="G4895" s="29">
        <v>46284</v>
      </c>
      <c r="H4895" s="1" t="s">
        <v>269</v>
      </c>
      <c r="I4895" s="251" t="s">
        <v>10849</v>
      </c>
      <c r="J4895" s="175" t="s">
        <v>10850</v>
      </c>
      <c r="K4895" s="188" t="s">
        <v>10851</v>
      </c>
      <c r="L4895" s="242">
        <v>24664544</v>
      </c>
      <c r="M4895" s="243">
        <v>5215540706530</v>
      </c>
      <c r="N4895" s="171" t="s">
        <v>74</v>
      </c>
      <c r="O4895" s="50"/>
      <c r="P4895" s="97"/>
      <c r="Q4895" s="256">
        <f>OfficeForms.Table[[#This Row],[ INFORMEDEPAGO ]]*0.3</f>
        <v>0</v>
      </c>
      <c r="R4895" s="43">
        <f>(IF(O4895&lt;4172.98,0,MIN(O4895*0.3,O4895-4172.98)))-P4895</f>
        <v>0</v>
      </c>
      <c r="T4895" s="1"/>
      <c r="U4895" s="97"/>
      <c r="V4895" s="1"/>
    </row>
    <row r="4896" spans="1:23">
      <c r="A4896">
        <v>3332</v>
      </c>
      <c r="B4896" s="2">
        <v>46286.409745370402</v>
      </c>
      <c r="C4896" s="2">
        <v>46286.414907407401</v>
      </c>
      <c r="D4896" s="1" t="s">
        <v>24</v>
      </c>
      <c r="E4896" s="1"/>
      <c r="F4896" s="29">
        <v>46286</v>
      </c>
      <c r="G4896" s="29">
        <v>46286</v>
      </c>
      <c r="H4896" s="1" t="s">
        <v>51</v>
      </c>
      <c r="I4896" s="251" t="s">
        <v>10852</v>
      </c>
      <c r="J4896" s="175" t="s">
        <v>10853</v>
      </c>
      <c r="K4896" s="188" t="s">
        <v>10854</v>
      </c>
      <c r="L4896" s="242">
        <v>24691226</v>
      </c>
      <c r="M4896" s="243">
        <v>5212411950227</v>
      </c>
      <c r="N4896" s="171" t="s">
        <v>37</v>
      </c>
      <c r="O4896" s="43">
        <v>7116.73</v>
      </c>
      <c r="P4896" s="43">
        <v>2131.6999999999998</v>
      </c>
      <c r="Q4896" s="256">
        <f>OfficeForms.Table[[#This Row],[ INFORMEDEPAGO ]]*0.3</f>
        <v>2135.0189999999998</v>
      </c>
      <c r="R4896" s="43">
        <f>(IF(O4896&lt;4172.98,0,MIN(O4896*0.3,O4896-4172.98)))-P4896</f>
        <v>3.31899999999996</v>
      </c>
      <c r="S4896" s="74">
        <v>46722</v>
      </c>
      <c r="T4896" s="1" t="s">
        <v>7209</v>
      </c>
      <c r="U4896" s="97">
        <v>1403</v>
      </c>
      <c r="V4896" s="1"/>
    </row>
    <row r="4897" spans="1:23">
      <c r="A4897">
        <v>3333</v>
      </c>
      <c r="B4897" s="2">
        <v>46286.414953703701</v>
      </c>
      <c r="C4897" s="2">
        <v>46286.420416666697</v>
      </c>
      <c r="D4897" s="1" t="s">
        <v>24</v>
      </c>
      <c r="E4897" s="1"/>
      <c r="F4897" s="29">
        <v>46286</v>
      </c>
      <c r="G4897" s="29">
        <v>46286</v>
      </c>
      <c r="H4897" s="1" t="s">
        <v>51</v>
      </c>
      <c r="I4897" s="251" t="s">
        <v>10855</v>
      </c>
      <c r="J4897" s="175"/>
      <c r="K4897" s="188" t="s">
        <v>10856</v>
      </c>
      <c r="L4897" s="242">
        <v>24688502</v>
      </c>
      <c r="M4897" s="243">
        <v>5215561052216</v>
      </c>
      <c r="N4897" s="171" t="s">
        <v>28</v>
      </c>
      <c r="O4897" s="50">
        <v>39336.11</v>
      </c>
      <c r="P4897" s="97"/>
      <c r="Q4897" s="256">
        <f>OfficeForms.Table[[#This Row],[ INFORMEDEPAGO ]]*0.3</f>
        <v>11800.833000000001</v>
      </c>
      <c r="R4897" s="43">
        <f>(IF(O4897&lt;4172.98,0,MIN(O4897*0.3,O4897-4172.98)))-P4897</f>
        <v>11800.833000000001</v>
      </c>
      <c r="T4897" s="1"/>
      <c r="U4897" s="97"/>
      <c r="V4897" s="1" t="s">
        <v>8535</v>
      </c>
      <c r="W4897" s="29">
        <v>46286</v>
      </c>
    </row>
    <row r="4898" spans="1:23">
      <c r="A4898">
        <v>3334</v>
      </c>
      <c r="B4898" s="2">
        <v>46286.370625000003</v>
      </c>
      <c r="C4898" s="2">
        <v>46286.422256944403</v>
      </c>
      <c r="D4898" s="1" t="s">
        <v>24</v>
      </c>
      <c r="E4898" s="1"/>
      <c r="F4898" s="29">
        <v>46286</v>
      </c>
      <c r="G4898" s="29">
        <v>46286</v>
      </c>
      <c r="H4898" s="1" t="s">
        <v>1625</v>
      </c>
      <c r="I4898" s="251" t="s">
        <v>10857</v>
      </c>
      <c r="J4898" s="175">
        <v>90876500811</v>
      </c>
      <c r="K4898" s="188" t="s">
        <v>10858</v>
      </c>
      <c r="L4898" s="242">
        <v>2</v>
      </c>
      <c r="M4898" s="243" t="s">
        <v>10859</v>
      </c>
      <c r="N4898" s="171" t="s">
        <v>37</v>
      </c>
      <c r="O4898" s="43">
        <v>6140.16</v>
      </c>
      <c r="P4898" s="43">
        <v>1840.02</v>
      </c>
      <c r="Q4898" s="256">
        <f>OfficeForms.Table[[#This Row],[ INFORMEDEPAGO ]]*0.3</f>
        <v>1842.0479999999998</v>
      </c>
      <c r="R4898" s="43">
        <f>(IF(O4898&lt;4172.98,0,MIN(O4898*0.3,O4898-4172.98)))-P4898</f>
        <v>2.0279999999997926</v>
      </c>
      <c r="S4898" s="74">
        <v>46508</v>
      </c>
      <c r="T4898" s="1" t="s">
        <v>8338</v>
      </c>
      <c r="U4898" s="97">
        <v>1310.3499999999999</v>
      </c>
      <c r="V4898" s="1"/>
    </row>
    <row r="4899" spans="1:23">
      <c r="A4899">
        <v>3335</v>
      </c>
      <c r="B4899" s="2">
        <v>46286.424872685202</v>
      </c>
      <c r="C4899" s="2">
        <v>46286.425601851799</v>
      </c>
      <c r="D4899" s="1" t="s">
        <v>24</v>
      </c>
      <c r="E4899" s="1"/>
      <c r="F4899" s="29">
        <v>46286</v>
      </c>
      <c r="G4899" s="29">
        <v>46285</v>
      </c>
      <c r="H4899" s="1" t="s">
        <v>269</v>
      </c>
      <c r="I4899" s="251" t="s">
        <v>10860</v>
      </c>
      <c r="J4899" s="175"/>
      <c r="K4899" s="188" t="s">
        <v>10861</v>
      </c>
      <c r="L4899" s="242">
        <v>24685306</v>
      </c>
      <c r="M4899" s="243">
        <v>5216642287966</v>
      </c>
      <c r="N4899" s="171" t="s">
        <v>37</v>
      </c>
      <c r="O4899" s="50">
        <f>4922.29+1979.21</f>
        <v>6901.5</v>
      </c>
      <c r="P4899" s="97">
        <v>1979.21</v>
      </c>
      <c r="Q4899" s="256">
        <f>OfficeForms.Table[[#This Row],[ INFORMEDEPAGO ]]*0.3</f>
        <v>2070.4499999999998</v>
      </c>
      <c r="R4899" s="43">
        <f>(IF(O4899&lt;4172.98,0,MIN(O4899*0.3,O4899-4172.98)))-P4899</f>
        <v>91.239999999999782</v>
      </c>
      <c r="S4899" s="74">
        <v>46753</v>
      </c>
      <c r="T4899" s="1" t="s">
        <v>84</v>
      </c>
      <c r="U4899" s="97">
        <v>1979.21</v>
      </c>
      <c r="V4899" s="1"/>
    </row>
    <row r="4900" spans="1:23">
      <c r="A4900">
        <v>3336</v>
      </c>
      <c r="B4900" s="2">
        <v>46284.743379629603</v>
      </c>
      <c r="C4900" s="2">
        <v>46286.4313541667</v>
      </c>
      <c r="D4900" s="1" t="s">
        <v>24</v>
      </c>
      <c r="E4900" s="1"/>
      <c r="F4900" s="29">
        <v>46286</v>
      </c>
      <c r="G4900" s="29">
        <v>46275</v>
      </c>
      <c r="H4900" s="1" t="s">
        <v>8381</v>
      </c>
      <c r="I4900" s="251" t="s">
        <v>8541</v>
      </c>
      <c r="J4900" s="175"/>
      <c r="K4900" s="188" t="s">
        <v>8542</v>
      </c>
      <c r="L4900" s="242">
        <v>24373284</v>
      </c>
      <c r="M4900" s="243">
        <v>5218134752896</v>
      </c>
      <c r="N4900" s="171" t="s">
        <v>37</v>
      </c>
      <c r="O4900" s="50">
        <f>4668.94+1577.41+213.79</f>
        <v>6460.1399999999994</v>
      </c>
      <c r="P4900" s="97">
        <f>1577.41+213.79</f>
        <v>1791.2</v>
      </c>
      <c r="Q4900" s="256">
        <f>OfficeForms.Table[[#This Row],[ INFORMEDEPAGO ]]*0.3</f>
        <v>1938.0419999999997</v>
      </c>
      <c r="R4900" s="43">
        <f>(IF(O4900&lt;4172.98,0,MIN(O4900*0.3,O4900-4172.98)))-P4900</f>
        <v>146.84199999999964</v>
      </c>
      <c r="S4900" s="74">
        <v>46327</v>
      </c>
      <c r="T4900" s="1" t="s">
        <v>8338</v>
      </c>
      <c r="U4900" s="97">
        <v>1577.41</v>
      </c>
      <c r="V4900" s="1"/>
    </row>
    <row r="4901" spans="1:23">
      <c r="A4901">
        <v>3337</v>
      </c>
      <c r="B4901" s="2">
        <v>46286.433749999997</v>
      </c>
      <c r="C4901" s="2">
        <v>46286.434525463003</v>
      </c>
      <c r="D4901" s="1" t="s">
        <v>24</v>
      </c>
      <c r="E4901" s="1"/>
      <c r="F4901" s="29">
        <v>46286</v>
      </c>
      <c r="G4901" s="29">
        <v>46286</v>
      </c>
      <c r="H4901" s="1" t="s">
        <v>9986</v>
      </c>
      <c r="I4901" s="251" t="s">
        <v>10862</v>
      </c>
      <c r="J4901" s="175">
        <v>24776023517</v>
      </c>
      <c r="K4901" s="188"/>
      <c r="L4901" s="242">
        <v>24669270</v>
      </c>
      <c r="M4901" s="243">
        <v>6442554486</v>
      </c>
      <c r="N4901" s="171" t="s">
        <v>37</v>
      </c>
      <c r="O4901" s="52">
        <v>5776.61</v>
      </c>
      <c r="P4901" s="52">
        <v>1603</v>
      </c>
      <c r="Q4901" s="256">
        <f>OfficeForms.Table[[#This Row],[ INFORMEDEPAGO ]]*0.3</f>
        <v>1732.9829999999999</v>
      </c>
      <c r="R4901" s="43">
        <f>(IF(O4901&lt;4172.98,0,MIN(O4901*0.3,O4901-4172.98)))-P4901</f>
        <v>0.63000000000010914</v>
      </c>
      <c r="S4901" s="74">
        <v>46844</v>
      </c>
      <c r="T4901" s="1" t="s">
        <v>6855</v>
      </c>
      <c r="U4901" s="52">
        <v>1603</v>
      </c>
      <c r="V4901" s="1"/>
    </row>
    <row r="4902" spans="1:23">
      <c r="A4902">
        <v>3338</v>
      </c>
      <c r="B4902" s="2">
        <v>46286.416643518503</v>
      </c>
      <c r="C4902" s="2">
        <v>46286.4366898148</v>
      </c>
      <c r="D4902" s="1" t="s">
        <v>24</v>
      </c>
      <c r="E4902" s="1"/>
      <c r="F4902" s="29">
        <v>46286</v>
      </c>
      <c r="G4902" s="29">
        <v>46286</v>
      </c>
      <c r="H4902" s="1" t="s">
        <v>78</v>
      </c>
      <c r="I4902" s="251" t="s">
        <v>10863</v>
      </c>
      <c r="J4902" s="175">
        <v>6790715679</v>
      </c>
      <c r="K4902" s="188" t="s">
        <v>10864</v>
      </c>
      <c r="L4902" s="242">
        <v>24690894</v>
      </c>
      <c r="M4902" s="243">
        <v>5219211490628</v>
      </c>
      <c r="N4902" s="171" t="s">
        <v>37</v>
      </c>
      <c r="O4902" s="43">
        <v>8181.55</v>
      </c>
      <c r="P4902" s="43">
        <v>2447.02</v>
      </c>
      <c r="Q4902" s="256">
        <f>OfficeForms.Table[[#This Row],[ INFORMEDEPAGO ]]*0.3</f>
        <v>2454.4650000000001</v>
      </c>
      <c r="R4902" s="43">
        <f>(IF(O4902&lt;4172.98,0,MIN(O4902*0.3,O4902-4172.98)))-P4902</f>
        <v>7.4450000000001637</v>
      </c>
      <c r="S4902" s="74">
        <v>46966</v>
      </c>
      <c r="T4902" s="1" t="s">
        <v>84</v>
      </c>
      <c r="U4902" s="43">
        <v>2447.02</v>
      </c>
      <c r="V4902" s="1"/>
    </row>
    <row r="4903" spans="1:23">
      <c r="A4903">
        <v>3339</v>
      </c>
      <c r="B4903" s="2">
        <v>46286.431377314802</v>
      </c>
      <c r="C4903" s="2">
        <v>46286.454884259299</v>
      </c>
      <c r="D4903" s="1" t="s">
        <v>24</v>
      </c>
      <c r="E4903" s="1"/>
      <c r="F4903" s="29">
        <v>46286</v>
      </c>
      <c r="G4903" s="29">
        <v>46286</v>
      </c>
      <c r="H4903" s="1" t="s">
        <v>8381</v>
      </c>
      <c r="I4903" s="251" t="s">
        <v>10865</v>
      </c>
      <c r="J4903" s="207" t="s">
        <v>10866</v>
      </c>
      <c r="K4903" s="188" t="s">
        <v>10867</v>
      </c>
      <c r="L4903" s="242">
        <v>24691464</v>
      </c>
      <c r="M4903" s="243">
        <v>5218661076024</v>
      </c>
      <c r="N4903" s="171" t="s">
        <v>37</v>
      </c>
      <c r="O4903" s="43">
        <v>6379.06</v>
      </c>
      <c r="P4903" s="43">
        <v>1709.32</v>
      </c>
      <c r="Q4903" s="256">
        <f>OfficeForms.Table[[#This Row],[ INFORMEDEPAGO ]]*0.3</f>
        <v>1913.7180000000001</v>
      </c>
      <c r="R4903" s="43">
        <f>(IF(O4903&lt;4172.98,0,MIN(O4903*0.3,O4903-4172.98)))-P4903</f>
        <v>204.39800000000014</v>
      </c>
      <c r="S4903" s="74">
        <v>46753</v>
      </c>
      <c r="T4903" s="1" t="s">
        <v>84</v>
      </c>
      <c r="U4903" s="43">
        <v>1709.32</v>
      </c>
      <c r="V4903" s="1"/>
    </row>
    <row r="4904" spans="1:23">
      <c r="A4904">
        <v>3340</v>
      </c>
      <c r="B4904" s="2">
        <v>46286.471261574101</v>
      </c>
      <c r="C4904" s="2">
        <v>46286.471817129597</v>
      </c>
      <c r="D4904" s="1" t="s">
        <v>24</v>
      </c>
      <c r="E4904" s="1"/>
      <c r="F4904" s="29">
        <v>46286</v>
      </c>
      <c r="G4904" s="29">
        <v>46274</v>
      </c>
      <c r="H4904" s="1" t="s">
        <v>269</v>
      </c>
      <c r="I4904" s="251" t="s">
        <v>10868</v>
      </c>
      <c r="J4904" s="207" t="s">
        <v>10869</v>
      </c>
      <c r="K4904" s="188"/>
      <c r="L4904" s="242">
        <v>24360134</v>
      </c>
      <c r="M4904" s="243">
        <v>5217299744772</v>
      </c>
      <c r="N4904" s="171" t="s">
        <v>28</v>
      </c>
      <c r="O4904" s="50">
        <f>42900.7-32264.16</f>
        <v>10636.539999999997</v>
      </c>
      <c r="P4904" s="97"/>
      <c r="Q4904" s="256">
        <f>OfficeForms.Table[[#This Row],[ INFORMEDEPAGO ]]*0.3</f>
        <v>3190.9619999999991</v>
      </c>
      <c r="R4904" s="43">
        <f>(IF(O4904&lt;4172.98,0,MIN(O4904*0.3,O4904-4172.98)))-P4904</f>
        <v>3190.9619999999991</v>
      </c>
      <c r="T4904" s="1"/>
      <c r="U4904" s="97"/>
      <c r="V4904" s="1" t="s">
        <v>8915</v>
      </c>
      <c r="W4904" s="29">
        <v>46286</v>
      </c>
    </row>
    <row r="4905" spans="1:23">
      <c r="A4905">
        <v>3341</v>
      </c>
      <c r="B4905" s="2">
        <v>46286.473518518498</v>
      </c>
      <c r="C4905" s="2">
        <v>46286.474027777796</v>
      </c>
      <c r="D4905" s="1" t="s">
        <v>24</v>
      </c>
      <c r="E4905" s="1"/>
      <c r="F4905" s="29">
        <v>46286</v>
      </c>
      <c r="G4905" s="29">
        <v>46285</v>
      </c>
      <c r="H4905" s="1" t="s">
        <v>9991</v>
      </c>
      <c r="I4905" s="251" t="s">
        <v>10870</v>
      </c>
      <c r="J4905" s="207"/>
      <c r="K4905" s="188" t="s">
        <v>10871</v>
      </c>
      <c r="L4905" s="242">
        <v>24672842</v>
      </c>
      <c r="M4905" s="243">
        <v>8129471687</v>
      </c>
      <c r="N4905" s="171" t="s">
        <v>37</v>
      </c>
      <c r="O4905" s="43">
        <v>9375.56</v>
      </c>
      <c r="P4905" s="43">
        <v>2809.75</v>
      </c>
      <c r="Q4905" s="256">
        <f>OfficeForms.Table[[#This Row],[ INFORMEDEPAGO ]]*0.3</f>
        <v>2812.6679999999997</v>
      </c>
      <c r="R4905" s="43">
        <f>(IF(O4905&lt;4172.98,0,MIN(O4905*0.3,O4905-4172.98)))-P4905</f>
        <v>2.9179999999996653</v>
      </c>
      <c r="S4905" s="74">
        <v>46508</v>
      </c>
      <c r="T4905" s="1" t="s">
        <v>6855</v>
      </c>
      <c r="U4905" s="97">
        <v>1807.41</v>
      </c>
      <c r="V4905" s="1"/>
    </row>
    <row r="4906" spans="1:23">
      <c r="A4906">
        <v>3342</v>
      </c>
      <c r="B4906" s="2">
        <v>46286.474699074097</v>
      </c>
      <c r="C4906" s="2">
        <v>46286.475636574098</v>
      </c>
      <c r="D4906" s="1" t="s">
        <v>24</v>
      </c>
      <c r="E4906" s="1"/>
      <c r="F4906" s="29">
        <v>46286</v>
      </c>
      <c r="G4906" s="29">
        <v>46285</v>
      </c>
      <c r="H4906" s="1" t="s">
        <v>10043</v>
      </c>
      <c r="I4906" s="251" t="s">
        <v>10872</v>
      </c>
      <c r="J4906" s="207"/>
      <c r="K4906" s="188" t="s">
        <v>10873</v>
      </c>
      <c r="L4906" s="242">
        <v>24680330</v>
      </c>
      <c r="M4906" s="243">
        <v>2881216837</v>
      </c>
      <c r="N4906" s="171" t="s">
        <v>98</v>
      </c>
      <c r="O4906" s="50"/>
      <c r="P4906" s="97"/>
      <c r="Q4906" s="256">
        <f>OfficeForms.Table[[#This Row],[ INFORMEDEPAGO ]]*0.3</f>
        <v>0</v>
      </c>
      <c r="R4906" s="43">
        <f>(IF(O4906&lt;4172.98,0,MIN(O4906*0.3,O4906-4172.98)))-P4906</f>
        <v>0</v>
      </c>
      <c r="T4906" s="1"/>
      <c r="U4906" s="97"/>
      <c r="V4906" s="1"/>
    </row>
    <row r="4907" spans="1:23">
      <c r="A4907">
        <v>3343</v>
      </c>
      <c r="B4907" s="2">
        <v>46286.454965277801</v>
      </c>
      <c r="C4907" s="2">
        <v>46286.479074074101</v>
      </c>
      <c r="D4907" s="1" t="s">
        <v>24</v>
      </c>
      <c r="E4907" s="1"/>
      <c r="F4907" s="29">
        <v>46286</v>
      </c>
      <c r="G4907" s="29">
        <v>46286</v>
      </c>
      <c r="H4907" s="1" t="s">
        <v>8381</v>
      </c>
      <c r="I4907" s="251" t="s">
        <v>10874</v>
      </c>
      <c r="J4907" s="207" t="s">
        <v>10875</v>
      </c>
      <c r="K4907" s="188" t="s">
        <v>10876</v>
      </c>
      <c r="L4907" s="242">
        <v>24691182</v>
      </c>
      <c r="M4907" s="243">
        <v>5216471201438</v>
      </c>
      <c r="N4907" s="171" t="s">
        <v>37</v>
      </c>
      <c r="O4907" s="52">
        <v>5934.6</v>
      </c>
      <c r="P4907" s="52">
        <v>1759.9</v>
      </c>
      <c r="Q4907" s="256">
        <f>OfficeForms.Table[[#This Row],[ INFORMEDEPAGO ]]*0.3</f>
        <v>1780.38</v>
      </c>
      <c r="R4907" s="43">
        <f>(IF(O4907&lt;4172.98,0,MIN(O4907*0.3,O4907-4172.98)))-P4907</f>
        <v>1.7200000000007094</v>
      </c>
      <c r="S4907" s="74">
        <v>46419</v>
      </c>
      <c r="T4907" s="1" t="s">
        <v>8981</v>
      </c>
      <c r="U4907" s="97">
        <v>1628.27</v>
      </c>
      <c r="V4907" s="1"/>
    </row>
    <row r="4908" spans="1:23">
      <c r="A4908">
        <v>3344</v>
      </c>
      <c r="B4908" s="2">
        <v>46286.479293981502</v>
      </c>
      <c r="C4908" s="2">
        <v>46286.480277777802</v>
      </c>
      <c r="D4908" s="1" t="s">
        <v>24</v>
      </c>
      <c r="E4908" s="1"/>
      <c r="F4908" s="29">
        <v>46286</v>
      </c>
      <c r="G4908" s="29">
        <v>46286</v>
      </c>
      <c r="H4908" s="1" t="s">
        <v>269</v>
      </c>
      <c r="I4908" s="251" t="s">
        <v>10877</v>
      </c>
      <c r="J4908" s="207"/>
      <c r="K4908" s="188" t="s">
        <v>10878</v>
      </c>
      <c r="L4908" s="242">
        <v>24693024</v>
      </c>
      <c r="M4908" s="243">
        <v>5215535679859</v>
      </c>
      <c r="N4908" s="171" t="s">
        <v>37</v>
      </c>
      <c r="O4908" s="52">
        <v>9081.52</v>
      </c>
      <c r="P4908" s="52">
        <v>2627</v>
      </c>
      <c r="Q4908" s="256">
        <f>OfficeForms.Table[[#This Row],[ INFORMEDEPAGO ]]*0.3</f>
        <v>2724.4560000000001</v>
      </c>
      <c r="R4908" s="43">
        <f>(IF(O4908&lt;4172.98,0,MIN(O4908*0.3,O4908-4172.98)))-P4908</f>
        <v>97.456000000000131</v>
      </c>
      <c r="S4908" s="74">
        <v>46508</v>
      </c>
      <c r="T4908" s="1" t="s">
        <v>10879</v>
      </c>
      <c r="U4908" s="52">
        <v>2627</v>
      </c>
      <c r="V4908" s="1"/>
    </row>
    <row r="4909" spans="1:23">
      <c r="A4909">
        <v>3345</v>
      </c>
      <c r="B4909" s="2">
        <v>46286.420439814799</v>
      </c>
      <c r="C4909" s="2">
        <v>46286.481759259303</v>
      </c>
      <c r="D4909" s="1" t="s">
        <v>24</v>
      </c>
      <c r="E4909" s="1"/>
      <c r="F4909" s="29">
        <v>46286</v>
      </c>
      <c r="G4909" s="29">
        <v>46286</v>
      </c>
      <c r="H4909" s="1" t="s">
        <v>51</v>
      </c>
      <c r="I4909" s="251" t="s">
        <v>10880</v>
      </c>
      <c r="J4909" s="208" t="s">
        <v>10881</v>
      </c>
      <c r="K4909" s="188" t="s">
        <v>10882</v>
      </c>
      <c r="L4909" s="242">
        <v>24693776</v>
      </c>
      <c r="M4909" s="243">
        <v>5217821304178</v>
      </c>
      <c r="N4909" s="171" t="s">
        <v>32</v>
      </c>
      <c r="O4909" s="50">
        <v>3405.3</v>
      </c>
      <c r="P4909" s="97"/>
      <c r="Q4909" s="256">
        <f>OfficeForms.Table[[#This Row],[ INFORMEDEPAGO ]]*0.3</f>
        <v>1021.59</v>
      </c>
      <c r="R4909" s="43">
        <f>(IF(O4909&lt;4172.98,0,MIN(O4909*0.3,O4909-4172.98)))-P4909</f>
        <v>0</v>
      </c>
      <c r="T4909" s="1"/>
      <c r="U4909" s="97"/>
      <c r="V4909" s="1"/>
    </row>
    <row r="4910" spans="1:23">
      <c r="A4910">
        <v>3346</v>
      </c>
      <c r="B4910" s="2">
        <v>46286.468472222201</v>
      </c>
      <c r="C4910" s="2">
        <v>46286.4910648148</v>
      </c>
      <c r="D4910" s="1" t="s">
        <v>24</v>
      </c>
      <c r="E4910" s="1"/>
      <c r="F4910" s="29">
        <v>46286</v>
      </c>
      <c r="G4910" s="29">
        <v>46286</v>
      </c>
      <c r="H4910" s="1" t="s">
        <v>78</v>
      </c>
      <c r="I4910" s="251" t="s">
        <v>10883</v>
      </c>
      <c r="J4910" s="207">
        <v>43826704876</v>
      </c>
      <c r="K4910" s="188" t="s">
        <v>10884</v>
      </c>
      <c r="L4910" s="242">
        <v>24694794</v>
      </c>
      <c r="M4910" s="243">
        <v>5218135662619</v>
      </c>
      <c r="N4910" s="171" t="s">
        <v>28</v>
      </c>
      <c r="O4910" s="50">
        <v>8784.27</v>
      </c>
      <c r="P4910" s="97"/>
      <c r="Q4910" s="256">
        <f>OfficeForms.Table[[#This Row],[ INFORMEDEPAGO ]]*0.3</f>
        <v>2635.2809999999999</v>
      </c>
      <c r="R4910" s="43">
        <f>(IF(O4910&lt;4172.98,0,MIN(O4910*0.3,O4910-4172.98)))-P4910</f>
        <v>2635.2809999999999</v>
      </c>
      <c r="T4910" s="1"/>
      <c r="U4910" s="97"/>
      <c r="V4910" s="1" t="s">
        <v>9958</v>
      </c>
      <c r="W4910" s="29">
        <v>46286</v>
      </c>
    </row>
    <row r="4911" spans="1:23">
      <c r="A4911">
        <v>3347</v>
      </c>
      <c r="B4911" s="2">
        <v>46286.492627314801</v>
      </c>
      <c r="C4911" s="2">
        <v>46286.494155092601</v>
      </c>
      <c r="D4911" s="1" t="s">
        <v>24</v>
      </c>
      <c r="E4911" s="1"/>
      <c r="F4911" s="29">
        <v>46286</v>
      </c>
      <c r="G4911" s="29">
        <v>46286</v>
      </c>
      <c r="H4911" s="1" t="s">
        <v>269</v>
      </c>
      <c r="I4911" s="251" t="s">
        <v>10885</v>
      </c>
      <c r="J4911" s="207" t="s">
        <v>10886</v>
      </c>
      <c r="K4911" s="188" t="s">
        <v>10887</v>
      </c>
      <c r="L4911" s="242">
        <v>24693968</v>
      </c>
      <c r="M4911" s="243">
        <v>5214448008764</v>
      </c>
      <c r="N4911" s="171" t="s">
        <v>37</v>
      </c>
      <c r="O4911" s="52">
        <v>7920.51</v>
      </c>
      <c r="P4911" s="52">
        <v>2371.6999999999998</v>
      </c>
      <c r="Q4911" s="256">
        <f>OfficeForms.Table[[#This Row],[ INFORMEDEPAGO ]]*0.3</f>
        <v>2376.1529999999998</v>
      </c>
      <c r="R4911" s="43">
        <f>(IF(O4911&lt;4172.98,0,MIN(O4911*0.3,O4911-4172.98)))-P4911</f>
        <v>4.4529999999999745</v>
      </c>
      <c r="S4911" s="74">
        <v>46327</v>
      </c>
      <c r="T4911" s="1" t="s">
        <v>178</v>
      </c>
      <c r="U4911" s="97">
        <v>877.4</v>
      </c>
      <c r="V4911" s="1"/>
    </row>
    <row r="4912" spans="1:23">
      <c r="A4912">
        <v>3348</v>
      </c>
      <c r="B4912" s="2">
        <v>46286.502476851798</v>
      </c>
      <c r="C4912" s="2">
        <v>46286.502916666701</v>
      </c>
      <c r="D4912" s="1" t="s">
        <v>24</v>
      </c>
      <c r="E4912" s="1"/>
      <c r="F4912" s="29">
        <v>46286</v>
      </c>
      <c r="G4912" s="29">
        <v>46286</v>
      </c>
      <c r="H4912" s="1" t="s">
        <v>269</v>
      </c>
      <c r="I4912" s="251" t="s">
        <v>10888</v>
      </c>
      <c r="J4912" s="207"/>
      <c r="K4912" s="188" t="s">
        <v>10889</v>
      </c>
      <c r="L4912" s="242">
        <v>24685856</v>
      </c>
      <c r="M4912" s="243">
        <v>5218132808860</v>
      </c>
      <c r="N4912" s="171" t="s">
        <v>37</v>
      </c>
      <c r="O4912" s="52">
        <v>7640.52</v>
      </c>
      <c r="P4912" s="52">
        <v>2291.44</v>
      </c>
      <c r="Q4912" s="256">
        <f>OfficeForms.Table[[#This Row],[ INFORMEDEPAGO ]]*0.3</f>
        <v>2292.1559999999999</v>
      </c>
      <c r="R4912" s="43">
        <f>(IF(O4912&lt;4172.98,0,MIN(O4912*0.3,O4912-4172.98)))-P4912</f>
        <v>0.7159999999998945</v>
      </c>
      <c r="S4912" s="74">
        <v>46600</v>
      </c>
      <c r="T4912" s="1" t="s">
        <v>7209</v>
      </c>
      <c r="U4912" s="97">
        <v>913.13</v>
      </c>
      <c r="V4912" s="1"/>
    </row>
    <row r="4913" spans="1:23">
      <c r="A4913">
        <v>3349</v>
      </c>
      <c r="B4913" s="2">
        <v>46286.479097222204</v>
      </c>
      <c r="C4913" s="2">
        <v>46286.505104166703</v>
      </c>
      <c r="D4913" s="1" t="s">
        <v>24</v>
      </c>
      <c r="E4913" s="1"/>
      <c r="F4913" s="29">
        <v>46286</v>
      </c>
      <c r="G4913" s="29">
        <v>46286</v>
      </c>
      <c r="H4913" s="1" t="s">
        <v>8381</v>
      </c>
      <c r="I4913" s="251" t="s">
        <v>10890</v>
      </c>
      <c r="J4913" s="207"/>
      <c r="K4913" s="188" t="s">
        <v>10891</v>
      </c>
      <c r="L4913" s="242">
        <v>24690640</v>
      </c>
      <c r="M4913" s="243">
        <v>5217774122435</v>
      </c>
      <c r="N4913" s="171" t="s">
        <v>28</v>
      </c>
      <c r="O4913" s="50">
        <v>10636.54</v>
      </c>
      <c r="P4913" s="97"/>
      <c r="Q4913" s="256">
        <f>OfficeForms.Table[[#This Row],[ INFORMEDEPAGO ]]*0.3</f>
        <v>3190.962</v>
      </c>
      <c r="R4913" s="43">
        <f>(IF(O4913&lt;4172.98,0,MIN(O4913*0.3,O4913-4172.98)))-P4913</f>
        <v>3190.962</v>
      </c>
      <c r="T4913" s="1"/>
      <c r="U4913" s="97"/>
      <c r="V4913" s="1" t="s">
        <v>9958</v>
      </c>
      <c r="W4913" s="29">
        <v>46286</v>
      </c>
    </row>
    <row r="4914" spans="1:23">
      <c r="A4914">
        <v>3350</v>
      </c>
      <c r="B4914" s="2">
        <v>46286.515625</v>
      </c>
      <c r="C4914" s="2">
        <v>46286.516064814801</v>
      </c>
      <c r="D4914" s="1" t="s">
        <v>24</v>
      </c>
      <c r="E4914" s="1"/>
      <c r="F4914" s="29">
        <v>46286</v>
      </c>
      <c r="G4914" s="29">
        <v>46286</v>
      </c>
      <c r="H4914" s="1" t="s">
        <v>269</v>
      </c>
      <c r="I4914" s="251" t="s">
        <v>10892</v>
      </c>
      <c r="J4914" s="207" t="s">
        <v>10893</v>
      </c>
      <c r="K4914" s="188" t="s">
        <v>10894</v>
      </c>
      <c r="L4914" s="242">
        <v>24663894</v>
      </c>
      <c r="M4914" s="243">
        <v>5219341899260</v>
      </c>
      <c r="N4914" s="171" t="s">
        <v>130</v>
      </c>
      <c r="O4914" s="52">
        <v>6262.86</v>
      </c>
      <c r="P4914" s="52">
        <v>1810.99</v>
      </c>
      <c r="Q4914" s="256">
        <f>OfficeForms.Table[[#This Row],[ INFORMEDEPAGO ]]*0.3</f>
        <v>1878.8579999999997</v>
      </c>
      <c r="R4914" s="43">
        <f>(IF(O4914&lt;4172.98,0,MIN(O4914*0.3,O4914-4172.98)))-P4914</f>
        <v>67.867999999999711</v>
      </c>
      <c r="S4914" s="74">
        <v>45839</v>
      </c>
      <c r="T4914" s="1" t="s">
        <v>8415</v>
      </c>
      <c r="U4914" s="97">
        <v>828.71</v>
      </c>
      <c r="V4914" s="1" t="s">
        <v>8233</v>
      </c>
      <c r="W4914" s="29">
        <v>46286</v>
      </c>
    </row>
    <row r="4915" spans="1:23">
      <c r="A4915">
        <v>3351</v>
      </c>
      <c r="B4915" s="2">
        <v>46286.480416666702</v>
      </c>
      <c r="C4915" s="2">
        <v>46286.519976851901</v>
      </c>
      <c r="D4915" s="1" t="s">
        <v>24</v>
      </c>
      <c r="E4915" s="1"/>
      <c r="F4915" s="29">
        <v>46286</v>
      </c>
      <c r="G4915" s="29">
        <v>46284</v>
      </c>
      <c r="H4915" s="1" t="s">
        <v>51</v>
      </c>
      <c r="I4915" s="251" t="s">
        <v>10895</v>
      </c>
      <c r="J4915" s="207" t="s">
        <v>10896</v>
      </c>
      <c r="K4915" s="188" t="s">
        <v>10897</v>
      </c>
      <c r="L4915" s="242">
        <v>24663446</v>
      </c>
      <c r="M4915" s="243">
        <v>5216672033856</v>
      </c>
      <c r="N4915" s="171" t="s">
        <v>47</v>
      </c>
      <c r="O4915" s="50">
        <f>4214.13+1064</f>
        <v>5278.13</v>
      </c>
      <c r="P4915" s="97"/>
      <c r="Q4915" s="256">
        <f>OfficeForms.Table[[#This Row],[ INFORMEDEPAGO ]]*0.3</f>
        <v>1583.4390000000001</v>
      </c>
      <c r="R4915" s="43">
        <f>(IF(O4915&lt;4172.98,0,MIN(O4915*0.3,O4915-4172.98)))-P4915</f>
        <v>1105.1500000000005</v>
      </c>
      <c r="S4915" s="74">
        <v>46539</v>
      </c>
      <c r="T4915" s="1" t="s">
        <v>10257</v>
      </c>
      <c r="U4915" s="97">
        <v>1064</v>
      </c>
      <c r="V4915" s="1" t="s">
        <v>10898</v>
      </c>
      <c r="W4915" s="29">
        <v>46286</v>
      </c>
    </row>
    <row r="4916" spans="1:23">
      <c r="A4916">
        <v>3352</v>
      </c>
      <c r="B4916" s="2">
        <v>46286.519988425898</v>
      </c>
      <c r="C4916" s="2">
        <v>46286.530856481499</v>
      </c>
      <c r="D4916" s="1" t="s">
        <v>24</v>
      </c>
      <c r="E4916" s="1"/>
      <c r="F4916" s="29">
        <v>46286</v>
      </c>
      <c r="G4916" s="29">
        <v>46286</v>
      </c>
      <c r="H4916" s="1" t="s">
        <v>51</v>
      </c>
      <c r="I4916" s="251" t="s">
        <v>10899</v>
      </c>
      <c r="J4916" s="207">
        <v>33816295852</v>
      </c>
      <c r="K4916" s="188" t="s">
        <v>10900</v>
      </c>
      <c r="L4916" s="242">
        <v>24457790</v>
      </c>
      <c r="M4916" s="243">
        <v>5216143443265</v>
      </c>
      <c r="N4916" s="171" t="s">
        <v>28</v>
      </c>
      <c r="O4916" s="50">
        <v>34372.21</v>
      </c>
      <c r="P4916" s="97"/>
      <c r="Q4916" s="256">
        <f>OfficeForms.Table[[#This Row],[ INFORMEDEPAGO ]]*0.3</f>
        <v>10311.662999999999</v>
      </c>
      <c r="R4916" s="43">
        <f>(IF(O4916&lt;4172.98,0,MIN(O4916*0.3,O4916-4172.98)))-P4916</f>
        <v>10311.662999999999</v>
      </c>
      <c r="T4916" s="1"/>
      <c r="U4916" s="97"/>
      <c r="V4916" s="1" t="s">
        <v>8716</v>
      </c>
      <c r="W4916" s="29">
        <v>46286</v>
      </c>
    </row>
    <row r="4917" spans="1:23">
      <c r="A4917">
        <v>3353</v>
      </c>
      <c r="B4917" s="2">
        <v>46286.4222800926</v>
      </c>
      <c r="C4917" s="2">
        <v>46286.533032407402</v>
      </c>
      <c r="D4917" s="1" t="s">
        <v>24</v>
      </c>
      <c r="E4917" s="1"/>
      <c r="F4917" s="29">
        <v>46286</v>
      </c>
      <c r="G4917" s="29">
        <v>46286</v>
      </c>
      <c r="H4917" s="1" t="s">
        <v>1625</v>
      </c>
      <c r="I4917" s="251" t="s">
        <v>10901</v>
      </c>
      <c r="J4917" s="207">
        <v>30896100244</v>
      </c>
      <c r="K4917" s="188" t="s">
        <v>10902</v>
      </c>
      <c r="L4917" s="242">
        <v>2</v>
      </c>
      <c r="M4917" s="243">
        <v>5629072021</v>
      </c>
      <c r="N4917" s="171" t="s">
        <v>37</v>
      </c>
      <c r="O4917" s="52">
        <v>9081.52</v>
      </c>
      <c r="P4917" s="52">
        <v>2724.39</v>
      </c>
      <c r="Q4917" s="256">
        <f>OfficeForms.Table[[#This Row],[ INFORMEDEPAGO ]]*0.3</f>
        <v>2724.4560000000001</v>
      </c>
      <c r="R4917" s="43">
        <f>(IF(O4917&lt;4172.98,0,MIN(O4917*0.3,O4917-4172.98)))-P4917</f>
        <v>6.6000000000258296E-2</v>
      </c>
      <c r="S4917" s="74">
        <v>46631</v>
      </c>
      <c r="T4917" s="1" t="s">
        <v>8338</v>
      </c>
      <c r="U4917" s="97">
        <v>2625.39</v>
      </c>
      <c r="V4917" s="1"/>
    </row>
    <row r="4918" spans="1:23">
      <c r="A4918">
        <v>3354</v>
      </c>
      <c r="B4918" s="2">
        <v>46286.5331365741</v>
      </c>
      <c r="C4918" s="2">
        <v>46286.534965277802</v>
      </c>
      <c r="D4918" s="1" t="s">
        <v>24</v>
      </c>
      <c r="E4918" s="1"/>
      <c r="F4918" s="29">
        <v>46286</v>
      </c>
      <c r="G4918" s="29">
        <v>46286</v>
      </c>
      <c r="H4918" s="1" t="s">
        <v>1625</v>
      </c>
      <c r="I4918" s="251" t="s">
        <v>10903</v>
      </c>
      <c r="J4918" s="207" t="s">
        <v>10904</v>
      </c>
      <c r="K4918" s="188" t="s">
        <v>10905</v>
      </c>
      <c r="L4918" s="242">
        <v>2</v>
      </c>
      <c r="M4918" s="243">
        <v>8442010318</v>
      </c>
      <c r="N4918" s="171" t="s">
        <v>37</v>
      </c>
      <c r="O4918" s="52">
        <v>9081.52</v>
      </c>
      <c r="P4918" s="52">
        <v>2627.49</v>
      </c>
      <c r="Q4918" s="256">
        <f>OfficeForms.Table[[#This Row],[ INFORMEDEPAGO ]]*0.3</f>
        <v>2724.4560000000001</v>
      </c>
      <c r="R4918" s="43">
        <f>(IF(O4918&lt;4172.98,0,MIN(O4918*0.3,O4918-4172.98)))-P4918</f>
        <v>96.966000000000349</v>
      </c>
      <c r="S4918" s="74">
        <v>46508</v>
      </c>
      <c r="T4918" s="1" t="s">
        <v>7209</v>
      </c>
      <c r="U4918" s="97">
        <v>1909.72</v>
      </c>
      <c r="V4918" s="1"/>
    </row>
    <row r="4919" spans="1:23">
      <c r="A4919">
        <v>3355</v>
      </c>
      <c r="B4919" s="2">
        <v>46286.551840277803</v>
      </c>
      <c r="C4919" s="2">
        <v>46286.553437499999</v>
      </c>
      <c r="D4919" s="1" t="s">
        <v>24</v>
      </c>
      <c r="E4919" s="1"/>
      <c r="F4919" s="29">
        <v>46286</v>
      </c>
      <c r="G4919" s="29">
        <v>46285</v>
      </c>
      <c r="H4919" s="1" t="s">
        <v>10043</v>
      </c>
      <c r="I4919" s="251"/>
      <c r="J4919" s="207">
        <v>43856420773</v>
      </c>
      <c r="K4919" s="188"/>
      <c r="L4919" s="242">
        <v>24681776</v>
      </c>
      <c r="M4919" s="243">
        <v>8125802017</v>
      </c>
      <c r="N4919" s="171" t="s">
        <v>37</v>
      </c>
      <c r="O4919" s="50">
        <f>6456.13+2625.39</f>
        <v>9081.52</v>
      </c>
      <c r="P4919" s="97">
        <v>2625.39</v>
      </c>
      <c r="Q4919" s="256">
        <f>OfficeForms.Table[[#This Row],[ INFORMEDEPAGO ]]*0.3</f>
        <v>2724.4560000000001</v>
      </c>
      <c r="R4919" s="43">
        <f>(IF(O4919&lt;4172.98,0,MIN(O4919*0.3,O4919-4172.98)))-P4919</f>
        <v>99.066000000000258</v>
      </c>
      <c r="S4919" s="74">
        <v>46508</v>
      </c>
      <c r="T4919" s="1" t="s">
        <v>8338</v>
      </c>
      <c r="U4919" s="97">
        <v>2625.39</v>
      </c>
      <c r="V4919" s="1"/>
    </row>
    <row r="4920" spans="1:23">
      <c r="A4920">
        <v>3356</v>
      </c>
      <c r="B4920" s="2">
        <v>46286.572060185201</v>
      </c>
      <c r="C4920" s="2">
        <v>46286.572986111103</v>
      </c>
      <c r="D4920" s="1" t="s">
        <v>24</v>
      </c>
      <c r="E4920" s="1"/>
      <c r="F4920" s="29">
        <v>46286</v>
      </c>
      <c r="G4920" s="29">
        <v>46285</v>
      </c>
      <c r="H4920" s="1" t="s">
        <v>9991</v>
      </c>
      <c r="I4920" s="251" t="s">
        <v>10906</v>
      </c>
      <c r="J4920" s="207">
        <v>75956000030</v>
      </c>
      <c r="K4920" s="188" t="s">
        <v>10907</v>
      </c>
      <c r="L4920" s="242">
        <v>24684426</v>
      </c>
      <c r="M4920" s="243">
        <v>3321852663</v>
      </c>
      <c r="N4920" s="171" t="s">
        <v>263</v>
      </c>
      <c r="O4920" s="50">
        <f>4450.73+1166.9</f>
        <v>5617.6299999999992</v>
      </c>
      <c r="P4920" s="97">
        <v>1166.9000000000001</v>
      </c>
      <c r="Q4920" s="256">
        <f>OfficeForms.Table[[#This Row],[ INFORMEDEPAGO ]]*0.3</f>
        <v>1685.2889999999998</v>
      </c>
      <c r="R4920" s="43">
        <f t="shared" ref="R4920:R4927" si="414">(IF(O4920&lt;4172.98,0,MIN(O4920*0.3,O4920-4172.98)))-P4920</f>
        <v>277.74999999999955</v>
      </c>
      <c r="S4920" s="74">
        <v>45383</v>
      </c>
      <c r="T4920" s="1" t="s">
        <v>192</v>
      </c>
      <c r="U4920" s="97">
        <v>1166.9000000000001</v>
      </c>
      <c r="V4920" s="1" t="s">
        <v>8291</v>
      </c>
      <c r="W4920" s="29">
        <v>46286</v>
      </c>
    </row>
    <row r="4921" spans="1:23">
      <c r="A4921">
        <v>3357</v>
      </c>
      <c r="B4921" s="2">
        <v>46286.578275462998</v>
      </c>
      <c r="C4921" s="2">
        <v>46286.578877314802</v>
      </c>
      <c r="D4921" s="1" t="s">
        <v>24</v>
      </c>
      <c r="E4921" s="1"/>
      <c r="F4921" s="29">
        <v>46286</v>
      </c>
      <c r="G4921" s="29">
        <v>46285</v>
      </c>
      <c r="H4921" s="1" t="s">
        <v>9991</v>
      </c>
      <c r="I4921" s="251" t="s">
        <v>10908</v>
      </c>
      <c r="J4921" s="207">
        <v>32886377830</v>
      </c>
      <c r="K4921" s="188" t="s">
        <v>10909</v>
      </c>
      <c r="L4921" s="242">
        <v>24679216</v>
      </c>
      <c r="M4921" s="243">
        <v>8442180199</v>
      </c>
      <c r="N4921" s="171" t="s">
        <v>37</v>
      </c>
      <c r="O4921" s="50">
        <f>15750+6749.9</f>
        <v>22499.9</v>
      </c>
      <c r="P4921" s="97">
        <v>6749.9</v>
      </c>
      <c r="Q4921" s="256">
        <f>OfficeForms.Table[[#This Row],[ INFORMEDEPAGO ]]*0.3</f>
        <v>6749.97</v>
      </c>
      <c r="R4921" s="43">
        <f t="shared" si="414"/>
        <v>7.0000000000618456E-2</v>
      </c>
      <c r="S4921" s="74">
        <v>46966</v>
      </c>
      <c r="T4921" s="1" t="s">
        <v>10257</v>
      </c>
      <c r="U4921" s="97">
        <v>6749.9</v>
      </c>
      <c r="V4921" s="1"/>
    </row>
    <row r="4922" spans="1:23">
      <c r="A4922">
        <v>3358</v>
      </c>
      <c r="B4922" s="2">
        <v>46286.534988425898</v>
      </c>
      <c r="C4922" s="2">
        <v>46286.593263888899</v>
      </c>
      <c r="D4922" s="1" t="s">
        <v>24</v>
      </c>
      <c r="E4922" s="1"/>
      <c r="F4922" s="29">
        <v>46286</v>
      </c>
      <c r="G4922" s="29">
        <v>46286</v>
      </c>
      <c r="H4922" s="1" t="s">
        <v>1625</v>
      </c>
      <c r="I4922" s="251" t="s">
        <v>10910</v>
      </c>
      <c r="J4922" s="207">
        <v>42856523784</v>
      </c>
      <c r="K4922" s="188" t="s">
        <v>10911</v>
      </c>
      <c r="L4922" s="242">
        <v>2</v>
      </c>
      <c r="M4922" s="243">
        <v>5539780401</v>
      </c>
      <c r="N4922" s="171" t="s">
        <v>37</v>
      </c>
      <c r="O4922" s="43">
        <v>29945.78</v>
      </c>
      <c r="P4922" s="43">
        <v>8983</v>
      </c>
      <c r="Q4922" s="256">
        <f>OfficeForms.Table[[#This Row],[ INFORMEDEPAGO ]]*0.3</f>
        <v>8983.7339999999986</v>
      </c>
      <c r="R4922" s="43">
        <f t="shared" si="414"/>
        <v>0.73399999999855936</v>
      </c>
      <c r="S4922" s="74">
        <v>46874</v>
      </c>
      <c r="T4922" s="1" t="s">
        <v>6855</v>
      </c>
      <c r="U4922" s="97">
        <v>8983</v>
      </c>
      <c r="V4922" s="1"/>
    </row>
    <row r="4923" spans="1:23">
      <c r="A4923">
        <v>3359</v>
      </c>
      <c r="B4923" s="2">
        <v>46286.592569444401</v>
      </c>
      <c r="C4923" s="2">
        <v>46286.595312500001</v>
      </c>
      <c r="D4923" s="1" t="s">
        <v>24</v>
      </c>
      <c r="E4923" s="1"/>
      <c r="F4923" s="29">
        <v>46286</v>
      </c>
      <c r="G4923" s="29">
        <v>46286</v>
      </c>
      <c r="H4923" s="1" t="s">
        <v>9960</v>
      </c>
      <c r="I4923" s="251" t="s">
        <v>10912</v>
      </c>
      <c r="J4923" s="207">
        <v>11805700645</v>
      </c>
      <c r="K4923" s="188"/>
      <c r="L4923" s="242">
        <v>24701674</v>
      </c>
      <c r="M4923" s="243">
        <v>7223502206</v>
      </c>
      <c r="N4923" s="171" t="s">
        <v>106</v>
      </c>
      <c r="O4923" s="43">
        <v>15479.43</v>
      </c>
      <c r="P4923" s="43">
        <v>4643.83</v>
      </c>
      <c r="Q4923" s="256">
        <f>OfficeForms.Table[[#This Row],[ INFORMEDEPAGO ]]*0.3</f>
        <v>4643.8289999999997</v>
      </c>
      <c r="R4923" s="43">
        <f t="shared" si="414"/>
        <v>-1.0000000002037268E-3</v>
      </c>
      <c r="S4923" s="74">
        <v>45839</v>
      </c>
      <c r="T4923" s="1" t="s">
        <v>8415</v>
      </c>
      <c r="U4923" s="97">
        <v>2132.5500000000002</v>
      </c>
      <c r="V4923" s="1" t="s">
        <v>8256</v>
      </c>
      <c r="W4923" s="29">
        <v>46286</v>
      </c>
    </row>
    <row r="4924" spans="1:23">
      <c r="A4924">
        <v>3360</v>
      </c>
      <c r="B4924" s="2">
        <v>46286.593449074098</v>
      </c>
      <c r="C4924" s="2">
        <v>46286.605601851901</v>
      </c>
      <c r="D4924" s="1" t="s">
        <v>24</v>
      </c>
      <c r="E4924" s="1"/>
      <c r="F4924" s="29">
        <v>46286</v>
      </c>
      <c r="G4924" s="29">
        <v>46286</v>
      </c>
      <c r="H4924" s="1" t="s">
        <v>1625</v>
      </c>
      <c r="I4924" s="251" t="s">
        <v>10913</v>
      </c>
      <c r="J4924" s="207" t="s">
        <v>10914</v>
      </c>
      <c r="K4924" s="188" t="s">
        <v>10915</v>
      </c>
      <c r="L4924" s="242">
        <v>2</v>
      </c>
      <c r="M4924" s="243">
        <v>5520694920</v>
      </c>
      <c r="N4924" s="171" t="s">
        <v>37</v>
      </c>
      <c r="O4924" s="52">
        <v>6422.04</v>
      </c>
      <c r="P4924" s="52">
        <v>1854.81</v>
      </c>
      <c r="Q4924" s="256">
        <f>OfficeForms.Table[[#This Row],[ INFORMEDEPAGO ]]*0.3</f>
        <v>1926.6119999999999</v>
      </c>
      <c r="R4924" s="43">
        <f t="shared" si="414"/>
        <v>71.801999999999907</v>
      </c>
      <c r="S4924" s="74">
        <v>46722</v>
      </c>
      <c r="T4924" s="1" t="s">
        <v>178</v>
      </c>
      <c r="U4924" s="52">
        <v>1854.81</v>
      </c>
      <c r="V4924" s="1"/>
    </row>
    <row r="4925" spans="1:23">
      <c r="A4925">
        <v>3361</v>
      </c>
      <c r="B4925" s="2">
        <v>46286.602557870399</v>
      </c>
      <c r="C4925" s="2">
        <v>46286.608460648102</v>
      </c>
      <c r="D4925" s="1" t="s">
        <v>24</v>
      </c>
      <c r="E4925" s="1"/>
      <c r="F4925" s="29">
        <v>46286</v>
      </c>
      <c r="G4925" s="29">
        <v>46286</v>
      </c>
      <c r="H4925" s="1" t="s">
        <v>8028</v>
      </c>
      <c r="I4925" s="251" t="s">
        <v>10916</v>
      </c>
      <c r="J4925" s="207" t="s">
        <v>10917</v>
      </c>
      <c r="K4925" s="188"/>
      <c r="L4925" s="242">
        <v>24702308</v>
      </c>
      <c r="M4925" s="243">
        <v>5215561816827</v>
      </c>
      <c r="N4925" s="171" t="s">
        <v>28</v>
      </c>
      <c r="O4925" s="50">
        <f>8881.32+879</f>
        <v>9760.32</v>
      </c>
      <c r="P4925" s="97">
        <v>879</v>
      </c>
      <c r="Q4925" s="256">
        <f>OfficeForms.Table[[#This Row],[ INFORMEDEPAGO ]]*0.3</f>
        <v>2928.096</v>
      </c>
      <c r="R4925" s="43">
        <f t="shared" si="414"/>
        <v>2049.096</v>
      </c>
      <c r="T4925" s="1"/>
      <c r="U4925" s="97"/>
      <c r="V4925" s="1" t="s">
        <v>8456</v>
      </c>
      <c r="W4925" s="29">
        <v>46286</v>
      </c>
    </row>
    <row r="4926" spans="1:23">
      <c r="A4926">
        <v>3362</v>
      </c>
      <c r="B4926" s="2">
        <v>46286.5999884259</v>
      </c>
      <c r="C4926" s="2">
        <v>46286.609710648103</v>
      </c>
      <c r="D4926" s="1" t="s">
        <v>24</v>
      </c>
      <c r="E4926" s="1"/>
      <c r="F4926" s="29">
        <v>46286</v>
      </c>
      <c r="G4926" s="29">
        <v>46284</v>
      </c>
      <c r="H4926" s="1" t="s">
        <v>8028</v>
      </c>
      <c r="I4926" s="251" t="s">
        <v>10918</v>
      </c>
      <c r="J4926" s="207">
        <v>5284610026</v>
      </c>
      <c r="K4926" s="188" t="s">
        <v>10919</v>
      </c>
      <c r="L4926" s="242">
        <v>24664114</v>
      </c>
      <c r="M4926" s="243">
        <v>5213143586340</v>
      </c>
      <c r="N4926" s="171" t="s">
        <v>28</v>
      </c>
      <c r="O4926" s="50">
        <v>6262.86</v>
      </c>
      <c r="P4926" s="97"/>
      <c r="Q4926" s="256">
        <f>OfficeForms.Table[[#This Row],[ INFORMEDEPAGO ]]*0.3</f>
        <v>1878.8579999999997</v>
      </c>
      <c r="R4926" s="43">
        <f t="shared" si="414"/>
        <v>1878.8579999999997</v>
      </c>
      <c r="T4926" s="1"/>
      <c r="U4926" s="97"/>
      <c r="V4926" s="1" t="s">
        <v>8734</v>
      </c>
      <c r="W4926" s="29">
        <v>46286</v>
      </c>
    </row>
    <row r="4927" spans="1:23">
      <c r="A4927">
        <v>3363</v>
      </c>
      <c r="B4927" s="2">
        <v>46286.505138888897</v>
      </c>
      <c r="C4927" s="2">
        <v>46286.6113541667</v>
      </c>
      <c r="D4927" s="1" t="s">
        <v>24</v>
      </c>
      <c r="E4927" s="1"/>
      <c r="F4927" s="29">
        <v>46286</v>
      </c>
      <c r="G4927" s="29">
        <v>46286</v>
      </c>
      <c r="H4927" s="1" t="s">
        <v>8381</v>
      </c>
      <c r="I4927" s="251" t="s">
        <v>10920</v>
      </c>
      <c r="J4927" s="207"/>
      <c r="K4927" s="188" t="s">
        <v>10921</v>
      </c>
      <c r="L4927" s="242">
        <v>24693302</v>
      </c>
      <c r="M4927" s="243">
        <v>5212212477393</v>
      </c>
      <c r="N4927" s="171" t="s">
        <v>37</v>
      </c>
      <c r="O4927" s="52">
        <v>9504.7000000000007</v>
      </c>
      <c r="P4927" s="52">
        <v>2638.64</v>
      </c>
      <c r="Q4927" s="256">
        <f>OfficeForms.Table[[#This Row],[ INFORMEDEPAGO ]]*0.3</f>
        <v>2851.4100000000003</v>
      </c>
      <c r="R4927" s="43">
        <f t="shared" si="414"/>
        <v>212.77000000000044</v>
      </c>
      <c r="S4927" s="74">
        <v>46357</v>
      </c>
      <c r="T4927" s="1" t="s">
        <v>8319</v>
      </c>
      <c r="U4927" s="52">
        <v>2638.64</v>
      </c>
      <c r="V4927" s="1"/>
    </row>
    <row r="4928" spans="1:23">
      <c r="A4928">
        <v>3364</v>
      </c>
      <c r="B4928" s="2">
        <v>46286.470358796301</v>
      </c>
      <c r="C4928" s="2">
        <v>46286.626180555599</v>
      </c>
      <c r="D4928" s="1" t="s">
        <v>24</v>
      </c>
      <c r="E4928" s="1"/>
      <c r="F4928" s="29">
        <v>46286</v>
      </c>
      <c r="G4928" s="29">
        <v>46286</v>
      </c>
      <c r="H4928" s="1" t="s">
        <v>9986</v>
      </c>
      <c r="I4928" s="251" t="s">
        <v>10922</v>
      </c>
      <c r="J4928" s="207">
        <v>81705213320</v>
      </c>
      <c r="K4928" s="188" t="s">
        <v>10923</v>
      </c>
      <c r="L4928" s="242">
        <v>24699812</v>
      </c>
      <c r="M4928" s="243">
        <v>9813494548</v>
      </c>
      <c r="N4928" s="171" t="s">
        <v>37</v>
      </c>
      <c r="O4928" s="43">
        <v>14570.32</v>
      </c>
      <c r="P4928" s="43">
        <v>4367.7</v>
      </c>
      <c r="Q4928" s="256">
        <f>OfficeForms.Table[[#This Row],[ INFORMEDEPAGO ]]*0.3</f>
        <v>4371.0959999999995</v>
      </c>
      <c r="R4928" s="43">
        <f>(IF(O4928&lt;4172.98,0,MIN(O4928*0.3,O4928-4172.98)))-P4928</f>
        <v>3.3959999999997308</v>
      </c>
      <c r="S4928" s="74">
        <v>46569</v>
      </c>
      <c r="T4928" s="1" t="s">
        <v>7516</v>
      </c>
      <c r="U4928" s="43">
        <v>452</v>
      </c>
      <c r="V4928" s="1"/>
    </row>
    <row r="4929" spans="1:23">
      <c r="A4929">
        <v>3365</v>
      </c>
      <c r="B4929" s="2">
        <v>46286.653298611098</v>
      </c>
      <c r="C4929" s="2">
        <v>46286.656284722201</v>
      </c>
      <c r="D4929" s="1" t="s">
        <v>24</v>
      </c>
      <c r="E4929" s="1"/>
      <c r="F4929" s="29">
        <v>46286</v>
      </c>
      <c r="G4929" s="29">
        <v>46283</v>
      </c>
      <c r="H4929" s="1" t="s">
        <v>269</v>
      </c>
      <c r="I4929" s="251" t="s">
        <v>10924</v>
      </c>
      <c r="J4929" s="207" t="s">
        <v>10925</v>
      </c>
      <c r="K4929" s="188" t="s">
        <v>10926</v>
      </c>
      <c r="L4929" s="242">
        <v>24640862</v>
      </c>
      <c r="M4929" s="243">
        <v>5217222864535</v>
      </c>
      <c r="N4929" s="171" t="s">
        <v>28</v>
      </c>
      <c r="O4929" s="50">
        <v>7343.62</v>
      </c>
      <c r="P4929" s="97"/>
      <c r="Q4929" s="256">
        <f>OfficeForms.Table[[#This Row],[ INFORMEDEPAGO ]]*0.3</f>
        <v>2203.0859999999998</v>
      </c>
      <c r="R4929" s="43">
        <f>(IF(O4929&lt;4172.98,0,MIN(O4929*0.3,O4929-4172.98)))-P4929</f>
        <v>2203.0859999999998</v>
      </c>
      <c r="T4929" s="1"/>
      <c r="U4929" s="97"/>
      <c r="V4929" s="1" t="s">
        <v>9777</v>
      </c>
      <c r="W4929" s="29">
        <v>46286</v>
      </c>
    </row>
    <row r="4930" spans="1:23">
      <c r="A4930">
        <v>3366</v>
      </c>
      <c r="B4930" s="2">
        <v>46286.605636574102</v>
      </c>
      <c r="C4930" s="2">
        <v>46286.6579166667</v>
      </c>
      <c r="D4930" s="1" t="s">
        <v>24</v>
      </c>
      <c r="E4930" s="1"/>
      <c r="F4930" s="29">
        <v>46286</v>
      </c>
      <c r="G4930" s="29">
        <v>46286</v>
      </c>
      <c r="H4930" s="1" t="s">
        <v>1625</v>
      </c>
      <c r="I4930" s="251" t="s">
        <v>10927</v>
      </c>
      <c r="J4930" s="207">
        <v>10866106544</v>
      </c>
      <c r="K4930" s="188" t="s">
        <v>10928</v>
      </c>
      <c r="L4930" s="242">
        <v>2</v>
      </c>
      <c r="M4930" s="243">
        <v>4446932953</v>
      </c>
      <c r="N4930" s="171" t="s">
        <v>37</v>
      </c>
      <c r="O4930" s="52">
        <v>6262.86</v>
      </c>
      <c r="P4930" s="52">
        <v>1811.13</v>
      </c>
      <c r="Q4930" s="256">
        <f>OfficeForms.Table[[#This Row],[ INFORMEDEPAGO ]]*0.3</f>
        <v>1878.8579999999997</v>
      </c>
      <c r="R4930" s="43">
        <f>(IF(O4930&lt;4172.98,0,MIN(O4930*0.3,O4930-4172.98)))-P4930</f>
        <v>67.727999999999611</v>
      </c>
      <c r="S4930" s="74">
        <v>46600</v>
      </c>
      <c r="T4930" s="1" t="s">
        <v>192</v>
      </c>
      <c r="U4930" s="97">
        <v>1659.01</v>
      </c>
      <c r="V4930" s="1"/>
    </row>
    <row r="4931" spans="1:23">
      <c r="A4931">
        <v>3367</v>
      </c>
      <c r="B4931" s="2">
        <v>46286.657164351898</v>
      </c>
      <c r="C4931" s="2">
        <v>46286.657962963</v>
      </c>
      <c r="D4931" s="1" t="s">
        <v>24</v>
      </c>
      <c r="E4931" s="1"/>
      <c r="F4931" s="29">
        <v>46286</v>
      </c>
      <c r="G4931" s="29">
        <v>46286</v>
      </c>
      <c r="H4931" s="1" t="s">
        <v>10043</v>
      </c>
      <c r="I4931" s="251"/>
      <c r="J4931" s="207" t="s">
        <v>10929</v>
      </c>
      <c r="K4931" s="188"/>
      <c r="L4931" s="242">
        <v>24699018</v>
      </c>
      <c r="M4931" s="243">
        <v>3141024036</v>
      </c>
      <c r="N4931" s="171" t="s">
        <v>28</v>
      </c>
      <c r="O4931" s="50">
        <v>20225.28</v>
      </c>
      <c r="P4931" s="97"/>
      <c r="Q4931" s="256">
        <f>OfficeForms.Table[[#This Row],[ INFORMEDEPAGO ]]*0.3</f>
        <v>6067.5839999999998</v>
      </c>
      <c r="R4931" s="43">
        <f>(IF(O4931&lt;4172.98,0,MIN(O4931*0.3,O4931-4172.98)))-P4931</f>
        <v>6067.5839999999998</v>
      </c>
      <c r="T4931" s="1"/>
      <c r="U4931" s="97"/>
      <c r="V4931" s="1" t="s">
        <v>8264</v>
      </c>
      <c r="W4931" s="29">
        <v>46286</v>
      </c>
    </row>
    <row r="4932" spans="1:23">
      <c r="A4932">
        <v>3368</v>
      </c>
      <c r="B4932" s="2">
        <v>46286.657222222202</v>
      </c>
      <c r="C4932" s="2">
        <v>46286.658958333297</v>
      </c>
      <c r="D4932" s="1" t="s">
        <v>24</v>
      </c>
      <c r="E4932" s="1"/>
      <c r="F4932" s="29">
        <v>46286</v>
      </c>
      <c r="G4932" s="29">
        <v>46286</v>
      </c>
      <c r="H4932" s="1" t="s">
        <v>9960</v>
      </c>
      <c r="I4932" s="251" t="s">
        <v>10930</v>
      </c>
      <c r="J4932" s="207">
        <v>24856513171</v>
      </c>
      <c r="K4932" s="188"/>
      <c r="L4932" s="242">
        <v>24704306</v>
      </c>
      <c r="M4932" s="243">
        <v>6442365758</v>
      </c>
      <c r="N4932" s="171" t="s">
        <v>28</v>
      </c>
      <c r="O4932" s="50">
        <v>16013.99</v>
      </c>
      <c r="P4932" s="97"/>
      <c r="Q4932" s="256">
        <f>OfficeForms.Table[[#This Row],[ INFORMEDEPAGO ]]*0.3</f>
        <v>4804.1970000000001</v>
      </c>
      <c r="R4932" s="43">
        <f>(IF(O4932&lt;4172.98,0,MIN(O4932*0.3,O4932-4172.98)))-P4932</f>
        <v>4804.1970000000001</v>
      </c>
      <c r="T4932" s="1"/>
      <c r="U4932" s="97"/>
      <c r="V4932" s="1" t="s">
        <v>8280</v>
      </c>
      <c r="W4932" s="29">
        <v>46286</v>
      </c>
    </row>
    <row r="4933" spans="1:23">
      <c r="A4933">
        <v>3369</v>
      </c>
      <c r="B4933" s="2">
        <v>46286.658113425903</v>
      </c>
      <c r="C4933" s="2">
        <v>46286.665509259299</v>
      </c>
      <c r="D4933" s="1" t="s">
        <v>24</v>
      </c>
      <c r="E4933" s="1"/>
      <c r="F4933" s="29">
        <v>46286</v>
      </c>
      <c r="G4933" s="29">
        <v>46286</v>
      </c>
      <c r="H4933" s="1" t="s">
        <v>8028</v>
      </c>
      <c r="I4933" s="251" t="s">
        <v>10931</v>
      </c>
      <c r="J4933" s="207"/>
      <c r="K4933" s="188" t="s">
        <v>10932</v>
      </c>
      <c r="L4933" s="242">
        <v>24702914</v>
      </c>
      <c r="M4933" s="243">
        <v>5215643581041</v>
      </c>
      <c r="N4933" s="171" t="s">
        <v>28</v>
      </c>
      <c r="O4933" s="50">
        <v>11029.03</v>
      </c>
      <c r="P4933" s="97"/>
      <c r="Q4933" s="256">
        <f>OfficeForms.Table[[#This Row],[ INFORMEDEPAGO ]]*0.3</f>
        <v>3308.7090000000003</v>
      </c>
      <c r="R4933" s="43">
        <f>(IF(O4933&lt;4172.98,0,MIN(O4933*0.3,O4933-4172.98)))-P4933</f>
        <v>3308.7090000000003</v>
      </c>
      <c r="T4933" s="1"/>
      <c r="U4933" s="97"/>
      <c r="V4933" s="1" t="s">
        <v>8535</v>
      </c>
      <c r="W4933" s="29">
        <v>46286</v>
      </c>
    </row>
    <row r="4934" spans="1:23">
      <c r="A4934">
        <v>3370</v>
      </c>
      <c r="B4934" s="2">
        <v>46286.669664351903</v>
      </c>
      <c r="C4934" s="2">
        <v>46286.673194444404</v>
      </c>
      <c r="D4934" s="1" t="s">
        <v>24</v>
      </c>
      <c r="E4934" s="1"/>
      <c r="F4934" s="29">
        <v>46286</v>
      </c>
      <c r="G4934" s="29">
        <v>46286</v>
      </c>
      <c r="H4934" s="1" t="s">
        <v>78</v>
      </c>
      <c r="I4934" s="251" t="s">
        <v>10933</v>
      </c>
      <c r="J4934" s="207">
        <v>32836717168</v>
      </c>
      <c r="K4934" s="188" t="s">
        <v>10934</v>
      </c>
      <c r="L4934" s="242">
        <v>24692156</v>
      </c>
      <c r="M4934" s="243">
        <v>5218441189978</v>
      </c>
      <c r="N4934" s="171" t="s">
        <v>32</v>
      </c>
      <c r="O4934" s="50">
        <v>3635.76</v>
      </c>
      <c r="P4934" s="97"/>
      <c r="Q4934" s="256">
        <f>OfficeForms.Table[[#This Row],[ INFORMEDEPAGO ]]*0.3</f>
        <v>1090.7280000000001</v>
      </c>
      <c r="R4934" s="43">
        <f>(IF(O4934&lt;4172.98,0,MIN(O4934*0.3,O4934-4172.98)))-P4934</f>
        <v>0</v>
      </c>
      <c r="T4934" s="1"/>
      <c r="U4934" s="97"/>
      <c r="V4934" s="1"/>
    </row>
    <row r="4935" spans="1:23">
      <c r="A4935">
        <v>3371</v>
      </c>
      <c r="B4935" s="2">
        <v>46286.6733564815</v>
      </c>
      <c r="C4935" s="2">
        <v>46286.677129629599</v>
      </c>
      <c r="D4935" s="1" t="s">
        <v>24</v>
      </c>
      <c r="E4935" s="1"/>
      <c r="F4935" s="29">
        <v>46286</v>
      </c>
      <c r="G4935" s="29">
        <v>46286</v>
      </c>
      <c r="H4935" s="1" t="s">
        <v>78</v>
      </c>
      <c r="I4935" s="251" t="s">
        <v>10935</v>
      </c>
      <c r="J4935" s="207"/>
      <c r="K4935" s="188" t="s">
        <v>10936</v>
      </c>
      <c r="L4935" s="242">
        <v>24691360</v>
      </c>
      <c r="M4935" s="243">
        <v>5214767375737</v>
      </c>
      <c r="N4935" s="171" t="s">
        <v>28</v>
      </c>
      <c r="O4935" s="50">
        <v>10636.54</v>
      </c>
      <c r="P4935" s="97"/>
      <c r="Q4935" s="256">
        <f>OfficeForms.Table[[#This Row],[ INFORMEDEPAGO ]]*0.3</f>
        <v>3190.962</v>
      </c>
      <c r="R4935" s="43">
        <f>(IF(O4935&lt;4172.98,0,MIN(O4935*0.3,O4935-4172.98)))-P4935</f>
        <v>3190.962</v>
      </c>
      <c r="T4935" s="1"/>
      <c r="U4935" s="97"/>
      <c r="V4935" s="1" t="s">
        <v>8356</v>
      </c>
      <c r="W4935" s="29">
        <v>46286</v>
      </c>
    </row>
    <row r="4936" spans="1:23">
      <c r="A4936">
        <v>3372</v>
      </c>
      <c r="B4936" s="2">
        <v>46286.677199074104</v>
      </c>
      <c r="C4936" s="2">
        <v>46286.686909722201</v>
      </c>
      <c r="D4936" s="1" t="s">
        <v>24</v>
      </c>
      <c r="E4936" s="1"/>
      <c r="F4936" s="29">
        <v>46286</v>
      </c>
      <c r="G4936" s="29">
        <v>46286</v>
      </c>
      <c r="H4936" s="1" t="s">
        <v>78</v>
      </c>
      <c r="I4936" s="251" t="s">
        <v>10937</v>
      </c>
      <c r="J4936" s="208" t="s">
        <v>10938</v>
      </c>
      <c r="K4936" s="188" t="s">
        <v>10939</v>
      </c>
      <c r="L4936" s="242">
        <v>24689240</v>
      </c>
      <c r="M4936" s="243">
        <v>5219981207497</v>
      </c>
      <c r="N4936" s="171" t="s">
        <v>32</v>
      </c>
      <c r="O4936" s="50">
        <v>2540.2600000000002</v>
      </c>
      <c r="P4936" s="97"/>
      <c r="Q4936" s="256"/>
      <c r="R4936" s="43"/>
      <c r="T4936" s="1"/>
      <c r="U4936" s="97"/>
      <c r="V4936" s="1"/>
    </row>
    <row r="4937" spans="1:23">
      <c r="A4937">
        <v>3373</v>
      </c>
      <c r="B4937" s="2">
        <v>46286.686874999999</v>
      </c>
      <c r="C4937" s="2">
        <v>46286.687430555598</v>
      </c>
      <c r="D4937" s="1" t="s">
        <v>24</v>
      </c>
      <c r="E4937" s="1"/>
      <c r="F4937" s="29">
        <v>46286</v>
      </c>
      <c r="G4937" s="29">
        <v>46286</v>
      </c>
      <c r="H4937" s="1" t="s">
        <v>9991</v>
      </c>
      <c r="I4937" s="251" t="s">
        <v>10940</v>
      </c>
      <c r="J4937" s="207">
        <v>65775700787</v>
      </c>
      <c r="K4937" s="188"/>
      <c r="L4937" s="242">
        <v>24704434</v>
      </c>
      <c r="M4937" s="243">
        <v>2291612011</v>
      </c>
      <c r="N4937" s="171" t="s">
        <v>28</v>
      </c>
      <c r="O4937" s="50">
        <v>25710.6</v>
      </c>
      <c r="P4937" s="97"/>
      <c r="Q4937" s="256">
        <f>OfficeForms.Table[[#This Row],[ INFORMEDEPAGO ]]*0.3</f>
        <v>7713.1799999999994</v>
      </c>
      <c r="R4937" s="43">
        <f>(IF(O4937&lt;4172.98,0,MIN(O4937*0.3,O4937-4172.98)))-P4937</f>
        <v>7713.1799999999994</v>
      </c>
      <c r="T4937" s="1"/>
      <c r="U4937" s="97"/>
      <c r="V4937" s="1" t="s">
        <v>8716</v>
      </c>
      <c r="W4937" s="29">
        <v>46286</v>
      </c>
    </row>
    <row r="4938" spans="1:23">
      <c r="A4938">
        <v>3374</v>
      </c>
      <c r="B4938" s="2">
        <v>46286.689085648097</v>
      </c>
      <c r="C4938" s="2">
        <v>46286.690891203703</v>
      </c>
      <c r="D4938" s="1" t="s">
        <v>24</v>
      </c>
      <c r="E4938" s="1"/>
      <c r="F4938" s="29">
        <v>46286</v>
      </c>
      <c r="G4938" s="29">
        <v>46286</v>
      </c>
      <c r="H4938" s="1" t="s">
        <v>10043</v>
      </c>
      <c r="I4938" s="251" t="s">
        <v>10941</v>
      </c>
      <c r="J4938" s="207">
        <v>23876658016</v>
      </c>
      <c r="K4938" s="188" t="s">
        <v>10942</v>
      </c>
      <c r="L4938" s="242">
        <v>24695688</v>
      </c>
      <c r="M4938" s="243">
        <v>6692525519</v>
      </c>
      <c r="N4938" s="171" t="s">
        <v>28</v>
      </c>
      <c r="O4938" s="50">
        <f>25527.69-14891.15</f>
        <v>10636.539999999999</v>
      </c>
      <c r="P4938" s="97"/>
      <c r="Q4938" s="256">
        <f>OfficeForms.Table[[#This Row],[ INFORMEDEPAGO ]]*0.3</f>
        <v>3190.9619999999995</v>
      </c>
      <c r="R4938" s="43">
        <f t="shared" ref="R4938:R4940" si="415">(IF(O4938&lt;4172.98,0,MIN(O4938*0.3,O4938-4172.98)))-P4938</f>
        <v>3190.9619999999995</v>
      </c>
      <c r="T4938" s="1"/>
      <c r="U4938" s="97"/>
      <c r="V4938" s="1" t="s">
        <v>9958</v>
      </c>
      <c r="W4938" s="29">
        <v>46286</v>
      </c>
    </row>
    <row r="4939" spans="1:23">
      <c r="A4939">
        <v>3375</v>
      </c>
      <c r="B4939" s="2">
        <v>46286.6262615741</v>
      </c>
      <c r="C4939" s="2">
        <v>46286.695497685199</v>
      </c>
      <c r="D4939" s="1" t="s">
        <v>24</v>
      </c>
      <c r="E4939" s="1"/>
      <c r="F4939" s="29">
        <v>46286</v>
      </c>
      <c r="G4939" s="29">
        <v>46286</v>
      </c>
      <c r="H4939" s="1" t="s">
        <v>9986</v>
      </c>
      <c r="I4939" s="251" t="s">
        <v>10943</v>
      </c>
      <c r="J4939" s="207" t="s">
        <v>10944</v>
      </c>
      <c r="K4939" s="188" t="s">
        <v>10945</v>
      </c>
      <c r="L4939" s="242">
        <v>24674454</v>
      </c>
      <c r="M4939" s="243">
        <v>8663473095</v>
      </c>
      <c r="N4939" s="171" t="s">
        <v>28</v>
      </c>
      <c r="O4939" s="50">
        <v>6089.18</v>
      </c>
      <c r="P4939" s="97"/>
      <c r="Q4939" s="256">
        <f>OfficeForms.Table[[#This Row],[ INFORMEDEPAGO ]]*0.3</f>
        <v>1826.7540000000001</v>
      </c>
      <c r="R4939" s="43">
        <f t="shared" si="415"/>
        <v>1826.7540000000001</v>
      </c>
      <c r="T4939" s="1"/>
      <c r="U4939" s="97"/>
      <c r="V4939" s="1" t="s">
        <v>8915</v>
      </c>
      <c r="W4939" s="29">
        <v>46286</v>
      </c>
    </row>
    <row r="4940" spans="1:23">
      <c r="A4940">
        <v>3376</v>
      </c>
      <c r="B4940" s="2">
        <v>46286.692129629599</v>
      </c>
      <c r="C4940" s="2">
        <v>46286.697789351798</v>
      </c>
      <c r="D4940" s="1" t="s">
        <v>24</v>
      </c>
      <c r="E4940" s="1"/>
      <c r="F4940" s="29">
        <v>46286</v>
      </c>
      <c r="G4940" s="29">
        <v>46286</v>
      </c>
      <c r="H4940" s="1" t="s">
        <v>8028</v>
      </c>
      <c r="I4940" s="251" t="s">
        <v>10946</v>
      </c>
      <c r="J4940" s="207"/>
      <c r="K4940" s="188" t="s">
        <v>10947</v>
      </c>
      <c r="L4940" s="242">
        <v>24703762</v>
      </c>
      <c r="M4940" s="243">
        <v>5216535309906</v>
      </c>
      <c r="N4940" s="171" t="s">
        <v>37</v>
      </c>
      <c r="O4940" s="52">
        <v>10171.24</v>
      </c>
      <c r="P4940" s="52">
        <v>2942.78</v>
      </c>
      <c r="Q4940" s="256">
        <f>OfficeForms.Table[[#This Row],[ INFORMEDEPAGO ]]*0.3</f>
        <v>3051.3719999999998</v>
      </c>
      <c r="R4940" s="43">
        <f t="shared" si="415"/>
        <v>108.59199999999964</v>
      </c>
      <c r="S4940" s="74">
        <v>46661</v>
      </c>
      <c r="T4940" s="1" t="s">
        <v>8415</v>
      </c>
      <c r="U4940" s="52">
        <v>2942.78</v>
      </c>
      <c r="V4940" s="1"/>
    </row>
    <row r="4941" spans="1:23">
      <c r="A4941">
        <v>3377</v>
      </c>
      <c r="B4941" s="2">
        <v>46286.611388888901</v>
      </c>
      <c r="C4941" s="2">
        <v>46286.729189814803</v>
      </c>
      <c r="D4941" s="1" t="s">
        <v>24</v>
      </c>
      <c r="E4941" s="1"/>
      <c r="F4941" s="29">
        <v>46286</v>
      </c>
      <c r="G4941" s="29">
        <v>46286</v>
      </c>
      <c r="H4941" s="1" t="s">
        <v>8381</v>
      </c>
      <c r="I4941" s="251" t="s">
        <v>10948</v>
      </c>
      <c r="J4941" s="207"/>
      <c r="K4941" s="188" t="s">
        <v>10949</v>
      </c>
      <c r="L4941" s="242">
        <v>24706342</v>
      </c>
      <c r="M4941" s="243">
        <v>5216621838534</v>
      </c>
      <c r="N4941" s="171" t="s">
        <v>37</v>
      </c>
      <c r="O4941" s="43">
        <v>11029.03</v>
      </c>
      <c r="P4941" s="43">
        <v>3305.1</v>
      </c>
      <c r="Q4941" s="256">
        <f>OfficeForms.Table[[#This Row],[ INFORMEDEPAGO ]]*0.3</f>
        <v>3308.7090000000003</v>
      </c>
      <c r="R4941" s="43">
        <f>(IF(O4941&lt;4172.98,0,MIN(O4941*0.3,O4941-4172.98)))-P4941</f>
        <v>3.6090000000003783</v>
      </c>
      <c r="S4941" s="74">
        <v>46844</v>
      </c>
      <c r="T4941" s="1" t="s">
        <v>7209</v>
      </c>
      <c r="U4941" s="97">
        <v>1468.8</v>
      </c>
      <c r="V4941" s="1"/>
    </row>
    <row r="4942" spans="1:23">
      <c r="A4942">
        <v>3378</v>
      </c>
      <c r="B4942" s="2">
        <v>46286.739606481497</v>
      </c>
      <c r="C4942" s="2">
        <v>46286.741435185198</v>
      </c>
      <c r="D4942" s="1" t="s">
        <v>24</v>
      </c>
      <c r="E4942" s="1"/>
      <c r="F4942" s="29">
        <v>46286</v>
      </c>
      <c r="G4942" s="29">
        <v>46286</v>
      </c>
      <c r="H4942" s="1" t="s">
        <v>269</v>
      </c>
      <c r="I4942" s="251" t="s">
        <v>10950</v>
      </c>
      <c r="J4942" s="207"/>
      <c r="K4942" s="188" t="s">
        <v>10951</v>
      </c>
      <c r="L4942" s="242">
        <v>24706128</v>
      </c>
      <c r="M4942" s="243">
        <v>5218781360018</v>
      </c>
      <c r="N4942" s="171" t="s">
        <v>37</v>
      </c>
      <c r="O4942" s="43">
        <v>9582.4699999999993</v>
      </c>
      <c r="P4942" s="43">
        <v>2872.32</v>
      </c>
      <c r="Q4942" s="256">
        <f>OfficeForms.Table[[#This Row],[ INFORMEDEPAGO ]]*0.3</f>
        <v>2874.7409999999995</v>
      </c>
      <c r="R4942" s="43">
        <f>(IF(O4942&lt;4172.98,0,MIN(O4942*0.3,O4942-4172.98)))-P4942</f>
        <v>2.420999999999367</v>
      </c>
      <c r="S4942" s="74">
        <v>46935</v>
      </c>
      <c r="T4942" s="1" t="s">
        <v>8319</v>
      </c>
      <c r="U4942" s="43">
        <v>2872.32</v>
      </c>
      <c r="V4942" s="1"/>
    </row>
    <row r="4943" spans="1:23">
      <c r="A4943">
        <v>3379</v>
      </c>
      <c r="B4943" s="2">
        <v>46286.739745370403</v>
      </c>
      <c r="C4943" s="2">
        <v>46286.742627314801</v>
      </c>
      <c r="D4943" s="1" t="s">
        <v>24</v>
      </c>
      <c r="E4943" s="1"/>
      <c r="F4943" s="29">
        <v>46286</v>
      </c>
      <c r="G4943" s="29">
        <v>46286</v>
      </c>
      <c r="H4943" s="1" t="s">
        <v>78</v>
      </c>
      <c r="I4943" s="251" t="s">
        <v>10952</v>
      </c>
      <c r="J4943" s="207">
        <v>33966948342</v>
      </c>
      <c r="K4943" s="188" t="s">
        <v>10953</v>
      </c>
      <c r="L4943" s="242">
        <v>24706402</v>
      </c>
      <c r="M4943" s="243">
        <v>5216591022260</v>
      </c>
      <c r="N4943" s="171" t="s">
        <v>32</v>
      </c>
      <c r="O4943" s="50">
        <v>4336.66</v>
      </c>
      <c r="P4943" s="97"/>
      <c r="Q4943" s="256">
        <f>OfficeForms.Table[[#This Row],[ INFORMEDEPAGO ]]*0.3</f>
        <v>1300.9979999999998</v>
      </c>
      <c r="R4943" s="43">
        <f>(IF(O4943&lt;4172.98,0,MIN(O4943*0.3,O4943-4172.98)))-P4943</f>
        <v>163.68000000000029</v>
      </c>
      <c r="T4943" s="1"/>
      <c r="U4943" s="97"/>
      <c r="V4943" s="1"/>
    </row>
    <row r="4944" spans="1:23">
      <c r="A4944">
        <v>3380</v>
      </c>
      <c r="B4944" s="2">
        <v>46286.658009259299</v>
      </c>
      <c r="C4944" s="2">
        <v>46286.744513888902</v>
      </c>
      <c r="D4944" s="1" t="s">
        <v>24</v>
      </c>
      <c r="E4944" s="1"/>
      <c r="F4944" s="29">
        <v>46286</v>
      </c>
      <c r="G4944" s="29">
        <v>46286</v>
      </c>
      <c r="H4944" s="1" t="s">
        <v>1625</v>
      </c>
      <c r="I4944" s="251" t="s">
        <v>10954</v>
      </c>
      <c r="J4944" s="207" t="s">
        <v>10955</v>
      </c>
      <c r="K4944" s="188" t="s">
        <v>10956</v>
      </c>
      <c r="L4944" s="242">
        <v>2</v>
      </c>
      <c r="M4944" s="243">
        <v>2211567608</v>
      </c>
      <c r="N4944" s="171" t="s">
        <v>37</v>
      </c>
      <c r="O4944" s="43">
        <v>6262.86</v>
      </c>
      <c r="P4944" s="43">
        <v>1878.86</v>
      </c>
      <c r="Q4944" s="256">
        <f>OfficeForms.Table[[#This Row],[ INFORMEDEPAGO ]]*0.3</f>
        <v>1878.8579999999997</v>
      </c>
      <c r="R4944" s="43">
        <f>(IF(O4944&lt;4172.98,0,MIN(O4944*0.3,O4944-4172.98)))-P4944</f>
        <v>-2.00000000018008E-3</v>
      </c>
      <c r="S4944" s="74">
        <v>46327</v>
      </c>
      <c r="T4944" s="1" t="s">
        <v>7516</v>
      </c>
      <c r="U4944" s="97">
        <v>1650</v>
      </c>
      <c r="V4944" s="1"/>
    </row>
    <row r="4945" spans="1:23">
      <c r="A4945">
        <v>3381</v>
      </c>
      <c r="B4945" s="2">
        <v>46286.748194444401</v>
      </c>
      <c r="C4945" s="2">
        <v>46286.75</v>
      </c>
      <c r="D4945" s="1" t="s">
        <v>24</v>
      </c>
      <c r="E4945" s="1"/>
      <c r="F4945" s="29">
        <v>46286</v>
      </c>
      <c r="G4945" s="29">
        <v>46286</v>
      </c>
      <c r="H4945" s="1" t="s">
        <v>51</v>
      </c>
      <c r="I4945" s="251" t="s">
        <v>10957</v>
      </c>
      <c r="J4945" s="207"/>
      <c r="K4945" s="188" t="s">
        <v>10958</v>
      </c>
      <c r="L4945" s="242">
        <v>24706956</v>
      </c>
      <c r="M4945" s="243">
        <v>5217151044474</v>
      </c>
      <c r="N4945" s="171" t="s">
        <v>28</v>
      </c>
      <c r="O4945" s="50">
        <v>20033.3</v>
      </c>
      <c r="P4945" s="97"/>
      <c r="Q4945" s="256">
        <f>OfficeForms.Table[[#This Row],[ INFORMEDEPAGO ]]*0.3</f>
        <v>6009.99</v>
      </c>
      <c r="R4945" s="43">
        <f>(IF(O4945&lt;4172.98,0,MIN(O4945*0.3,O4945-4172.98)))-P4945</f>
        <v>6009.99</v>
      </c>
      <c r="T4945" s="1"/>
      <c r="U4945" s="97"/>
      <c r="V4945" s="1" t="s">
        <v>8734</v>
      </c>
      <c r="W4945" s="29">
        <v>46286</v>
      </c>
    </row>
    <row r="4946" spans="1:23">
      <c r="A4946">
        <v>3382</v>
      </c>
      <c r="B4946" s="2">
        <v>46286.752280092602</v>
      </c>
      <c r="C4946" s="2">
        <v>46286.7526967593</v>
      </c>
      <c r="D4946" s="1" t="s">
        <v>24</v>
      </c>
      <c r="E4946" s="1"/>
      <c r="F4946" s="29">
        <v>46286</v>
      </c>
      <c r="G4946" s="29">
        <v>46286</v>
      </c>
      <c r="H4946" s="1" t="s">
        <v>269</v>
      </c>
      <c r="I4946" s="251" t="s">
        <v>10959</v>
      </c>
      <c r="J4946" s="207"/>
      <c r="K4946" s="188" t="s">
        <v>10960</v>
      </c>
      <c r="L4946" s="242">
        <v>24707244</v>
      </c>
      <c r="M4946" s="243">
        <v>5212213543279</v>
      </c>
      <c r="N4946" s="171" t="s">
        <v>28</v>
      </c>
      <c r="O4946" s="50">
        <v>22522.6</v>
      </c>
      <c r="P4946" s="97"/>
      <c r="Q4946" s="256">
        <f>OfficeForms.Table[[#This Row],[ INFORMEDEPAGO ]]*0.3</f>
        <v>6756.78</v>
      </c>
      <c r="R4946" s="43">
        <f>(IF(O4946&lt;4172.98,0,MIN(O4946*0.3,O4946-4172.98)))-P4946</f>
        <v>6756.78</v>
      </c>
      <c r="T4946" s="1"/>
      <c r="U4946" s="97"/>
      <c r="V4946" s="1" t="s">
        <v>8350</v>
      </c>
      <c r="W4946" s="29">
        <v>46286</v>
      </c>
    </row>
    <row r="4947" spans="1:23">
      <c r="A4947">
        <v>3383</v>
      </c>
      <c r="B4947" s="2">
        <v>46286.803171296298</v>
      </c>
      <c r="C4947" s="2">
        <v>46286.804803240702</v>
      </c>
      <c r="D4947" s="1" t="s">
        <v>24</v>
      </c>
      <c r="E4947" s="1"/>
      <c r="F4947" s="29">
        <v>46286</v>
      </c>
      <c r="G4947" s="29">
        <v>46286</v>
      </c>
      <c r="H4947" s="1" t="s">
        <v>90</v>
      </c>
      <c r="I4947" s="251"/>
      <c r="J4947" s="207">
        <v>1775550229</v>
      </c>
      <c r="K4947" s="188"/>
      <c r="L4947" s="242">
        <v>1</v>
      </c>
      <c r="M4947" s="243">
        <v>9982410736</v>
      </c>
      <c r="N4947" s="171" t="s">
        <v>37</v>
      </c>
      <c r="O4947" s="52">
        <v>28639.95</v>
      </c>
      <c r="P4947" s="52">
        <v>8591.2099999999991</v>
      </c>
      <c r="Q4947" s="256">
        <f>OfficeForms.Table[[#This Row],[ INFORMEDEPAGO ]]*0.3</f>
        <v>8591.9850000000006</v>
      </c>
      <c r="R4947" s="43">
        <f t="shared" ref="R4947:R4950" si="416">(IF(O4947&lt;4172.98,0,MIN(O4947*0.3,O4947-4172.98)))-P4947</f>
        <v>0.77500000000145519</v>
      </c>
      <c r="S4947" s="74">
        <v>46296</v>
      </c>
      <c r="T4947" s="1" t="s">
        <v>8415</v>
      </c>
      <c r="U4947" s="97">
        <v>6756.2</v>
      </c>
      <c r="V4947" s="1"/>
    </row>
    <row r="4948" spans="1:23">
      <c r="A4948">
        <v>3384</v>
      </c>
      <c r="B4948" s="2">
        <v>46287.344305555598</v>
      </c>
      <c r="C4948" s="2">
        <v>46287.345914351899</v>
      </c>
      <c r="D4948" s="1" t="s">
        <v>24</v>
      </c>
      <c r="E4948" s="1"/>
      <c r="F4948" s="29">
        <v>46287</v>
      </c>
      <c r="G4948" s="29">
        <v>46285</v>
      </c>
      <c r="H4948" s="1" t="s">
        <v>9991</v>
      </c>
      <c r="I4948" s="251"/>
      <c r="J4948" s="209">
        <v>90896618528</v>
      </c>
      <c r="K4948" s="188"/>
      <c r="L4948" s="242">
        <v>24683656</v>
      </c>
      <c r="M4948" s="243">
        <v>6642055772</v>
      </c>
      <c r="N4948" s="171" t="s">
        <v>98</v>
      </c>
      <c r="O4948" s="50"/>
      <c r="P4948" s="97"/>
      <c r="Q4948" s="256">
        <f>OfficeForms.Table[[#This Row],[ INFORMEDEPAGO ]]*0.3</f>
        <v>0</v>
      </c>
      <c r="R4948" s="43">
        <f t="shared" si="416"/>
        <v>0</v>
      </c>
      <c r="T4948" s="1"/>
      <c r="U4948" s="97"/>
      <c r="V4948" s="1"/>
    </row>
    <row r="4949" spans="1:23">
      <c r="A4949">
        <v>3385</v>
      </c>
      <c r="B4949" s="2">
        <v>46287.343055555597</v>
      </c>
      <c r="C4949" s="2">
        <v>46287.346192129597</v>
      </c>
      <c r="D4949" s="1" t="s">
        <v>24</v>
      </c>
      <c r="E4949" s="1"/>
      <c r="F4949" s="29">
        <v>46287</v>
      </c>
      <c r="G4949" s="29">
        <v>46285</v>
      </c>
      <c r="H4949" s="1" t="s">
        <v>10043</v>
      </c>
      <c r="I4949" s="251" t="s">
        <v>10961</v>
      </c>
      <c r="J4949" s="207"/>
      <c r="K4949" s="188" t="s">
        <v>10962</v>
      </c>
      <c r="L4949" s="242">
        <v>24680220</v>
      </c>
      <c r="M4949" s="243">
        <v>3321541078</v>
      </c>
      <c r="N4949" s="171" t="s">
        <v>28</v>
      </c>
      <c r="O4949" s="50">
        <v>8706.24</v>
      </c>
      <c r="P4949" s="97"/>
      <c r="Q4949" s="256">
        <f>OfficeForms.Table[[#This Row],[ INFORMEDEPAGO ]]*0.3</f>
        <v>2611.8719999999998</v>
      </c>
      <c r="R4949" s="43">
        <f t="shared" si="416"/>
        <v>2611.8719999999998</v>
      </c>
      <c r="T4949" s="1"/>
      <c r="U4949" s="97"/>
      <c r="V4949" s="1" t="s">
        <v>8915</v>
      </c>
      <c r="W4949" s="29">
        <v>46287</v>
      </c>
    </row>
    <row r="4950" spans="1:23">
      <c r="A4950">
        <v>3386</v>
      </c>
      <c r="B4950" s="2">
        <v>46287.346817129597</v>
      </c>
      <c r="C4950" s="2">
        <v>46287.347881944399</v>
      </c>
      <c r="D4950" s="1" t="s">
        <v>24</v>
      </c>
      <c r="E4950" s="1"/>
      <c r="F4950" s="29">
        <v>46287</v>
      </c>
      <c r="G4950" s="29">
        <v>46280</v>
      </c>
      <c r="H4950" s="1" t="s">
        <v>8253</v>
      </c>
      <c r="I4950" s="251" t="s">
        <v>10324</v>
      </c>
      <c r="J4950" s="207"/>
      <c r="K4950" s="188" t="s">
        <v>10325</v>
      </c>
      <c r="L4950" s="242">
        <v>24495446</v>
      </c>
      <c r="M4950" s="243">
        <v>6563169407</v>
      </c>
      <c r="N4950" s="171" t="s">
        <v>37</v>
      </c>
      <c r="O4950" s="52">
        <v>8075.38</v>
      </c>
      <c r="P4950" s="52">
        <v>2417.54</v>
      </c>
      <c r="Q4950" s="256">
        <f>OfficeForms.Table[[#This Row],[ INFORMEDEPAGO ]]*0.3</f>
        <v>2422.614</v>
      </c>
      <c r="R4950" s="43">
        <f t="shared" si="416"/>
        <v>5.0740000000000691</v>
      </c>
      <c r="S4950" s="74">
        <v>46874</v>
      </c>
      <c r="T4950" s="1" t="s">
        <v>84</v>
      </c>
      <c r="U4950" s="97">
        <v>2141.14</v>
      </c>
      <c r="V4950" s="1"/>
    </row>
    <row r="4951" spans="1:23">
      <c r="A4951">
        <v>3387</v>
      </c>
      <c r="B4951" s="2">
        <v>46287.3913888889</v>
      </c>
      <c r="C4951" s="2">
        <v>46287.398900462998</v>
      </c>
      <c r="D4951" s="1" t="s">
        <v>24</v>
      </c>
      <c r="E4951" s="1"/>
      <c r="F4951" s="29">
        <v>46287</v>
      </c>
      <c r="G4951" s="29">
        <v>46286</v>
      </c>
      <c r="H4951" s="1" t="s">
        <v>51</v>
      </c>
      <c r="I4951" s="251" t="s">
        <v>10963</v>
      </c>
      <c r="J4951" s="207">
        <v>67836555531</v>
      </c>
      <c r="K4951" s="188" t="s">
        <v>10964</v>
      </c>
      <c r="L4951" s="242">
        <v>24709552</v>
      </c>
      <c r="M4951" s="243">
        <v>24709552</v>
      </c>
      <c r="N4951" s="171" t="s">
        <v>32</v>
      </c>
      <c r="O4951" s="50">
        <v>3602.45</v>
      </c>
      <c r="P4951" s="97"/>
      <c r="Q4951" s="256">
        <f>OfficeForms.Table[[#This Row],[ INFORMEDEPAGO ]]*0.3</f>
        <v>1080.7349999999999</v>
      </c>
      <c r="R4951" s="43">
        <f t="shared" ref="R4951" si="417">(IF(O4951&lt;4172.98,0,MIN(O4951*0.3,O4951-4172.98)))-P4951</f>
        <v>0</v>
      </c>
      <c r="T4951" s="1"/>
      <c r="U4951" s="97"/>
      <c r="V4951" s="1"/>
    </row>
    <row r="4952" spans="1:23">
      <c r="A4952">
        <v>3388</v>
      </c>
      <c r="B4952" s="2">
        <v>46287.385439814803</v>
      </c>
      <c r="C4952" s="2">
        <v>46287.415428240703</v>
      </c>
      <c r="D4952" s="1" t="s">
        <v>24</v>
      </c>
      <c r="E4952" s="1"/>
      <c r="F4952" s="29">
        <v>46287</v>
      </c>
      <c r="G4952" s="29">
        <v>46287</v>
      </c>
      <c r="H4952" s="1" t="s">
        <v>1625</v>
      </c>
      <c r="I4952" s="251" t="s">
        <v>10965</v>
      </c>
      <c r="J4952" s="207">
        <v>43806513685</v>
      </c>
      <c r="K4952" s="188" t="s">
        <v>10966</v>
      </c>
      <c r="L4952" s="242">
        <v>2</v>
      </c>
      <c r="M4952" s="243" t="s">
        <v>10967</v>
      </c>
      <c r="N4952" s="171" t="s">
        <v>28</v>
      </c>
      <c r="O4952" s="50">
        <v>10978.38</v>
      </c>
      <c r="P4952" s="97"/>
      <c r="Q4952" s="256">
        <f>OfficeForms.Table[[#This Row],[ INFORMEDEPAGO ]]*0.3</f>
        <v>3293.5139999999997</v>
      </c>
      <c r="R4952" s="43">
        <f>(IF(O4952&lt;4172.98,0,MIN(O4952*0.3,O4952-4172.98)))-P4952</f>
        <v>3293.5139999999997</v>
      </c>
      <c r="T4952" s="1"/>
      <c r="U4952" s="97"/>
      <c r="V4952" s="1"/>
    </row>
    <row r="4953" spans="1:23">
      <c r="A4953">
        <v>3389</v>
      </c>
      <c r="B4953" s="2">
        <v>46287.417094907403</v>
      </c>
      <c r="C4953" s="2">
        <v>46287.417986111097</v>
      </c>
      <c r="D4953" s="1" t="s">
        <v>24</v>
      </c>
      <c r="E4953" s="1"/>
      <c r="F4953" s="29">
        <v>46287</v>
      </c>
      <c r="G4953" s="29">
        <v>46287</v>
      </c>
      <c r="H4953" s="1" t="s">
        <v>269</v>
      </c>
      <c r="I4953" s="251" t="s">
        <v>10968</v>
      </c>
      <c r="J4953" s="175" t="s">
        <v>10969</v>
      </c>
      <c r="K4953" s="188" t="s">
        <v>10970</v>
      </c>
      <c r="L4953" s="242">
        <v>24737898</v>
      </c>
      <c r="M4953" s="243">
        <v>5214421272379</v>
      </c>
      <c r="N4953" s="171" t="s">
        <v>28</v>
      </c>
      <c r="O4953" s="50">
        <v>53271.57</v>
      </c>
      <c r="P4953" s="97"/>
      <c r="Q4953" s="256">
        <f>OfficeForms.Table[[#This Row],[ INFORMEDEPAGO ]]*0.3</f>
        <v>15981.471</v>
      </c>
      <c r="R4953" s="43">
        <f>(IF(O4953&lt;4172.98,0,MIN(O4953*0.3,O4953-4172.98)))-P4953</f>
        <v>15981.471</v>
      </c>
      <c r="T4953" s="1"/>
      <c r="U4953" s="97"/>
      <c r="V4953" s="1" t="s">
        <v>8350</v>
      </c>
      <c r="W4953" s="29">
        <v>46287</v>
      </c>
    </row>
    <row r="4954" spans="1:23">
      <c r="A4954">
        <v>3390</v>
      </c>
      <c r="B4954" s="2">
        <v>46287.418171296304</v>
      </c>
      <c r="C4954" s="2">
        <v>46287.418796296297</v>
      </c>
      <c r="D4954" s="1" t="s">
        <v>24</v>
      </c>
      <c r="E4954" s="1"/>
      <c r="F4954" s="29">
        <v>46287</v>
      </c>
      <c r="G4954" s="29">
        <v>46286</v>
      </c>
      <c r="H4954" s="1" t="s">
        <v>10043</v>
      </c>
      <c r="I4954" s="251"/>
      <c r="J4954" s="207">
        <v>21876870300</v>
      </c>
      <c r="K4954" s="188"/>
      <c r="L4954" s="242">
        <v>24705442</v>
      </c>
      <c r="M4954" s="243">
        <v>6861571273</v>
      </c>
      <c r="N4954" s="171" t="s">
        <v>37</v>
      </c>
      <c r="O4954" s="43">
        <v>4800.13</v>
      </c>
      <c r="P4954" s="43">
        <v>549.29</v>
      </c>
      <c r="Q4954" s="256">
        <f>OfficeForms.Table[[#This Row],[ INFORMEDEPAGO ]]*0.3</f>
        <v>1440.039</v>
      </c>
      <c r="R4954" s="43">
        <f>(IF(O4954&lt;4172.98,0,MIN(O4954*0.3,O4954-4172.98)))-P4954</f>
        <v>77.860000000000582</v>
      </c>
      <c r="S4954" s="74">
        <v>46935</v>
      </c>
      <c r="T4954" s="1" t="s">
        <v>259</v>
      </c>
      <c r="U4954" s="43">
        <v>549.29</v>
      </c>
      <c r="V4954" s="1"/>
    </row>
    <row r="4955" spans="1:23">
      <c r="A4955">
        <v>3391</v>
      </c>
      <c r="B4955" s="2">
        <v>46287.415462962999</v>
      </c>
      <c r="C4955" s="2">
        <v>46287.420543981498</v>
      </c>
      <c r="D4955" s="1" t="s">
        <v>24</v>
      </c>
      <c r="E4955" s="1"/>
      <c r="F4955" s="29">
        <v>46287</v>
      </c>
      <c r="G4955" s="29">
        <v>46287</v>
      </c>
      <c r="H4955" s="1" t="s">
        <v>1625</v>
      </c>
      <c r="I4955" s="251" t="s">
        <v>10971</v>
      </c>
      <c r="J4955" s="207">
        <v>89806131366</v>
      </c>
      <c r="K4955" s="188" t="s">
        <v>10972</v>
      </c>
      <c r="L4955" s="242">
        <v>2</v>
      </c>
      <c r="M4955" s="243" t="s">
        <v>10973</v>
      </c>
      <c r="N4955" s="171" t="s">
        <v>37</v>
      </c>
      <c r="O4955" s="43">
        <v>45094.16</v>
      </c>
      <c r="P4955" s="43">
        <v>13528.2</v>
      </c>
      <c r="Q4955" s="256">
        <f>OfficeForms.Table[[#This Row],[ INFORMEDEPAGO ]]*0.3</f>
        <v>13528.248000000001</v>
      </c>
      <c r="R4955" s="43">
        <f>(IF(O4955&lt;4172.98,0,MIN(O4955*0.3,O4955-4172.98)))-P4955</f>
        <v>4.800000000068394E-2</v>
      </c>
      <c r="S4955" s="74">
        <v>46447</v>
      </c>
      <c r="T4955" s="1" t="s">
        <v>8338</v>
      </c>
      <c r="U4955" s="97">
        <v>2671.2</v>
      </c>
      <c r="V4955" s="1"/>
    </row>
    <row r="4956" spans="1:23">
      <c r="A4956">
        <v>3392</v>
      </c>
      <c r="B4956" s="2">
        <v>46286.729212963</v>
      </c>
      <c r="C4956" s="2">
        <v>46287.434432870403</v>
      </c>
      <c r="D4956" s="1" t="s">
        <v>24</v>
      </c>
      <c r="E4956" s="1"/>
      <c r="F4956" s="29">
        <v>46287</v>
      </c>
      <c r="G4956" s="29">
        <v>46286</v>
      </c>
      <c r="H4956" s="1" t="s">
        <v>8381</v>
      </c>
      <c r="I4956" s="251" t="s">
        <v>10974</v>
      </c>
      <c r="J4956" s="175" t="s">
        <v>10975</v>
      </c>
      <c r="K4956" s="188" t="s">
        <v>10976</v>
      </c>
      <c r="L4956" s="242">
        <v>24706572</v>
      </c>
      <c r="M4956" s="243">
        <v>5213271044813</v>
      </c>
      <c r="N4956" s="171" t="s">
        <v>37</v>
      </c>
      <c r="O4956" s="43">
        <v>9504.7000000000007</v>
      </c>
      <c r="P4956" s="43">
        <v>2851.41</v>
      </c>
      <c r="Q4956" s="256">
        <f>OfficeForms.Table[[#This Row],[ INFORMEDEPAGO ]]*0.3</f>
        <v>2851.4100000000003</v>
      </c>
      <c r="R4956" s="43">
        <f>(IF(O4956&lt;4172.98,0,MIN(O4956*0.3,O4956-4172.98)))-P4956</f>
        <v>0</v>
      </c>
      <c r="S4956" s="74">
        <v>46905</v>
      </c>
      <c r="T4956" s="1" t="s">
        <v>8452</v>
      </c>
      <c r="U4956" s="43">
        <v>2851.41</v>
      </c>
      <c r="V4956" s="1"/>
    </row>
    <row r="4957" spans="1:23">
      <c r="A4957">
        <v>3393</v>
      </c>
      <c r="B4957" s="2">
        <v>46287.441215277802</v>
      </c>
      <c r="C4957" s="2">
        <v>46287.442858796298</v>
      </c>
      <c r="D4957" s="1" t="s">
        <v>24</v>
      </c>
      <c r="E4957" s="1"/>
      <c r="F4957" s="29">
        <v>46287</v>
      </c>
      <c r="G4957" s="29">
        <v>46287</v>
      </c>
      <c r="H4957" s="1" t="s">
        <v>103</v>
      </c>
      <c r="I4957" s="251" t="s">
        <v>10977</v>
      </c>
      <c r="J4957" s="175">
        <v>62795507144</v>
      </c>
      <c r="K4957" s="188"/>
      <c r="L4957" s="242">
        <v>1</v>
      </c>
      <c r="M4957" s="243">
        <v>2226792761</v>
      </c>
      <c r="N4957" s="171" t="s">
        <v>37</v>
      </c>
      <c r="O4957" s="43">
        <v>40059.4</v>
      </c>
      <c r="P4957" s="43">
        <v>12015.6</v>
      </c>
      <c r="Q4957" s="256">
        <f>OfficeForms.Table[[#This Row],[ INFORMEDEPAGO ]]*0.3</f>
        <v>12017.82</v>
      </c>
      <c r="R4957" s="43">
        <f>(IF(O4957&lt;4172.98,0,MIN(O4957*0.3,O4957-4172.98)))-P4957</f>
        <v>2.2199999999993452</v>
      </c>
      <c r="S4957" s="74">
        <v>46966</v>
      </c>
      <c r="T4957" s="1" t="s">
        <v>84</v>
      </c>
      <c r="U4957" s="43">
        <v>12015.6</v>
      </c>
      <c r="V4957" s="1"/>
    </row>
    <row r="4958" spans="1:23">
      <c r="A4958">
        <v>3394</v>
      </c>
      <c r="B4958" s="2">
        <v>46287.398923611101</v>
      </c>
      <c r="C4958" s="2">
        <v>46287.442893518499</v>
      </c>
      <c r="D4958" s="1" t="s">
        <v>24</v>
      </c>
      <c r="E4958" s="1"/>
      <c r="F4958" s="29">
        <v>46287</v>
      </c>
      <c r="G4958" s="29">
        <v>46287</v>
      </c>
      <c r="H4958" s="1" t="s">
        <v>51</v>
      </c>
      <c r="I4958" s="251" t="s">
        <v>10978</v>
      </c>
      <c r="J4958" s="175">
        <v>11805810121</v>
      </c>
      <c r="K4958" s="188" t="s">
        <v>10979</v>
      </c>
      <c r="L4958" s="242">
        <v>24740944</v>
      </c>
      <c r="M4958" s="243">
        <v>5217421094210</v>
      </c>
      <c r="N4958" s="171" t="s">
        <v>37</v>
      </c>
      <c r="O4958" s="43">
        <v>9760.32</v>
      </c>
      <c r="P4958" s="43">
        <v>2823.89</v>
      </c>
      <c r="Q4958" s="256">
        <f>OfficeForms.Table[[#This Row],[ INFORMEDEPAGO ]]*0.3</f>
        <v>2928.096</v>
      </c>
      <c r="R4958" s="43">
        <f>(IF(O4958&lt;4172.98,0,MIN(O4958*0.3,O4958-4172.98)))-P4958</f>
        <v>104.20600000000013</v>
      </c>
      <c r="S4958" s="74">
        <v>46600</v>
      </c>
      <c r="T4958" s="1" t="s">
        <v>7516</v>
      </c>
      <c r="U4958" s="43">
        <v>2823.89</v>
      </c>
      <c r="V4958" s="1"/>
    </row>
    <row r="4959" spans="1:23">
      <c r="A4959">
        <v>3395</v>
      </c>
      <c r="B4959" s="2">
        <v>46287.4429282407</v>
      </c>
      <c r="C4959" s="2">
        <v>46287.444270833301</v>
      </c>
      <c r="D4959" s="1" t="s">
        <v>24</v>
      </c>
      <c r="E4959" s="1"/>
      <c r="F4959" s="29">
        <v>46287</v>
      </c>
      <c r="G4959" s="29">
        <v>46287</v>
      </c>
      <c r="H4959" s="1" t="s">
        <v>103</v>
      </c>
      <c r="I4959" s="251" t="s">
        <v>2921</v>
      </c>
      <c r="J4959" s="175">
        <v>65835932560</v>
      </c>
      <c r="K4959" s="188"/>
      <c r="L4959" s="242">
        <v>1</v>
      </c>
      <c r="M4959" s="243">
        <v>2285917782</v>
      </c>
      <c r="N4959" s="171" t="s">
        <v>106</v>
      </c>
      <c r="O4959" s="43">
        <v>5547.14</v>
      </c>
      <c r="P4959" s="43">
        <v>1374.15</v>
      </c>
      <c r="Q4959" s="256">
        <f>OfficeForms.Table[[#This Row],[ INFORMEDEPAGO ]]*0.3</f>
        <v>1664.1420000000001</v>
      </c>
      <c r="R4959" s="43">
        <f>(IF(O4959&lt;4172.98,0,MIN(O4959*0.3,O4959-4172.98)))-P4959</f>
        <v>1.0000000000673026E-2</v>
      </c>
      <c r="S4959" s="74">
        <v>45597</v>
      </c>
      <c r="T4959" s="1" t="s">
        <v>6855</v>
      </c>
      <c r="U4959" s="43">
        <v>1125.72</v>
      </c>
      <c r="V4959" s="1"/>
    </row>
    <row r="4960" spans="1:23">
      <c r="A4960">
        <v>3396</v>
      </c>
      <c r="B4960" s="2">
        <v>46287.3546180556</v>
      </c>
      <c r="C4960" s="2">
        <v>46287.449143518497</v>
      </c>
      <c r="D4960" s="1" t="s">
        <v>24</v>
      </c>
      <c r="E4960" s="1"/>
      <c r="F4960" s="29">
        <v>46287</v>
      </c>
      <c r="G4960" s="29">
        <v>46286</v>
      </c>
      <c r="H4960" s="1" t="s">
        <v>9991</v>
      </c>
      <c r="I4960" s="251" t="s">
        <v>10980</v>
      </c>
      <c r="J4960" s="175">
        <v>328160811</v>
      </c>
      <c r="K4960" s="188" t="s">
        <v>10981</v>
      </c>
      <c r="L4960" s="242">
        <v>24696360</v>
      </c>
      <c r="M4960" s="243">
        <v>8442111989</v>
      </c>
      <c r="N4960" s="171" t="s">
        <v>47</v>
      </c>
      <c r="O4960" s="43">
        <v>23207.47</v>
      </c>
      <c r="P4960" s="43">
        <v>5794.93</v>
      </c>
      <c r="Q4960" s="256">
        <f>OfficeForms.Table[[#This Row],[ INFORMEDEPAGO ]]*0.3</f>
        <v>6962.241</v>
      </c>
      <c r="R4960" s="43">
        <f>(IF(O4960&lt;4172.98,0,MIN(O4960*0.3,O4960-4172.98)))-P4960</f>
        <v>1167.3109999999997</v>
      </c>
      <c r="S4960" s="74">
        <v>46296</v>
      </c>
      <c r="T4960" s="1" t="s">
        <v>10377</v>
      </c>
      <c r="U4960" s="97">
        <v>1500</v>
      </c>
      <c r="V4960" s="1" t="s">
        <v>10898</v>
      </c>
      <c r="W4960" s="29">
        <v>46287</v>
      </c>
    </row>
    <row r="4961" spans="1:23">
      <c r="A4961">
        <v>3397</v>
      </c>
      <c r="B4961" s="2">
        <v>46287.448645833298</v>
      </c>
      <c r="C4961" s="2">
        <v>46287.449745370403</v>
      </c>
      <c r="D4961" s="1" t="s">
        <v>24</v>
      </c>
      <c r="E4961" s="1"/>
      <c r="F4961" s="29">
        <v>46287</v>
      </c>
      <c r="G4961" s="29">
        <v>46287</v>
      </c>
      <c r="H4961" s="1" t="s">
        <v>103</v>
      </c>
      <c r="I4961" s="251" t="s">
        <v>10982</v>
      </c>
      <c r="J4961" s="175">
        <v>1765842255</v>
      </c>
      <c r="K4961" s="188"/>
      <c r="L4961" s="242">
        <v>1</v>
      </c>
      <c r="M4961" s="243">
        <v>5656379420</v>
      </c>
      <c r="N4961" s="171" t="s">
        <v>37</v>
      </c>
      <c r="O4961" s="43">
        <v>12832.28</v>
      </c>
      <c r="P4961" s="43">
        <v>3710.26</v>
      </c>
      <c r="Q4961" s="256">
        <f>OfficeForms.Table[[#This Row],[ INFORMEDEPAGO ]]*0.3</f>
        <v>3849.6840000000002</v>
      </c>
      <c r="R4961" s="43">
        <f>(IF(O4961&lt;4172.98,0,MIN(O4961*0.3,O4961-4172.98)))-P4961</f>
        <v>139.42399999999998</v>
      </c>
      <c r="S4961" s="74">
        <v>46447</v>
      </c>
      <c r="T4961" s="1" t="s">
        <v>8338</v>
      </c>
      <c r="U4961" s="97">
        <v>1947.41</v>
      </c>
      <c r="V4961" s="1"/>
    </row>
    <row r="4962" spans="1:23">
      <c r="A4962">
        <v>3398</v>
      </c>
      <c r="B4962" s="2">
        <v>46287.442916666703</v>
      </c>
      <c r="C4962" s="2">
        <v>46287.4683449074</v>
      </c>
      <c r="D4962" s="1" t="s">
        <v>24</v>
      </c>
      <c r="E4962" s="1"/>
      <c r="F4962" s="29">
        <v>46287</v>
      </c>
      <c r="G4962" s="29">
        <v>46286</v>
      </c>
      <c r="H4962" s="1" t="s">
        <v>51</v>
      </c>
      <c r="I4962" s="251" t="s">
        <v>10983</v>
      </c>
      <c r="J4962" s="175" t="s">
        <v>10984</v>
      </c>
      <c r="K4962" s="188" t="s">
        <v>10985</v>
      </c>
      <c r="L4962" s="242">
        <v>24712390</v>
      </c>
      <c r="M4962" s="243">
        <v>5216622915673</v>
      </c>
      <c r="N4962" s="171" t="s">
        <v>263</v>
      </c>
      <c r="O4962" s="43">
        <v>18845.43</v>
      </c>
      <c r="P4962" s="43">
        <v>5653.63</v>
      </c>
      <c r="Q4962" s="256">
        <f>OfficeForms.Table[[#This Row],[ INFORMEDEPAGO ]]*0.3</f>
        <v>5653.6289999999999</v>
      </c>
      <c r="R4962" s="43">
        <f>(IF(O4962&lt;4172.98,0,MIN(O4962*0.3,O4962-4172.98)))-P4962</f>
        <v>-1.0000000002037268E-3</v>
      </c>
      <c r="S4962" s="74">
        <v>46235</v>
      </c>
      <c r="T4962" s="1" t="s">
        <v>192</v>
      </c>
      <c r="U4962" s="43">
        <v>2739.4</v>
      </c>
      <c r="V4962" s="1" t="s">
        <v>8291</v>
      </c>
      <c r="W4962" s="29">
        <v>46287</v>
      </c>
    </row>
    <row r="4963" spans="1:23">
      <c r="A4963">
        <v>3399</v>
      </c>
      <c r="B4963" s="2">
        <v>46287.426817129599</v>
      </c>
      <c r="C4963" s="2">
        <v>46287.474189814799</v>
      </c>
      <c r="D4963" s="1" t="s">
        <v>24</v>
      </c>
      <c r="E4963" s="1"/>
      <c r="F4963" s="29">
        <v>46287</v>
      </c>
      <c r="G4963" s="29">
        <v>46286</v>
      </c>
      <c r="H4963" s="1" t="s">
        <v>78</v>
      </c>
      <c r="I4963" s="251" t="s">
        <v>10986</v>
      </c>
      <c r="J4963" s="175">
        <v>71886511956</v>
      </c>
      <c r="K4963" s="188" t="s">
        <v>10987</v>
      </c>
      <c r="L4963" s="242">
        <v>24707236</v>
      </c>
      <c r="M4963" s="243">
        <v>5219613292725</v>
      </c>
      <c r="N4963" s="171" t="s">
        <v>37</v>
      </c>
      <c r="O4963" s="43">
        <v>9760.32</v>
      </c>
      <c r="P4963" s="43">
        <v>2844.42</v>
      </c>
      <c r="Q4963" s="256">
        <f>OfficeForms.Table[[#This Row],[ INFORMEDEPAGO ]]*0.3</f>
        <v>2928.096</v>
      </c>
      <c r="R4963" s="43">
        <f>(IF(O4963&lt;4172.98,0,MIN(O4963*0.3,O4963-4172.98)))-P4963</f>
        <v>83.675999999999931</v>
      </c>
      <c r="S4963" s="74">
        <v>46813</v>
      </c>
      <c r="T4963" s="1" t="s">
        <v>192</v>
      </c>
      <c r="U4963" s="43">
        <v>2844.42</v>
      </c>
      <c r="V4963" s="1"/>
    </row>
    <row r="4964" spans="1:23">
      <c r="A4964">
        <v>3400</v>
      </c>
      <c r="B4964" s="2">
        <v>46287.434467592597</v>
      </c>
      <c r="C4964" s="2">
        <v>46287.476307870398</v>
      </c>
      <c r="D4964" s="1" t="s">
        <v>24</v>
      </c>
      <c r="E4964" s="1"/>
      <c r="F4964" s="29">
        <v>46287</v>
      </c>
      <c r="G4964" s="29">
        <v>46287</v>
      </c>
      <c r="H4964" s="1" t="s">
        <v>8381</v>
      </c>
      <c r="I4964" s="251" t="s">
        <v>10988</v>
      </c>
      <c r="J4964" s="175">
        <v>67906101406</v>
      </c>
      <c r="K4964" s="188" t="s">
        <v>10989</v>
      </c>
      <c r="L4964" s="242">
        <v>24739246</v>
      </c>
      <c r="M4964" s="243">
        <v>5212722361878</v>
      </c>
      <c r="N4964" s="171" t="s">
        <v>98</v>
      </c>
      <c r="O4964" s="50"/>
      <c r="P4964" s="97"/>
      <c r="Q4964" s="256">
        <f>OfficeForms.Table[[#This Row],[ INFORMEDEPAGO ]]*0.3</f>
        <v>0</v>
      </c>
      <c r="R4964" s="43">
        <f>(IF(O4964&lt;4172.98,0,MIN(O4964*0.3,O4964-4172.98)))-P4964</f>
        <v>0</v>
      </c>
      <c r="T4964" s="1"/>
      <c r="U4964" s="97"/>
      <c r="V4964" s="1"/>
    </row>
    <row r="4965" spans="1:23">
      <c r="A4965">
        <v>3401</v>
      </c>
      <c r="B4965" s="2">
        <v>46287.4683912037</v>
      </c>
      <c r="C4965" s="2">
        <v>46287.487557870401</v>
      </c>
      <c r="D4965" s="1" t="s">
        <v>24</v>
      </c>
      <c r="E4965" s="1"/>
      <c r="F4965" s="29">
        <v>46287</v>
      </c>
      <c r="G4965" s="29">
        <v>46287</v>
      </c>
      <c r="H4965" s="1" t="s">
        <v>51</v>
      </c>
      <c r="I4965" s="251" t="s">
        <v>10990</v>
      </c>
      <c r="J4965" s="175"/>
      <c r="K4965" s="188" t="s">
        <v>10991</v>
      </c>
      <c r="L4965" s="242">
        <v>24741688</v>
      </c>
      <c r="M4965" s="243">
        <v>5213111046148</v>
      </c>
      <c r="N4965" s="171" t="s">
        <v>37</v>
      </c>
      <c r="O4965" s="43">
        <v>10636.54</v>
      </c>
      <c r="P4965" s="43">
        <v>3188.04</v>
      </c>
      <c r="Q4965" s="256">
        <f>OfficeForms.Table[[#This Row],[ INFORMEDEPAGO ]]*0.3</f>
        <v>3190.962</v>
      </c>
      <c r="R4965" s="43">
        <f>(IF(O4965&lt;4172.98,0,MIN(O4965*0.3,O4965-4172.98)))-P4965</f>
        <v>2.9220000000000255</v>
      </c>
      <c r="S4965" s="74">
        <v>46935</v>
      </c>
      <c r="T4965" s="1" t="s">
        <v>7209</v>
      </c>
      <c r="U4965" s="97">
        <v>2309.04</v>
      </c>
      <c r="V4965" s="1"/>
    </row>
    <row r="4966" spans="1:23">
      <c r="A4966">
        <v>3402</v>
      </c>
      <c r="B4966" s="2">
        <v>46287.476342592599</v>
      </c>
      <c r="C4966" s="2">
        <v>46287.498171296298</v>
      </c>
      <c r="D4966" s="1" t="s">
        <v>24</v>
      </c>
      <c r="E4966" s="1"/>
      <c r="F4966" s="29">
        <v>46287</v>
      </c>
      <c r="G4966" s="29">
        <v>46286</v>
      </c>
      <c r="H4966" s="1" t="s">
        <v>8381</v>
      </c>
      <c r="I4966" s="251" t="s">
        <v>10992</v>
      </c>
      <c r="J4966" s="175"/>
      <c r="K4966" s="188" t="s">
        <v>10993</v>
      </c>
      <c r="L4966" s="242">
        <v>24708666</v>
      </c>
      <c r="M4966" s="243">
        <v>5212291148677</v>
      </c>
      <c r="N4966" s="171" t="s">
        <v>106</v>
      </c>
      <c r="O4966" s="43">
        <v>7919.53</v>
      </c>
      <c r="P4966" s="43">
        <v>2047.45</v>
      </c>
      <c r="Q4966" s="256">
        <f>OfficeForms.Table[[#This Row],[ INFORMEDEPAGO ]]*0.3</f>
        <v>2375.8589999999999</v>
      </c>
      <c r="R4966" s="43">
        <f>(IF(O4966&lt;4172.98,0,MIN(O4966*0.3,O4966-4172.98)))-P4966</f>
        <v>328.40899999999988</v>
      </c>
      <c r="S4966" s="74">
        <v>45992</v>
      </c>
      <c r="T4966" s="1" t="s">
        <v>7516</v>
      </c>
      <c r="U4966" s="43">
        <v>2047.45</v>
      </c>
      <c r="V4966" s="1" t="s">
        <v>10408</v>
      </c>
      <c r="W4966" s="29">
        <v>46287</v>
      </c>
    </row>
    <row r="4967" spans="1:23">
      <c r="A4967">
        <v>3403</v>
      </c>
      <c r="B4967" s="2">
        <v>46287.503819444399</v>
      </c>
      <c r="C4967" s="2">
        <v>46287.505532407398</v>
      </c>
      <c r="D4967" s="1" t="s">
        <v>24</v>
      </c>
      <c r="E4967" s="1"/>
      <c r="F4967" s="29">
        <v>46287</v>
      </c>
      <c r="G4967" s="29">
        <v>46274</v>
      </c>
      <c r="H4967" s="1" t="s">
        <v>269</v>
      </c>
      <c r="I4967" s="251" t="s">
        <v>10994</v>
      </c>
      <c r="J4967" s="175" t="s">
        <v>10995</v>
      </c>
      <c r="K4967" s="188" t="s">
        <v>10996</v>
      </c>
      <c r="L4967" s="242">
        <v>24353046</v>
      </c>
      <c r="M4967" s="243">
        <v>5215574254434</v>
      </c>
      <c r="N4967" s="171" t="s">
        <v>32</v>
      </c>
      <c r="O4967" s="50">
        <v>2854.24</v>
      </c>
      <c r="P4967" s="97"/>
      <c r="Q4967" s="256">
        <f>OfficeForms.Table[[#This Row],[ INFORMEDEPAGO ]]*0.3</f>
        <v>856.27199999999993</v>
      </c>
      <c r="R4967" s="43">
        <f>(IF(O4967&lt;4172.98,0,MIN(O4967*0.3,O4967-4172.98)))-P4967</f>
        <v>0</v>
      </c>
      <c r="T4967" s="1"/>
      <c r="U4967" s="97"/>
      <c r="V4967" s="1"/>
    </row>
    <row r="4968" spans="1:23">
      <c r="A4968">
        <v>3404</v>
      </c>
      <c r="B4968" s="2">
        <v>46287.474247685197</v>
      </c>
      <c r="C4968" s="2">
        <v>46287.521261574097</v>
      </c>
      <c r="D4968" s="1" t="s">
        <v>24</v>
      </c>
      <c r="E4968" s="1"/>
      <c r="F4968" s="29">
        <v>46287</v>
      </c>
      <c r="G4968" s="29">
        <v>46286</v>
      </c>
      <c r="H4968" s="1" t="s">
        <v>78</v>
      </c>
      <c r="I4968" s="251" t="s">
        <v>10997</v>
      </c>
      <c r="J4968" s="175">
        <v>3275511102</v>
      </c>
      <c r="K4968" s="188" t="s">
        <v>10998</v>
      </c>
      <c r="L4968" s="242">
        <v>24711008</v>
      </c>
      <c r="M4968" s="243">
        <v>5218662041106</v>
      </c>
      <c r="N4968" s="171" t="s">
        <v>37</v>
      </c>
      <c r="O4968" s="43">
        <v>33774.629999999997</v>
      </c>
      <c r="P4968" s="43">
        <v>10132.39</v>
      </c>
      <c r="Q4968" s="256">
        <f>OfficeForms.Table[[#This Row],[ INFORMEDEPAGO ]]*0.3</f>
        <v>10132.388999999999</v>
      </c>
      <c r="R4968" s="43">
        <f>(IF(O4968&lt;4172.98,0,MIN(O4968*0.3,O4968-4172.98)))-P4968</f>
        <v>-1.0000000002037268E-3</v>
      </c>
      <c r="S4968" s="74">
        <v>46447</v>
      </c>
      <c r="T4968" s="1" t="s">
        <v>259</v>
      </c>
      <c r="U4968" s="97">
        <v>2178.35</v>
      </c>
      <c r="V4968" s="1"/>
    </row>
    <row r="4969" spans="1:23">
      <c r="A4969">
        <v>3405</v>
      </c>
      <c r="B4969" s="2">
        <v>46287.514664351896</v>
      </c>
      <c r="C4969" s="2">
        <v>46287.521307870396</v>
      </c>
      <c r="D4969" s="1" t="s">
        <v>24</v>
      </c>
      <c r="E4969" s="1"/>
      <c r="F4969" s="29">
        <v>46287</v>
      </c>
      <c r="G4969" s="29">
        <v>46287</v>
      </c>
      <c r="H4969" s="1" t="s">
        <v>78</v>
      </c>
      <c r="I4969" s="251" t="s">
        <v>10999</v>
      </c>
      <c r="J4969" s="175">
        <v>22836405369</v>
      </c>
      <c r="K4969" s="188"/>
      <c r="L4969" s="242">
        <v>24733372</v>
      </c>
      <c r="M4969" s="243">
        <v>5216151616090</v>
      </c>
      <c r="N4969" s="171" t="s">
        <v>28</v>
      </c>
      <c r="O4969" s="50">
        <v>9081.52</v>
      </c>
      <c r="P4969" s="97"/>
      <c r="Q4969" s="256">
        <f>OfficeForms.Table[[#This Row],[ INFORMEDEPAGO ]]*0.3</f>
        <v>2724.4560000000001</v>
      </c>
      <c r="R4969" s="43">
        <f>(IF(O4969&lt;4172.98,0,MIN(O4969*0.3,O4969-4172.98)))-P4969</f>
        <v>2724.4560000000001</v>
      </c>
      <c r="T4969" s="1"/>
      <c r="U4969" s="97"/>
      <c r="V4969" s="1" t="s">
        <v>8915</v>
      </c>
      <c r="W4969" s="29">
        <v>46287</v>
      </c>
    </row>
    <row r="4970" spans="1:23">
      <c r="A4970">
        <v>3406</v>
      </c>
      <c r="B4970" s="2">
        <v>46287.515925925902</v>
      </c>
      <c r="C4970" s="2">
        <v>46287.5213657407</v>
      </c>
      <c r="D4970" s="1" t="s">
        <v>24</v>
      </c>
      <c r="E4970" s="1"/>
      <c r="F4970" s="29">
        <v>46287</v>
      </c>
      <c r="G4970" s="29">
        <v>46287</v>
      </c>
      <c r="H4970" s="1" t="s">
        <v>78</v>
      </c>
      <c r="I4970" s="251" t="s">
        <v>11000</v>
      </c>
      <c r="J4970" s="175">
        <v>32856304863</v>
      </c>
      <c r="K4970" s="188" t="s">
        <v>11001</v>
      </c>
      <c r="L4970" s="242">
        <v>24739472</v>
      </c>
      <c r="M4970" s="243">
        <v>5218711053502</v>
      </c>
      <c r="N4970" s="171" t="s">
        <v>28</v>
      </c>
      <c r="O4970" s="50">
        <v>9760.32</v>
      </c>
      <c r="P4970" s="97"/>
      <c r="Q4970" s="256">
        <f>OfficeForms.Table[[#This Row],[ INFORMEDEPAGO ]]*0.3</f>
        <v>2928.096</v>
      </c>
      <c r="R4970" s="43">
        <f>(IF(O4970&lt;4172.98,0,MIN(O4970*0.3,O4970-4172.98)))-P4970</f>
        <v>2928.096</v>
      </c>
      <c r="T4970" s="1"/>
      <c r="U4970" s="97"/>
      <c r="V4970" s="1" t="s">
        <v>8356</v>
      </c>
      <c r="W4970" s="29">
        <v>46287</v>
      </c>
    </row>
    <row r="4971" spans="1:23">
      <c r="A4971">
        <v>3407</v>
      </c>
      <c r="B4971" s="2">
        <v>46287.317002314798</v>
      </c>
      <c r="C4971" s="2">
        <v>46287.522291666697</v>
      </c>
      <c r="D4971" s="1" t="s">
        <v>24</v>
      </c>
      <c r="E4971" s="1"/>
      <c r="F4971" s="29">
        <v>46287</v>
      </c>
      <c r="G4971" s="29">
        <v>46287</v>
      </c>
      <c r="H4971" s="1" t="s">
        <v>1625</v>
      </c>
      <c r="I4971" s="251" t="s">
        <v>11002</v>
      </c>
      <c r="J4971" s="175" t="s">
        <v>11003</v>
      </c>
      <c r="K4971" s="188" t="s">
        <v>11004</v>
      </c>
      <c r="L4971" s="242">
        <v>2</v>
      </c>
      <c r="M4971" s="243" t="s">
        <v>11005</v>
      </c>
      <c r="N4971" s="171" t="s">
        <v>37</v>
      </c>
      <c r="O4971" s="43">
        <v>11044.36</v>
      </c>
      <c r="P4971" s="43">
        <v>3310.3</v>
      </c>
      <c r="Q4971" s="256">
        <f>OfficeForms.Table[[#This Row],[ INFORMEDEPAGO ]]*0.3</f>
        <v>3313.308</v>
      </c>
      <c r="R4971" s="43">
        <f>(IF(O4971&lt;4172.98,0,MIN(O4971*0.3,O4971-4172.98)))-P4971</f>
        <v>3.0079999999998108</v>
      </c>
      <c r="S4971" s="74">
        <v>46508</v>
      </c>
      <c r="T4971" s="1" t="s">
        <v>7516</v>
      </c>
      <c r="U4971" s="97">
        <v>2154</v>
      </c>
      <c r="V4971" s="1"/>
    </row>
    <row r="4972" spans="1:23">
      <c r="A4972">
        <v>3408</v>
      </c>
      <c r="B4972" s="2">
        <v>46287.521446759303</v>
      </c>
      <c r="C4972" s="2">
        <v>46287.525277777801</v>
      </c>
      <c r="D4972" s="1" t="s">
        <v>24</v>
      </c>
      <c r="E4972" s="1"/>
      <c r="F4972" s="29">
        <v>46287</v>
      </c>
      <c r="G4972" s="29">
        <v>46287</v>
      </c>
      <c r="H4972" s="1" t="s">
        <v>78</v>
      </c>
      <c r="I4972" s="251" t="s">
        <v>11006</v>
      </c>
      <c r="J4972" s="175">
        <v>81856402417</v>
      </c>
      <c r="K4972" s="188" t="s">
        <v>11007</v>
      </c>
      <c r="L4972" s="242">
        <v>24743144</v>
      </c>
      <c r="M4972" s="243">
        <v>5219811813298</v>
      </c>
      <c r="N4972" s="171" t="s">
        <v>37</v>
      </c>
      <c r="O4972" s="43">
        <v>23424.639999999999</v>
      </c>
      <c r="P4972" s="43">
        <v>7017.2</v>
      </c>
      <c r="Q4972" s="256">
        <f>OfficeForms.Table[[#This Row],[ INFORMEDEPAGO ]]*0.3</f>
        <v>7027.3919999999998</v>
      </c>
      <c r="R4972" s="43">
        <f>(IF(O4972&lt;4172.98,0,MIN(O4972*0.3,O4972-4172.98)))-P4972</f>
        <v>10.192000000000007</v>
      </c>
      <c r="S4972" s="74">
        <v>46966</v>
      </c>
      <c r="T4972" s="1" t="s">
        <v>84</v>
      </c>
      <c r="U4972" s="43">
        <v>7017.2</v>
      </c>
      <c r="V4972" s="1"/>
    </row>
    <row r="4973" spans="1:23">
      <c r="A4973">
        <v>3409</v>
      </c>
      <c r="B4973" s="2">
        <v>46287.5215046296</v>
      </c>
      <c r="C4973" s="2">
        <v>46287.5255092593</v>
      </c>
      <c r="D4973" s="1" t="s">
        <v>24</v>
      </c>
      <c r="E4973" s="1"/>
      <c r="F4973" s="29">
        <v>46287</v>
      </c>
      <c r="G4973" s="29">
        <v>46287</v>
      </c>
      <c r="H4973" s="1" t="s">
        <v>78</v>
      </c>
      <c r="I4973" s="251" t="s">
        <v>11008</v>
      </c>
      <c r="J4973" s="175">
        <v>78816312462</v>
      </c>
      <c r="K4973" s="188" t="s">
        <v>11009</v>
      </c>
      <c r="L4973" s="242">
        <v>24741794</v>
      </c>
      <c r="M4973" s="243">
        <v>5219721146429</v>
      </c>
      <c r="N4973" s="171" t="s">
        <v>37</v>
      </c>
      <c r="O4973" s="43">
        <v>73188.929999999993</v>
      </c>
      <c r="P4973" s="43">
        <v>21934.51</v>
      </c>
      <c r="Q4973" s="256">
        <f>OfficeForms.Table[[#This Row],[ INFORMEDEPAGO ]]*0.3</f>
        <v>21956.678999999996</v>
      </c>
      <c r="R4973" s="43">
        <f>(IF(O4973&lt;4172.98,0,MIN(O4973*0.3,O4973-4172.98)))-P4973</f>
        <v>22.16899999999805</v>
      </c>
      <c r="S4973" s="74">
        <v>46419</v>
      </c>
      <c r="T4973" s="1" t="s">
        <v>7516</v>
      </c>
      <c r="U4973" s="97">
        <v>19271.2</v>
      </c>
      <c r="V4973" s="1"/>
    </row>
    <row r="4974" spans="1:23" ht="16.5" customHeight="1">
      <c r="A4974">
        <v>3410</v>
      </c>
      <c r="B4974" s="2">
        <v>46287.498194444401</v>
      </c>
      <c r="C4974" s="2">
        <v>46287.527951388904</v>
      </c>
      <c r="D4974" s="1" t="s">
        <v>24</v>
      </c>
      <c r="E4974" s="1"/>
      <c r="F4974" s="29">
        <v>46287</v>
      </c>
      <c r="G4974" s="29">
        <v>46287</v>
      </c>
      <c r="H4974" s="1" t="s">
        <v>8381</v>
      </c>
      <c r="I4974" s="251" t="s">
        <v>11010</v>
      </c>
      <c r="J4974" s="175"/>
      <c r="K4974" s="188" t="s">
        <v>11011</v>
      </c>
      <c r="L4974" s="242">
        <v>24733076</v>
      </c>
      <c r="M4974" s="243">
        <v>5213221901613</v>
      </c>
      <c r="N4974" s="171" t="s">
        <v>28</v>
      </c>
      <c r="O4974" s="43">
        <v>5617.63</v>
      </c>
      <c r="P4974" s="43"/>
      <c r="Q4974" s="256">
        <f>OfficeForms.Table[[#This Row],[ INFORMEDEPAGO ]]*0.3</f>
        <v>1685.289</v>
      </c>
      <c r="R4974" s="43">
        <f>(IF(O4974&lt;4172.98,0,MIN(O4974*0.3,O4974-4172.98)))-P4974</f>
        <v>1444.6500000000005</v>
      </c>
      <c r="S4974" s="74">
        <v>45748</v>
      </c>
      <c r="T4974" s="1"/>
      <c r="U4974" s="97"/>
      <c r="V4974" s="1" t="s">
        <v>8356</v>
      </c>
      <c r="W4974" s="29">
        <v>46287</v>
      </c>
    </row>
    <row r="4975" spans="1:23">
      <c r="A4975">
        <v>3411</v>
      </c>
      <c r="B4975" s="2">
        <v>46287.539409722202</v>
      </c>
      <c r="C4975" s="2">
        <v>46287.542129629597</v>
      </c>
      <c r="D4975" s="1" t="s">
        <v>24</v>
      </c>
      <c r="E4975" s="1"/>
      <c r="F4975" s="29">
        <v>46287</v>
      </c>
      <c r="G4975" s="29">
        <v>46287</v>
      </c>
      <c r="H4975" s="1" t="s">
        <v>78</v>
      </c>
      <c r="I4975" s="251" t="s">
        <v>11012</v>
      </c>
      <c r="J4975" s="175">
        <v>31907103910</v>
      </c>
      <c r="K4975" s="188" t="s">
        <v>11013</v>
      </c>
      <c r="L4975" s="242">
        <v>24737872</v>
      </c>
      <c r="M4975" s="243">
        <v>5218711250442</v>
      </c>
      <c r="N4975" s="171" t="s">
        <v>37</v>
      </c>
      <c r="O4975" s="43">
        <v>13389.08</v>
      </c>
      <c r="P4975" s="43">
        <v>4016.7</v>
      </c>
      <c r="Q4975" s="256">
        <f>OfficeForms.Table[[#This Row],[ INFORMEDEPAGO ]]*0.3</f>
        <v>4016.7239999999997</v>
      </c>
      <c r="R4975" s="43">
        <f>(IF(O4975&lt;4172.98,0,MIN(O4975*0.3,O4975-4172.98)))-P4975</f>
        <v>2.3999999999887223E-2</v>
      </c>
      <c r="S4975" s="74">
        <v>46539</v>
      </c>
      <c r="T4975" s="1" t="s">
        <v>11014</v>
      </c>
      <c r="U4975" s="97">
        <v>3587.63</v>
      </c>
      <c r="V4975" s="1"/>
    </row>
    <row r="4976" spans="1:23">
      <c r="A4976">
        <v>3412</v>
      </c>
      <c r="B4976" s="2">
        <v>46287.550682870402</v>
      </c>
      <c r="C4976" s="2">
        <v>46287.551249999997</v>
      </c>
      <c r="D4976" s="1" t="s">
        <v>24</v>
      </c>
      <c r="E4976" s="1"/>
      <c r="F4976" s="29">
        <v>46287</v>
      </c>
      <c r="G4976" s="29">
        <v>46287</v>
      </c>
      <c r="H4976" s="1" t="s">
        <v>9991</v>
      </c>
      <c r="I4976" s="251"/>
      <c r="J4976" s="175" t="s">
        <v>11015</v>
      </c>
      <c r="K4976" s="188"/>
      <c r="L4976" s="242">
        <v>24744362</v>
      </c>
      <c r="M4976" s="243">
        <v>9331299995</v>
      </c>
      <c r="N4976" s="171" t="s">
        <v>37</v>
      </c>
      <c r="O4976" s="52">
        <v>21594.01</v>
      </c>
      <c r="P4976" s="52">
        <v>6478.2</v>
      </c>
      <c r="Q4976" s="256">
        <f>OfficeForms.Table[[#This Row],[ INFORMEDEPAGO ]]*0.3</f>
        <v>6478.2029999999995</v>
      </c>
      <c r="R4976" s="43">
        <f>(IF(O4976&lt;4172.98,0,MIN(O4976*0.3,O4976-4172.98)))-P4976</f>
        <v>2.9999999997016857E-3</v>
      </c>
      <c r="S4976" s="74">
        <v>46997</v>
      </c>
      <c r="T4976" s="1" t="s">
        <v>11014</v>
      </c>
      <c r="U4976" s="52">
        <v>6478.2</v>
      </c>
      <c r="V4976" s="1"/>
    </row>
    <row r="4977" spans="1:23">
      <c r="A4977">
        <v>3414</v>
      </c>
      <c r="B4977" s="2">
        <v>46287.564687500002</v>
      </c>
      <c r="C4977" s="2">
        <v>46287.565370370401</v>
      </c>
      <c r="D4977" s="1" t="s">
        <v>24</v>
      </c>
      <c r="E4977" s="1"/>
      <c r="F4977" s="29">
        <v>46287</v>
      </c>
      <c r="G4977" s="29">
        <v>46284</v>
      </c>
      <c r="H4977" s="1" t="s">
        <v>9991</v>
      </c>
      <c r="I4977" s="251" t="s">
        <v>11016</v>
      </c>
      <c r="J4977" s="175"/>
      <c r="K4977" s="188" t="s">
        <v>11017</v>
      </c>
      <c r="L4977" s="242">
        <v>24668210</v>
      </c>
      <c r="M4977" s="243">
        <v>6671284863</v>
      </c>
      <c r="N4977" s="171" t="s">
        <v>28</v>
      </c>
      <c r="O4977" s="50">
        <v>6750.17</v>
      </c>
      <c r="P4977" s="97"/>
      <c r="Q4977" s="256">
        <f>OfficeForms.Table[[#This Row],[ INFORMEDEPAGO ]]*0.3</f>
        <v>2025.0509999999999</v>
      </c>
      <c r="R4977" s="43">
        <f>(IF(O4977&lt;4172.98,0,MIN(O4977*0.3,O4977-4172.98)))-P4977</f>
        <v>2025.0509999999999</v>
      </c>
      <c r="T4977" s="1"/>
      <c r="U4977" s="97"/>
      <c r="V4977" s="1" t="s">
        <v>8734</v>
      </c>
      <c r="W4977" s="29">
        <v>46287</v>
      </c>
    </row>
    <row r="4978" spans="1:23">
      <c r="A4978">
        <v>3415</v>
      </c>
      <c r="B4978" s="2">
        <v>46287.522326388898</v>
      </c>
      <c r="C4978" s="2">
        <v>46287.589247685202</v>
      </c>
      <c r="D4978" s="1" t="s">
        <v>24</v>
      </c>
      <c r="E4978" s="1"/>
      <c r="F4978" s="29">
        <v>46287</v>
      </c>
      <c r="G4978" s="29">
        <v>46287</v>
      </c>
      <c r="H4978" s="1" t="s">
        <v>1625</v>
      </c>
      <c r="I4978" s="251" t="s">
        <v>11018</v>
      </c>
      <c r="J4978" s="175">
        <v>11775975144</v>
      </c>
      <c r="K4978" s="188" t="s">
        <v>11019</v>
      </c>
      <c r="L4978" s="242">
        <v>2</v>
      </c>
      <c r="M4978" s="243">
        <v>5580356605</v>
      </c>
      <c r="N4978" s="171" t="s">
        <v>37</v>
      </c>
      <c r="O4978" s="43">
        <v>7116.73</v>
      </c>
      <c r="P4978" s="43">
        <v>2133.09</v>
      </c>
      <c r="Q4978" s="256">
        <f>OfficeForms.Table[[#This Row],[ INFORMEDEPAGO ]]*0.3</f>
        <v>2135.0189999999998</v>
      </c>
      <c r="R4978" s="43">
        <f>(IF(O4978&lt;4172.98,0,MIN(O4978*0.3,O4978-4172.98)))-P4978</f>
        <v>1.9289999999996326</v>
      </c>
      <c r="S4978" s="74">
        <v>46966</v>
      </c>
      <c r="T4978" s="1" t="s">
        <v>178</v>
      </c>
      <c r="U4978" s="43">
        <v>2133.09</v>
      </c>
      <c r="V4978" s="1"/>
    </row>
    <row r="4979" spans="1:23">
      <c r="A4979">
        <v>3416</v>
      </c>
      <c r="B4979" s="2">
        <v>46287.576574074097</v>
      </c>
      <c r="C4979" s="2">
        <v>46287.596597222197</v>
      </c>
      <c r="D4979" s="1" t="s">
        <v>24</v>
      </c>
      <c r="E4979" s="1"/>
      <c r="F4979" s="29">
        <v>46287</v>
      </c>
      <c r="G4979" s="29">
        <v>46287</v>
      </c>
      <c r="H4979" s="1" t="s">
        <v>8028</v>
      </c>
      <c r="I4979" s="251" t="s">
        <v>11020</v>
      </c>
      <c r="J4979" s="175">
        <v>10825404733</v>
      </c>
      <c r="K4979" s="188" t="s">
        <v>11021</v>
      </c>
      <c r="L4979" s="242">
        <v>24745156</v>
      </c>
      <c r="M4979" s="243">
        <v>5216565046064</v>
      </c>
      <c r="N4979" s="171" t="s">
        <v>47</v>
      </c>
      <c r="O4979" s="50">
        <v>5055.87</v>
      </c>
      <c r="P4979" s="97"/>
      <c r="Q4979" s="256">
        <f>OfficeForms.Table[[#This Row],[ INFORMEDEPAGO ]]*0.3</f>
        <v>1516.761</v>
      </c>
      <c r="R4979" s="43">
        <f>(IF(O4979&lt;4172.98,0,MIN(O4979*0.3,O4979-4172.98)))-P4979</f>
        <v>882.89000000000033</v>
      </c>
      <c r="T4979" s="1"/>
      <c r="U4979" s="97"/>
      <c r="V4979" s="1" t="s">
        <v>8233</v>
      </c>
      <c r="W4979" s="29">
        <v>46287</v>
      </c>
    </row>
    <row r="4980" spans="1:23">
      <c r="A4980">
        <v>3417</v>
      </c>
      <c r="B4980" s="2">
        <v>46287.487569444398</v>
      </c>
      <c r="C4980" s="2">
        <v>46287.6116203704</v>
      </c>
      <c r="D4980" s="1" t="s">
        <v>24</v>
      </c>
      <c r="E4980" s="1"/>
      <c r="F4980" s="29">
        <v>46287</v>
      </c>
      <c r="G4980" s="29">
        <v>46286</v>
      </c>
      <c r="H4980" s="1" t="s">
        <v>51</v>
      </c>
      <c r="I4980" s="251" t="s">
        <v>11022</v>
      </c>
      <c r="J4980" s="175"/>
      <c r="K4980" s="188" t="s">
        <v>11023</v>
      </c>
      <c r="L4980" s="242">
        <v>24708398</v>
      </c>
      <c r="M4980" s="243">
        <v>5212292282725</v>
      </c>
      <c r="N4980" s="171" t="s">
        <v>37</v>
      </c>
      <c r="O4980" s="43">
        <v>8150.74</v>
      </c>
      <c r="P4980" s="43">
        <v>2343.65</v>
      </c>
      <c r="Q4980" s="256">
        <f>OfficeForms.Table[[#This Row],[ INFORMEDEPAGO ]]*0.3</f>
        <v>2445.2219999999998</v>
      </c>
      <c r="R4980" s="43">
        <f>(IF(O4980&lt;4172.98,0,MIN(O4980*0.3,O4980-4172.98)))-P4980</f>
        <v>101.57199999999966</v>
      </c>
      <c r="S4980" s="74">
        <v>46722</v>
      </c>
      <c r="T4980" s="1" t="s">
        <v>178</v>
      </c>
      <c r="U4980" s="43">
        <v>2343.65</v>
      </c>
      <c r="V4980" s="1"/>
    </row>
    <row r="4981" spans="1:23">
      <c r="A4981">
        <v>3418</v>
      </c>
      <c r="B4981" s="2">
        <v>46287.583043981504</v>
      </c>
      <c r="C4981" s="2">
        <v>46287.616932870398</v>
      </c>
      <c r="D4981" s="1" t="s">
        <v>24</v>
      </c>
      <c r="E4981" s="1"/>
      <c r="F4981" s="29">
        <v>46287</v>
      </c>
      <c r="G4981" s="29">
        <v>46287</v>
      </c>
      <c r="H4981" s="1" t="s">
        <v>9991</v>
      </c>
      <c r="I4981" s="251" t="s">
        <v>11024</v>
      </c>
      <c r="J4981" s="175"/>
      <c r="K4981" s="188" t="s">
        <v>11025</v>
      </c>
      <c r="L4981" s="242">
        <v>24747368</v>
      </c>
      <c r="M4981" s="243">
        <v>2211998624</v>
      </c>
      <c r="N4981" s="171" t="s">
        <v>98</v>
      </c>
      <c r="O4981" s="50"/>
      <c r="P4981" s="97"/>
      <c r="Q4981" s="256">
        <f>OfficeForms.Table[[#This Row],[ INFORMEDEPAGO ]]*0.3</f>
        <v>0</v>
      </c>
      <c r="R4981" s="43">
        <f>(IF(O4981&lt;4172.98,0,MIN(O4981*0.3,O4981-4172.98)))-P4981</f>
        <v>0</v>
      </c>
      <c r="T4981" s="1"/>
      <c r="U4981" s="97"/>
      <c r="V4981" s="1"/>
    </row>
    <row r="4982" spans="1:23">
      <c r="A4982">
        <v>3419</v>
      </c>
      <c r="B4982" s="2">
        <v>46287.527974536999</v>
      </c>
      <c r="C4982" s="2">
        <v>46287.619664351798</v>
      </c>
      <c r="D4982" s="1" t="s">
        <v>24</v>
      </c>
      <c r="E4982" s="1"/>
      <c r="F4982" s="29">
        <v>46287</v>
      </c>
      <c r="G4982" s="29">
        <v>46287</v>
      </c>
      <c r="H4982" s="1" t="s">
        <v>8381</v>
      </c>
      <c r="I4982" s="251" t="s">
        <v>11026</v>
      </c>
      <c r="J4982" s="175"/>
      <c r="K4982" s="188" t="s">
        <v>11027</v>
      </c>
      <c r="L4982" s="242">
        <v>24744898</v>
      </c>
      <c r="M4982" s="243">
        <v>5213346966207</v>
      </c>
      <c r="N4982" s="171" t="s">
        <v>32</v>
      </c>
      <c r="O4982" s="43">
        <v>4158.7299999999996</v>
      </c>
      <c r="P4982" s="43">
        <v>879</v>
      </c>
      <c r="Q4982" s="256">
        <f>OfficeForms.Table[[#This Row],[ INFORMEDEPAGO ]]*0.3</f>
        <v>1247.6189999999999</v>
      </c>
      <c r="R4982" s="43">
        <f>(IF(O4982&lt;4172.98,0,MIN(O4982*0.3,O4982-4172.98)))-P4982</f>
        <v>-879</v>
      </c>
      <c r="T4982" s="1"/>
      <c r="U4982" s="97"/>
      <c r="V4982" s="1"/>
    </row>
    <row r="4983" spans="1:23">
      <c r="A4983">
        <v>3420</v>
      </c>
      <c r="B4983" s="2">
        <v>46287.620868055601</v>
      </c>
      <c r="C4983" s="2">
        <v>46287.621701388904</v>
      </c>
      <c r="D4983" s="1" t="s">
        <v>24</v>
      </c>
      <c r="E4983" s="1"/>
      <c r="F4983" s="29">
        <v>46287</v>
      </c>
      <c r="G4983" s="29">
        <v>46287</v>
      </c>
      <c r="H4983" s="1" t="s">
        <v>269</v>
      </c>
      <c r="I4983" s="251" t="s">
        <v>11028</v>
      </c>
      <c r="J4983" s="175" t="s">
        <v>11029</v>
      </c>
      <c r="K4983" s="188" t="s">
        <v>11030</v>
      </c>
      <c r="L4983" s="242">
        <v>24747842</v>
      </c>
      <c r="M4983" s="243">
        <v>5213121295167</v>
      </c>
      <c r="N4983" s="171" t="s">
        <v>37</v>
      </c>
      <c r="O4983" s="43">
        <v>9081.52</v>
      </c>
      <c r="P4983" s="43">
        <v>2520</v>
      </c>
      <c r="Q4983" s="256">
        <f>OfficeForms.Table[[#This Row],[ INFORMEDEPAGO ]]*0.3</f>
        <v>2724.4560000000001</v>
      </c>
      <c r="R4983" s="43">
        <f>(IF(O4983&lt;4172.98,0,MIN(O4983*0.3,O4983-4172.98)))-P4983</f>
        <v>204.45600000000013</v>
      </c>
      <c r="S4983" s="74">
        <v>46357</v>
      </c>
      <c r="T4983" s="1" t="s">
        <v>7516</v>
      </c>
      <c r="U4983" s="97">
        <v>2520</v>
      </c>
      <c r="V4983" s="1"/>
    </row>
    <row r="4984" spans="1:23">
      <c r="A4984">
        <v>3421</v>
      </c>
      <c r="B4984" s="2">
        <v>46287.629930555602</v>
      </c>
      <c r="C4984" s="2">
        <v>46287.6308796296</v>
      </c>
      <c r="D4984" s="1" t="s">
        <v>24</v>
      </c>
      <c r="E4984" s="1"/>
      <c r="F4984" s="29">
        <v>46287</v>
      </c>
      <c r="G4984" s="29">
        <v>46287</v>
      </c>
      <c r="H4984" s="1" t="s">
        <v>269</v>
      </c>
      <c r="I4984" s="251" t="s">
        <v>11031</v>
      </c>
      <c r="J4984" s="175" t="s">
        <v>11032</v>
      </c>
      <c r="K4984" s="188" t="s">
        <v>11033</v>
      </c>
      <c r="L4984" s="242">
        <v>24746776</v>
      </c>
      <c r="M4984" s="243">
        <v>5215560048709</v>
      </c>
      <c r="N4984" s="171" t="s">
        <v>98</v>
      </c>
      <c r="O4984" s="50"/>
      <c r="P4984" s="97"/>
      <c r="Q4984" s="256">
        <f>OfficeForms.Table[[#This Row],[ INFORMEDEPAGO ]]*0.3</f>
        <v>0</v>
      </c>
      <c r="R4984" s="43">
        <f>(IF(O4984&lt;4172.98,0,MIN(O4984*0.3,O4984-4172.98)))-P4984</f>
        <v>0</v>
      </c>
      <c r="T4984" s="1"/>
      <c r="U4984" s="97"/>
      <c r="V4984" s="1"/>
    </row>
    <row r="4985" spans="1:23">
      <c r="A4985">
        <v>3422</v>
      </c>
      <c r="B4985" s="2">
        <v>46287.645115740699</v>
      </c>
      <c r="C4985" s="2">
        <v>46287.645706018498</v>
      </c>
      <c r="D4985" s="1" t="s">
        <v>24</v>
      </c>
      <c r="E4985" s="1"/>
      <c r="F4985" s="29">
        <v>46287</v>
      </c>
      <c r="G4985" s="29">
        <v>46287</v>
      </c>
      <c r="H4985" s="1" t="s">
        <v>9991</v>
      </c>
      <c r="I4985" s="251" t="s">
        <v>11034</v>
      </c>
      <c r="J4985" s="175" t="s">
        <v>11035</v>
      </c>
      <c r="K4985" s="188" t="s">
        <v>11036</v>
      </c>
      <c r="L4985" s="242">
        <v>24748020</v>
      </c>
      <c r="M4985" s="243">
        <v>4775816181</v>
      </c>
      <c r="N4985" s="171" t="s">
        <v>37</v>
      </c>
      <c r="O4985" s="43">
        <v>16353.93</v>
      </c>
      <c r="P4985" s="43">
        <v>4731</v>
      </c>
      <c r="Q4985" s="256">
        <f>OfficeForms.Table[[#This Row],[ INFORMEDEPAGO ]]*0.3</f>
        <v>4906.1790000000001</v>
      </c>
      <c r="R4985" s="43">
        <f>(IF(O4985&lt;4172.98,0,MIN(O4985*0.3,O4985-4172.98)))-P4985</f>
        <v>175.17900000000009</v>
      </c>
      <c r="S4985" s="74">
        <v>46600</v>
      </c>
      <c r="T4985" s="1" t="s">
        <v>7516</v>
      </c>
      <c r="U4985" s="43">
        <v>4731</v>
      </c>
      <c r="V4985" s="1"/>
    </row>
    <row r="4986" spans="1:23">
      <c r="A4986">
        <v>3423</v>
      </c>
      <c r="B4986" s="2">
        <v>46287.415613425903</v>
      </c>
      <c r="C4986" s="2">
        <v>46287.661435185197</v>
      </c>
      <c r="D4986" s="1" t="s">
        <v>24</v>
      </c>
      <c r="E4986" s="1"/>
      <c r="F4986" s="29">
        <v>46287</v>
      </c>
      <c r="G4986" s="29">
        <v>46285</v>
      </c>
      <c r="H4986" s="1" t="s">
        <v>9960</v>
      </c>
      <c r="I4986" s="251" t="s">
        <v>11037</v>
      </c>
      <c r="J4986" s="175" t="s">
        <v>11038</v>
      </c>
      <c r="K4986" s="188"/>
      <c r="L4986" s="242">
        <v>24679936</v>
      </c>
      <c r="M4986" s="243">
        <v>8115996273</v>
      </c>
      <c r="N4986" s="171" t="s">
        <v>98</v>
      </c>
      <c r="O4986" s="50"/>
      <c r="P4986" s="97"/>
      <c r="Q4986" s="256">
        <f>OfficeForms.Table[[#This Row],[ INFORMEDEPAGO ]]*0.3</f>
        <v>0</v>
      </c>
      <c r="R4986" s="43">
        <f>(IF(O4986&lt;4172.98,0,MIN(O4986*0.3,O4986-4172.98)))-P4986</f>
        <v>0</v>
      </c>
      <c r="T4986" s="1"/>
      <c r="U4986" s="97"/>
      <c r="V4986" s="1"/>
    </row>
    <row r="4987" spans="1:23">
      <c r="A4987">
        <v>3424</v>
      </c>
      <c r="B4987" s="2">
        <v>46287.647291666697</v>
      </c>
      <c r="C4987" s="2">
        <v>46287.667523148099</v>
      </c>
      <c r="D4987" s="1" t="s">
        <v>24</v>
      </c>
      <c r="E4987" s="1"/>
      <c r="F4987" s="29">
        <v>46287</v>
      </c>
      <c r="G4987" s="29">
        <v>46287</v>
      </c>
      <c r="H4987" s="1" t="s">
        <v>8028</v>
      </c>
      <c r="I4987" s="251" t="s">
        <v>11039</v>
      </c>
      <c r="J4987" s="175">
        <v>32816606027</v>
      </c>
      <c r="K4987" s="188" t="s">
        <v>11040</v>
      </c>
      <c r="L4987" s="242">
        <v>24747388</v>
      </c>
      <c r="M4987" s="243">
        <v>5218661312769</v>
      </c>
      <c r="N4987" s="171" t="s">
        <v>37</v>
      </c>
      <c r="O4987" s="43">
        <v>23406.9</v>
      </c>
      <c r="P4987" s="43">
        <v>6757.66</v>
      </c>
      <c r="Q4987" s="256">
        <f>OfficeForms.Table[[#This Row],[ INFORMEDEPAGO ]]*0.3</f>
        <v>7022.0700000000006</v>
      </c>
      <c r="R4987" s="43">
        <f>(IF(O4987&lt;4172.98,0,MIN(O4987*0.3,O4987-4172.98)))-P4987</f>
        <v>264.41000000000076</v>
      </c>
      <c r="S4987" s="74">
        <v>46419</v>
      </c>
      <c r="T4987" s="1" t="s">
        <v>2488</v>
      </c>
      <c r="U4987" s="43">
        <v>6757.66</v>
      </c>
      <c r="V4987" s="1"/>
    </row>
    <row r="4988" spans="1:23">
      <c r="A4988">
        <v>3425</v>
      </c>
      <c r="B4988" s="2">
        <v>46287.669479166703</v>
      </c>
      <c r="C4988" s="2">
        <v>46287.670150462996</v>
      </c>
      <c r="D4988" s="1" t="s">
        <v>24</v>
      </c>
      <c r="E4988" s="1"/>
      <c r="F4988" s="29">
        <v>46287</v>
      </c>
      <c r="G4988" s="29">
        <v>46287</v>
      </c>
      <c r="H4988" s="1" t="s">
        <v>10043</v>
      </c>
      <c r="I4988" s="251" t="s">
        <v>11041</v>
      </c>
      <c r="J4988" s="175"/>
      <c r="K4988" s="188" t="s">
        <v>11042</v>
      </c>
      <c r="L4988" s="242">
        <v>24742840</v>
      </c>
      <c r="M4988" s="243">
        <v>5631205945</v>
      </c>
      <c r="N4988" s="171" t="s">
        <v>263</v>
      </c>
      <c r="O4988" s="43">
        <v>5617.93</v>
      </c>
      <c r="P4988" s="43">
        <v>1096.48</v>
      </c>
      <c r="Q4988" s="256">
        <f>OfficeForms.Table[[#This Row],[ INFORMEDEPAGO ]]*0.3</f>
        <v>1685.3790000000001</v>
      </c>
      <c r="R4988" s="43">
        <f t="shared" ref="R4988" si="418">(IF(O4988&lt;4172.98,0,MIN(O4988*0.3,O4988-4172.98)))-P4988</f>
        <v>348.47000000000071</v>
      </c>
      <c r="S4988" s="74">
        <v>45261</v>
      </c>
      <c r="T4988" s="1" t="s">
        <v>2488</v>
      </c>
      <c r="U4988" s="43">
        <v>1096.48</v>
      </c>
      <c r="V4988" s="1" t="s">
        <v>8291</v>
      </c>
      <c r="W4988" s="29">
        <v>46287</v>
      </c>
    </row>
    <row r="4989" spans="1:23">
      <c r="A4989">
        <v>3426</v>
      </c>
      <c r="B4989" s="2">
        <v>46287.589282407404</v>
      </c>
      <c r="C4989" s="2">
        <v>46287.68</v>
      </c>
      <c r="D4989" s="1" t="s">
        <v>24</v>
      </c>
      <c r="E4989" s="1"/>
      <c r="F4989" s="29">
        <v>46287</v>
      </c>
      <c r="G4989" s="29">
        <v>46287</v>
      </c>
      <c r="H4989" s="1" t="s">
        <v>1625</v>
      </c>
      <c r="I4989" s="251" t="s">
        <v>11043</v>
      </c>
      <c r="J4989" s="175">
        <v>15826105783</v>
      </c>
      <c r="K4989" s="188" t="s">
        <v>11044</v>
      </c>
      <c r="L4989" s="242">
        <v>2</v>
      </c>
      <c r="M4989" s="243">
        <v>7774940702</v>
      </c>
      <c r="N4989" s="171" t="s">
        <v>37</v>
      </c>
      <c r="O4989" s="52">
        <v>11855.05</v>
      </c>
      <c r="P4989" s="52">
        <v>3454.75</v>
      </c>
      <c r="Q4989" s="256">
        <f>OfficeForms.Table[[#This Row],[ INFORMEDEPAGO ]]*0.3</f>
        <v>3556.5149999999999</v>
      </c>
      <c r="R4989" s="43">
        <f>(IF(O4989&lt;4172.98,0,MIN(O4989*0.3,O4989-4172.98)))-P4989</f>
        <v>101.76499999999987</v>
      </c>
      <c r="S4989" s="74">
        <v>46447</v>
      </c>
      <c r="T4989" s="1" t="s">
        <v>7209</v>
      </c>
      <c r="U4989" s="97">
        <v>924.9</v>
      </c>
      <c r="V4989" s="1"/>
    </row>
    <row r="4990" spans="1:23">
      <c r="A4990">
        <v>3427</v>
      </c>
      <c r="B4990" s="2">
        <v>46287.6887152778</v>
      </c>
      <c r="C4990" s="2">
        <v>46287.690150463</v>
      </c>
      <c r="D4990" s="1" t="s">
        <v>24</v>
      </c>
      <c r="E4990" s="1"/>
      <c r="F4990" s="29">
        <v>46287</v>
      </c>
      <c r="G4990" s="29">
        <v>46275</v>
      </c>
      <c r="H4990" s="1" t="s">
        <v>8721</v>
      </c>
      <c r="I4990" s="251" t="s">
        <v>11045</v>
      </c>
      <c r="J4990" s="175">
        <v>23865205209</v>
      </c>
      <c r="K4990" s="188" t="s">
        <v>11046</v>
      </c>
      <c r="L4990" s="242">
        <v>24363678</v>
      </c>
      <c r="M4990" s="243">
        <v>6692643582</v>
      </c>
      <c r="N4990" s="171" t="s">
        <v>1149</v>
      </c>
      <c r="O4990" s="50"/>
      <c r="P4990" s="97"/>
      <c r="Q4990" s="256">
        <f>OfficeForms.Table[[#This Row],[ INFORMEDEPAGO ]]*0.3</f>
        <v>0</v>
      </c>
      <c r="R4990" s="43">
        <f t="shared" ref="R4990:R4991" si="419">(IF(O4990&lt;4172.98,0,MIN(O4990*0.3,O4990-4172.98)))-P4990</f>
        <v>0</v>
      </c>
      <c r="T4990" s="1"/>
      <c r="U4990" s="97"/>
      <c r="V4990" s="1"/>
    </row>
    <row r="4991" spans="1:23">
      <c r="A4991">
        <v>3428</v>
      </c>
      <c r="B4991" s="2">
        <v>46287.690185185202</v>
      </c>
      <c r="C4991" s="2">
        <v>46287.690949074102</v>
      </c>
      <c r="D4991" s="1" t="s">
        <v>24</v>
      </c>
      <c r="E4991" s="1"/>
      <c r="F4991" s="29">
        <v>46287</v>
      </c>
      <c r="G4991" s="29">
        <v>46277</v>
      </c>
      <c r="H4991" s="1" t="s">
        <v>8721</v>
      </c>
      <c r="I4991" s="251" t="s">
        <v>11047</v>
      </c>
      <c r="J4991" s="175">
        <v>54877083318</v>
      </c>
      <c r="K4991" s="188" t="s">
        <v>11048</v>
      </c>
      <c r="L4991" s="242">
        <v>24417622</v>
      </c>
      <c r="M4991" s="243">
        <v>3223825931</v>
      </c>
      <c r="N4991" s="171" t="s">
        <v>1149</v>
      </c>
      <c r="O4991" s="50"/>
      <c r="P4991" s="97"/>
      <c r="Q4991" s="256">
        <f>OfficeForms.Table[[#This Row],[ INFORMEDEPAGO ]]*0.3</f>
        <v>0</v>
      </c>
      <c r="R4991" s="43">
        <f t="shared" si="419"/>
        <v>0</v>
      </c>
      <c r="T4991" s="1"/>
      <c r="U4991" s="97"/>
      <c r="V4991" s="1"/>
    </row>
    <row r="4992" spans="1:23">
      <c r="A4992">
        <v>3432</v>
      </c>
      <c r="B4992" s="2">
        <v>46287.619687500002</v>
      </c>
      <c r="C4992" s="2">
        <v>46287.702129629601</v>
      </c>
      <c r="D4992" s="1" t="s">
        <v>24</v>
      </c>
      <c r="E4992" s="1"/>
      <c r="F4992" s="29">
        <v>46287</v>
      </c>
      <c r="G4992" s="29">
        <v>46279</v>
      </c>
      <c r="H4992" s="1" t="s">
        <v>8381</v>
      </c>
      <c r="I4992" s="251" t="s">
        <v>11049</v>
      </c>
      <c r="J4992" s="207" t="s">
        <v>11050</v>
      </c>
      <c r="K4992" s="188" t="s">
        <v>11051</v>
      </c>
      <c r="L4992" s="242">
        <v>24448938</v>
      </c>
      <c r="M4992" s="243">
        <v>5215630988001</v>
      </c>
      <c r="N4992" s="171" t="s">
        <v>37</v>
      </c>
      <c r="O4992" s="43">
        <v>9760.32</v>
      </c>
      <c r="P4992" s="43">
        <v>2926</v>
      </c>
      <c r="Q4992" s="256">
        <f>OfficeForms.Table[[#This Row],[ INFORMEDEPAGO ]]*0.3</f>
        <v>2928.096</v>
      </c>
      <c r="R4992" s="43">
        <f>(IF(O4992&lt;4172.98,0,MIN(O4992*0.3,O4992-4172.98)))-P4992</f>
        <v>2.0960000000000036</v>
      </c>
      <c r="S4992" s="74">
        <v>46784</v>
      </c>
      <c r="T4992" s="1" t="s">
        <v>7209</v>
      </c>
      <c r="U4992" s="43">
        <v>2926</v>
      </c>
      <c r="V4992" s="43"/>
    </row>
    <row r="4993" spans="1:23">
      <c r="A4993">
        <v>3433</v>
      </c>
      <c r="B4993" s="2">
        <v>46287.705347222203</v>
      </c>
      <c r="C4993" s="2">
        <v>46287.706018518496</v>
      </c>
      <c r="D4993" s="1" t="s">
        <v>24</v>
      </c>
      <c r="E4993" s="1"/>
      <c r="F4993" s="29">
        <v>46287</v>
      </c>
      <c r="G4993" s="29">
        <v>46287</v>
      </c>
      <c r="H4993" s="1" t="s">
        <v>269</v>
      </c>
      <c r="I4993" s="251" t="s">
        <v>11052</v>
      </c>
      <c r="J4993" s="207"/>
      <c r="K4993" s="188" t="s">
        <v>11053</v>
      </c>
      <c r="L4993" s="242">
        <v>24746860</v>
      </c>
      <c r="M4993" s="243">
        <v>5215544710646</v>
      </c>
      <c r="N4993" s="171" t="s">
        <v>28</v>
      </c>
      <c r="O4993" s="50">
        <v>9081.52</v>
      </c>
      <c r="P4993" s="97"/>
      <c r="Q4993" s="256">
        <f>OfficeForms.Table[[#This Row],[ INFORMEDEPAGO ]]*0.3</f>
        <v>2724.4560000000001</v>
      </c>
      <c r="R4993" s="43">
        <f>(IF(O4993&lt;4172.98,0,MIN(O4993*0.3,O4993-4172.98)))-P4993</f>
        <v>2724.4560000000001</v>
      </c>
      <c r="T4993" s="1"/>
      <c r="U4993" s="97"/>
      <c r="V4993" s="239" t="s">
        <v>8350</v>
      </c>
      <c r="W4993" s="29">
        <v>46287</v>
      </c>
    </row>
    <row r="4994" spans="1:23">
      <c r="A4994">
        <v>3434</v>
      </c>
      <c r="B4994" s="2">
        <v>46287.680023148103</v>
      </c>
      <c r="C4994" s="2">
        <v>46287.712893518503</v>
      </c>
      <c r="D4994" s="1" t="s">
        <v>24</v>
      </c>
      <c r="E4994" s="1"/>
      <c r="F4994" s="29">
        <v>46287</v>
      </c>
      <c r="G4994" s="29">
        <v>46287</v>
      </c>
      <c r="H4994" s="1" t="s">
        <v>1625</v>
      </c>
      <c r="I4994" s="251" t="s">
        <v>11054</v>
      </c>
      <c r="J4994" s="207">
        <v>43786053850</v>
      </c>
      <c r="K4994" s="188" t="s">
        <v>11055</v>
      </c>
      <c r="L4994" s="242">
        <v>2</v>
      </c>
      <c r="M4994" s="243">
        <v>8211464309</v>
      </c>
      <c r="N4994" s="171" t="s">
        <v>37</v>
      </c>
      <c r="O4994" s="52">
        <v>6333.43</v>
      </c>
      <c r="P4994" s="52">
        <v>1831.34</v>
      </c>
      <c r="Q4994" s="256">
        <f>OfficeForms.Table[[#This Row],[ INFORMEDEPAGO ]]*0.3</f>
        <v>1900.029</v>
      </c>
      <c r="R4994" s="43">
        <f>(IF(O4994&lt;4172.98,0,MIN(O4994*0.3,O4994-4172.98)))-P4994</f>
        <v>68.689000000000078</v>
      </c>
      <c r="S4994" s="74">
        <v>46569</v>
      </c>
      <c r="T4994" s="1" t="s">
        <v>6855</v>
      </c>
      <c r="U4994" s="97">
        <v>1617.54</v>
      </c>
      <c r="V4994" s="239"/>
    </row>
    <row r="4995" spans="1:23">
      <c r="A4995">
        <v>3435</v>
      </c>
      <c r="B4995" s="2">
        <v>46287.7129166667</v>
      </c>
      <c r="C4995" s="2">
        <v>46287.738379629598</v>
      </c>
      <c r="D4995" s="1" t="s">
        <v>24</v>
      </c>
      <c r="E4995" s="1"/>
      <c r="F4995" s="29">
        <v>46287</v>
      </c>
      <c r="G4995" s="29">
        <v>46287</v>
      </c>
      <c r="H4995" s="1" t="s">
        <v>1625</v>
      </c>
      <c r="I4995" s="251" t="s">
        <v>11056</v>
      </c>
      <c r="J4995" s="207">
        <v>32806228683</v>
      </c>
      <c r="K4995" s="188" t="s">
        <v>11057</v>
      </c>
      <c r="L4995" s="242">
        <v>2</v>
      </c>
      <c r="M4995" s="243">
        <v>8663350078</v>
      </c>
      <c r="N4995" s="171" t="s">
        <v>37</v>
      </c>
      <c r="O4995" s="52">
        <v>46573.17</v>
      </c>
      <c r="P4995" s="52">
        <v>13971.34</v>
      </c>
      <c r="Q4995" s="256">
        <f>OfficeForms.Table[[#This Row],[ INFORMEDEPAGO ]]*0.3</f>
        <v>13971.950999999999</v>
      </c>
      <c r="R4995" s="43">
        <f>(IF(O4995&lt;4172.98,0,MIN(O4995*0.3,O4995-4172.98)))-P4995</f>
        <v>0.61099999999896681</v>
      </c>
      <c r="S4995" s="74">
        <v>46874</v>
      </c>
      <c r="T4995" s="1" t="s">
        <v>2488</v>
      </c>
      <c r="U4995" s="97">
        <v>8788.41</v>
      </c>
      <c r="V4995" s="239"/>
    </row>
    <row r="4996" spans="1:23">
      <c r="A4996">
        <v>3436</v>
      </c>
      <c r="B4996" s="2">
        <v>46288.321701388901</v>
      </c>
      <c r="C4996" s="2">
        <v>46288.350821759297</v>
      </c>
      <c r="D4996" s="1" t="s">
        <v>24</v>
      </c>
      <c r="E4996" s="1"/>
      <c r="F4996" s="29">
        <v>46288</v>
      </c>
      <c r="G4996" s="29">
        <v>46288</v>
      </c>
      <c r="H4996" s="1" t="s">
        <v>1625</v>
      </c>
      <c r="I4996" s="251" t="s">
        <v>11058</v>
      </c>
      <c r="J4996" s="207">
        <v>43846754984</v>
      </c>
      <c r="K4996" s="188" t="s">
        <v>11059</v>
      </c>
      <c r="L4996" s="242">
        <v>2</v>
      </c>
      <c r="M4996" s="243">
        <v>8117910505</v>
      </c>
      <c r="N4996" s="171" t="s">
        <v>37</v>
      </c>
      <c r="O4996" s="43">
        <v>8181.55</v>
      </c>
      <c r="P4996" s="43">
        <v>2329.29</v>
      </c>
      <c r="Q4996" s="256">
        <f>OfficeForms.Table[[#This Row],[ INFORMEDEPAGO ]]*0.3</f>
        <v>2454.4650000000001</v>
      </c>
      <c r="R4996" s="43">
        <f>(IF(O4996&lt;4172.98,0,MIN(O4996*0.3,O4996-4172.98)))-P4996</f>
        <v>125.17500000000018</v>
      </c>
      <c r="S4996" s="74">
        <v>46508</v>
      </c>
      <c r="T4996" s="1" t="s">
        <v>8319</v>
      </c>
      <c r="U4996" s="43">
        <v>2329.29</v>
      </c>
      <c r="V4996" s="239"/>
    </row>
    <row r="4997" spans="1:23">
      <c r="A4997">
        <v>3437</v>
      </c>
      <c r="B4997" s="2">
        <v>46288.380972222199</v>
      </c>
      <c r="C4997" s="2">
        <v>46288.381412037001</v>
      </c>
      <c r="D4997" s="1" t="s">
        <v>24</v>
      </c>
      <c r="E4997" s="1"/>
      <c r="F4997" s="29">
        <v>46288</v>
      </c>
      <c r="G4997" s="29">
        <v>46287</v>
      </c>
      <c r="H4997" s="1" t="s">
        <v>9991</v>
      </c>
      <c r="I4997" s="251"/>
      <c r="J4997" s="208" t="s">
        <v>11060</v>
      </c>
      <c r="K4997" s="188"/>
      <c r="L4997" s="242">
        <v>24749710</v>
      </c>
      <c r="M4997" s="243">
        <v>6242440450</v>
      </c>
      <c r="N4997" s="171" t="s">
        <v>47</v>
      </c>
      <c r="O4997" s="52">
        <v>9081.52</v>
      </c>
      <c r="P4997" s="52">
        <v>1777.69</v>
      </c>
      <c r="Q4997" s="256">
        <f>OfficeForms.Table[[#This Row],[ INFORMEDEPAGO ]]*0.3</f>
        <v>2724.4560000000001</v>
      </c>
      <c r="R4997" s="43">
        <f>(IF(O4997&lt;4172.98,0,MIN(O4997*0.3,O4997-4172.98)))-P4997</f>
        <v>946.76600000000008</v>
      </c>
      <c r="S4997" s="74">
        <v>46722</v>
      </c>
      <c r="T4997" s="1" t="s">
        <v>84</v>
      </c>
      <c r="U4997" s="52">
        <v>1777.69</v>
      </c>
      <c r="V4997" s="239" t="s">
        <v>8233</v>
      </c>
      <c r="W4997" s="29">
        <v>46288</v>
      </c>
    </row>
    <row r="4998" spans="1:23">
      <c r="A4998">
        <v>3438</v>
      </c>
      <c r="B4998" s="2">
        <v>46288.424328703702</v>
      </c>
      <c r="C4998" s="2">
        <v>46288.424826388902</v>
      </c>
      <c r="D4998" s="1" t="s">
        <v>24</v>
      </c>
      <c r="E4998" s="1"/>
      <c r="F4998" s="29">
        <v>46288</v>
      </c>
      <c r="G4998" s="29">
        <v>46287</v>
      </c>
      <c r="H4998" s="1" t="s">
        <v>9991</v>
      </c>
      <c r="I4998" s="251" t="s">
        <v>11061</v>
      </c>
      <c r="J4998" s="207">
        <v>33856576153</v>
      </c>
      <c r="K4998" s="188" t="s">
        <v>11062</v>
      </c>
      <c r="L4998" s="242">
        <v>24753048</v>
      </c>
      <c r="M4998" s="243">
        <v>6145333265</v>
      </c>
      <c r="N4998" s="171" t="s">
        <v>37</v>
      </c>
      <c r="O4998" s="43">
        <v>9760.32</v>
      </c>
      <c r="P4998" s="43">
        <v>2926.17</v>
      </c>
      <c r="Q4998" s="256">
        <f>OfficeForms.Table[[#This Row],[ INFORMEDEPAGO ]]*0.3</f>
        <v>2928.096</v>
      </c>
      <c r="R4998" s="43">
        <f>(IF(O4998&lt;4172.98,0,MIN(O4998*0.3,O4998-4172.98)))-P4998</f>
        <v>1.9259999999999309</v>
      </c>
      <c r="S4998" s="74">
        <v>46844</v>
      </c>
      <c r="T4998" s="1" t="s">
        <v>7209</v>
      </c>
      <c r="U4998" s="97">
        <v>2078.17</v>
      </c>
      <c r="V4998" s="239"/>
    </row>
    <row r="4999" spans="1:23">
      <c r="A4999">
        <v>3439</v>
      </c>
      <c r="B4999" s="2">
        <v>46288.435127314799</v>
      </c>
      <c r="C4999" s="2">
        <v>46288.436712962997</v>
      </c>
      <c r="D4999" s="1" t="s">
        <v>24</v>
      </c>
      <c r="E4999" s="1"/>
      <c r="F4999" s="29">
        <v>46288</v>
      </c>
      <c r="G4999" s="29">
        <v>46287</v>
      </c>
      <c r="H4999" s="1" t="s">
        <v>269</v>
      </c>
      <c r="I4999" s="251" t="s">
        <v>11063</v>
      </c>
      <c r="J4999" s="175" t="s">
        <v>11064</v>
      </c>
      <c r="K4999" s="188" t="s">
        <v>11065</v>
      </c>
      <c r="L4999" s="242">
        <v>24755010</v>
      </c>
      <c r="M4999" s="243">
        <v>5215516391355</v>
      </c>
      <c r="N4999" s="171" t="s">
        <v>32</v>
      </c>
      <c r="O4999" s="50">
        <f>3064.1+848</f>
        <v>3912.1</v>
      </c>
      <c r="P4999" s="97">
        <v>848</v>
      </c>
      <c r="Q4999" s="256">
        <f>OfficeForms.Table[[#This Row],[ INFORMEDEPAGO ]]*0.3</f>
        <v>1173.6299999999999</v>
      </c>
      <c r="R4999" s="43">
        <f>(IF(O4999&lt;4172.98,0,MIN(O4999*0.3,O4999-4172.98)))-P4999</f>
        <v>-848</v>
      </c>
      <c r="T4999" s="1"/>
      <c r="U4999" s="97"/>
      <c r="V4999" s="239"/>
    </row>
    <row r="5000" spans="1:23">
      <c r="A5000">
        <v>3440</v>
      </c>
      <c r="B5000" s="2">
        <v>46288.440081018503</v>
      </c>
      <c r="C5000" s="2">
        <v>46288.440844907404</v>
      </c>
      <c r="D5000" s="1" t="s">
        <v>24</v>
      </c>
      <c r="E5000" s="1"/>
      <c r="F5000" s="29">
        <v>46288</v>
      </c>
      <c r="G5000" s="29">
        <v>46287</v>
      </c>
      <c r="H5000" s="1" t="s">
        <v>9991</v>
      </c>
      <c r="I5000" s="251" t="s">
        <v>11066</v>
      </c>
      <c r="J5000" s="175"/>
      <c r="K5000" s="188" t="s">
        <v>11067</v>
      </c>
      <c r="L5000" s="242">
        <v>24752864</v>
      </c>
      <c r="M5000" s="243">
        <v>7835815927</v>
      </c>
      <c r="N5000" s="171" t="s">
        <v>98</v>
      </c>
      <c r="O5000" s="50"/>
      <c r="P5000" s="97"/>
      <c r="Q5000" s="256">
        <f>OfficeForms.Table[[#This Row],[ INFORMEDEPAGO ]]*0.3</f>
        <v>0</v>
      </c>
      <c r="R5000" s="43">
        <f>(IF(O5000&lt;4172.98,0,MIN(O5000*0.3,O5000-4172.98)))-P5000</f>
        <v>0</v>
      </c>
      <c r="T5000" s="1"/>
      <c r="U5000" s="97"/>
      <c r="V5000" s="239"/>
    </row>
    <row r="5001" spans="1:23">
      <c r="A5001">
        <v>3441</v>
      </c>
      <c r="B5001" s="2">
        <v>46288.350902777798</v>
      </c>
      <c r="C5001" s="2">
        <v>46288.448391203703</v>
      </c>
      <c r="D5001" s="1" t="s">
        <v>24</v>
      </c>
      <c r="E5001" s="1"/>
      <c r="F5001" s="29">
        <v>46288</v>
      </c>
      <c r="G5001" s="29">
        <v>46288</v>
      </c>
      <c r="H5001" s="1" t="s">
        <v>1625</v>
      </c>
      <c r="I5001" s="251" t="s">
        <v>11068</v>
      </c>
      <c r="J5001" s="175">
        <v>60805300229</v>
      </c>
      <c r="K5001" s="188" t="s">
        <v>11069</v>
      </c>
      <c r="L5001" s="242">
        <v>2</v>
      </c>
      <c r="M5001" s="243">
        <v>5631962021</v>
      </c>
      <c r="N5001" s="171" t="s">
        <v>37</v>
      </c>
      <c r="O5001" s="43">
        <v>4750.49</v>
      </c>
      <c r="P5001" s="43">
        <v>553.61</v>
      </c>
      <c r="Q5001" s="256">
        <f>OfficeForms.Table[[#This Row],[ INFORMEDEPAGO ]]*0.3</f>
        <v>1425.1469999999999</v>
      </c>
      <c r="R5001" s="43">
        <f t="shared" ref="R5001:R5002" si="420">(IF(O5001&lt;4172.98,0,MIN(O5001*0.3,O5001-4172.98)))-P5001</f>
        <v>23.900000000000205</v>
      </c>
      <c r="S5001" s="74">
        <v>46753</v>
      </c>
      <c r="T5001" s="43" t="s">
        <v>7516</v>
      </c>
      <c r="U5001" s="97">
        <v>553.61</v>
      </c>
      <c r="V5001" s="239"/>
    </row>
    <row r="5002" spans="1:23">
      <c r="A5002">
        <v>3442</v>
      </c>
      <c r="B5002" s="2">
        <v>46288.430798611102</v>
      </c>
      <c r="C5002" s="2">
        <v>46288.449166666702</v>
      </c>
      <c r="D5002" s="1" t="s">
        <v>24</v>
      </c>
      <c r="E5002" s="1"/>
      <c r="F5002" s="29">
        <v>46288</v>
      </c>
      <c r="G5002" s="29">
        <v>46287</v>
      </c>
      <c r="H5002" s="1" t="s">
        <v>78</v>
      </c>
      <c r="I5002" s="251" t="s">
        <v>11070</v>
      </c>
      <c r="J5002" s="175"/>
      <c r="K5002" s="188" t="s">
        <v>11071</v>
      </c>
      <c r="L5002" s="242">
        <v>24708476</v>
      </c>
      <c r="M5002" s="243">
        <v>5216648186486</v>
      </c>
      <c r="N5002" s="171" t="s">
        <v>47</v>
      </c>
      <c r="O5002" s="50">
        <v>4853.54</v>
      </c>
      <c r="P5002" s="97"/>
      <c r="Q5002" s="256">
        <f>OfficeForms.Table[[#This Row],[ INFORMEDEPAGO ]]*0.3</f>
        <v>1456.0619999999999</v>
      </c>
      <c r="R5002" s="43">
        <f t="shared" si="420"/>
        <v>680.5600000000004</v>
      </c>
      <c r="T5002" s="1"/>
      <c r="U5002" s="97"/>
      <c r="V5002" s="239" t="s">
        <v>8233</v>
      </c>
      <c r="W5002" s="29">
        <v>46288</v>
      </c>
    </row>
    <row r="5003" spans="1:23">
      <c r="A5003">
        <v>3443</v>
      </c>
      <c r="B5003" s="2">
        <v>46288.456597222197</v>
      </c>
      <c r="C5003" s="2">
        <v>46288.457638888904</v>
      </c>
      <c r="D5003" s="1" t="s">
        <v>24</v>
      </c>
      <c r="E5003" s="1"/>
      <c r="F5003" s="29">
        <v>46288</v>
      </c>
      <c r="G5003" s="29">
        <v>46287</v>
      </c>
      <c r="H5003" s="1" t="s">
        <v>269</v>
      </c>
      <c r="I5003" s="251" t="s">
        <v>11072</v>
      </c>
      <c r="J5003" s="175" t="s">
        <v>11073</v>
      </c>
      <c r="K5003" s="188"/>
      <c r="L5003" s="242">
        <v>24754722</v>
      </c>
      <c r="M5003" s="243">
        <v>5218662347876</v>
      </c>
      <c r="N5003" s="171" t="s">
        <v>37</v>
      </c>
      <c r="O5003" s="43">
        <v>9784.82</v>
      </c>
      <c r="P5003" s="43">
        <v>2829.99</v>
      </c>
      <c r="Q5003" s="256">
        <f>OfficeForms.Table[[#This Row],[ INFORMEDEPAGO ]]*0.3</f>
        <v>2935.4459999999999</v>
      </c>
      <c r="R5003" s="43">
        <f>(IF(O5003&lt;4172.98,0,MIN(O5003*0.3,O5003-4172.98)))-P5003</f>
        <v>105.45600000000013</v>
      </c>
      <c r="S5003" s="74">
        <v>46447</v>
      </c>
      <c r="T5003" s="1" t="s">
        <v>8338</v>
      </c>
      <c r="U5003" s="97">
        <v>1263</v>
      </c>
      <c r="V5003" s="239"/>
    </row>
    <row r="5004" spans="1:23">
      <c r="A5004">
        <v>3444</v>
      </c>
      <c r="B5004" s="2">
        <v>46288.459016203698</v>
      </c>
      <c r="C5004" s="2">
        <v>46288.4617013889</v>
      </c>
      <c r="D5004" s="1" t="s">
        <v>24</v>
      </c>
      <c r="E5004" s="1"/>
      <c r="F5004" s="29">
        <v>46288</v>
      </c>
      <c r="G5004" s="29">
        <v>46287</v>
      </c>
      <c r="H5004" s="1" t="s">
        <v>269</v>
      </c>
      <c r="I5004" s="251" t="s">
        <v>11074</v>
      </c>
      <c r="J5004" s="175" t="s">
        <v>11075</v>
      </c>
      <c r="K5004" s="188" t="s">
        <v>11076</v>
      </c>
      <c r="L5004" s="242">
        <v>24754014</v>
      </c>
      <c r="M5004" s="243">
        <v>5214772000790</v>
      </c>
      <c r="N5004" s="171" t="s">
        <v>37</v>
      </c>
      <c r="O5004" s="43">
        <v>9760.32</v>
      </c>
      <c r="P5004" s="43">
        <v>2918.69</v>
      </c>
      <c r="Q5004" s="256">
        <f>OfficeForms.Table[[#This Row],[ INFORMEDEPAGO ]]*0.3</f>
        <v>2928.096</v>
      </c>
      <c r="R5004" s="43">
        <f>(IF(O5004&lt;4172.98,0,MIN(O5004*0.3,O5004-4172.98)))-P5004</f>
        <v>9.4059999999999491</v>
      </c>
      <c r="S5004" s="74">
        <v>46753</v>
      </c>
      <c r="T5004" s="1" t="s">
        <v>7209</v>
      </c>
      <c r="U5004" s="97">
        <v>488</v>
      </c>
      <c r="V5004" s="239"/>
    </row>
    <row r="5005" spans="1:23">
      <c r="A5005">
        <v>3445</v>
      </c>
      <c r="B5005" s="2">
        <v>46288.462523148097</v>
      </c>
      <c r="C5005" s="2">
        <v>46288.463078703702</v>
      </c>
      <c r="D5005" s="1" t="s">
        <v>24</v>
      </c>
      <c r="E5005" s="1"/>
      <c r="F5005" s="29">
        <v>46288</v>
      </c>
      <c r="G5005" s="29">
        <v>46287</v>
      </c>
      <c r="H5005" s="1" t="s">
        <v>9991</v>
      </c>
      <c r="I5005" s="251" t="s">
        <v>11077</v>
      </c>
      <c r="J5005" s="207"/>
      <c r="K5005" s="188" t="s">
        <v>11078</v>
      </c>
      <c r="L5005" s="242">
        <v>24757154</v>
      </c>
      <c r="M5005" s="243">
        <v>5527989398</v>
      </c>
      <c r="N5005" s="171" t="s">
        <v>37</v>
      </c>
      <c r="O5005" s="43">
        <v>10171.24</v>
      </c>
      <c r="P5005" s="43">
        <v>2942.78</v>
      </c>
      <c r="Q5005" s="256">
        <f>OfficeForms.Table[[#This Row],[ INFORMEDEPAGO ]]*0.3</f>
        <v>3051.3719999999998</v>
      </c>
      <c r="R5005" s="43">
        <f>(IF(O5005&lt;4172.98,0,MIN(O5005*0.3,O5005-4172.98)))-P5005</f>
        <v>108.59199999999964</v>
      </c>
      <c r="S5005" s="74">
        <v>46600</v>
      </c>
      <c r="T5005" s="1" t="s">
        <v>2488</v>
      </c>
      <c r="U5005" s="97">
        <v>1723.89</v>
      </c>
      <c r="V5005" s="239"/>
    </row>
    <row r="5006" spans="1:23">
      <c r="A5006">
        <v>3446</v>
      </c>
      <c r="B5006" s="2">
        <v>46288.465787036999</v>
      </c>
      <c r="C5006" s="2">
        <v>46288.466249999998</v>
      </c>
      <c r="D5006" s="1" t="s">
        <v>24</v>
      </c>
      <c r="E5006" s="1"/>
      <c r="F5006" s="29">
        <v>46288</v>
      </c>
      <c r="G5006" s="29">
        <v>46288</v>
      </c>
      <c r="H5006" s="1" t="s">
        <v>9991</v>
      </c>
      <c r="I5006" s="251" t="s">
        <v>11079</v>
      </c>
      <c r="J5006" s="207"/>
      <c r="K5006" s="188" t="s">
        <v>11080</v>
      </c>
      <c r="L5006" s="242">
        <v>24779558</v>
      </c>
      <c r="M5006" s="243">
        <v>8128872663</v>
      </c>
      <c r="N5006" s="171" t="s">
        <v>37</v>
      </c>
      <c r="O5006" s="43">
        <v>21690.68</v>
      </c>
      <c r="P5006" s="43">
        <v>6504.66</v>
      </c>
      <c r="Q5006" s="256">
        <f>OfficeForms.Table[[#This Row],[ INFORMEDEPAGO ]]*0.3</f>
        <v>6507.2039999999997</v>
      </c>
      <c r="R5006" s="43">
        <f>(IF(O5006&lt;4172.98,0,MIN(O5006*0.3,O5006-4172.98)))-P5006</f>
        <v>2.543999999999869</v>
      </c>
      <c r="S5006" s="74">
        <v>46753</v>
      </c>
      <c r="T5006" s="1" t="s">
        <v>8338</v>
      </c>
      <c r="U5006" s="97">
        <v>3638.96</v>
      </c>
      <c r="V5006" s="239"/>
    </row>
    <row r="5007" spans="1:23">
      <c r="A5007">
        <v>3447</v>
      </c>
      <c r="B5007" s="2">
        <v>46288.468171296299</v>
      </c>
      <c r="C5007" s="2">
        <v>46288.469525462999</v>
      </c>
      <c r="D5007" s="1" t="s">
        <v>24</v>
      </c>
      <c r="E5007" s="1"/>
      <c r="F5007" s="29">
        <v>46288</v>
      </c>
      <c r="G5007" s="29">
        <v>46287</v>
      </c>
      <c r="H5007" s="1" t="s">
        <v>269</v>
      </c>
      <c r="I5007" s="251" t="s">
        <v>11081</v>
      </c>
      <c r="J5007" s="175" t="s">
        <v>11082</v>
      </c>
      <c r="K5007" s="188" t="s">
        <v>11083</v>
      </c>
      <c r="L5007" s="242">
        <v>24756366</v>
      </c>
      <c r="M5007" s="243">
        <v>5214273067750</v>
      </c>
      <c r="N5007" s="171" t="s">
        <v>37</v>
      </c>
      <c r="O5007" s="43">
        <v>7920.51</v>
      </c>
      <c r="P5007" s="43">
        <v>2286.54</v>
      </c>
      <c r="Q5007" s="256">
        <f>OfficeForms.Table[[#This Row],[ INFORMEDEPAGO ]]*0.3</f>
        <v>2376.1529999999998</v>
      </c>
      <c r="R5007" s="43">
        <f>(IF(O5007&lt;4172.98,0,MIN(O5007*0.3,O5007-4172.98)))-P5007</f>
        <v>89.612999999999829</v>
      </c>
      <c r="S5007" s="74">
        <v>46661</v>
      </c>
      <c r="T5007" s="1" t="s">
        <v>178</v>
      </c>
      <c r="U5007" s="43">
        <v>2286.54</v>
      </c>
      <c r="V5007" s="239"/>
    </row>
    <row r="5008" spans="1:23">
      <c r="A5008">
        <v>3448</v>
      </c>
      <c r="B5008" s="2">
        <v>46288.472731481503</v>
      </c>
      <c r="C5008" s="2">
        <v>46288.473425925898</v>
      </c>
      <c r="D5008" s="1" t="s">
        <v>24</v>
      </c>
      <c r="E5008" s="1"/>
      <c r="F5008" s="29">
        <v>46288</v>
      </c>
      <c r="G5008" s="29">
        <v>46287</v>
      </c>
      <c r="H5008" s="1" t="s">
        <v>269</v>
      </c>
      <c r="I5008" s="251" t="s">
        <v>11084</v>
      </c>
      <c r="J5008" s="175" t="s">
        <v>11085</v>
      </c>
      <c r="K5008" s="188" t="s">
        <v>11086</v>
      </c>
      <c r="L5008" s="242">
        <v>24754388</v>
      </c>
      <c r="M5008" s="243">
        <v>5217222014272</v>
      </c>
      <c r="N5008" s="171" t="s">
        <v>32</v>
      </c>
      <c r="O5008" s="50">
        <v>3855.42</v>
      </c>
      <c r="P5008" s="97"/>
      <c r="Q5008" s="256">
        <f>OfficeForms.Table[[#This Row],[ INFORMEDEPAGO ]]*0.3</f>
        <v>1156.626</v>
      </c>
      <c r="R5008" s="43">
        <f>(IF(O5008&lt;4172.98,0,MIN(O5008*0.3,O5008-4172.98)))-P5008</f>
        <v>0</v>
      </c>
      <c r="T5008" s="1"/>
      <c r="U5008" s="97"/>
      <c r="V5008" s="239"/>
    </row>
    <row r="5009" spans="1:23">
      <c r="A5009">
        <v>3449</v>
      </c>
      <c r="B5009" s="2">
        <v>46288.481608796297</v>
      </c>
      <c r="C5009" s="2">
        <v>46288.482511574097</v>
      </c>
      <c r="D5009" s="1" t="s">
        <v>24</v>
      </c>
      <c r="E5009" s="1"/>
      <c r="F5009" s="29">
        <v>46288</v>
      </c>
      <c r="G5009" s="29">
        <v>46288</v>
      </c>
      <c r="H5009" s="1" t="s">
        <v>9991</v>
      </c>
      <c r="I5009" s="251" t="s">
        <v>11087</v>
      </c>
      <c r="J5009" s="175"/>
      <c r="K5009" s="188" t="s">
        <v>11088</v>
      </c>
      <c r="L5009" s="242">
        <v>24781244</v>
      </c>
      <c r="M5009" s="243">
        <v>8713584238</v>
      </c>
      <c r="N5009" s="171" t="s">
        <v>106</v>
      </c>
      <c r="O5009" s="52">
        <v>6411.47</v>
      </c>
      <c r="P5009" s="52">
        <v>1854</v>
      </c>
      <c r="Q5009" s="256">
        <f>OfficeForms.Table[[#This Row],[ INFORMEDEPAGO ]]*0.3</f>
        <v>1923.441</v>
      </c>
      <c r="R5009" s="43">
        <f>(IF(O5009&lt;4172.98,0,MIN(O5009*0.3,O5009-4172.98)))-P5009</f>
        <v>69.441000000000031</v>
      </c>
      <c r="S5009" s="74">
        <v>46204</v>
      </c>
      <c r="T5009" s="1" t="s">
        <v>8415</v>
      </c>
      <c r="U5009" s="97">
        <v>1655</v>
      </c>
      <c r="V5009" s="239" t="s">
        <v>8328</v>
      </c>
      <c r="W5009" s="29">
        <v>46288</v>
      </c>
    </row>
    <row r="5010" spans="1:23">
      <c r="A5010">
        <v>3450</v>
      </c>
      <c r="B5010" s="2">
        <v>46288.482881944401</v>
      </c>
      <c r="C5010" s="2">
        <v>46288.483807870398</v>
      </c>
      <c r="D5010" s="1" t="s">
        <v>24</v>
      </c>
      <c r="E5010" s="1"/>
      <c r="F5010" s="29">
        <v>46288</v>
      </c>
      <c r="G5010" s="29">
        <v>46288</v>
      </c>
      <c r="H5010" s="1" t="s">
        <v>269</v>
      </c>
      <c r="I5010" s="251" t="s">
        <v>11089</v>
      </c>
      <c r="J5010" s="175" t="s">
        <v>11090</v>
      </c>
      <c r="K5010" s="188" t="s">
        <v>11091</v>
      </c>
      <c r="L5010" s="242">
        <v>24762140</v>
      </c>
      <c r="M5010" s="243">
        <v>5213122418141</v>
      </c>
      <c r="N5010" s="171" t="s">
        <v>37</v>
      </c>
      <c r="O5010" s="43">
        <v>7998.45</v>
      </c>
      <c r="P5010" s="43">
        <v>2399.5300000000002</v>
      </c>
      <c r="Q5010" s="256">
        <f>OfficeForms.Table[[#This Row],[ INFORMEDEPAGO ]]*0.3</f>
        <v>2399.5349999999999</v>
      </c>
      <c r="R5010" s="43">
        <f>(IF(O5010&lt;4172.98,0,MIN(O5010*0.3,O5010-4172.98)))-P5010</f>
        <v>4.999999999654392E-3</v>
      </c>
      <c r="S5010" s="74">
        <v>46327</v>
      </c>
      <c r="T5010" s="1" t="s">
        <v>11014</v>
      </c>
      <c r="U5010" s="97">
        <v>2220.0500000000002</v>
      </c>
      <c r="V5010" s="239"/>
    </row>
    <row r="5011" spans="1:23">
      <c r="A5011">
        <v>3451</v>
      </c>
      <c r="B5011" s="2">
        <v>46288.486423611103</v>
      </c>
      <c r="C5011" s="2">
        <v>46288.486979166701</v>
      </c>
      <c r="D5011" s="1" t="s">
        <v>24</v>
      </c>
      <c r="E5011" s="1"/>
      <c r="F5011" s="29">
        <v>46288</v>
      </c>
      <c r="G5011" s="29">
        <v>46287</v>
      </c>
      <c r="H5011" s="1" t="s">
        <v>9991</v>
      </c>
      <c r="I5011" s="251" t="s">
        <v>11092</v>
      </c>
      <c r="J5011" s="175"/>
      <c r="K5011" s="188" t="s">
        <v>11093</v>
      </c>
      <c r="L5011" s="242">
        <v>24754280</v>
      </c>
      <c r="M5011" s="243">
        <v>3334881675</v>
      </c>
      <c r="N5011" s="171" t="s">
        <v>28</v>
      </c>
      <c r="O5011" s="50">
        <v>9760.32</v>
      </c>
      <c r="P5011" s="97"/>
      <c r="Q5011" s="256">
        <f>OfficeForms.Table[[#This Row],[ INFORMEDEPAGO ]]*0.3</f>
        <v>2928.096</v>
      </c>
      <c r="R5011" s="43">
        <f>(IF(O5011&lt;4172.98,0,MIN(O5011*0.3,O5011-4172.98)))-P5011</f>
        <v>2928.096</v>
      </c>
      <c r="T5011" s="1"/>
      <c r="U5011" s="97"/>
      <c r="V5011" s="239" t="s">
        <v>8280</v>
      </c>
      <c r="W5011" s="29">
        <v>46288</v>
      </c>
    </row>
    <row r="5012" spans="1:23">
      <c r="A5012">
        <v>3452</v>
      </c>
      <c r="B5012" s="2">
        <v>46288.491585648197</v>
      </c>
      <c r="C5012" s="2">
        <v>46288.492199074099</v>
      </c>
      <c r="D5012" s="1" t="s">
        <v>24</v>
      </c>
      <c r="E5012" s="1"/>
      <c r="F5012" s="29">
        <v>46288</v>
      </c>
      <c r="G5012" s="29">
        <v>46288</v>
      </c>
      <c r="H5012" s="1" t="s">
        <v>269</v>
      </c>
      <c r="I5012" s="251" t="s">
        <v>11094</v>
      </c>
      <c r="J5012" s="175"/>
      <c r="K5012" s="188" t="s">
        <v>11095</v>
      </c>
      <c r="L5012" s="242">
        <v>24780510</v>
      </c>
      <c r="M5012" s="243">
        <v>5219211431623</v>
      </c>
      <c r="N5012" s="171" t="s">
        <v>28</v>
      </c>
      <c r="O5012" s="50">
        <v>8633.51</v>
      </c>
      <c r="P5012" s="97"/>
      <c r="Q5012" s="256">
        <f>OfficeForms.Table[[#This Row],[ INFORMEDEPAGO ]]*0.3</f>
        <v>2590.0529999999999</v>
      </c>
      <c r="R5012" s="43">
        <f>(IF(O5012&lt;4172.98,0,MIN(O5012*0.3,O5012-4172.98)))-P5012</f>
        <v>2590.0529999999999</v>
      </c>
      <c r="T5012" s="1"/>
      <c r="U5012" s="97"/>
      <c r="V5012" s="239" t="s">
        <v>8316</v>
      </c>
      <c r="W5012" s="29">
        <v>46288</v>
      </c>
    </row>
    <row r="5013" spans="1:23">
      <c r="A5013">
        <v>3453</v>
      </c>
      <c r="B5013" s="2">
        <v>46287.702164351896</v>
      </c>
      <c r="C5013" s="2">
        <v>46288.495833333298</v>
      </c>
      <c r="D5013" s="1" t="s">
        <v>24</v>
      </c>
      <c r="E5013" s="1"/>
      <c r="F5013" s="29">
        <v>46288</v>
      </c>
      <c r="G5013" s="29">
        <v>46287</v>
      </c>
      <c r="H5013" s="1" t="s">
        <v>8381</v>
      </c>
      <c r="I5013" s="251" t="s">
        <v>11096</v>
      </c>
      <c r="J5013" s="175"/>
      <c r="K5013" s="188" t="s">
        <v>11097</v>
      </c>
      <c r="L5013" s="242">
        <v>24746116</v>
      </c>
      <c r="M5013" s="243">
        <v>5215534443333</v>
      </c>
      <c r="N5013" s="171" t="s">
        <v>28</v>
      </c>
      <c r="O5013" s="50">
        <v>29483.98</v>
      </c>
      <c r="P5013" s="97"/>
      <c r="Q5013" s="256">
        <f>OfficeForms.Table[[#This Row],[ INFORMEDEPAGO ]]*0.3</f>
        <v>8845.1939999999995</v>
      </c>
      <c r="R5013" s="43">
        <f>(IF(O5013&lt;4172.98,0,MIN(O5013*0.3,O5013-4172.98)))-P5013</f>
        <v>8845.1939999999995</v>
      </c>
      <c r="T5013" s="1"/>
      <c r="U5013" s="97"/>
      <c r="V5013" s="239" t="s">
        <v>9958</v>
      </c>
      <c r="W5013" s="29">
        <v>46288</v>
      </c>
    </row>
    <row r="5014" spans="1:23">
      <c r="A5014">
        <v>3454</v>
      </c>
      <c r="B5014" s="2">
        <v>46288.448414351798</v>
      </c>
      <c r="C5014" s="2">
        <v>46288.503252314797</v>
      </c>
      <c r="D5014" s="1" t="s">
        <v>24</v>
      </c>
      <c r="E5014" s="1"/>
      <c r="F5014" s="29">
        <v>46288</v>
      </c>
      <c r="G5014" s="29">
        <v>46288</v>
      </c>
      <c r="H5014" s="1" t="s">
        <v>1625</v>
      </c>
      <c r="I5014" s="251" t="s">
        <v>11098</v>
      </c>
      <c r="J5014" s="175" t="s">
        <v>11099</v>
      </c>
      <c r="K5014" s="188" t="s">
        <v>11100</v>
      </c>
      <c r="L5014" s="242">
        <v>2</v>
      </c>
      <c r="M5014" s="243" t="s">
        <v>11101</v>
      </c>
      <c r="N5014" s="171" t="s">
        <v>32</v>
      </c>
      <c r="O5014" s="50">
        <v>4159.17</v>
      </c>
      <c r="P5014" s="97"/>
      <c r="Q5014" s="256">
        <f>OfficeForms.Table[[#This Row],[ INFORMEDEPAGO ]]*0.3</f>
        <v>1247.751</v>
      </c>
      <c r="R5014" s="43">
        <f>(IF(O5014&lt;4172.98,0,MIN(O5014*0.3,O5014-4172.98)))-P5014</f>
        <v>0</v>
      </c>
      <c r="T5014" s="1"/>
      <c r="U5014" s="97"/>
      <c r="V5014" s="239"/>
    </row>
    <row r="5015" spans="1:23">
      <c r="A5015">
        <v>3455</v>
      </c>
      <c r="B5015" s="2">
        <v>46288.503368055601</v>
      </c>
      <c r="C5015" s="2">
        <v>46288.517465277801</v>
      </c>
      <c r="D5015" s="1" t="s">
        <v>24</v>
      </c>
      <c r="E5015" s="1"/>
      <c r="F5015" s="29">
        <v>46288</v>
      </c>
      <c r="G5015" s="29">
        <v>46288</v>
      </c>
      <c r="H5015" s="1" t="s">
        <v>1625</v>
      </c>
      <c r="I5015" s="251" t="s">
        <v>11102</v>
      </c>
      <c r="J5015" s="175" t="s">
        <v>11103</v>
      </c>
      <c r="K5015" s="188" t="s">
        <v>11104</v>
      </c>
      <c r="L5015" s="242">
        <v>2</v>
      </c>
      <c r="M5015" s="243" t="s">
        <v>11105</v>
      </c>
      <c r="N5015" s="171" t="s">
        <v>28</v>
      </c>
      <c r="O5015" s="50">
        <v>9081.52</v>
      </c>
      <c r="P5015" s="97"/>
      <c r="Q5015" s="256">
        <f>OfficeForms.Table[[#This Row],[ INFORMEDEPAGO ]]*0.3</f>
        <v>2724.4560000000001</v>
      </c>
      <c r="R5015" s="43">
        <f>(IF(O5015&lt;4172.98,0,MIN(O5015*0.3,O5015-4172.98)))-P5015</f>
        <v>2724.4560000000001</v>
      </c>
      <c r="T5015" s="1"/>
      <c r="U5015" s="97"/>
      <c r="V5015" s="239"/>
    </row>
    <row r="5016" spans="1:23">
      <c r="A5016">
        <v>3456</v>
      </c>
      <c r="B5016" s="2">
        <v>46288.495844907397</v>
      </c>
      <c r="C5016" s="2">
        <v>46288.520810185197</v>
      </c>
      <c r="D5016" s="1" t="s">
        <v>24</v>
      </c>
      <c r="E5016" s="1"/>
      <c r="F5016" s="29">
        <v>46288</v>
      </c>
      <c r="G5016" s="29">
        <v>46287</v>
      </c>
      <c r="H5016" s="1" t="s">
        <v>8381</v>
      </c>
      <c r="I5016" s="251" t="s">
        <v>11106</v>
      </c>
      <c r="J5016" s="175"/>
      <c r="K5016" s="188" t="s">
        <v>11107</v>
      </c>
      <c r="L5016" s="242">
        <v>24749962</v>
      </c>
      <c r="M5016" s="243">
        <v>5215533034697</v>
      </c>
      <c r="N5016" s="171" t="s">
        <v>37</v>
      </c>
      <c r="O5016" s="52">
        <v>28017.13</v>
      </c>
      <c r="P5016" s="52">
        <v>8404.84</v>
      </c>
      <c r="Q5016" s="256">
        <f>OfficeForms.Table[[#This Row],[ INFORMEDEPAGO ]]*0.3</f>
        <v>8405.1389999999992</v>
      </c>
      <c r="R5016" s="43">
        <f>(IF(O5016&lt;4172.98,0,MIN(O5016*0.3,O5016-4172.98)))-P5016</f>
        <v>0.29899999999906868</v>
      </c>
      <c r="S5016" s="74">
        <v>46722</v>
      </c>
      <c r="T5016" s="1" t="s">
        <v>8338</v>
      </c>
      <c r="U5016" s="97">
        <v>1904.44</v>
      </c>
      <c r="V5016" s="239"/>
    </row>
    <row r="5017" spans="1:23">
      <c r="A5017">
        <v>3457</v>
      </c>
      <c r="B5017" s="2">
        <v>46288.517048611102</v>
      </c>
      <c r="C5017" s="2">
        <v>46288.522060185198</v>
      </c>
      <c r="D5017" s="1" t="s">
        <v>24</v>
      </c>
      <c r="E5017" s="1"/>
      <c r="F5017" s="29">
        <v>46288</v>
      </c>
      <c r="G5017" s="29">
        <v>46245</v>
      </c>
      <c r="H5017" s="1" t="s">
        <v>51</v>
      </c>
      <c r="I5017" s="251" t="s">
        <v>11108</v>
      </c>
      <c r="J5017" s="175">
        <v>10826481599</v>
      </c>
      <c r="K5017" s="188" t="s">
        <v>11109</v>
      </c>
      <c r="L5017" s="242">
        <v>23555868</v>
      </c>
      <c r="M5017" s="243">
        <v>5219513338866</v>
      </c>
      <c r="N5017" s="171" t="s">
        <v>106</v>
      </c>
      <c r="O5017" s="43">
        <v>9081.5</v>
      </c>
      <c r="P5017" s="43">
        <v>2521.3000000000002</v>
      </c>
      <c r="Q5017" s="256">
        <f>OfficeForms.Table[[#This Row],[ INFORMEDEPAGO ]]*0.3</f>
        <v>2724.45</v>
      </c>
      <c r="R5017" s="43">
        <f>(IF(O5017&lt;4172.98,0,MIN(O5017*0.3,O5017-4172.98)))-P5017</f>
        <v>203.14999999999964</v>
      </c>
      <c r="S5017" s="74">
        <v>46235</v>
      </c>
      <c r="T5017" s="1" t="s">
        <v>7516</v>
      </c>
      <c r="U5017" s="43">
        <v>2521.3000000000002</v>
      </c>
      <c r="V5017" s="239" t="s">
        <v>10408</v>
      </c>
      <c r="W5017" s="29">
        <v>46288</v>
      </c>
    </row>
    <row r="5018" spans="1:23">
      <c r="A5018">
        <v>3458</v>
      </c>
      <c r="B5018" s="2">
        <v>46288.537164351903</v>
      </c>
      <c r="C5018" s="2">
        <v>46288.538379629601</v>
      </c>
      <c r="D5018" s="1" t="s">
        <v>24</v>
      </c>
      <c r="E5018" s="1"/>
      <c r="F5018" s="29">
        <v>46288</v>
      </c>
      <c r="G5018" s="29">
        <v>46288</v>
      </c>
      <c r="H5018" s="1" t="s">
        <v>269</v>
      </c>
      <c r="I5018" s="251" t="s">
        <v>11110</v>
      </c>
      <c r="J5018" s="175"/>
      <c r="K5018" s="188" t="s">
        <v>11111</v>
      </c>
      <c r="L5018" s="242">
        <v>24782818</v>
      </c>
      <c r="M5018" s="243">
        <v>5216568542351</v>
      </c>
      <c r="N5018" s="171" t="s">
        <v>28</v>
      </c>
      <c r="O5018" s="50">
        <v>8181.55</v>
      </c>
      <c r="P5018" s="97"/>
      <c r="Q5018" s="256">
        <f>OfficeForms.Table[[#This Row],[ INFORMEDEPAGO ]]*0.3</f>
        <v>2454.4650000000001</v>
      </c>
      <c r="R5018" s="43">
        <f>(IF(O5018&lt;4172.98,0,MIN(O5018*0.3,O5018-4172.98)))-P5018</f>
        <v>2454.4650000000001</v>
      </c>
      <c r="T5018" s="1"/>
      <c r="U5018" s="97"/>
      <c r="V5018" s="239" t="s">
        <v>9958</v>
      </c>
      <c r="W5018" s="29">
        <v>46288</v>
      </c>
    </row>
    <row r="5019" spans="1:23">
      <c r="A5019">
        <v>3459</v>
      </c>
      <c r="B5019" s="2">
        <v>46288.520844907398</v>
      </c>
      <c r="C5019" s="2">
        <v>46288.539849537003</v>
      </c>
      <c r="D5019" s="1" t="s">
        <v>24</v>
      </c>
      <c r="E5019" s="1"/>
      <c r="F5019" s="29">
        <v>46288</v>
      </c>
      <c r="G5019" s="29">
        <v>46287</v>
      </c>
      <c r="H5019" s="1" t="s">
        <v>8381</v>
      </c>
      <c r="I5019" s="251" t="s">
        <v>11112</v>
      </c>
      <c r="J5019" s="175"/>
      <c r="K5019" s="188" t="s">
        <v>11113</v>
      </c>
      <c r="L5019" s="242">
        <v>24754950</v>
      </c>
      <c r="M5019" s="243">
        <v>5215520544479</v>
      </c>
      <c r="N5019" s="171" t="s">
        <v>106</v>
      </c>
      <c r="O5019" s="52">
        <v>21111.31</v>
      </c>
      <c r="P5019" s="52">
        <v>6105.32</v>
      </c>
      <c r="Q5019" s="256">
        <f>OfficeForms.Table[[#This Row],[ INFORMEDEPAGO ]]*0.3</f>
        <v>6333.393</v>
      </c>
      <c r="R5019" s="43">
        <f>(IF(O5019&lt;4172.98,0,MIN(O5019*0.3,O5019-4172.98)))-P5019</f>
        <v>228.07300000000032</v>
      </c>
      <c r="S5019" s="74">
        <v>46235</v>
      </c>
      <c r="T5019" s="1" t="s">
        <v>8338</v>
      </c>
      <c r="U5019" s="97">
        <v>5214.4799999999996</v>
      </c>
      <c r="V5019" s="239" t="s">
        <v>8936</v>
      </c>
      <c r="W5019" s="29">
        <v>46288</v>
      </c>
    </row>
    <row r="5020" spans="1:23">
      <c r="A5020">
        <v>3460</v>
      </c>
      <c r="B5020" s="2">
        <v>46287.7023611111</v>
      </c>
      <c r="C5020" s="2">
        <v>46288.581562500003</v>
      </c>
      <c r="D5020" s="1" t="s">
        <v>24</v>
      </c>
      <c r="E5020" s="1"/>
      <c r="F5020" s="29">
        <v>46288</v>
      </c>
      <c r="G5020" s="29">
        <v>46285</v>
      </c>
      <c r="H5020" s="1" t="s">
        <v>10043</v>
      </c>
      <c r="I5020" s="251" t="s">
        <v>11114</v>
      </c>
      <c r="J5020" s="175">
        <v>43815804620</v>
      </c>
      <c r="K5020" s="188" t="s">
        <v>11115</v>
      </c>
      <c r="L5020" s="242">
        <v>24673622</v>
      </c>
      <c r="M5020" s="243">
        <v>8184654141</v>
      </c>
      <c r="N5020" s="171" t="s">
        <v>130</v>
      </c>
      <c r="O5020" s="52">
        <v>13026.08</v>
      </c>
      <c r="P5020" s="52">
        <v>3615.82</v>
      </c>
      <c r="Q5020" s="256">
        <f>OfficeForms.Table[[#This Row],[ INFORMEDEPAGO ]]*0.3</f>
        <v>3907.8239999999996</v>
      </c>
      <c r="R5020" s="43">
        <f t="shared" ref="R5020:R5023" si="421">(IF(O5020&lt;4172.98,0,MIN(O5020*0.3,O5020-4172.98)))-P5020</f>
        <v>292.00399999999945</v>
      </c>
      <c r="S5020" s="74">
        <v>45689</v>
      </c>
      <c r="T5020" s="1" t="s">
        <v>7209</v>
      </c>
      <c r="U5020" s="97">
        <v>373.64</v>
      </c>
      <c r="V5020" s="239" t="s">
        <v>10898</v>
      </c>
      <c r="W5020" s="29">
        <v>46288</v>
      </c>
    </row>
    <row r="5021" spans="1:23">
      <c r="A5021">
        <v>3461</v>
      </c>
      <c r="B5021" s="2">
        <v>46288.592106481497</v>
      </c>
      <c r="C5021" s="2">
        <v>46288.593287037002</v>
      </c>
      <c r="D5021" s="1" t="s">
        <v>24</v>
      </c>
      <c r="E5021" s="1"/>
      <c r="F5021" s="29">
        <v>46288</v>
      </c>
      <c r="G5021" s="29">
        <v>46288</v>
      </c>
      <c r="H5021" s="1" t="s">
        <v>9986</v>
      </c>
      <c r="I5021" s="251" t="s">
        <v>11116</v>
      </c>
      <c r="J5021" s="175" t="s">
        <v>11117</v>
      </c>
      <c r="K5021" s="188"/>
      <c r="L5021" s="242">
        <v>24701992</v>
      </c>
      <c r="M5021" s="243">
        <v>9841565478</v>
      </c>
      <c r="N5021" s="171" t="s">
        <v>37</v>
      </c>
      <c r="O5021" s="52">
        <v>9760.32</v>
      </c>
      <c r="P5021" s="52">
        <v>2823.86</v>
      </c>
      <c r="Q5021" s="256">
        <f>OfficeForms.Table[[#This Row],[ INFORMEDEPAGO ]]*0.3</f>
        <v>2928.096</v>
      </c>
      <c r="R5021" s="43">
        <f t="shared" si="421"/>
        <v>104.23599999999988</v>
      </c>
      <c r="S5021" s="74">
        <v>46722</v>
      </c>
      <c r="T5021" s="1" t="s">
        <v>259</v>
      </c>
      <c r="U5021" s="97">
        <v>1294.21</v>
      </c>
      <c r="V5021" s="239"/>
    </row>
    <row r="5022" spans="1:23">
      <c r="A5022">
        <v>3462</v>
      </c>
      <c r="B5022" s="2">
        <v>46288.595497685201</v>
      </c>
      <c r="C5022" s="2">
        <v>46288.596122685201</v>
      </c>
      <c r="D5022" s="1" t="s">
        <v>24</v>
      </c>
      <c r="E5022" s="1"/>
      <c r="F5022" s="29">
        <v>46288</v>
      </c>
      <c r="G5022" s="29">
        <v>46288</v>
      </c>
      <c r="H5022" s="1" t="s">
        <v>9991</v>
      </c>
      <c r="I5022" s="251" t="s">
        <v>11118</v>
      </c>
      <c r="J5022" s="175">
        <v>55895702623</v>
      </c>
      <c r="K5022" s="188" t="s">
        <v>11119</v>
      </c>
      <c r="L5022" s="242">
        <v>24761998</v>
      </c>
      <c r="M5022" s="243">
        <v>3112732481</v>
      </c>
      <c r="N5022" s="171" t="s">
        <v>37</v>
      </c>
      <c r="O5022" s="43">
        <v>4813.6899999999996</v>
      </c>
      <c r="P5022" s="43">
        <v>640</v>
      </c>
      <c r="Q5022" s="256">
        <f>OfficeForms.Table[[#This Row],[ INFORMEDEPAGO ]]*0.3</f>
        <v>1444.1069999999997</v>
      </c>
      <c r="R5022" s="43">
        <f t="shared" si="421"/>
        <v>0.71000000000003638</v>
      </c>
      <c r="S5022" s="74">
        <v>46844</v>
      </c>
      <c r="T5022" s="1" t="s">
        <v>8415</v>
      </c>
      <c r="U5022" s="97">
        <v>640</v>
      </c>
      <c r="V5022" s="239"/>
    </row>
    <row r="5023" spans="1:23">
      <c r="A5023">
        <v>3463</v>
      </c>
      <c r="B5023" s="2">
        <v>46288.603761574101</v>
      </c>
      <c r="C5023" s="2">
        <v>46288.604687500003</v>
      </c>
      <c r="D5023" s="1" t="s">
        <v>24</v>
      </c>
      <c r="E5023" s="1"/>
      <c r="F5023" s="29">
        <v>46288</v>
      </c>
      <c r="G5023" s="29">
        <v>46288</v>
      </c>
      <c r="H5023" s="1" t="s">
        <v>103</v>
      </c>
      <c r="I5023" s="251" t="s">
        <v>11120</v>
      </c>
      <c r="J5023" s="175">
        <v>11755639207</v>
      </c>
      <c r="K5023" s="188"/>
      <c r="L5023" s="242">
        <v>1</v>
      </c>
      <c r="M5023" s="243">
        <v>5582634151</v>
      </c>
      <c r="N5023" s="171" t="s">
        <v>263</v>
      </c>
      <c r="O5023" s="52">
        <v>21098.59</v>
      </c>
      <c r="P5023" s="52">
        <v>5188.93</v>
      </c>
      <c r="Q5023" s="256">
        <f>OfficeForms.Table[[#This Row],[ INFORMEDEPAGO ]]*0.3</f>
        <v>6329.5770000000002</v>
      </c>
      <c r="R5023" s="43">
        <f t="shared" si="421"/>
        <v>1140.6469999999999</v>
      </c>
      <c r="S5023" s="74">
        <v>45658</v>
      </c>
      <c r="T5023" s="1" t="s">
        <v>2488</v>
      </c>
      <c r="U5023" s="52">
        <v>5188.93</v>
      </c>
      <c r="V5023" s="239"/>
    </row>
    <row r="5024" spans="1:23">
      <c r="A5024">
        <v>3464</v>
      </c>
      <c r="B5024" s="2">
        <v>46288.5175115741</v>
      </c>
      <c r="C5024" s="2">
        <v>46288.629733796297</v>
      </c>
      <c r="D5024" s="1" t="s">
        <v>24</v>
      </c>
      <c r="E5024" s="1"/>
      <c r="F5024" s="29">
        <v>46288</v>
      </c>
      <c r="G5024" s="29">
        <v>46288</v>
      </c>
      <c r="H5024" s="1" t="s">
        <v>1625</v>
      </c>
      <c r="I5024" s="251" t="s">
        <v>11121</v>
      </c>
      <c r="J5024" s="175" t="s">
        <v>11122</v>
      </c>
      <c r="K5024" s="188" t="s">
        <v>11123</v>
      </c>
      <c r="L5024" s="242">
        <v>2</v>
      </c>
      <c r="M5024" s="243">
        <v>3329702722</v>
      </c>
      <c r="N5024" s="171" t="s">
        <v>32</v>
      </c>
      <c r="O5024" s="52">
        <v>3041.29</v>
      </c>
      <c r="P5024" s="52">
        <v>733</v>
      </c>
      <c r="Q5024" s="256">
        <f>OfficeForms.Table[[#This Row],[ INFORMEDEPAGO ]]*0.3</f>
        <v>912.38699999999994</v>
      </c>
      <c r="R5024" s="43">
        <f t="shared" ref="R5024" si="422">(IF(O5024&lt;4172.98,0,MIN(O5024*0.3,O5024-4172.98)))-P5024</f>
        <v>-733</v>
      </c>
      <c r="T5024" s="1"/>
      <c r="U5024" s="97"/>
      <c r="V5024" s="239"/>
    </row>
    <row r="5025" spans="1:23">
      <c r="A5025">
        <v>3465</v>
      </c>
      <c r="B5025" s="2">
        <v>46288.539861111101</v>
      </c>
      <c r="C5025" s="2">
        <v>46288.638668981497</v>
      </c>
      <c r="D5025" s="1" t="s">
        <v>24</v>
      </c>
      <c r="E5025" s="1"/>
      <c r="F5025" s="29">
        <v>46288</v>
      </c>
      <c r="G5025" s="29">
        <v>46287</v>
      </c>
      <c r="H5025" s="1" t="s">
        <v>8381</v>
      </c>
      <c r="I5025" s="251" t="s">
        <v>11124</v>
      </c>
      <c r="J5025" s="175"/>
      <c r="K5025" s="188" t="s">
        <v>11125</v>
      </c>
      <c r="L5025" s="242">
        <v>24748558</v>
      </c>
      <c r="M5025" s="243">
        <v>5214921024870</v>
      </c>
      <c r="N5025" s="171" t="s">
        <v>32</v>
      </c>
      <c r="O5025" s="50">
        <f>10732.35-7378.5</f>
        <v>3353.8500000000004</v>
      </c>
      <c r="P5025" s="97"/>
      <c r="Q5025" s="256">
        <f>OfficeForms.Table[[#This Row],[ INFORMEDEPAGO ]]*0.3</f>
        <v>1006.1550000000001</v>
      </c>
      <c r="R5025" s="43">
        <f t="shared" ref="R5025:R5026" si="423">(IF(O5025&lt;4172.98,0,MIN(O5025*0.3,O5025-4172.98)))-P5025</f>
        <v>0</v>
      </c>
      <c r="T5025" s="1"/>
      <c r="U5025" s="97"/>
      <c r="V5025" s="239"/>
    </row>
    <row r="5026" spans="1:23">
      <c r="A5026">
        <v>3466</v>
      </c>
      <c r="B5026" s="2">
        <v>46288.6387384259</v>
      </c>
      <c r="C5026" s="2">
        <v>46288.639259259297</v>
      </c>
      <c r="D5026" s="1" t="s">
        <v>24</v>
      </c>
      <c r="E5026" s="1"/>
      <c r="F5026" s="29">
        <v>46288</v>
      </c>
      <c r="G5026" s="29">
        <v>46288</v>
      </c>
      <c r="H5026" s="1" t="s">
        <v>9991</v>
      </c>
      <c r="I5026" s="251" t="s">
        <v>11126</v>
      </c>
      <c r="J5026" s="175">
        <v>37755827541</v>
      </c>
      <c r="K5026" s="188" t="s">
        <v>11127</v>
      </c>
      <c r="L5026" s="242">
        <v>24783666</v>
      </c>
      <c r="M5026" s="243">
        <v>6568969290</v>
      </c>
      <c r="N5026" s="171" t="s">
        <v>37</v>
      </c>
      <c r="O5026" s="52">
        <v>5061.58</v>
      </c>
      <c r="P5026" s="52">
        <v>856.95</v>
      </c>
      <c r="Q5026" s="256">
        <f>OfficeForms.Table[[#This Row],[ INFORMEDEPAGO ]]*0.3</f>
        <v>1518.4739999999999</v>
      </c>
      <c r="R5026" s="43">
        <f t="shared" si="423"/>
        <v>31.650000000000318</v>
      </c>
      <c r="S5026" s="74">
        <v>46569</v>
      </c>
      <c r="T5026" s="1" t="s">
        <v>7516</v>
      </c>
      <c r="U5026" s="52">
        <v>856.95</v>
      </c>
      <c r="V5026" s="239"/>
    </row>
    <row r="5027" spans="1:23">
      <c r="A5027">
        <v>3467</v>
      </c>
      <c r="B5027" s="2">
        <v>46288.649861111102</v>
      </c>
      <c r="C5027" s="2">
        <v>46288.650601851899</v>
      </c>
      <c r="D5027" s="1" t="s">
        <v>24</v>
      </c>
      <c r="E5027" s="1"/>
      <c r="F5027" s="29">
        <v>46288</v>
      </c>
      <c r="G5027" s="29">
        <v>46288</v>
      </c>
      <c r="H5027" s="1" t="s">
        <v>9986</v>
      </c>
      <c r="I5027" s="251" t="s">
        <v>11128</v>
      </c>
      <c r="J5027" s="175">
        <v>10735405499</v>
      </c>
      <c r="K5027" s="188"/>
      <c r="L5027" s="242">
        <v>24682426</v>
      </c>
      <c r="M5027" s="243">
        <v>7647653506</v>
      </c>
      <c r="N5027" s="171" t="s">
        <v>37</v>
      </c>
      <c r="O5027" s="52">
        <v>37865.599999999999</v>
      </c>
      <c r="P5027" s="52">
        <v>11702.29</v>
      </c>
      <c r="Q5027" s="256">
        <f>OfficeForms.Table[[#This Row],[ INFORMEDEPAGO ]]*0.3</f>
        <v>11359.679999999998</v>
      </c>
      <c r="R5027" s="43">
        <f t="shared" ref="R5027" si="424">(IF(O5027&lt;4172.98,0,MIN(O5027*0.3,O5027-4172.98)))-P5027</f>
        <v>-342.6100000000024</v>
      </c>
      <c r="S5027" s="74">
        <v>46388</v>
      </c>
      <c r="T5027" s="1" t="s">
        <v>178</v>
      </c>
      <c r="U5027" s="97">
        <v>10365.34</v>
      </c>
      <c r="V5027" s="239"/>
    </row>
    <row r="5028" spans="1:23">
      <c r="A5028">
        <v>3468</v>
      </c>
      <c r="B5028" s="2">
        <v>46288.644641203697</v>
      </c>
      <c r="C5028" s="2">
        <v>46288.651574074102</v>
      </c>
      <c r="D5028" s="1" t="s">
        <v>24</v>
      </c>
      <c r="E5028" s="1"/>
      <c r="F5028" s="29">
        <v>46288</v>
      </c>
      <c r="G5028" s="29">
        <v>46277</v>
      </c>
      <c r="H5028" s="1" t="s">
        <v>78</v>
      </c>
      <c r="I5028" s="251" t="s">
        <v>11129</v>
      </c>
      <c r="J5028" s="175"/>
      <c r="K5028" s="188" t="s">
        <v>11130</v>
      </c>
      <c r="L5028" s="242">
        <v>24412556</v>
      </c>
      <c r="M5028" s="243">
        <v>5219212012607</v>
      </c>
      <c r="N5028" s="171" t="s">
        <v>28</v>
      </c>
      <c r="O5028" s="50">
        <v>11029.03</v>
      </c>
      <c r="P5028" s="97"/>
      <c r="Q5028" s="256">
        <f>OfficeForms.Table[[#This Row],[ INFORMEDEPAGO ]]*0.3</f>
        <v>3308.7090000000003</v>
      </c>
      <c r="R5028" s="43">
        <f t="shared" ref="R5028" si="425">(IF(O5028&lt;4172.98,0,MIN(O5028*0.3,O5028-4172.98)))-P5028</f>
        <v>3308.7090000000003</v>
      </c>
      <c r="T5028" s="1"/>
      <c r="U5028" s="97"/>
      <c r="V5028" s="239" t="s">
        <v>8350</v>
      </c>
      <c r="W5028" s="29">
        <v>46288</v>
      </c>
    </row>
    <row r="5029" spans="1:23">
      <c r="A5029">
        <v>3469</v>
      </c>
      <c r="B5029" s="2">
        <v>46288.655868055597</v>
      </c>
      <c r="C5029" s="2">
        <v>46288.656979166699</v>
      </c>
      <c r="D5029" s="1" t="s">
        <v>24</v>
      </c>
      <c r="E5029" s="1"/>
      <c r="F5029" s="29">
        <v>46288</v>
      </c>
      <c r="G5029" s="29">
        <v>46288</v>
      </c>
      <c r="H5029" s="1" t="s">
        <v>269</v>
      </c>
      <c r="I5029" s="251" t="s">
        <v>11131</v>
      </c>
      <c r="J5029" s="175" t="s">
        <v>11132</v>
      </c>
      <c r="K5029" s="188" t="s">
        <v>11133</v>
      </c>
      <c r="L5029" s="242">
        <v>24790916</v>
      </c>
      <c r="M5029" s="243">
        <v>5214428100178</v>
      </c>
      <c r="N5029" s="171" t="s">
        <v>28</v>
      </c>
      <c r="O5029" s="52">
        <v>24645.03</v>
      </c>
      <c r="P5029" s="52">
        <v>4541.3500000000004</v>
      </c>
      <c r="Q5029" s="256">
        <f>OfficeForms.Table[[#This Row],[ INFORMEDEPAGO ]]*0.3</f>
        <v>7393.5089999999991</v>
      </c>
      <c r="R5029" s="43">
        <f t="shared" ref="R5029" si="426">(IF(O5029&lt;4172.98,0,MIN(O5029*0.3,O5029-4172.98)))-P5029</f>
        <v>2852.1589999999987</v>
      </c>
      <c r="S5029" s="74">
        <v>46600</v>
      </c>
      <c r="T5029" s="1" t="s">
        <v>7516</v>
      </c>
      <c r="U5029" s="52">
        <v>4541.3500000000004</v>
      </c>
      <c r="V5029" s="239" t="s">
        <v>9777</v>
      </c>
      <c r="W5029" s="29">
        <v>46288</v>
      </c>
    </row>
    <row r="5030" spans="1:23">
      <c r="A5030">
        <v>3470</v>
      </c>
      <c r="B5030" s="2">
        <v>46288.6386921296</v>
      </c>
      <c r="C5030" s="2">
        <v>46288.668240740699</v>
      </c>
      <c r="D5030" s="1" t="s">
        <v>24</v>
      </c>
      <c r="E5030" s="1"/>
      <c r="F5030" s="29">
        <v>46288</v>
      </c>
      <c r="G5030" s="29">
        <v>46288</v>
      </c>
      <c r="H5030" s="1" t="s">
        <v>8381</v>
      </c>
      <c r="I5030" s="251" t="s">
        <v>11134</v>
      </c>
      <c r="J5030" s="175" t="s">
        <v>11135</v>
      </c>
      <c r="K5030" s="188" t="s">
        <v>11136</v>
      </c>
      <c r="L5030" s="242">
        <v>24763584</v>
      </c>
      <c r="M5030" s="243">
        <v>5218112717610</v>
      </c>
      <c r="N5030" s="171" t="s">
        <v>28</v>
      </c>
      <c r="O5030" s="50">
        <v>7920.51</v>
      </c>
      <c r="P5030" s="97"/>
      <c r="Q5030" s="256">
        <f>OfficeForms.Table[[#This Row],[ INFORMEDEPAGO ]]*0.3</f>
        <v>2376.1529999999998</v>
      </c>
      <c r="R5030" s="43">
        <f t="shared" ref="R5030" si="427">(IF(O5030&lt;4172.98,0,MIN(O5030*0.3,O5030-4172.98)))-P5030</f>
        <v>2376.1529999999998</v>
      </c>
      <c r="T5030" s="1"/>
      <c r="U5030" s="97"/>
      <c r="V5030" s="239" t="s">
        <v>8280</v>
      </c>
      <c r="W5030" s="29">
        <v>46288</v>
      </c>
    </row>
    <row r="5031" spans="1:23">
      <c r="A5031">
        <v>3471</v>
      </c>
      <c r="B5031" s="2">
        <v>46288.668078703697</v>
      </c>
      <c r="C5031" s="2">
        <v>46288.681296296301</v>
      </c>
      <c r="D5031" s="1" t="s">
        <v>24</v>
      </c>
      <c r="E5031" s="1"/>
      <c r="F5031" s="29">
        <v>46288</v>
      </c>
      <c r="G5031" s="29">
        <v>46287</v>
      </c>
      <c r="H5031" s="1" t="s">
        <v>8028</v>
      </c>
      <c r="I5031" s="251" t="s">
        <v>11137</v>
      </c>
      <c r="J5031" s="175">
        <v>12725213321</v>
      </c>
      <c r="K5031" s="188"/>
      <c r="L5031" s="242">
        <v>24745514</v>
      </c>
      <c r="M5031" s="243">
        <v>5214771069195</v>
      </c>
      <c r="N5031" s="171" t="s">
        <v>32</v>
      </c>
      <c r="O5031" s="50">
        <v>4112.04</v>
      </c>
      <c r="P5031" s="97"/>
      <c r="Q5031" s="256">
        <f>OfficeForms.Table[[#This Row],[ INFORMEDEPAGO ]]*0.3</f>
        <v>1233.6119999999999</v>
      </c>
      <c r="R5031" s="43">
        <f>(IF(O5031&lt;4172.98,0,MIN(O5031*0.3,O5031-4172.98)))-P5031</f>
        <v>0</v>
      </c>
      <c r="T5031" s="1"/>
      <c r="U5031" s="97"/>
      <c r="V5031" s="239"/>
    </row>
    <row r="5032" spans="1:23">
      <c r="A5032">
        <v>3472</v>
      </c>
      <c r="B5032" s="2">
        <v>46288.6297569444</v>
      </c>
      <c r="C5032" s="2">
        <v>46288.681851851899</v>
      </c>
      <c r="D5032" s="1" t="s">
        <v>24</v>
      </c>
      <c r="E5032" s="1"/>
      <c r="F5032" s="29">
        <v>46288</v>
      </c>
      <c r="G5032" s="29">
        <v>46288</v>
      </c>
      <c r="H5032" s="1" t="s">
        <v>1625</v>
      </c>
      <c r="I5032" s="251" t="s">
        <v>11138</v>
      </c>
      <c r="J5032" s="175">
        <v>10816278914</v>
      </c>
      <c r="K5032" s="188" t="s">
        <v>11139</v>
      </c>
      <c r="L5032" s="242">
        <v>2</v>
      </c>
      <c r="M5032" s="243">
        <v>5536796296</v>
      </c>
      <c r="N5032" s="171" t="s">
        <v>37</v>
      </c>
      <c r="O5032" s="43">
        <v>9081.52</v>
      </c>
      <c r="P5032" s="43">
        <v>2627.5</v>
      </c>
      <c r="Q5032" s="256">
        <f>OfficeForms.Table[[#This Row],[ INFORMEDEPAGO ]]*0.3</f>
        <v>2724.4560000000001</v>
      </c>
      <c r="R5032" s="43">
        <f>(IF(O5032&lt;4172.98,0,MIN(O5032*0.3,O5032-4172.98)))-P5032</f>
        <v>96.956000000000131</v>
      </c>
      <c r="S5032" s="74">
        <v>46447</v>
      </c>
      <c r="T5032" t="s">
        <v>7516</v>
      </c>
      <c r="U5032" s="43">
        <v>2627.5</v>
      </c>
      <c r="V5032" s="239"/>
    </row>
    <row r="5033" spans="1:23">
      <c r="A5033">
        <v>3473</v>
      </c>
      <c r="B5033" s="2">
        <v>46288.688298611101</v>
      </c>
      <c r="C5033" s="2">
        <v>46288.688831018502</v>
      </c>
      <c r="D5033" s="1" t="s">
        <v>24</v>
      </c>
      <c r="E5033" s="1"/>
      <c r="F5033" s="29">
        <v>46288</v>
      </c>
      <c r="G5033" s="29">
        <v>46287</v>
      </c>
      <c r="H5033" s="1" t="s">
        <v>9991</v>
      </c>
      <c r="I5033" s="251" t="s">
        <v>11140</v>
      </c>
      <c r="J5033" s="175">
        <v>6805713283</v>
      </c>
      <c r="K5033" s="188" t="s">
        <v>11141</v>
      </c>
      <c r="L5033" s="242">
        <v>24752620</v>
      </c>
      <c r="M5033" s="243">
        <v>5549391473</v>
      </c>
      <c r="N5033" s="171" t="s">
        <v>32</v>
      </c>
      <c r="O5033" s="52">
        <v>4653.7700000000004</v>
      </c>
      <c r="P5033" s="52">
        <v>879</v>
      </c>
      <c r="Q5033" s="256">
        <f>OfficeForms.Table[[#This Row],[ INFORMEDEPAGO ]]*0.3</f>
        <v>1396.1310000000001</v>
      </c>
      <c r="R5033" s="43">
        <f>(IF(O5033&lt;4172.98,0,MIN(O5033*0.3,O5033-4172.98)))-P5033</f>
        <v>-398.20999999999913</v>
      </c>
      <c r="T5033" s="1"/>
      <c r="U5033" s="97"/>
      <c r="V5033" s="239"/>
    </row>
    <row r="5034" spans="1:23">
      <c r="A5034">
        <v>3474</v>
      </c>
      <c r="B5034" s="2">
        <v>46288.668263888903</v>
      </c>
      <c r="C5034" s="2">
        <v>46288.695208333302</v>
      </c>
      <c r="D5034" s="1" t="s">
        <v>24</v>
      </c>
      <c r="E5034" s="1"/>
      <c r="F5034" s="29">
        <v>46288</v>
      </c>
      <c r="G5034" s="29">
        <v>46287</v>
      </c>
      <c r="H5034" s="1" t="s">
        <v>8381</v>
      </c>
      <c r="I5034" s="251" t="s">
        <v>11142</v>
      </c>
      <c r="J5034" s="175"/>
      <c r="K5034" s="188" t="s">
        <v>11143</v>
      </c>
      <c r="L5034" s="242">
        <v>24753816</v>
      </c>
      <c r="M5034" s="243">
        <v>5213112626154</v>
      </c>
      <c r="N5034" s="171" t="s">
        <v>37</v>
      </c>
      <c r="O5034" s="52">
        <v>6262.86</v>
      </c>
      <c r="P5034" s="52">
        <v>1810</v>
      </c>
      <c r="Q5034" s="256">
        <f>OfficeForms.Table[[#This Row],[ INFORMEDEPAGO ]]*0.3</f>
        <v>1878.8579999999997</v>
      </c>
      <c r="R5034" s="43">
        <f>(IF(O5034&lt;4172.98,0,MIN(O5034*0.3,O5034-4172.98)))-P5034</f>
        <v>68.85799999999972</v>
      </c>
      <c r="S5034" s="74">
        <v>46508</v>
      </c>
      <c r="T5034" s="1" t="s">
        <v>8757</v>
      </c>
      <c r="U5034" s="52">
        <v>1810</v>
      </c>
      <c r="V5034" s="239"/>
    </row>
    <row r="5035" spans="1:23">
      <c r="A5035">
        <v>3475</v>
      </c>
      <c r="B5035" s="2">
        <v>46288.6976967593</v>
      </c>
      <c r="C5035" s="2">
        <v>46288.698125000003</v>
      </c>
      <c r="D5035" s="1" t="s">
        <v>24</v>
      </c>
      <c r="E5035" s="1"/>
      <c r="F5035" s="29">
        <v>46288</v>
      </c>
      <c r="G5035" s="29">
        <v>46287</v>
      </c>
      <c r="H5035" s="1" t="s">
        <v>9991</v>
      </c>
      <c r="I5035" s="251" t="s">
        <v>11144</v>
      </c>
      <c r="J5035" s="175">
        <v>11927108800</v>
      </c>
      <c r="K5035" s="188"/>
      <c r="L5035" s="242">
        <v>24756884</v>
      </c>
      <c r="M5035" s="243">
        <v>6141569688</v>
      </c>
      <c r="N5035" s="171" t="s">
        <v>263</v>
      </c>
      <c r="O5035" s="50">
        <v>6548.83</v>
      </c>
      <c r="P5035" s="97">
        <v>1414.42</v>
      </c>
      <c r="Q5035" s="256">
        <f>OfficeForms.Table[[#This Row],[ INFORMEDEPAGO ]]*0.3</f>
        <v>1964.6489999999999</v>
      </c>
      <c r="R5035" s="43">
        <f>(IF(O5035&lt;4172.98,0,MIN(O5035*0.3,O5035-4172.98)))-P5035</f>
        <v>550.22899999999981</v>
      </c>
      <c r="S5035" s="74">
        <v>45413</v>
      </c>
      <c r="T5035" s="1" t="s">
        <v>2488</v>
      </c>
      <c r="U5035" s="97">
        <v>1414.42</v>
      </c>
      <c r="V5035" s="239" t="s">
        <v>8291</v>
      </c>
      <c r="W5035" s="29">
        <v>46288</v>
      </c>
    </row>
    <row r="5036" spans="1:23">
      <c r="A5036">
        <v>3476</v>
      </c>
      <c r="B5036" s="2">
        <v>46288.700856481497</v>
      </c>
      <c r="C5036" s="2">
        <v>46288.7015046296</v>
      </c>
      <c r="D5036" s="1" t="s">
        <v>24</v>
      </c>
      <c r="E5036" s="1"/>
      <c r="F5036" s="29">
        <v>46288</v>
      </c>
      <c r="G5036" s="29">
        <v>46288</v>
      </c>
      <c r="H5036" s="1" t="s">
        <v>9991</v>
      </c>
      <c r="I5036" s="251" t="s">
        <v>11145</v>
      </c>
      <c r="J5036" s="175">
        <v>61937500835</v>
      </c>
      <c r="K5036" s="188" t="s">
        <v>11146</v>
      </c>
      <c r="L5036" s="242">
        <v>24789112</v>
      </c>
      <c r="M5036" s="243">
        <v>2227373843</v>
      </c>
      <c r="N5036" s="171" t="s">
        <v>37</v>
      </c>
      <c r="O5036" s="52">
        <v>5636.59</v>
      </c>
      <c r="P5036" s="52">
        <v>1690.98</v>
      </c>
      <c r="Q5036" s="256">
        <f>OfficeForms.Table[[#This Row],[ INFORMEDEPAGO ]]*0.3</f>
        <v>1690.9770000000001</v>
      </c>
      <c r="R5036" s="43">
        <f>(IF(O5036&lt;4172.98,0,MIN(O5036*0.3,O5036-4172.98)))-P5036</f>
        <v>-227.36999999999944</v>
      </c>
      <c r="S5036" s="74">
        <v>46935</v>
      </c>
      <c r="T5036" s="1" t="s">
        <v>7516</v>
      </c>
      <c r="U5036" s="97">
        <v>1690.98</v>
      </c>
      <c r="V5036" s="239"/>
    </row>
    <row r="5037" spans="1:23">
      <c r="A5037">
        <v>3477</v>
      </c>
      <c r="B5037" s="2">
        <v>46288.707129629598</v>
      </c>
      <c r="C5037" s="2">
        <v>46288.708738425899</v>
      </c>
      <c r="D5037" s="1" t="s">
        <v>24</v>
      </c>
      <c r="E5037" s="1"/>
      <c r="F5037" s="29">
        <v>46288</v>
      </c>
      <c r="G5037" s="29">
        <v>46288</v>
      </c>
      <c r="H5037" s="1" t="s">
        <v>269</v>
      </c>
      <c r="I5037" s="251" t="s">
        <v>11147</v>
      </c>
      <c r="J5037" s="175" t="s">
        <v>11148</v>
      </c>
      <c r="K5037" s="188" t="s">
        <v>11149</v>
      </c>
      <c r="L5037" s="242">
        <v>24757362</v>
      </c>
      <c r="M5037" s="243">
        <v>5214421573386</v>
      </c>
      <c r="N5037" s="171" t="s">
        <v>47</v>
      </c>
      <c r="O5037" s="52">
        <v>22710.68</v>
      </c>
      <c r="P5037" s="52">
        <v>6305.29</v>
      </c>
      <c r="Q5037" s="256">
        <f>OfficeForms.Table[[#This Row],[ INFORMEDEPAGO ]]*0.3</f>
        <v>6813.2039999999997</v>
      </c>
      <c r="R5037" s="43">
        <f>(IF(O5037&lt;4172.98,0,MIN(O5037*0.3,O5037-4172.98)))-P5037</f>
        <v>507.91399999999976</v>
      </c>
      <c r="S5037" s="74">
        <v>46327</v>
      </c>
      <c r="T5037" s="1" t="s">
        <v>8319</v>
      </c>
      <c r="U5037" s="52">
        <v>6305.29</v>
      </c>
      <c r="V5037" s="239" t="s">
        <v>10898</v>
      </c>
      <c r="W5037" s="29">
        <v>46288</v>
      </c>
    </row>
    <row r="5038" spans="1:23">
      <c r="A5038">
        <v>3478</v>
      </c>
      <c r="B5038" s="2">
        <v>46288.695231481499</v>
      </c>
      <c r="C5038" s="2">
        <v>46288.716828703698</v>
      </c>
      <c r="D5038" s="1" t="s">
        <v>24</v>
      </c>
      <c r="E5038" s="1"/>
      <c r="F5038" s="29">
        <v>46288</v>
      </c>
      <c r="G5038" s="29">
        <v>46288</v>
      </c>
      <c r="H5038" s="1" t="s">
        <v>8381</v>
      </c>
      <c r="I5038" s="251" t="s">
        <v>11150</v>
      </c>
      <c r="J5038" s="175" t="s">
        <v>11151</v>
      </c>
      <c r="K5038" s="188" t="s">
        <v>11152</v>
      </c>
      <c r="L5038" s="242">
        <v>24791334</v>
      </c>
      <c r="M5038" s="243">
        <v>5214271118085</v>
      </c>
      <c r="N5038" s="171" t="s">
        <v>263</v>
      </c>
      <c r="O5038" s="52">
        <v>16732.37</v>
      </c>
      <c r="P5038" s="52">
        <v>5019.71</v>
      </c>
      <c r="Q5038" s="256">
        <f>OfficeForms.Table[[#This Row],[ INFORMEDEPAGO ]]*0.3</f>
        <v>5019.7109999999993</v>
      </c>
      <c r="R5038" s="43">
        <f t="shared" ref="R5038:R5039" si="428">(IF(O5038&lt;4172.98,0,MIN(O5038*0.3,O5038-4172.98)))-P5038</f>
        <v>9.9999999929423211E-4</v>
      </c>
      <c r="S5038" s="74">
        <v>45505</v>
      </c>
      <c r="T5038" s="1" t="s">
        <v>11153</v>
      </c>
      <c r="U5038" s="52">
        <v>4110.93</v>
      </c>
      <c r="V5038" s="239" t="s">
        <v>9642</v>
      </c>
      <c r="W5038" s="29">
        <v>46288</v>
      </c>
    </row>
    <row r="5039" spans="1:23">
      <c r="A5039">
        <v>3479</v>
      </c>
      <c r="B5039" s="2">
        <v>46288.722187500003</v>
      </c>
      <c r="C5039" s="2">
        <v>46288.723888888897</v>
      </c>
      <c r="D5039" s="1" t="s">
        <v>24</v>
      </c>
      <c r="E5039" s="1"/>
      <c r="F5039" s="29">
        <v>46288</v>
      </c>
      <c r="G5039" s="29">
        <v>46288</v>
      </c>
      <c r="H5039" s="1" t="s">
        <v>269</v>
      </c>
      <c r="I5039" s="251" t="s">
        <v>11154</v>
      </c>
      <c r="J5039" s="175" t="s">
        <v>11155</v>
      </c>
      <c r="K5039" s="188"/>
      <c r="L5039" s="242">
        <v>24757628</v>
      </c>
      <c r="M5039" s="243">
        <v>5216671992375</v>
      </c>
      <c r="N5039" s="171" t="s">
        <v>47</v>
      </c>
      <c r="O5039" s="43">
        <v>7727.95</v>
      </c>
      <c r="P5039" s="43">
        <v>1775</v>
      </c>
      <c r="Q5039" s="256">
        <f>OfficeForms.Table[[#This Row],[ INFORMEDEPAGO ]]*0.3</f>
        <v>2318.3849999999998</v>
      </c>
      <c r="R5039" s="43">
        <f t="shared" si="428"/>
        <v>543.38499999999976</v>
      </c>
      <c r="S5039" s="74">
        <v>46296</v>
      </c>
      <c r="T5039" s="1" t="s">
        <v>8415</v>
      </c>
      <c r="U5039" s="43">
        <v>1775</v>
      </c>
      <c r="V5039" s="239" t="s">
        <v>10898</v>
      </c>
      <c r="W5039" s="29">
        <v>46288</v>
      </c>
    </row>
    <row r="5040" spans="1:23">
      <c r="A5040">
        <v>3480</v>
      </c>
      <c r="B5040" s="2">
        <v>46288.716851851903</v>
      </c>
      <c r="C5040" s="2">
        <v>46288.743252314802</v>
      </c>
      <c r="D5040" s="1" t="s">
        <v>24</v>
      </c>
      <c r="E5040" s="1"/>
      <c r="F5040" s="29">
        <v>46288</v>
      </c>
      <c r="G5040" s="29">
        <v>46288</v>
      </c>
      <c r="H5040" s="1" t="s">
        <v>8381</v>
      </c>
      <c r="I5040" s="251" t="s">
        <v>11156</v>
      </c>
      <c r="J5040" s="175"/>
      <c r="K5040" s="188" t="s">
        <v>11157</v>
      </c>
      <c r="L5040" s="242">
        <v>24780356</v>
      </c>
      <c r="M5040" s="243">
        <v>5216674721617</v>
      </c>
      <c r="N5040" s="171" t="s">
        <v>98</v>
      </c>
      <c r="O5040" s="50"/>
      <c r="P5040" s="97"/>
      <c r="Q5040" s="256">
        <f>OfficeForms.Table[[#This Row],[ INFORMEDEPAGO ]]*0.3</f>
        <v>0</v>
      </c>
      <c r="R5040" s="43">
        <f>(IF(O5040&lt;4172.98,0,MIN(O5040*0.3,O5040-4172.98)))-P5040</f>
        <v>0</v>
      </c>
      <c r="T5040" s="1"/>
      <c r="U5040" s="97"/>
      <c r="V5040" s="239"/>
    </row>
    <row r="5041" spans="1:23">
      <c r="A5041">
        <v>3481</v>
      </c>
      <c r="B5041" s="2">
        <v>46288.743275462999</v>
      </c>
      <c r="C5041" s="2">
        <v>46288.752407407403</v>
      </c>
      <c r="D5041" s="1" t="s">
        <v>24</v>
      </c>
      <c r="E5041" s="1"/>
      <c r="F5041" s="29">
        <v>46288</v>
      </c>
      <c r="G5041" s="29">
        <v>46274</v>
      </c>
      <c r="H5041" s="1" t="s">
        <v>8381</v>
      </c>
      <c r="I5041" s="251" t="s">
        <v>11158</v>
      </c>
      <c r="J5041" s="175">
        <v>32877013386</v>
      </c>
      <c r="K5041" s="188" t="s">
        <v>11159</v>
      </c>
      <c r="L5041" s="242">
        <v>24355042</v>
      </c>
      <c r="M5041" s="243">
        <v>5216182323045</v>
      </c>
      <c r="N5041" s="171" t="s">
        <v>106</v>
      </c>
      <c r="O5041" s="43">
        <v>9993.1299999999992</v>
      </c>
      <c r="P5041" s="43">
        <v>2457.2199999999998</v>
      </c>
      <c r="Q5041" s="256">
        <f>OfficeForms.Table[[#This Row],[ INFORMEDEPAGO ]]*0.3</f>
        <v>2997.9389999999999</v>
      </c>
      <c r="R5041" s="43">
        <f>(IF(O5041&lt;4172.98,0,MIN(O5041*0.3,O5041-4172.98)))-P5041</f>
        <v>540.71900000000005</v>
      </c>
      <c r="S5041" s="74">
        <v>45597</v>
      </c>
      <c r="T5041" s="1" t="s">
        <v>8398</v>
      </c>
      <c r="U5041" s="43">
        <v>2457.2199999999998</v>
      </c>
      <c r="V5041" s="239" t="s">
        <v>8936</v>
      </c>
      <c r="W5041" s="29">
        <v>46288</v>
      </c>
    </row>
    <row r="5042" spans="1:23">
      <c r="A5042">
        <v>3482</v>
      </c>
      <c r="B5042" s="2">
        <v>46288.751273148097</v>
      </c>
      <c r="C5042" s="2">
        <v>46288.754733796297</v>
      </c>
      <c r="D5042" s="1" t="s">
        <v>24</v>
      </c>
      <c r="E5042" s="1"/>
      <c r="F5042" s="29">
        <v>46288</v>
      </c>
      <c r="G5042" s="29">
        <v>46283</v>
      </c>
      <c r="H5042" s="1" t="s">
        <v>78</v>
      </c>
      <c r="I5042" s="251" t="s">
        <v>11160</v>
      </c>
      <c r="J5042" s="175">
        <v>21826304822</v>
      </c>
      <c r="K5042" s="188" t="s">
        <v>11161</v>
      </c>
      <c r="L5042" s="242">
        <v>24643638</v>
      </c>
      <c r="M5042" s="243">
        <v>5216643188445</v>
      </c>
      <c r="N5042" s="171" t="s">
        <v>28</v>
      </c>
      <c r="O5042" s="50">
        <v>9760.32</v>
      </c>
      <c r="P5042" s="97"/>
      <c r="Q5042" s="256">
        <f>OfficeForms.Table[[#This Row],[ INFORMEDEPAGO ]]*0.3</f>
        <v>2928.096</v>
      </c>
      <c r="R5042" s="43">
        <f>(IF(O5042&lt;4172.98,0,MIN(O5042*0.3,O5042-4172.98)))-P5042</f>
        <v>2928.096</v>
      </c>
      <c r="T5042" s="1"/>
      <c r="U5042" s="97"/>
      <c r="V5042" s="239" t="s">
        <v>8409</v>
      </c>
      <c r="W5042" s="29">
        <v>46288</v>
      </c>
    </row>
    <row r="5043" spans="1:23">
      <c r="A5043">
        <v>3483</v>
      </c>
      <c r="B5043" s="2">
        <v>46289.3563194444</v>
      </c>
      <c r="C5043" s="2">
        <v>46289.3570833333</v>
      </c>
      <c r="D5043" s="1" t="s">
        <v>24</v>
      </c>
      <c r="E5043" s="1"/>
      <c r="F5043" s="29">
        <v>46289</v>
      </c>
      <c r="G5043" s="29">
        <v>46288</v>
      </c>
      <c r="H5043" s="1" t="s">
        <v>9991</v>
      </c>
      <c r="I5043" s="251" t="s">
        <v>11162</v>
      </c>
      <c r="J5043" s="175">
        <v>33805904704</v>
      </c>
      <c r="K5043" s="188" t="s">
        <v>11163</v>
      </c>
      <c r="L5043" s="242">
        <v>24794158</v>
      </c>
      <c r="M5043" s="243">
        <v>6563191194</v>
      </c>
      <c r="N5043" s="171" t="s">
        <v>37</v>
      </c>
      <c r="O5043" s="52">
        <v>9060.8799999999992</v>
      </c>
      <c r="P5043" s="52">
        <v>2620.62</v>
      </c>
      <c r="Q5043" s="256">
        <f>OfficeForms.Table[[#This Row],[ INFORMEDEPAGO ]]*0.3</f>
        <v>2718.2639999999997</v>
      </c>
      <c r="R5043" s="43">
        <f>(IF(O5043&lt;4172.98,0,MIN(O5043*0.3,O5043-4172.98)))-P5043</f>
        <v>97.643999999999778</v>
      </c>
      <c r="S5043" s="74">
        <v>46722</v>
      </c>
      <c r="T5043" s="1" t="s">
        <v>84</v>
      </c>
      <c r="U5043" s="97">
        <v>2216.71</v>
      </c>
      <c r="V5043" s="239"/>
    </row>
    <row r="5044" spans="1:23">
      <c r="A5044">
        <v>3484</v>
      </c>
      <c r="B5044" s="2">
        <v>46289.422083333302</v>
      </c>
      <c r="C5044" s="2">
        <v>46289.423368055599</v>
      </c>
      <c r="D5044" s="1" t="s">
        <v>24</v>
      </c>
      <c r="E5044" s="1"/>
      <c r="F5044" s="29">
        <v>46289</v>
      </c>
      <c r="G5044" s="29">
        <v>46288</v>
      </c>
      <c r="H5044" s="1" t="s">
        <v>8028</v>
      </c>
      <c r="I5044" s="251" t="s">
        <v>11164</v>
      </c>
      <c r="J5044" s="175"/>
      <c r="K5044" s="188" t="s">
        <v>11165</v>
      </c>
      <c r="L5044" s="242">
        <v>24792438</v>
      </c>
      <c r="M5044" s="243">
        <v>5216331122398</v>
      </c>
      <c r="N5044" s="171" t="s">
        <v>37</v>
      </c>
      <c r="O5044" s="52">
        <v>9760.32</v>
      </c>
      <c r="P5044" s="52">
        <v>2821.74</v>
      </c>
      <c r="Q5044" s="256">
        <f>OfficeForms.Table[[#This Row],[ INFORMEDEPAGO ]]*0.3</f>
        <v>2928.096</v>
      </c>
      <c r="R5044" s="43">
        <f>(IF(O5044&lt;4172.98,0,MIN(O5044*0.3,O5044-4172.98)))-P5044</f>
        <v>106.35600000000022</v>
      </c>
      <c r="S5044" s="74">
        <v>46692</v>
      </c>
      <c r="T5044" s="1" t="s">
        <v>8338</v>
      </c>
      <c r="U5044" s="52">
        <v>2821.74</v>
      </c>
      <c r="V5044" s="239"/>
    </row>
    <row r="5045" spans="1:23">
      <c r="A5045">
        <v>3485</v>
      </c>
      <c r="B5045" s="2">
        <v>46289.427847222199</v>
      </c>
      <c r="C5045" s="2">
        <v>46289.428657407399</v>
      </c>
      <c r="D5045" s="1" t="s">
        <v>24</v>
      </c>
      <c r="E5045" s="1"/>
      <c r="F5045" s="29">
        <v>46289</v>
      </c>
      <c r="G5045" s="29">
        <v>46288</v>
      </c>
      <c r="H5045" s="1" t="s">
        <v>269</v>
      </c>
      <c r="I5045" s="251" t="s">
        <v>11166</v>
      </c>
      <c r="J5045" s="209" t="s">
        <v>11167</v>
      </c>
      <c r="K5045" s="188" t="s">
        <v>11168</v>
      </c>
      <c r="L5045" s="242">
        <v>24796782</v>
      </c>
      <c r="M5045" s="243">
        <v>5215518370124</v>
      </c>
      <c r="N5045" s="171" t="s">
        <v>37</v>
      </c>
      <c r="O5045" s="67">
        <v>6195.02</v>
      </c>
      <c r="P5045" s="99">
        <v>1845.85</v>
      </c>
      <c r="Q5045" s="256">
        <f>OfficeForms.Table[[#This Row],[ INFORMEDEPAGO ]]*0.3</f>
        <v>1858.5060000000001</v>
      </c>
      <c r="R5045" s="43">
        <f t="shared" ref="R5045:R5046" si="429">(IF(O5045&lt;4172.98,0,MIN(O5045*0.3,O5045-4172.98)))-P5045</f>
        <v>12.656000000000176</v>
      </c>
      <c r="S5045" s="74">
        <v>46844</v>
      </c>
      <c r="T5045" s="1" t="s">
        <v>11169</v>
      </c>
      <c r="U5045" s="99">
        <v>1845.85</v>
      </c>
      <c r="V5045" s="239"/>
    </row>
    <row r="5046" spans="1:23">
      <c r="A5046">
        <v>3486</v>
      </c>
      <c r="B5046" s="2">
        <v>46289.429201388899</v>
      </c>
      <c r="C5046" s="2">
        <v>46289.432789351798</v>
      </c>
      <c r="D5046" s="1" t="s">
        <v>24</v>
      </c>
      <c r="E5046" s="1"/>
      <c r="F5046" s="29">
        <v>46289</v>
      </c>
      <c r="G5046" s="29">
        <v>46283</v>
      </c>
      <c r="H5046" s="1" t="s">
        <v>78</v>
      </c>
      <c r="I5046" s="251" t="s">
        <v>11170</v>
      </c>
      <c r="J5046" s="209" t="s">
        <v>11171</v>
      </c>
      <c r="K5046" s="188" t="s">
        <v>11172</v>
      </c>
      <c r="L5046" s="242">
        <v>24638084</v>
      </c>
      <c r="M5046" s="243">
        <v>5218771123500</v>
      </c>
      <c r="N5046" s="171" t="s">
        <v>37</v>
      </c>
      <c r="O5046" s="67">
        <v>7128.48</v>
      </c>
      <c r="P5046" s="99">
        <v>1979.12</v>
      </c>
      <c r="Q5046" s="256">
        <f>OfficeForms.Table[[#This Row],[ INFORMEDEPAGO ]]*0.3</f>
        <v>2138.5439999999999</v>
      </c>
      <c r="R5046" s="43">
        <f t="shared" si="429"/>
        <v>159.42399999999998</v>
      </c>
      <c r="S5046" s="74">
        <v>46357</v>
      </c>
      <c r="T5046" s="1" t="s">
        <v>2488</v>
      </c>
      <c r="U5046" s="99">
        <v>1979.12</v>
      </c>
      <c r="V5046" s="239"/>
    </row>
    <row r="5047" spans="1:23">
      <c r="A5047">
        <v>3487</v>
      </c>
      <c r="B5047" s="2">
        <v>46289.442847222199</v>
      </c>
      <c r="C5047" s="2">
        <v>46289.443680555603</v>
      </c>
      <c r="D5047" s="1" t="s">
        <v>24</v>
      </c>
      <c r="E5047" s="1"/>
      <c r="F5047" s="29">
        <v>46289</v>
      </c>
      <c r="G5047" s="29">
        <v>46289</v>
      </c>
      <c r="H5047" s="1" t="s">
        <v>9991</v>
      </c>
      <c r="I5047" s="251" t="s">
        <v>11173</v>
      </c>
      <c r="J5047" s="175">
        <v>43937749851</v>
      </c>
      <c r="K5047" s="188"/>
      <c r="L5047" s="242">
        <v>24800074</v>
      </c>
      <c r="M5047" s="243">
        <v>8140112647</v>
      </c>
      <c r="N5047" s="171" t="s">
        <v>32</v>
      </c>
      <c r="O5047" s="67">
        <v>3517.29</v>
      </c>
      <c r="P5047" s="99"/>
      <c r="Q5047" s="256">
        <f>OfficeForms.Table[[#This Row],[ INFORMEDEPAGO ]]*0.3</f>
        <v>1055.1869999999999</v>
      </c>
      <c r="R5047" s="43">
        <f t="shared" ref="R5047" si="430">(IF(O5047&lt;4172.98,0,MIN(O5047*0.3,O5047-4172.98)))-P5047</f>
        <v>0</v>
      </c>
      <c r="T5047" s="1"/>
      <c r="U5047" s="99"/>
      <c r="V5047" s="239"/>
    </row>
    <row r="5048" spans="1:23">
      <c r="A5048">
        <v>3489</v>
      </c>
      <c r="B5048" s="2">
        <v>46289.330833333297</v>
      </c>
      <c r="C5048" s="2">
        <v>46289.458275463003</v>
      </c>
      <c r="D5048" s="1" t="s">
        <v>24</v>
      </c>
      <c r="E5048" s="1"/>
      <c r="F5048" s="29">
        <v>46289</v>
      </c>
      <c r="G5048" s="29">
        <v>46289</v>
      </c>
      <c r="H5048" s="1" t="s">
        <v>1625</v>
      </c>
      <c r="I5048" s="251" t="s">
        <v>11174</v>
      </c>
      <c r="J5048" s="175">
        <v>54816252461</v>
      </c>
      <c r="K5048" s="188" t="s">
        <v>11175</v>
      </c>
      <c r="L5048" s="242">
        <v>2</v>
      </c>
      <c r="M5048" s="243">
        <v>3329739227</v>
      </c>
      <c r="N5048" s="171" t="s">
        <v>37</v>
      </c>
      <c r="O5048" s="52">
        <v>17822.34</v>
      </c>
      <c r="P5048" s="52">
        <v>5346.7</v>
      </c>
      <c r="Q5048" s="256">
        <f>OfficeForms.Table[[#This Row],[ INFORMEDEPAGO ]]*0.3</f>
        <v>5346.7020000000002</v>
      </c>
      <c r="R5048" s="43">
        <f t="shared" ref="R5048:R5050" si="431">(IF(O5048&lt;4172.98,0,MIN(O5048*0.3,O5048-4172.98)))-P5048</f>
        <v>2.0000000004074536E-3</v>
      </c>
      <c r="S5048" s="74">
        <v>46722</v>
      </c>
      <c r="T5048" s="1" t="s">
        <v>84</v>
      </c>
      <c r="U5048" s="99">
        <v>5127.95</v>
      </c>
      <c r="V5048" s="239"/>
    </row>
    <row r="5049" spans="1:23">
      <c r="A5049">
        <v>3490</v>
      </c>
      <c r="B5049" s="2">
        <v>46288.752418981501</v>
      </c>
      <c r="C5049" s="2">
        <v>46289.458796296298</v>
      </c>
      <c r="D5049" s="1" t="s">
        <v>24</v>
      </c>
      <c r="E5049" s="1"/>
      <c r="F5049" s="29">
        <v>46289</v>
      </c>
      <c r="G5049" s="29">
        <v>46288</v>
      </c>
      <c r="H5049" s="1" t="s">
        <v>8381</v>
      </c>
      <c r="I5049" s="251" t="s">
        <v>11176</v>
      </c>
      <c r="J5049" s="175"/>
      <c r="K5049" s="188" t="s">
        <v>11177</v>
      </c>
      <c r="L5049" s="242">
        <v>24800070</v>
      </c>
      <c r="M5049" s="243">
        <v>5215515930722</v>
      </c>
      <c r="N5049" s="171" t="s">
        <v>28</v>
      </c>
      <c r="O5049" s="67">
        <v>10636.54</v>
      </c>
      <c r="P5049" s="99"/>
      <c r="Q5049" s="256">
        <f>OfficeForms.Table[[#This Row],[ INFORMEDEPAGO ]]*0.3</f>
        <v>3190.962</v>
      </c>
      <c r="R5049" s="43">
        <f t="shared" si="431"/>
        <v>3190.962</v>
      </c>
      <c r="T5049" s="1"/>
      <c r="U5049" s="99"/>
      <c r="V5049" s="239" t="s">
        <v>8280</v>
      </c>
      <c r="W5049" s="29">
        <v>46289</v>
      </c>
    </row>
    <row r="5050" spans="1:23">
      <c r="A5050">
        <v>3491</v>
      </c>
      <c r="B5050" s="2">
        <v>46289.464004629597</v>
      </c>
      <c r="C5050" s="2">
        <v>46289.464513888903</v>
      </c>
      <c r="D5050" s="1" t="s">
        <v>24</v>
      </c>
      <c r="E5050" s="1"/>
      <c r="F5050" s="29">
        <v>46289</v>
      </c>
      <c r="G5050" s="29">
        <v>46289</v>
      </c>
      <c r="H5050" s="1" t="s">
        <v>9991</v>
      </c>
      <c r="I5050" s="251" t="s">
        <v>11178</v>
      </c>
      <c r="J5050" s="175">
        <v>1185660853</v>
      </c>
      <c r="K5050" s="188" t="s">
        <v>11179</v>
      </c>
      <c r="L5050" s="242">
        <v>24802282</v>
      </c>
      <c r="M5050" s="243">
        <v>5613526431</v>
      </c>
      <c r="N5050" s="171" t="s">
        <v>28</v>
      </c>
      <c r="O5050" s="67">
        <f>33565.4-20762.02</f>
        <v>12803.380000000001</v>
      </c>
      <c r="P5050" s="99"/>
      <c r="Q5050" s="256">
        <f>OfficeForms.Table[[#This Row],[ INFORMEDEPAGO ]]*0.3</f>
        <v>3841.0140000000001</v>
      </c>
      <c r="R5050" s="43">
        <f t="shared" si="431"/>
        <v>3841.0140000000001</v>
      </c>
      <c r="T5050" s="1"/>
      <c r="U5050" s="99"/>
      <c r="V5050" s="239" t="s">
        <v>8734</v>
      </c>
      <c r="W5050" s="29">
        <v>46289</v>
      </c>
    </row>
    <row r="5051" spans="1:23">
      <c r="A5051">
        <v>3492</v>
      </c>
      <c r="B5051" s="2">
        <v>46289.428865740701</v>
      </c>
      <c r="C5051" s="2">
        <v>46289.479340277801</v>
      </c>
      <c r="D5051" s="1" t="s">
        <v>24</v>
      </c>
      <c r="E5051" s="1"/>
      <c r="F5051" s="29">
        <v>46289</v>
      </c>
      <c r="G5051" s="29">
        <v>46289</v>
      </c>
      <c r="H5051" s="1" t="s">
        <v>269</v>
      </c>
      <c r="I5051" s="251" t="s">
        <v>11180</v>
      </c>
      <c r="J5051" s="207" t="s">
        <v>11181</v>
      </c>
      <c r="K5051" s="188"/>
      <c r="L5051" s="242">
        <v>24810288</v>
      </c>
      <c r="M5051" s="243">
        <v>5219331522757</v>
      </c>
      <c r="N5051" s="171" t="s">
        <v>28</v>
      </c>
      <c r="O5051" s="67">
        <v>10171.23</v>
      </c>
      <c r="P5051" s="99"/>
      <c r="Q5051" s="256">
        <f>OfficeForms.Table[[#This Row],[ INFORMEDEPAGO ]]*0.3</f>
        <v>3051.3689999999997</v>
      </c>
      <c r="R5051" s="43">
        <f t="shared" ref="R5051" si="432">(IF(O5051&lt;4172.98,0,MIN(O5051*0.3,O5051-4172.98)))-P5051</f>
        <v>3051.3689999999997</v>
      </c>
      <c r="T5051" s="1"/>
      <c r="U5051" s="99"/>
      <c r="V5051" s="239" t="s">
        <v>8316</v>
      </c>
      <c r="W5051" s="29">
        <v>46289</v>
      </c>
    </row>
    <row r="5052" spans="1:23">
      <c r="A5052">
        <v>3493</v>
      </c>
      <c r="B5052" s="2">
        <v>46289.458703703698</v>
      </c>
      <c r="C5052" s="2">
        <v>46289.486944444398</v>
      </c>
      <c r="D5052" s="1" t="s">
        <v>24</v>
      </c>
      <c r="E5052" s="1"/>
      <c r="F5052" s="29">
        <v>46289</v>
      </c>
      <c r="G5052" s="29">
        <v>46289</v>
      </c>
      <c r="H5052" s="1" t="s">
        <v>1625</v>
      </c>
      <c r="I5052" s="251" t="s">
        <v>11182</v>
      </c>
      <c r="J5052" s="207"/>
      <c r="K5052" s="188" t="s">
        <v>11183</v>
      </c>
      <c r="L5052" s="242">
        <v>2</v>
      </c>
      <c r="M5052" s="243">
        <v>9331021834</v>
      </c>
      <c r="N5052" s="171" t="s">
        <v>98</v>
      </c>
      <c r="O5052" s="67"/>
      <c r="P5052" s="99"/>
      <c r="Q5052" s="256">
        <f>OfficeForms.Table[[#This Row],[ INFORMEDEPAGO ]]*0.3</f>
        <v>0</v>
      </c>
      <c r="R5052" s="43">
        <f>(IF(O5052&lt;4172.98,0,MIN(O5052*0.3,O5052-4172.98)))-P5052</f>
        <v>0</v>
      </c>
      <c r="T5052" s="1"/>
      <c r="U5052" s="99"/>
      <c r="V5052" s="239"/>
    </row>
    <row r="5053" spans="1:23">
      <c r="A5053">
        <v>3494</v>
      </c>
      <c r="B5053" s="2">
        <v>46289.486087963</v>
      </c>
      <c r="C5053" s="2">
        <v>46289.487314814804</v>
      </c>
      <c r="D5053" s="1" t="s">
        <v>24</v>
      </c>
      <c r="E5053" s="1"/>
      <c r="F5053" s="29">
        <v>46289</v>
      </c>
      <c r="G5053" s="29">
        <v>46280</v>
      </c>
      <c r="H5053" s="1" t="s">
        <v>269</v>
      </c>
      <c r="I5053" s="251" t="s">
        <v>11184</v>
      </c>
      <c r="J5053" s="175" t="s">
        <v>11185</v>
      </c>
      <c r="K5053" s="188" t="s">
        <v>11186</v>
      </c>
      <c r="L5053" s="242">
        <v>24488398</v>
      </c>
      <c r="M5053" s="243">
        <v>5214495898160</v>
      </c>
      <c r="N5053" s="171" t="s">
        <v>28</v>
      </c>
      <c r="O5053" s="67">
        <v>11029.03</v>
      </c>
      <c r="P5053" s="99"/>
      <c r="Q5053" s="256">
        <f>OfficeForms.Table[[#This Row],[ INFORMEDEPAGO ]]*0.3</f>
        <v>3308.7090000000003</v>
      </c>
      <c r="R5053" s="43">
        <f>(IF(O5053&lt;4172.98,0,MIN(O5053*0.3,O5053-4172.98)))-P5053</f>
        <v>3308.7090000000003</v>
      </c>
      <c r="T5053" s="1"/>
      <c r="U5053" s="99"/>
      <c r="V5053" s="239" t="s">
        <v>8316</v>
      </c>
      <c r="W5053" s="29">
        <v>46289</v>
      </c>
    </row>
    <row r="5054" spans="1:23">
      <c r="A5054">
        <v>3495</v>
      </c>
      <c r="B5054" s="2">
        <v>46289.494050925903</v>
      </c>
      <c r="C5054" s="2">
        <v>46289.494560185201</v>
      </c>
      <c r="D5054" s="1" t="s">
        <v>24</v>
      </c>
      <c r="E5054" s="1"/>
      <c r="F5054" s="29">
        <v>46289</v>
      </c>
      <c r="G5054" s="29">
        <v>46289</v>
      </c>
      <c r="H5054" s="1" t="s">
        <v>9991</v>
      </c>
      <c r="I5054" s="251"/>
      <c r="J5054" s="175">
        <v>65675018264</v>
      </c>
      <c r="K5054" s="188"/>
      <c r="L5054" s="242">
        <v>24811230</v>
      </c>
      <c r="M5054" s="243">
        <v>8994962705</v>
      </c>
      <c r="N5054" s="171" t="s">
        <v>263</v>
      </c>
      <c r="O5054" s="52">
        <v>8146.82</v>
      </c>
      <c r="P5054" s="52">
        <v>2258.4699999999998</v>
      </c>
      <c r="Q5054" s="256">
        <f>OfficeForms.Table[[#This Row],[ INFORMEDEPAGO ]]*0.3</f>
        <v>2444.0459999999998</v>
      </c>
      <c r="R5054" s="43">
        <f>(IF(O5054&lt;4172.98,0,MIN(O5054*0.3,O5054-4172.98)))-P5054</f>
        <v>185.57600000000002</v>
      </c>
      <c r="S5054" s="74">
        <v>46174</v>
      </c>
      <c r="T5054" s="1" t="s">
        <v>178</v>
      </c>
      <c r="U5054" s="52">
        <v>2258.4699999999998</v>
      </c>
      <c r="V5054" s="239" t="s">
        <v>9642</v>
      </c>
      <c r="W5054" s="29">
        <v>46289</v>
      </c>
    </row>
    <row r="5055" spans="1:23">
      <c r="A5055">
        <v>3496</v>
      </c>
      <c r="B5055" s="2">
        <v>46289.493923611102</v>
      </c>
      <c r="C5055" s="2">
        <v>46289.501550925903</v>
      </c>
      <c r="D5055" s="1" t="s">
        <v>24</v>
      </c>
      <c r="E5055" s="1"/>
      <c r="F5055" s="29">
        <v>46289</v>
      </c>
      <c r="G5055" s="29">
        <v>46284</v>
      </c>
      <c r="H5055" s="1" t="s">
        <v>51</v>
      </c>
      <c r="I5055" s="251" t="s">
        <v>11187</v>
      </c>
      <c r="J5055" s="175"/>
      <c r="K5055" s="188" t="s">
        <v>11188</v>
      </c>
      <c r="L5055" s="242">
        <v>24512994</v>
      </c>
      <c r="M5055" s="243">
        <v>5215540988746</v>
      </c>
      <c r="N5055" s="171" t="s">
        <v>28</v>
      </c>
      <c r="O5055" s="52">
        <v>48443.45</v>
      </c>
      <c r="P5055" s="52">
        <v>10479.31</v>
      </c>
      <c r="Q5055" s="256">
        <f>OfficeForms.Table[[#This Row],[ INFORMEDEPAGO ]]*0.3</f>
        <v>14533.034999999998</v>
      </c>
      <c r="R5055" s="43">
        <f>(IF(O5055&lt;4172.98,0,MIN(O5055*0.3,O5055-4172.98)))-P5055</f>
        <v>4053.7249999999985</v>
      </c>
      <c r="S5055" s="74">
        <v>46997</v>
      </c>
      <c r="T5055" s="1" t="s">
        <v>6855</v>
      </c>
      <c r="U5055" s="52">
        <v>10479.31</v>
      </c>
      <c r="V5055" s="239" t="s">
        <v>8915</v>
      </c>
      <c r="W5055" s="29">
        <v>46289</v>
      </c>
    </row>
    <row r="5056" spans="1:23">
      <c r="A5056">
        <v>3497</v>
      </c>
      <c r="B5056" s="2">
        <v>46289.516712962999</v>
      </c>
      <c r="C5056" s="2">
        <v>46289.517372685201</v>
      </c>
      <c r="D5056" s="1" t="s">
        <v>24</v>
      </c>
      <c r="E5056" s="1"/>
      <c r="F5056" s="29">
        <v>46289</v>
      </c>
      <c r="G5056" s="29">
        <v>46289</v>
      </c>
      <c r="H5056" s="1" t="s">
        <v>1625</v>
      </c>
      <c r="I5056" s="251" t="s">
        <v>11189</v>
      </c>
      <c r="J5056" s="175">
        <v>56766413147</v>
      </c>
      <c r="K5056" s="188" t="s">
        <v>8275</v>
      </c>
      <c r="L5056" s="242">
        <v>2</v>
      </c>
      <c r="M5056" s="243">
        <v>3331792740</v>
      </c>
      <c r="N5056" s="171" t="s">
        <v>37</v>
      </c>
      <c r="O5056" s="52">
        <v>9081.52</v>
      </c>
      <c r="P5056" s="52">
        <v>2518.37</v>
      </c>
      <c r="Q5056" s="256">
        <f>OfficeForms.Table[[#This Row],[ INFORMEDEPAGO ]]*0.3</f>
        <v>2724.4560000000001</v>
      </c>
      <c r="R5056" s="43">
        <f>(IF(O5056&lt;4172.98,0,MIN(O5056*0.3,O5056-4172.98)))-P5056</f>
        <v>206.08600000000024</v>
      </c>
      <c r="S5056" s="74">
        <v>46357</v>
      </c>
      <c r="T5056" s="1" t="s">
        <v>7516</v>
      </c>
      <c r="U5056" s="52">
        <v>2518.37</v>
      </c>
      <c r="V5056" s="239"/>
    </row>
    <row r="5057" spans="1:23">
      <c r="A5057">
        <v>3498</v>
      </c>
      <c r="B5057" s="2">
        <v>46289.4588194444</v>
      </c>
      <c r="C5057" s="2">
        <v>46289.528229166703</v>
      </c>
      <c r="D5057" s="1" t="s">
        <v>24</v>
      </c>
      <c r="E5057" s="1"/>
      <c r="F5057" s="29">
        <v>46289</v>
      </c>
      <c r="G5057" s="29">
        <v>46288</v>
      </c>
      <c r="H5057" s="1" t="s">
        <v>8381</v>
      </c>
      <c r="I5057" s="251" t="s">
        <v>11190</v>
      </c>
      <c r="J5057" s="175">
        <v>32806407931</v>
      </c>
      <c r="K5057" s="188"/>
      <c r="L5057" s="242">
        <v>24798358</v>
      </c>
      <c r="M5057" s="243">
        <v>5218717845861</v>
      </c>
      <c r="N5057" s="171" t="s">
        <v>28</v>
      </c>
      <c r="O5057" s="50">
        <v>21450.71</v>
      </c>
      <c r="P5057" s="97"/>
      <c r="Q5057" s="256">
        <f>OfficeForms.Table[[#This Row],[ INFORMEDEPAGO ]]*0.3</f>
        <v>6435.2129999999997</v>
      </c>
      <c r="R5057" s="43">
        <f>(IF(O5057&lt;4172.98,0,MIN(O5057*0.3,O5057-4172.98)))-P5057</f>
        <v>6435.2129999999997</v>
      </c>
      <c r="T5057" s="1"/>
      <c r="U5057" s="97"/>
      <c r="V5057" s="239" t="s">
        <v>8350</v>
      </c>
      <c r="W5057" s="29">
        <v>46289</v>
      </c>
    </row>
    <row r="5058" spans="1:23">
      <c r="A5058">
        <v>3499</v>
      </c>
      <c r="B5058" s="2">
        <v>46289.528263888897</v>
      </c>
      <c r="C5058" s="2">
        <v>46289.542418981502</v>
      </c>
      <c r="D5058" s="1" t="s">
        <v>24</v>
      </c>
      <c r="E5058" s="1"/>
      <c r="F5058" s="29">
        <v>46289</v>
      </c>
      <c r="G5058" s="29">
        <v>46288</v>
      </c>
      <c r="H5058" s="1" t="s">
        <v>8381</v>
      </c>
      <c r="I5058" s="251" t="s">
        <v>11191</v>
      </c>
      <c r="J5058" s="175"/>
      <c r="K5058" s="188" t="s">
        <v>11192</v>
      </c>
      <c r="L5058" s="242">
        <v>24794068</v>
      </c>
      <c r="M5058" s="243">
        <v>5219992255138</v>
      </c>
      <c r="N5058" s="171" t="s">
        <v>37</v>
      </c>
      <c r="O5058" s="52">
        <v>8181.55</v>
      </c>
      <c r="P5058" s="52">
        <v>2154.94</v>
      </c>
      <c r="Q5058" s="256">
        <f>OfficeForms.Table[[#This Row],[ INFORMEDEPAGO ]]*0.3</f>
        <v>2454.4650000000001</v>
      </c>
      <c r="R5058" s="43">
        <f t="shared" ref="R5058:R5059" si="433">(IF(O5058&lt;4172.98,0,MIN(O5058*0.3,O5058-4172.98)))-P5058</f>
        <v>299.52500000000009</v>
      </c>
      <c r="S5058" s="74">
        <v>46508</v>
      </c>
      <c r="T5058" s="1" t="s">
        <v>7209</v>
      </c>
      <c r="U5058" s="52">
        <v>2154.94</v>
      </c>
      <c r="V5058" s="239"/>
    </row>
    <row r="5059" spans="1:23">
      <c r="A5059">
        <v>3500</v>
      </c>
      <c r="B5059" s="2">
        <v>46289.561805555597</v>
      </c>
      <c r="C5059" s="2">
        <v>46289.562245370398</v>
      </c>
      <c r="D5059" s="1" t="s">
        <v>24</v>
      </c>
      <c r="E5059" s="1"/>
      <c r="F5059" s="29">
        <v>46289</v>
      </c>
      <c r="G5059" s="29">
        <v>46289</v>
      </c>
      <c r="H5059" s="1" t="s">
        <v>9991</v>
      </c>
      <c r="I5059" s="251"/>
      <c r="J5059" s="175">
        <v>71816513239</v>
      </c>
      <c r="K5059" s="188"/>
      <c r="L5059" s="242">
        <v>24806450</v>
      </c>
      <c r="M5059" s="243">
        <v>9616608091</v>
      </c>
      <c r="N5059" s="171" t="s">
        <v>37</v>
      </c>
      <c r="O5059" s="52">
        <v>9760.32</v>
      </c>
      <c r="P5059" s="52">
        <v>2809.95</v>
      </c>
      <c r="Q5059" s="256">
        <f>OfficeForms.Table[[#This Row],[ INFORMEDEPAGO ]]*0.3</f>
        <v>2928.096</v>
      </c>
      <c r="R5059" s="43">
        <f t="shared" si="433"/>
        <v>118.14600000000019</v>
      </c>
      <c r="S5059" s="74">
        <v>46600</v>
      </c>
      <c r="T5059" s="1" t="s">
        <v>2488</v>
      </c>
      <c r="U5059" s="52">
        <v>2809.95</v>
      </c>
      <c r="V5059" s="239"/>
    </row>
    <row r="5060" spans="1:23">
      <c r="A5060">
        <v>3501</v>
      </c>
      <c r="B5060" s="2">
        <v>46289.616597222201</v>
      </c>
      <c r="C5060" s="2">
        <v>46289.6171875</v>
      </c>
      <c r="D5060" s="1" t="s">
        <v>24</v>
      </c>
      <c r="E5060" s="1"/>
      <c r="F5060" s="29">
        <v>46289</v>
      </c>
      <c r="G5060" s="29">
        <v>46289</v>
      </c>
      <c r="H5060" s="1" t="s">
        <v>9991</v>
      </c>
      <c r="I5060" s="251" t="s">
        <v>11193</v>
      </c>
      <c r="J5060" s="175">
        <v>16846405401</v>
      </c>
      <c r="K5060" s="188" t="s">
        <v>11194</v>
      </c>
      <c r="L5060" s="242">
        <v>24815046</v>
      </c>
      <c r="M5060" s="243">
        <v>5626088170</v>
      </c>
      <c r="N5060" s="171" t="s">
        <v>28</v>
      </c>
      <c r="O5060" s="52">
        <v>9081.52</v>
      </c>
      <c r="P5060" s="52">
        <v>1482.45</v>
      </c>
      <c r="Q5060" s="256">
        <f>OfficeForms.Table[[#This Row],[ INFORMEDEPAGO ]]*0.3</f>
        <v>2724.4560000000001</v>
      </c>
      <c r="R5060" s="43">
        <f t="shared" ref="R5060" si="434">(IF(O5060&lt;4172.98,0,MIN(O5060*0.3,O5060-4172.98)))-P5060</f>
        <v>1242.0060000000001</v>
      </c>
      <c r="S5060" s="74">
        <v>46813</v>
      </c>
      <c r="T5060" s="1" t="s">
        <v>8319</v>
      </c>
      <c r="U5060" s="97">
        <v>1482.45</v>
      </c>
      <c r="V5060" s="239" t="s">
        <v>8734</v>
      </c>
      <c r="W5060" s="29">
        <v>46289</v>
      </c>
    </row>
    <row r="5061" spans="1:23">
      <c r="A5061">
        <v>3502</v>
      </c>
      <c r="B5061" s="2">
        <v>46289.517407407402</v>
      </c>
      <c r="C5061" s="2">
        <v>46289.627592592602</v>
      </c>
      <c r="D5061" s="1" t="s">
        <v>24</v>
      </c>
      <c r="E5061" s="1"/>
      <c r="F5061" s="29">
        <v>46289</v>
      </c>
      <c r="G5061" s="29">
        <v>46289</v>
      </c>
      <c r="H5061" s="1" t="s">
        <v>1625</v>
      </c>
      <c r="I5061" s="251" t="s">
        <v>11195</v>
      </c>
      <c r="J5061" s="175">
        <v>63846308649</v>
      </c>
      <c r="K5061" s="188" t="s">
        <v>11196</v>
      </c>
      <c r="L5061" s="242">
        <v>2</v>
      </c>
      <c r="M5061" s="243">
        <v>5620875105</v>
      </c>
      <c r="N5061" s="171" t="s">
        <v>37</v>
      </c>
      <c r="O5061" s="52">
        <v>8385.9599999999991</v>
      </c>
      <c r="P5061" s="52">
        <v>2510.9299999999998</v>
      </c>
      <c r="Q5061" s="256">
        <f>OfficeForms.Table[[#This Row],[ INFORMEDEPAGO ]]*0.3</f>
        <v>2515.7879999999996</v>
      </c>
      <c r="R5061" s="43">
        <f t="shared" ref="R5061" si="435">(IF(O5061&lt;4172.98,0,MIN(O5061*0.3,O5061-4172.98)))-P5061</f>
        <v>4.8579999999997199</v>
      </c>
      <c r="S5061" s="74">
        <v>46966</v>
      </c>
      <c r="T5061" s="1" t="s">
        <v>259</v>
      </c>
      <c r="U5061" s="52">
        <v>2510.9299999999998</v>
      </c>
      <c r="V5061" s="239"/>
    </row>
    <row r="5062" spans="1:23">
      <c r="A5062">
        <v>3503</v>
      </c>
      <c r="B5062" s="2">
        <v>46289.637372685203</v>
      </c>
      <c r="C5062" s="2">
        <v>46289.637824074103</v>
      </c>
      <c r="D5062" s="1" t="s">
        <v>24</v>
      </c>
      <c r="E5062" s="1"/>
      <c r="F5062" s="29">
        <v>46289</v>
      </c>
      <c r="G5062" s="29">
        <v>46289</v>
      </c>
      <c r="H5062" s="1" t="s">
        <v>269</v>
      </c>
      <c r="I5062" s="251" t="s">
        <v>11197</v>
      </c>
      <c r="J5062" s="175"/>
      <c r="K5062" s="188" t="s">
        <v>11198</v>
      </c>
      <c r="L5062" s="242">
        <v>24806836</v>
      </c>
      <c r="M5062" s="243">
        <v>5214451585108</v>
      </c>
      <c r="N5062" s="171" t="s">
        <v>28</v>
      </c>
      <c r="O5062" s="50">
        <v>10636.54</v>
      </c>
      <c r="P5062" s="97"/>
      <c r="Q5062" s="256">
        <f>OfficeForms.Table[[#This Row],[ INFORMEDEPAGO ]]*0.3</f>
        <v>3190.962</v>
      </c>
      <c r="R5062" s="43">
        <f t="shared" ref="R5062:R5063" si="436">(IF(O5062&lt;4172.98,0,MIN(O5062*0.3,O5062-4172.98)))-P5062</f>
        <v>3190.962</v>
      </c>
      <c r="T5062" s="1"/>
      <c r="U5062" s="97"/>
      <c r="V5062" s="239" t="s">
        <v>11199</v>
      </c>
      <c r="W5062" s="29">
        <v>46289</v>
      </c>
    </row>
    <row r="5063" spans="1:23">
      <c r="A5063">
        <v>3504</v>
      </c>
      <c r="B5063" s="2">
        <v>46289.627627314803</v>
      </c>
      <c r="C5063" s="2">
        <v>46289.638171296298</v>
      </c>
      <c r="D5063" s="1" t="s">
        <v>24</v>
      </c>
      <c r="E5063" s="1"/>
      <c r="F5063" s="29">
        <v>46289</v>
      </c>
      <c r="G5063" s="29">
        <v>46289</v>
      </c>
      <c r="H5063" s="1" t="s">
        <v>1625</v>
      </c>
      <c r="I5063" s="251" t="s">
        <v>11200</v>
      </c>
      <c r="J5063" s="175" t="s">
        <v>11201</v>
      </c>
      <c r="K5063" s="188" t="s">
        <v>11202</v>
      </c>
      <c r="L5063" s="242">
        <v>2</v>
      </c>
      <c r="M5063" s="243">
        <v>5639339008</v>
      </c>
      <c r="N5063" s="171" t="s">
        <v>37</v>
      </c>
      <c r="O5063" s="52">
        <v>9760.32</v>
      </c>
      <c r="P5063" s="52">
        <v>2928</v>
      </c>
      <c r="Q5063" s="256">
        <f>OfficeForms.Table[[#This Row],[ INFORMEDEPAGO ]]*0.3</f>
        <v>2928.096</v>
      </c>
      <c r="R5063" s="43">
        <f t="shared" si="436"/>
        <v>9.6000000000003638E-2</v>
      </c>
      <c r="S5063" s="74">
        <v>46874</v>
      </c>
      <c r="T5063" s="1" t="s">
        <v>7516</v>
      </c>
      <c r="U5063" s="52">
        <v>2928</v>
      </c>
      <c r="V5063" s="239"/>
    </row>
    <row r="5064" spans="1:23">
      <c r="A5064">
        <v>3505</v>
      </c>
      <c r="B5064" s="2">
        <v>46289.650428240697</v>
      </c>
      <c r="C5064" s="2">
        <v>46289.650856481501</v>
      </c>
      <c r="D5064" s="1" t="s">
        <v>24</v>
      </c>
      <c r="E5064" s="1"/>
      <c r="F5064" s="29">
        <v>46289</v>
      </c>
      <c r="G5064" s="29">
        <v>46289</v>
      </c>
      <c r="H5064" s="1" t="s">
        <v>269</v>
      </c>
      <c r="I5064" s="251" t="s">
        <v>11203</v>
      </c>
      <c r="J5064" s="175" t="s">
        <v>11204</v>
      </c>
      <c r="K5064" s="188"/>
      <c r="L5064" s="242">
        <v>24816960</v>
      </c>
      <c r="M5064" s="243">
        <v>5212969640074</v>
      </c>
      <c r="N5064" s="171" t="s">
        <v>47</v>
      </c>
      <c r="O5064" s="50">
        <v>4561.97</v>
      </c>
      <c r="P5064" s="97"/>
      <c r="Q5064" s="256">
        <f>OfficeForms.Table[[#This Row],[ INFORMEDEPAGO ]]*0.3</f>
        <v>1368.5910000000001</v>
      </c>
      <c r="R5064" s="43">
        <f>(IF(O5064&lt;4172.98,0,MIN(O5064*0.3,O5064-4172.98)))-P5064</f>
        <v>388.99000000000069</v>
      </c>
      <c r="T5064" s="1"/>
      <c r="U5064" s="97"/>
      <c r="V5064" s="239" t="s">
        <v>8233</v>
      </c>
      <c r="W5064" s="29">
        <v>46289</v>
      </c>
    </row>
    <row r="5065" spans="1:23">
      <c r="A5065">
        <v>3506</v>
      </c>
      <c r="B5065" s="2">
        <v>46289.661747685197</v>
      </c>
      <c r="C5065" s="2">
        <v>46289.681342592601</v>
      </c>
      <c r="D5065" s="1" t="s">
        <v>24</v>
      </c>
      <c r="E5065" s="1"/>
      <c r="F5065" s="29">
        <v>46289</v>
      </c>
      <c r="G5065" s="29">
        <v>46289</v>
      </c>
      <c r="H5065" s="1" t="s">
        <v>8028</v>
      </c>
      <c r="I5065" s="251" t="s">
        <v>11205</v>
      </c>
      <c r="J5065" s="175">
        <v>21855701252</v>
      </c>
      <c r="K5065" s="188" t="s">
        <v>11206</v>
      </c>
      <c r="L5065" s="242">
        <v>24817516</v>
      </c>
      <c r="M5065" s="243">
        <v>5216643400143</v>
      </c>
      <c r="N5065" s="171" t="s">
        <v>37</v>
      </c>
      <c r="O5065" s="52">
        <v>4813.6899999999996</v>
      </c>
      <c r="P5065" s="52">
        <v>617.9</v>
      </c>
      <c r="Q5065" s="256">
        <f>OfficeForms.Table[[#This Row],[ INFORMEDEPAGO ]]*0.3</f>
        <v>1444.1069999999997</v>
      </c>
      <c r="R5065" s="43">
        <f>(IF(O5065&lt;4172.98,0,MIN(O5065*0.3,O5065-4172.98)))-P5065</f>
        <v>22.810000000000059</v>
      </c>
      <c r="S5065" s="74">
        <v>46722</v>
      </c>
      <c r="T5065" s="1" t="s">
        <v>8319</v>
      </c>
      <c r="U5065" s="52">
        <v>617.9</v>
      </c>
      <c r="V5065" s="239"/>
    </row>
    <row r="5066" spans="1:23">
      <c r="A5066">
        <v>3507</v>
      </c>
      <c r="B5066" s="2">
        <v>46289.683761574102</v>
      </c>
      <c r="C5066" s="2">
        <v>46289.6902893519</v>
      </c>
      <c r="D5066" s="1" t="s">
        <v>24</v>
      </c>
      <c r="E5066" s="1"/>
      <c r="F5066" s="29">
        <v>46289</v>
      </c>
      <c r="G5066" s="29">
        <v>46289</v>
      </c>
      <c r="H5066" s="1" t="s">
        <v>8028</v>
      </c>
      <c r="I5066" s="251" t="s">
        <v>11207</v>
      </c>
      <c r="J5066" s="175">
        <v>63937600722</v>
      </c>
      <c r="K5066" s="188" t="s">
        <v>11208</v>
      </c>
      <c r="L5066" s="242">
        <v>24817578</v>
      </c>
      <c r="M5066" s="243">
        <v>5214422264230</v>
      </c>
      <c r="N5066" s="171" t="s">
        <v>74</v>
      </c>
      <c r="O5066" s="50"/>
      <c r="P5066" s="97"/>
      <c r="Q5066" s="256">
        <f>OfficeForms.Table[[#This Row],[ INFORMEDEPAGO ]]*0.3</f>
        <v>0</v>
      </c>
      <c r="R5066" s="43">
        <f>(IF(O5066&lt;4172.98,0,MIN(O5066*0.3,O5066-4172.98)))-P5066</f>
        <v>0</v>
      </c>
      <c r="T5066" s="1"/>
      <c r="U5066" s="97"/>
      <c r="V5066" s="239"/>
    </row>
    <row r="5067" spans="1:23">
      <c r="A5067">
        <v>3508</v>
      </c>
      <c r="B5067" s="2">
        <v>46289.687789351898</v>
      </c>
      <c r="C5067" s="2">
        <v>46289.693275463003</v>
      </c>
      <c r="D5067" s="1" t="s">
        <v>24</v>
      </c>
      <c r="E5067" s="1"/>
      <c r="F5067" s="29">
        <v>46289</v>
      </c>
      <c r="G5067" s="29">
        <v>46289</v>
      </c>
      <c r="H5067" s="1" t="s">
        <v>269</v>
      </c>
      <c r="I5067" s="251" t="s">
        <v>11209</v>
      </c>
      <c r="J5067" s="175"/>
      <c r="K5067" s="188" t="s">
        <v>11210</v>
      </c>
      <c r="L5067" s="242">
        <v>24812328</v>
      </c>
      <c r="M5067" s="243">
        <v>5216251461390</v>
      </c>
      <c r="N5067" s="171" t="s">
        <v>37</v>
      </c>
      <c r="O5067" s="43">
        <v>9760.32</v>
      </c>
      <c r="P5067" s="43">
        <v>2928.1</v>
      </c>
      <c r="Q5067" s="256">
        <f>OfficeForms.Table[[#This Row],[ INFORMEDEPAGO ]]*0.3</f>
        <v>2928.096</v>
      </c>
      <c r="R5067" s="43">
        <f>(IF(O5067&lt;4172.98,0,MIN(O5067*0.3,O5067-4172.98)))-P5067</f>
        <v>-3.9999999999054126E-3</v>
      </c>
      <c r="S5067" s="74">
        <v>46966</v>
      </c>
      <c r="T5067" s="1" t="s">
        <v>7209</v>
      </c>
      <c r="U5067" s="97"/>
      <c r="V5067" s="239"/>
    </row>
    <row r="5068" spans="1:23">
      <c r="A5068">
        <v>3509</v>
      </c>
      <c r="B5068" s="2">
        <v>46289.697534722203</v>
      </c>
      <c r="C5068" s="2">
        <v>46289.710787037002</v>
      </c>
      <c r="D5068" s="1" t="s">
        <v>24</v>
      </c>
      <c r="E5068" s="1"/>
      <c r="F5068" s="29">
        <v>46289</v>
      </c>
      <c r="G5068" s="29">
        <v>46289</v>
      </c>
      <c r="H5068" s="1" t="s">
        <v>8028</v>
      </c>
      <c r="I5068" s="251" t="s">
        <v>11211</v>
      </c>
      <c r="J5068" s="175"/>
      <c r="K5068" s="188" t="s">
        <v>11212</v>
      </c>
      <c r="L5068" s="242">
        <v>24817990</v>
      </c>
      <c r="M5068" s="243">
        <v>5216728545743</v>
      </c>
      <c r="N5068" s="171" t="s">
        <v>37</v>
      </c>
      <c r="O5068" s="52">
        <v>9760.32</v>
      </c>
      <c r="P5068" s="52">
        <v>2925.63</v>
      </c>
      <c r="Q5068" s="256">
        <f>OfficeForms.Table[[#This Row],[ INFORMEDEPAGO ]]*0.3</f>
        <v>2928.096</v>
      </c>
      <c r="R5068" s="43">
        <f>(IF(O5068&lt;4172.98,0,MIN(O5068*0.3,O5068-4172.98)))-P5068</f>
        <v>2.4659999999998945</v>
      </c>
      <c r="S5068" s="74">
        <v>46966</v>
      </c>
      <c r="T5068" s="1" t="s">
        <v>84</v>
      </c>
      <c r="U5068" s="52">
        <v>2925.63</v>
      </c>
      <c r="V5068" s="239"/>
    </row>
    <row r="5069" spans="1:23">
      <c r="A5069">
        <v>3510</v>
      </c>
      <c r="B5069" s="2">
        <v>46289.715613425898</v>
      </c>
      <c r="C5069" s="2">
        <v>46289.716192129599</v>
      </c>
      <c r="D5069" s="1" t="s">
        <v>24</v>
      </c>
      <c r="E5069" s="1"/>
      <c r="F5069" s="29">
        <v>46289</v>
      </c>
      <c r="G5069" s="29">
        <v>46289</v>
      </c>
      <c r="H5069" s="1" t="s">
        <v>269</v>
      </c>
      <c r="I5069" s="251" t="s">
        <v>11213</v>
      </c>
      <c r="J5069" s="175"/>
      <c r="K5069" s="188" t="s">
        <v>11214</v>
      </c>
      <c r="L5069" s="242">
        <v>24800206</v>
      </c>
      <c r="M5069" s="243">
        <v>5215529035494</v>
      </c>
      <c r="N5069" s="171" t="s">
        <v>37</v>
      </c>
      <c r="O5069" s="52">
        <v>35032.300000000003</v>
      </c>
      <c r="P5069" s="52">
        <v>10509.69</v>
      </c>
      <c r="Q5069" s="256">
        <f>OfficeForms.Table[[#This Row],[ INFORMEDEPAGO ]]*0.3</f>
        <v>10509.69</v>
      </c>
      <c r="R5069" s="43">
        <f>(IF(O5069&lt;4172.98,0,MIN(O5069*0.3,O5069-4172.98)))-P5069</f>
        <v>0</v>
      </c>
      <c r="S5069" s="74">
        <v>46844</v>
      </c>
      <c r="T5069" s="1" t="s">
        <v>178</v>
      </c>
      <c r="U5069" s="97">
        <v>5537.56</v>
      </c>
      <c r="V5069" s="239"/>
    </row>
    <row r="5070" spans="1:23">
      <c r="A5070">
        <v>3511</v>
      </c>
      <c r="B5070" s="2">
        <v>46289.721307870401</v>
      </c>
      <c r="C5070" s="2">
        <v>46289.722928240699</v>
      </c>
      <c r="D5070" s="1" t="s">
        <v>24</v>
      </c>
      <c r="E5070" s="1"/>
      <c r="F5070" s="29">
        <v>46289</v>
      </c>
      <c r="G5070" s="29">
        <v>46281</v>
      </c>
      <c r="H5070" s="1" t="s">
        <v>9960</v>
      </c>
      <c r="I5070" s="251" t="s">
        <v>11215</v>
      </c>
      <c r="J5070" s="175">
        <v>19806215034</v>
      </c>
      <c r="K5070" s="188"/>
      <c r="L5070" s="242">
        <v>24509568</v>
      </c>
      <c r="M5070" s="243">
        <v>5643625344</v>
      </c>
      <c r="N5070" s="171" t="s">
        <v>263</v>
      </c>
      <c r="O5070" s="52">
        <v>76352.17</v>
      </c>
      <c r="P5070" s="52">
        <v>19849.46</v>
      </c>
      <c r="Q5070" s="256">
        <f>OfficeForms.Table[[#This Row],[ INFORMEDEPAGO ]]*0.3</f>
        <v>22905.650999999998</v>
      </c>
      <c r="R5070" s="43">
        <f>(IF(O5070&lt;4172.98,0,MIN(O5070*0.3,O5070-4172.98)))-P5070</f>
        <v>3056.1909999999989</v>
      </c>
      <c r="S5070" s="74">
        <v>45748</v>
      </c>
      <c r="T5070" s="1" t="s">
        <v>2488</v>
      </c>
      <c r="U5070" s="52">
        <v>19849.46</v>
      </c>
      <c r="V5070" s="239" t="s">
        <v>8291</v>
      </c>
      <c r="W5070" s="29">
        <v>46289</v>
      </c>
    </row>
    <row r="5071" spans="1:23">
      <c r="A5071">
        <v>3512</v>
      </c>
      <c r="B5071" s="2">
        <v>46289.715231481503</v>
      </c>
      <c r="C5071" s="2">
        <v>46289.725624999999</v>
      </c>
      <c r="D5071" s="1" t="s">
        <v>24</v>
      </c>
      <c r="E5071" s="1"/>
      <c r="F5071" s="29">
        <v>46289</v>
      </c>
      <c r="G5071" s="29">
        <v>46289</v>
      </c>
      <c r="H5071" s="1" t="s">
        <v>8028</v>
      </c>
      <c r="I5071" s="251" t="s">
        <v>11216</v>
      </c>
      <c r="J5071" s="175"/>
      <c r="K5071" s="188" t="s">
        <v>11217</v>
      </c>
      <c r="L5071" s="242">
        <v>24818116</v>
      </c>
      <c r="M5071" s="243">
        <v>5213222423204</v>
      </c>
      <c r="N5071" s="171" t="s">
        <v>106</v>
      </c>
      <c r="O5071" s="52">
        <v>9081.52</v>
      </c>
      <c r="P5071" s="52">
        <v>2521.35</v>
      </c>
      <c r="Q5071" s="256">
        <f>OfficeForms.Table[[#This Row],[ INFORMEDEPAGO ]]*0.3</f>
        <v>2724.4560000000001</v>
      </c>
      <c r="R5071" s="43">
        <f t="shared" ref="R5071:R5073" si="437">(IF(O5071&lt;4172.98,0,MIN(O5071*0.3,O5071-4172.98)))-P5071</f>
        <v>203.10600000000022</v>
      </c>
      <c r="S5071" s="74">
        <v>46235</v>
      </c>
      <c r="T5071" s="1" t="s">
        <v>7209</v>
      </c>
      <c r="U5071" s="52">
        <v>2521.35</v>
      </c>
      <c r="V5071" s="239" t="s">
        <v>10408</v>
      </c>
      <c r="W5071" s="29">
        <v>46289</v>
      </c>
    </row>
    <row r="5072" spans="1:23">
      <c r="A5072">
        <v>3513</v>
      </c>
      <c r="B5072" s="2">
        <v>46289.627731481502</v>
      </c>
      <c r="C5072" s="2">
        <v>46289.725937499999</v>
      </c>
      <c r="D5072" s="1" t="s">
        <v>24</v>
      </c>
      <c r="E5072" s="1"/>
      <c r="F5072" s="29">
        <v>46289</v>
      </c>
      <c r="G5072" s="29">
        <v>46289</v>
      </c>
      <c r="H5072" s="1" t="s">
        <v>8028</v>
      </c>
      <c r="I5072" s="251" t="s">
        <v>11218</v>
      </c>
      <c r="J5072" s="175">
        <v>65725601028</v>
      </c>
      <c r="K5072" s="188" t="s">
        <v>11219</v>
      </c>
      <c r="L5072" s="242">
        <v>24816418</v>
      </c>
      <c r="M5072" s="243">
        <v>5219222075901</v>
      </c>
      <c r="N5072" s="171" t="s">
        <v>130</v>
      </c>
      <c r="O5072" s="52">
        <v>4723.55</v>
      </c>
      <c r="P5072" s="52">
        <v>855</v>
      </c>
      <c r="Q5072" s="256">
        <f>OfficeForms.Table[[#This Row],[ INFORMEDEPAGO ]]*0.3</f>
        <v>1417.0650000000001</v>
      </c>
      <c r="R5072" s="43">
        <f t="shared" si="437"/>
        <v>-304.42999999999938</v>
      </c>
      <c r="S5072" s="74">
        <v>45778</v>
      </c>
      <c r="T5072" s="1" t="s">
        <v>6855</v>
      </c>
      <c r="U5072" s="52">
        <v>855</v>
      </c>
      <c r="V5072" s="239" t="s">
        <v>8233</v>
      </c>
      <c r="W5072" s="29">
        <v>46289</v>
      </c>
    </row>
    <row r="5073" spans="1:24" s="214" customFormat="1">
      <c r="A5073" s="214">
        <v>3514</v>
      </c>
      <c r="B5073" s="215">
        <v>46289.725416666697</v>
      </c>
      <c r="C5073" s="215">
        <v>46289.728020833303</v>
      </c>
      <c r="D5073" s="216" t="s">
        <v>24</v>
      </c>
      <c r="E5073" s="216"/>
      <c r="F5073" s="217">
        <v>46289</v>
      </c>
      <c r="G5073" s="217">
        <v>46289</v>
      </c>
      <c r="H5073" s="216" t="s">
        <v>269</v>
      </c>
      <c r="I5073" s="252" t="s">
        <v>11220</v>
      </c>
      <c r="J5073" s="175" t="s">
        <v>11221</v>
      </c>
      <c r="K5073" s="190" t="s">
        <v>11222</v>
      </c>
      <c r="L5073" s="253">
        <v>24818254</v>
      </c>
      <c r="M5073" s="260">
        <v>5218142282981</v>
      </c>
      <c r="N5073" s="176" t="s">
        <v>37</v>
      </c>
      <c r="O5073" s="52">
        <v>8181.55</v>
      </c>
      <c r="P5073" s="52">
        <v>2453.06</v>
      </c>
      <c r="Q5073" s="256">
        <f>OfficeForms.Table[[#This Row],[ INFORMEDEPAGO ]]*0.3</f>
        <v>2454.4650000000001</v>
      </c>
      <c r="R5073" s="43">
        <f t="shared" si="437"/>
        <v>1.4050000000002001</v>
      </c>
      <c r="S5073" s="241">
        <v>46966</v>
      </c>
      <c r="T5073" s="216" t="s">
        <v>8319</v>
      </c>
      <c r="U5073" s="52">
        <v>2453.06</v>
      </c>
      <c r="V5073" s="240"/>
      <c r="W5073" s="217"/>
      <c r="X5073" s="225"/>
    </row>
    <row r="5074" spans="1:24">
      <c r="A5074" s="214">
        <v>3515</v>
      </c>
      <c r="B5074" s="215">
        <v>46289.542453703703</v>
      </c>
      <c r="C5074" s="215">
        <v>46289.737812500003</v>
      </c>
      <c r="D5074" s="216" t="s">
        <v>24</v>
      </c>
      <c r="E5074" s="216"/>
      <c r="F5074" s="217">
        <v>46289</v>
      </c>
      <c r="G5074" s="217">
        <v>46288</v>
      </c>
      <c r="H5074" s="216" t="s">
        <v>8381</v>
      </c>
      <c r="I5074" s="252" t="s">
        <v>11223</v>
      </c>
      <c r="J5074" s="175"/>
      <c r="K5074" s="190" t="s">
        <v>11224</v>
      </c>
      <c r="L5074" s="253">
        <v>24796288</v>
      </c>
      <c r="M5074" s="260">
        <v>5219611794650</v>
      </c>
      <c r="N5074" s="176" t="s">
        <v>37</v>
      </c>
      <c r="O5074" s="52">
        <v>14377.91</v>
      </c>
      <c r="P5074" s="52">
        <v>4159.45</v>
      </c>
      <c r="Q5074" s="256">
        <f>OfficeForms.Table[[#This Row],[ INFORMEDEPAGO ]]*0.3</f>
        <v>4313.3729999999996</v>
      </c>
      <c r="R5074" s="43">
        <f t="shared" ref="R5074" si="438">(IF(O5074&lt;4172.98,0,MIN(O5074*0.3,O5074-4172.98)))-P5074</f>
        <v>153.92299999999977</v>
      </c>
      <c r="S5074" s="241">
        <v>46508</v>
      </c>
      <c r="T5074" s="216" t="s">
        <v>7209</v>
      </c>
      <c r="U5074" s="52">
        <v>4159.45</v>
      </c>
      <c r="V5074" s="240"/>
      <c r="W5074" s="217"/>
      <c r="X5074" s="225"/>
    </row>
    <row r="5075" spans="1:24">
      <c r="A5075" s="214">
        <v>3516</v>
      </c>
      <c r="B5075" s="215">
        <v>46289.501585648097</v>
      </c>
      <c r="C5075" s="215">
        <v>46289.739814814799</v>
      </c>
      <c r="D5075" s="216" t="s">
        <v>24</v>
      </c>
      <c r="E5075" s="216"/>
      <c r="F5075" s="217">
        <v>46289</v>
      </c>
      <c r="G5075" s="217">
        <v>46279</v>
      </c>
      <c r="H5075" s="216" t="s">
        <v>51</v>
      </c>
      <c r="I5075" s="252" t="s">
        <v>11225</v>
      </c>
      <c r="J5075" s="175"/>
      <c r="K5075" s="190" t="s">
        <v>11226</v>
      </c>
      <c r="L5075" s="253">
        <v>24456424</v>
      </c>
      <c r="M5075" s="260">
        <v>5216564225922</v>
      </c>
      <c r="N5075" s="176" t="s">
        <v>37</v>
      </c>
      <c r="O5075" s="43">
        <v>18993.07</v>
      </c>
      <c r="P5075" s="43">
        <v>5685.73</v>
      </c>
      <c r="Q5075" s="256">
        <f>OfficeForms.Table[[#This Row],[ INFORMEDEPAGO ]]*0.3</f>
        <v>5697.9209999999994</v>
      </c>
      <c r="R5075" s="43">
        <f>(IF(O5075&lt;4172.98,0,MIN(O5075*0.3,O5075-4172.98)))-P5075</f>
        <v>12.190999999999804</v>
      </c>
      <c r="S5075" s="241">
        <v>46874</v>
      </c>
      <c r="T5075" s="216" t="s">
        <v>84</v>
      </c>
      <c r="U5075" s="43">
        <v>5685.73</v>
      </c>
      <c r="V5075" s="240"/>
      <c r="W5075" s="217"/>
      <c r="X5075" s="225"/>
    </row>
    <row r="5076" spans="1:24">
      <c r="A5076" s="214">
        <v>3517</v>
      </c>
      <c r="B5076" s="215">
        <v>46289.7430902778</v>
      </c>
      <c r="C5076" s="215">
        <v>46289.745057870401</v>
      </c>
      <c r="D5076" s="216" t="s">
        <v>24</v>
      </c>
      <c r="E5076" s="216"/>
      <c r="F5076" s="217">
        <v>46289</v>
      </c>
      <c r="G5076" s="217">
        <v>46289</v>
      </c>
      <c r="H5076" s="216" t="s">
        <v>1625</v>
      </c>
      <c r="I5076" s="252" t="s">
        <v>11227</v>
      </c>
      <c r="J5076" s="175" t="s">
        <v>11228</v>
      </c>
      <c r="K5076" s="190" t="s">
        <v>11229</v>
      </c>
      <c r="L5076" s="253">
        <v>2</v>
      </c>
      <c r="M5076" s="260">
        <v>8119865194</v>
      </c>
      <c r="N5076" s="176" t="s">
        <v>37</v>
      </c>
      <c r="O5076" s="43">
        <v>5530.82</v>
      </c>
      <c r="P5076" s="43">
        <v>1307.72</v>
      </c>
      <c r="Q5076" s="256">
        <f>OfficeForms.Table[[#This Row],[ INFORMEDEPAGO ]]*0.3</f>
        <v>1659.2459999999999</v>
      </c>
      <c r="R5076" s="43">
        <f>(IF(O5076&lt;4172.98,0,MIN(O5076*0.3,O5076-4172.98)))-P5076</f>
        <v>50.120000000000118</v>
      </c>
      <c r="S5076" s="241">
        <v>46722</v>
      </c>
      <c r="T5076" s="216" t="s">
        <v>7516</v>
      </c>
      <c r="U5076" s="43">
        <v>1307.72</v>
      </c>
      <c r="V5076" s="240"/>
      <c r="W5076" s="217"/>
      <c r="X5076" s="225"/>
    </row>
    <row r="5077" spans="1:24">
      <c r="A5077" s="214">
        <v>3518</v>
      </c>
      <c r="B5077" s="215">
        <v>46289.747499999998</v>
      </c>
      <c r="C5077" s="215">
        <v>46289.751388888901</v>
      </c>
      <c r="D5077" s="216" t="s">
        <v>24</v>
      </c>
      <c r="E5077" s="216"/>
      <c r="F5077" s="217">
        <v>46289</v>
      </c>
      <c r="G5077" s="217">
        <v>46289</v>
      </c>
      <c r="H5077" s="216" t="s">
        <v>8028</v>
      </c>
      <c r="I5077" s="252" t="s">
        <v>11230</v>
      </c>
      <c r="J5077" s="175"/>
      <c r="K5077" s="190" t="s">
        <v>11231</v>
      </c>
      <c r="L5077" s="253">
        <v>24819504</v>
      </c>
      <c r="M5077" s="260">
        <v>5215638682693</v>
      </c>
      <c r="N5077" s="176" t="s">
        <v>37</v>
      </c>
      <c r="O5077" s="43">
        <v>5060.93</v>
      </c>
      <c r="P5077" s="43">
        <v>886.19</v>
      </c>
      <c r="Q5077" s="256">
        <f>OfficeForms.Table[[#This Row],[ INFORMEDEPAGO ]]*0.3</f>
        <v>1518.279</v>
      </c>
      <c r="R5077" s="43">
        <f>(IF(O5077&lt;4172.98,0,MIN(O5077*0.3,O5077-4172.98)))-P5077</f>
        <v>1.760000000000673</v>
      </c>
      <c r="S5077" s="241">
        <v>46966</v>
      </c>
      <c r="T5077" s="216" t="s">
        <v>259</v>
      </c>
      <c r="U5077" s="43">
        <v>886.19</v>
      </c>
      <c r="V5077" s="240"/>
      <c r="W5077" s="217"/>
      <c r="X5077" s="225"/>
    </row>
    <row r="5078" spans="1:24">
      <c r="A5078" s="214">
        <v>3519</v>
      </c>
      <c r="B5078" s="215">
        <v>46289.763703703698</v>
      </c>
      <c r="C5078" s="215">
        <v>46289.771736111099</v>
      </c>
      <c r="D5078" s="216" t="s">
        <v>24</v>
      </c>
      <c r="E5078" s="216"/>
      <c r="F5078" s="217">
        <v>46289</v>
      </c>
      <c r="G5078" s="217">
        <v>46289</v>
      </c>
      <c r="H5078" s="216" t="s">
        <v>8028</v>
      </c>
      <c r="I5078" s="252" t="s">
        <v>11232</v>
      </c>
      <c r="J5078" s="175"/>
      <c r="K5078" s="190" t="s">
        <v>11233</v>
      </c>
      <c r="L5078" s="253">
        <v>24818098</v>
      </c>
      <c r="M5078" s="260">
        <v>5218691009084</v>
      </c>
      <c r="N5078" s="176" t="s">
        <v>37</v>
      </c>
      <c r="O5078" s="43">
        <v>7920.51</v>
      </c>
      <c r="P5078" s="43">
        <v>2184.3200000000002</v>
      </c>
      <c r="Q5078" s="256">
        <f>OfficeForms.Table[[#This Row],[ INFORMEDEPAGO ]]*0.3</f>
        <v>2376.1529999999998</v>
      </c>
      <c r="R5078" s="43">
        <f>(IF(O5078&lt;4172.98,0,MIN(O5078*0.3,O5078-4172.98)))-P5078</f>
        <v>191.83299999999963</v>
      </c>
      <c r="S5078" s="241">
        <v>46388</v>
      </c>
      <c r="T5078" s="216" t="s">
        <v>84</v>
      </c>
      <c r="U5078" s="43">
        <v>2184.3200000000002</v>
      </c>
      <c r="V5078" s="240"/>
      <c r="W5078" s="217"/>
      <c r="X5078" s="225"/>
    </row>
    <row r="5079" spans="1:24">
      <c r="A5079" s="214">
        <v>3520</v>
      </c>
      <c r="B5079" s="215">
        <v>46289.779606481497</v>
      </c>
      <c r="C5079" s="215">
        <v>46289.780358796299</v>
      </c>
      <c r="D5079" s="216" t="s">
        <v>24</v>
      </c>
      <c r="E5079" s="216"/>
      <c r="F5079" s="217">
        <v>46289</v>
      </c>
      <c r="G5079" s="217">
        <v>46289</v>
      </c>
      <c r="H5079" s="216" t="s">
        <v>8028</v>
      </c>
      <c r="I5079" s="252" t="s">
        <v>11234</v>
      </c>
      <c r="J5079" s="175"/>
      <c r="K5079" s="190" t="s">
        <v>11235</v>
      </c>
      <c r="L5079" s="253">
        <v>24820162</v>
      </c>
      <c r="M5079" s="260">
        <v>5214491118373</v>
      </c>
      <c r="N5079" s="176" t="s">
        <v>28</v>
      </c>
      <c r="O5079" s="43">
        <v>30393.61</v>
      </c>
      <c r="P5079" s="43">
        <v>3201.74</v>
      </c>
      <c r="Q5079" s="256">
        <f>OfficeForms.Table[[#This Row],[ INFORMEDEPAGO ]]*0.3</f>
        <v>9118.0830000000005</v>
      </c>
      <c r="R5079" s="43">
        <f>(IF(O5079&lt;4172.98,0,MIN(O5079*0.3,O5079-4172.98)))-P5079</f>
        <v>5916.3430000000008</v>
      </c>
      <c r="S5079" s="241">
        <v>46722</v>
      </c>
      <c r="T5079" s="216" t="s">
        <v>7516</v>
      </c>
      <c r="U5079" s="97">
        <v>1179.5899999999999</v>
      </c>
      <c r="V5079" s="240" t="s">
        <v>8350</v>
      </c>
      <c r="W5079" s="217">
        <v>46289</v>
      </c>
      <c r="X5079" s="225"/>
    </row>
    <row r="5080" spans="1:24">
      <c r="A5080" s="214">
        <v>3521</v>
      </c>
      <c r="B5080" s="215">
        <v>46290.3356712963</v>
      </c>
      <c r="C5080" s="215">
        <v>46290.370902777802</v>
      </c>
      <c r="D5080" s="216" t="s">
        <v>24</v>
      </c>
      <c r="E5080" s="216"/>
      <c r="F5080" s="217">
        <v>46290</v>
      </c>
      <c r="G5080" s="217">
        <v>46290</v>
      </c>
      <c r="H5080" s="216" t="s">
        <v>1625</v>
      </c>
      <c r="I5080" s="252" t="s">
        <v>11182</v>
      </c>
      <c r="J5080" s="175" t="s">
        <v>11236</v>
      </c>
      <c r="K5080" s="190"/>
      <c r="L5080" s="253">
        <v>2</v>
      </c>
      <c r="M5080" s="260">
        <v>9331021834</v>
      </c>
      <c r="N5080" s="176" t="s">
        <v>98</v>
      </c>
      <c r="O5080" s="50"/>
      <c r="P5080" s="97"/>
      <c r="Q5080" s="256">
        <f>OfficeForms.Table[[#This Row],[ INFORMEDEPAGO ]]*0.3</f>
        <v>0</v>
      </c>
      <c r="R5080" s="43">
        <f>(IF(O5080&lt;4172.98,0,MIN(O5080*0.3,O5080-4172.98)))-P5080</f>
        <v>0</v>
      </c>
      <c r="S5080" s="241"/>
      <c r="T5080" s="216"/>
      <c r="U5080" s="97"/>
      <c r="V5080" s="240"/>
      <c r="W5080" s="217"/>
      <c r="X5080" s="225"/>
    </row>
    <row r="5081" spans="1:24">
      <c r="A5081">
        <v>3522</v>
      </c>
      <c r="B5081" s="2">
        <v>46289.737835648099</v>
      </c>
      <c r="C5081" s="2">
        <v>46290.411608796298</v>
      </c>
      <c r="D5081" s="1" t="s">
        <v>24</v>
      </c>
      <c r="E5081" s="1"/>
      <c r="F5081" s="29">
        <v>46290</v>
      </c>
      <c r="G5081" s="29">
        <v>46289</v>
      </c>
      <c r="H5081" s="1" t="s">
        <v>8381</v>
      </c>
      <c r="I5081" s="251" t="s">
        <v>11237</v>
      </c>
      <c r="J5081" s="175" t="s">
        <v>11238</v>
      </c>
      <c r="K5081" s="190" t="s">
        <v>11239</v>
      </c>
      <c r="L5081" s="242">
        <v>24820244</v>
      </c>
      <c r="M5081" s="243">
        <v>5217441603524</v>
      </c>
      <c r="N5081" s="171" t="s">
        <v>98</v>
      </c>
      <c r="O5081" s="50"/>
      <c r="P5081" s="97"/>
      <c r="Q5081" s="256">
        <f>OfficeForms.Table[[#This Row],[ INFORMEDEPAGO ]]*0.3</f>
        <v>0</v>
      </c>
      <c r="R5081" s="43">
        <f>(IF(O5081&lt;4172.98,0,MIN(O5081*0.3,O5081-4172.98)))-P5081</f>
        <v>0</v>
      </c>
      <c r="T5081" s="1"/>
      <c r="U5081" s="97"/>
      <c r="V5081" s="239"/>
    </row>
    <row r="5082" spans="1:24">
      <c r="A5082">
        <v>3523</v>
      </c>
      <c r="B5082" s="2">
        <v>46290.414976851898</v>
      </c>
      <c r="C5082" s="2">
        <v>46290.415752314802</v>
      </c>
      <c r="D5082" s="1" t="s">
        <v>24</v>
      </c>
      <c r="E5082" s="1"/>
      <c r="F5082" s="29">
        <v>46290</v>
      </c>
      <c r="G5082" s="29">
        <v>46289</v>
      </c>
      <c r="H5082" s="1" t="s">
        <v>269</v>
      </c>
      <c r="I5082" s="251" t="s">
        <v>11240</v>
      </c>
      <c r="J5082" s="175" t="s">
        <v>11241</v>
      </c>
      <c r="K5082" s="188" t="s">
        <v>11242</v>
      </c>
      <c r="L5082" s="242">
        <v>24820678</v>
      </c>
      <c r="M5082" s="243">
        <v>5214432392646</v>
      </c>
      <c r="N5082" s="171" t="s">
        <v>37</v>
      </c>
      <c r="O5082" s="43">
        <v>9760.32</v>
      </c>
      <c r="P5082" s="43">
        <v>2823.89</v>
      </c>
      <c r="Q5082" s="256">
        <f>OfficeForms.Table[[#This Row],[ INFORMEDEPAGO ]]*0.3</f>
        <v>2928.096</v>
      </c>
      <c r="R5082" s="43">
        <f>(IF(O5082&lt;4172.98,0,MIN(O5082*0.3,O5082-4172.98)))-P5082</f>
        <v>104.20600000000013</v>
      </c>
      <c r="S5082" s="74">
        <v>46692</v>
      </c>
      <c r="T5082" s="1" t="s">
        <v>178</v>
      </c>
      <c r="U5082" s="97">
        <v>703.03</v>
      </c>
      <c r="V5082" s="239"/>
    </row>
    <row r="5083" spans="1:24">
      <c r="A5083">
        <v>3524</v>
      </c>
      <c r="B5083" s="2">
        <v>46290.370937500003</v>
      </c>
      <c r="C5083" s="2">
        <v>46290.426481481503</v>
      </c>
      <c r="D5083" s="1" t="s">
        <v>24</v>
      </c>
      <c r="E5083" s="1"/>
      <c r="F5083" s="29">
        <v>46290</v>
      </c>
      <c r="G5083" s="29">
        <v>46290</v>
      </c>
      <c r="H5083" s="1" t="s">
        <v>1625</v>
      </c>
      <c r="I5083" s="251" t="s">
        <v>11243</v>
      </c>
      <c r="J5083" s="175">
        <v>4383657771</v>
      </c>
      <c r="K5083" s="188" t="s">
        <v>11244</v>
      </c>
      <c r="L5083" s="242">
        <v>2</v>
      </c>
      <c r="M5083" s="243">
        <v>8128903403</v>
      </c>
      <c r="N5083" s="171" t="s">
        <v>37</v>
      </c>
      <c r="O5083" s="52">
        <v>10636.54</v>
      </c>
      <c r="P5083" s="52">
        <v>3187.8</v>
      </c>
      <c r="Q5083" s="256">
        <f>OfficeForms.Table[[#This Row],[ INFORMEDEPAGO ]]*0.3</f>
        <v>3190.962</v>
      </c>
      <c r="R5083" s="43">
        <f t="shared" ref="R5083:R5084" si="439">(IF(O5083&lt;4172.98,0,MIN(O5083*0.3,O5083-4172.98)))-P5083</f>
        <v>3.1619999999998072</v>
      </c>
      <c r="S5083" s="74">
        <v>46966</v>
      </c>
      <c r="T5083" s="1" t="s">
        <v>7209</v>
      </c>
      <c r="U5083" s="52">
        <v>3187.8</v>
      </c>
      <c r="V5083" s="239"/>
    </row>
    <row r="5084" spans="1:24">
      <c r="A5084">
        <v>3525</v>
      </c>
      <c r="B5084" s="2">
        <v>46290.426516203697</v>
      </c>
      <c r="C5084" s="2">
        <v>46290.429988425902</v>
      </c>
      <c r="D5084" s="1" t="s">
        <v>24</v>
      </c>
      <c r="E5084" s="1"/>
      <c r="F5084" s="29">
        <v>46290</v>
      </c>
      <c r="G5084" s="29">
        <v>46290</v>
      </c>
      <c r="H5084" s="1" t="s">
        <v>1625</v>
      </c>
      <c r="I5084" s="251" t="s">
        <v>3011</v>
      </c>
      <c r="J5084" s="175">
        <v>75826200588</v>
      </c>
      <c r="K5084" s="188" t="s">
        <v>3012</v>
      </c>
      <c r="L5084" s="242">
        <v>2</v>
      </c>
      <c r="M5084" s="243">
        <v>5575583382</v>
      </c>
      <c r="N5084" s="171" t="s">
        <v>37</v>
      </c>
      <c r="O5084" s="52">
        <v>34068.19</v>
      </c>
      <c r="P5084" s="52">
        <v>10218.67</v>
      </c>
      <c r="Q5084" s="256">
        <f>OfficeForms.Table[[#This Row],[ INFORMEDEPAGO ]]*0.3</f>
        <v>10220.457</v>
      </c>
      <c r="R5084" s="43">
        <f t="shared" si="439"/>
        <v>1.7870000000002619</v>
      </c>
      <c r="S5084" s="74">
        <v>46447</v>
      </c>
      <c r="T5084" s="1" t="s">
        <v>259</v>
      </c>
      <c r="U5084" s="97">
        <v>395.93</v>
      </c>
      <c r="V5084" s="239"/>
    </row>
    <row r="5085" spans="1:24">
      <c r="A5085">
        <v>3526</v>
      </c>
      <c r="B5085" s="2">
        <v>46290.4312615741</v>
      </c>
      <c r="C5085" s="2">
        <v>46290.432094907403</v>
      </c>
      <c r="D5085" s="1" t="s">
        <v>24</v>
      </c>
      <c r="E5085" s="1"/>
      <c r="F5085" s="29">
        <v>46290</v>
      </c>
      <c r="G5085" s="29">
        <v>46290</v>
      </c>
      <c r="H5085" s="1" t="s">
        <v>269</v>
      </c>
      <c r="I5085" s="251" t="s">
        <v>11245</v>
      </c>
      <c r="J5085" s="207" t="s">
        <v>11246</v>
      </c>
      <c r="K5085" s="188" t="s">
        <v>11247</v>
      </c>
      <c r="L5085" s="242">
        <v>24832784</v>
      </c>
      <c r="M5085" s="243">
        <v>5216145378090</v>
      </c>
      <c r="N5085" s="171" t="s">
        <v>263</v>
      </c>
      <c r="O5085" s="52">
        <v>5077.9799999999996</v>
      </c>
      <c r="P5085" s="52">
        <v>1078.5</v>
      </c>
      <c r="Q5085" s="256">
        <f>OfficeForms.Table[[#This Row],[ INFORMEDEPAGO ]]*0.3</f>
        <v>1523.3939999999998</v>
      </c>
      <c r="R5085" s="43">
        <f t="shared" ref="R5085" si="440">(IF(O5085&lt;4172.98,0,MIN(O5085*0.3,O5085-4172.98)))-P5085</f>
        <v>-173.5</v>
      </c>
      <c r="S5085" s="74">
        <v>45444</v>
      </c>
      <c r="T5085" s="1" t="s">
        <v>2488</v>
      </c>
      <c r="U5085" s="52">
        <v>1078.5</v>
      </c>
      <c r="V5085" s="239" t="s">
        <v>9642</v>
      </c>
      <c r="W5085" s="29">
        <v>46290</v>
      </c>
    </row>
    <row r="5086" spans="1:24">
      <c r="A5086">
        <v>3527</v>
      </c>
      <c r="B5086" s="2">
        <v>46290.4116319444</v>
      </c>
      <c r="C5086" s="2">
        <v>46290.478437500002</v>
      </c>
      <c r="D5086" s="1" t="s">
        <v>24</v>
      </c>
      <c r="E5086" s="1"/>
      <c r="F5086" s="29">
        <v>46290</v>
      </c>
      <c r="G5086" s="29">
        <v>46289</v>
      </c>
      <c r="H5086" s="1" t="s">
        <v>8381</v>
      </c>
      <c r="I5086" s="251" t="s">
        <v>11248</v>
      </c>
      <c r="J5086" s="175" t="s">
        <v>11249</v>
      </c>
      <c r="K5086" s="188" t="s">
        <v>11250</v>
      </c>
      <c r="L5086" s="242">
        <v>24832986</v>
      </c>
      <c r="M5086" s="243">
        <v>5219616765924</v>
      </c>
      <c r="N5086" s="171" t="s">
        <v>98</v>
      </c>
      <c r="O5086" s="50"/>
      <c r="P5086" s="97"/>
      <c r="Q5086" s="256">
        <f>OfficeForms.Table[[#This Row],[ INFORMEDEPAGO ]]*0.3</f>
        <v>0</v>
      </c>
      <c r="R5086" s="43">
        <f>(IF(O5086&lt;4172.98,0,MIN(O5086*0.3,O5086-4172.98)))-P5086</f>
        <v>0</v>
      </c>
      <c r="T5086" s="1"/>
      <c r="U5086" s="97"/>
      <c r="V5086" s="239"/>
    </row>
    <row r="5087" spans="1:24">
      <c r="A5087">
        <v>3528</v>
      </c>
      <c r="B5087" s="2">
        <v>46290.480821759302</v>
      </c>
      <c r="C5087" s="2">
        <v>46290.481655092597</v>
      </c>
      <c r="D5087" s="1" t="s">
        <v>24</v>
      </c>
      <c r="E5087" s="1"/>
      <c r="F5087" s="29">
        <v>46290</v>
      </c>
      <c r="G5087" s="29">
        <v>46290</v>
      </c>
      <c r="H5087" s="1" t="s">
        <v>269</v>
      </c>
      <c r="I5087" s="251" t="s">
        <v>11251</v>
      </c>
      <c r="J5087" s="175" t="s">
        <v>11252</v>
      </c>
      <c r="K5087" s="188" t="s">
        <v>11253</v>
      </c>
      <c r="L5087" s="242">
        <v>24831248</v>
      </c>
      <c r="M5087" s="243">
        <v>5219984258378</v>
      </c>
      <c r="N5087" s="171" t="s">
        <v>32</v>
      </c>
      <c r="O5087" s="50">
        <v>3632.16</v>
      </c>
      <c r="P5087" s="97"/>
      <c r="Q5087" s="256">
        <f>OfficeForms.Table[[#This Row],[ INFORMEDEPAGO ]]*0.3</f>
        <v>1089.6479999999999</v>
      </c>
      <c r="R5087" s="43">
        <f>(IF(O5087&lt;4172.98,0,MIN(O5087*0.3,O5087-4172.98)))-P5087</f>
        <v>0</v>
      </c>
      <c r="T5087" s="1"/>
      <c r="U5087" s="97"/>
      <c r="V5087" s="239"/>
    </row>
    <row r="5088" spans="1:24">
      <c r="A5088">
        <v>3530</v>
      </c>
      <c r="B5088" s="2">
        <v>46290.504826388897</v>
      </c>
      <c r="C5088" s="2">
        <v>46290.514849537001</v>
      </c>
      <c r="D5088" s="1" t="s">
        <v>24</v>
      </c>
      <c r="E5088" s="1"/>
      <c r="F5088" s="29">
        <v>46290</v>
      </c>
      <c r="G5088" s="29">
        <v>46270</v>
      </c>
      <c r="H5088" s="1" t="s">
        <v>78</v>
      </c>
      <c r="I5088" s="251" t="s">
        <v>11254</v>
      </c>
      <c r="J5088" s="175">
        <v>49856204778</v>
      </c>
      <c r="K5088" s="188" t="s">
        <v>11255</v>
      </c>
      <c r="L5088" s="242">
        <v>24268712</v>
      </c>
      <c r="M5088" s="243">
        <v>5219381377239</v>
      </c>
      <c r="N5088" s="171" t="s">
        <v>47</v>
      </c>
      <c r="O5088" s="43">
        <v>50512.14</v>
      </c>
      <c r="P5088" s="43">
        <v>14146.06</v>
      </c>
      <c r="Q5088" s="256">
        <f>OfficeForms.Table[[#This Row],[ INFORMEDEPAGO ]]*0.3</f>
        <v>15153.642</v>
      </c>
      <c r="R5088" s="43">
        <f>(IF(O5088&lt;4172.98,0,MIN(O5088*0.3,O5088-4172.98)))-P5088</f>
        <v>1007.5820000000003</v>
      </c>
      <c r="S5088" s="74">
        <v>46692</v>
      </c>
      <c r="T5088" s="1" t="s">
        <v>2488</v>
      </c>
      <c r="U5088" s="97">
        <v>14146.06</v>
      </c>
      <c r="V5088" s="239" t="s">
        <v>8233</v>
      </c>
      <c r="W5088" s="29">
        <v>46290</v>
      </c>
    </row>
    <row r="5089" spans="1:23">
      <c r="A5089">
        <v>3531</v>
      </c>
      <c r="B5089" s="2">
        <v>46290.478472222203</v>
      </c>
      <c r="C5089" s="2">
        <v>46290.523310185199</v>
      </c>
      <c r="D5089" s="1" t="s">
        <v>24</v>
      </c>
      <c r="E5089" s="1"/>
      <c r="F5089" s="29">
        <v>46290</v>
      </c>
      <c r="G5089" s="29">
        <v>46290</v>
      </c>
      <c r="H5089" s="1" t="s">
        <v>8381</v>
      </c>
      <c r="I5089" s="251" t="s">
        <v>11256</v>
      </c>
      <c r="J5089" s="175"/>
      <c r="K5089" s="188" t="s">
        <v>11257</v>
      </c>
      <c r="L5089" s="242">
        <v>24836840</v>
      </c>
      <c r="M5089" s="243">
        <v>5212227640000</v>
      </c>
      <c r="N5089" s="171" t="s">
        <v>37</v>
      </c>
      <c r="O5089" s="43">
        <v>9504.7000000000007</v>
      </c>
      <c r="P5089" s="43">
        <v>2851.41</v>
      </c>
      <c r="Q5089" s="256">
        <f>OfficeForms.Table[[#This Row],[ INFORMEDEPAGO ]]*0.3</f>
        <v>2851.4100000000003</v>
      </c>
      <c r="R5089" s="43">
        <f>(IF(O5089&lt;4172.98,0,MIN(O5089*0.3,O5089-4172.98)))-P5089</f>
        <v>0</v>
      </c>
      <c r="S5089" s="74">
        <v>46935</v>
      </c>
      <c r="T5089" s="1" t="s">
        <v>10372</v>
      </c>
      <c r="U5089" s="97">
        <v>2851.41</v>
      </c>
      <c r="V5089" s="239"/>
    </row>
    <row r="5090" spans="1:23">
      <c r="A5090">
        <v>3532</v>
      </c>
      <c r="B5090" s="2">
        <v>46290.568182870396</v>
      </c>
      <c r="C5090" s="2">
        <v>46290.569027777798</v>
      </c>
      <c r="D5090" s="1" t="s">
        <v>24</v>
      </c>
      <c r="E5090" s="1"/>
      <c r="F5090" s="29">
        <v>46290</v>
      </c>
      <c r="G5090" s="29">
        <v>46290</v>
      </c>
      <c r="H5090" s="1" t="s">
        <v>103</v>
      </c>
      <c r="I5090" s="251" t="s">
        <v>11258</v>
      </c>
      <c r="J5090" s="175">
        <v>67957050916</v>
      </c>
      <c r="K5090" s="188"/>
      <c r="L5090" s="242">
        <v>1</v>
      </c>
      <c r="M5090" s="243">
        <v>2293215607</v>
      </c>
      <c r="N5090" s="171" t="s">
        <v>263</v>
      </c>
      <c r="O5090" s="52">
        <v>13165.74</v>
      </c>
      <c r="P5090" s="52">
        <v>3636.53</v>
      </c>
      <c r="Q5090" s="256">
        <f>OfficeForms.Table[[#This Row],[ INFORMEDEPAGO ]]*0.3</f>
        <v>3949.7219999999998</v>
      </c>
      <c r="R5090" s="43">
        <f>(IF(O5090&lt;4172.98,0,MIN(O5090*0.3,O5090-4172.98)))-P5090</f>
        <v>313.19199999999955</v>
      </c>
      <c r="S5090" s="74">
        <v>46266</v>
      </c>
      <c r="T5090" s="74" t="s">
        <v>11259</v>
      </c>
      <c r="U5090" s="52">
        <v>3636.53</v>
      </c>
      <c r="V5090" s="239"/>
    </row>
    <row r="5091" spans="1:23">
      <c r="A5091">
        <v>3533</v>
      </c>
      <c r="B5091" s="2">
        <v>46290.584965277798</v>
      </c>
      <c r="C5091" s="2">
        <v>46290.585879629602</v>
      </c>
      <c r="D5091" s="1" t="s">
        <v>24</v>
      </c>
      <c r="E5091" s="1"/>
      <c r="F5091" s="29">
        <v>46290</v>
      </c>
      <c r="G5091" s="29">
        <v>46290</v>
      </c>
      <c r="H5091" s="1" t="s">
        <v>103</v>
      </c>
      <c r="I5091" s="251" t="s">
        <v>11260</v>
      </c>
      <c r="J5091" s="175">
        <v>41977938038</v>
      </c>
      <c r="K5091" s="188"/>
      <c r="L5091" s="242">
        <v>1</v>
      </c>
      <c r="M5091" s="243">
        <v>4443862976</v>
      </c>
      <c r="N5091" s="171" t="s">
        <v>32</v>
      </c>
      <c r="O5091" s="67">
        <v>3882.85</v>
      </c>
      <c r="P5091" s="99"/>
      <c r="Q5091" s="256">
        <f>OfficeForms.Table[[#This Row],[ INFORMEDEPAGO ]]*0.3</f>
        <v>1164.855</v>
      </c>
      <c r="R5091" s="43">
        <f>(IF(O5091&lt;4172.98,0,MIN(O5091*0.3,O5091-4172.98)))-P5091</f>
        <v>0</v>
      </c>
      <c r="T5091" s="261"/>
      <c r="U5091" s="99"/>
      <c r="V5091" s="239"/>
    </row>
    <row r="5092" spans="1:23">
      <c r="A5092">
        <v>3534</v>
      </c>
      <c r="B5092" s="2">
        <v>46290.4300925926</v>
      </c>
      <c r="C5092" s="2">
        <v>46290.650092592601</v>
      </c>
      <c r="D5092" s="1" t="s">
        <v>24</v>
      </c>
      <c r="E5092" s="1"/>
      <c r="F5092" s="29">
        <v>46290</v>
      </c>
      <c r="G5092" s="29">
        <v>46290</v>
      </c>
      <c r="H5092" s="1" t="s">
        <v>1625</v>
      </c>
      <c r="I5092" s="251" t="s">
        <v>11261</v>
      </c>
      <c r="J5092" s="175">
        <v>54786016144</v>
      </c>
      <c r="K5092" s="188" t="s">
        <v>11262</v>
      </c>
      <c r="L5092" s="242">
        <v>2</v>
      </c>
      <c r="M5092" s="243">
        <v>3322910448</v>
      </c>
      <c r="N5092" s="171" t="s">
        <v>28</v>
      </c>
      <c r="O5092" s="50">
        <v>7920.51</v>
      </c>
      <c r="P5092" s="97"/>
      <c r="Q5092" s="256">
        <f>OfficeForms.Table[[#This Row],[ INFORMEDEPAGO ]]*0.3</f>
        <v>2376.1529999999998</v>
      </c>
      <c r="R5092" s="43">
        <f>(IF(O5092&lt;4172.98,0,MIN(O5092*0.3,O5092-4172.98)))-P5092</f>
        <v>2376.1529999999998</v>
      </c>
      <c r="T5092" s="261"/>
      <c r="U5092" s="97"/>
      <c r="V5092" s="239"/>
    </row>
    <row r="5093" spans="1:23">
      <c r="A5093">
        <v>3535</v>
      </c>
      <c r="B5093" s="2">
        <v>46290.6497453704</v>
      </c>
      <c r="C5093" s="2">
        <v>46290.657025462999</v>
      </c>
      <c r="D5093" s="1" t="s">
        <v>24</v>
      </c>
      <c r="E5093" s="1"/>
      <c r="F5093" s="29">
        <v>46290</v>
      </c>
      <c r="G5093" s="29">
        <v>46290</v>
      </c>
      <c r="H5093" s="1" t="s">
        <v>8028</v>
      </c>
      <c r="I5093" s="251" t="s">
        <v>11263</v>
      </c>
      <c r="J5093" s="175"/>
      <c r="K5093" s="188" t="s">
        <v>11264</v>
      </c>
      <c r="L5093" s="242">
        <v>24841244</v>
      </c>
      <c r="M5093" s="243">
        <v>5216461215655</v>
      </c>
      <c r="N5093" s="171" t="s">
        <v>47</v>
      </c>
      <c r="O5093" s="43">
        <v>6812.39</v>
      </c>
      <c r="P5093" s="43">
        <v>879</v>
      </c>
      <c r="Q5093" s="256">
        <f>OfficeForms.Table[[#This Row],[ INFORMEDEPAGO ]]*0.3</f>
        <v>2043.7170000000001</v>
      </c>
      <c r="R5093" s="43">
        <f>(IF(O5093&lt;4172.98,0,MIN(O5093*0.3,O5093-4172.98)))-P5093</f>
        <v>1164.7170000000001</v>
      </c>
      <c r="T5093" s="261"/>
      <c r="U5093" s="97"/>
      <c r="V5093" s="239" t="s">
        <v>10898</v>
      </c>
      <c r="W5093" s="29">
        <v>46290</v>
      </c>
    </row>
    <row r="5094" spans="1:23">
      <c r="A5094">
        <v>3536</v>
      </c>
      <c r="B5094" s="2">
        <v>46290.523333333302</v>
      </c>
      <c r="C5094" s="2">
        <v>46290.683125000003</v>
      </c>
      <c r="D5094" s="1" t="s">
        <v>24</v>
      </c>
      <c r="E5094" s="1"/>
      <c r="F5094" s="29">
        <v>46290</v>
      </c>
      <c r="G5094" s="29">
        <v>46289</v>
      </c>
      <c r="H5094" s="1" t="s">
        <v>8381</v>
      </c>
      <c r="I5094" s="251" t="s">
        <v>11265</v>
      </c>
      <c r="J5094" s="175">
        <v>11815802811</v>
      </c>
      <c r="K5094" s="188" t="s">
        <v>11266</v>
      </c>
      <c r="L5094" s="242">
        <v>24826332</v>
      </c>
      <c r="M5094" s="243">
        <v>5215578344166</v>
      </c>
      <c r="N5094" s="171" t="s">
        <v>37</v>
      </c>
      <c r="O5094" s="52">
        <v>6262.86</v>
      </c>
      <c r="P5094" s="52">
        <v>1800</v>
      </c>
      <c r="Q5094" s="256">
        <f>OfficeForms.Table[[#This Row],[ INFORMEDEPAGO ]]*0.3</f>
        <v>1878.8579999999997</v>
      </c>
      <c r="R5094" s="43">
        <f t="shared" ref="R5094:R5096" si="441">(IF(O5094&lt;4172.98,0,MIN(O5094*0.3,O5094-4172.98)))-P5094</f>
        <v>78.85799999999972</v>
      </c>
      <c r="S5094" s="74">
        <v>46478</v>
      </c>
      <c r="T5094" s="261" t="s">
        <v>8338</v>
      </c>
      <c r="U5094" s="97">
        <v>1800</v>
      </c>
      <c r="V5094" s="239"/>
    </row>
    <row r="5095" spans="1:23">
      <c r="A5095">
        <v>3537</v>
      </c>
      <c r="B5095" s="2">
        <v>46290.678032407399</v>
      </c>
      <c r="C5095" s="2">
        <v>46290.686076388898</v>
      </c>
      <c r="D5095" s="1" t="s">
        <v>24</v>
      </c>
      <c r="E5095" s="1"/>
      <c r="F5095" s="29">
        <v>46290</v>
      </c>
      <c r="G5095" s="29">
        <v>46290</v>
      </c>
      <c r="H5095" s="1" t="s">
        <v>8028</v>
      </c>
      <c r="I5095" s="251" t="s">
        <v>11267</v>
      </c>
      <c r="J5095" s="175"/>
      <c r="K5095" s="188" t="s">
        <v>11268</v>
      </c>
      <c r="L5095" s="242">
        <v>24841382</v>
      </c>
      <c r="M5095" s="243">
        <v>5219512780721</v>
      </c>
      <c r="N5095" s="171" t="s">
        <v>98</v>
      </c>
      <c r="O5095" s="50"/>
      <c r="P5095" s="97"/>
      <c r="Q5095" s="256">
        <f>OfficeForms.Table[[#This Row],[ INFORMEDEPAGO ]]*0.3</f>
        <v>0</v>
      </c>
      <c r="R5095" s="43">
        <f t="shared" si="441"/>
        <v>0</v>
      </c>
      <c r="T5095" s="261"/>
      <c r="U5095" s="97"/>
      <c r="V5095" s="239"/>
    </row>
    <row r="5096" spans="1:23">
      <c r="A5096">
        <v>3538</v>
      </c>
      <c r="B5096" s="2">
        <v>46290.650115740696</v>
      </c>
      <c r="C5096" s="2">
        <v>46290.686365740701</v>
      </c>
      <c r="D5096" s="1" t="s">
        <v>24</v>
      </c>
      <c r="E5096" s="1"/>
      <c r="F5096" s="29">
        <v>46290</v>
      </c>
      <c r="G5096" s="29">
        <v>46290</v>
      </c>
      <c r="H5096" s="1" t="s">
        <v>1625</v>
      </c>
      <c r="I5096" s="251" t="s">
        <v>11269</v>
      </c>
      <c r="J5096" s="175">
        <v>62846009231</v>
      </c>
      <c r="K5096" s="188" t="s">
        <v>11270</v>
      </c>
      <c r="L5096" s="242">
        <v>2</v>
      </c>
      <c r="M5096" s="243">
        <v>2223691929</v>
      </c>
      <c r="N5096" s="171" t="s">
        <v>37</v>
      </c>
      <c r="O5096" s="43">
        <v>8568.9699999999993</v>
      </c>
      <c r="P5096" s="43">
        <v>2477.38</v>
      </c>
      <c r="Q5096" s="256">
        <f>OfficeForms.Table[[#This Row],[ INFORMEDEPAGO ]]*0.3</f>
        <v>2570.6909999999998</v>
      </c>
      <c r="R5096" s="43">
        <f t="shared" si="441"/>
        <v>93.310999999999694</v>
      </c>
      <c r="S5096" s="74">
        <v>46296</v>
      </c>
      <c r="T5096" s="261" t="s">
        <v>8398</v>
      </c>
      <c r="U5096" s="97">
        <v>1337.89</v>
      </c>
      <c r="V5096" s="239"/>
    </row>
    <row r="5097" spans="1:23">
      <c r="A5097">
        <v>3539</v>
      </c>
      <c r="B5097" s="2">
        <v>46290.683159722197</v>
      </c>
      <c r="C5097" s="2">
        <v>46290.687870370399</v>
      </c>
      <c r="D5097" s="1" t="s">
        <v>24</v>
      </c>
      <c r="E5097" s="1"/>
      <c r="F5097" s="29">
        <v>46290</v>
      </c>
      <c r="G5097" s="29">
        <v>46290</v>
      </c>
      <c r="H5097" s="1" t="s">
        <v>8381</v>
      </c>
      <c r="I5097" s="251" t="s">
        <v>11271</v>
      </c>
      <c r="J5097" s="175"/>
      <c r="K5097" s="188" t="s">
        <v>11272</v>
      </c>
      <c r="L5097" s="242">
        <v>24834106</v>
      </c>
      <c r="M5097" s="243">
        <v>5216531205818</v>
      </c>
      <c r="N5097" s="171" t="s">
        <v>28</v>
      </c>
      <c r="O5097" s="50">
        <v>8181.55</v>
      </c>
      <c r="P5097" s="97"/>
      <c r="Q5097" s="256">
        <f>OfficeForms.Table[[#This Row],[ INFORMEDEPAGO ]]*0.3</f>
        <v>2454.4650000000001</v>
      </c>
      <c r="R5097" s="43">
        <f>(IF(O5097&lt;4172.98,0,MIN(O5097*0.3,O5097-4172.98)))-P5097</f>
        <v>2454.4650000000001</v>
      </c>
      <c r="T5097" s="261"/>
      <c r="U5097" s="97"/>
      <c r="V5097" s="239" t="s">
        <v>9777</v>
      </c>
      <c r="W5097" s="29">
        <v>46290</v>
      </c>
    </row>
    <row r="5098" spans="1:23">
      <c r="A5098">
        <v>3540</v>
      </c>
      <c r="B5098" s="2">
        <v>46290.693171296298</v>
      </c>
      <c r="C5098" s="2">
        <v>46290.6936921296</v>
      </c>
      <c r="D5098" s="1" t="s">
        <v>24</v>
      </c>
      <c r="E5098" s="1"/>
      <c r="F5098" s="29">
        <v>46290</v>
      </c>
      <c r="G5098" s="29">
        <v>46289</v>
      </c>
      <c r="H5098" s="1" t="s">
        <v>269</v>
      </c>
      <c r="I5098" s="251" t="s">
        <v>11273</v>
      </c>
      <c r="J5098" s="207" t="s">
        <v>11274</v>
      </c>
      <c r="K5098" s="188" t="s">
        <v>11275</v>
      </c>
      <c r="L5098" s="242">
        <v>24824518</v>
      </c>
      <c r="M5098" s="243">
        <v>5216623441881</v>
      </c>
      <c r="N5098" s="171" t="s">
        <v>32</v>
      </c>
      <c r="O5098" s="50">
        <v>3623.38</v>
      </c>
      <c r="P5098" s="97"/>
      <c r="Q5098" s="256">
        <f>OfficeForms.Table[[#This Row],[ INFORMEDEPAGO ]]*0.3</f>
        <v>1087.0139999999999</v>
      </c>
      <c r="R5098" s="43">
        <f t="shared" ref="R5098:R5099" si="442">(IF(O5098&lt;4172.98,0,MIN(O5098*0.3,O5098-4172.98)))-P5098</f>
        <v>0</v>
      </c>
      <c r="T5098" s="261"/>
      <c r="U5098" s="97"/>
      <c r="V5098" s="239"/>
    </row>
    <row r="5099" spans="1:23">
      <c r="A5099">
        <v>3541</v>
      </c>
      <c r="B5099" s="2">
        <v>46290.6951736111</v>
      </c>
      <c r="C5099" s="2">
        <v>46290.695625</v>
      </c>
      <c r="D5099" s="1" t="s">
        <v>24</v>
      </c>
      <c r="E5099" s="1"/>
      <c r="F5099" s="29">
        <v>46290</v>
      </c>
      <c r="G5099" s="29">
        <v>46290</v>
      </c>
      <c r="H5099" s="1" t="s">
        <v>269</v>
      </c>
      <c r="I5099" s="251" t="s">
        <v>11276</v>
      </c>
      <c r="J5099" s="207"/>
      <c r="K5099" s="188" t="s">
        <v>11277</v>
      </c>
      <c r="L5099" s="242">
        <v>24836062</v>
      </c>
      <c r="M5099" s="243">
        <v>5212291245135</v>
      </c>
      <c r="N5099" s="171" t="s">
        <v>37</v>
      </c>
      <c r="O5099" s="52">
        <v>7920.51</v>
      </c>
      <c r="P5099" s="52">
        <v>2376.15</v>
      </c>
      <c r="Q5099" s="256">
        <f>OfficeForms.Table[[#This Row],[ INFORMEDEPAGO ]]*0.3</f>
        <v>2376.1529999999998</v>
      </c>
      <c r="R5099" s="43">
        <f t="shared" si="442"/>
        <v>2.9999999997016857E-3</v>
      </c>
      <c r="S5099" s="74">
        <v>46997</v>
      </c>
      <c r="T5099" s="261" t="s">
        <v>362</v>
      </c>
      <c r="U5099" s="52">
        <v>2376.15</v>
      </c>
      <c r="V5099" s="239"/>
    </row>
    <row r="5100" spans="1:23">
      <c r="A5100">
        <v>3542</v>
      </c>
      <c r="B5100" s="2">
        <v>46290.705671296302</v>
      </c>
      <c r="C5100" s="2">
        <v>46290.7061805556</v>
      </c>
      <c r="D5100" s="1" t="s">
        <v>24</v>
      </c>
      <c r="E5100" s="1"/>
      <c r="F5100" s="29">
        <v>46290</v>
      </c>
      <c r="G5100" s="29">
        <v>46289</v>
      </c>
      <c r="H5100" s="1" t="s">
        <v>9991</v>
      </c>
      <c r="I5100" s="251" t="s">
        <v>11278</v>
      </c>
      <c r="J5100" s="207"/>
      <c r="K5100" s="188" t="s">
        <v>11279</v>
      </c>
      <c r="L5100" s="242">
        <v>24800178</v>
      </c>
      <c r="M5100" s="243">
        <v>6323245923</v>
      </c>
      <c r="N5100" s="171" t="s">
        <v>37</v>
      </c>
      <c r="O5100" s="52">
        <v>9081.52</v>
      </c>
      <c r="P5100" s="52">
        <v>2627.5</v>
      </c>
      <c r="Q5100" s="256">
        <f>OfficeForms.Table[[#This Row],[ INFORMEDEPAGO ]]*0.3</f>
        <v>2724.4560000000001</v>
      </c>
      <c r="R5100" s="43">
        <f t="shared" ref="R5100" si="443">(IF(O5100&lt;4172.98,0,MIN(O5100*0.3,O5100-4172.98)))-P5100</f>
        <v>96.956000000000131</v>
      </c>
      <c r="S5100" s="74">
        <v>46508</v>
      </c>
      <c r="T5100" s="261" t="s">
        <v>7209</v>
      </c>
      <c r="U5100" s="52">
        <v>2627.5</v>
      </c>
      <c r="V5100" s="239"/>
    </row>
    <row r="5101" spans="1:23">
      <c r="A5101">
        <v>3543</v>
      </c>
      <c r="B5101" s="2">
        <v>46290.709907407399</v>
      </c>
      <c r="C5101" s="2">
        <v>46290.7110300926</v>
      </c>
      <c r="D5101" s="1" t="s">
        <v>24</v>
      </c>
      <c r="E5101" s="1"/>
      <c r="F5101" s="29">
        <v>46290</v>
      </c>
      <c r="G5101" s="29">
        <v>46290</v>
      </c>
      <c r="H5101" s="1" t="s">
        <v>103</v>
      </c>
      <c r="I5101" s="251" t="s">
        <v>11280</v>
      </c>
      <c r="J5101" s="208" t="s">
        <v>11281</v>
      </c>
      <c r="K5101" s="188"/>
      <c r="L5101" s="242">
        <v>1</v>
      </c>
      <c r="M5101" s="243">
        <v>8114746025</v>
      </c>
      <c r="N5101" s="171" t="s">
        <v>28</v>
      </c>
      <c r="O5101" s="43">
        <v>36506.21</v>
      </c>
      <c r="P5101" s="43">
        <v>9562.5400000000009</v>
      </c>
      <c r="Q5101" s="256">
        <f>OfficeForms.Table[[#This Row],[ INFORMEDEPAGO ]]*0.3</f>
        <v>10951.862999999999</v>
      </c>
      <c r="R5101" s="43">
        <f t="shared" ref="R5101:R5102" si="444">(IF(O5101&lt;4172.98,0,MIN(O5101*0.3,O5101-4172.98)))-P5101</f>
        <v>1389.3229999999985</v>
      </c>
      <c r="S5101" s="74">
        <v>46631</v>
      </c>
      <c r="T5101" s="261" t="s">
        <v>84</v>
      </c>
      <c r="U5101" s="97">
        <v>1151.54</v>
      </c>
      <c r="V5101" s="239"/>
    </row>
    <row r="5102" spans="1:23">
      <c r="A5102">
        <v>3544</v>
      </c>
      <c r="B5102" s="2">
        <v>46290.712071759299</v>
      </c>
      <c r="C5102" s="2">
        <v>46290.7129166667</v>
      </c>
      <c r="D5102" s="1" t="s">
        <v>24</v>
      </c>
      <c r="E5102" s="1"/>
      <c r="F5102" s="29">
        <v>46290</v>
      </c>
      <c r="G5102" s="29">
        <v>46290</v>
      </c>
      <c r="H5102" s="1" t="s">
        <v>269</v>
      </c>
      <c r="I5102" s="251" t="s">
        <v>11282</v>
      </c>
      <c r="J5102" s="175" t="s">
        <v>11283</v>
      </c>
      <c r="K5102" s="188" t="s">
        <v>11284</v>
      </c>
      <c r="L5102" s="242">
        <v>24841880</v>
      </c>
      <c r="M5102" s="243">
        <v>5214434091507</v>
      </c>
      <c r="N5102" s="171" t="s">
        <v>37</v>
      </c>
      <c r="O5102" s="52">
        <v>5055.87</v>
      </c>
      <c r="P5102" s="52">
        <v>1300</v>
      </c>
      <c r="Q5102" s="256">
        <f>OfficeForms.Table[[#This Row],[ INFORMEDEPAGO ]]*0.3</f>
        <v>1516.761</v>
      </c>
      <c r="R5102" s="43">
        <f t="shared" si="444"/>
        <v>-417.10999999999967</v>
      </c>
      <c r="S5102" s="74">
        <v>46722</v>
      </c>
      <c r="T5102" s="261" t="s">
        <v>7516</v>
      </c>
      <c r="U5102" s="97">
        <v>419</v>
      </c>
      <c r="V5102" s="239"/>
    </row>
    <row r="5103" spans="1:23">
      <c r="A5103">
        <v>3545</v>
      </c>
      <c r="B5103" s="2">
        <v>46290.6879050926</v>
      </c>
      <c r="C5103" s="2">
        <v>46290.728055555599</v>
      </c>
      <c r="D5103" s="1" t="s">
        <v>24</v>
      </c>
      <c r="E5103" s="1"/>
      <c r="F5103" s="29">
        <v>46290</v>
      </c>
      <c r="G5103" s="29">
        <v>46290</v>
      </c>
      <c r="H5103" s="1" t="s">
        <v>8381</v>
      </c>
      <c r="I5103" s="251" t="s">
        <v>11285</v>
      </c>
      <c r="J5103" s="175"/>
      <c r="K5103" s="188" t="s">
        <v>11286</v>
      </c>
      <c r="L5103" s="242">
        <v>24837562</v>
      </c>
      <c r="M5103" s="243">
        <v>5218445013978</v>
      </c>
      <c r="N5103" s="171" t="s">
        <v>37</v>
      </c>
      <c r="O5103" s="52">
        <v>6676.01</v>
      </c>
      <c r="P5103" s="52">
        <v>1928.71</v>
      </c>
      <c r="Q5103" s="256">
        <f>OfficeForms.Table[[#This Row],[ INFORMEDEPAGO ]]*0.3</f>
        <v>2002.8029999999999</v>
      </c>
      <c r="R5103" s="43">
        <f t="shared" ref="R5103" si="445">(IF(O5103&lt;4172.98,0,MIN(O5103*0.3,O5103-4172.98)))-P5103</f>
        <v>74.092999999999847</v>
      </c>
      <c r="S5103" s="74">
        <v>46419</v>
      </c>
      <c r="T5103" s="261" t="s">
        <v>8757</v>
      </c>
      <c r="U5103" s="97">
        <v>1039.3900000000001</v>
      </c>
      <c r="V5103" s="239"/>
    </row>
    <row r="5104" spans="1:23">
      <c r="A5104">
        <v>3546</v>
      </c>
      <c r="B5104" s="2">
        <v>46290.718622685199</v>
      </c>
      <c r="C5104" s="2">
        <v>46290.728888888902</v>
      </c>
      <c r="D5104" s="1" t="s">
        <v>24</v>
      </c>
      <c r="E5104" s="1"/>
      <c r="F5104" s="29">
        <v>46290</v>
      </c>
      <c r="G5104" s="29">
        <v>46284</v>
      </c>
      <c r="H5104" s="1" t="s">
        <v>78</v>
      </c>
      <c r="I5104" s="251" t="s">
        <v>11287</v>
      </c>
      <c r="J5104" s="175">
        <v>11846515291</v>
      </c>
      <c r="K5104" s="188" t="s">
        <v>11288</v>
      </c>
      <c r="L5104" s="242">
        <v>24662864</v>
      </c>
      <c r="M5104" s="243">
        <v>5218331566370</v>
      </c>
      <c r="N5104" s="171" t="s">
        <v>37</v>
      </c>
      <c r="O5104" s="52">
        <v>9760.32</v>
      </c>
      <c r="P5104" s="52">
        <v>2924.46</v>
      </c>
      <c r="Q5104" s="256">
        <f>OfficeForms.Table[[#This Row],[ INFORMEDEPAGO ]]*0.3</f>
        <v>2928.096</v>
      </c>
      <c r="R5104" s="43">
        <f t="shared" ref="R5104" si="446">(IF(O5104&lt;4172.98,0,MIN(O5104*0.3,O5104-4172.98)))-P5104</f>
        <v>3.6359999999999673</v>
      </c>
      <c r="S5104" s="74">
        <v>46844</v>
      </c>
      <c r="T5104" s="261" t="s">
        <v>7209</v>
      </c>
      <c r="U5104" s="52">
        <v>2924.46</v>
      </c>
      <c r="V5104" s="239"/>
    </row>
    <row r="5105" spans="1:23">
      <c r="A5105">
        <v>3547</v>
      </c>
      <c r="B5105" s="2">
        <v>46290.742881944403</v>
      </c>
      <c r="C5105" s="2">
        <v>46290.743796296301</v>
      </c>
      <c r="D5105" s="1" t="s">
        <v>24</v>
      </c>
      <c r="E5105" s="1"/>
      <c r="F5105" s="29">
        <v>46290</v>
      </c>
      <c r="G5105" s="29">
        <v>46287</v>
      </c>
      <c r="H5105" s="1" t="s">
        <v>269</v>
      </c>
      <c r="I5105" s="251" t="s">
        <v>11289</v>
      </c>
      <c r="J5105" s="175"/>
      <c r="K5105" s="188" t="s">
        <v>11290</v>
      </c>
      <c r="L5105" s="242">
        <v>24738636</v>
      </c>
      <c r="M5105" s="243">
        <v>5214811409546</v>
      </c>
      <c r="N5105" s="171" t="s">
        <v>98</v>
      </c>
      <c r="O5105" s="67"/>
      <c r="P5105" s="99"/>
      <c r="Q5105" s="256">
        <f>OfficeForms.Table[[#This Row],[ INFORMEDEPAGO ]]*0.3</f>
        <v>0</v>
      </c>
      <c r="R5105" s="43">
        <f t="shared" ref="R5105" si="447">(IF(O5105&lt;4172.98,0,MIN(O5105*0.3,O5105-4172.98)))-P5105</f>
        <v>0</v>
      </c>
      <c r="T5105" s="261"/>
      <c r="U5105" s="99"/>
      <c r="V5105" s="239"/>
    </row>
    <row r="5106" spans="1:23">
      <c r="A5106">
        <v>3548</v>
      </c>
      <c r="B5106" s="2">
        <v>46290.728078703702</v>
      </c>
      <c r="C5106" s="2">
        <v>46290.750844907401</v>
      </c>
      <c r="D5106" s="1" t="s">
        <v>24</v>
      </c>
      <c r="E5106" s="1"/>
      <c r="F5106" s="29">
        <v>46290</v>
      </c>
      <c r="G5106" s="29">
        <v>46290</v>
      </c>
      <c r="H5106" s="1" t="s">
        <v>8381</v>
      </c>
      <c r="I5106" s="251" t="s">
        <v>11291</v>
      </c>
      <c r="J5106" s="175"/>
      <c r="K5106" s="188" t="s">
        <v>11292</v>
      </c>
      <c r="L5106" s="242">
        <v>24837796</v>
      </c>
      <c r="M5106" s="243">
        <v>5219984820227</v>
      </c>
      <c r="N5106" s="171" t="s">
        <v>37</v>
      </c>
      <c r="O5106" s="52">
        <v>9775.31</v>
      </c>
      <c r="P5106" s="52">
        <v>2828.23</v>
      </c>
      <c r="Q5106" s="256">
        <f>OfficeForms.Table[[#This Row],[ INFORMEDEPAGO ]]*0.3</f>
        <v>2932.5929999999998</v>
      </c>
      <c r="R5106" s="43">
        <f t="shared" ref="R5106" si="448">(IF(O5106&lt;4172.98,0,MIN(O5106*0.3,O5106-4172.98)))-P5106</f>
        <v>104.36299999999983</v>
      </c>
      <c r="S5106" s="74">
        <v>46539</v>
      </c>
      <c r="T5106" s="261" t="s">
        <v>7209</v>
      </c>
      <c r="U5106" s="52">
        <v>2828.23</v>
      </c>
      <c r="V5106" s="239"/>
    </row>
    <row r="5107" spans="1:23">
      <c r="A5107">
        <v>3549</v>
      </c>
      <c r="B5107" s="2">
        <v>46290.748252314799</v>
      </c>
      <c r="C5107" s="2">
        <v>46290.753113425897</v>
      </c>
      <c r="D5107" s="1" t="s">
        <v>24</v>
      </c>
      <c r="E5107" s="1"/>
      <c r="F5107" s="29">
        <v>46290</v>
      </c>
      <c r="G5107" s="29">
        <v>46290</v>
      </c>
      <c r="H5107" s="1" t="s">
        <v>8028</v>
      </c>
      <c r="I5107" s="251" t="s">
        <v>11293</v>
      </c>
      <c r="J5107" s="175"/>
      <c r="K5107" s="188" t="s">
        <v>11294</v>
      </c>
      <c r="L5107" s="242">
        <v>24843042</v>
      </c>
      <c r="M5107" s="243">
        <v>5218126351730</v>
      </c>
      <c r="N5107" s="171" t="s">
        <v>47</v>
      </c>
      <c r="O5107" s="67">
        <v>4547.1499999999996</v>
      </c>
      <c r="P5107" s="99"/>
      <c r="Q5107" s="256">
        <f>OfficeForms.Table[[#This Row],[ INFORMEDEPAGO ]]*0.3</f>
        <v>1364.1449999999998</v>
      </c>
      <c r="R5107" s="43">
        <f t="shared" ref="R5107" si="449">(IF(O5107&lt;4172.98,0,MIN(O5107*0.3,O5107-4172.98)))-P5107</f>
        <v>374.17000000000007</v>
      </c>
      <c r="T5107" s="261"/>
      <c r="U5107" s="99"/>
      <c r="V5107" s="239" t="s">
        <v>11295</v>
      </c>
      <c r="W5107" s="29">
        <v>46290</v>
      </c>
    </row>
    <row r="5108" spans="1:23">
      <c r="A5108">
        <v>3550</v>
      </c>
      <c r="B5108" s="2">
        <v>46290.753287036998</v>
      </c>
      <c r="C5108" s="2">
        <v>46290.778136574103</v>
      </c>
      <c r="D5108" s="1" t="s">
        <v>24</v>
      </c>
      <c r="E5108" s="1"/>
      <c r="F5108" s="29">
        <v>46290</v>
      </c>
      <c r="G5108" s="29">
        <v>46290</v>
      </c>
      <c r="H5108" s="1" t="s">
        <v>8028</v>
      </c>
      <c r="I5108" s="251" t="s">
        <v>11296</v>
      </c>
      <c r="J5108" s="175">
        <v>2478571623</v>
      </c>
      <c r="K5108" s="188"/>
      <c r="L5108" s="242">
        <v>24842778</v>
      </c>
      <c r="M5108" s="243">
        <v>5216621829126</v>
      </c>
      <c r="N5108" s="171" t="s">
        <v>28</v>
      </c>
      <c r="O5108" s="52">
        <v>21890.16</v>
      </c>
      <c r="P5108" s="52">
        <v>879</v>
      </c>
      <c r="Q5108" s="256">
        <f>OfficeForms.Table[[#This Row],[ INFORMEDEPAGO ]]*0.3</f>
        <v>6567.0479999999998</v>
      </c>
      <c r="R5108" s="43">
        <f t="shared" ref="R5108:R5109" si="450">(IF(O5108&lt;4172.98,0,MIN(O5108*0.3,O5108-4172.98)))-P5108</f>
        <v>5688.0479999999998</v>
      </c>
      <c r="T5108" s="261"/>
      <c r="U5108" s="99"/>
      <c r="V5108" s="239" t="s">
        <v>8915</v>
      </c>
      <c r="W5108" s="29">
        <v>46290</v>
      </c>
    </row>
    <row r="5109" spans="1:23">
      <c r="A5109">
        <v>3551</v>
      </c>
      <c r="B5109" s="2">
        <v>46290.778275463003</v>
      </c>
      <c r="C5109" s="2">
        <v>46290.778900463003</v>
      </c>
      <c r="D5109" s="1" t="s">
        <v>24</v>
      </c>
      <c r="E5109" s="1"/>
      <c r="F5109" s="29">
        <v>46290</v>
      </c>
      <c r="G5109" s="29">
        <v>46290</v>
      </c>
      <c r="H5109" s="1" t="s">
        <v>8028</v>
      </c>
      <c r="I5109" s="251" t="s">
        <v>11297</v>
      </c>
      <c r="J5109" s="175"/>
      <c r="K5109" s="188" t="s">
        <v>11298</v>
      </c>
      <c r="L5109" s="242">
        <v>24843310</v>
      </c>
      <c r="M5109" s="243">
        <v>5215633474097</v>
      </c>
      <c r="N5109" s="171" t="s">
        <v>37</v>
      </c>
      <c r="O5109" s="52">
        <v>9760.32</v>
      </c>
      <c r="P5109" s="52">
        <v>2928.1</v>
      </c>
      <c r="Q5109" s="256">
        <f>OfficeForms.Table[[#This Row],[ INFORMEDEPAGO ]]*0.3</f>
        <v>2928.096</v>
      </c>
      <c r="R5109" s="43">
        <f t="shared" si="450"/>
        <v>-3.9999999999054126E-3</v>
      </c>
      <c r="S5109" s="74">
        <v>46844</v>
      </c>
      <c r="T5109" s="261" t="s">
        <v>7516</v>
      </c>
      <c r="U5109" s="99">
        <v>2154.4499999999998</v>
      </c>
      <c r="V5109" s="239"/>
    </row>
    <row r="5110" spans="1:23">
      <c r="A5110">
        <v>3552</v>
      </c>
      <c r="B5110" s="2">
        <v>46290.792071759301</v>
      </c>
      <c r="C5110" s="2">
        <v>46290.792812500003</v>
      </c>
      <c r="D5110" s="1" t="s">
        <v>24</v>
      </c>
      <c r="E5110" s="1"/>
      <c r="F5110" s="29">
        <v>46290</v>
      </c>
      <c r="G5110" s="29">
        <v>46290</v>
      </c>
      <c r="H5110" s="1" t="s">
        <v>8028</v>
      </c>
      <c r="I5110" s="251" t="s">
        <v>11299</v>
      </c>
      <c r="J5110" s="175"/>
      <c r="K5110" s="188" t="s">
        <v>11300</v>
      </c>
      <c r="L5110" s="242">
        <v>24843510</v>
      </c>
      <c r="M5110" s="243">
        <v>5219983035815</v>
      </c>
      <c r="N5110" s="171" t="s">
        <v>37</v>
      </c>
      <c r="O5110" s="52">
        <v>7920.51</v>
      </c>
      <c r="P5110" s="52">
        <v>2215.2800000000002</v>
      </c>
      <c r="Q5110" s="256">
        <f>OfficeForms.Table[[#This Row],[ INFORMEDEPAGO ]]*0.3</f>
        <v>2376.1529999999998</v>
      </c>
      <c r="R5110" s="43">
        <f t="shared" ref="R5110" si="451">(IF(O5110&lt;4172.98,0,MIN(O5110*0.3,O5110-4172.98)))-P5110</f>
        <v>160.87299999999959</v>
      </c>
      <c r="S5110" s="74">
        <v>46508</v>
      </c>
      <c r="T5110" s="261" t="s">
        <v>8415</v>
      </c>
      <c r="U5110" s="52">
        <v>2215.2800000000002</v>
      </c>
      <c r="V5110" s="239"/>
    </row>
    <row r="5111" spans="1:23">
      <c r="A5111">
        <v>3553</v>
      </c>
      <c r="B5111" s="2">
        <v>46291.3801157407</v>
      </c>
      <c r="C5111" s="2">
        <v>46291.380648148101</v>
      </c>
      <c r="D5111" s="1" t="s">
        <v>24</v>
      </c>
      <c r="E5111" s="1"/>
      <c r="F5111" s="29">
        <v>46291</v>
      </c>
      <c r="G5111" s="29">
        <v>46291</v>
      </c>
      <c r="H5111" s="1" t="s">
        <v>1625</v>
      </c>
      <c r="I5111" s="251" t="s">
        <v>11301</v>
      </c>
      <c r="J5111" s="175">
        <v>43785925652</v>
      </c>
      <c r="K5111" s="188" t="s">
        <v>11302</v>
      </c>
      <c r="L5111" s="242">
        <v>2</v>
      </c>
      <c r="M5111" s="243">
        <v>8132340438</v>
      </c>
      <c r="N5111" s="171" t="s">
        <v>37</v>
      </c>
      <c r="O5111" s="52">
        <v>6460.14</v>
      </c>
      <c r="P5111" s="52">
        <v>1868.93</v>
      </c>
      <c r="Q5111" s="256">
        <f>OfficeForms.Table[[#This Row],[ INFORMEDEPAGO ]]*0.3</f>
        <v>1938.0419999999999</v>
      </c>
      <c r="R5111" s="43">
        <f t="shared" ref="R5111" si="452">(IF(O5111&lt;4172.98,0,MIN(O5111*0.3,O5111-4172.98)))-P5111</f>
        <v>69.111999999999853</v>
      </c>
      <c r="S5111" s="74">
        <v>46419</v>
      </c>
      <c r="T5111" s="261" t="s">
        <v>7209</v>
      </c>
      <c r="U5111" s="99">
        <v>605.92999999999995</v>
      </c>
      <c r="V5111" s="239"/>
    </row>
    <row r="5112" spans="1:23">
      <c r="A5112">
        <v>3554</v>
      </c>
      <c r="B5112" s="2">
        <v>46291.3839814815</v>
      </c>
      <c r="C5112" s="2">
        <v>46291.385902777802</v>
      </c>
      <c r="D5112" s="1" t="s">
        <v>24</v>
      </c>
      <c r="E5112" s="1"/>
      <c r="F5112" s="29">
        <v>46291</v>
      </c>
      <c r="G5112" s="29">
        <v>46291</v>
      </c>
      <c r="H5112" s="1" t="s">
        <v>103</v>
      </c>
      <c r="I5112" s="251" t="s">
        <v>11303</v>
      </c>
      <c r="J5112" s="175">
        <v>14876411068</v>
      </c>
      <c r="K5112" s="188"/>
      <c r="L5112" s="242">
        <v>1</v>
      </c>
      <c r="M5112" s="243">
        <v>2295244063</v>
      </c>
      <c r="N5112" s="171" t="s">
        <v>28</v>
      </c>
      <c r="O5112" s="67">
        <v>18751.45</v>
      </c>
      <c r="P5112" s="99"/>
      <c r="Q5112" s="256">
        <f>OfficeForms.Table[[#This Row],[ INFORMEDEPAGO ]]*0.3</f>
        <v>5625.4350000000004</v>
      </c>
      <c r="R5112" s="43">
        <f t="shared" ref="R5112:R5113" si="453">(IF(O5112&lt;4172.98,0,MIN(O5112*0.3,O5112-4172.98)))-P5112</f>
        <v>5625.4350000000004</v>
      </c>
      <c r="T5112" s="261"/>
      <c r="U5112" s="99"/>
      <c r="V5112" s="239"/>
    </row>
    <row r="5113" spans="1:23">
      <c r="A5113">
        <v>3555</v>
      </c>
      <c r="B5113" s="2">
        <v>46291.387604166703</v>
      </c>
      <c r="C5113" s="2">
        <v>46291.388032407398</v>
      </c>
      <c r="D5113" s="1" t="s">
        <v>24</v>
      </c>
      <c r="E5113" s="1"/>
      <c r="F5113" s="29">
        <v>46291</v>
      </c>
      <c r="G5113" s="29">
        <v>46291</v>
      </c>
      <c r="H5113" s="1" t="s">
        <v>269</v>
      </c>
      <c r="I5113" s="251" t="s">
        <v>11304</v>
      </c>
      <c r="J5113" s="207" t="s">
        <v>11305</v>
      </c>
      <c r="K5113" s="188"/>
      <c r="L5113" s="242">
        <v>24851256</v>
      </c>
      <c r="M5113" s="243">
        <v>5218994663938</v>
      </c>
      <c r="N5113" s="171" t="s">
        <v>32</v>
      </c>
      <c r="O5113" s="67">
        <v>4431.32</v>
      </c>
      <c r="P5113" s="99"/>
      <c r="Q5113" s="256">
        <f>OfficeForms.Table[[#This Row],[ INFORMEDEPAGO ]]*0.3</f>
        <v>1329.396</v>
      </c>
      <c r="R5113" s="43">
        <f t="shared" si="453"/>
        <v>258.34000000000015</v>
      </c>
      <c r="T5113" s="261"/>
      <c r="U5113" s="99"/>
      <c r="V5113" s="239"/>
    </row>
    <row r="5114" spans="1:23">
      <c r="A5114">
        <v>3556</v>
      </c>
      <c r="B5114" s="2">
        <v>46291.408206018503</v>
      </c>
      <c r="C5114" s="2">
        <v>46291.408750000002</v>
      </c>
      <c r="D5114" s="1" t="s">
        <v>24</v>
      </c>
      <c r="E5114" s="1"/>
      <c r="F5114" s="29">
        <v>46291</v>
      </c>
      <c r="G5114" s="29">
        <v>46289</v>
      </c>
      <c r="H5114" s="1" t="s">
        <v>269</v>
      </c>
      <c r="I5114" s="251" t="s">
        <v>11306</v>
      </c>
      <c r="J5114" s="207" t="s">
        <v>11307</v>
      </c>
      <c r="K5114" s="188" t="s">
        <v>11308</v>
      </c>
      <c r="L5114" s="242">
        <v>24819848</v>
      </c>
      <c r="M5114" s="243">
        <v>5216673095367</v>
      </c>
      <c r="N5114" s="171" t="s">
        <v>37</v>
      </c>
      <c r="O5114" s="52">
        <v>5629.07</v>
      </c>
      <c r="P5114" s="52">
        <v>1403.69</v>
      </c>
      <c r="Q5114" s="256">
        <f>OfficeForms.Table[[#This Row],[ INFORMEDEPAGO ]]*0.3</f>
        <v>1688.7209999999998</v>
      </c>
      <c r="R5114" s="43">
        <f t="shared" ref="R5114:R5115" si="454">(IF(O5114&lt;4172.98,0,MIN(O5114*0.3,O5114-4172.98)))-P5114</f>
        <v>52.400000000000091</v>
      </c>
      <c r="S5114" s="74">
        <v>46478</v>
      </c>
      <c r="T5114" s="261" t="s">
        <v>8415</v>
      </c>
      <c r="U5114" s="52">
        <v>1403.69</v>
      </c>
      <c r="V5114" s="239"/>
    </row>
    <row r="5115" spans="1:23">
      <c r="A5115">
        <v>3557</v>
      </c>
      <c r="B5115" s="2">
        <v>46291.411215277803</v>
      </c>
      <c r="C5115" s="2">
        <v>46291.411828703698</v>
      </c>
      <c r="D5115" s="1" t="s">
        <v>24</v>
      </c>
      <c r="E5115" s="1"/>
      <c r="F5115" s="29">
        <v>46291</v>
      </c>
      <c r="G5115" s="29">
        <v>46290</v>
      </c>
      <c r="H5115" s="1" t="s">
        <v>269</v>
      </c>
      <c r="I5115" s="251"/>
      <c r="J5115" s="207" t="s">
        <v>11309</v>
      </c>
      <c r="K5115" s="188"/>
      <c r="L5115" s="242">
        <v>24845158</v>
      </c>
      <c r="M5115" s="243">
        <v>5214881240806</v>
      </c>
      <c r="N5115" s="171" t="s">
        <v>37</v>
      </c>
      <c r="O5115" s="52">
        <v>10636.54</v>
      </c>
      <c r="P5115" s="52">
        <v>3189.99</v>
      </c>
      <c r="Q5115" s="256">
        <f>OfficeForms.Table[[#This Row],[ INFORMEDEPAGO ]]*0.3</f>
        <v>3190.962</v>
      </c>
      <c r="R5115" s="43">
        <f t="shared" si="454"/>
        <v>0.97200000000020736</v>
      </c>
      <c r="S5115" s="74">
        <v>46997</v>
      </c>
      <c r="T5115" s="261" t="s">
        <v>7516</v>
      </c>
      <c r="U5115" s="52">
        <v>3189.99</v>
      </c>
      <c r="V5115" s="239"/>
    </row>
    <row r="5116" spans="1:23">
      <c r="A5116">
        <v>3558</v>
      </c>
      <c r="B5116" s="2">
        <v>46290.750868055598</v>
      </c>
      <c r="C5116" s="2">
        <v>46291.443287037</v>
      </c>
      <c r="D5116" s="1" t="s">
        <v>24</v>
      </c>
      <c r="E5116" s="1"/>
      <c r="F5116" s="29">
        <v>46291</v>
      </c>
      <c r="G5116" s="29">
        <v>46291</v>
      </c>
      <c r="H5116" s="1" t="s">
        <v>8381</v>
      </c>
      <c r="I5116" s="251" t="s">
        <v>11310</v>
      </c>
      <c r="J5116" s="207" t="s">
        <v>11311</v>
      </c>
      <c r="K5116" s="188" t="s">
        <v>11312</v>
      </c>
      <c r="L5116" s="242">
        <v>24849454</v>
      </c>
      <c r="M5116" s="243">
        <v>5218716065003</v>
      </c>
      <c r="N5116" s="171" t="s">
        <v>28</v>
      </c>
      <c r="O5116" s="67">
        <v>13853.05</v>
      </c>
      <c r="P5116" s="99"/>
      <c r="Q5116" s="256">
        <f>OfficeForms.Table[[#This Row],[ INFORMEDEPAGO ]]*0.3</f>
        <v>4155.915</v>
      </c>
      <c r="R5116" s="43">
        <f t="shared" ref="R5116" si="455">(IF(O5116&lt;4172.98,0,MIN(O5116*0.3,O5116-4172.98)))-P5116</f>
        <v>4155.915</v>
      </c>
      <c r="T5116" s="261"/>
      <c r="U5116" s="99"/>
      <c r="V5116" s="239" t="s">
        <v>11313</v>
      </c>
      <c r="W5116" s="29">
        <v>46291</v>
      </c>
    </row>
    <row r="5117" spans="1:23">
      <c r="A5117">
        <v>3559</v>
      </c>
      <c r="B5117" s="2">
        <v>46291.446145833303</v>
      </c>
      <c r="C5117" s="2">
        <v>46291.446689814802</v>
      </c>
      <c r="D5117" s="1" t="s">
        <v>24</v>
      </c>
      <c r="E5117" s="1"/>
      <c r="F5117" s="29">
        <v>46291</v>
      </c>
      <c r="G5117" s="29">
        <v>46291</v>
      </c>
      <c r="H5117" s="1" t="s">
        <v>269</v>
      </c>
      <c r="I5117" s="251" t="s">
        <v>11314</v>
      </c>
      <c r="J5117" s="207" t="s">
        <v>11315</v>
      </c>
      <c r="K5117" s="188" t="s">
        <v>11316</v>
      </c>
      <c r="L5117" s="242">
        <v>24852646</v>
      </c>
      <c r="M5117" s="243">
        <v>5214422319649</v>
      </c>
      <c r="N5117" s="171" t="s">
        <v>235</v>
      </c>
      <c r="O5117" s="67"/>
      <c r="P5117" s="99"/>
      <c r="Q5117" s="256">
        <f>OfficeForms.Table[[#This Row],[ INFORMEDEPAGO ]]*0.3</f>
        <v>0</v>
      </c>
      <c r="R5117" s="43">
        <f t="shared" ref="R5117:R5119" si="456">(IF(O5117&lt;4172.98,0,MIN(O5117*0.3,O5117-4172.98)))-P5117</f>
        <v>0</v>
      </c>
      <c r="T5117" s="261"/>
      <c r="U5117" s="99"/>
      <c r="V5117" s="239"/>
    </row>
    <row r="5118" spans="1:23">
      <c r="A5118">
        <v>3560</v>
      </c>
      <c r="B5118" s="2">
        <v>46291.480057870402</v>
      </c>
      <c r="C5118" s="2">
        <v>46291.480555555601</v>
      </c>
      <c r="D5118" s="1" t="s">
        <v>24</v>
      </c>
      <c r="E5118" s="1"/>
      <c r="F5118" s="29">
        <v>46291</v>
      </c>
      <c r="G5118" s="29">
        <v>46291</v>
      </c>
      <c r="H5118" s="1" t="s">
        <v>269</v>
      </c>
      <c r="I5118" s="251" t="s">
        <v>11317</v>
      </c>
      <c r="J5118" s="207"/>
      <c r="K5118" s="188" t="s">
        <v>11318</v>
      </c>
      <c r="L5118" s="242">
        <v>24852270</v>
      </c>
      <c r="M5118" s="243">
        <v>5213931801734</v>
      </c>
      <c r="N5118" s="171" t="s">
        <v>32</v>
      </c>
      <c r="O5118" s="67">
        <f>3034.86+848</f>
        <v>3882.86</v>
      </c>
      <c r="P5118" s="99">
        <v>848</v>
      </c>
      <c r="Q5118" s="256">
        <f>OfficeForms.Table[[#This Row],[ INFORMEDEPAGO ]]*0.3</f>
        <v>1164.8579999999999</v>
      </c>
      <c r="R5118" s="43">
        <f t="shared" si="456"/>
        <v>-848</v>
      </c>
      <c r="T5118" s="261"/>
      <c r="U5118" s="99"/>
      <c r="V5118" s="239"/>
    </row>
    <row r="5119" spans="1:23">
      <c r="A5119">
        <v>3561</v>
      </c>
      <c r="B5119" s="2">
        <v>46291.481400463003</v>
      </c>
      <c r="C5119" s="2">
        <v>46291.481874999998</v>
      </c>
      <c r="D5119" s="1" t="s">
        <v>24</v>
      </c>
      <c r="E5119" s="1"/>
      <c r="F5119" s="29">
        <v>46291</v>
      </c>
      <c r="G5119" s="29">
        <v>46290</v>
      </c>
      <c r="H5119" s="1" t="s">
        <v>269</v>
      </c>
      <c r="I5119" s="251" t="s">
        <v>11319</v>
      </c>
      <c r="J5119" s="207"/>
      <c r="K5119" s="188" t="s">
        <v>11320</v>
      </c>
      <c r="L5119" s="242">
        <v>24845832</v>
      </c>
      <c r="M5119" s="243">
        <v>5214891102579</v>
      </c>
      <c r="N5119" s="171" t="s">
        <v>37</v>
      </c>
      <c r="O5119" s="52">
        <v>5617.58</v>
      </c>
      <c r="P5119" s="52">
        <v>1439.74</v>
      </c>
      <c r="Q5119" s="256">
        <f>OfficeForms.Table[[#This Row],[ INFORMEDEPAGO ]]*0.3</f>
        <v>1685.2739999999999</v>
      </c>
      <c r="R5119" s="43">
        <f t="shared" si="456"/>
        <v>4.8600000000003547</v>
      </c>
      <c r="S5119" s="74">
        <v>46508</v>
      </c>
      <c r="T5119" s="261" t="s">
        <v>259</v>
      </c>
      <c r="U5119" s="99">
        <v>579.24</v>
      </c>
      <c r="V5119" s="239"/>
    </row>
    <row r="5120" spans="1:23">
      <c r="A5120">
        <v>3562</v>
      </c>
      <c r="B5120" s="2">
        <v>46291.501701388901</v>
      </c>
      <c r="C5120" s="2">
        <v>46291.5024305556</v>
      </c>
      <c r="D5120" s="1" t="s">
        <v>24</v>
      </c>
      <c r="E5120" s="1"/>
      <c r="F5120" s="29">
        <v>46291</v>
      </c>
      <c r="G5120" s="29">
        <v>46291</v>
      </c>
      <c r="H5120" s="1" t="s">
        <v>103</v>
      </c>
      <c r="I5120" s="251"/>
      <c r="J5120" s="207">
        <v>53704913796</v>
      </c>
      <c r="K5120" s="188"/>
      <c r="L5120" s="242">
        <v>1</v>
      </c>
      <c r="M5120" s="243">
        <v>4439460462</v>
      </c>
      <c r="N5120" s="171" t="s">
        <v>32</v>
      </c>
      <c r="O5120" s="67">
        <v>3547.06</v>
      </c>
      <c r="P5120" s="99"/>
      <c r="Q5120" s="256">
        <f>OfficeForms.Table[[#This Row],[ INFORMEDEPAGO ]]*0.3</f>
        <v>1064.1179999999999</v>
      </c>
      <c r="R5120" s="43">
        <f t="shared" ref="R5120:R5121" si="457">(IF(O5120&lt;4172.98,0,MIN(O5120*0.3,O5120-4172.98)))-P5120</f>
        <v>0</v>
      </c>
      <c r="T5120" s="261"/>
      <c r="U5120" s="99"/>
      <c r="V5120" s="239"/>
    </row>
    <row r="5121" spans="1:23">
      <c r="A5121">
        <v>3563</v>
      </c>
      <c r="B5121" s="2">
        <v>46291.443310185197</v>
      </c>
      <c r="C5121" s="2">
        <v>46291.505682870396</v>
      </c>
      <c r="D5121" s="1" t="s">
        <v>24</v>
      </c>
      <c r="E5121" s="1"/>
      <c r="F5121" s="29">
        <v>46291</v>
      </c>
      <c r="G5121" s="29">
        <v>46291</v>
      </c>
      <c r="H5121" s="1" t="s">
        <v>8381</v>
      </c>
      <c r="I5121" s="251" t="s">
        <v>11321</v>
      </c>
      <c r="J5121" s="207">
        <v>49785909265</v>
      </c>
      <c r="K5121" s="188" t="s">
        <v>11322</v>
      </c>
      <c r="L5121" s="242">
        <v>24846462</v>
      </c>
      <c r="M5121" s="243">
        <v>5218994517845</v>
      </c>
      <c r="N5121" s="171" t="s">
        <v>37</v>
      </c>
      <c r="O5121" s="43">
        <v>6262.86</v>
      </c>
      <c r="P5121" s="43">
        <v>1811.99</v>
      </c>
      <c r="Q5121" s="256">
        <f>OfficeForms.Table[[#This Row],[ INFORMEDEPAGO ]]*0.3</f>
        <v>1878.8579999999997</v>
      </c>
      <c r="R5121" s="43">
        <f t="shared" si="457"/>
        <v>66.867999999999711</v>
      </c>
      <c r="S5121" s="74">
        <v>46539</v>
      </c>
      <c r="T5121" s="261" t="s">
        <v>7516</v>
      </c>
      <c r="U5121" s="43">
        <v>1811.99</v>
      </c>
      <c r="V5121" s="239"/>
    </row>
    <row r="5122" spans="1:23">
      <c r="A5122">
        <v>3564</v>
      </c>
      <c r="B5122" s="2">
        <v>46291.496759259302</v>
      </c>
      <c r="C5122" s="2">
        <v>46291.506226851903</v>
      </c>
      <c r="D5122" s="1" t="s">
        <v>24</v>
      </c>
      <c r="E5122" s="1"/>
      <c r="F5122" s="29">
        <v>46291</v>
      </c>
      <c r="G5122" s="29">
        <v>46291</v>
      </c>
      <c r="H5122" s="1" t="s">
        <v>269</v>
      </c>
      <c r="I5122" s="251" t="s">
        <v>11323</v>
      </c>
      <c r="J5122" s="207" t="s">
        <v>11324</v>
      </c>
      <c r="K5122" s="188" t="s">
        <v>11325</v>
      </c>
      <c r="L5122" s="242">
        <v>24848166</v>
      </c>
      <c r="M5122" s="243">
        <v>5215574777276</v>
      </c>
      <c r="N5122" s="171" t="s">
        <v>37</v>
      </c>
      <c r="O5122" s="43">
        <v>9760.32</v>
      </c>
      <c r="P5122" s="43">
        <v>2927.49</v>
      </c>
      <c r="Q5122" s="256">
        <f>OfficeForms.Table[[#This Row],[ INFORMEDEPAGO ]]*0.3</f>
        <v>2928.096</v>
      </c>
      <c r="R5122" s="43">
        <f>(IF(O5122&lt;4172.98,0,MIN(O5122*0.3,O5122-4172.98)))-P5122</f>
        <v>0.60600000000022192</v>
      </c>
      <c r="S5122" s="74">
        <v>46935</v>
      </c>
      <c r="T5122" s="261" t="s">
        <v>8319</v>
      </c>
      <c r="U5122" s="43">
        <v>2927.49</v>
      </c>
      <c r="V5122" s="239"/>
    </row>
    <row r="5123" spans="1:23">
      <c r="A5123">
        <v>3565</v>
      </c>
      <c r="B5123" s="2">
        <v>46291.518726851798</v>
      </c>
      <c r="C5123" s="2">
        <v>46291.519062500003</v>
      </c>
      <c r="D5123" s="1" t="s">
        <v>24</v>
      </c>
      <c r="E5123" s="1"/>
      <c r="F5123" s="29">
        <v>46291</v>
      </c>
      <c r="G5123" s="29">
        <v>46291</v>
      </c>
      <c r="H5123" s="1" t="s">
        <v>269</v>
      </c>
      <c r="I5123" s="251" t="s">
        <v>11326</v>
      </c>
      <c r="J5123" s="207"/>
      <c r="K5123" s="188" t="s">
        <v>11327</v>
      </c>
      <c r="L5123" s="242">
        <v>24854170</v>
      </c>
      <c r="M5123" s="243">
        <v>5219641007844</v>
      </c>
      <c r="N5123" s="171" t="s">
        <v>28</v>
      </c>
      <c r="O5123" s="50">
        <f>32264.17-21627.63</f>
        <v>10636.539999999997</v>
      </c>
      <c r="P5123" s="97"/>
      <c r="Q5123" s="256">
        <f>OfficeForms.Table[[#This Row],[ INFORMEDEPAGO ]]*0.3</f>
        <v>3190.9619999999991</v>
      </c>
      <c r="R5123" s="43">
        <f t="shared" ref="R5123:R5124" si="458">(IF(O5123&lt;4172.98,0,MIN(O5123*0.3,O5123-4172.98)))-P5123</f>
        <v>3190.9619999999991</v>
      </c>
      <c r="T5123" s="261"/>
      <c r="U5123" s="97"/>
      <c r="V5123" s="239" t="s">
        <v>9777</v>
      </c>
      <c r="W5123" s="29">
        <v>46291</v>
      </c>
    </row>
    <row r="5124" spans="1:23">
      <c r="A5124">
        <v>3566</v>
      </c>
      <c r="B5124" s="2">
        <v>46291.519976851901</v>
      </c>
      <c r="C5124" s="2">
        <v>46291.520324074103</v>
      </c>
      <c r="D5124" s="1" t="s">
        <v>24</v>
      </c>
      <c r="E5124" s="1"/>
      <c r="F5124" s="29">
        <v>46291</v>
      </c>
      <c r="G5124" s="29">
        <v>46291</v>
      </c>
      <c r="H5124" s="1" t="s">
        <v>269</v>
      </c>
      <c r="I5124" s="251" t="s">
        <v>11328</v>
      </c>
      <c r="J5124" s="207" t="s">
        <v>11329</v>
      </c>
      <c r="K5124" s="188"/>
      <c r="L5124" s="242">
        <v>24854032</v>
      </c>
      <c r="M5124" s="243">
        <v>5217131188670</v>
      </c>
      <c r="N5124" s="171" t="s">
        <v>37</v>
      </c>
      <c r="O5124" s="52">
        <v>5602.25</v>
      </c>
      <c r="P5124" s="52">
        <v>1493.4</v>
      </c>
      <c r="Q5124" s="256">
        <f>OfficeForms.Table[[#This Row],[ INFORMEDEPAGO ]]*0.3</f>
        <v>1680.675</v>
      </c>
      <c r="R5124" s="43">
        <f t="shared" si="458"/>
        <v>-64.129999999999654</v>
      </c>
      <c r="S5124" s="74">
        <v>46966</v>
      </c>
      <c r="T5124" s="261" t="s">
        <v>84</v>
      </c>
      <c r="U5124" s="52">
        <v>1493.4</v>
      </c>
      <c r="V5124" s="239"/>
    </row>
    <row r="5125" spans="1:23">
      <c r="A5125">
        <v>3567</v>
      </c>
      <c r="B5125" s="2">
        <v>46291.5301736111</v>
      </c>
      <c r="C5125" s="2">
        <v>46291.530694444402</v>
      </c>
      <c r="D5125" s="1" t="s">
        <v>24</v>
      </c>
      <c r="E5125" s="1"/>
      <c r="F5125" s="29">
        <v>46291</v>
      </c>
      <c r="G5125" s="29">
        <v>46291</v>
      </c>
      <c r="H5125" s="1" t="s">
        <v>269</v>
      </c>
      <c r="I5125" s="251" t="s">
        <v>11330</v>
      </c>
      <c r="J5125" s="207"/>
      <c r="K5125" s="188" t="s">
        <v>11331</v>
      </c>
      <c r="L5125" s="242">
        <v>24846058</v>
      </c>
      <c r="M5125" s="243">
        <v>5215532824918</v>
      </c>
      <c r="N5125" s="171" t="s">
        <v>263</v>
      </c>
      <c r="O5125" s="52">
        <v>7920.51</v>
      </c>
      <c r="P5125" s="52">
        <v>2195.2800000000002</v>
      </c>
      <c r="Q5125" s="256">
        <f>OfficeForms.Table[[#This Row],[ INFORMEDEPAGO ]]*0.3</f>
        <v>2376.1529999999998</v>
      </c>
      <c r="R5125" s="43">
        <f t="shared" ref="R5125" si="459">(IF(O5125&lt;4172.98,0,MIN(O5125*0.3,O5125-4172.98)))-P5125</f>
        <v>180.87299999999959</v>
      </c>
      <c r="S5125" s="74">
        <v>46143</v>
      </c>
      <c r="T5125" s="261" t="s">
        <v>2488</v>
      </c>
      <c r="U5125" s="43">
        <v>2195.2800000000002</v>
      </c>
      <c r="V5125" s="239" t="s">
        <v>8291</v>
      </c>
      <c r="W5125" s="29">
        <v>46291</v>
      </c>
    </row>
    <row r="5126" spans="1:23">
      <c r="A5126">
        <v>3568</v>
      </c>
      <c r="B5126" s="2">
        <v>46291.534502314797</v>
      </c>
      <c r="C5126" s="2">
        <v>46291.534849536998</v>
      </c>
      <c r="D5126" s="1" t="s">
        <v>24</v>
      </c>
      <c r="E5126" s="1"/>
      <c r="F5126" s="29">
        <v>46291</v>
      </c>
      <c r="G5126" s="29">
        <v>46291</v>
      </c>
      <c r="H5126" s="1" t="s">
        <v>269</v>
      </c>
      <c r="I5126" s="251" t="s">
        <v>11332</v>
      </c>
      <c r="J5126" s="207"/>
      <c r="K5126" s="188" t="s">
        <v>11333</v>
      </c>
      <c r="L5126" s="242">
        <v>24853908</v>
      </c>
      <c r="M5126" s="243">
        <v>5217822123716</v>
      </c>
      <c r="N5126" s="171" t="s">
        <v>32</v>
      </c>
      <c r="O5126" s="67">
        <v>4343.43</v>
      </c>
      <c r="P5126" s="99"/>
      <c r="Q5126" s="256">
        <f>OfficeForms.Table[[#This Row],[ INFORMEDEPAGO ]]*0.3</f>
        <v>1303.029</v>
      </c>
      <c r="R5126" s="43">
        <f>(IF(O5126&lt;4172.98,0,MIN(O5126*0.3,O5126-4172.98)))-P5126</f>
        <v>170.45000000000073</v>
      </c>
      <c r="T5126" s="261"/>
      <c r="U5126" s="99"/>
      <c r="V5126" s="239"/>
    </row>
    <row r="5127" spans="1:23">
      <c r="A5127">
        <v>3569</v>
      </c>
      <c r="B5127" s="2">
        <v>46291.545023148203</v>
      </c>
      <c r="C5127" s="2">
        <v>46291.545694444401</v>
      </c>
      <c r="D5127" s="1" t="s">
        <v>24</v>
      </c>
      <c r="E5127" s="1"/>
      <c r="F5127" s="29">
        <v>46291</v>
      </c>
      <c r="G5127" s="29">
        <v>46291</v>
      </c>
      <c r="H5127" s="1" t="s">
        <v>269</v>
      </c>
      <c r="I5127" s="251" t="s">
        <v>11334</v>
      </c>
      <c r="J5127" s="207" t="s">
        <v>11335</v>
      </c>
      <c r="K5127" s="188" t="s">
        <v>11336</v>
      </c>
      <c r="L5127" s="242">
        <v>24852902</v>
      </c>
      <c r="M5127" s="243">
        <v>5218113998249</v>
      </c>
      <c r="N5127" s="171" t="s">
        <v>28</v>
      </c>
      <c r="O5127" s="50">
        <v>12026.54</v>
      </c>
      <c r="P5127" s="97"/>
      <c r="Q5127" s="256">
        <f>OfficeForms.Table[[#This Row],[ INFORMEDEPAGO ]]*0.3</f>
        <v>3607.962</v>
      </c>
      <c r="R5127" s="43">
        <f>(IF(O5127&lt;4172.98,0,MIN(O5127*0.3,O5127-4172.98)))-P5127</f>
        <v>3607.962</v>
      </c>
      <c r="T5127" s="261"/>
      <c r="U5127" s="97"/>
      <c r="V5127" s="97" t="s">
        <v>8915</v>
      </c>
      <c r="W5127" s="29">
        <v>46291</v>
      </c>
    </row>
    <row r="5128" spans="1:23">
      <c r="A5128">
        <v>3570</v>
      </c>
      <c r="B5128" s="2">
        <v>46291.578854166699</v>
      </c>
      <c r="C5128" s="2">
        <v>46291.581111111103</v>
      </c>
      <c r="D5128" s="1" t="s">
        <v>24</v>
      </c>
      <c r="E5128" s="1"/>
      <c r="F5128" s="29">
        <v>46291</v>
      </c>
      <c r="G5128" s="29">
        <v>46291</v>
      </c>
      <c r="H5128" s="1" t="s">
        <v>8028</v>
      </c>
      <c r="I5128" s="251" t="s">
        <v>11337</v>
      </c>
      <c r="J5128" s="207">
        <v>49564507691</v>
      </c>
      <c r="K5128" s="188" t="s">
        <v>11338</v>
      </c>
      <c r="L5128" s="242">
        <v>24843560</v>
      </c>
      <c r="M5128" s="243">
        <v>5218332009900</v>
      </c>
      <c r="N5128" s="171" t="s">
        <v>98</v>
      </c>
      <c r="O5128" s="50"/>
      <c r="P5128" s="97"/>
      <c r="Q5128" s="256">
        <f>OfficeForms.Table[[#This Row],[ INFORMEDEPAGO ]]*0.3</f>
        <v>0</v>
      </c>
      <c r="R5128" s="43">
        <f>(IF(O5128&lt;4172.98,0,MIN(O5128*0.3,O5128-4172.98)))-P5128</f>
        <v>0</v>
      </c>
      <c r="T5128" s="261"/>
      <c r="U5128" s="97"/>
      <c r="V5128" s="239"/>
    </row>
    <row r="5129" spans="1:23">
      <c r="A5129">
        <v>3571</v>
      </c>
      <c r="B5129" s="2">
        <v>46291.597418981502</v>
      </c>
      <c r="C5129" s="2">
        <v>46291.603287037004</v>
      </c>
      <c r="D5129" s="1" t="s">
        <v>24</v>
      </c>
      <c r="E5129" s="1"/>
      <c r="F5129" s="29">
        <v>46291</v>
      </c>
      <c r="G5129" s="29">
        <v>46271</v>
      </c>
      <c r="H5129" s="1" t="s">
        <v>78</v>
      </c>
      <c r="I5129" s="251" t="s">
        <v>11339</v>
      </c>
      <c r="J5129" s="207"/>
      <c r="K5129" s="188" t="s">
        <v>11340</v>
      </c>
      <c r="L5129" s="242">
        <v>24287548</v>
      </c>
      <c r="M5129" s="243">
        <v>5213222781090</v>
      </c>
      <c r="N5129" s="171" t="s">
        <v>37</v>
      </c>
      <c r="O5129" s="52">
        <v>5617.63</v>
      </c>
      <c r="P5129" s="52">
        <v>1335.95</v>
      </c>
      <c r="Q5129" s="256">
        <f>OfficeForms.Table[[#This Row],[ INFORMEDEPAGO ]]*0.3</f>
        <v>1685.289</v>
      </c>
      <c r="R5129" s="43">
        <f t="shared" ref="R5129:R5152" si="460">(IF(O5129&lt;4172.98,0,MIN(O5129*0.3,O5129-4172.98)))-P5129</f>
        <v>108.7000000000005</v>
      </c>
      <c r="S5129" s="74">
        <v>46419</v>
      </c>
      <c r="T5129" s="261" t="s">
        <v>7516</v>
      </c>
      <c r="U5129" s="52">
        <v>1335.95</v>
      </c>
      <c r="V5129" s="239"/>
    </row>
    <row r="5130" spans="1:23">
      <c r="A5130">
        <v>3572</v>
      </c>
      <c r="B5130" s="2">
        <v>46291.505706018499</v>
      </c>
      <c r="C5130" s="2">
        <v>46291.619687500002</v>
      </c>
      <c r="D5130" s="1" t="s">
        <v>24</v>
      </c>
      <c r="E5130" s="1"/>
      <c r="F5130" s="29">
        <v>46291</v>
      </c>
      <c r="G5130" s="29">
        <v>46291</v>
      </c>
      <c r="H5130" s="1" t="s">
        <v>8381</v>
      </c>
      <c r="I5130" s="251" t="s">
        <v>11341</v>
      </c>
      <c r="J5130" s="175" t="s">
        <v>11342</v>
      </c>
      <c r="K5130" s="188" t="s">
        <v>11343</v>
      </c>
      <c r="L5130" s="242">
        <v>24854068</v>
      </c>
      <c r="M5130" s="243">
        <v>5219564777244</v>
      </c>
      <c r="N5130" s="171" t="s">
        <v>28</v>
      </c>
      <c r="O5130" s="50">
        <f>5034.08+33560.52</f>
        <v>38594.6</v>
      </c>
      <c r="P5130" s="97"/>
      <c r="Q5130" s="256">
        <f>OfficeForms.Table[[#This Row],[ INFORMEDEPAGO ]]*0.3</f>
        <v>11578.38</v>
      </c>
      <c r="R5130" s="43">
        <f t="shared" si="460"/>
        <v>11578.38</v>
      </c>
      <c r="T5130" s="261"/>
      <c r="U5130" s="97"/>
      <c r="V5130" s="239" t="s">
        <v>8280</v>
      </c>
      <c r="W5130" s="29">
        <v>46292</v>
      </c>
    </row>
    <row r="5131" spans="1:23">
      <c r="A5131">
        <v>3573</v>
      </c>
      <c r="B5131" s="2">
        <v>46291.635439814803</v>
      </c>
      <c r="C5131" s="2">
        <v>46291.646874999999</v>
      </c>
      <c r="D5131" s="1" t="s">
        <v>24</v>
      </c>
      <c r="E5131" s="1"/>
      <c r="F5131" s="29">
        <v>46291</v>
      </c>
      <c r="G5131" s="29">
        <v>46287</v>
      </c>
      <c r="H5131" s="1" t="s">
        <v>8028</v>
      </c>
      <c r="I5131" s="251" t="s">
        <v>11344</v>
      </c>
      <c r="J5131" s="207"/>
      <c r="K5131" s="188" t="s">
        <v>11345</v>
      </c>
      <c r="L5131" s="242">
        <v>24747080</v>
      </c>
      <c r="M5131" s="243">
        <v>5214433188738</v>
      </c>
      <c r="N5131" s="171" t="s">
        <v>28</v>
      </c>
      <c r="O5131" s="50">
        <v>9760.32</v>
      </c>
      <c r="P5131" s="97"/>
      <c r="Q5131" s="256">
        <f>OfficeForms.Table[[#This Row],[ INFORMEDEPAGO ]]*0.3</f>
        <v>2928.096</v>
      </c>
      <c r="R5131" s="43">
        <f t="shared" si="460"/>
        <v>2928.096</v>
      </c>
      <c r="T5131" s="261"/>
      <c r="U5131" s="97"/>
      <c r="V5131" s="239" t="s">
        <v>11199</v>
      </c>
      <c r="W5131" s="29">
        <v>46292</v>
      </c>
    </row>
    <row r="5132" spans="1:23">
      <c r="A5132">
        <v>3574</v>
      </c>
      <c r="B5132" s="2">
        <v>46291.683101851901</v>
      </c>
      <c r="C5132" s="2">
        <v>46291.687685185199</v>
      </c>
      <c r="D5132" s="1" t="s">
        <v>24</v>
      </c>
      <c r="E5132" s="1"/>
      <c r="F5132" s="29">
        <v>46291</v>
      </c>
      <c r="G5132" s="29">
        <v>46291</v>
      </c>
      <c r="H5132" s="1" t="s">
        <v>8028</v>
      </c>
      <c r="I5132" s="251" t="s">
        <v>11346</v>
      </c>
      <c r="J5132" s="207"/>
      <c r="K5132" s="188" t="s">
        <v>11347</v>
      </c>
      <c r="L5132" s="242">
        <v>24856298</v>
      </c>
      <c r="M5132" s="243">
        <v>5216691415266</v>
      </c>
      <c r="N5132" s="171" t="s">
        <v>37</v>
      </c>
      <c r="O5132" s="43">
        <v>7116.73</v>
      </c>
      <c r="P5132" s="43">
        <v>2059.04</v>
      </c>
      <c r="Q5132" s="256">
        <f>OfficeForms.Table[[#This Row],[ INFORMEDEPAGO ]]*0.3</f>
        <v>2135.0189999999998</v>
      </c>
      <c r="R5132" s="43">
        <f t="shared" si="460"/>
        <v>75.978999999999814</v>
      </c>
      <c r="S5132" s="74">
        <v>46357</v>
      </c>
      <c r="T5132" s="261" t="s">
        <v>8338</v>
      </c>
      <c r="U5132" s="97">
        <v>1838.93</v>
      </c>
      <c r="V5132" s="239"/>
    </row>
    <row r="5133" spans="1:23">
      <c r="A5133">
        <v>3575</v>
      </c>
      <c r="B5133" s="2">
        <v>46291.687835648103</v>
      </c>
      <c r="C5133" s="2">
        <v>46291.7020023148</v>
      </c>
      <c r="D5133" s="1" t="s">
        <v>24</v>
      </c>
      <c r="E5133" s="1"/>
      <c r="F5133" s="29">
        <v>46291</v>
      </c>
      <c r="G5133" s="29">
        <v>46291</v>
      </c>
      <c r="H5133" s="1" t="s">
        <v>8028</v>
      </c>
      <c r="I5133" s="251" t="s">
        <v>11348</v>
      </c>
      <c r="J5133" s="207"/>
      <c r="K5133" s="188" t="s">
        <v>11349</v>
      </c>
      <c r="L5133" s="242">
        <v>24856674</v>
      </c>
      <c r="M5133" s="243">
        <v>5216221226108</v>
      </c>
      <c r="N5133" s="171" t="s">
        <v>37</v>
      </c>
      <c r="O5133" s="43">
        <v>24913.7</v>
      </c>
      <c r="P5133" s="43">
        <v>7207</v>
      </c>
      <c r="Q5133" s="256">
        <f>OfficeForms.Table[[#This Row],[ INFORMEDEPAGO ]]*0.3</f>
        <v>7474.11</v>
      </c>
      <c r="R5133" s="43">
        <f t="shared" si="460"/>
        <v>267.10999999999967</v>
      </c>
      <c r="S5133" s="74">
        <v>46478</v>
      </c>
      <c r="T5133" s="261" t="s">
        <v>7209</v>
      </c>
      <c r="U5133" s="97">
        <v>7207</v>
      </c>
      <c r="V5133" s="239"/>
    </row>
    <row r="5134" spans="1:23">
      <c r="A5134">
        <v>3576</v>
      </c>
      <c r="B5134" s="2">
        <v>46291.702372685198</v>
      </c>
      <c r="C5134" s="2">
        <v>46291.702754629601</v>
      </c>
      <c r="D5134" s="1" t="s">
        <v>24</v>
      </c>
      <c r="E5134" s="1"/>
      <c r="F5134" s="29">
        <v>46291</v>
      </c>
      <c r="G5134" s="29">
        <v>46290</v>
      </c>
      <c r="H5134" s="1" t="s">
        <v>269</v>
      </c>
      <c r="I5134" s="251" t="s">
        <v>11350</v>
      </c>
      <c r="J5134" s="207"/>
      <c r="K5134" s="188" t="s">
        <v>11351</v>
      </c>
      <c r="L5134" s="242">
        <v>24845400</v>
      </c>
      <c r="M5134" s="243">
        <v>5218114743468</v>
      </c>
      <c r="N5134" s="171" t="s">
        <v>28</v>
      </c>
      <c r="O5134" s="50">
        <v>40685.53</v>
      </c>
      <c r="P5134" s="97"/>
      <c r="Q5134" s="256">
        <f>OfficeForms.Table[[#This Row],[ INFORMEDEPAGO ]]*0.3</f>
        <v>12205.659</v>
      </c>
      <c r="R5134" s="43">
        <f t="shared" si="460"/>
        <v>12205.659</v>
      </c>
      <c r="T5134" s="261"/>
      <c r="U5134" s="97"/>
      <c r="V5134" s="239" t="s">
        <v>8716</v>
      </c>
      <c r="W5134" s="29">
        <v>46292</v>
      </c>
    </row>
    <row r="5135" spans="1:23">
      <c r="A5135">
        <v>3577</v>
      </c>
      <c r="B5135" s="2">
        <v>46291.704085648104</v>
      </c>
      <c r="C5135" s="2">
        <v>46291.704444444404</v>
      </c>
      <c r="D5135" s="1" t="s">
        <v>24</v>
      </c>
      <c r="E5135" s="1"/>
      <c r="F5135" s="29">
        <v>46291</v>
      </c>
      <c r="G5135" s="29">
        <v>46291</v>
      </c>
      <c r="H5135" s="1" t="s">
        <v>269</v>
      </c>
      <c r="I5135" s="251" t="s">
        <v>11352</v>
      </c>
      <c r="J5135" s="175" t="s">
        <v>11353</v>
      </c>
      <c r="K5135" s="188" t="s">
        <v>11354</v>
      </c>
      <c r="L5135" s="242">
        <v>24853554</v>
      </c>
      <c r="M5135" s="243">
        <v>5216481016316</v>
      </c>
      <c r="N5135" s="171" t="s">
        <v>37</v>
      </c>
      <c r="O5135" s="43">
        <v>14814.86</v>
      </c>
      <c r="P5135" s="43">
        <v>4430.3999999999996</v>
      </c>
      <c r="Q5135" s="256">
        <f>OfficeForms.Table[[#This Row],[ INFORMEDEPAGO ]]*0.3</f>
        <v>4444.4579999999996</v>
      </c>
      <c r="R5135" s="43">
        <f t="shared" si="460"/>
        <v>14.057999999999993</v>
      </c>
      <c r="S5135" s="74">
        <v>46966</v>
      </c>
      <c r="T5135" s="261" t="s">
        <v>2488</v>
      </c>
      <c r="U5135" s="43">
        <v>4430.3999999999996</v>
      </c>
      <c r="V5135" s="239"/>
    </row>
    <row r="5136" spans="1:23">
      <c r="A5136">
        <v>3578</v>
      </c>
      <c r="B5136" s="2">
        <v>46291.706192129597</v>
      </c>
      <c r="C5136" s="2">
        <v>46291.706527777802</v>
      </c>
      <c r="D5136" s="1" t="s">
        <v>24</v>
      </c>
      <c r="E5136" s="1"/>
      <c r="F5136" s="29">
        <v>46291</v>
      </c>
      <c r="G5136" s="29">
        <v>46291</v>
      </c>
      <c r="H5136" s="1" t="s">
        <v>269</v>
      </c>
      <c r="I5136" s="251" t="s">
        <v>11355</v>
      </c>
      <c r="J5136" s="207"/>
      <c r="K5136" s="188" t="s">
        <v>11356</v>
      </c>
      <c r="L5136" s="242">
        <v>24855266</v>
      </c>
      <c r="M5136" s="243">
        <v>5212711205400</v>
      </c>
      <c r="N5136" s="171" t="s">
        <v>28</v>
      </c>
      <c r="O5136" s="50">
        <v>9582.4699999999993</v>
      </c>
      <c r="P5136" s="97"/>
      <c r="Q5136" s="256">
        <f>OfficeForms.Table[[#This Row],[ INFORMEDEPAGO ]]*0.3</f>
        <v>2874.7409999999995</v>
      </c>
      <c r="R5136" s="43">
        <f t="shared" si="460"/>
        <v>2874.7409999999995</v>
      </c>
      <c r="T5136" s="261"/>
      <c r="U5136" s="97"/>
      <c r="V5136" s="239" t="s">
        <v>11357</v>
      </c>
      <c r="W5136" s="29">
        <v>46292</v>
      </c>
    </row>
    <row r="5137" spans="1:23">
      <c r="A5137">
        <v>3579</v>
      </c>
      <c r="B5137" s="2">
        <v>46291.707349536999</v>
      </c>
      <c r="C5137" s="2">
        <v>46291.707743055602</v>
      </c>
      <c r="D5137" s="1" t="s">
        <v>24</v>
      </c>
      <c r="E5137" s="1"/>
      <c r="F5137" s="29">
        <v>46291</v>
      </c>
      <c r="G5137" s="29">
        <v>46291</v>
      </c>
      <c r="H5137" s="1" t="s">
        <v>269</v>
      </c>
      <c r="I5137" s="251" t="s">
        <v>11358</v>
      </c>
      <c r="J5137" s="207"/>
      <c r="K5137" s="188" t="s">
        <v>11359</v>
      </c>
      <c r="L5137" s="242">
        <v>24855670</v>
      </c>
      <c r="M5137" s="243">
        <v>5214779166694</v>
      </c>
      <c r="N5137" s="171" t="s">
        <v>28</v>
      </c>
      <c r="O5137" s="50">
        <v>10636.54</v>
      </c>
      <c r="P5137" s="97"/>
      <c r="Q5137" s="256">
        <f>OfficeForms.Table[[#This Row],[ INFORMEDEPAGO ]]*0.3</f>
        <v>3190.962</v>
      </c>
      <c r="R5137" s="43">
        <f t="shared" si="460"/>
        <v>3190.962</v>
      </c>
      <c r="T5137" s="261"/>
      <c r="U5137" s="97"/>
      <c r="V5137" s="239" t="s">
        <v>11360</v>
      </c>
      <c r="W5137" s="29">
        <v>46292</v>
      </c>
    </row>
    <row r="5138" spans="1:23">
      <c r="A5138">
        <v>3580</v>
      </c>
      <c r="B5138" s="2">
        <v>46291.721932870401</v>
      </c>
      <c r="C5138" s="2">
        <v>46291.722245370402</v>
      </c>
      <c r="D5138" s="1" t="s">
        <v>24</v>
      </c>
      <c r="E5138" s="1"/>
      <c r="F5138" s="29">
        <v>46291</v>
      </c>
      <c r="G5138" s="29">
        <v>46291</v>
      </c>
      <c r="H5138" s="1" t="s">
        <v>269</v>
      </c>
      <c r="I5138" s="251" t="s">
        <v>11361</v>
      </c>
      <c r="J5138" s="207"/>
      <c r="K5138" s="188" t="s">
        <v>11362</v>
      </c>
      <c r="L5138" s="242">
        <v>24832226</v>
      </c>
      <c r="M5138" s="243">
        <v>5218672440649</v>
      </c>
      <c r="N5138" s="171" t="s">
        <v>28</v>
      </c>
      <c r="O5138" s="50">
        <v>9760.32</v>
      </c>
      <c r="P5138" s="97"/>
      <c r="Q5138" s="256">
        <f>OfficeForms.Table[[#This Row],[ INFORMEDEPAGO ]]*0.3</f>
        <v>2928.096</v>
      </c>
      <c r="R5138" s="43">
        <f t="shared" si="460"/>
        <v>2928.096</v>
      </c>
      <c r="T5138" s="261"/>
      <c r="U5138" s="97"/>
      <c r="V5138" s="239" t="s">
        <v>11199</v>
      </c>
      <c r="W5138" s="29">
        <v>46292</v>
      </c>
    </row>
    <row r="5139" spans="1:23">
      <c r="A5139">
        <v>3581</v>
      </c>
      <c r="B5139" s="2">
        <v>46291.619710648098</v>
      </c>
      <c r="C5139" s="2">
        <v>46291.72625</v>
      </c>
      <c r="D5139" s="1" t="s">
        <v>24</v>
      </c>
      <c r="E5139" s="1"/>
      <c r="F5139" s="29">
        <v>46291</v>
      </c>
      <c r="G5139" s="29">
        <v>46291</v>
      </c>
      <c r="H5139" s="1" t="s">
        <v>8381</v>
      </c>
      <c r="I5139" s="251" t="s">
        <v>11363</v>
      </c>
      <c r="J5139" s="207"/>
      <c r="K5139" s="188" t="s">
        <v>11364</v>
      </c>
      <c r="L5139" s="242">
        <v>24848912</v>
      </c>
      <c r="M5139" s="243">
        <v>5212228280933</v>
      </c>
      <c r="N5139" s="171" t="s">
        <v>28</v>
      </c>
      <c r="O5139" s="43">
        <v>28924</v>
      </c>
      <c r="P5139" s="43">
        <v>6490.94</v>
      </c>
      <c r="Q5139" s="256">
        <f>OfficeForms.Table[[#This Row],[ INFORMEDEPAGO ]]*0.3</f>
        <v>8677.1999999999989</v>
      </c>
      <c r="R5139" s="43">
        <f t="shared" si="460"/>
        <v>2186.2599999999993</v>
      </c>
      <c r="S5139" s="74">
        <v>46966</v>
      </c>
      <c r="T5139" s="261" t="s">
        <v>11365</v>
      </c>
      <c r="U5139" s="97">
        <v>2923.92</v>
      </c>
      <c r="V5139" s="239" t="s">
        <v>11357</v>
      </c>
      <c r="W5139" s="29">
        <v>46292</v>
      </c>
    </row>
    <row r="5140" spans="1:23">
      <c r="A5140">
        <v>3582</v>
      </c>
      <c r="B5140" s="2">
        <v>46291.713310185201</v>
      </c>
      <c r="C5140" s="2">
        <v>46291.7274652778</v>
      </c>
      <c r="D5140" s="1" t="s">
        <v>24</v>
      </c>
      <c r="E5140" s="1"/>
      <c r="F5140" s="29">
        <v>46291</v>
      </c>
      <c r="G5140" s="29">
        <v>46276</v>
      </c>
      <c r="H5140" s="1" t="s">
        <v>78</v>
      </c>
      <c r="I5140" s="251" t="s">
        <v>11366</v>
      </c>
      <c r="J5140" s="207"/>
      <c r="K5140" s="188" t="s">
        <v>11367</v>
      </c>
      <c r="L5140" s="242">
        <v>24388108</v>
      </c>
      <c r="M5140" s="243">
        <v>5214444985489</v>
      </c>
      <c r="N5140" s="171" t="s">
        <v>47</v>
      </c>
      <c r="O5140" s="43">
        <v>6337.52</v>
      </c>
      <c r="P5140" s="43">
        <v>1522.15</v>
      </c>
      <c r="Q5140" s="256">
        <f>OfficeForms.Table[[#This Row],[ INFORMEDEPAGO ]]*0.3</f>
        <v>1901.2560000000001</v>
      </c>
      <c r="R5140" s="43">
        <f t="shared" si="460"/>
        <v>379.10599999999999</v>
      </c>
      <c r="S5140" s="74">
        <v>46784</v>
      </c>
      <c r="T5140" s="261" t="s">
        <v>8319</v>
      </c>
      <c r="U5140" s="43">
        <v>1522.15</v>
      </c>
      <c r="V5140" s="239" t="s">
        <v>8233</v>
      </c>
      <c r="W5140" s="29">
        <v>46292</v>
      </c>
    </row>
    <row r="5141" spans="1:23">
      <c r="A5141">
        <v>3583</v>
      </c>
      <c r="B5141" s="2">
        <v>46291.713738425897</v>
      </c>
      <c r="C5141" s="2">
        <v>46291.727511574099</v>
      </c>
      <c r="D5141" s="1" t="s">
        <v>24</v>
      </c>
      <c r="E5141" s="1"/>
      <c r="F5141" s="29">
        <v>46291</v>
      </c>
      <c r="G5141" s="29">
        <v>46291</v>
      </c>
      <c r="H5141" s="1" t="s">
        <v>78</v>
      </c>
      <c r="I5141" s="251" t="s">
        <v>11368</v>
      </c>
      <c r="J5141" s="207"/>
      <c r="K5141" s="188" t="s">
        <v>11369</v>
      </c>
      <c r="L5141" s="242">
        <v>24854728</v>
      </c>
      <c r="M5141" s="243">
        <v>5216241506053</v>
      </c>
      <c r="N5141" s="171" t="s">
        <v>37</v>
      </c>
      <c r="O5141" s="43">
        <v>8206.02</v>
      </c>
      <c r="P5141" s="43">
        <v>2278.2600000000002</v>
      </c>
      <c r="Q5141" s="256">
        <f>OfficeForms.Table[[#This Row],[ INFORMEDEPAGO ]]*0.3</f>
        <v>2461.806</v>
      </c>
      <c r="R5141" s="43">
        <f t="shared" si="460"/>
        <v>183.54599999999982</v>
      </c>
      <c r="S5141" s="74">
        <v>46419</v>
      </c>
      <c r="T5141" s="261" t="s">
        <v>7516</v>
      </c>
      <c r="U5141" s="97">
        <v>2278.2600000000002</v>
      </c>
      <c r="V5141" s="239"/>
    </row>
    <row r="5142" spans="1:23">
      <c r="A5142">
        <v>3584</v>
      </c>
      <c r="B5142" s="2">
        <v>46291.726273148102</v>
      </c>
      <c r="C5142" s="2">
        <v>46291.729432870401</v>
      </c>
      <c r="D5142" s="1" t="s">
        <v>24</v>
      </c>
      <c r="E5142" s="1"/>
      <c r="F5142" s="29">
        <v>46291</v>
      </c>
      <c r="G5142" s="29">
        <v>46291</v>
      </c>
      <c r="H5142" s="1" t="s">
        <v>8381</v>
      </c>
      <c r="I5142" s="251" t="s">
        <v>11370</v>
      </c>
      <c r="J5142" s="207">
        <v>94754402099</v>
      </c>
      <c r="K5142" s="188" t="s">
        <v>11371</v>
      </c>
      <c r="L5142" s="242">
        <v>24855346</v>
      </c>
      <c r="M5142" s="243">
        <v>5213312450847</v>
      </c>
      <c r="N5142" s="171" t="s">
        <v>263</v>
      </c>
      <c r="O5142" s="43">
        <v>6308.73</v>
      </c>
      <c r="P5142" s="43">
        <v>1631.99</v>
      </c>
      <c r="Q5142" s="256">
        <f>OfficeForms.Table[[#This Row],[ INFORMEDEPAGO ]]*0.3</f>
        <v>1892.6189999999997</v>
      </c>
      <c r="R5142" s="43">
        <f t="shared" si="460"/>
        <v>260.62899999999968</v>
      </c>
      <c r="S5142" s="74">
        <v>46296</v>
      </c>
      <c r="T5142" s="261" t="s">
        <v>2488</v>
      </c>
      <c r="U5142" s="97">
        <v>1254.9100000000001</v>
      </c>
      <c r="V5142" s="239" t="s">
        <v>9642</v>
      </c>
      <c r="W5142" s="29">
        <v>46293</v>
      </c>
    </row>
    <row r="5143" spans="1:23">
      <c r="A5143">
        <v>3585</v>
      </c>
      <c r="B5143" s="2">
        <v>46291.728171296301</v>
      </c>
      <c r="C5143" s="2">
        <v>46291.730729166702</v>
      </c>
      <c r="D5143" s="1" t="s">
        <v>24</v>
      </c>
      <c r="E5143" s="1"/>
      <c r="F5143" s="29">
        <v>46291</v>
      </c>
      <c r="G5143" s="29">
        <v>46291</v>
      </c>
      <c r="H5143" s="1" t="s">
        <v>8381</v>
      </c>
      <c r="I5143" s="251" t="s">
        <v>11372</v>
      </c>
      <c r="J5143" s="207"/>
      <c r="K5143" s="188" t="s">
        <v>11373</v>
      </c>
      <c r="L5143" s="242">
        <v>24852260</v>
      </c>
      <c r="M5143" s="243">
        <v>5216671425649</v>
      </c>
      <c r="N5143" s="171" t="s">
        <v>28</v>
      </c>
      <c r="O5143" s="50">
        <v>44464.29</v>
      </c>
      <c r="P5143" s="97"/>
      <c r="Q5143" s="256">
        <f>OfficeForms.Table[[#This Row],[ INFORMEDEPAGO ]]*0.3</f>
        <v>13339.287</v>
      </c>
      <c r="R5143" s="43">
        <f t="shared" si="460"/>
        <v>13339.287</v>
      </c>
      <c r="T5143" s="261"/>
      <c r="U5143" s="97"/>
      <c r="V5143" s="239" t="s">
        <v>8280</v>
      </c>
      <c r="W5143" s="29">
        <v>46292</v>
      </c>
    </row>
    <row r="5144" spans="1:23">
      <c r="A5144">
        <v>3586</v>
      </c>
      <c r="B5144" s="2">
        <v>46291.729456018496</v>
      </c>
      <c r="C5144" s="2">
        <v>46291.732812499999</v>
      </c>
      <c r="D5144" s="1" t="s">
        <v>24</v>
      </c>
      <c r="E5144" s="1"/>
      <c r="F5144" s="29">
        <v>46291</v>
      </c>
      <c r="G5144" s="29">
        <v>46291</v>
      </c>
      <c r="H5144" s="1" t="s">
        <v>8381</v>
      </c>
      <c r="I5144" s="251" t="s">
        <v>11374</v>
      </c>
      <c r="J5144" s="207"/>
      <c r="K5144" s="188" t="s">
        <v>11375</v>
      </c>
      <c r="L5144" s="242">
        <v>24852680</v>
      </c>
      <c r="M5144" s="243">
        <v>5219992441322</v>
      </c>
      <c r="N5144" s="171" t="s">
        <v>47</v>
      </c>
      <c r="O5144" s="43">
        <v>5337.15</v>
      </c>
      <c r="P5144" s="43">
        <v>848</v>
      </c>
      <c r="Q5144" s="256">
        <f>OfficeForms.Table[[#This Row],[ INFORMEDEPAGO ]]*0.3</f>
        <v>1601.1449999999998</v>
      </c>
      <c r="R5144" s="43">
        <f t="shared" si="460"/>
        <v>316.17000000000007</v>
      </c>
      <c r="T5144" s="261"/>
      <c r="U5144" s="97"/>
      <c r="V5144" s="239" t="s">
        <v>8233</v>
      </c>
      <c r="W5144" s="29">
        <v>46292</v>
      </c>
    </row>
    <row r="5145" spans="1:23">
      <c r="A5145">
        <v>3587</v>
      </c>
      <c r="B5145" s="2">
        <v>46291.730740740699</v>
      </c>
      <c r="C5145" s="2">
        <v>46291.7331597222</v>
      </c>
      <c r="D5145" s="1" t="s">
        <v>24</v>
      </c>
      <c r="E5145" s="1"/>
      <c r="F5145" s="29">
        <v>46291</v>
      </c>
      <c r="G5145" s="29">
        <v>46291</v>
      </c>
      <c r="H5145" s="1" t="s">
        <v>8381</v>
      </c>
      <c r="I5145" s="251" t="s">
        <v>11376</v>
      </c>
      <c r="J5145" s="207"/>
      <c r="K5145" s="188" t="s">
        <v>11377</v>
      </c>
      <c r="L5145" s="242">
        <v>24853670</v>
      </c>
      <c r="M5145" s="243">
        <v>5212216620470</v>
      </c>
      <c r="N5145" s="171" t="s">
        <v>130</v>
      </c>
      <c r="O5145" s="43">
        <v>8337.02</v>
      </c>
      <c r="P5145" s="43">
        <v>2464.09</v>
      </c>
      <c r="Q5145" s="256">
        <f>OfficeForms.Table[[#This Row],[ INFORMEDEPAGO ]]*0.3</f>
        <v>2501.1060000000002</v>
      </c>
      <c r="R5145" s="43">
        <f t="shared" si="460"/>
        <v>37.016000000000076</v>
      </c>
      <c r="S5145" s="74">
        <v>46266</v>
      </c>
      <c r="T5145" s="261" t="s">
        <v>7209</v>
      </c>
      <c r="U5145" s="97">
        <v>792.03</v>
      </c>
      <c r="V5145" s="239" t="s">
        <v>9642</v>
      </c>
      <c r="W5145" s="29">
        <v>46292</v>
      </c>
    </row>
    <row r="5146" spans="1:23">
      <c r="A5146">
        <v>3588</v>
      </c>
      <c r="B5146" s="2">
        <v>46291.744733796302</v>
      </c>
      <c r="C5146" s="2">
        <v>46291.745081018496</v>
      </c>
      <c r="D5146" s="1" t="s">
        <v>24</v>
      </c>
      <c r="E5146" s="1"/>
      <c r="F5146" s="29">
        <v>46291</v>
      </c>
      <c r="G5146" s="29">
        <v>46291</v>
      </c>
      <c r="H5146" s="1" t="s">
        <v>269</v>
      </c>
      <c r="I5146" s="251" t="s">
        <v>11378</v>
      </c>
      <c r="J5146" s="175" t="s">
        <v>11379</v>
      </c>
      <c r="K5146" s="188" t="s">
        <v>11380</v>
      </c>
      <c r="L5146" s="242">
        <v>24858062</v>
      </c>
      <c r="M5146" s="243">
        <v>5219211043771</v>
      </c>
      <c r="N5146" s="171" t="s">
        <v>74</v>
      </c>
      <c r="O5146" s="50"/>
      <c r="P5146" s="97"/>
      <c r="Q5146" s="256">
        <f>OfficeForms.Table[[#This Row],[ INFORMEDEPAGO ]]*0.3</f>
        <v>0</v>
      </c>
      <c r="R5146" s="43">
        <f t="shared" si="460"/>
        <v>0</v>
      </c>
      <c r="T5146" s="261"/>
      <c r="U5146" s="97"/>
      <c r="V5146" s="239"/>
    </row>
    <row r="5147" spans="1:23">
      <c r="A5147">
        <v>3589</v>
      </c>
      <c r="B5147" s="2">
        <v>46291.732835648101</v>
      </c>
      <c r="C5147" s="2">
        <v>46291.746736111098</v>
      </c>
      <c r="D5147" s="1" t="s">
        <v>24</v>
      </c>
      <c r="E5147" s="1"/>
      <c r="F5147" s="29">
        <v>46291</v>
      </c>
      <c r="G5147" s="29">
        <v>46290</v>
      </c>
      <c r="H5147" s="1" t="s">
        <v>8381</v>
      </c>
      <c r="I5147" s="251" t="s">
        <v>11381</v>
      </c>
      <c r="J5147" s="175" t="s">
        <v>11382</v>
      </c>
      <c r="K5147" s="188" t="s">
        <v>11383</v>
      </c>
      <c r="L5147" s="242">
        <v>24844170</v>
      </c>
      <c r="M5147" s="243">
        <v>5216563133602</v>
      </c>
      <c r="N5147" s="171" t="s">
        <v>32</v>
      </c>
      <c r="O5147" s="50">
        <v>4199.87</v>
      </c>
      <c r="P5147" s="97"/>
      <c r="Q5147" s="256">
        <f>OfficeForms.Table[[#This Row],[ INFORMEDEPAGO ]]*0.3</f>
        <v>1259.961</v>
      </c>
      <c r="R5147" s="43">
        <f t="shared" si="460"/>
        <v>26.890000000000327</v>
      </c>
      <c r="T5147" s="261"/>
      <c r="U5147" s="97"/>
      <c r="V5147" s="239"/>
    </row>
    <row r="5148" spans="1:23">
      <c r="A5148">
        <v>3590</v>
      </c>
      <c r="B5148" s="2">
        <v>46291.740173611099</v>
      </c>
      <c r="C5148" s="2">
        <v>46291.748043981497</v>
      </c>
      <c r="D5148" s="1" t="s">
        <v>24</v>
      </c>
      <c r="E5148" s="1"/>
      <c r="F5148" s="29">
        <v>46291</v>
      </c>
      <c r="G5148" s="29">
        <v>46291</v>
      </c>
      <c r="H5148" s="1" t="s">
        <v>8028</v>
      </c>
      <c r="I5148" s="251" t="s">
        <v>11384</v>
      </c>
      <c r="J5148" s="207"/>
      <c r="K5148" s="188" t="s">
        <v>11385</v>
      </c>
      <c r="L5148" s="242">
        <v>24858148</v>
      </c>
      <c r="M5148" s="243">
        <v>5216441033453</v>
      </c>
      <c r="N5148" s="171" t="s">
        <v>106</v>
      </c>
      <c r="O5148" s="43">
        <v>14361.17</v>
      </c>
      <c r="P5148" s="43">
        <v>4304.41</v>
      </c>
      <c r="Q5148" s="256">
        <f>OfficeForms.Table[[#This Row],[ INFORMEDEPAGO ]]*0.3</f>
        <v>4308.3509999999997</v>
      </c>
      <c r="R5148" s="43">
        <f t="shared" si="460"/>
        <v>3.9409999999998035</v>
      </c>
      <c r="S5148" s="74">
        <v>46266</v>
      </c>
      <c r="T5148" s="261" t="s">
        <v>11386</v>
      </c>
      <c r="U5148" s="43">
        <v>1805.2</v>
      </c>
      <c r="V5148" s="239" t="s">
        <v>8936</v>
      </c>
      <c r="W5148" s="29">
        <v>46292</v>
      </c>
    </row>
    <row r="5149" spans="1:23">
      <c r="A5149">
        <v>3591</v>
      </c>
      <c r="B5149" s="2">
        <v>46291.748460648101</v>
      </c>
      <c r="C5149" s="2">
        <v>46291.750949074099</v>
      </c>
      <c r="D5149" s="1" t="s">
        <v>24</v>
      </c>
      <c r="E5149" s="1"/>
      <c r="F5149" s="29">
        <v>46291</v>
      </c>
      <c r="G5149" s="29">
        <v>46291</v>
      </c>
      <c r="H5149" s="1" t="s">
        <v>8028</v>
      </c>
      <c r="I5149" s="251" t="s">
        <v>11387</v>
      </c>
      <c r="J5149" s="207"/>
      <c r="K5149" s="188" t="s">
        <v>11388</v>
      </c>
      <c r="L5149" s="242">
        <v>24858218</v>
      </c>
      <c r="M5149" s="243">
        <v>5219821311837</v>
      </c>
      <c r="N5149" s="171" t="s">
        <v>37</v>
      </c>
      <c r="O5149" s="43">
        <v>4813.6899999999996</v>
      </c>
      <c r="P5149" s="43">
        <v>637.16999999999996</v>
      </c>
      <c r="Q5149" s="256">
        <f>OfficeForms.Table[[#This Row],[ INFORMEDEPAGO ]]*0.3</f>
        <v>1444.1069999999997</v>
      </c>
      <c r="R5149" s="43">
        <f t="shared" si="460"/>
        <v>3.5400000000000773</v>
      </c>
      <c r="S5149" s="74">
        <v>46905</v>
      </c>
      <c r="T5149" s="261" t="s">
        <v>259</v>
      </c>
      <c r="U5149" s="43">
        <v>637.16999999999996</v>
      </c>
      <c r="V5149" s="239"/>
    </row>
    <row r="5150" spans="1:23">
      <c r="A5150">
        <v>3592</v>
      </c>
      <c r="B5150" s="2">
        <v>46291.750844907401</v>
      </c>
      <c r="C5150" s="2">
        <v>46291.753414351901</v>
      </c>
      <c r="D5150" s="1" t="s">
        <v>24</v>
      </c>
      <c r="E5150" s="1"/>
      <c r="F5150" s="29">
        <v>46291</v>
      </c>
      <c r="G5150" s="29">
        <v>46291</v>
      </c>
      <c r="H5150" s="1" t="s">
        <v>78</v>
      </c>
      <c r="I5150" s="251" t="s">
        <v>11389</v>
      </c>
      <c r="J5150" s="207"/>
      <c r="K5150" s="188" t="s">
        <v>11390</v>
      </c>
      <c r="L5150" s="242">
        <v>24853960</v>
      </c>
      <c r="M5150" s="243">
        <v>5216647618296</v>
      </c>
      <c r="N5150" s="171" t="s">
        <v>28</v>
      </c>
      <c r="O5150" s="50">
        <v>10636.54</v>
      </c>
      <c r="P5150" s="97"/>
      <c r="Q5150" s="256">
        <f>OfficeForms.Table[[#This Row],[ INFORMEDEPAGO ]]*0.3</f>
        <v>3190.962</v>
      </c>
      <c r="R5150" s="43">
        <f t="shared" si="460"/>
        <v>3190.962</v>
      </c>
      <c r="T5150" s="261"/>
      <c r="U5150" s="97"/>
      <c r="V5150" s="239" t="s">
        <v>11360</v>
      </c>
      <c r="W5150" s="29">
        <v>46292</v>
      </c>
    </row>
    <row r="5151" spans="1:23">
      <c r="A5151">
        <v>3593</v>
      </c>
      <c r="B5151" s="2">
        <v>46292.367395833302</v>
      </c>
      <c r="C5151" s="2">
        <v>46292.368391203701</v>
      </c>
      <c r="D5151" s="1" t="s">
        <v>24</v>
      </c>
      <c r="E5151" s="1"/>
      <c r="F5151" s="29">
        <v>46291</v>
      </c>
      <c r="G5151" s="29">
        <v>46292</v>
      </c>
      <c r="H5151" s="1" t="s">
        <v>10043</v>
      </c>
      <c r="I5151" s="251" t="s">
        <v>11391</v>
      </c>
      <c r="J5151" s="207"/>
      <c r="K5151" s="188" t="s">
        <v>11392</v>
      </c>
      <c r="L5151" s="242">
        <v>24859170</v>
      </c>
      <c r="M5151" s="243">
        <v>6624034639</v>
      </c>
      <c r="N5151" s="171" t="s">
        <v>28</v>
      </c>
      <c r="O5151" s="43">
        <v>7920.51</v>
      </c>
      <c r="P5151" s="43">
        <v>848</v>
      </c>
      <c r="Q5151" s="256">
        <f>OfficeForms.Table[[#This Row],[ INFORMEDEPAGO ]]*0.3</f>
        <v>2376.1529999999998</v>
      </c>
      <c r="R5151" s="43">
        <f t="shared" si="460"/>
        <v>1528.1529999999998</v>
      </c>
      <c r="T5151" s="261"/>
      <c r="U5151" s="97"/>
      <c r="V5151" s="239" t="s">
        <v>11199</v>
      </c>
      <c r="W5151" s="29">
        <v>46292</v>
      </c>
    </row>
    <row r="5152" spans="1:23">
      <c r="A5152">
        <v>3594</v>
      </c>
      <c r="B5152" s="2">
        <v>46292.480428240699</v>
      </c>
      <c r="C5152" s="2">
        <v>46292.482025463003</v>
      </c>
      <c r="D5152" s="1" t="s">
        <v>24</v>
      </c>
      <c r="E5152" s="1"/>
      <c r="F5152" s="29">
        <v>46292</v>
      </c>
      <c r="G5152" s="29">
        <v>46291</v>
      </c>
      <c r="H5152" s="1" t="s">
        <v>10043</v>
      </c>
      <c r="I5152" s="251" t="s">
        <v>11393</v>
      </c>
      <c r="J5152" s="207">
        <v>41826321550</v>
      </c>
      <c r="K5152" s="188"/>
      <c r="L5152" s="242">
        <v>24861372</v>
      </c>
      <c r="M5152" s="243">
        <v>4448274128</v>
      </c>
      <c r="N5152" s="171" t="s">
        <v>37</v>
      </c>
      <c r="O5152" s="43">
        <v>25603.53</v>
      </c>
      <c r="P5152" s="43">
        <v>7407.57</v>
      </c>
      <c r="Q5152" s="256">
        <f>OfficeForms.Table[[#This Row],[ INFORMEDEPAGO ]]*0.3</f>
        <v>7681.0589999999993</v>
      </c>
      <c r="R5152" s="43">
        <f t="shared" si="460"/>
        <v>273.48899999999958</v>
      </c>
      <c r="S5152" s="74">
        <v>46419</v>
      </c>
      <c r="T5152" s="261" t="s">
        <v>2488</v>
      </c>
      <c r="U5152" s="43">
        <v>7407.57</v>
      </c>
      <c r="V5152" s="239"/>
    </row>
    <row r="5153" spans="1:23">
      <c r="A5153">
        <v>3595</v>
      </c>
      <c r="B5153" s="2">
        <v>46292.549872685202</v>
      </c>
      <c r="C5153" s="2">
        <v>46292.550868055601</v>
      </c>
      <c r="D5153" s="1" t="s">
        <v>24</v>
      </c>
      <c r="E5153" s="1"/>
      <c r="F5153" s="29">
        <v>46292</v>
      </c>
      <c r="G5153" s="29">
        <v>46292</v>
      </c>
      <c r="H5153" s="1" t="s">
        <v>9960</v>
      </c>
      <c r="I5153" s="251"/>
      <c r="J5153" s="207">
        <v>32816551231</v>
      </c>
      <c r="K5153" s="188" t="s">
        <v>11394</v>
      </c>
      <c r="L5153" s="242">
        <v>24868766</v>
      </c>
      <c r="M5153" s="243">
        <v>8442290390</v>
      </c>
      <c r="N5153" s="171" t="s">
        <v>37</v>
      </c>
      <c r="O5153" s="50">
        <f>6832.22+2928.1</f>
        <v>9760.32</v>
      </c>
      <c r="P5153" s="97">
        <v>2928.1</v>
      </c>
      <c r="Q5153" s="256">
        <f>OfficeForms.Table[[#This Row],[ INFORMEDEPAGO ]]*0.3</f>
        <v>2928.096</v>
      </c>
      <c r="R5153" s="43">
        <f>(IF(O5153&lt;4172.98,0,MIN(O5153*0.3,O5153-4172.98)))-P5153</f>
        <v>-3.9999999999054126E-3</v>
      </c>
      <c r="S5153" s="74">
        <v>46935</v>
      </c>
      <c r="T5153" s="261" t="s">
        <v>11395</v>
      </c>
      <c r="U5153" s="97">
        <v>2928.1</v>
      </c>
      <c r="V5153" s="239"/>
    </row>
    <row r="5154" spans="1:23">
      <c r="A5154">
        <v>3596</v>
      </c>
      <c r="B5154" s="2">
        <v>46292.5551388889</v>
      </c>
      <c r="C5154" s="2">
        <v>46292.555914351797</v>
      </c>
      <c r="D5154" s="1" t="s">
        <v>24</v>
      </c>
      <c r="E5154" s="1"/>
      <c r="F5154" s="29">
        <v>46292</v>
      </c>
      <c r="G5154" s="29">
        <v>46292</v>
      </c>
      <c r="H5154" s="1" t="s">
        <v>10043</v>
      </c>
      <c r="I5154" s="251" t="s">
        <v>11396</v>
      </c>
      <c r="J5154" s="207"/>
      <c r="K5154" s="188" t="s">
        <v>11397</v>
      </c>
      <c r="L5154" s="242">
        <v>24868552</v>
      </c>
      <c r="M5154" s="243">
        <v>2741143756</v>
      </c>
      <c r="N5154" s="171" t="s">
        <v>98</v>
      </c>
      <c r="O5154" s="50"/>
      <c r="P5154" s="97"/>
      <c r="Q5154" s="256">
        <f>OfficeForms.Table[[#This Row],[ INFORMEDEPAGO ]]*0.3</f>
        <v>0</v>
      </c>
      <c r="R5154" s="43">
        <f>(IF(O5154&lt;4172.98,0,MIN(O5154*0.3,O5154-4172.98)))-P5154</f>
        <v>0</v>
      </c>
      <c r="T5154" s="261"/>
      <c r="U5154" s="97"/>
      <c r="V5154" s="239"/>
    </row>
    <row r="5155" spans="1:23">
      <c r="A5155">
        <v>3597</v>
      </c>
      <c r="B5155" s="2">
        <v>46292.561203703699</v>
      </c>
      <c r="C5155" s="2">
        <v>46292.563344907401</v>
      </c>
      <c r="D5155" s="1" t="s">
        <v>24</v>
      </c>
      <c r="E5155" s="1"/>
      <c r="F5155" s="29">
        <v>46292</v>
      </c>
      <c r="G5155" s="29">
        <v>46292</v>
      </c>
      <c r="H5155" s="1" t="s">
        <v>9986</v>
      </c>
      <c r="I5155" s="251" t="s">
        <v>11398</v>
      </c>
      <c r="J5155" s="208" t="s">
        <v>11399</v>
      </c>
      <c r="K5155" s="188"/>
      <c r="L5155" s="242">
        <v>24859574</v>
      </c>
      <c r="M5155" s="243">
        <v>3190075824</v>
      </c>
      <c r="N5155" s="171" t="s">
        <v>98</v>
      </c>
      <c r="O5155" s="50"/>
      <c r="P5155" s="97"/>
      <c r="Q5155" s="256">
        <f>OfficeForms.Table[[#This Row],[ INFORMEDEPAGO ]]*0.3</f>
        <v>0</v>
      </c>
      <c r="R5155" s="43">
        <f>(IF(O5155&lt;4172.98,0,MIN(O5155*0.3,O5155-4172.98)))-P5155</f>
        <v>0</v>
      </c>
      <c r="T5155" s="261"/>
      <c r="U5155" s="97"/>
      <c r="V5155" s="239"/>
    </row>
    <row r="5156" spans="1:23">
      <c r="A5156">
        <v>3598</v>
      </c>
      <c r="B5156" s="2">
        <v>46292.566979166702</v>
      </c>
      <c r="C5156" s="2">
        <v>46292.5676157407</v>
      </c>
      <c r="D5156" s="1" t="s">
        <v>24</v>
      </c>
      <c r="E5156" s="1"/>
      <c r="F5156" s="29">
        <v>46292</v>
      </c>
      <c r="G5156" s="29">
        <v>46292</v>
      </c>
      <c r="H5156" s="1" t="s">
        <v>9991</v>
      </c>
      <c r="I5156" s="251" t="s">
        <v>11400</v>
      </c>
      <c r="J5156" s="207">
        <v>10826549080</v>
      </c>
      <c r="K5156" s="188" t="s">
        <v>11401</v>
      </c>
      <c r="L5156" s="242">
        <v>24868654</v>
      </c>
      <c r="M5156" s="243">
        <v>5547866083</v>
      </c>
      <c r="N5156" s="171" t="s">
        <v>37</v>
      </c>
      <c r="O5156" s="50">
        <f>6843.04+2917.28</f>
        <v>9760.32</v>
      </c>
      <c r="P5156" s="97">
        <v>2914.28</v>
      </c>
      <c r="Q5156" s="256">
        <f>OfficeForms.Table[[#This Row],[ INFORMEDEPAGO ]]*0.3</f>
        <v>2928.096</v>
      </c>
      <c r="R5156" s="43">
        <f>(IF(O5156&lt;4172.98,0,MIN(O5156*0.3,O5156-4172.98)))-P5156</f>
        <v>13.815999999999804</v>
      </c>
      <c r="S5156" s="74">
        <v>46113</v>
      </c>
      <c r="T5156" s="261" t="s">
        <v>178</v>
      </c>
      <c r="U5156" s="97">
        <v>2917.28</v>
      </c>
      <c r="V5156" s="239"/>
    </row>
    <row r="5157" spans="1:23">
      <c r="A5157">
        <v>3599</v>
      </c>
      <c r="B5157" s="2">
        <v>46292.5634027778</v>
      </c>
      <c r="C5157" s="2">
        <v>46292.587025462999</v>
      </c>
      <c r="D5157" s="1" t="s">
        <v>24</v>
      </c>
      <c r="E5157" s="1"/>
      <c r="F5157" s="29">
        <v>46292</v>
      </c>
      <c r="G5157" s="29">
        <v>46292</v>
      </c>
      <c r="H5157" s="1" t="s">
        <v>9986</v>
      </c>
      <c r="I5157" s="251" t="s">
        <v>11402</v>
      </c>
      <c r="J5157" s="207" t="s">
        <v>11403</v>
      </c>
      <c r="K5157" s="188"/>
      <c r="L5157" s="242">
        <v>24868248</v>
      </c>
      <c r="M5157" s="243">
        <v>5538917163</v>
      </c>
      <c r="N5157" s="171" t="s">
        <v>28</v>
      </c>
      <c r="O5157" s="50">
        <v>46992.75</v>
      </c>
      <c r="P5157" s="97"/>
      <c r="Q5157" s="256">
        <f>OfficeForms.Table[[#This Row],[ INFORMEDEPAGO ]]*0.3</f>
        <v>14097.824999999999</v>
      </c>
      <c r="R5157" s="43">
        <f>(IF(O5157&lt;4172.98,0,MIN(O5157*0.3,O5157-4172.98)))-P5157</f>
        <v>14097.824999999999</v>
      </c>
      <c r="T5157" s="261"/>
      <c r="U5157" s="97"/>
      <c r="V5157" s="239" t="s">
        <v>9958</v>
      </c>
      <c r="W5157" s="29">
        <v>46293</v>
      </c>
    </row>
    <row r="5158" spans="1:23">
      <c r="A5158">
        <v>3600</v>
      </c>
      <c r="B5158" s="2">
        <v>46292.576944444401</v>
      </c>
      <c r="C5158" s="2">
        <v>46292.592372685198</v>
      </c>
      <c r="D5158" s="1" t="s">
        <v>24</v>
      </c>
      <c r="E5158" s="1"/>
      <c r="F5158" s="29">
        <v>46292</v>
      </c>
      <c r="G5158" s="29">
        <v>46291</v>
      </c>
      <c r="H5158" s="1" t="s">
        <v>10043</v>
      </c>
      <c r="I5158" s="251" t="s">
        <v>11404</v>
      </c>
      <c r="J5158" s="207" t="s">
        <v>11405</v>
      </c>
      <c r="K5158" s="188"/>
      <c r="L5158" s="242">
        <v>24859664</v>
      </c>
      <c r="M5158" s="243">
        <v>7772521138</v>
      </c>
      <c r="N5158" s="171" t="s">
        <v>263</v>
      </c>
      <c r="O5158" s="50">
        <f>5117.71+499.92</f>
        <v>5617.63</v>
      </c>
      <c r="P5158" s="97"/>
      <c r="Q5158" s="256">
        <f>OfficeForms.Table[[#This Row],[ INFORMEDEPAGO ]]*0.3</f>
        <v>1685.289</v>
      </c>
      <c r="R5158" s="43">
        <f>(IF(O5158&lt;4172.98,0,MIN(O5158*0.3,O5158-4172.98)))-P5158</f>
        <v>1444.6500000000005</v>
      </c>
      <c r="S5158" s="74" t="s">
        <v>178</v>
      </c>
      <c r="T5158" s="261" t="s">
        <v>178</v>
      </c>
      <c r="U5158" s="97">
        <v>499.92</v>
      </c>
      <c r="V5158" s="239" t="s">
        <v>8291</v>
      </c>
      <c r="W5158" s="29">
        <v>46293</v>
      </c>
    </row>
    <row r="5159" spans="1:23">
      <c r="A5159">
        <v>3601</v>
      </c>
      <c r="B5159" s="2">
        <v>46292.621562499997</v>
      </c>
      <c r="C5159" s="2">
        <v>46292.628437500003</v>
      </c>
      <c r="D5159" s="1" t="s">
        <v>24</v>
      </c>
      <c r="E5159" s="1"/>
      <c r="F5159" s="29">
        <v>46292</v>
      </c>
      <c r="G5159" s="29">
        <v>46292</v>
      </c>
      <c r="H5159" s="1" t="s">
        <v>10043</v>
      </c>
      <c r="I5159" s="251"/>
      <c r="J5159" s="207">
        <v>65826171467</v>
      </c>
      <c r="K5159" s="188"/>
      <c r="L5159" s="242">
        <v>24870344</v>
      </c>
      <c r="M5159" s="243">
        <v>9841166330</v>
      </c>
      <c r="N5159" s="171" t="s">
        <v>98</v>
      </c>
      <c r="O5159" s="50"/>
      <c r="P5159" s="97"/>
      <c r="Q5159" s="256">
        <f>OfficeForms.Table[[#This Row],[ INFORMEDEPAGO ]]*0.3</f>
        <v>0</v>
      </c>
      <c r="R5159" s="43">
        <f>(IF(O5159&lt;4172.98,0,MIN(O5159*0.3,O5159-4172.98)))-P5159</f>
        <v>0</v>
      </c>
      <c r="T5159" s="261"/>
      <c r="U5159" s="97"/>
      <c r="V5159" s="239"/>
    </row>
    <row r="5160" spans="1:23">
      <c r="A5160">
        <v>3602</v>
      </c>
      <c r="B5160" s="2">
        <v>46292.641631944403</v>
      </c>
      <c r="C5160" s="2">
        <v>46292.6421064815</v>
      </c>
      <c r="D5160" s="1" t="s">
        <v>24</v>
      </c>
      <c r="E5160" s="1"/>
      <c r="F5160" s="29">
        <v>46292</v>
      </c>
      <c r="G5160" s="29">
        <v>46292</v>
      </c>
      <c r="H5160" s="1" t="s">
        <v>9991</v>
      </c>
      <c r="I5160" s="251" t="s">
        <v>11406</v>
      </c>
      <c r="J5160" s="207"/>
      <c r="K5160" s="188" t="s">
        <v>11407</v>
      </c>
      <c r="L5160" s="242">
        <v>24870536</v>
      </c>
      <c r="M5160" s="243">
        <v>4561881233</v>
      </c>
      <c r="N5160" s="171" t="s">
        <v>47</v>
      </c>
      <c r="O5160" s="50">
        <f>4605.67</f>
        <v>4605.67</v>
      </c>
      <c r="P5160" s="97"/>
      <c r="Q5160" s="256">
        <f>OfficeForms.Table[[#This Row],[ INFORMEDEPAGO ]]*0.3</f>
        <v>1381.701</v>
      </c>
      <c r="R5160" s="43">
        <f>(IF(O5160&lt;4172.98,0,MIN(O5160*0.3,O5160-4172.98)))-P5160</f>
        <v>432.69000000000051</v>
      </c>
      <c r="T5160" s="261"/>
      <c r="U5160" s="97"/>
      <c r="V5160" s="239" t="s">
        <v>10898</v>
      </c>
      <c r="W5160" s="29">
        <v>46293</v>
      </c>
    </row>
    <row r="5161" spans="1:23">
      <c r="A5161">
        <v>3603</v>
      </c>
      <c r="B5161" s="2">
        <v>46292.645532407398</v>
      </c>
      <c r="C5161" s="2">
        <v>46292.647465277798</v>
      </c>
      <c r="D5161" s="1" t="s">
        <v>24</v>
      </c>
      <c r="E5161" s="1"/>
      <c r="F5161" s="29">
        <v>46292</v>
      </c>
      <c r="G5161" s="29">
        <v>46291</v>
      </c>
      <c r="H5161" s="1" t="s">
        <v>9991</v>
      </c>
      <c r="I5161" s="251" t="s">
        <v>11408</v>
      </c>
      <c r="J5161" s="207"/>
      <c r="K5161" s="188" t="s">
        <v>11409</v>
      </c>
      <c r="L5161" s="242">
        <v>24858988</v>
      </c>
      <c r="M5161" s="243">
        <v>6562772809</v>
      </c>
      <c r="N5161" s="171" t="s">
        <v>37</v>
      </c>
      <c r="O5161" s="50">
        <f>6630.63+2450.89</f>
        <v>9081.52</v>
      </c>
      <c r="P5161" s="97">
        <v>2450.89</v>
      </c>
      <c r="Q5161" s="256">
        <f>OfficeForms.Table[[#This Row],[ INFORMEDEPAGO ]]*0.3</f>
        <v>2724.4560000000001</v>
      </c>
      <c r="R5161" s="43">
        <f>(IF(O5161&lt;4172.98,0,MIN(O5161*0.3,O5161-4172.98)))-P5161</f>
        <v>273.56600000000026</v>
      </c>
      <c r="S5161" s="74">
        <v>46478</v>
      </c>
      <c r="T5161" s="261" t="s">
        <v>7209</v>
      </c>
      <c r="U5161" s="97">
        <v>2450.89</v>
      </c>
      <c r="V5161" s="239"/>
    </row>
    <row r="5162" spans="1:23">
      <c r="A5162">
        <v>3604</v>
      </c>
      <c r="B5162" s="2">
        <v>46292.709247685198</v>
      </c>
      <c r="C5162" s="2">
        <v>46292.7101273148</v>
      </c>
      <c r="D5162" s="1" t="s">
        <v>24</v>
      </c>
      <c r="E5162" s="1"/>
      <c r="F5162" s="29">
        <v>46292</v>
      </c>
      <c r="G5162" s="29">
        <v>46292</v>
      </c>
      <c r="H5162" s="1" t="s">
        <v>9991</v>
      </c>
      <c r="I5162" s="251" t="s">
        <v>11410</v>
      </c>
      <c r="J5162" s="207"/>
      <c r="K5162" s="188" t="s">
        <v>11411</v>
      </c>
      <c r="L5162" s="244">
        <v>24871642</v>
      </c>
      <c r="M5162" s="245">
        <v>4521182573</v>
      </c>
      <c r="N5162" s="171" t="s">
        <v>37</v>
      </c>
      <c r="O5162" s="50">
        <f>6832.22+2928.1</f>
        <v>9760.32</v>
      </c>
      <c r="P5162" s="97">
        <v>2928.1</v>
      </c>
      <c r="Q5162" s="256">
        <f>OfficeForms.Table[[#This Row],[ INFORMEDEPAGO ]]*0.3</f>
        <v>2928.096</v>
      </c>
      <c r="R5162" s="43">
        <f>(IF(O5162&lt;4172.98,0,MIN(O5162*0.3,O5162-4172.98)))-P5162</f>
        <v>-3.9999999999054126E-3</v>
      </c>
      <c r="S5162" s="74">
        <v>46813</v>
      </c>
      <c r="T5162" s="261" t="s">
        <v>7516</v>
      </c>
      <c r="U5162" s="97">
        <v>2928.1</v>
      </c>
      <c r="V5162" s="239"/>
    </row>
    <row r="5163" spans="1:23">
      <c r="A5163">
        <v>3605</v>
      </c>
      <c r="B5163" s="2">
        <v>46292.584282407399</v>
      </c>
      <c r="C5163" s="2">
        <v>46292.715983796297</v>
      </c>
      <c r="D5163" s="1" t="s">
        <v>24</v>
      </c>
      <c r="E5163" s="1"/>
      <c r="F5163" s="29">
        <v>46292</v>
      </c>
      <c r="G5163" s="29">
        <v>46292</v>
      </c>
      <c r="H5163" s="1" t="s">
        <v>9960</v>
      </c>
      <c r="I5163" s="251" t="s">
        <v>11412</v>
      </c>
      <c r="J5163" s="207"/>
      <c r="K5163" s="188" t="s">
        <v>11413</v>
      </c>
      <c r="L5163" s="242">
        <v>24871198</v>
      </c>
      <c r="M5163" s="243">
        <v>6681017565</v>
      </c>
      <c r="N5163" s="171" t="s">
        <v>32</v>
      </c>
      <c r="O5163" s="50">
        <f>3040.85+848</f>
        <v>3888.85</v>
      </c>
      <c r="P5163" s="97"/>
      <c r="Q5163" s="256">
        <f>OfficeForms.Table[[#This Row],[ INFORMEDEPAGO ]]*0.3</f>
        <v>1166.655</v>
      </c>
      <c r="R5163" s="43">
        <f>(IF(O5163&lt;4172.98,0,MIN(O5163*0.3,O5163-4172.98)))-P5163</f>
        <v>0</v>
      </c>
      <c r="T5163" s="261"/>
      <c r="U5163" s="97"/>
      <c r="V5163" s="239"/>
    </row>
    <row r="5164" spans="1:23">
      <c r="A5164">
        <v>3606</v>
      </c>
      <c r="B5164" s="2">
        <v>46293.3441087963</v>
      </c>
      <c r="C5164" s="2">
        <v>46293.3448726852</v>
      </c>
      <c r="D5164" s="1" t="s">
        <v>24</v>
      </c>
      <c r="E5164" s="1"/>
      <c r="F5164" s="29">
        <v>46293</v>
      </c>
      <c r="G5164" s="29">
        <v>46292</v>
      </c>
      <c r="H5164" s="1" t="s">
        <v>9991</v>
      </c>
      <c r="I5164" s="251" t="s">
        <v>11414</v>
      </c>
      <c r="J5164" s="207">
        <v>22816103638</v>
      </c>
      <c r="K5164" s="188" t="s">
        <v>11415</v>
      </c>
      <c r="L5164" s="242">
        <v>24872360</v>
      </c>
      <c r="M5164" s="243">
        <v>6121766037</v>
      </c>
      <c r="N5164" s="171" t="s">
        <v>28</v>
      </c>
      <c r="O5164" s="50">
        <f>10571.63</f>
        <v>10571.63</v>
      </c>
      <c r="P5164" s="97"/>
      <c r="Q5164" s="256">
        <f>OfficeForms.Table[[#This Row],[ INFORMEDEPAGO ]]*0.3</f>
        <v>3171.4889999999996</v>
      </c>
      <c r="R5164" s="43">
        <f>(IF(O5164&lt;4172.98,0,MIN(O5164*0.3,O5164-4172.98)))-P5164</f>
        <v>3171.4889999999996</v>
      </c>
      <c r="T5164" s="261"/>
      <c r="U5164" s="97"/>
      <c r="V5164" s="239" t="s">
        <v>8960</v>
      </c>
      <c r="W5164" s="29">
        <v>46293</v>
      </c>
    </row>
    <row r="5165" spans="1:23">
      <c r="A5165">
        <v>3607</v>
      </c>
      <c r="B5165" s="2">
        <v>46293.364282407398</v>
      </c>
      <c r="C5165" s="2">
        <v>46293.3672800926</v>
      </c>
      <c r="D5165" s="1" t="s">
        <v>24</v>
      </c>
      <c r="E5165" s="1"/>
      <c r="F5165" s="29">
        <v>46293</v>
      </c>
      <c r="G5165" s="29">
        <v>46291</v>
      </c>
      <c r="H5165" s="1" t="s">
        <v>9960</v>
      </c>
      <c r="I5165" s="251" t="s">
        <v>11416</v>
      </c>
      <c r="J5165" s="207"/>
      <c r="K5165" s="188" t="s">
        <v>11417</v>
      </c>
      <c r="L5165" s="242">
        <v>24863224</v>
      </c>
      <c r="M5165" s="243">
        <v>8444277019</v>
      </c>
      <c r="N5165" s="171" t="s">
        <v>28</v>
      </c>
      <c r="O5165" s="50">
        <v>44312.04</v>
      </c>
      <c r="P5165" s="97"/>
      <c r="Q5165" s="256">
        <f>OfficeForms.Table[[#This Row],[ INFORMEDEPAGO ]]*0.3</f>
        <v>13293.611999999999</v>
      </c>
      <c r="R5165" s="43">
        <f>(IF(O5165&lt;4172.98,0,MIN(O5165*0.3,O5165-4172.98)))-P5165</f>
        <v>13293.611999999999</v>
      </c>
      <c r="T5165" s="261"/>
      <c r="U5165" s="97"/>
      <c r="V5165" s="239" t="s">
        <v>11357</v>
      </c>
      <c r="W5165" s="29">
        <v>46293</v>
      </c>
    </row>
    <row r="5166" spans="1:23">
      <c r="A5166">
        <v>3608</v>
      </c>
      <c r="B5166" s="2">
        <v>46293.319699074098</v>
      </c>
      <c r="C5166" s="2">
        <v>46293.409363425897</v>
      </c>
      <c r="D5166" s="1" t="s">
        <v>24</v>
      </c>
      <c r="E5166" s="1"/>
      <c r="F5166" s="29">
        <v>46293</v>
      </c>
      <c r="G5166" s="29">
        <v>46293</v>
      </c>
      <c r="H5166" s="1" t="s">
        <v>1625</v>
      </c>
      <c r="I5166" s="251" t="s">
        <v>11418</v>
      </c>
      <c r="J5166" s="207">
        <v>25936401543</v>
      </c>
      <c r="K5166" s="188" t="s">
        <v>11419</v>
      </c>
      <c r="L5166" s="242">
        <v>2</v>
      </c>
      <c r="M5166" s="243">
        <v>3324220676</v>
      </c>
      <c r="N5166" s="171" t="s">
        <v>37</v>
      </c>
      <c r="O5166" s="43">
        <v>9760.32</v>
      </c>
      <c r="P5166" s="43">
        <v>2809.95</v>
      </c>
      <c r="Q5166" s="256">
        <f>OfficeForms.Table[[#This Row],[ INFORMEDEPAGO ]]*0.3</f>
        <v>2928.096</v>
      </c>
      <c r="R5166" s="43">
        <f>(IF(O5166&lt;4172.98,0,MIN(O5166*0.3,O5166-4172.98)))-P5166</f>
        <v>118.14600000000019</v>
      </c>
      <c r="S5166" s="74">
        <v>46753</v>
      </c>
      <c r="T5166" s="261" t="s">
        <v>2488</v>
      </c>
      <c r="U5166" s="43">
        <v>2809.95</v>
      </c>
      <c r="V5166" s="239"/>
    </row>
    <row r="5167" spans="1:23">
      <c r="A5167">
        <v>3609</v>
      </c>
      <c r="B5167" s="2">
        <v>46293.4139236111</v>
      </c>
      <c r="C5167" s="2">
        <v>46293.418229166702</v>
      </c>
      <c r="D5167" s="1" t="s">
        <v>24</v>
      </c>
      <c r="E5167" s="1"/>
      <c r="F5167" s="29">
        <v>46293</v>
      </c>
      <c r="G5167" s="29">
        <v>46292</v>
      </c>
      <c r="H5167" s="1" t="s">
        <v>9960</v>
      </c>
      <c r="I5167" s="251" t="s">
        <v>11420</v>
      </c>
      <c r="J5167" s="207"/>
      <c r="K5167" s="188" t="s">
        <v>11421</v>
      </c>
      <c r="L5167" s="242">
        <v>2487076</v>
      </c>
      <c r="M5167" s="243">
        <v>5534510056</v>
      </c>
      <c r="N5167" s="171" t="s">
        <v>32</v>
      </c>
      <c r="O5167" s="50">
        <v>1709.98</v>
      </c>
      <c r="P5167" s="97"/>
      <c r="Q5167" s="256">
        <f>OfficeForms.Table[[#This Row],[ INFORMEDEPAGO ]]*0.3</f>
        <v>512.99400000000003</v>
      </c>
      <c r="R5167" s="43">
        <f>(IF(O5167&lt;4172.98,0,MIN(O5167*0.3,O5167-4172.98)))-P5167</f>
        <v>0</v>
      </c>
      <c r="T5167" s="261"/>
      <c r="U5167" s="97"/>
      <c r="V5167" s="239"/>
    </row>
    <row r="5168" spans="1:23">
      <c r="A5168">
        <v>3610</v>
      </c>
      <c r="B5168" s="2">
        <v>46293.449212963002</v>
      </c>
      <c r="C5168" s="2">
        <v>46293.449768518498</v>
      </c>
      <c r="D5168" s="1" t="s">
        <v>24</v>
      </c>
      <c r="E5168" s="1"/>
      <c r="F5168" s="29">
        <v>46293</v>
      </c>
      <c r="G5168" s="29">
        <v>46292</v>
      </c>
      <c r="H5168" s="1" t="s">
        <v>9991</v>
      </c>
      <c r="I5168" s="251"/>
      <c r="J5168" s="207" t="s">
        <v>11422</v>
      </c>
      <c r="K5168" s="188"/>
      <c r="L5168" s="242">
        <v>24874688</v>
      </c>
      <c r="M5168" s="243">
        <v>6731306789</v>
      </c>
      <c r="N5168" s="171" t="s">
        <v>106</v>
      </c>
      <c r="O5168" s="43">
        <v>9504.16</v>
      </c>
      <c r="P5168" s="43">
        <v>2638.3</v>
      </c>
      <c r="Q5168" s="256">
        <f>OfficeForms.Table[[#This Row],[ INFORMEDEPAGO ]]*0.3</f>
        <v>2851.248</v>
      </c>
      <c r="R5168" s="43">
        <f>(IF(O5168&lt;4172.98,0,MIN(O5168*0.3,O5168-4172.98)))-P5168</f>
        <v>212.94799999999987</v>
      </c>
      <c r="S5168" s="74">
        <v>46143</v>
      </c>
      <c r="T5168" s="261" t="s">
        <v>7209</v>
      </c>
      <c r="U5168" s="43">
        <v>2638.3</v>
      </c>
      <c r="V5168" s="239" t="s">
        <v>8936</v>
      </c>
      <c r="W5168" s="29">
        <v>46293</v>
      </c>
    </row>
    <row r="5169" spans="1:23">
      <c r="A5169">
        <v>3611</v>
      </c>
      <c r="B5169" s="2">
        <v>46293.451215277797</v>
      </c>
      <c r="C5169" s="2">
        <v>46293.451631944401</v>
      </c>
      <c r="D5169" s="1" t="s">
        <v>24</v>
      </c>
      <c r="E5169" s="1"/>
      <c r="F5169" s="29">
        <v>46293</v>
      </c>
      <c r="G5169" s="29">
        <v>46292</v>
      </c>
      <c r="H5169" s="1" t="s">
        <v>269</v>
      </c>
      <c r="I5169" s="251" t="s">
        <v>11423</v>
      </c>
      <c r="J5169" s="207"/>
      <c r="K5169" s="188" t="s">
        <v>11424</v>
      </c>
      <c r="L5169" s="242">
        <v>24873242</v>
      </c>
      <c r="M5169" s="243">
        <v>5217444531190</v>
      </c>
      <c r="N5169" s="171" t="s">
        <v>32</v>
      </c>
      <c r="O5169" s="50">
        <v>4320.8500000000004</v>
      </c>
      <c r="P5169" s="97"/>
      <c r="Q5169" s="256">
        <f>OfficeForms.Table[[#This Row],[ INFORMEDEPAGO ]]*0.3</f>
        <v>1296.2550000000001</v>
      </c>
      <c r="R5169" s="43">
        <f>(IF(O5169&lt;4172.98,0,MIN(O5169*0.3,O5169-4172.98)))-P5169</f>
        <v>147.8700000000008</v>
      </c>
      <c r="T5169" s="261"/>
      <c r="U5169" s="97"/>
      <c r="V5169" s="239"/>
    </row>
    <row r="5170" spans="1:23">
      <c r="A5170">
        <v>3612</v>
      </c>
      <c r="B5170" s="2">
        <v>46293.429965277799</v>
      </c>
      <c r="C5170" s="2">
        <v>46293.454143518502</v>
      </c>
      <c r="D5170" s="1" t="s">
        <v>24</v>
      </c>
      <c r="E5170" s="1"/>
      <c r="F5170" s="29">
        <v>46293</v>
      </c>
      <c r="G5170" s="29">
        <v>46293</v>
      </c>
      <c r="H5170" s="1" t="s">
        <v>1625</v>
      </c>
      <c r="I5170" s="251" t="s">
        <v>11425</v>
      </c>
      <c r="J5170" s="207">
        <v>16806303521</v>
      </c>
      <c r="K5170" s="188" t="s">
        <v>11426</v>
      </c>
      <c r="L5170" s="242">
        <v>2</v>
      </c>
      <c r="M5170" s="243">
        <v>7223340601</v>
      </c>
      <c r="N5170" s="171" t="s">
        <v>37</v>
      </c>
      <c r="O5170" s="43">
        <v>7920.51</v>
      </c>
      <c r="P5170" s="43">
        <v>2130.23</v>
      </c>
      <c r="Q5170" s="256">
        <f>OfficeForms.Table[[#This Row],[ INFORMEDEPAGO ]]*0.3</f>
        <v>2376.1529999999998</v>
      </c>
      <c r="R5170" s="43">
        <f>(IF(O5170&lt;4172.98,0,MIN(O5170*0.3,O5170-4172.98)))-P5170</f>
        <v>245.92299999999977</v>
      </c>
      <c r="S5170" s="74">
        <v>46600</v>
      </c>
      <c r="T5170" s="261" t="s">
        <v>8415</v>
      </c>
      <c r="U5170" s="97">
        <v>438.61</v>
      </c>
      <c r="V5170" s="239"/>
    </row>
    <row r="5171" spans="1:23">
      <c r="A5171">
        <v>3613</v>
      </c>
      <c r="B5171" s="2">
        <v>46293.453761574099</v>
      </c>
      <c r="C5171" s="2">
        <v>46293.454317129603</v>
      </c>
      <c r="D5171" s="1" t="s">
        <v>24</v>
      </c>
      <c r="E5171" s="1"/>
      <c r="F5171" s="29">
        <v>46293</v>
      </c>
      <c r="G5171" s="29">
        <v>46293</v>
      </c>
      <c r="H5171" s="1" t="s">
        <v>269</v>
      </c>
      <c r="I5171" s="251" t="s">
        <v>11427</v>
      </c>
      <c r="J5171" s="175" t="s">
        <v>11428</v>
      </c>
      <c r="K5171" s="188" t="s">
        <v>11429</v>
      </c>
      <c r="L5171" s="242">
        <v>24876724</v>
      </c>
      <c r="M5171" s="243">
        <v>5215520809013</v>
      </c>
      <c r="N5171" s="171" t="s">
        <v>37</v>
      </c>
      <c r="O5171" s="43">
        <v>6405.06</v>
      </c>
      <c r="P5171" s="43">
        <v>1919.78</v>
      </c>
      <c r="Q5171" s="256">
        <f>OfficeForms.Table[[#This Row],[ INFORMEDEPAGO ]]*0.3</f>
        <v>1921.518</v>
      </c>
      <c r="R5171" s="43">
        <f>(IF(O5171&lt;4172.98,0,MIN(O5171*0.3,O5171-4172.98)))-P5171</f>
        <v>1.7380000000000564</v>
      </c>
      <c r="S5171" s="74">
        <v>46997</v>
      </c>
      <c r="T5171" s="261" t="s">
        <v>178</v>
      </c>
      <c r="U5171" s="43">
        <v>1919.78</v>
      </c>
      <c r="V5171" s="239"/>
    </row>
    <row r="5172" spans="1:23">
      <c r="A5172">
        <v>3614</v>
      </c>
      <c r="B5172" s="2">
        <v>46293.456192129597</v>
      </c>
      <c r="C5172" s="2">
        <v>46293.456608796303</v>
      </c>
      <c r="D5172" s="1" t="s">
        <v>24</v>
      </c>
      <c r="E5172" s="1"/>
      <c r="F5172" s="29">
        <v>46293</v>
      </c>
      <c r="G5172" s="29">
        <v>46293</v>
      </c>
      <c r="H5172" s="1" t="s">
        <v>269</v>
      </c>
      <c r="I5172" s="251" t="s">
        <v>11430</v>
      </c>
      <c r="J5172" s="175" t="s">
        <v>11431</v>
      </c>
      <c r="K5172" s="188" t="s">
        <v>11432</v>
      </c>
      <c r="L5172" s="242">
        <v>24876764</v>
      </c>
      <c r="M5172" s="243">
        <v>5218135652885</v>
      </c>
      <c r="N5172" s="171" t="s">
        <v>37</v>
      </c>
      <c r="O5172" s="43">
        <v>7920.51</v>
      </c>
      <c r="P5172" s="43">
        <v>2374.1999999999998</v>
      </c>
      <c r="Q5172" s="256">
        <f>OfficeForms.Table[[#This Row],[ INFORMEDEPAGO ]]*0.3</f>
        <v>2376.1529999999998</v>
      </c>
      <c r="R5172" s="43">
        <f>(IF(O5172&lt;4172.98,0,MIN(O5172*0.3,O5172-4172.98)))-P5172</f>
        <v>1.9529999999999745</v>
      </c>
      <c r="S5172" s="74">
        <v>46935</v>
      </c>
      <c r="T5172" s="261" t="s">
        <v>8338</v>
      </c>
      <c r="U5172" s="256">
        <f>OfficeForms.Table[[#This Row],[ INFORMEDEPAGO ]]*0.3</f>
        <v>2376.1529999999998</v>
      </c>
      <c r="V5172" s="239"/>
    </row>
    <row r="5173" spans="1:23">
      <c r="A5173">
        <v>3615</v>
      </c>
      <c r="B5173" s="2">
        <v>46293.457824074103</v>
      </c>
      <c r="C5173" s="2">
        <v>46293.458518518499</v>
      </c>
      <c r="D5173" s="1" t="s">
        <v>24</v>
      </c>
      <c r="E5173" s="1"/>
      <c r="F5173" s="29">
        <v>46293</v>
      </c>
      <c r="G5173" s="29">
        <v>46293</v>
      </c>
      <c r="H5173" s="1" t="s">
        <v>269</v>
      </c>
      <c r="I5173" s="251" t="s">
        <v>11433</v>
      </c>
      <c r="J5173" s="175" t="s">
        <v>11434</v>
      </c>
      <c r="K5173" s="188" t="s">
        <v>11435</v>
      </c>
      <c r="L5173" s="242">
        <v>24883390</v>
      </c>
      <c r="M5173" s="243">
        <v>5218180202278</v>
      </c>
      <c r="N5173" s="171" t="s">
        <v>37</v>
      </c>
      <c r="O5173" s="43">
        <v>9760.32</v>
      </c>
      <c r="P5173" s="43">
        <v>2823.89</v>
      </c>
      <c r="Q5173" s="256">
        <f>OfficeForms.Table[[#This Row],[ INFORMEDEPAGO ]]*0.3</f>
        <v>2928.096</v>
      </c>
      <c r="R5173" s="43">
        <f>(IF(O5173&lt;4172.98,0,MIN(O5173*0.3,O5173-4172.98)))-P5173</f>
        <v>104.20600000000013</v>
      </c>
      <c r="S5173" s="74">
        <v>46569</v>
      </c>
      <c r="T5173" s="261" t="s">
        <v>8319</v>
      </c>
      <c r="U5173" s="43">
        <v>2823.89</v>
      </c>
      <c r="V5173" s="239"/>
    </row>
    <row r="5174" spans="1:23">
      <c r="A5174">
        <v>3616</v>
      </c>
      <c r="B5174" s="2">
        <v>46293.465671296297</v>
      </c>
      <c r="C5174" s="2">
        <v>46293.466157407398</v>
      </c>
      <c r="D5174" s="1" t="s">
        <v>24</v>
      </c>
      <c r="E5174" s="1"/>
      <c r="F5174" s="29">
        <v>46293</v>
      </c>
      <c r="G5174" s="29">
        <v>46293</v>
      </c>
      <c r="H5174" s="1" t="s">
        <v>9991</v>
      </c>
      <c r="I5174" s="251" t="s">
        <v>11436</v>
      </c>
      <c r="J5174" s="175">
        <v>65895300385</v>
      </c>
      <c r="K5174" s="188" t="s">
        <v>11437</v>
      </c>
      <c r="L5174" s="242">
        <v>24890354</v>
      </c>
      <c r="M5174" s="243">
        <v>2285018188</v>
      </c>
      <c r="N5174" s="171" t="s">
        <v>32</v>
      </c>
      <c r="O5174" s="50">
        <v>3879.3</v>
      </c>
      <c r="P5174" s="97"/>
      <c r="Q5174" s="256">
        <f>OfficeForms.Table[[#This Row],[ INFORMEDEPAGO ]]*0.3</f>
        <v>1163.79</v>
      </c>
      <c r="R5174" s="43">
        <f>(IF(O5174&lt;4172.98,0,MIN(O5174*0.3,O5174-4172.98)))-P5174</f>
        <v>0</v>
      </c>
      <c r="T5174" s="261"/>
      <c r="U5174" s="97"/>
      <c r="V5174" s="239"/>
    </row>
    <row r="5175" spans="1:23">
      <c r="A5175">
        <v>3617</v>
      </c>
      <c r="B5175" s="2">
        <v>46291.746770833299</v>
      </c>
      <c r="C5175" s="2">
        <v>46293.474872685198</v>
      </c>
      <c r="D5175" s="1" t="s">
        <v>24</v>
      </c>
      <c r="E5175" s="1"/>
      <c r="F5175" s="29">
        <v>46293</v>
      </c>
      <c r="G5175" s="29">
        <v>46293</v>
      </c>
      <c r="H5175" s="1" t="s">
        <v>8381</v>
      </c>
      <c r="I5175" s="251" t="s">
        <v>11438</v>
      </c>
      <c r="J5175" s="175" t="s">
        <v>11439</v>
      </c>
      <c r="K5175" s="188" t="s">
        <v>11440</v>
      </c>
      <c r="L5175" s="242">
        <v>24885112</v>
      </c>
      <c r="M5175" s="243">
        <v>5218311106680</v>
      </c>
      <c r="N5175" s="171" t="s">
        <v>28</v>
      </c>
      <c r="O5175" s="50">
        <v>14627.59</v>
      </c>
      <c r="P5175" s="97"/>
      <c r="Q5175" s="256">
        <f>OfficeForms.Table[[#This Row],[ INFORMEDEPAGO ]]*0.3</f>
        <v>4388.277</v>
      </c>
      <c r="R5175" s="43">
        <f>(IF(O5175&lt;4172.98,0,MIN(O5175*0.3,O5175-4172.98)))-P5175</f>
        <v>4388.277</v>
      </c>
      <c r="T5175" s="261"/>
      <c r="U5175" s="97"/>
      <c r="V5175" s="239" t="s">
        <v>8734</v>
      </c>
      <c r="W5175" s="29">
        <v>46293</v>
      </c>
    </row>
    <row r="5176" spans="1:23">
      <c r="A5176">
        <v>3618</v>
      </c>
      <c r="B5176" s="2">
        <v>46293.473703703698</v>
      </c>
      <c r="C5176" s="2">
        <v>46293.480567129598</v>
      </c>
      <c r="D5176" s="1" t="s">
        <v>24</v>
      </c>
      <c r="E5176" s="1"/>
      <c r="F5176" s="29">
        <v>46293</v>
      </c>
      <c r="G5176" s="29">
        <v>46292</v>
      </c>
      <c r="H5176" s="1" t="s">
        <v>8381</v>
      </c>
      <c r="I5176" s="251" t="s">
        <v>11441</v>
      </c>
      <c r="J5176" s="175" t="s">
        <v>11442</v>
      </c>
      <c r="K5176" s="188" t="s">
        <v>11443</v>
      </c>
      <c r="L5176" s="242">
        <v>24875426</v>
      </c>
      <c r="M5176" s="243">
        <v>5213231527617</v>
      </c>
      <c r="N5176" s="171" t="s">
        <v>37</v>
      </c>
      <c r="O5176" s="52">
        <v>7459.58</v>
      </c>
      <c r="P5176" s="52">
        <v>2158.23</v>
      </c>
      <c r="Q5176" s="256">
        <f>OfficeForms.Table[[#This Row],[ INFORMEDEPAGO ]]*0.3</f>
        <v>2237.8739999999998</v>
      </c>
      <c r="R5176" s="43">
        <f>(IF(O5176&lt;4172.98,0,MIN(O5176*0.3,O5176-4172.98)))-P5176</f>
        <v>79.643999999999778</v>
      </c>
      <c r="S5176" s="74">
        <v>46631</v>
      </c>
      <c r="T5176" s="261" t="s">
        <v>7516</v>
      </c>
      <c r="U5176" s="52">
        <v>2158.23</v>
      </c>
      <c r="V5176" s="239"/>
    </row>
    <row r="5177" spans="1:23">
      <c r="A5177">
        <v>3619</v>
      </c>
      <c r="B5177" s="2">
        <v>46293.4851388889</v>
      </c>
      <c r="C5177" s="2">
        <v>46293.486226851797</v>
      </c>
      <c r="D5177" s="1" t="s">
        <v>24</v>
      </c>
      <c r="E5177" s="1"/>
      <c r="F5177" s="29">
        <v>46293</v>
      </c>
      <c r="G5177" s="29">
        <v>46291</v>
      </c>
      <c r="H5177" s="1" t="s">
        <v>9991</v>
      </c>
      <c r="I5177" s="251" t="s">
        <v>11444</v>
      </c>
      <c r="J5177" s="175"/>
      <c r="K5177" s="188" t="s">
        <v>11445</v>
      </c>
      <c r="L5177" s="242">
        <v>24863308</v>
      </c>
      <c r="M5177" s="243">
        <v>5521298598</v>
      </c>
      <c r="N5177" s="171" t="s">
        <v>106</v>
      </c>
      <c r="O5177" s="52">
        <v>7628.26</v>
      </c>
      <c r="P5177" s="52">
        <v>2116.46</v>
      </c>
      <c r="Q5177" s="256">
        <f>OfficeForms.Table[[#This Row],[ INFORMEDEPAGO ]]*0.3</f>
        <v>2288.4780000000001</v>
      </c>
      <c r="R5177" s="43">
        <f>(IF(O5177&lt;4172.98,0,MIN(O5177*0.3,O5177-4172.98)))-P5177</f>
        <v>172.01800000000003</v>
      </c>
      <c r="S5177" s="74">
        <v>46174</v>
      </c>
      <c r="T5177" s="261" t="s">
        <v>7516</v>
      </c>
      <c r="U5177" s="52">
        <v>2116.46</v>
      </c>
      <c r="V5177" s="239" t="s">
        <v>8256</v>
      </c>
      <c r="W5177" s="29">
        <v>46293</v>
      </c>
    </row>
    <row r="5178" spans="1:23">
      <c r="A5178">
        <v>3620</v>
      </c>
      <c r="B5178" s="2">
        <v>46293.474918981497</v>
      </c>
      <c r="C5178" s="2">
        <v>46293.501550925903</v>
      </c>
      <c r="D5178" s="1" t="s">
        <v>24</v>
      </c>
      <c r="E5178" s="1"/>
      <c r="F5178" s="29">
        <v>46293</v>
      </c>
      <c r="G5178" s="29">
        <v>46293</v>
      </c>
      <c r="H5178" s="1" t="s">
        <v>8381</v>
      </c>
      <c r="I5178" s="251" t="s">
        <v>11446</v>
      </c>
      <c r="J5178" s="175">
        <v>67735404534</v>
      </c>
      <c r="K5178" s="188" t="s">
        <v>11447</v>
      </c>
      <c r="L5178" s="242">
        <v>24889454</v>
      </c>
      <c r="M5178" s="243">
        <v>5212811162404</v>
      </c>
      <c r="N5178" s="171" t="s">
        <v>32</v>
      </c>
      <c r="O5178" s="67">
        <v>3882.85</v>
      </c>
      <c r="P5178" s="99"/>
      <c r="Q5178" s="256">
        <f>OfficeForms.Table[[#This Row],[ INFORMEDEPAGO ]]*0.3</f>
        <v>1164.855</v>
      </c>
      <c r="R5178" s="43">
        <f>(IF(O5178&lt;4172.98,0,MIN(O5178*0.3,O5178-4172.98)))-P5178</f>
        <v>0</v>
      </c>
      <c r="T5178" s="261"/>
      <c r="U5178" s="99"/>
      <c r="V5178" s="239"/>
    </row>
    <row r="5179" spans="1:23">
      <c r="A5179">
        <v>3621</v>
      </c>
      <c r="B5179" s="2">
        <v>46293.409398148098</v>
      </c>
      <c r="C5179" s="2">
        <v>46293.510717592602</v>
      </c>
      <c r="D5179" s="1" t="s">
        <v>24</v>
      </c>
      <c r="E5179" s="1"/>
      <c r="F5179" s="29">
        <v>46293</v>
      </c>
      <c r="G5179" s="29">
        <v>46293</v>
      </c>
      <c r="H5179" s="1" t="s">
        <v>1625</v>
      </c>
      <c r="I5179" s="251" t="s">
        <v>8320</v>
      </c>
      <c r="J5179" s="175">
        <v>55866117561</v>
      </c>
      <c r="K5179" s="188" t="s">
        <v>11448</v>
      </c>
      <c r="L5179" s="242">
        <v>2</v>
      </c>
      <c r="M5179" s="243">
        <v>3231431293</v>
      </c>
      <c r="N5179" s="171" t="s">
        <v>37</v>
      </c>
      <c r="O5179" s="52">
        <v>6262.86</v>
      </c>
      <c r="P5179" s="52">
        <v>1786.26</v>
      </c>
      <c r="Q5179" s="256">
        <f>OfficeForms.Table[[#This Row],[ INFORMEDEPAGO ]]*0.3</f>
        <v>1878.8579999999997</v>
      </c>
      <c r="R5179" s="43">
        <f t="shared" ref="R5179:R5181" si="461">(IF(O5179&lt;4172.98,0,MIN(O5179*0.3,O5179-4172.98)))-P5179</f>
        <v>92.597999999999729</v>
      </c>
      <c r="S5179" s="74">
        <v>46661</v>
      </c>
      <c r="T5179" s="261" t="s">
        <v>7516</v>
      </c>
      <c r="U5179" s="52">
        <v>1786.26</v>
      </c>
      <c r="V5179" s="239"/>
    </row>
    <row r="5180" spans="1:23">
      <c r="A5180">
        <v>3622</v>
      </c>
      <c r="B5180" s="2">
        <v>46293.504525463002</v>
      </c>
      <c r="C5180" s="2">
        <v>46293.511064814797</v>
      </c>
      <c r="D5180" s="1" t="s">
        <v>24</v>
      </c>
      <c r="E5180" s="1"/>
      <c r="F5180" s="29">
        <v>46293</v>
      </c>
      <c r="G5180" s="29">
        <v>46236</v>
      </c>
      <c r="H5180" s="1" t="s">
        <v>78</v>
      </c>
      <c r="I5180" s="251" t="s">
        <v>11449</v>
      </c>
      <c r="J5180" s="175">
        <v>62836501411</v>
      </c>
      <c r="K5180" s="188" t="s">
        <v>11450</v>
      </c>
      <c r="L5180" s="242">
        <v>23300822</v>
      </c>
      <c r="M5180" s="243">
        <v>5212225125599</v>
      </c>
      <c r="N5180" s="171" t="s">
        <v>28</v>
      </c>
      <c r="O5180" s="67">
        <v>9760.32</v>
      </c>
      <c r="P5180" s="99"/>
      <c r="Q5180" s="256">
        <f>OfficeForms.Table[[#This Row],[ INFORMEDEPAGO ]]*0.3</f>
        <v>2928.096</v>
      </c>
      <c r="R5180" s="43">
        <f t="shared" si="461"/>
        <v>2928.096</v>
      </c>
      <c r="T5180" s="261"/>
      <c r="U5180" s="99"/>
      <c r="V5180" s="239" t="s">
        <v>8915</v>
      </c>
      <c r="W5180" s="29">
        <v>46293</v>
      </c>
    </row>
    <row r="5181" spans="1:23">
      <c r="A5181">
        <v>3623</v>
      </c>
      <c r="B5181" s="2">
        <v>46293.501597222203</v>
      </c>
      <c r="C5181" s="2">
        <v>46293.514479166697</v>
      </c>
      <c r="D5181" s="1" t="s">
        <v>24</v>
      </c>
      <c r="E5181" s="1"/>
      <c r="F5181" s="29">
        <v>46293</v>
      </c>
      <c r="G5181" s="29">
        <v>46293</v>
      </c>
      <c r="H5181" s="1" t="s">
        <v>8381</v>
      </c>
      <c r="I5181" s="251" t="s">
        <v>11451</v>
      </c>
      <c r="J5181" s="175" t="s">
        <v>11452</v>
      </c>
      <c r="K5181" s="188" t="s">
        <v>11453</v>
      </c>
      <c r="L5181" s="242">
        <v>24889964</v>
      </c>
      <c r="M5181" s="243">
        <v>5218446698209</v>
      </c>
      <c r="N5181" s="171" t="s">
        <v>37</v>
      </c>
      <c r="O5181" s="43">
        <v>5078.57</v>
      </c>
      <c r="P5181" s="43">
        <v>897.17</v>
      </c>
      <c r="Q5181" s="256">
        <f>OfficeForms.Table[[#This Row],[ INFORMEDEPAGO ]]*0.3</f>
        <v>1523.5709999999999</v>
      </c>
      <c r="R5181" s="43">
        <f t="shared" si="461"/>
        <v>8.4200000000001864</v>
      </c>
      <c r="S5181" s="74">
        <v>46935</v>
      </c>
      <c r="T5181" s="261" t="s">
        <v>259</v>
      </c>
      <c r="U5181" s="43">
        <v>897.17</v>
      </c>
      <c r="V5181" s="239"/>
    </row>
    <row r="5182" spans="1:23">
      <c r="A5182">
        <v>3624</v>
      </c>
      <c r="B5182" s="2">
        <v>46293.518807870401</v>
      </c>
      <c r="C5182" s="2">
        <v>46293.519212963001</v>
      </c>
      <c r="D5182" s="1" t="s">
        <v>24</v>
      </c>
      <c r="E5182" s="1"/>
      <c r="F5182" s="29">
        <v>46293</v>
      </c>
      <c r="G5182" s="29">
        <v>46293</v>
      </c>
      <c r="H5182" s="1" t="s">
        <v>269</v>
      </c>
      <c r="I5182" s="251" t="s">
        <v>11454</v>
      </c>
      <c r="J5182" s="175" t="s">
        <v>11455</v>
      </c>
      <c r="K5182" s="188" t="s">
        <v>11456</v>
      </c>
      <c r="L5182" s="242">
        <v>24874478</v>
      </c>
      <c r="M5182" s="243">
        <v>5215644664528</v>
      </c>
      <c r="N5182" s="171" t="s">
        <v>263</v>
      </c>
      <c r="O5182" s="43">
        <v>27132.26</v>
      </c>
      <c r="P5182" s="43">
        <v>8136.76</v>
      </c>
      <c r="Q5182" s="256">
        <f>OfficeForms.Table[[#This Row],[ INFORMEDEPAGO ]]*0.3</f>
        <v>8139.677999999999</v>
      </c>
      <c r="R5182" s="43">
        <f>(IF(O5182&lt;4172.98,0,MIN(O5182*0.3,O5182-4172.98)))-P5182</f>
        <v>2.9179999999987558</v>
      </c>
      <c r="S5182" s="74">
        <v>46054</v>
      </c>
      <c r="T5182" s="261" t="s">
        <v>178</v>
      </c>
      <c r="U5182" s="99">
        <v>337.73</v>
      </c>
      <c r="V5182" s="239" t="s">
        <v>8291</v>
      </c>
      <c r="W5182" s="29">
        <v>46293</v>
      </c>
    </row>
    <row r="5183" spans="1:23">
      <c r="A5183">
        <v>3625</v>
      </c>
      <c r="B5183" s="2">
        <v>46293.521493055603</v>
      </c>
      <c r="C5183" s="2">
        <v>46293.521886574097</v>
      </c>
      <c r="D5183" s="1" t="s">
        <v>24</v>
      </c>
      <c r="E5183" s="1"/>
      <c r="F5183" s="29">
        <v>46293</v>
      </c>
      <c r="G5183" s="29">
        <v>46293</v>
      </c>
      <c r="H5183" s="1" t="s">
        <v>269</v>
      </c>
      <c r="I5183" s="251" t="s">
        <v>11457</v>
      </c>
      <c r="J5183" s="175" t="s">
        <v>11458</v>
      </c>
      <c r="K5183" s="188" t="s">
        <v>11459</v>
      </c>
      <c r="L5183" s="242">
        <v>24885250</v>
      </c>
      <c r="M5183" s="243">
        <v>5218119148505</v>
      </c>
      <c r="N5183" s="171" t="s">
        <v>28</v>
      </c>
      <c r="O5183" s="43">
        <v>7920.51</v>
      </c>
      <c r="P5183" s="43">
        <v>992.67</v>
      </c>
      <c r="Q5183" s="256">
        <f>OfficeForms.Table[[#This Row],[ INFORMEDEPAGO ]]*0.3</f>
        <v>2376.1529999999998</v>
      </c>
      <c r="R5183" s="43">
        <f>(IF(O5183&lt;4172.98,0,MIN(O5183*0.3,O5183-4172.98)))-P5183</f>
        <v>1383.4829999999997</v>
      </c>
      <c r="S5183" s="74">
        <v>46784</v>
      </c>
      <c r="T5183" s="261" t="s">
        <v>8338</v>
      </c>
      <c r="U5183" s="43">
        <v>992.67</v>
      </c>
      <c r="V5183" s="239" t="s">
        <v>8734</v>
      </c>
      <c r="W5183" s="29">
        <v>46293</v>
      </c>
    </row>
    <row r="5184" spans="1:23">
      <c r="A5184">
        <v>3626</v>
      </c>
      <c r="B5184" s="2">
        <v>46293.526331018496</v>
      </c>
      <c r="C5184" s="2">
        <v>46293.527060185203</v>
      </c>
      <c r="D5184" s="1" t="s">
        <v>24</v>
      </c>
      <c r="E5184" s="1"/>
      <c r="F5184" s="29">
        <v>46293</v>
      </c>
      <c r="G5184" s="29">
        <v>46293</v>
      </c>
      <c r="H5184" s="1" t="s">
        <v>269</v>
      </c>
      <c r="I5184" s="251" t="s">
        <v>11460</v>
      </c>
      <c r="J5184" s="175" t="s">
        <v>11461</v>
      </c>
      <c r="K5184" s="188" t="s">
        <v>11462</v>
      </c>
      <c r="L5184" s="242">
        <v>24892440</v>
      </c>
      <c r="M5184" s="243">
        <v>24892440</v>
      </c>
      <c r="N5184" s="171" t="s">
        <v>37</v>
      </c>
      <c r="O5184" s="43">
        <v>9760.32</v>
      </c>
      <c r="P5184" s="43">
        <v>2812.94</v>
      </c>
      <c r="Q5184" s="256">
        <f>OfficeForms.Table[[#This Row],[ INFORMEDEPAGO ]]*0.3</f>
        <v>2928.096</v>
      </c>
      <c r="R5184" s="43">
        <f>(IF(O5184&lt;4172.98,0,MIN(O5184*0.3,O5184-4172.98)))-P5184</f>
        <v>115.15599999999995</v>
      </c>
      <c r="S5184" s="74">
        <v>46753</v>
      </c>
      <c r="T5184" s="261" t="s">
        <v>7516</v>
      </c>
      <c r="U5184" s="43">
        <v>2812.94</v>
      </c>
      <c r="V5184" s="239"/>
    </row>
    <row r="5185" spans="1:23">
      <c r="A5185">
        <v>3627</v>
      </c>
      <c r="B5185" s="2">
        <v>46293.535601851901</v>
      </c>
      <c r="C5185" s="2">
        <v>46293.536087963003</v>
      </c>
      <c r="D5185" s="1" t="s">
        <v>24</v>
      </c>
      <c r="E5185" s="1"/>
      <c r="F5185" s="29">
        <v>46293</v>
      </c>
      <c r="G5185" s="29">
        <v>46293</v>
      </c>
      <c r="H5185" s="1" t="s">
        <v>269</v>
      </c>
      <c r="I5185" s="251" t="s">
        <v>11463</v>
      </c>
      <c r="J5185" s="175" t="s">
        <v>11464</v>
      </c>
      <c r="K5185" s="188" t="s">
        <v>11465</v>
      </c>
      <c r="L5185" s="242">
        <v>24878674</v>
      </c>
      <c r="M5185" s="243">
        <v>5216241611823</v>
      </c>
      <c r="N5185" s="171" t="s">
        <v>106</v>
      </c>
      <c r="O5185" s="52">
        <v>6876.47</v>
      </c>
      <c r="P5185" s="52">
        <v>1235.9000000000001</v>
      </c>
      <c r="Q5185" s="256">
        <f>OfficeForms.Table[[#This Row],[ INFORMEDEPAGO ]]*0.3</f>
        <v>2062.9409999999998</v>
      </c>
      <c r="R5185" s="43">
        <f>(IF(O5185&lt;4172.98,0,MIN(O5185*0.3,O5185-4172.98)))-P5185</f>
        <v>827.04099999999971</v>
      </c>
      <c r="S5185" s="74">
        <v>46266</v>
      </c>
      <c r="T5185" s="261" t="s">
        <v>7209</v>
      </c>
      <c r="U5185" s="52">
        <v>1235.9000000000001</v>
      </c>
      <c r="V5185" s="239" t="s">
        <v>8936</v>
      </c>
      <c r="W5185" s="29">
        <v>46293</v>
      </c>
    </row>
    <row r="5186" spans="1:23">
      <c r="A5186">
        <v>3628</v>
      </c>
      <c r="B5186" s="2">
        <v>46293.560798611099</v>
      </c>
      <c r="C5186" s="2">
        <v>46293.561527777798</v>
      </c>
      <c r="D5186" s="1" t="s">
        <v>24</v>
      </c>
      <c r="E5186" s="1"/>
      <c r="F5186" s="29">
        <v>46293</v>
      </c>
      <c r="G5186" s="29">
        <v>46292</v>
      </c>
      <c r="H5186" s="1" t="s">
        <v>9991</v>
      </c>
      <c r="I5186" s="251" t="s">
        <v>11466</v>
      </c>
      <c r="J5186" s="175">
        <v>53925907239</v>
      </c>
      <c r="K5186" s="188" t="s">
        <v>11467</v>
      </c>
      <c r="L5186" s="242">
        <v>24873184</v>
      </c>
      <c r="M5186" s="243">
        <v>3511475961</v>
      </c>
      <c r="N5186" s="171" t="s">
        <v>37</v>
      </c>
      <c r="O5186" s="43">
        <v>5046.1899999999996</v>
      </c>
      <c r="P5186" s="43">
        <v>842</v>
      </c>
      <c r="Q5186" s="256">
        <f>OfficeForms.Table[[#This Row],[ INFORMEDEPAGO ]]*0.3</f>
        <v>1513.8569999999997</v>
      </c>
      <c r="R5186" s="43">
        <f>(IF(O5186&lt;4172.98,0,MIN(O5186*0.3,O5186-4172.98)))-P5186</f>
        <v>31.210000000000036</v>
      </c>
      <c r="S5186" s="74">
        <v>46722</v>
      </c>
      <c r="T5186" s="261" t="s">
        <v>8338</v>
      </c>
      <c r="U5186" s="43">
        <v>842</v>
      </c>
      <c r="V5186" s="239"/>
    </row>
    <row r="5187" spans="1:23">
      <c r="A5187">
        <v>3629</v>
      </c>
      <c r="B5187" s="2">
        <v>46293.587685185201</v>
      </c>
      <c r="C5187" s="2">
        <v>46293.5882291667</v>
      </c>
      <c r="D5187" s="1" t="s">
        <v>24</v>
      </c>
      <c r="E5187" s="1"/>
      <c r="F5187" s="29">
        <v>46293</v>
      </c>
      <c r="G5187" s="29">
        <v>46293</v>
      </c>
      <c r="H5187" s="1" t="s">
        <v>9991</v>
      </c>
      <c r="I5187" s="251"/>
      <c r="J5187" s="175">
        <v>83806305187</v>
      </c>
      <c r="K5187" s="188"/>
      <c r="L5187" s="242">
        <v>24884822</v>
      </c>
      <c r="M5187" s="243">
        <v>9981849767</v>
      </c>
      <c r="N5187" s="171" t="s">
        <v>37</v>
      </c>
      <c r="O5187" s="52">
        <v>9081.51</v>
      </c>
      <c r="P5187" s="52">
        <v>2722.83</v>
      </c>
      <c r="Q5187" s="256">
        <f>OfficeForms.Table[[#This Row],[ INFORMEDEPAGO ]]*0.3</f>
        <v>2724.453</v>
      </c>
      <c r="R5187" s="43">
        <f>(IF(O5187&lt;4172.98,0,MIN(O5187*0.3,O5187-4172.98)))-P5187</f>
        <v>1.6230000000000473</v>
      </c>
      <c r="S5187" s="74">
        <v>46874</v>
      </c>
      <c r="T5187" s="261" t="s">
        <v>8415</v>
      </c>
      <c r="U5187" s="97">
        <v>1394.99</v>
      </c>
      <c r="V5187" s="239"/>
    </row>
    <row r="5188" spans="1:23">
      <c r="A5188">
        <v>3630</v>
      </c>
      <c r="B5188" s="2">
        <v>46293.545104166697</v>
      </c>
      <c r="C5188" s="2">
        <v>46293.590995370403</v>
      </c>
      <c r="D5188" s="1" t="s">
        <v>24</v>
      </c>
      <c r="E5188" s="1"/>
      <c r="F5188" s="29">
        <v>46293</v>
      </c>
      <c r="G5188" s="29">
        <v>46236</v>
      </c>
      <c r="H5188" s="1" t="s">
        <v>78</v>
      </c>
      <c r="I5188" s="251" t="s">
        <v>11468</v>
      </c>
      <c r="J5188" s="175">
        <v>43826373169</v>
      </c>
      <c r="K5188" s="188" t="s">
        <v>11469</v>
      </c>
      <c r="L5188" s="242">
        <v>23301518</v>
      </c>
      <c r="M5188" s="243">
        <v>5218134150550</v>
      </c>
      <c r="N5188" s="171" t="s">
        <v>37</v>
      </c>
      <c r="O5188" s="52">
        <v>13214.36</v>
      </c>
      <c r="P5188" s="52">
        <v>3964.31</v>
      </c>
      <c r="Q5188" s="256">
        <f>OfficeForms.Table[[#This Row],[ INFORMEDEPAGO ]]*0.3</f>
        <v>3964.308</v>
      </c>
      <c r="R5188" s="43">
        <f>(IF(O5188&lt;4172.98,0,MIN(O5188*0.3,O5188-4172.98)))-P5188</f>
        <v>-1.9999999999527063E-3</v>
      </c>
      <c r="S5188" s="74">
        <v>46569</v>
      </c>
      <c r="T5188" s="261" t="s">
        <v>8398</v>
      </c>
      <c r="U5188" s="97">
        <v>2974.4</v>
      </c>
      <c r="V5188" s="239"/>
    </row>
    <row r="5189" spans="1:23">
      <c r="A5189">
        <v>3631</v>
      </c>
      <c r="B5189" s="2">
        <v>46293.635208333297</v>
      </c>
      <c r="C5189" s="2">
        <v>46293.639791666697</v>
      </c>
      <c r="D5189" s="1" t="s">
        <v>24</v>
      </c>
      <c r="E5189" s="1"/>
      <c r="F5189" s="29">
        <v>46293</v>
      </c>
      <c r="G5189" s="29">
        <v>46291</v>
      </c>
      <c r="H5189" s="1" t="s">
        <v>8028</v>
      </c>
      <c r="I5189" s="251" t="s">
        <v>11470</v>
      </c>
      <c r="J5189" s="175"/>
      <c r="K5189" s="188" t="s">
        <v>11471</v>
      </c>
      <c r="L5189" s="242">
        <v>24856462</v>
      </c>
      <c r="M5189" s="243">
        <v>5219931148588</v>
      </c>
      <c r="N5189" s="171" t="s">
        <v>98</v>
      </c>
      <c r="O5189" s="50"/>
      <c r="P5189" s="97"/>
      <c r="Q5189" s="256">
        <f>OfficeForms.Table[[#This Row],[ INFORMEDEPAGO ]]*0.3</f>
        <v>0</v>
      </c>
      <c r="R5189" s="43">
        <f>(IF(O5189&lt;4172.98,0,MIN(O5189*0.3,O5189-4172.98)))-P5189</f>
        <v>0</v>
      </c>
      <c r="T5189" s="261"/>
      <c r="U5189" s="97"/>
      <c r="V5189" s="239"/>
    </row>
    <row r="5190" spans="1:23">
      <c r="A5190">
        <v>3632</v>
      </c>
      <c r="B5190" s="2">
        <v>46293.648599537002</v>
      </c>
      <c r="C5190" s="2">
        <v>46293.6511805556</v>
      </c>
      <c r="D5190" s="1" t="s">
        <v>24</v>
      </c>
      <c r="E5190" s="1"/>
      <c r="F5190" s="29">
        <v>46293</v>
      </c>
      <c r="G5190" s="29">
        <v>46293</v>
      </c>
      <c r="H5190" s="1" t="s">
        <v>1625</v>
      </c>
      <c r="I5190" s="251" t="s">
        <v>11472</v>
      </c>
      <c r="J5190" s="175">
        <v>32775908190</v>
      </c>
      <c r="K5190" s="188" t="s">
        <v>11473</v>
      </c>
      <c r="L5190" s="242">
        <v>2</v>
      </c>
      <c r="M5190" s="243">
        <v>6145329804</v>
      </c>
      <c r="N5190" s="171" t="s">
        <v>37</v>
      </c>
      <c r="O5190" s="52">
        <v>15586.21</v>
      </c>
      <c r="P5190" s="52">
        <v>4675.68</v>
      </c>
      <c r="Q5190" s="256">
        <f>OfficeForms.Table[[#This Row],[ INFORMEDEPAGO ]]*0.3</f>
        <v>4675.8629999999994</v>
      </c>
      <c r="R5190" s="43">
        <f>(IF(O5190&lt;4172.98,0,MIN(O5190*0.3,O5190-4172.98)))-P5190</f>
        <v>0.18299999999908323</v>
      </c>
      <c r="S5190" s="74">
        <v>46539</v>
      </c>
      <c r="T5190" s="261" t="s">
        <v>8415</v>
      </c>
      <c r="U5190" s="97">
        <v>550.47</v>
      </c>
      <c r="V5190" s="239"/>
    </row>
    <row r="5191" spans="1:23">
      <c r="A5191">
        <v>3633</v>
      </c>
      <c r="B5191" s="2">
        <v>46293.651597222197</v>
      </c>
      <c r="C5191" s="2">
        <v>46293.6644675926</v>
      </c>
      <c r="D5191" s="1" t="s">
        <v>24</v>
      </c>
      <c r="E5191" s="1"/>
      <c r="F5191" s="29">
        <v>46293</v>
      </c>
      <c r="G5191" s="29">
        <v>46291</v>
      </c>
      <c r="H5191" s="1" t="s">
        <v>8028</v>
      </c>
      <c r="I5191" s="251" t="s">
        <v>11474</v>
      </c>
      <c r="J5191" s="175"/>
      <c r="K5191" s="188" t="s">
        <v>11475</v>
      </c>
      <c r="L5191" s="242">
        <v>24856488</v>
      </c>
      <c r="M5191" s="243">
        <v>5219931179217</v>
      </c>
      <c r="N5191" s="171" t="s">
        <v>28</v>
      </c>
      <c r="O5191" s="50">
        <v>12595.73</v>
      </c>
      <c r="P5191" s="97"/>
      <c r="Q5191" s="256">
        <f>OfficeForms.Table[[#This Row],[ INFORMEDEPAGO ]]*0.3</f>
        <v>3778.7189999999996</v>
      </c>
      <c r="R5191" s="43">
        <f>(IF(O5191&lt;4172.98,0,MIN(O5191*0.3,O5191-4172.98)))-P5191</f>
        <v>3778.7189999999996</v>
      </c>
      <c r="T5191" s="261"/>
      <c r="U5191" s="97"/>
      <c r="V5191" s="239" t="s">
        <v>8280</v>
      </c>
      <c r="W5191" s="29">
        <v>46293</v>
      </c>
    </row>
    <row r="5192" spans="1:23">
      <c r="A5192">
        <v>3634</v>
      </c>
      <c r="B5192" s="2">
        <v>46293.6016087963</v>
      </c>
      <c r="C5192" s="2">
        <v>46293.669155092597</v>
      </c>
      <c r="D5192" s="1" t="s">
        <v>24</v>
      </c>
      <c r="E5192" s="1"/>
      <c r="F5192" s="29">
        <v>46293</v>
      </c>
      <c r="G5192" s="29">
        <v>46291</v>
      </c>
      <c r="H5192" s="1" t="s">
        <v>8028</v>
      </c>
      <c r="I5192" s="251" t="s">
        <v>11476</v>
      </c>
      <c r="J5192" s="175">
        <v>67806424577</v>
      </c>
      <c r="K5192" s="188" t="s">
        <v>11477</v>
      </c>
      <c r="L5192" s="242">
        <v>24858040</v>
      </c>
      <c r="M5192" s="243">
        <v>5218445314725</v>
      </c>
      <c r="N5192" s="171" t="s">
        <v>37</v>
      </c>
      <c r="O5192" s="52">
        <v>9081.52</v>
      </c>
      <c r="P5192" s="52">
        <v>2521.35</v>
      </c>
      <c r="Q5192" s="256">
        <f>OfficeForms.Table[[#This Row],[ INFORMEDEPAGO ]]*0.3</f>
        <v>2724.4560000000001</v>
      </c>
      <c r="R5192" s="43">
        <f>(IF(O5192&lt;4172.98,0,MIN(O5192*0.3,O5192-4172.98)))-P5192</f>
        <v>203.10600000000022</v>
      </c>
      <c r="S5192" s="74">
        <v>46419</v>
      </c>
      <c r="T5192" s="261" t="s">
        <v>7209</v>
      </c>
      <c r="U5192" s="52">
        <v>2521.35</v>
      </c>
      <c r="V5192" s="239"/>
    </row>
    <row r="5193" spans="1:23">
      <c r="A5193">
        <v>3635</v>
      </c>
      <c r="B5193" s="2">
        <v>46293.514513888898</v>
      </c>
      <c r="C5193" s="2">
        <v>46293.678726851896</v>
      </c>
      <c r="D5193" s="1" t="s">
        <v>24</v>
      </c>
      <c r="E5193" s="1"/>
      <c r="F5193" s="29">
        <v>46293</v>
      </c>
      <c r="G5193" s="29">
        <v>46293</v>
      </c>
      <c r="H5193" s="1" t="s">
        <v>8381</v>
      </c>
      <c r="I5193" s="251" t="s">
        <v>11478</v>
      </c>
      <c r="J5193" s="175"/>
      <c r="K5193" s="188" t="s">
        <v>11479</v>
      </c>
      <c r="L5193" s="242">
        <v>24890940</v>
      </c>
      <c r="M5193" s="243">
        <v>5216641738239</v>
      </c>
      <c r="N5193" s="171" t="s">
        <v>37</v>
      </c>
      <c r="O5193" s="52">
        <v>5781.19</v>
      </c>
      <c r="P5193" s="52">
        <v>1499.93</v>
      </c>
      <c r="Q5193" s="256">
        <f>OfficeForms.Table[[#This Row],[ INFORMEDEPAGO ]]*0.3</f>
        <v>1734.3569999999997</v>
      </c>
      <c r="R5193" s="43">
        <f>(IF(O5193&lt;4172.98,0,MIN(O5193*0.3,O5193-4172.98)))-P5193</f>
        <v>108.27999999999997</v>
      </c>
      <c r="S5193" s="74">
        <v>46447</v>
      </c>
      <c r="T5193" s="261" t="s">
        <v>7516</v>
      </c>
      <c r="U5193" s="52">
        <v>1499.93</v>
      </c>
      <c r="V5193" s="239"/>
    </row>
    <row r="5194" spans="1:23">
      <c r="A5194">
        <v>3636</v>
      </c>
      <c r="B5194" s="2">
        <v>46293.510775463001</v>
      </c>
      <c r="C5194" s="2">
        <v>46293.6797337963</v>
      </c>
      <c r="D5194" s="1" t="s">
        <v>24</v>
      </c>
      <c r="E5194" s="1"/>
      <c r="F5194" s="29">
        <v>46293</v>
      </c>
      <c r="G5194" s="29">
        <v>46293</v>
      </c>
      <c r="H5194" s="1" t="s">
        <v>1625</v>
      </c>
      <c r="I5194" s="251" t="s">
        <v>11480</v>
      </c>
      <c r="J5194" s="175">
        <v>15845900842</v>
      </c>
      <c r="K5194" s="188" t="s">
        <v>11481</v>
      </c>
      <c r="L5194" s="242">
        <v>2</v>
      </c>
      <c r="M5194" s="243">
        <v>7351926671</v>
      </c>
      <c r="N5194" s="171" t="s">
        <v>47</v>
      </c>
      <c r="O5194" s="52">
        <v>8780.67</v>
      </c>
      <c r="P5194" s="52">
        <v>2321.2199999999998</v>
      </c>
      <c r="Q5194" s="256">
        <f>OfficeForms.Table[[#This Row],[ INFORMEDEPAGO ]]*0.3</f>
        <v>2634.201</v>
      </c>
      <c r="R5194" s="43">
        <f>(IF(O5194&lt;4172.98,0,MIN(O5194*0.3,O5194-4172.98)))-P5194</f>
        <v>312.98100000000022</v>
      </c>
      <c r="S5194" s="74">
        <v>46600</v>
      </c>
      <c r="T5194" s="261" t="s">
        <v>10372</v>
      </c>
      <c r="U5194" s="97">
        <v>1958</v>
      </c>
      <c r="V5194" s="239"/>
    </row>
    <row r="5195" spans="1:23">
      <c r="A5195">
        <v>3637</v>
      </c>
      <c r="B5195" s="2">
        <v>46293.6945023148</v>
      </c>
      <c r="C5195" s="2">
        <v>46293.694803240702</v>
      </c>
      <c r="D5195" s="1" t="s">
        <v>24</v>
      </c>
      <c r="E5195" s="1"/>
      <c r="F5195" s="29">
        <v>46293</v>
      </c>
      <c r="G5195" s="29">
        <v>46292</v>
      </c>
      <c r="H5195" s="1" t="s">
        <v>9991</v>
      </c>
      <c r="I5195" s="251"/>
      <c r="J5195" s="175">
        <v>43906502331</v>
      </c>
      <c r="K5195" s="188"/>
      <c r="L5195" s="242">
        <v>24873576</v>
      </c>
      <c r="M5195" s="243">
        <v>8117831256</v>
      </c>
      <c r="N5195" s="171" t="s">
        <v>37</v>
      </c>
      <c r="O5195" s="52">
        <v>9760.32</v>
      </c>
      <c r="P5195" s="52">
        <v>2811.67</v>
      </c>
      <c r="Q5195" s="256">
        <f>OfficeForms.Table[[#This Row],[ INFORMEDEPAGO ]]*0.3</f>
        <v>2928.096</v>
      </c>
      <c r="R5195" s="43">
        <f>(IF(O5195&lt;4172.98,0,MIN(O5195*0.3,O5195-4172.98)))-P5195</f>
        <v>116.42599999999993</v>
      </c>
      <c r="S5195" s="74">
        <v>46631</v>
      </c>
      <c r="T5195" s="261" t="s">
        <v>8757</v>
      </c>
      <c r="U5195" s="52">
        <v>2811.67</v>
      </c>
      <c r="V5195" s="239"/>
    </row>
    <row r="5196" spans="1:23">
      <c r="A5196">
        <v>3638</v>
      </c>
      <c r="B5196" s="2">
        <v>46293.6797800926</v>
      </c>
      <c r="C5196" s="2">
        <v>46293.716932870397</v>
      </c>
      <c r="D5196" s="1" t="s">
        <v>24</v>
      </c>
      <c r="E5196" s="1"/>
      <c r="F5196" s="29">
        <v>46293</v>
      </c>
      <c r="G5196" s="29">
        <v>46293</v>
      </c>
      <c r="H5196" s="1" t="s">
        <v>1625</v>
      </c>
      <c r="I5196" s="251" t="s">
        <v>11482</v>
      </c>
      <c r="J5196" s="175" t="s">
        <v>11483</v>
      </c>
      <c r="K5196" s="188" t="s">
        <v>11484</v>
      </c>
      <c r="L5196" s="242">
        <v>2</v>
      </c>
      <c r="M5196" s="243">
        <v>5551013084</v>
      </c>
      <c r="N5196" s="171" t="s">
        <v>47</v>
      </c>
      <c r="O5196" s="52">
        <v>19891.189999999999</v>
      </c>
      <c r="P5196" s="52">
        <v>5369.72</v>
      </c>
      <c r="Q5196" s="256">
        <f>OfficeForms.Table[[#This Row],[ INFORMEDEPAGO ]]*0.3</f>
        <v>5967.3569999999991</v>
      </c>
      <c r="R5196" s="43">
        <f t="shared" ref="R5196:R5197" si="462">(IF(O5196&lt;4172.98,0,MIN(O5196*0.3,O5196-4172.98)))-P5196</f>
        <v>597.63699999999881</v>
      </c>
      <c r="S5196" s="74">
        <v>46874</v>
      </c>
      <c r="T5196" s="261" t="s">
        <v>2488</v>
      </c>
      <c r="U5196" s="99">
        <v>5102.72</v>
      </c>
      <c r="V5196" s="239"/>
    </row>
    <row r="5197" spans="1:23">
      <c r="A5197">
        <v>3639</v>
      </c>
      <c r="B5197" s="2">
        <v>46293.705844907403</v>
      </c>
      <c r="C5197" s="2">
        <v>46293.717881944402</v>
      </c>
      <c r="D5197" s="1" t="s">
        <v>24</v>
      </c>
      <c r="E5197" s="1"/>
      <c r="F5197" s="29">
        <v>46293</v>
      </c>
      <c r="G5197" s="29">
        <v>46293</v>
      </c>
      <c r="H5197" s="1" t="s">
        <v>8028</v>
      </c>
      <c r="I5197" s="251" t="s">
        <v>11485</v>
      </c>
      <c r="J5197" s="175"/>
      <c r="K5197" s="188" t="s">
        <v>11486</v>
      </c>
      <c r="L5197" s="242">
        <v>24899186</v>
      </c>
      <c r="M5197" s="243">
        <v>5218129010030</v>
      </c>
      <c r="N5197" s="171" t="s">
        <v>32</v>
      </c>
      <c r="O5197" s="67">
        <v>4199.87</v>
      </c>
      <c r="P5197" s="99"/>
      <c r="Q5197" s="256">
        <f>OfficeForms.Table[[#This Row],[ INFORMEDEPAGO ]]*0.3</f>
        <v>1259.961</v>
      </c>
      <c r="R5197" s="43">
        <f t="shared" si="462"/>
        <v>26.890000000000327</v>
      </c>
      <c r="T5197" s="261"/>
      <c r="U5197" s="99"/>
      <c r="V5197" s="239"/>
    </row>
    <row r="5198" spans="1:23">
      <c r="A5198">
        <v>3640</v>
      </c>
      <c r="B5198" s="2">
        <v>46293.678749999999</v>
      </c>
      <c r="C5198" s="2">
        <v>46293.737199074101</v>
      </c>
      <c r="D5198" s="1" t="s">
        <v>24</v>
      </c>
      <c r="E5198" s="1"/>
      <c r="F5198" s="29">
        <v>46293</v>
      </c>
      <c r="G5198" s="29">
        <v>46293</v>
      </c>
      <c r="H5198" s="1" t="s">
        <v>8381</v>
      </c>
      <c r="I5198" s="251" t="s">
        <v>11487</v>
      </c>
      <c r="J5198" s="175">
        <v>8192742720</v>
      </c>
      <c r="K5198" s="188" t="s">
        <v>11488</v>
      </c>
      <c r="L5198" s="242">
        <v>24894772</v>
      </c>
      <c r="M5198" s="243">
        <v>5219813732670</v>
      </c>
      <c r="N5198" s="171" t="s">
        <v>32</v>
      </c>
      <c r="O5198" s="67">
        <v>2726.82</v>
      </c>
      <c r="P5198" s="99"/>
      <c r="Q5198" s="256">
        <f>OfficeForms.Table[[#This Row],[ INFORMEDEPAGO ]]*0.3</f>
        <v>818.04600000000005</v>
      </c>
      <c r="R5198" s="43">
        <f t="shared" ref="R5198" si="463">(IF(O5198&lt;4172.98,0,MIN(O5198*0.3,O5198-4172.98)))-P5198</f>
        <v>0</v>
      </c>
      <c r="T5198" s="261"/>
      <c r="U5198" s="99"/>
      <c r="V5198" s="239"/>
    </row>
    <row r="5199" spans="1:23">
      <c r="A5199">
        <v>3641</v>
      </c>
      <c r="B5199" s="2">
        <v>46293.737222222197</v>
      </c>
      <c r="C5199" s="2">
        <v>46293.750069444402</v>
      </c>
      <c r="D5199" s="1" t="s">
        <v>24</v>
      </c>
      <c r="E5199" s="1"/>
      <c r="F5199" s="29">
        <v>46293</v>
      </c>
      <c r="G5199" s="29">
        <v>46293</v>
      </c>
      <c r="H5199" s="1" t="s">
        <v>8381</v>
      </c>
      <c r="I5199" s="251" t="s">
        <v>11489</v>
      </c>
      <c r="J5199" s="175"/>
      <c r="K5199" s="188" t="s">
        <v>11490</v>
      </c>
      <c r="L5199" s="242">
        <v>24892878</v>
      </c>
      <c r="M5199" s="243">
        <v>5212481146476</v>
      </c>
      <c r="N5199" s="171" t="s">
        <v>47</v>
      </c>
      <c r="O5199" s="67">
        <v>4480.25</v>
      </c>
      <c r="P5199" s="99"/>
      <c r="Q5199" s="256">
        <f>OfficeForms.Table[[#This Row],[ INFORMEDEPAGO ]]*0.3</f>
        <v>1344.075</v>
      </c>
      <c r="R5199" s="43">
        <f t="shared" ref="R5199" si="464">(IF(O5199&lt;4172.98,0,MIN(O5199*0.3,O5199-4172.98)))-P5199</f>
        <v>307.27000000000044</v>
      </c>
      <c r="T5199" s="261"/>
      <c r="U5199" s="99"/>
      <c r="V5199" s="239" t="s">
        <v>10898</v>
      </c>
      <c r="W5199" s="29">
        <v>46293</v>
      </c>
    </row>
    <row r="5200" spans="1:23">
      <c r="A5200">
        <v>3642</v>
      </c>
      <c r="B5200" s="2">
        <v>46293.751724537004</v>
      </c>
      <c r="C5200" s="2">
        <v>46293.752453703702</v>
      </c>
      <c r="D5200" s="1" t="s">
        <v>24</v>
      </c>
      <c r="E5200" s="1"/>
      <c r="F5200" s="29">
        <v>46293</v>
      </c>
      <c r="G5200" s="29">
        <v>46293</v>
      </c>
      <c r="H5200" s="1" t="s">
        <v>103</v>
      </c>
      <c r="I5200" s="251" t="s">
        <v>11491</v>
      </c>
      <c r="J5200" s="175" t="s">
        <v>11492</v>
      </c>
      <c r="K5200" s="188"/>
      <c r="L5200" s="242">
        <v>1</v>
      </c>
      <c r="M5200" s="243">
        <v>9911162815</v>
      </c>
      <c r="N5200" s="171" t="s">
        <v>32</v>
      </c>
      <c r="O5200" s="43">
        <v>1823.71</v>
      </c>
      <c r="P5200" s="43">
        <v>455</v>
      </c>
      <c r="Q5200" s="256">
        <f>OfficeForms.Table[[#This Row],[ INFORMEDEPAGO ]]*0.3</f>
        <v>547.11299999999994</v>
      </c>
      <c r="R5200" s="43">
        <f t="shared" ref="R5200" si="465">(IF(O5200&lt;4172.98,0,MIN(O5200*0.3,O5200-4172.98)))-P5200</f>
        <v>-455</v>
      </c>
      <c r="T5200" s="261"/>
      <c r="U5200" s="99"/>
      <c r="V5200" s="239"/>
    </row>
    <row r="5201" spans="1:23">
      <c r="A5201">
        <v>3643</v>
      </c>
      <c r="B5201" s="2">
        <v>46293.756307870397</v>
      </c>
      <c r="C5201" s="2">
        <v>46293.757129629601</v>
      </c>
      <c r="D5201" s="1" t="s">
        <v>24</v>
      </c>
      <c r="E5201" s="1"/>
      <c r="F5201" s="29">
        <v>46293</v>
      </c>
      <c r="G5201" s="29">
        <v>46293</v>
      </c>
      <c r="H5201" s="1" t="s">
        <v>8028</v>
      </c>
      <c r="I5201" s="251" t="s">
        <v>11493</v>
      </c>
      <c r="J5201" s="175"/>
      <c r="K5201" s="188" t="s">
        <v>11494</v>
      </c>
      <c r="L5201" s="242">
        <v>24900694</v>
      </c>
      <c r="M5201" s="243">
        <v>5217445013379</v>
      </c>
      <c r="N5201" s="171" t="s">
        <v>98</v>
      </c>
      <c r="O5201" s="50"/>
      <c r="P5201" s="97"/>
      <c r="Q5201" s="256">
        <f>OfficeForms.Table[[#This Row],[ INFORMEDEPAGO ]]*0.3</f>
        <v>0</v>
      </c>
      <c r="R5201" s="43">
        <f>(IF(O5201&lt;4172.98,0,MIN(O5201*0.3,O5201-4172.98)))-P5201</f>
        <v>0</v>
      </c>
      <c r="T5201" s="261"/>
      <c r="U5201" s="97"/>
      <c r="V5201" s="239"/>
    </row>
    <row r="5202" spans="1:23">
      <c r="A5202">
        <v>3644</v>
      </c>
      <c r="B5202" s="2">
        <v>46293.791689814803</v>
      </c>
      <c r="C5202" s="2">
        <v>46293.792372685202</v>
      </c>
      <c r="D5202" s="1" t="s">
        <v>24</v>
      </c>
      <c r="E5202" s="1"/>
      <c r="F5202" s="29">
        <v>46293</v>
      </c>
      <c r="G5202" s="29">
        <v>46293</v>
      </c>
      <c r="H5202" s="1" t="s">
        <v>8028</v>
      </c>
      <c r="I5202" s="251" t="s">
        <v>11495</v>
      </c>
      <c r="J5202" s="175"/>
      <c r="K5202" s="188" t="s">
        <v>11496</v>
      </c>
      <c r="L5202" s="242">
        <v>24901938</v>
      </c>
      <c r="M5202" s="243">
        <v>5219515043360</v>
      </c>
      <c r="N5202" s="171" t="s">
        <v>47</v>
      </c>
      <c r="O5202" s="52">
        <v>9081.52</v>
      </c>
      <c r="P5202" s="52">
        <v>1876.44</v>
      </c>
      <c r="Q5202" s="256">
        <f>OfficeForms.Table[[#This Row],[ INFORMEDEPAGO ]]*0.3</f>
        <v>2724.4560000000001</v>
      </c>
      <c r="R5202" s="43">
        <f t="shared" ref="R5202:R5203" si="466">(IF(O5202&lt;4172.98,0,MIN(O5202*0.3,O5202-4172.98)))-P5202</f>
        <v>848.01600000000008</v>
      </c>
      <c r="S5202" s="74">
        <v>46935</v>
      </c>
      <c r="T5202" s="261" t="s">
        <v>259</v>
      </c>
      <c r="U5202" s="52">
        <v>1876.44</v>
      </c>
      <c r="V5202" s="239" t="s">
        <v>10898</v>
      </c>
      <c r="W5202" s="29">
        <v>46294</v>
      </c>
    </row>
    <row r="5203" spans="1:23">
      <c r="A5203">
        <v>3645</v>
      </c>
      <c r="B5203" s="2">
        <v>46294.320069444402</v>
      </c>
      <c r="C5203" s="2">
        <v>46294.3517013889</v>
      </c>
      <c r="D5203" s="1" t="s">
        <v>24</v>
      </c>
      <c r="E5203" s="1"/>
      <c r="F5203" s="29">
        <v>46294</v>
      </c>
      <c r="G5203" s="29">
        <v>46294</v>
      </c>
      <c r="H5203" s="1" t="s">
        <v>1625</v>
      </c>
      <c r="I5203" s="251" t="s">
        <v>11497</v>
      </c>
      <c r="J5203" s="175">
        <v>32786209240</v>
      </c>
      <c r="K5203" s="188" t="s">
        <v>11498</v>
      </c>
      <c r="L5203" s="242">
        <v>2</v>
      </c>
      <c r="M5203" s="243">
        <v>8611023745</v>
      </c>
      <c r="N5203" s="171" t="s">
        <v>37</v>
      </c>
      <c r="O5203" s="52">
        <v>8661.19</v>
      </c>
      <c r="P5203" s="52">
        <v>2493.3000000000002</v>
      </c>
      <c r="Q5203" s="256">
        <f>OfficeForms.Table[[#This Row],[ INFORMEDEPAGO ]]*0.3</f>
        <v>2598.357</v>
      </c>
      <c r="R5203" s="43">
        <f t="shared" si="466"/>
        <v>105.05699999999979</v>
      </c>
      <c r="S5203" s="74">
        <v>46419</v>
      </c>
      <c r="T5203" s="261" t="s">
        <v>7209</v>
      </c>
      <c r="U5203" s="97">
        <v>2493.3000000000002</v>
      </c>
      <c r="V5203" s="239"/>
    </row>
    <row r="5204" spans="1:23">
      <c r="A5204">
        <v>3646</v>
      </c>
      <c r="B5204" s="2">
        <v>46294.433946759302</v>
      </c>
      <c r="C5204" s="2">
        <v>46294.434837963003</v>
      </c>
      <c r="D5204" s="1" t="s">
        <v>24</v>
      </c>
      <c r="E5204" s="1"/>
      <c r="F5204" s="29">
        <v>46294</v>
      </c>
      <c r="G5204" s="29">
        <v>46294</v>
      </c>
      <c r="H5204" s="1" t="s">
        <v>103</v>
      </c>
      <c r="I5204" s="251" t="s">
        <v>11499</v>
      </c>
      <c r="J5204" s="175">
        <v>23965103767</v>
      </c>
      <c r="K5204" s="188"/>
      <c r="L5204" s="242">
        <v>1</v>
      </c>
      <c r="M5204" s="243">
        <v>6699339874</v>
      </c>
      <c r="N5204" s="171" t="s">
        <v>32</v>
      </c>
      <c r="O5204" s="67">
        <v>3882.85</v>
      </c>
      <c r="P5204" s="99"/>
      <c r="Q5204" s="256">
        <f>OfficeForms.Table[[#This Row],[ INFORMEDEPAGO ]]*0.3</f>
        <v>1164.855</v>
      </c>
      <c r="R5204" s="43">
        <f>(IF(O5204&lt;4172.98,0,MIN(O5204*0.3,O5204-4172.98)))-P5204</f>
        <v>0</v>
      </c>
      <c r="T5204" s="261"/>
      <c r="U5204" s="97"/>
      <c r="V5204" s="239"/>
    </row>
    <row r="5205" spans="1:23">
      <c r="A5205">
        <v>3647</v>
      </c>
      <c r="B5205" s="2">
        <v>46294.439988425896</v>
      </c>
      <c r="C5205" s="2">
        <v>46294.440393518496</v>
      </c>
      <c r="D5205" s="1" t="s">
        <v>24</v>
      </c>
      <c r="E5205" s="1"/>
      <c r="F5205" s="29">
        <v>46294</v>
      </c>
      <c r="G5205" s="29">
        <v>46294</v>
      </c>
      <c r="H5205" s="1" t="s">
        <v>9991</v>
      </c>
      <c r="I5205" s="251" t="s">
        <v>11500</v>
      </c>
      <c r="J5205" s="175"/>
      <c r="K5205" s="188" t="s">
        <v>11501</v>
      </c>
      <c r="L5205" s="242">
        <v>24926114</v>
      </c>
      <c r="M5205" s="243">
        <v>8110074368</v>
      </c>
      <c r="N5205" s="171" t="s">
        <v>32</v>
      </c>
      <c r="O5205" s="50">
        <f>3187.69+848</f>
        <v>4035.69</v>
      </c>
      <c r="P5205" s="97">
        <v>848</v>
      </c>
      <c r="Q5205" s="256">
        <f>OfficeForms.Table[[#This Row],[ INFORMEDEPAGO ]]*0.3</f>
        <v>1210.7069999999999</v>
      </c>
      <c r="R5205" s="43">
        <f>(IF(O5205&lt;4172.98,0,MIN(O5205*0.3,O5205-4172.98)))-P5205</f>
        <v>-848</v>
      </c>
      <c r="T5205" s="261"/>
      <c r="U5205" s="97"/>
      <c r="V5205" s="239"/>
    </row>
    <row r="5206" spans="1:23">
      <c r="A5206">
        <v>3648</v>
      </c>
      <c r="B5206" s="2">
        <v>46294.476284722201</v>
      </c>
      <c r="C5206" s="2">
        <v>46294.476863425902</v>
      </c>
      <c r="D5206" s="1" t="s">
        <v>24</v>
      </c>
      <c r="E5206" s="1"/>
      <c r="F5206" s="29">
        <v>46294</v>
      </c>
      <c r="G5206" s="29">
        <v>46294</v>
      </c>
      <c r="H5206" s="1" t="s">
        <v>269</v>
      </c>
      <c r="I5206" s="251" t="s">
        <v>11502</v>
      </c>
      <c r="J5206" s="207" t="s">
        <v>11503</v>
      </c>
      <c r="K5206" s="188" t="s">
        <v>11504</v>
      </c>
      <c r="L5206" s="242">
        <v>24926210</v>
      </c>
      <c r="M5206" s="243">
        <v>5219871138816</v>
      </c>
      <c r="N5206" s="171" t="s">
        <v>37</v>
      </c>
      <c r="O5206" s="43">
        <v>9760.32</v>
      </c>
      <c r="P5206" s="43">
        <v>2809.95</v>
      </c>
      <c r="Q5206" s="256">
        <f>OfficeForms.Table[[#This Row],[ INFORMEDEPAGO ]]*0.3</f>
        <v>2928.096</v>
      </c>
      <c r="R5206" s="43">
        <f>(IF(O5206&lt;4172.98,0,MIN(O5206*0.3,O5206-4172.98)))-P5206</f>
        <v>118.14600000000019</v>
      </c>
      <c r="S5206" s="74">
        <v>46661</v>
      </c>
      <c r="T5206" s="261" t="s">
        <v>2488</v>
      </c>
      <c r="U5206" s="43">
        <v>2809.95</v>
      </c>
      <c r="V5206" s="239"/>
    </row>
    <row r="5207" spans="1:23">
      <c r="A5207">
        <v>3649</v>
      </c>
      <c r="B5207" s="2">
        <v>46293.750081018501</v>
      </c>
      <c r="C5207" s="2">
        <v>46294.479120370401</v>
      </c>
      <c r="D5207" s="1" t="s">
        <v>24</v>
      </c>
      <c r="E5207" s="1"/>
      <c r="F5207" s="29">
        <v>46294</v>
      </c>
      <c r="G5207" s="29">
        <v>46293</v>
      </c>
      <c r="H5207" s="1" t="s">
        <v>8381</v>
      </c>
      <c r="I5207" s="251" t="s">
        <v>11505</v>
      </c>
      <c r="J5207" s="207"/>
      <c r="K5207" s="188" t="s">
        <v>11506</v>
      </c>
      <c r="L5207" s="242">
        <v>24902590</v>
      </c>
      <c r="M5207" s="243">
        <v>5215579126348</v>
      </c>
      <c r="N5207" s="171" t="s">
        <v>37</v>
      </c>
      <c r="O5207" s="43">
        <v>4813.6899999999996</v>
      </c>
      <c r="P5207" s="43">
        <v>617</v>
      </c>
      <c r="Q5207" s="256">
        <f>OfficeForms.Table[[#This Row],[ INFORMEDEPAGO ]]*0.3</f>
        <v>1444.1069999999997</v>
      </c>
      <c r="R5207" s="43">
        <f>(IF(O5207&lt;4172.98,0,MIN(O5207*0.3,O5207-4172.98)))-P5207</f>
        <v>23.710000000000036</v>
      </c>
      <c r="S5207" s="74">
        <v>46508</v>
      </c>
      <c r="T5207" s="261" t="s">
        <v>259</v>
      </c>
      <c r="U5207" s="43">
        <v>617</v>
      </c>
      <c r="V5207" s="239"/>
    </row>
    <row r="5208" spans="1:23">
      <c r="A5208">
        <v>3650</v>
      </c>
      <c r="B5208" s="2">
        <v>46294.479166666701</v>
      </c>
      <c r="C5208" s="2">
        <v>46294.480034722197</v>
      </c>
      <c r="D5208" s="1" t="s">
        <v>24</v>
      </c>
      <c r="E5208" s="1"/>
      <c r="F5208" s="29">
        <v>46294</v>
      </c>
      <c r="G5208" s="29">
        <v>46294</v>
      </c>
      <c r="H5208" s="1" t="s">
        <v>103</v>
      </c>
      <c r="I5208" s="251" t="s">
        <v>11507</v>
      </c>
      <c r="J5208" s="207">
        <v>82785900620</v>
      </c>
      <c r="K5208" s="188"/>
      <c r="L5208" s="242">
        <v>1</v>
      </c>
      <c r="M5208" s="243">
        <v>9993254302</v>
      </c>
      <c r="N5208" s="171" t="s">
        <v>37</v>
      </c>
      <c r="O5208" s="43">
        <v>10108.25</v>
      </c>
      <c r="P5208" s="43">
        <v>3030.93</v>
      </c>
      <c r="Q5208" s="256">
        <f>OfficeForms.Table[[#This Row],[ INFORMEDEPAGO ]]*0.3</f>
        <v>3032.4749999999999</v>
      </c>
      <c r="R5208" s="43">
        <f>(IF(O5208&lt;4172.98,0,MIN(O5208*0.3,O5208-4172.98)))-P5208</f>
        <v>1.5450000000000728</v>
      </c>
      <c r="S5208" s="74">
        <v>46388</v>
      </c>
      <c r="T5208" s="261" t="s">
        <v>8981</v>
      </c>
      <c r="U5208" s="97">
        <v>1737.06</v>
      </c>
      <c r="V5208" s="239"/>
    </row>
    <row r="5209" spans="1:23">
      <c r="A5209">
        <v>3651</v>
      </c>
      <c r="B5209" s="2">
        <v>46294.479791666701</v>
      </c>
      <c r="C5209" s="2">
        <v>46294.480208333298</v>
      </c>
      <c r="D5209" s="1" t="s">
        <v>24</v>
      </c>
      <c r="E5209" s="1"/>
      <c r="F5209" s="29">
        <v>46294</v>
      </c>
      <c r="G5209" s="29">
        <v>46293</v>
      </c>
      <c r="H5209" s="1" t="s">
        <v>269</v>
      </c>
      <c r="I5209" s="251" t="s">
        <v>11508</v>
      </c>
      <c r="J5209" s="207"/>
      <c r="K5209" s="188" t="s">
        <v>11509</v>
      </c>
      <c r="L5209" s="242">
        <v>24904406</v>
      </c>
      <c r="M5209" s="243">
        <v>5215522447374</v>
      </c>
      <c r="N5209" s="171" t="s">
        <v>37</v>
      </c>
      <c r="O5209" s="43">
        <v>4813.6899999999996</v>
      </c>
      <c r="P5209" s="43">
        <v>640.1</v>
      </c>
      <c r="Q5209" s="256">
        <f>OfficeForms.Table[[#This Row],[ INFORMEDEPAGO ]]*0.3</f>
        <v>1444.1069999999997</v>
      </c>
      <c r="R5209" s="43">
        <f>(IF(O5209&lt;4172.98,0,MIN(O5209*0.3,O5209-4172.98)))-P5209</f>
        <v>0.61000000000001364</v>
      </c>
      <c r="S5209" s="74">
        <v>46997</v>
      </c>
      <c r="T5209" s="261" t="s">
        <v>8757</v>
      </c>
      <c r="U5209" s="97">
        <v>640.1</v>
      </c>
      <c r="V5209" s="239"/>
    </row>
    <row r="5210" spans="1:23">
      <c r="A5210">
        <v>3652</v>
      </c>
      <c r="B5210" s="2">
        <v>46294.503807870402</v>
      </c>
      <c r="C5210" s="2">
        <v>46294.504537036999</v>
      </c>
      <c r="D5210" s="1" t="s">
        <v>24</v>
      </c>
      <c r="E5210" s="1"/>
      <c r="F5210" s="29">
        <v>46294</v>
      </c>
      <c r="G5210" s="29">
        <v>46294</v>
      </c>
      <c r="H5210" s="1" t="s">
        <v>103</v>
      </c>
      <c r="I5210" s="251" t="s">
        <v>11510</v>
      </c>
      <c r="J5210" s="207">
        <v>82776000208</v>
      </c>
      <c r="K5210" s="188"/>
      <c r="L5210" s="242">
        <v>1</v>
      </c>
      <c r="M5210" s="243">
        <v>3314071911</v>
      </c>
      <c r="N5210" s="171" t="s">
        <v>28</v>
      </c>
      <c r="O5210" s="50">
        <f>826.54+3423.54+5510.24</f>
        <v>9760.32</v>
      </c>
      <c r="P5210" s="97"/>
      <c r="Q5210" s="256">
        <f>OfficeForms.Table[[#This Row],[ INFORMEDEPAGO ]]*0.3</f>
        <v>2928.096</v>
      </c>
      <c r="R5210" s="43">
        <f>(IF(O5210&lt;4172.98,0,MIN(O5210*0.3,O5210-4172.98)))-P5210</f>
        <v>2928.096</v>
      </c>
      <c r="T5210" s="261"/>
      <c r="U5210" s="97"/>
      <c r="V5210" s="239"/>
    </row>
    <row r="5211" spans="1:23">
      <c r="A5211">
        <v>3653</v>
      </c>
      <c r="B5211" s="2">
        <v>46294.479143518503</v>
      </c>
      <c r="C5211" s="2">
        <v>46294.519884259302</v>
      </c>
      <c r="D5211" s="1" t="s">
        <v>24</v>
      </c>
      <c r="E5211" s="1"/>
      <c r="F5211" s="29">
        <v>46294</v>
      </c>
      <c r="G5211" s="29">
        <v>46294</v>
      </c>
      <c r="H5211" s="1" t="s">
        <v>8381</v>
      </c>
      <c r="I5211" s="251" t="s">
        <v>11511</v>
      </c>
      <c r="J5211" s="207"/>
      <c r="K5211" s="188" t="s">
        <v>11512</v>
      </c>
      <c r="L5211" s="242">
        <v>24926032</v>
      </c>
      <c r="M5211" s="243">
        <v>5219981629709</v>
      </c>
      <c r="N5211" s="171" t="s">
        <v>28</v>
      </c>
      <c r="O5211" s="50">
        <v>9135.7999999999993</v>
      </c>
      <c r="P5211" s="97"/>
      <c r="Q5211" s="256">
        <f>OfficeForms.Table[[#This Row],[ INFORMEDEPAGO ]]*0.3</f>
        <v>2740.74</v>
      </c>
      <c r="R5211" s="43">
        <f>(IF(O5211&lt;4172.98,0,MIN(O5211*0.3,O5211-4172.98)))-P5211</f>
        <v>2740.74</v>
      </c>
      <c r="T5211" s="261"/>
      <c r="U5211" s="97"/>
      <c r="V5211" s="239" t="s">
        <v>8960</v>
      </c>
      <c r="W5211" s="29">
        <v>46294</v>
      </c>
    </row>
    <row r="5212" spans="1:23">
      <c r="A5212">
        <v>3654</v>
      </c>
      <c r="B5212" s="2">
        <v>46294.535891203697</v>
      </c>
      <c r="C5212" s="2">
        <v>46294.536712963003</v>
      </c>
      <c r="D5212" s="1" t="s">
        <v>24</v>
      </c>
      <c r="E5212" s="1"/>
      <c r="F5212" s="29">
        <v>46294</v>
      </c>
      <c r="G5212" s="29">
        <v>46294</v>
      </c>
      <c r="H5212" s="1" t="s">
        <v>1625</v>
      </c>
      <c r="I5212" s="251" t="s">
        <v>7630</v>
      </c>
      <c r="J5212" s="207">
        <v>14926305542</v>
      </c>
      <c r="K5212" s="188" t="s">
        <v>7631</v>
      </c>
      <c r="L5212" s="242">
        <v>2</v>
      </c>
      <c r="M5212" s="243">
        <v>3351211784</v>
      </c>
      <c r="N5212" s="171" t="s">
        <v>106</v>
      </c>
      <c r="O5212" s="52">
        <v>9081.52</v>
      </c>
      <c r="P5212" s="52">
        <v>2521.35</v>
      </c>
      <c r="Q5212" s="256">
        <f>OfficeForms.Table[[#This Row],[ INFORMEDEPAGO ]]*0.3</f>
        <v>2724.4560000000001</v>
      </c>
      <c r="R5212" s="43">
        <f>(IF(O5212&lt;4172.98,0,MIN(O5212*0.3,O5212-4172.98)))-P5212</f>
        <v>203.10600000000022</v>
      </c>
      <c r="S5212" s="74">
        <v>46266</v>
      </c>
      <c r="T5212" s="261" t="s">
        <v>7209</v>
      </c>
      <c r="U5212" s="52">
        <v>2521.35</v>
      </c>
      <c r="V5212" s="239"/>
    </row>
    <row r="5213" spans="1:23">
      <c r="A5213" s="262">
        <v>3655</v>
      </c>
      <c r="B5213" s="2">
        <v>46294.519907407397</v>
      </c>
      <c r="C5213" s="2">
        <v>46294.546053240701</v>
      </c>
      <c r="D5213" s="1" t="s">
        <v>24</v>
      </c>
      <c r="E5213" s="1"/>
      <c r="F5213" s="29">
        <v>46294</v>
      </c>
      <c r="G5213" s="29">
        <v>46294</v>
      </c>
      <c r="H5213" s="1" t="s">
        <v>8381</v>
      </c>
      <c r="I5213" s="251" t="s">
        <v>11513</v>
      </c>
      <c r="J5213" s="207">
        <v>54866757104</v>
      </c>
      <c r="K5213" s="188" t="s">
        <v>11514</v>
      </c>
      <c r="L5213" s="263">
        <v>24930576</v>
      </c>
      <c r="M5213" s="243">
        <v>5213411596451</v>
      </c>
      <c r="N5213" s="171" t="s">
        <v>28</v>
      </c>
      <c r="O5213" s="50">
        <v>16437</v>
      </c>
      <c r="P5213" s="97">
        <v>2050</v>
      </c>
      <c r="Q5213" s="256">
        <f>OfficeForms.Table[[#This Row],[ INFORMEDEPAGO ]]*0.3</f>
        <v>4931.0999999999995</v>
      </c>
      <c r="R5213" s="43">
        <f>(IF(O5213&lt;4172.98,0,MIN(O5213*0.3,O5213-4172.98)))-P5213</f>
        <v>2881.0999999999995</v>
      </c>
      <c r="S5213" s="74">
        <v>46508</v>
      </c>
      <c r="T5213" s="261" t="s">
        <v>7516</v>
      </c>
      <c r="U5213" s="97">
        <v>2050</v>
      </c>
      <c r="V5213" s="239" t="s">
        <v>11360</v>
      </c>
      <c r="W5213" s="29">
        <v>46294</v>
      </c>
    </row>
    <row r="5214" spans="1:23">
      <c r="A5214" s="262">
        <v>3656</v>
      </c>
      <c r="B5214" s="2">
        <v>46294.596168981501</v>
      </c>
      <c r="C5214" s="2">
        <v>46294.604837963001</v>
      </c>
      <c r="D5214" s="1" t="s">
        <v>24</v>
      </c>
      <c r="E5214" s="1"/>
      <c r="F5214" s="29">
        <v>46294</v>
      </c>
      <c r="G5214" s="29">
        <v>46240</v>
      </c>
      <c r="H5214" s="1" t="s">
        <v>78</v>
      </c>
      <c r="I5214" s="251" t="s">
        <v>11515</v>
      </c>
      <c r="J5214" s="207">
        <v>83917336923</v>
      </c>
      <c r="K5214" s="188" t="s">
        <v>11516</v>
      </c>
      <c r="L5214" s="263">
        <v>23438864</v>
      </c>
      <c r="M5214" s="243">
        <v>5219981264621</v>
      </c>
      <c r="N5214" s="171"/>
      <c r="O5214" s="50"/>
      <c r="P5214" s="97"/>
      <c r="Q5214" s="256">
        <f>OfficeForms.Table[[#This Row],[ INFORMEDEPAGO ]]*0.3</f>
        <v>0</v>
      </c>
      <c r="R5214" s="43">
        <f>(IF(O5214&lt;4172.98,0,MIN(O5214*0.3,O5214-4172.98)))-P5214</f>
        <v>0</v>
      </c>
      <c r="T5214" s="261"/>
      <c r="U5214" s="97"/>
      <c r="V5214" s="239"/>
    </row>
    <row r="5215" spans="1:23">
      <c r="L5215" s="173"/>
      <c r="M5215" s="173"/>
      <c r="O5215" s="50"/>
    </row>
    <row r="5216" spans="1:23">
      <c r="M5216" s="62"/>
    </row>
    <row r="5217" spans="8:16">
      <c r="J5217"/>
      <c r="K5217"/>
      <c r="L5217"/>
      <c r="N5217" s="30"/>
    </row>
    <row r="5218" spans="8:16">
      <c r="J5218"/>
      <c r="K5218" s="174"/>
      <c r="L5218" s="174"/>
      <c r="N5218" s="30"/>
      <c r="O5218" s="173"/>
    </row>
    <row r="5219" spans="8:16">
      <c r="K5219" s="174"/>
      <c r="M5219" s="62"/>
    </row>
    <row r="5220" spans="8:16">
      <c r="H5220" s="29"/>
      <c r="K5220" s="174"/>
      <c r="L5220" s="173"/>
      <c r="M5220" s="173"/>
    </row>
    <row r="5221" spans="8:16">
      <c r="J5221"/>
      <c r="K5221" s="174"/>
      <c r="L5221" s="173"/>
      <c r="M5221" s="173"/>
    </row>
    <row r="5222" spans="8:16">
      <c r="K5222" s="174"/>
      <c r="L5222" s="173"/>
      <c r="M5222" s="173"/>
      <c r="N5222" s="30"/>
      <c r="O5222" s="52"/>
      <c r="P5222" s="52"/>
    </row>
    <row r="5223" spans="8:16">
      <c r="J5223"/>
      <c r="L5223" s="173"/>
      <c r="N5223" s="30"/>
    </row>
    <row r="5224" spans="8:16">
      <c r="J5224"/>
      <c r="K5224" s="174"/>
      <c r="M5224" s="62"/>
    </row>
    <row r="5225" spans="8:16">
      <c r="L5225" s="173"/>
      <c r="O5225" s="173"/>
    </row>
    <row r="5226" spans="8:16">
      <c r="L5226" s="173"/>
      <c r="M5226" s="173"/>
    </row>
    <row r="5227" spans="8:16">
      <c r="M5227" s="62"/>
    </row>
    <row r="5229" spans="8:16">
      <c r="J5229"/>
    </row>
    <row r="5230" spans="8:16">
      <c r="M5230" s="30" t="s">
        <v>11517</v>
      </c>
    </row>
  </sheetData>
  <conditionalFormatting sqref="L5227:L1048576 L1:L5214 L5219:M5219 M5227 L5224:M5224 L5216:M5216 N5222">
    <cfRule type="duplicateValues" dxfId="107" priority="81"/>
  </conditionalFormatting>
  <conditionalFormatting sqref="L2307:M2988 L2990:M2990 L5227:L1048576 L5219:M5219 M5227 L5224:M5224 L5216:M5216 N5222 L1:L5214">
    <cfRule type="cellIs" dxfId="106" priority="80" operator="equal">
      <formula>2</formula>
    </cfRule>
  </conditionalFormatting>
  <conditionalFormatting sqref="H5221:H1048576 I5222 H1:H5219">
    <cfRule type="containsText" dxfId="105" priority="77" operator="containsText" text="CAROLINA RAMIREZ C/C">
      <formula>NOT(ISERROR(SEARCH("CAROLINA RAMIREZ C/C",H1)))</formula>
    </cfRule>
  </conditionalFormatting>
  <conditionalFormatting sqref="H5221:H1048576 I5222 H1:H5219">
    <cfRule type="cellIs" dxfId="104" priority="76" operator="equal">
      <formula>"MELANIE CIBRIAN C/C"</formula>
    </cfRule>
  </conditionalFormatting>
  <conditionalFormatting sqref="H5221:H1048576 I5222 H1:H5219">
    <cfRule type="cellIs" dxfId="103" priority="75" operator="equal">
      <formula>"MARISOL HERNANDEZ C/C"</formula>
    </cfRule>
  </conditionalFormatting>
  <conditionalFormatting sqref="H5221:H1048576 I5222 H1:H5219">
    <cfRule type="cellIs" dxfId="102" priority="74" operator="equal">
      <formula>"FERNANDA CASTILLO C/C"</formula>
    </cfRule>
  </conditionalFormatting>
  <conditionalFormatting sqref="H5221:H1048576 I5222 H1:H5219">
    <cfRule type="cellIs" dxfId="101" priority="73" operator="equal">
      <formula>"HANIA GARCIA C/C"</formula>
    </cfRule>
  </conditionalFormatting>
  <conditionalFormatting sqref="H5221:H1048576 I5222 H1:H5219">
    <cfRule type="cellIs" dxfId="100" priority="72" operator="equal">
      <formula>"DULCE FRANCO C/C"</formula>
    </cfRule>
  </conditionalFormatting>
  <conditionalFormatting sqref="H5221:H1048576 I5222 H1:H5219">
    <cfRule type="cellIs" dxfId="99" priority="71" operator="equal">
      <formula>"ANA VILLEGAS C/C"</formula>
    </cfRule>
  </conditionalFormatting>
  <conditionalFormatting sqref="H5221:H1048576 I5222 H1:H5219">
    <cfRule type="cellIs" dxfId="98" priority="70" operator="equal">
      <formula>"DEYANIRA CORDOVA C/C"</formula>
    </cfRule>
  </conditionalFormatting>
  <conditionalFormatting sqref="H5221:H1048576 I5222 H1:H5219">
    <cfRule type="cellIs" dxfId="97" priority="69" operator="equal">
      <formula>"GLORIA ORTIZ C/C"</formula>
    </cfRule>
  </conditionalFormatting>
  <conditionalFormatting sqref="H5221:H1048576 I5222 H1:H5219">
    <cfRule type="cellIs" dxfId="96" priority="68" operator="equal">
      <formula>"GUADALUPE BECERRA C/C"</formula>
    </cfRule>
  </conditionalFormatting>
  <conditionalFormatting sqref="H5221:H1048576 I5222 H1:H5219">
    <cfRule type="cellIs" dxfId="95" priority="67" operator="equal">
      <formula>"JORGE MEDINA C/C"</formula>
    </cfRule>
  </conditionalFormatting>
  <conditionalFormatting sqref="H5221:H1048576 I5222 H1:H5219">
    <cfRule type="cellIs" dxfId="94" priority="66" operator="equal">
      <formula>"LUIS DAVILA C/C"</formula>
    </cfRule>
  </conditionalFormatting>
  <conditionalFormatting sqref="H5221:H1048576 I5222 H1:H5219">
    <cfRule type="cellIs" dxfId="93" priority="65" operator="equal">
      <formula>"LITZY MARTINEZ C/C"</formula>
    </cfRule>
  </conditionalFormatting>
  <conditionalFormatting sqref="H5221:H1048576 I5222 H1:H5219">
    <cfRule type="cellIs" dxfId="92" priority="64" operator="equal">
      <formula>"YULIANA RODRIGUEZ C/C"</formula>
    </cfRule>
  </conditionalFormatting>
  <conditionalFormatting sqref="R1:R2834 R2836:R4075 R4077:R1048576">
    <cfRule type="cellIs" dxfId="91" priority="61" operator="between">
      <formula>300</formula>
      <formula>1200</formula>
    </cfRule>
  </conditionalFormatting>
  <conditionalFormatting sqref="R1:R2834 R2836:R4075 R4077:R1048576">
    <cfRule type="cellIs" dxfId="90" priority="60" operator="greaterThan">
      <formula>1200</formula>
    </cfRule>
  </conditionalFormatting>
  <conditionalFormatting sqref="L2307:M2988 L2990:M2990 L5227:L1048576 L5219:M5219 M5227 L5224:M5224 L5216:M5216 N5222 L1:L5214">
    <cfRule type="cellIs" dxfId="89" priority="59" operator="equal">
      <formula>1</formula>
    </cfRule>
  </conditionalFormatting>
  <conditionalFormatting sqref="S1685">
    <cfRule type="cellIs" dxfId="88" priority="58" operator="between">
      <formula>300</formula>
      <formula>1200</formula>
    </cfRule>
  </conditionalFormatting>
  <conditionalFormatting sqref="S1685">
    <cfRule type="cellIs" dxfId="87" priority="57" operator="greaterThan">
      <formula>1200</formula>
    </cfRule>
  </conditionalFormatting>
  <conditionalFormatting sqref="H5221:H1048576 I5222 H1:H5219">
    <cfRule type="cellIs" dxfId="86" priority="56" operator="equal">
      <formula>"PAOLA RODRIGUEZ C/C"</formula>
    </cfRule>
  </conditionalFormatting>
  <conditionalFormatting sqref="H5221:H1048576 I5222 H1:H5219">
    <cfRule type="cellIs" dxfId="85" priority="53" operator="equal">
      <formula>"MAGALI HERNANDEZ C/C"</formula>
    </cfRule>
  </conditionalFormatting>
  <conditionalFormatting sqref="H5221:H1048576 I5222 H1:H5219">
    <cfRule type="cellIs" dxfId="84" priority="52" operator="equal">
      <formula>"YESSENIA ESPINO"</formula>
    </cfRule>
  </conditionalFormatting>
  <conditionalFormatting sqref="M2306">
    <cfRule type="cellIs" dxfId="83" priority="50" operator="equal">
      <formula>2</formula>
    </cfRule>
  </conditionalFormatting>
  <conditionalFormatting sqref="M2306">
    <cfRule type="cellIs" dxfId="82" priority="49" operator="equal">
      <formula>1</formula>
    </cfRule>
  </conditionalFormatting>
  <conditionalFormatting sqref="H5221:H1048576 I5222 H1:H5219">
    <cfRule type="cellIs" dxfId="81" priority="43" operator="equal">
      <formula>"CARRANZA SARDINA C/C"</formula>
    </cfRule>
  </conditionalFormatting>
  <conditionalFormatting sqref="H5221:H1048576 I5222 H1:H5219">
    <cfRule type="cellIs" dxfId="80" priority="42" operator="equal">
      <formula>"KARINA MATA C/C"</formula>
    </cfRule>
  </conditionalFormatting>
  <conditionalFormatting sqref="M5228:M1048576 M1:M2305 M5225 M5217:N5218 M5223:N5223">
    <cfRule type="duplicateValues" dxfId="79" priority="595"/>
  </conditionalFormatting>
  <conditionalFormatting sqref="M2753">
    <cfRule type="duplicateValues" dxfId="78" priority="41"/>
  </conditionalFormatting>
  <conditionalFormatting sqref="M2802">
    <cfRule type="duplicateValues" dxfId="77" priority="40"/>
  </conditionalFormatting>
  <conditionalFormatting sqref="R2835">
    <cfRule type="cellIs" dxfId="76" priority="39" operator="between">
      <formula>300</formula>
      <formula>1200</formula>
    </cfRule>
  </conditionalFormatting>
  <conditionalFormatting sqref="R2835">
    <cfRule type="cellIs" dxfId="75" priority="38" operator="greaterThan">
      <formula>1200</formula>
    </cfRule>
  </conditionalFormatting>
  <conditionalFormatting sqref="M2306:M2988 M2990">
    <cfRule type="duplicateValues" dxfId="74" priority="1120"/>
  </conditionalFormatting>
  <conditionalFormatting sqref="M2974">
    <cfRule type="duplicateValues" dxfId="73" priority="36"/>
  </conditionalFormatting>
  <conditionalFormatting sqref="M2989">
    <cfRule type="duplicateValues" dxfId="72" priority="35"/>
  </conditionalFormatting>
  <conditionalFormatting sqref="H5221:H1048576 I5222 H1:H5219">
    <cfRule type="cellIs" dxfId="71" priority="33" operator="equal">
      <formula>"BEATRIZ DE LA CRUZ C/C"</formula>
    </cfRule>
  </conditionalFormatting>
  <conditionalFormatting sqref="M2991:M3178">
    <cfRule type="duplicateValues" dxfId="70" priority="2271"/>
  </conditionalFormatting>
  <conditionalFormatting sqref="M3179:M3230">
    <cfRule type="duplicateValues" dxfId="69" priority="2381"/>
  </conditionalFormatting>
  <conditionalFormatting sqref="M3235">
    <cfRule type="duplicateValues" dxfId="68" priority="30"/>
  </conditionalFormatting>
  <conditionalFormatting sqref="M3443">
    <cfRule type="duplicateValues" dxfId="67" priority="29"/>
  </conditionalFormatting>
  <conditionalFormatting sqref="M3443">
    <cfRule type="cellIs" dxfId="66" priority="28" operator="equal">
      <formula>2</formula>
    </cfRule>
  </conditionalFormatting>
  <conditionalFormatting sqref="M3443">
    <cfRule type="cellIs" dxfId="65" priority="27" operator="equal">
      <formula>1</formula>
    </cfRule>
  </conditionalFormatting>
  <conditionalFormatting sqref="H5221:H1048576 I5222 H1:H5219">
    <cfRule type="containsText" dxfId="64" priority="26" operator="containsText" text="ANDRE TREVIÑO C/C">
      <formula>NOT(ISERROR(SEARCH("ANDRE TREVIÑO C/C",H1)))</formula>
    </cfRule>
  </conditionalFormatting>
  <conditionalFormatting sqref="H5221:H1048576 I5222 H1:H5219">
    <cfRule type="containsText" dxfId="63" priority="25" operator="containsText" text="MAYTE NAVARRO C/C">
      <formula>NOT(ISERROR(SEARCH("MAYTE NAVARRO C/C",H1)))</formula>
    </cfRule>
  </conditionalFormatting>
  <conditionalFormatting sqref="H5221:H1048576 I5222 H1:H5219">
    <cfRule type="cellIs" dxfId="62" priority="24" operator="equal">
      <formula>"DANIELA IRACHETA C/C"</formula>
    </cfRule>
  </conditionalFormatting>
  <conditionalFormatting sqref="R4076">
    <cfRule type="cellIs" dxfId="61" priority="15" operator="between">
      <formula>300</formula>
      <formula>1200</formula>
    </cfRule>
  </conditionalFormatting>
  <conditionalFormatting sqref="R4076">
    <cfRule type="cellIs" dxfId="60" priority="14" operator="greaterThan">
      <formula>1200</formula>
    </cfRule>
  </conditionalFormatting>
  <conditionalFormatting sqref="J5222:J1048576 J1:J4621 J5219:J5220 J4623:J5217 K5217:L5217">
    <cfRule type="duplicateValues" dxfId="59" priority="5"/>
  </conditionalFormatting>
  <conditionalFormatting sqref="L5223 K1:K5216 K5218:K1048576">
    <cfRule type="duplicateValues" dxfId="58" priority="4"/>
  </conditionalFormatting>
  <conditionalFormatting sqref="J4622">
    <cfRule type="duplicateValues" dxfId="57" priority="3"/>
  </conditionalFormatting>
  <conditionalFormatting sqref="J4622">
    <cfRule type="cellIs" dxfId="56" priority="2" operator="equal">
      <formula>2</formula>
    </cfRule>
  </conditionalFormatting>
  <conditionalFormatting sqref="J4622">
    <cfRule type="cellIs" dxfId="55" priority="1" operator="equal">
      <formula>1</formula>
    </cfRule>
  </conditionalFormatting>
  <conditionalFormatting sqref="M3231:M3234 M3236:M3442 M3444:M5214">
    <cfRule type="duplicateValues" dxfId="54" priority="7868"/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1BE0A4-42BB-4D1C-9E93-FE38999FD590}">
          <x14:formula1>
            <xm:f>LISTA!$A$1:$A$12</xm:f>
          </x14:formula1>
          <xm:sqref>N1:N2276 N2278:N2928 N2930:N2971 N2973:N3543 O5218 O5225 N5219:N5221 N5224:N1048576 N3545:N4781 N4783:N5216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6028-ADDE-4673-B6C1-73F4BF8CD674}">
  <dimension ref="A1:G11"/>
  <sheetViews>
    <sheetView workbookViewId="0">
      <selection activeCell="B3" sqref="B3"/>
    </sheetView>
  </sheetViews>
  <sheetFormatPr defaultRowHeight="15"/>
  <cols>
    <col min="1" max="1" width="21.7109375" bestFit="1" customWidth="1"/>
    <col min="2" max="2" width="16.42578125" bestFit="1" customWidth="1"/>
    <col min="3" max="3" width="15.28515625" bestFit="1" customWidth="1"/>
    <col min="4" max="5" width="16.85546875" bestFit="1" customWidth="1"/>
    <col min="6" max="6" width="13.42578125" bestFit="1" customWidth="1"/>
    <col min="7" max="7" width="12.85546875" bestFit="1" customWidth="1"/>
    <col min="8" max="8" width="15.28515625" bestFit="1" customWidth="1"/>
    <col min="9" max="9" width="6.85546875" bestFit="1" customWidth="1"/>
    <col min="10" max="10" width="9.7109375" bestFit="1" customWidth="1"/>
    <col min="11" max="14" width="12.85546875" bestFit="1" customWidth="1"/>
  </cols>
  <sheetData>
    <row r="1" spans="1:7">
      <c r="A1" s="76" t="s">
        <v>5</v>
      </c>
      <c r="B1" s="29">
        <v>46289</v>
      </c>
    </row>
    <row r="3" spans="1:7">
      <c r="A3" s="76" t="s">
        <v>11518</v>
      </c>
      <c r="B3" s="76" t="s">
        <v>13</v>
      </c>
      <c r="C3" s="77"/>
      <c r="D3" s="77"/>
      <c r="E3" s="77"/>
      <c r="F3" s="77"/>
      <c r="G3" s="77"/>
    </row>
    <row r="4" spans="1:7">
      <c r="A4" s="76" t="s">
        <v>7</v>
      </c>
      <c r="B4" s="77" t="s">
        <v>28</v>
      </c>
      <c r="C4" s="77" t="s">
        <v>47</v>
      </c>
      <c r="D4" s="77" t="s">
        <v>106</v>
      </c>
      <c r="E4" s="77" t="s">
        <v>130</v>
      </c>
      <c r="F4" s="77" t="s">
        <v>263</v>
      </c>
      <c r="G4" s="77" t="s">
        <v>11519</v>
      </c>
    </row>
    <row r="5" spans="1:7">
      <c r="A5" s="77" t="s">
        <v>9991</v>
      </c>
      <c r="B5" s="77">
        <v>2</v>
      </c>
      <c r="C5" s="77"/>
      <c r="D5" s="77"/>
      <c r="E5" s="77"/>
      <c r="F5" s="77">
        <v>1</v>
      </c>
      <c r="G5" s="77">
        <v>3</v>
      </c>
    </row>
    <row r="6" spans="1:7">
      <c r="A6" s="77" t="s">
        <v>269</v>
      </c>
      <c r="B6" s="77">
        <v>3</v>
      </c>
      <c r="C6" s="77">
        <v>1</v>
      </c>
      <c r="D6" s="77"/>
      <c r="E6" s="77"/>
      <c r="F6" s="77"/>
      <c r="G6" s="77">
        <v>4</v>
      </c>
    </row>
    <row r="7" spans="1:7">
      <c r="A7" s="77" t="s">
        <v>8028</v>
      </c>
      <c r="B7" s="77">
        <v>1</v>
      </c>
      <c r="C7" s="77"/>
      <c r="D7" s="77">
        <v>1</v>
      </c>
      <c r="E7" s="77">
        <v>1</v>
      </c>
      <c r="F7" s="77"/>
      <c r="G7" s="77">
        <v>3</v>
      </c>
    </row>
    <row r="8" spans="1:7">
      <c r="A8" s="77" t="s">
        <v>9960</v>
      </c>
      <c r="B8" s="77"/>
      <c r="C8" s="77"/>
      <c r="D8" s="77"/>
      <c r="E8" s="77"/>
      <c r="F8" s="77">
        <v>1</v>
      </c>
      <c r="G8" s="77">
        <v>1</v>
      </c>
    </row>
    <row r="9" spans="1:7">
      <c r="A9" s="77" t="s">
        <v>51</v>
      </c>
      <c r="B9" s="77">
        <v>1</v>
      </c>
      <c r="C9" s="77"/>
      <c r="D9" s="77"/>
      <c r="E9" s="77"/>
      <c r="F9" s="77"/>
      <c r="G9" s="77">
        <v>1</v>
      </c>
    </row>
    <row r="10" spans="1:7">
      <c r="A10" s="77" t="s">
        <v>8381</v>
      </c>
      <c r="B10" s="77">
        <v>2</v>
      </c>
      <c r="C10" s="77"/>
      <c r="D10" s="77"/>
      <c r="E10" s="77"/>
      <c r="F10" s="77"/>
      <c r="G10" s="77">
        <v>2</v>
      </c>
    </row>
    <row r="11" spans="1:7">
      <c r="A11" s="77" t="s">
        <v>11519</v>
      </c>
      <c r="B11" s="77">
        <v>9</v>
      </c>
      <c r="C11" s="77">
        <v>1</v>
      </c>
      <c r="D11" s="77">
        <v>1</v>
      </c>
      <c r="E11" s="77">
        <v>1</v>
      </c>
      <c r="F11" s="77">
        <v>2</v>
      </c>
      <c r="G11" s="77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E754-EBB8-4B1C-BFA0-59A426812B58}">
  <dimension ref="A1:A15"/>
  <sheetViews>
    <sheetView workbookViewId="0"/>
  </sheetViews>
  <sheetFormatPr defaultRowHeight="15"/>
  <sheetData>
    <row r="1" spans="1:1">
      <c r="A1" s="156" t="s">
        <v>103</v>
      </c>
    </row>
    <row r="2" spans="1:1">
      <c r="A2" s="157" t="s">
        <v>1629</v>
      </c>
    </row>
    <row r="3" spans="1:1">
      <c r="A3" s="156" t="s">
        <v>1625</v>
      </c>
    </row>
    <row r="4" spans="1:1">
      <c r="A4" s="157" t="s">
        <v>3572</v>
      </c>
    </row>
    <row r="5" spans="1:1">
      <c r="A5" s="157" t="s">
        <v>26</v>
      </c>
    </row>
    <row r="6" spans="1:1">
      <c r="A6" s="156" t="s">
        <v>269</v>
      </c>
    </row>
    <row r="7" spans="1:1">
      <c r="A7" s="157" t="s">
        <v>51</v>
      </c>
    </row>
    <row r="8" spans="1:1">
      <c r="A8" s="156" t="s">
        <v>78</v>
      </c>
    </row>
    <row r="9" spans="1:1">
      <c r="A9" s="157" t="s">
        <v>6605</v>
      </c>
    </row>
    <row r="10" spans="1:1">
      <c r="A10" s="157" t="s">
        <v>110</v>
      </c>
    </row>
    <row r="11" spans="1:1">
      <c r="A11" s="156" t="s">
        <v>107</v>
      </c>
    </row>
    <row r="12" spans="1:1">
      <c r="A12" s="157" t="s">
        <v>476</v>
      </c>
    </row>
    <row r="13" spans="1:1">
      <c r="A13" s="157" t="s">
        <v>7676</v>
      </c>
    </row>
    <row r="14" spans="1:1">
      <c r="A14" s="156" t="s">
        <v>71</v>
      </c>
    </row>
    <row r="15" spans="1:1">
      <c r="A15" s="157" t="s">
        <v>3575</v>
      </c>
    </row>
  </sheetData>
  <conditionalFormatting sqref="A1:A15">
    <cfRule type="containsText" dxfId="31" priority="23" operator="containsText" text="CAROLINA RAMIREZ C/C">
      <formula>NOT(ISERROR(SEARCH("CAROLINA RAMIREZ C/C",A1)))</formula>
    </cfRule>
  </conditionalFormatting>
  <conditionalFormatting sqref="A1:A15">
    <cfRule type="cellIs" dxfId="30" priority="22" operator="equal">
      <formula>"MELANIE CIBRIAN C/C"</formula>
    </cfRule>
  </conditionalFormatting>
  <conditionalFormatting sqref="A1:A15">
    <cfRule type="cellIs" dxfId="29" priority="21" operator="equal">
      <formula>"MARISOL HERNANDEZ C/C"</formula>
    </cfRule>
  </conditionalFormatting>
  <conditionalFormatting sqref="A1:A15">
    <cfRule type="cellIs" dxfId="28" priority="20" operator="equal">
      <formula>"FERNANDA CASTILLO C/C"</formula>
    </cfRule>
  </conditionalFormatting>
  <conditionalFormatting sqref="A1:A15">
    <cfRule type="cellIs" dxfId="27" priority="19" operator="equal">
      <formula>"HANIA GARCIA C/C"</formula>
    </cfRule>
  </conditionalFormatting>
  <conditionalFormatting sqref="A1:A15">
    <cfRule type="cellIs" dxfId="26" priority="18" operator="equal">
      <formula>"DULCE FRANCO C/C"</formula>
    </cfRule>
  </conditionalFormatting>
  <conditionalFormatting sqref="A1:A15">
    <cfRule type="cellIs" dxfId="25" priority="17" operator="equal">
      <formula>"ANA VILLEGAS C/C"</formula>
    </cfRule>
  </conditionalFormatting>
  <conditionalFormatting sqref="A1:A15">
    <cfRule type="cellIs" dxfId="24" priority="16" operator="equal">
      <formula>"DEYANIRA CORDOVA C/C"</formula>
    </cfRule>
  </conditionalFormatting>
  <conditionalFormatting sqref="A1:A15">
    <cfRule type="cellIs" dxfId="23" priority="15" operator="equal">
      <formula>"GLORIA ORTIZ C/C"</formula>
    </cfRule>
  </conditionalFormatting>
  <conditionalFormatting sqref="A1:A15">
    <cfRule type="cellIs" dxfId="22" priority="14" operator="equal">
      <formula>"GUADALUPE BECERRA C/C"</formula>
    </cfRule>
  </conditionalFormatting>
  <conditionalFormatting sqref="A1:A15">
    <cfRule type="cellIs" dxfId="21" priority="13" operator="equal">
      <formula>"JORGE MEDINA C/C"</formula>
    </cfRule>
  </conditionalFormatting>
  <conditionalFormatting sqref="A1:A15">
    <cfRule type="cellIs" dxfId="20" priority="12" operator="equal">
      <formula>"LUIS DAVILA C/C"</formula>
    </cfRule>
  </conditionalFormatting>
  <conditionalFormatting sqref="A1:A15">
    <cfRule type="cellIs" dxfId="19" priority="11" operator="equal">
      <formula>"LITZY MARTINEZ C/C"</formula>
    </cfRule>
  </conditionalFormatting>
  <conditionalFormatting sqref="A1:A15">
    <cfRule type="cellIs" dxfId="18" priority="10" operator="equal">
      <formula>"YULIANA RODRIGUEZ C/C"</formula>
    </cfRule>
  </conditionalFormatting>
  <conditionalFormatting sqref="A1:A15">
    <cfRule type="cellIs" dxfId="17" priority="9" operator="equal">
      <formula>"PAOLA RODRIGUEZ C/C"</formula>
    </cfRule>
  </conditionalFormatting>
  <conditionalFormatting sqref="A1:A15">
    <cfRule type="cellIs" dxfId="16" priority="8" operator="equal">
      <formula>"MAGALI HERNANDEZ C/C"</formula>
    </cfRule>
  </conditionalFormatting>
  <conditionalFormatting sqref="A1:A15">
    <cfRule type="cellIs" dxfId="15" priority="7" operator="equal">
      <formula>"YESSENIA ESPINO"</formula>
    </cfRule>
  </conditionalFormatting>
  <conditionalFormatting sqref="A1:A15">
    <cfRule type="cellIs" dxfId="14" priority="6" operator="equal">
      <formula>"CARRANZA SARDINA C/C"</formula>
    </cfRule>
  </conditionalFormatting>
  <conditionalFormatting sqref="A1:A15">
    <cfRule type="cellIs" dxfId="13" priority="5" operator="equal">
      <formula>"KARINA MATA C/C"</formula>
    </cfRule>
  </conditionalFormatting>
  <conditionalFormatting sqref="A1:A15">
    <cfRule type="cellIs" dxfId="12" priority="4" operator="equal">
      <formula>"BEATRIZ DE LA CRUZ C/C"</formula>
    </cfRule>
  </conditionalFormatting>
  <conditionalFormatting sqref="A1:A15">
    <cfRule type="containsText" dxfId="11" priority="3" operator="containsText" text="ANDRE TREVIÑO C/C">
      <formula>NOT(ISERROR(SEARCH("ANDRE TREVIÑO C/C",A1)))</formula>
    </cfRule>
  </conditionalFormatting>
  <conditionalFormatting sqref="A1:A15">
    <cfRule type="containsText" dxfId="10" priority="2" operator="containsText" text="MAYTE NAVARRO C/C">
      <formula>NOT(ISERROR(SEARCH("MAYTE NAVARRO C/C",A1)))</formula>
    </cfRule>
  </conditionalFormatting>
  <conditionalFormatting sqref="A1:A15">
    <cfRule type="cellIs" dxfId="9" priority="1" operator="equal">
      <formula>"DANIELA IRACHETA C/C"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C0AF-2D14-4D6A-A141-EA9721823260}">
  <sheetPr>
    <pageSetUpPr fitToPage="1"/>
  </sheetPr>
  <dimension ref="A1:M38"/>
  <sheetViews>
    <sheetView workbookViewId="0">
      <selection activeCell="C1" sqref="C1"/>
    </sheetView>
  </sheetViews>
  <sheetFormatPr defaultRowHeight="15"/>
  <cols>
    <col min="1" max="1" width="26.5703125" customWidth="1"/>
    <col min="2" max="2" width="9.140625" style="62"/>
    <col min="3" max="3" width="10.42578125" style="62" bestFit="1" customWidth="1"/>
    <col min="4" max="6" width="9.140625" style="62"/>
    <col min="7" max="7" width="11.28515625" style="62" customWidth="1"/>
    <col min="8" max="8" width="11.140625" style="62" customWidth="1"/>
    <col min="9" max="9" width="9.140625" style="62"/>
    <col min="10" max="10" width="6.85546875" style="62" bestFit="1" customWidth="1"/>
    <col min="11" max="11" width="9.140625" style="62"/>
    <col min="12" max="12" width="11.5703125" style="62" customWidth="1"/>
    <col min="13" max="13" width="9.140625" style="62"/>
  </cols>
  <sheetData>
    <row r="1" spans="1:13">
      <c r="B1" s="26" t="s">
        <v>5</v>
      </c>
      <c r="C1" s="66">
        <v>46293</v>
      </c>
    </row>
    <row r="2" spans="1:13">
      <c r="L2" s="154"/>
    </row>
    <row r="3" spans="1:13" ht="30.75">
      <c r="A3" s="53" t="s">
        <v>11520</v>
      </c>
      <c r="B3" s="63" t="s">
        <v>28</v>
      </c>
      <c r="C3" s="63" t="s">
        <v>47</v>
      </c>
      <c r="D3" s="63" t="s">
        <v>106</v>
      </c>
      <c r="E3" s="63" t="s">
        <v>130</v>
      </c>
      <c r="F3" s="63" t="s">
        <v>263</v>
      </c>
      <c r="G3" s="63" t="s">
        <v>37</v>
      </c>
      <c r="H3" s="63" t="s">
        <v>32</v>
      </c>
      <c r="I3" s="63" t="s">
        <v>235</v>
      </c>
      <c r="J3" s="63" t="s">
        <v>74</v>
      </c>
      <c r="K3" s="63" t="s">
        <v>98</v>
      </c>
      <c r="L3" s="63" t="s">
        <v>1149</v>
      </c>
      <c r="M3" s="63" t="s">
        <v>11519</v>
      </c>
    </row>
    <row r="4" spans="1:13" hidden="1">
      <c r="A4" s="54" t="s">
        <v>7676</v>
      </c>
      <c r="B4" s="64">
        <f>COUNTIFS(Sheet1!F:F,'REPORTE GENERAL'!C$1,Sheet1!N:N,'REPORTE GENERAL'!B$3,Sheet1!H:H,'REPORTE GENERAL'!A4)</f>
        <v>0</v>
      </c>
      <c r="C4" s="64">
        <f>COUNTIFS(Sheet1!F:F,'REPORTE GENERAL'!C$1,Sheet1!N:N,'REPORTE GENERAL'!C$3,Sheet1!H:H,'REPORTE GENERAL'!A4)</f>
        <v>0</v>
      </c>
      <c r="D4" s="64">
        <f>COUNTIFS(Sheet1!F:F,'REPORTE GENERAL'!C$1,Sheet1!N:N,'REPORTE GENERAL'!D$3,Sheet1!H:H,'REPORTE GENERAL'!A4)</f>
        <v>0</v>
      </c>
      <c r="E4" s="64">
        <f>COUNTIFS(Sheet1!F:F,'REPORTE GENERAL'!C$1,Sheet1!N:N,'REPORTE GENERAL'!E$3,Sheet1!H:H,'REPORTE GENERAL'!A4)</f>
        <v>0</v>
      </c>
      <c r="F4" s="64">
        <f>COUNTIFS(Sheet1!F:F,'REPORTE GENERAL'!C$1,Sheet1!N:N,'REPORTE GENERAL'!F$3,Sheet1!H:H,'REPORTE GENERAL'!A4)</f>
        <v>0</v>
      </c>
      <c r="G4" s="64">
        <f>COUNTIFS(Sheet1!F:F,'REPORTE GENERAL'!C$1,Sheet1!N:N,'REPORTE GENERAL'!G$3,Sheet1!H:H,'REPORTE GENERAL'!A4)</f>
        <v>0</v>
      </c>
      <c r="H4" s="64">
        <f>COUNTIFS(Sheet1!F:F,'REPORTE GENERAL'!C$1,Sheet1!N:N,'REPORTE GENERAL'!H$3,Sheet1!H:H,'REPORTE GENERAL'!A4)</f>
        <v>0</v>
      </c>
      <c r="I4" s="64">
        <f>COUNTIFS(Sheet1!F:F,'REPORTE GENERAL'!C$1,Sheet1!N:N,'REPORTE GENERAL'!I$3,Sheet1!H:H,'REPORTE GENERAL'!A4)</f>
        <v>0</v>
      </c>
      <c r="J4" s="64">
        <f>COUNTIFS(Sheet1!F:F,'REPORTE GENERAL'!C$1,Sheet1!N:N,'REPORTE GENERAL'!J$3,Sheet1!H:H,'REPORTE GENERAL'!A4)</f>
        <v>0</v>
      </c>
      <c r="K4" s="64">
        <f>COUNTIFS(Sheet1!F:F,'REPORTE GENERAL'!C$1,Sheet1!N:N,'REPORTE GENERAL'!K$3,Sheet1!H:H,'REPORTE GENERAL'!A4)</f>
        <v>0</v>
      </c>
      <c r="L4" s="64">
        <f>COUNTIFS(Sheet1!F:F,'REPORTE GENERAL'!C$1,Sheet1!N:N,'REPORTE GENERAL'!L$3,Sheet1!H:H,'REPORTE GENERAL'!A4)</f>
        <v>0</v>
      </c>
      <c r="M4" s="65">
        <f>SUM(B4:L4)</f>
        <v>0</v>
      </c>
    </row>
    <row r="5" spans="1:13" hidden="1">
      <c r="A5" s="54" t="s">
        <v>110</v>
      </c>
      <c r="B5" s="64">
        <f>COUNTIFS(Sheet1!F:F,'REPORTE GENERAL'!C$1,Sheet1!N:N,'REPORTE GENERAL'!B$3,Sheet1!H:H,'REPORTE GENERAL'!A5)</f>
        <v>0</v>
      </c>
      <c r="C5" s="64">
        <f>COUNTIFS(Sheet1!F:F,'REPORTE GENERAL'!C$1,Sheet1!N:N,'REPORTE GENERAL'!C$3,Sheet1!H:H,'REPORTE GENERAL'!A5)</f>
        <v>0</v>
      </c>
      <c r="D5" s="64">
        <f>COUNTIFS(Sheet1!F:F,'REPORTE GENERAL'!C$1,Sheet1!N:N,'REPORTE GENERAL'!D$3,Sheet1!H:H,'REPORTE GENERAL'!A5)</f>
        <v>0</v>
      </c>
      <c r="E5" s="64">
        <f>COUNTIFS(Sheet1!F:F,'REPORTE GENERAL'!C$1,Sheet1!N:N,'REPORTE GENERAL'!E$3,Sheet1!H:H,'REPORTE GENERAL'!A5)</f>
        <v>0</v>
      </c>
      <c r="F5" s="64">
        <f>COUNTIFS(Sheet1!F:F,'REPORTE GENERAL'!C$1,Sheet1!N:N,'REPORTE GENERAL'!F$3,Sheet1!H:H,'REPORTE GENERAL'!A5)</f>
        <v>0</v>
      </c>
      <c r="G5" s="64">
        <f>COUNTIFS(Sheet1!F:F,'REPORTE GENERAL'!C$1,Sheet1!N:N,'REPORTE GENERAL'!G$3,Sheet1!H:H,'REPORTE GENERAL'!A5)</f>
        <v>0</v>
      </c>
      <c r="H5" s="64">
        <f>COUNTIFS(Sheet1!F:F,'REPORTE GENERAL'!C$1,Sheet1!N:N,'REPORTE GENERAL'!H$3,Sheet1!H:H,'REPORTE GENERAL'!A5)</f>
        <v>0</v>
      </c>
      <c r="I5" s="64">
        <f>COUNTIFS(Sheet1!F:F,'REPORTE GENERAL'!C$1,Sheet1!N:N,'REPORTE GENERAL'!I$3,Sheet1!H:H,'REPORTE GENERAL'!A5)</f>
        <v>0</v>
      </c>
      <c r="J5" s="64">
        <f>COUNTIFS(Sheet1!F:F,'REPORTE GENERAL'!C$1,Sheet1!N:N,'REPORTE GENERAL'!J$3,Sheet1!H:H,'REPORTE GENERAL'!A5)</f>
        <v>0</v>
      </c>
      <c r="K5" s="64">
        <f>COUNTIFS(Sheet1!F:F,'REPORTE GENERAL'!C$1,Sheet1!N:N,'REPORTE GENERAL'!K$3,Sheet1!H:H,'REPORTE GENERAL'!A5)</f>
        <v>0</v>
      </c>
      <c r="L5" s="64">
        <f>COUNTIFS(Sheet1!F:F,'REPORTE GENERAL'!C$1,Sheet1!N:N,'REPORTE GENERAL'!L$3,Sheet1!H:H,'REPORTE GENERAL'!A5)</f>
        <v>0</v>
      </c>
      <c r="M5" s="65">
        <f>SUM(B5:L5)</f>
        <v>0</v>
      </c>
    </row>
    <row r="6" spans="1:13" hidden="1">
      <c r="A6" s="54" t="s">
        <v>26</v>
      </c>
      <c r="B6" s="64">
        <f>COUNTIFS(Sheet1!F:F,'REPORTE GENERAL'!C$1,Sheet1!N:N,'REPORTE GENERAL'!B$3,Sheet1!H:H,'REPORTE GENERAL'!A6)</f>
        <v>0</v>
      </c>
      <c r="C6" s="64">
        <f>COUNTIFS(Sheet1!F:F,'REPORTE GENERAL'!C$1,Sheet1!N:N,'REPORTE GENERAL'!C$3,Sheet1!H:H,'REPORTE GENERAL'!A6)</f>
        <v>0</v>
      </c>
      <c r="D6" s="64">
        <f>COUNTIFS(Sheet1!F:F,'REPORTE GENERAL'!C$1,Sheet1!N:N,'REPORTE GENERAL'!D$3,Sheet1!H:H,'REPORTE GENERAL'!A6)</f>
        <v>0</v>
      </c>
      <c r="E6" s="64">
        <f>COUNTIFS(Sheet1!F:F,'REPORTE GENERAL'!C$1,Sheet1!N:N,'REPORTE GENERAL'!E$3,Sheet1!H:H,'REPORTE GENERAL'!A6)</f>
        <v>0</v>
      </c>
      <c r="F6" s="64">
        <f>COUNTIFS(Sheet1!F:F,'REPORTE GENERAL'!C$1,Sheet1!N:N,'REPORTE GENERAL'!F$3,Sheet1!H:H,'REPORTE GENERAL'!A6)</f>
        <v>0</v>
      </c>
      <c r="G6" s="64">
        <f>COUNTIFS(Sheet1!F:F,'REPORTE GENERAL'!C$1,Sheet1!N:N,'REPORTE GENERAL'!G$3,Sheet1!H:H,'REPORTE GENERAL'!A6)</f>
        <v>0</v>
      </c>
      <c r="H6" s="64">
        <f>COUNTIFS(Sheet1!F:F,'REPORTE GENERAL'!C$1,Sheet1!N:N,'REPORTE GENERAL'!H$3,Sheet1!H:H,'REPORTE GENERAL'!A6)</f>
        <v>0</v>
      </c>
      <c r="I6" s="64">
        <f>COUNTIFS(Sheet1!F:F,'REPORTE GENERAL'!C$1,Sheet1!N:N,'REPORTE GENERAL'!I$3,Sheet1!H:H,'REPORTE GENERAL'!A6)</f>
        <v>0</v>
      </c>
      <c r="J6" s="64">
        <f>COUNTIFS(Sheet1!F:F,'REPORTE GENERAL'!C$1,Sheet1!N:N,'REPORTE GENERAL'!J$3,Sheet1!H:H,'REPORTE GENERAL'!A6)</f>
        <v>0</v>
      </c>
      <c r="K6" s="64">
        <f>COUNTIFS(Sheet1!F:F,'REPORTE GENERAL'!C$1,Sheet1!N:N,'REPORTE GENERAL'!K$3,Sheet1!H:H,'REPORTE GENERAL'!A6)</f>
        <v>0</v>
      </c>
      <c r="L6" s="64">
        <f>COUNTIFS(Sheet1!F:F,'REPORTE GENERAL'!C$1,Sheet1!N:N,'REPORTE GENERAL'!L$3,Sheet1!H:H,'REPORTE GENERAL'!A6)</f>
        <v>0</v>
      </c>
      <c r="M6" s="65">
        <f t="shared" ref="M6:M37" si="0">SUM(B6:L6)</f>
        <v>0</v>
      </c>
    </row>
    <row r="7" spans="1:13" hidden="1">
      <c r="A7" s="54" t="s">
        <v>3036</v>
      </c>
      <c r="B7" s="64">
        <f>COUNTIFS(Sheet1!F:F,'REPORTE GENERAL'!C$1,Sheet1!N:N,'REPORTE GENERAL'!B$3,Sheet1!H:H,'REPORTE GENERAL'!A7)</f>
        <v>0</v>
      </c>
      <c r="C7" s="64">
        <f>COUNTIFS(Sheet1!F:F,'REPORTE GENERAL'!C$1,Sheet1!N:N,'REPORTE GENERAL'!C$3,Sheet1!H:H,'REPORTE GENERAL'!A7)</f>
        <v>0</v>
      </c>
      <c r="D7" s="64">
        <f>COUNTIFS(Sheet1!F:F,'REPORTE GENERAL'!C$1,Sheet1!N:N,'REPORTE GENERAL'!D$3,Sheet1!H:H,'REPORTE GENERAL'!A7)</f>
        <v>0</v>
      </c>
      <c r="E7" s="64">
        <f>COUNTIFS(Sheet1!F:F,'REPORTE GENERAL'!C$1,Sheet1!N:N,'REPORTE GENERAL'!E$3,Sheet1!H:H,'REPORTE GENERAL'!A7)</f>
        <v>0</v>
      </c>
      <c r="F7" s="64">
        <f>COUNTIFS(Sheet1!F:F,'REPORTE GENERAL'!C$1,Sheet1!N:N,'REPORTE GENERAL'!F$3,Sheet1!H:H,'REPORTE GENERAL'!A7)</f>
        <v>0</v>
      </c>
      <c r="G7" s="64">
        <f>COUNTIFS(Sheet1!F:F,'REPORTE GENERAL'!C$1,Sheet1!N:N,'REPORTE GENERAL'!G$3,Sheet1!H:H,'REPORTE GENERAL'!A7)</f>
        <v>0</v>
      </c>
      <c r="H7" s="64">
        <f>COUNTIFS(Sheet1!F:F,'REPORTE GENERAL'!C$1,Sheet1!N:N,'REPORTE GENERAL'!H$3,Sheet1!H:H,'REPORTE GENERAL'!A7)</f>
        <v>0</v>
      </c>
      <c r="I7" s="64">
        <f>COUNTIFS(Sheet1!F:F,'REPORTE GENERAL'!C$1,Sheet1!N:N,'REPORTE GENERAL'!I$3,Sheet1!H:H,'REPORTE GENERAL'!A7)</f>
        <v>0</v>
      </c>
      <c r="J7" s="64">
        <f>COUNTIFS(Sheet1!F:F,'REPORTE GENERAL'!C$1,Sheet1!N:N,'REPORTE GENERAL'!J$3,Sheet1!H:H,'REPORTE GENERAL'!A7)</f>
        <v>0</v>
      </c>
      <c r="K7" s="64">
        <f>COUNTIFS(Sheet1!F:F,'REPORTE GENERAL'!C$1,Sheet1!N:N,'REPORTE GENERAL'!K$3,Sheet1!H:H,'REPORTE GENERAL'!A7)</f>
        <v>0</v>
      </c>
      <c r="L7" s="64">
        <f>COUNTIFS(Sheet1!F:F,'REPORTE GENERAL'!C$1,Sheet1!N:N,'REPORTE GENERAL'!L$3,Sheet1!H:H,'REPORTE GENERAL'!A7)</f>
        <v>0</v>
      </c>
      <c r="M7" s="65">
        <f t="shared" si="0"/>
        <v>0</v>
      </c>
    </row>
    <row r="8" spans="1:13" hidden="1">
      <c r="A8" s="54" t="s">
        <v>3007</v>
      </c>
      <c r="B8" s="64">
        <f>COUNTIFS(Sheet1!F:F,'REPORTE GENERAL'!C$1,Sheet1!N:N,'REPORTE GENERAL'!B$3,Sheet1!H:H,'REPORTE GENERAL'!A8)</f>
        <v>0</v>
      </c>
      <c r="C8" s="64">
        <f>COUNTIFS(Sheet1!F:F,'REPORTE GENERAL'!C$1,Sheet1!N:N,'REPORTE GENERAL'!C$3,Sheet1!H:H,'REPORTE GENERAL'!A8)</f>
        <v>0</v>
      </c>
      <c r="D8" s="64">
        <f>COUNTIFS(Sheet1!F:F,'REPORTE GENERAL'!C$1,Sheet1!N:N,'REPORTE GENERAL'!D$3,Sheet1!H:H,'REPORTE GENERAL'!A8)</f>
        <v>0</v>
      </c>
      <c r="E8" s="64">
        <f>COUNTIFS(Sheet1!F:F,'REPORTE GENERAL'!C$1,Sheet1!N:N,'REPORTE GENERAL'!E$3,Sheet1!H:H,'REPORTE GENERAL'!A8)</f>
        <v>0</v>
      </c>
      <c r="F8" s="64">
        <f>COUNTIFS(Sheet1!F:F,'REPORTE GENERAL'!C$1,Sheet1!N:N,'REPORTE GENERAL'!F$3,Sheet1!H:H,'REPORTE GENERAL'!A8)</f>
        <v>0</v>
      </c>
      <c r="G8" s="64">
        <f>COUNTIFS(Sheet1!F:F,'REPORTE GENERAL'!C$1,Sheet1!N:N,'REPORTE GENERAL'!G$3,Sheet1!H:H,'REPORTE GENERAL'!A8)</f>
        <v>0</v>
      </c>
      <c r="H8" s="64">
        <f>COUNTIFS(Sheet1!F:F,'REPORTE GENERAL'!C$1,Sheet1!N:N,'REPORTE GENERAL'!H$3,Sheet1!H:H,'REPORTE GENERAL'!A8)</f>
        <v>0</v>
      </c>
      <c r="I8" s="64">
        <f>COUNTIFS(Sheet1!F:F,'REPORTE GENERAL'!C$1,Sheet1!N:N,'REPORTE GENERAL'!I$3,Sheet1!H:H,'REPORTE GENERAL'!A8)</f>
        <v>0</v>
      </c>
      <c r="J8" s="64">
        <f>COUNTIFS(Sheet1!F:F,'REPORTE GENERAL'!C$1,Sheet1!N:N,'REPORTE GENERAL'!J$3,Sheet1!H:H,'REPORTE GENERAL'!A8)</f>
        <v>0</v>
      </c>
      <c r="K8" s="64">
        <f>COUNTIFS(Sheet1!F:F,'REPORTE GENERAL'!C$1,Sheet1!N:N,'REPORTE GENERAL'!K$3,Sheet1!H:H,'REPORTE GENERAL'!A8)</f>
        <v>0</v>
      </c>
      <c r="L8" s="64">
        <f>COUNTIFS(Sheet1!F:F,'REPORTE GENERAL'!C$1,Sheet1!N:N,'REPORTE GENERAL'!L$3,Sheet1!H:H,'REPORTE GENERAL'!A8)</f>
        <v>0</v>
      </c>
      <c r="M8" s="65">
        <f t="shared" si="0"/>
        <v>0</v>
      </c>
    </row>
    <row r="9" spans="1:13" hidden="1">
      <c r="A9" s="54" t="s">
        <v>3022</v>
      </c>
      <c r="B9" s="64">
        <f>COUNTIFS(Sheet1!F:F,'REPORTE GENERAL'!C$1,Sheet1!N:N,'REPORTE GENERAL'!B$3,Sheet1!H:H,'REPORTE GENERAL'!A9)</f>
        <v>0</v>
      </c>
      <c r="C9" s="64">
        <f>COUNTIFS(Sheet1!F:F,'REPORTE GENERAL'!C$1,Sheet1!N:N,'REPORTE GENERAL'!C$3,Sheet1!H:H,'REPORTE GENERAL'!A9)</f>
        <v>0</v>
      </c>
      <c r="D9" s="64">
        <f>COUNTIFS(Sheet1!F:F,'REPORTE GENERAL'!C$1,Sheet1!N:N,'REPORTE GENERAL'!D$3,Sheet1!H:H,'REPORTE GENERAL'!A9)</f>
        <v>0</v>
      </c>
      <c r="E9" s="64">
        <f>COUNTIFS(Sheet1!F:F,'REPORTE GENERAL'!C$1,Sheet1!N:N,'REPORTE GENERAL'!E$3,Sheet1!H:H,'REPORTE GENERAL'!A9)</f>
        <v>0</v>
      </c>
      <c r="F9" s="64">
        <f>COUNTIFS(Sheet1!F:F,'REPORTE GENERAL'!C$1,Sheet1!N:N,'REPORTE GENERAL'!F$3,Sheet1!H:H,'REPORTE GENERAL'!A9)</f>
        <v>0</v>
      </c>
      <c r="G9" s="64">
        <f>COUNTIFS(Sheet1!F:F,'REPORTE GENERAL'!C$1,Sheet1!N:N,'REPORTE GENERAL'!G$3,Sheet1!H:H,'REPORTE GENERAL'!A9)</f>
        <v>0</v>
      </c>
      <c r="H9" s="64">
        <f>COUNTIFS(Sheet1!F:F,'REPORTE GENERAL'!C$1,Sheet1!N:N,'REPORTE GENERAL'!H$3,Sheet1!H:H,'REPORTE GENERAL'!A9)</f>
        <v>0</v>
      </c>
      <c r="I9" s="64">
        <f>COUNTIFS(Sheet1!F:F,'REPORTE GENERAL'!C$1,Sheet1!N:N,'REPORTE GENERAL'!I$3,Sheet1!H:H,'REPORTE GENERAL'!A9)</f>
        <v>0</v>
      </c>
      <c r="J9" s="64">
        <f>COUNTIFS(Sheet1!F:F,'REPORTE GENERAL'!C$1,Sheet1!N:N,'REPORTE GENERAL'!J$3,Sheet1!H:H,'REPORTE GENERAL'!A9)</f>
        <v>0</v>
      </c>
      <c r="K9" s="64">
        <f>COUNTIFS(Sheet1!F:F,'REPORTE GENERAL'!C$1,Sheet1!N:N,'REPORTE GENERAL'!K$3,Sheet1!H:H,'REPORTE GENERAL'!A9)</f>
        <v>0</v>
      </c>
      <c r="L9" s="64">
        <f>COUNTIFS(Sheet1!F:F,'REPORTE GENERAL'!C$1,Sheet1!N:N,'REPORTE GENERAL'!L$3,Sheet1!H:H,'REPORTE GENERAL'!A9)</f>
        <v>0</v>
      </c>
      <c r="M9" s="65">
        <f t="shared" si="0"/>
        <v>0</v>
      </c>
    </row>
    <row r="10" spans="1:13" hidden="1">
      <c r="A10" s="56" t="s">
        <v>3352</v>
      </c>
      <c r="B10" s="64">
        <f>COUNTIFS(Sheet1!F:F,'REPORTE GENERAL'!C$1,Sheet1!N:N,'REPORTE GENERAL'!B$3,Sheet1!H:H,'REPORTE GENERAL'!A10)</f>
        <v>0</v>
      </c>
      <c r="C10" s="64">
        <f>COUNTIFS(Sheet1!F:F,'REPORTE GENERAL'!C$1,Sheet1!N:N,'REPORTE GENERAL'!C$3,Sheet1!H:H,'REPORTE GENERAL'!A10)</f>
        <v>0</v>
      </c>
      <c r="D10" s="64">
        <f>COUNTIFS(Sheet1!F:F,'REPORTE GENERAL'!C$1,Sheet1!N:N,'REPORTE GENERAL'!D$3,Sheet1!H:H,'REPORTE GENERAL'!A10)</f>
        <v>0</v>
      </c>
      <c r="E10" s="64">
        <f>COUNTIFS(Sheet1!F:F,'REPORTE GENERAL'!C$1,Sheet1!N:N,'REPORTE GENERAL'!E$3,Sheet1!H:H,'REPORTE GENERAL'!A10)</f>
        <v>0</v>
      </c>
      <c r="F10" s="64">
        <f>COUNTIFS(Sheet1!F:F,'REPORTE GENERAL'!C$1,Sheet1!N:N,'REPORTE GENERAL'!F$3,Sheet1!H:H,'REPORTE GENERAL'!A10)</f>
        <v>0</v>
      </c>
      <c r="G10" s="64">
        <f>COUNTIFS(Sheet1!F:F,'REPORTE GENERAL'!C$1,Sheet1!N:N,'REPORTE GENERAL'!G$3,Sheet1!H:H,'REPORTE GENERAL'!A10)</f>
        <v>0</v>
      </c>
      <c r="H10" s="64">
        <f>COUNTIFS(Sheet1!F:F,'REPORTE GENERAL'!C$1,Sheet1!N:N,'REPORTE GENERAL'!H$3,Sheet1!H:H,'REPORTE GENERAL'!A10)</f>
        <v>0</v>
      </c>
      <c r="I10" s="64">
        <f>COUNTIFS(Sheet1!F:F,'REPORTE GENERAL'!C$1,Sheet1!N:N,'REPORTE GENERAL'!I$3,Sheet1!H:H,'REPORTE GENERAL'!A10)</f>
        <v>0</v>
      </c>
      <c r="J10" s="64">
        <f>COUNTIFS(Sheet1!F:F,'REPORTE GENERAL'!C$1,Sheet1!N:N,'REPORTE GENERAL'!J$3,Sheet1!H:H,'REPORTE GENERAL'!A10)</f>
        <v>0</v>
      </c>
      <c r="K10" s="64">
        <f>COUNTIFS(Sheet1!F:F,'REPORTE GENERAL'!C$1,Sheet1!N:N,'REPORTE GENERAL'!K$3,Sheet1!H:H,'REPORTE GENERAL'!A10)</f>
        <v>0</v>
      </c>
      <c r="L10" s="64">
        <f>COUNTIFS(Sheet1!F:F,'REPORTE GENERAL'!C$1,Sheet1!N:N,'REPORTE GENERAL'!L$3,Sheet1!H:H,'REPORTE GENERAL'!A10)</f>
        <v>0</v>
      </c>
      <c r="M10" s="65">
        <f t="shared" si="0"/>
        <v>0</v>
      </c>
    </row>
    <row r="11" spans="1:13" hidden="1">
      <c r="A11" s="56" t="s">
        <v>3572</v>
      </c>
      <c r="B11" s="64">
        <f>COUNTIFS(Sheet1!F:F,'REPORTE GENERAL'!C$1,Sheet1!N:N,'REPORTE GENERAL'!B$3,Sheet1!H:H,'REPORTE GENERAL'!A11)</f>
        <v>0</v>
      </c>
      <c r="C11" s="64">
        <f>COUNTIFS(Sheet1!F:F,'REPORTE GENERAL'!C$1,Sheet1!N:N,'REPORTE GENERAL'!C$3,Sheet1!H:H,'REPORTE GENERAL'!A11)</f>
        <v>0</v>
      </c>
      <c r="D11" s="64">
        <f>COUNTIFS(Sheet1!F:F,'REPORTE GENERAL'!C$1,Sheet1!N:N,'REPORTE GENERAL'!D$3,Sheet1!H:H,'REPORTE GENERAL'!A11)</f>
        <v>0</v>
      </c>
      <c r="E11" s="64">
        <f>COUNTIFS(Sheet1!F:F,'REPORTE GENERAL'!C$1,Sheet1!N:N,'REPORTE GENERAL'!E$3,Sheet1!H:H,'REPORTE GENERAL'!A11)</f>
        <v>0</v>
      </c>
      <c r="F11" s="64">
        <f>COUNTIFS(Sheet1!F:F,'REPORTE GENERAL'!C$1,Sheet1!N:N,'REPORTE GENERAL'!F$3,Sheet1!H:H,'REPORTE GENERAL'!A11)</f>
        <v>0</v>
      </c>
      <c r="G11" s="64">
        <f>COUNTIFS(Sheet1!F:F,'REPORTE GENERAL'!C$1,Sheet1!N:N,'REPORTE GENERAL'!G$3,Sheet1!H:H,'REPORTE GENERAL'!A11)</f>
        <v>0</v>
      </c>
      <c r="H11" s="64">
        <f>COUNTIFS(Sheet1!F:F,'REPORTE GENERAL'!C$1,Sheet1!N:N,'REPORTE GENERAL'!H$3,Sheet1!H:H,'REPORTE GENERAL'!A11)</f>
        <v>0</v>
      </c>
      <c r="I11" s="64">
        <f>COUNTIFS(Sheet1!F:F,'REPORTE GENERAL'!C$1,Sheet1!N:N,'REPORTE GENERAL'!I$3,Sheet1!H:H,'REPORTE GENERAL'!A11)</f>
        <v>0</v>
      </c>
      <c r="J11" s="64">
        <f>COUNTIFS(Sheet1!F:F,'REPORTE GENERAL'!C$1,Sheet1!N:N,'REPORTE GENERAL'!J$3,Sheet1!H:H,'REPORTE GENERAL'!A11)</f>
        <v>0</v>
      </c>
      <c r="K11" s="64">
        <f>COUNTIFS(Sheet1!F:F,'REPORTE GENERAL'!C$1,Sheet1!N:N,'REPORTE GENERAL'!K$3,Sheet1!H:H,'REPORTE GENERAL'!A11)</f>
        <v>0</v>
      </c>
      <c r="L11" s="64">
        <f>COUNTIFS(Sheet1!F:F,'REPORTE GENERAL'!C$1,Sheet1!N:N,'REPORTE GENERAL'!L$3,Sheet1!H:H,'REPORTE GENERAL'!A11)</f>
        <v>0</v>
      </c>
      <c r="M11" s="65">
        <f t="shared" si="0"/>
        <v>0</v>
      </c>
    </row>
    <row r="12" spans="1:13" hidden="1">
      <c r="A12" s="56" t="s">
        <v>5033</v>
      </c>
      <c r="B12" s="64">
        <f>COUNTIFS(Sheet1!F:F,'REPORTE GENERAL'!C$1,Sheet1!N:N,'REPORTE GENERAL'!B$3,Sheet1!H:H,'REPORTE GENERAL'!A12)</f>
        <v>0</v>
      </c>
      <c r="C12" s="64">
        <f>COUNTIFS(Sheet1!F:F,'REPORTE GENERAL'!C$1,Sheet1!N:N,'REPORTE GENERAL'!C$3,Sheet1!H:H,'REPORTE GENERAL'!A12)</f>
        <v>0</v>
      </c>
      <c r="D12" s="64">
        <f>COUNTIFS(Sheet1!F:F,'REPORTE GENERAL'!C$1,Sheet1!N:N,'REPORTE GENERAL'!D$3,Sheet1!H:H,'REPORTE GENERAL'!A12)</f>
        <v>0</v>
      </c>
      <c r="E12" s="64">
        <f>COUNTIFS(Sheet1!F:F,'REPORTE GENERAL'!C$1,Sheet1!N:N,'REPORTE GENERAL'!E$3,Sheet1!H:H,'REPORTE GENERAL'!A12)</f>
        <v>0</v>
      </c>
      <c r="F12" s="64">
        <f>COUNTIFS(Sheet1!F:F,'REPORTE GENERAL'!C$1,Sheet1!N:N,'REPORTE GENERAL'!F$3,Sheet1!H:H,'REPORTE GENERAL'!A12)</f>
        <v>0</v>
      </c>
      <c r="G12" s="64">
        <f>COUNTIFS(Sheet1!F:F,'REPORTE GENERAL'!C$1,Sheet1!N:N,'REPORTE GENERAL'!G$3,Sheet1!H:H,'REPORTE GENERAL'!A12)</f>
        <v>0</v>
      </c>
      <c r="H12" s="64">
        <f>COUNTIFS(Sheet1!F:F,'REPORTE GENERAL'!C$1,Sheet1!N:N,'REPORTE GENERAL'!H$3,Sheet1!H:H,'REPORTE GENERAL'!A12)</f>
        <v>0</v>
      </c>
      <c r="I12" s="64">
        <f>COUNTIFS(Sheet1!F:F,'REPORTE GENERAL'!C$1,Sheet1!N:N,'REPORTE GENERAL'!I$3,Sheet1!H:H,'REPORTE GENERAL'!A12)</f>
        <v>0</v>
      </c>
      <c r="J12" s="64">
        <f>COUNTIFS(Sheet1!F:F,'REPORTE GENERAL'!C$1,Sheet1!N:N,'REPORTE GENERAL'!J$3,Sheet1!H:H,'REPORTE GENERAL'!A12)</f>
        <v>0</v>
      </c>
      <c r="K12" s="64">
        <f>COUNTIFS(Sheet1!F:F,'REPORTE GENERAL'!C$1,Sheet1!N:N,'REPORTE GENERAL'!K$3,Sheet1!H:H,'REPORTE GENERAL'!A12)</f>
        <v>0</v>
      </c>
      <c r="L12" s="64">
        <f>COUNTIFS(Sheet1!F:F,'REPORTE GENERAL'!C$1,Sheet1!N:N,'REPORTE GENERAL'!L$3,Sheet1!H:H,'REPORTE GENERAL'!A12)</f>
        <v>0</v>
      </c>
      <c r="M12" s="65">
        <f t="shared" si="0"/>
        <v>0</v>
      </c>
    </row>
    <row r="13" spans="1:13" hidden="1">
      <c r="A13" s="56" t="s">
        <v>5605</v>
      </c>
      <c r="B13" s="64">
        <f>COUNTIFS(Sheet1!F:F,'REPORTE GENERAL'!C$1,Sheet1!N:N,'REPORTE GENERAL'!B$3,Sheet1!H:H,'REPORTE GENERAL'!A13)</f>
        <v>0</v>
      </c>
      <c r="C13" s="64">
        <f>COUNTIFS(Sheet1!F:F,'REPORTE GENERAL'!C$1,Sheet1!N:N,'REPORTE GENERAL'!C$3,Sheet1!H:H,'REPORTE GENERAL'!A13)</f>
        <v>0</v>
      </c>
      <c r="D13" s="64">
        <f>COUNTIFS(Sheet1!F:F,'REPORTE GENERAL'!C$1,Sheet1!N:N,'REPORTE GENERAL'!D$3,Sheet1!H:H,'REPORTE GENERAL'!A13)</f>
        <v>0</v>
      </c>
      <c r="E13" s="64">
        <f>COUNTIFS(Sheet1!F:F,'REPORTE GENERAL'!C$1,Sheet1!N:N,'REPORTE GENERAL'!E$3,Sheet1!H:H,'REPORTE GENERAL'!A13)</f>
        <v>0</v>
      </c>
      <c r="F13" s="64">
        <f>COUNTIFS(Sheet1!F:F,'REPORTE GENERAL'!C$1,Sheet1!N:N,'REPORTE GENERAL'!F$3,Sheet1!H:H,'REPORTE GENERAL'!A13)</f>
        <v>0</v>
      </c>
      <c r="G13" s="64">
        <f>COUNTIFS(Sheet1!F:F,'REPORTE GENERAL'!C$1,Sheet1!N:N,'REPORTE GENERAL'!G$3,Sheet1!H:H,'REPORTE GENERAL'!A13)</f>
        <v>0</v>
      </c>
      <c r="H13" s="64">
        <f>COUNTIFS(Sheet1!F:F,'REPORTE GENERAL'!C$1,Sheet1!N:N,'REPORTE GENERAL'!H$3,Sheet1!H:H,'REPORTE GENERAL'!A13)</f>
        <v>0</v>
      </c>
      <c r="I13" s="64">
        <f>COUNTIFS(Sheet1!F:F,'REPORTE GENERAL'!C$1,Sheet1!N:N,'REPORTE GENERAL'!I$3,Sheet1!H:H,'REPORTE GENERAL'!A13)</f>
        <v>0</v>
      </c>
      <c r="J13" s="64">
        <f>COUNTIFS(Sheet1!F:F,'REPORTE GENERAL'!C$1,Sheet1!N:N,'REPORTE GENERAL'!J$3,Sheet1!H:H,'REPORTE GENERAL'!A13)</f>
        <v>0</v>
      </c>
      <c r="K13" s="64">
        <f>COUNTIFS(Sheet1!F:F,'REPORTE GENERAL'!C$1,Sheet1!N:N,'REPORTE GENERAL'!K$3,Sheet1!H:H,'REPORTE GENERAL'!A13)</f>
        <v>0</v>
      </c>
      <c r="L13" s="64">
        <f>COUNTIFS(Sheet1!F:F,'REPORTE GENERAL'!C$1,Sheet1!N:N,'REPORTE GENERAL'!L$3,Sheet1!H:H,'REPORTE GENERAL'!A13)</f>
        <v>0</v>
      </c>
      <c r="M13" s="65">
        <f t="shared" si="0"/>
        <v>0</v>
      </c>
    </row>
    <row r="14" spans="1:13" hidden="1">
      <c r="A14" s="56" t="s">
        <v>5691</v>
      </c>
      <c r="B14" s="64">
        <f>COUNTIFS(Sheet1!F:F,'REPORTE GENERAL'!C$1,Sheet1!N:N,'REPORTE GENERAL'!B$3,Sheet1!H:H,'REPORTE GENERAL'!A14)</f>
        <v>0</v>
      </c>
      <c r="C14" s="64">
        <f>COUNTIFS(Sheet1!F:F,'REPORTE GENERAL'!C$1,Sheet1!N:N,'REPORTE GENERAL'!C$3,Sheet1!H:H,'REPORTE GENERAL'!A14)</f>
        <v>0</v>
      </c>
      <c r="D14" s="64">
        <f>COUNTIFS(Sheet1!F:F,'REPORTE GENERAL'!C$1,Sheet1!N:N,'REPORTE GENERAL'!D$3,Sheet1!H:H,'REPORTE GENERAL'!A14)</f>
        <v>0</v>
      </c>
      <c r="E14" s="64">
        <f>COUNTIFS(Sheet1!F:F,'REPORTE GENERAL'!C$1,Sheet1!N:N,'REPORTE GENERAL'!E$3,Sheet1!H:H,'REPORTE GENERAL'!A14)</f>
        <v>0</v>
      </c>
      <c r="F14" s="64">
        <f>COUNTIFS(Sheet1!F:F,'REPORTE GENERAL'!C$1,Sheet1!N:N,'REPORTE GENERAL'!F$3,Sheet1!H:H,'REPORTE GENERAL'!A14)</f>
        <v>0</v>
      </c>
      <c r="G14" s="64">
        <f>COUNTIFS(Sheet1!F:F,'REPORTE GENERAL'!C$1,Sheet1!N:N,'REPORTE GENERAL'!G$3,Sheet1!H:H,'REPORTE GENERAL'!A14)</f>
        <v>0</v>
      </c>
      <c r="H14" s="64">
        <f>COUNTIFS(Sheet1!F:F,'REPORTE GENERAL'!C$1,Sheet1!N:N,'REPORTE GENERAL'!H$3,Sheet1!H:H,'REPORTE GENERAL'!A14)</f>
        <v>0</v>
      </c>
      <c r="I14" s="64">
        <f>COUNTIFS(Sheet1!F:F,'REPORTE GENERAL'!C$1,Sheet1!N:N,'REPORTE GENERAL'!I$3,Sheet1!H:H,'REPORTE GENERAL'!A14)</f>
        <v>0</v>
      </c>
      <c r="J14" s="64">
        <f>COUNTIFS(Sheet1!F:F,'REPORTE GENERAL'!C$1,Sheet1!N:N,'REPORTE GENERAL'!J$3,Sheet1!H:H,'REPORTE GENERAL'!A14)</f>
        <v>0</v>
      </c>
      <c r="K14" s="64">
        <f>COUNTIFS(Sheet1!F:F,'REPORTE GENERAL'!C$1,Sheet1!N:N,'REPORTE GENERAL'!K$3,Sheet1!H:H,'REPORTE GENERAL'!A14)</f>
        <v>0</v>
      </c>
      <c r="L14" s="64">
        <f>COUNTIFS(Sheet1!F:F,'REPORTE GENERAL'!C$1,Sheet1!N:N,'REPORTE GENERAL'!L$3,Sheet1!H:H,'REPORTE GENERAL'!A14)</f>
        <v>0</v>
      </c>
      <c r="M14" s="65">
        <f t="shared" si="0"/>
        <v>0</v>
      </c>
    </row>
    <row r="15" spans="1:13">
      <c r="A15" s="57" t="s">
        <v>269</v>
      </c>
      <c r="B15" s="64">
        <f>COUNTIFS(Sheet1!F:F,'REPORTE GENERAL'!C$1,Sheet1!N:N,'REPORTE GENERAL'!B$3,Sheet1!H:H,'REPORTE GENERAL'!A15)</f>
        <v>1</v>
      </c>
      <c r="C15" s="64">
        <f>COUNTIFS(Sheet1!F:F,'REPORTE GENERAL'!C$1,Sheet1!N:N,'REPORTE GENERAL'!C$3,Sheet1!H:H,'REPORTE GENERAL'!A15)</f>
        <v>0</v>
      </c>
      <c r="D15" s="64">
        <f>COUNTIFS(Sheet1!F:F,'REPORTE GENERAL'!C$1,Sheet1!N:N,'REPORTE GENERAL'!D$3,Sheet1!H:H,'REPORTE GENERAL'!A15)</f>
        <v>1</v>
      </c>
      <c r="E15" s="64">
        <f>COUNTIFS(Sheet1!F:F,'REPORTE GENERAL'!C$1,Sheet1!N:N,'REPORTE GENERAL'!E$3,Sheet1!H:H,'REPORTE GENERAL'!A15)</f>
        <v>0</v>
      </c>
      <c r="F15" s="64">
        <f>COUNTIFS(Sheet1!F:F,'REPORTE GENERAL'!C$1,Sheet1!N:N,'REPORTE GENERAL'!F$3,Sheet1!H:H,'REPORTE GENERAL'!A15)</f>
        <v>1</v>
      </c>
      <c r="G15" s="64">
        <f>COUNTIFS(Sheet1!F:F,'REPORTE GENERAL'!C$1,Sheet1!N:N,'REPORTE GENERAL'!G$3,Sheet1!H:H,'REPORTE GENERAL'!A15)</f>
        <v>4</v>
      </c>
      <c r="H15" s="64">
        <f>COUNTIFS(Sheet1!F:F,'REPORTE GENERAL'!C$1,Sheet1!N:N,'REPORTE GENERAL'!H$3,Sheet1!H:H,'REPORTE GENERAL'!A15)</f>
        <v>1</v>
      </c>
      <c r="I15" s="64">
        <f>COUNTIFS(Sheet1!F:F,'REPORTE GENERAL'!C$1,Sheet1!N:N,'REPORTE GENERAL'!I$3,Sheet1!H:H,'REPORTE GENERAL'!A15)</f>
        <v>0</v>
      </c>
      <c r="J15" s="64">
        <f>COUNTIFS(Sheet1!F:F,'REPORTE GENERAL'!C$1,Sheet1!N:N,'REPORTE GENERAL'!J$3,Sheet1!H:H,'REPORTE GENERAL'!A15)</f>
        <v>0</v>
      </c>
      <c r="K15" s="64">
        <f>COUNTIFS(Sheet1!F:F,'REPORTE GENERAL'!C$1,Sheet1!N:N,'REPORTE GENERAL'!K$3,Sheet1!H:H,'REPORTE GENERAL'!A15)</f>
        <v>0</v>
      </c>
      <c r="L15" s="64">
        <f>COUNTIFS(Sheet1!F:F,'REPORTE GENERAL'!C$1,Sheet1!N:N,'REPORTE GENERAL'!L$3,Sheet1!H:H,'REPORTE GENERAL'!A15)</f>
        <v>0</v>
      </c>
      <c r="M15" s="65">
        <f t="shared" si="0"/>
        <v>8</v>
      </c>
    </row>
    <row r="16" spans="1:13">
      <c r="A16" s="57" t="s">
        <v>78</v>
      </c>
      <c r="B16" s="64">
        <f>COUNTIFS(Sheet1!F:F,'REPORTE GENERAL'!C$1,Sheet1!N:N,'REPORTE GENERAL'!B$3,Sheet1!H:H,'REPORTE GENERAL'!A16)</f>
        <v>1</v>
      </c>
      <c r="C16" s="64">
        <f>COUNTIFS(Sheet1!F:F,'REPORTE GENERAL'!C$1,Sheet1!N:N,'REPORTE GENERAL'!C$3,Sheet1!H:H,'REPORTE GENERAL'!A16)</f>
        <v>0</v>
      </c>
      <c r="D16" s="64">
        <f>COUNTIFS(Sheet1!F:F,'REPORTE GENERAL'!C$1,Sheet1!N:N,'REPORTE GENERAL'!D$3,Sheet1!H:H,'REPORTE GENERAL'!A16)</f>
        <v>0</v>
      </c>
      <c r="E16" s="64">
        <f>COUNTIFS(Sheet1!F:F,'REPORTE GENERAL'!C$1,Sheet1!N:N,'REPORTE GENERAL'!E$3,Sheet1!H:H,'REPORTE GENERAL'!A16)</f>
        <v>0</v>
      </c>
      <c r="F16" s="64">
        <f>COUNTIFS(Sheet1!F:F,'REPORTE GENERAL'!C$1,Sheet1!N:N,'REPORTE GENERAL'!F$3,Sheet1!H:H,'REPORTE GENERAL'!A16)</f>
        <v>0</v>
      </c>
      <c r="G16" s="64">
        <f>COUNTIFS(Sheet1!F:F,'REPORTE GENERAL'!C$1,Sheet1!N:N,'REPORTE GENERAL'!G$3,Sheet1!H:H,'REPORTE GENERAL'!A16)</f>
        <v>1</v>
      </c>
      <c r="H16" s="64">
        <f>COUNTIFS(Sheet1!F:F,'REPORTE GENERAL'!C$1,Sheet1!N:N,'REPORTE GENERAL'!H$3,Sheet1!H:H,'REPORTE GENERAL'!A16)</f>
        <v>0</v>
      </c>
      <c r="I16" s="64">
        <f>COUNTIFS(Sheet1!F:F,'REPORTE GENERAL'!C$1,Sheet1!N:N,'REPORTE GENERAL'!I$3,Sheet1!H:H,'REPORTE GENERAL'!A16)</f>
        <v>0</v>
      </c>
      <c r="J16" s="64">
        <f>COUNTIFS(Sheet1!F:F,'REPORTE GENERAL'!C$1,Sheet1!N:N,'REPORTE GENERAL'!J$3,Sheet1!H:H,'REPORTE GENERAL'!A16)</f>
        <v>0</v>
      </c>
      <c r="K16" s="64">
        <f>COUNTIFS(Sheet1!F:F,'REPORTE GENERAL'!C$1,Sheet1!N:N,'REPORTE GENERAL'!K$3,Sheet1!H:H,'REPORTE GENERAL'!A16)</f>
        <v>0</v>
      </c>
      <c r="L16" s="64">
        <f>COUNTIFS(Sheet1!F:F,'REPORTE GENERAL'!C$1,Sheet1!N:N,'REPORTE GENERAL'!L$3,Sheet1!H:H,'REPORTE GENERAL'!A16)</f>
        <v>0</v>
      </c>
      <c r="M16" s="65">
        <f t="shared" si="0"/>
        <v>2</v>
      </c>
    </row>
    <row r="17" spans="1:13">
      <c r="A17" s="57" t="s">
        <v>51</v>
      </c>
      <c r="B17" s="64">
        <f>COUNTIFS(Sheet1!F:F,'REPORTE GENERAL'!C$1,Sheet1!N:N,'REPORTE GENERAL'!B$3,Sheet1!H:H,'REPORTE GENERAL'!A17)</f>
        <v>0</v>
      </c>
      <c r="C17" s="64">
        <f>COUNTIFS(Sheet1!F:F,'REPORTE GENERAL'!C$1,Sheet1!N:N,'REPORTE GENERAL'!C$3,Sheet1!H:H,'REPORTE GENERAL'!A17)</f>
        <v>0</v>
      </c>
      <c r="D17" s="64">
        <f>COUNTIFS(Sheet1!F:F,'REPORTE GENERAL'!C$1,Sheet1!N:N,'REPORTE GENERAL'!D$3,Sheet1!H:H,'REPORTE GENERAL'!A17)</f>
        <v>0</v>
      </c>
      <c r="E17" s="64">
        <f>COUNTIFS(Sheet1!F:F,'REPORTE GENERAL'!C$1,Sheet1!N:N,'REPORTE GENERAL'!E$3,Sheet1!H:H,'REPORTE GENERAL'!A17)</f>
        <v>0</v>
      </c>
      <c r="F17" s="64">
        <f>COUNTIFS(Sheet1!F:F,'REPORTE GENERAL'!C$1,Sheet1!N:N,'REPORTE GENERAL'!F$3,Sheet1!H:H,'REPORTE GENERAL'!A17)</f>
        <v>0</v>
      </c>
      <c r="G17" s="64">
        <f>COUNTIFS(Sheet1!F:F,'REPORTE GENERAL'!C$1,Sheet1!N:N,'REPORTE GENERAL'!G$3,Sheet1!H:H,'REPORTE GENERAL'!A17)</f>
        <v>0</v>
      </c>
      <c r="H17" s="64">
        <f>COUNTIFS(Sheet1!F:F,'REPORTE GENERAL'!C$1,Sheet1!N:N,'REPORTE GENERAL'!H$3,Sheet1!H:H,'REPORTE GENERAL'!A17)</f>
        <v>0</v>
      </c>
      <c r="I17" s="64">
        <f>COUNTIFS(Sheet1!F:F,'REPORTE GENERAL'!C$1,Sheet1!N:N,'REPORTE GENERAL'!I$3,Sheet1!H:H,'REPORTE GENERAL'!A17)</f>
        <v>0</v>
      </c>
      <c r="J17" s="64">
        <f>COUNTIFS(Sheet1!F:F,'REPORTE GENERAL'!C$1,Sheet1!N:N,'REPORTE GENERAL'!J$3,Sheet1!H:H,'REPORTE GENERAL'!A17)</f>
        <v>0</v>
      </c>
      <c r="K17" s="64">
        <f>COUNTIFS(Sheet1!F:F,'REPORTE GENERAL'!C$1,Sheet1!N:N,'REPORTE GENERAL'!K$3,Sheet1!H:H,'REPORTE GENERAL'!A17)</f>
        <v>0</v>
      </c>
      <c r="L17" s="64">
        <f>COUNTIFS(Sheet1!F:F,'REPORTE GENERAL'!C$1,Sheet1!N:N,'REPORTE GENERAL'!L$3,Sheet1!H:H,'REPORTE GENERAL'!A17)</f>
        <v>0</v>
      </c>
      <c r="M17" s="65">
        <f t="shared" si="0"/>
        <v>0</v>
      </c>
    </row>
    <row r="18" spans="1:13">
      <c r="A18" s="57" t="s">
        <v>8381</v>
      </c>
      <c r="B18" s="64">
        <f>COUNTIFS(Sheet1!F:F,'REPORTE GENERAL'!C$1,Sheet1!N:N,'REPORTE GENERAL'!B$3,Sheet1!H:H,'REPORTE GENERAL'!A18)</f>
        <v>1</v>
      </c>
      <c r="C18" s="64">
        <f>COUNTIFS(Sheet1!F:F,'REPORTE GENERAL'!C$1,Sheet1!N:N,'REPORTE GENERAL'!C$3,Sheet1!H:H,'REPORTE GENERAL'!A18)</f>
        <v>1</v>
      </c>
      <c r="D18" s="64">
        <f>COUNTIFS(Sheet1!F:F,'REPORTE GENERAL'!C$1,Sheet1!N:N,'REPORTE GENERAL'!D$3,Sheet1!H:H,'REPORTE GENERAL'!A18)</f>
        <v>0</v>
      </c>
      <c r="E18" s="64">
        <f>COUNTIFS(Sheet1!F:F,'REPORTE GENERAL'!C$1,Sheet1!N:N,'REPORTE GENERAL'!E$3,Sheet1!H:H,'REPORTE GENERAL'!A18)</f>
        <v>0</v>
      </c>
      <c r="F18" s="64">
        <f>COUNTIFS(Sheet1!F:F,'REPORTE GENERAL'!C$1,Sheet1!N:N,'REPORTE GENERAL'!F$3,Sheet1!H:H,'REPORTE GENERAL'!A18)</f>
        <v>0</v>
      </c>
      <c r="G18" s="64">
        <f>COUNTIFS(Sheet1!F:F,'REPORTE GENERAL'!C$1,Sheet1!N:N,'REPORTE GENERAL'!G$3,Sheet1!H:H,'REPORTE GENERAL'!A18)</f>
        <v>3</v>
      </c>
      <c r="H18" s="64">
        <f>COUNTIFS(Sheet1!F:F,'REPORTE GENERAL'!C$1,Sheet1!N:N,'REPORTE GENERAL'!H$3,Sheet1!H:H,'REPORTE GENERAL'!A18)</f>
        <v>2</v>
      </c>
      <c r="I18" s="64">
        <f>COUNTIFS(Sheet1!F:F,'REPORTE GENERAL'!C$1,Sheet1!N:N,'REPORTE GENERAL'!I$3,Sheet1!H:H,'REPORTE GENERAL'!A18)</f>
        <v>0</v>
      </c>
      <c r="J18" s="64">
        <f>COUNTIFS(Sheet1!F:F,'REPORTE GENERAL'!C$1,Sheet1!N:N,'REPORTE GENERAL'!J$3,Sheet1!H:H,'REPORTE GENERAL'!A18)</f>
        <v>0</v>
      </c>
      <c r="K18" s="64">
        <f>COUNTIFS(Sheet1!F:F,'REPORTE GENERAL'!C$1,Sheet1!N:N,'REPORTE GENERAL'!K$3,Sheet1!H:H,'REPORTE GENERAL'!A18)</f>
        <v>0</v>
      </c>
      <c r="L18" s="64">
        <f>COUNTIFS(Sheet1!F:F,'REPORTE GENERAL'!C$1,Sheet1!N:N,'REPORTE GENERAL'!L$3,Sheet1!H:H,'REPORTE GENERAL'!A18)</f>
        <v>0</v>
      </c>
      <c r="M18" s="65">
        <f>SUM(B18:L18)</f>
        <v>7</v>
      </c>
    </row>
    <row r="19" spans="1:13">
      <c r="A19" s="57" t="s">
        <v>8028</v>
      </c>
      <c r="B19" s="64">
        <f>COUNTIFS(Sheet1!F:F,'REPORTE GENERAL'!C$1,Sheet1!N:N,'REPORTE GENERAL'!B$3,Sheet1!H:H,'REPORTE GENERAL'!A19)</f>
        <v>1</v>
      </c>
      <c r="C19" s="64">
        <f>COUNTIFS(Sheet1!F:F,'REPORTE GENERAL'!C$1,Sheet1!N:N,'REPORTE GENERAL'!C$3,Sheet1!H:H,'REPORTE GENERAL'!A19)</f>
        <v>1</v>
      </c>
      <c r="D19" s="64">
        <f>COUNTIFS(Sheet1!F:F,'REPORTE GENERAL'!C$1,Sheet1!N:N,'REPORTE GENERAL'!D$3,Sheet1!H:H,'REPORTE GENERAL'!A19)</f>
        <v>0</v>
      </c>
      <c r="E19" s="64">
        <f>COUNTIFS(Sheet1!F:F,'REPORTE GENERAL'!C$1,Sheet1!N:N,'REPORTE GENERAL'!E$3,Sheet1!H:H,'REPORTE GENERAL'!A19)</f>
        <v>0</v>
      </c>
      <c r="F19" s="64">
        <f>COUNTIFS(Sheet1!F:F,'REPORTE GENERAL'!C$1,Sheet1!N:N,'REPORTE GENERAL'!F$3,Sheet1!H:H,'REPORTE GENERAL'!A19)</f>
        <v>0</v>
      </c>
      <c r="G19" s="64">
        <f>COUNTIFS(Sheet1!F:F,'REPORTE GENERAL'!C$1,Sheet1!N:N,'REPORTE GENERAL'!G$3,Sheet1!H:H,'REPORTE GENERAL'!A19)</f>
        <v>1</v>
      </c>
      <c r="H19" s="64">
        <f>COUNTIFS(Sheet1!F:F,'REPORTE GENERAL'!C$1,Sheet1!N:N,'REPORTE GENERAL'!H$3,Sheet1!H:H,'REPORTE GENERAL'!A19)</f>
        <v>1</v>
      </c>
      <c r="I19" s="64">
        <f>COUNTIFS(Sheet1!F:F,'REPORTE GENERAL'!C$1,Sheet1!N:N,'REPORTE GENERAL'!I$3,Sheet1!H:H,'REPORTE GENERAL'!A19)</f>
        <v>0</v>
      </c>
      <c r="J19" s="64">
        <f>COUNTIFS(Sheet1!F:F,'REPORTE GENERAL'!C$1,Sheet1!N:N,'REPORTE GENERAL'!J$3,Sheet1!H:H,'REPORTE GENERAL'!A19)</f>
        <v>0</v>
      </c>
      <c r="K19" s="64">
        <f>COUNTIFS(Sheet1!F:F,'REPORTE GENERAL'!C$1,Sheet1!N:N,'REPORTE GENERAL'!K$3,Sheet1!H:H,'REPORTE GENERAL'!A19)</f>
        <v>2</v>
      </c>
      <c r="L19" s="64">
        <f>COUNTIFS(Sheet1!F:F,'REPORTE GENERAL'!C$1,Sheet1!N:N,'REPORTE GENERAL'!L$3,Sheet1!H:H,'REPORTE GENERAL'!A19)</f>
        <v>0</v>
      </c>
      <c r="M19" s="65">
        <f>SUM(B19:L19)</f>
        <v>6</v>
      </c>
    </row>
    <row r="20" spans="1:13">
      <c r="A20" s="57" t="s">
        <v>8297</v>
      </c>
      <c r="B20" s="64">
        <f>COUNTIFS(Sheet1!F:F,'REPORTE GENERAL'!C$1,Sheet1!N:N,'REPORTE GENERAL'!B$3,Sheet1!H:H,'REPORTE GENERAL'!A20)</f>
        <v>0</v>
      </c>
      <c r="C20" s="64">
        <f>COUNTIFS(Sheet1!F:F,'REPORTE GENERAL'!C$1,Sheet1!N:N,'REPORTE GENERAL'!C$3,Sheet1!H:H,'REPORTE GENERAL'!A20)</f>
        <v>0</v>
      </c>
      <c r="D20" s="64">
        <f>COUNTIFS(Sheet1!F:F,'REPORTE GENERAL'!C$1,Sheet1!N:N,'REPORTE GENERAL'!D$3,Sheet1!H:H,'REPORTE GENERAL'!A20)</f>
        <v>0</v>
      </c>
      <c r="E20" s="64">
        <f>COUNTIFS(Sheet1!F:F,'REPORTE GENERAL'!C$1,Sheet1!N:N,'REPORTE GENERAL'!E$3,Sheet1!H:H,'REPORTE GENERAL'!A20)</f>
        <v>0</v>
      </c>
      <c r="F20" s="64">
        <f>COUNTIFS(Sheet1!F:F,'REPORTE GENERAL'!C$1,Sheet1!N:N,'REPORTE GENERAL'!F$3,Sheet1!H:H,'REPORTE GENERAL'!A20)</f>
        <v>0</v>
      </c>
      <c r="G20" s="64">
        <f>COUNTIFS(Sheet1!F:F,'REPORTE GENERAL'!C$1,Sheet1!N:N,'REPORTE GENERAL'!G$3,Sheet1!H:H,'REPORTE GENERAL'!A20)</f>
        <v>0</v>
      </c>
      <c r="H20" s="64">
        <f>COUNTIFS(Sheet1!F:F,'REPORTE GENERAL'!C$1,Sheet1!N:N,'REPORTE GENERAL'!H$3,Sheet1!H:H,'REPORTE GENERAL'!A20)</f>
        <v>0</v>
      </c>
      <c r="I20" s="64">
        <f>COUNTIFS(Sheet1!F:F,'REPORTE GENERAL'!C$1,Sheet1!N:N,'REPORTE GENERAL'!I$3,Sheet1!H:H,'REPORTE GENERAL'!A20)</f>
        <v>0</v>
      </c>
      <c r="J20" s="64">
        <f>COUNTIFS(Sheet1!F:F,'REPORTE GENERAL'!C$1,Sheet1!N:N,'REPORTE GENERAL'!J$3,Sheet1!H:H,'REPORTE GENERAL'!A20)</f>
        <v>0</v>
      </c>
      <c r="K20" s="64">
        <f>COUNTIFS(Sheet1!F:F,'REPORTE GENERAL'!C$1,Sheet1!N:N,'REPORTE GENERAL'!K$3,Sheet1!H:H,'REPORTE GENERAL'!A20)</f>
        <v>0</v>
      </c>
      <c r="L20" s="64">
        <f>COUNTIFS(Sheet1!F:F,'REPORTE GENERAL'!C$1,Sheet1!N:N,'REPORTE GENERAL'!L$3,Sheet1!H:H,'REPORTE GENERAL'!A20)</f>
        <v>0</v>
      </c>
      <c r="M20" s="65">
        <f>SUM(B20:L20)</f>
        <v>0</v>
      </c>
    </row>
    <row r="21" spans="1:13">
      <c r="A21" s="57" t="s">
        <v>8238</v>
      </c>
      <c r="B21" s="64">
        <f>COUNTIFS(Sheet1!F:F,'REPORTE GENERAL'!C$1,Sheet1!N:N,'REPORTE GENERAL'!B$3,Sheet1!H:H,'REPORTE GENERAL'!A21)</f>
        <v>0</v>
      </c>
      <c r="C21" s="64">
        <f>COUNTIFS(Sheet1!F:F,'REPORTE GENERAL'!C$1,Sheet1!N:N,'REPORTE GENERAL'!C$3,Sheet1!H:H,'REPORTE GENERAL'!A21)</f>
        <v>0</v>
      </c>
      <c r="D21" s="64">
        <f>COUNTIFS(Sheet1!F:F,'REPORTE GENERAL'!C$1,Sheet1!N:N,'REPORTE GENERAL'!D$3,Sheet1!H:H,'REPORTE GENERAL'!A21)</f>
        <v>0</v>
      </c>
      <c r="E21" s="64">
        <f>COUNTIFS(Sheet1!F:F,'REPORTE GENERAL'!C$1,Sheet1!N:N,'REPORTE GENERAL'!E$3,Sheet1!H:H,'REPORTE GENERAL'!A21)</f>
        <v>0</v>
      </c>
      <c r="F21" s="64">
        <f>COUNTIFS(Sheet1!F:F,'REPORTE GENERAL'!C$1,Sheet1!N:N,'REPORTE GENERAL'!F$3,Sheet1!H:H,'REPORTE GENERAL'!A21)</f>
        <v>0</v>
      </c>
      <c r="G21" s="64">
        <f>COUNTIFS(Sheet1!F:F,'REPORTE GENERAL'!C$1,Sheet1!N:N,'REPORTE GENERAL'!G$3,Sheet1!H:H,'REPORTE GENERAL'!A21)</f>
        <v>0</v>
      </c>
      <c r="H21" s="64">
        <f>COUNTIFS(Sheet1!F:F,'REPORTE GENERAL'!C$1,Sheet1!N:N,'REPORTE GENERAL'!H$3,Sheet1!H:H,'REPORTE GENERAL'!A21)</f>
        <v>0</v>
      </c>
      <c r="I21" s="64">
        <f>COUNTIFS(Sheet1!F:F,'REPORTE GENERAL'!C$1,Sheet1!N:N,'REPORTE GENERAL'!I$3,Sheet1!H:H,'REPORTE GENERAL'!A21)</f>
        <v>0</v>
      </c>
      <c r="J21" s="64">
        <f>COUNTIFS(Sheet1!F:F,'REPORTE GENERAL'!C$1,Sheet1!N:N,'REPORTE GENERAL'!J$3,Sheet1!H:H,'REPORTE GENERAL'!A21)</f>
        <v>0</v>
      </c>
      <c r="K21" s="64">
        <f>COUNTIFS(Sheet1!F:F,'REPORTE GENERAL'!C$1,Sheet1!N:N,'REPORTE GENERAL'!K$3,Sheet1!H:H,'REPORTE GENERAL'!A21)</f>
        <v>0</v>
      </c>
      <c r="L21" s="64">
        <f>COUNTIFS(Sheet1!F:F,'REPORTE GENERAL'!C$1,Sheet1!N:N,'REPORTE GENERAL'!L$3,Sheet1!H:H,'REPORTE GENERAL'!A21)</f>
        <v>0</v>
      </c>
      <c r="M21" s="65">
        <f>SUM(B21:L21)</f>
        <v>0</v>
      </c>
    </row>
    <row r="22" spans="1:13">
      <c r="A22" s="57" t="s">
        <v>8261</v>
      </c>
      <c r="B22" s="64">
        <f>COUNTIFS(Sheet1!F:F,'REPORTE GENERAL'!C$1,Sheet1!N:N,'REPORTE GENERAL'!B$3,Sheet1!H:H,'REPORTE GENERAL'!A22)</f>
        <v>0</v>
      </c>
      <c r="C22" s="64">
        <f>COUNTIFS(Sheet1!F:F,'REPORTE GENERAL'!C$1,Sheet1!N:N,'REPORTE GENERAL'!C$3,Sheet1!H:H,'REPORTE GENERAL'!A22)</f>
        <v>0</v>
      </c>
      <c r="D22" s="64">
        <f>COUNTIFS(Sheet1!F:F,'REPORTE GENERAL'!C$1,Sheet1!N:N,'REPORTE GENERAL'!D$3,Sheet1!H:H,'REPORTE GENERAL'!A22)</f>
        <v>0</v>
      </c>
      <c r="E22" s="64">
        <f>COUNTIFS(Sheet1!F:F,'REPORTE GENERAL'!C$1,Sheet1!N:N,'REPORTE GENERAL'!E$3,Sheet1!H:H,'REPORTE GENERAL'!A22)</f>
        <v>0</v>
      </c>
      <c r="F22" s="64">
        <f>COUNTIFS(Sheet1!F:F,'REPORTE GENERAL'!C$1,Sheet1!N:N,'REPORTE GENERAL'!F$3,Sheet1!H:H,'REPORTE GENERAL'!A22)</f>
        <v>0</v>
      </c>
      <c r="G22" s="64">
        <f>COUNTIFS(Sheet1!F:F,'REPORTE GENERAL'!C$1,Sheet1!N:N,'REPORTE GENERAL'!G$3,Sheet1!H:H,'REPORTE GENERAL'!A22)</f>
        <v>0</v>
      </c>
      <c r="H22" s="64">
        <f>COUNTIFS(Sheet1!F:F,'REPORTE GENERAL'!C$1,Sheet1!N:N,'REPORTE GENERAL'!H$3,Sheet1!H:H,'REPORTE GENERAL'!A22)</f>
        <v>0</v>
      </c>
      <c r="I22" s="64">
        <f>COUNTIFS(Sheet1!F:F,'REPORTE GENERAL'!C$1,Sheet1!N:N,'REPORTE GENERAL'!I$3,Sheet1!H:H,'REPORTE GENERAL'!A22)</f>
        <v>0</v>
      </c>
      <c r="J22" s="64">
        <f>COUNTIFS(Sheet1!F:F,'REPORTE GENERAL'!C$1,Sheet1!N:N,'REPORTE GENERAL'!J$3,Sheet1!H:H,'REPORTE GENERAL'!A22)</f>
        <v>0</v>
      </c>
      <c r="K22" s="64">
        <f>COUNTIFS(Sheet1!F:F,'REPORTE GENERAL'!C$1,Sheet1!N:N,'REPORTE GENERAL'!K$3,Sheet1!H:H,'REPORTE GENERAL'!A22)</f>
        <v>0</v>
      </c>
      <c r="L22" s="64">
        <f>COUNTIFS(Sheet1!F:F,'REPORTE GENERAL'!C$1,Sheet1!N:N,'REPORTE GENERAL'!L$3,Sheet1!H:H,'REPORTE GENERAL'!A22)</f>
        <v>0</v>
      </c>
      <c r="M22" s="65">
        <f>SUM(B22:L22)</f>
        <v>0</v>
      </c>
    </row>
    <row r="23" spans="1:13">
      <c r="A23" s="57" t="s">
        <v>8253</v>
      </c>
      <c r="B23" s="64">
        <f>COUNTIFS(Sheet1!F:F,'REPORTE GENERAL'!C$1,Sheet1!N:N,'REPORTE GENERAL'!B$3,Sheet1!H:H,'REPORTE GENERAL'!A23)</f>
        <v>0</v>
      </c>
      <c r="C23" s="64">
        <f>COUNTIFS(Sheet1!F:F,'REPORTE GENERAL'!C$1,Sheet1!N:N,'REPORTE GENERAL'!C$3,Sheet1!H:H,'REPORTE GENERAL'!A23)</f>
        <v>0</v>
      </c>
      <c r="D23" s="64">
        <f>COUNTIFS(Sheet1!F:F,'REPORTE GENERAL'!C$1,Sheet1!N:N,'REPORTE GENERAL'!D$3,Sheet1!H:H,'REPORTE GENERAL'!A23)</f>
        <v>0</v>
      </c>
      <c r="E23" s="64">
        <f>COUNTIFS(Sheet1!F:F,'REPORTE GENERAL'!C$1,Sheet1!N:N,'REPORTE GENERAL'!E$3,Sheet1!H:H,'REPORTE GENERAL'!A23)</f>
        <v>0</v>
      </c>
      <c r="F23" s="64">
        <f>COUNTIFS(Sheet1!F:F,'REPORTE GENERAL'!C$1,Sheet1!N:N,'REPORTE GENERAL'!F$3,Sheet1!H:H,'REPORTE GENERAL'!A23)</f>
        <v>0</v>
      </c>
      <c r="G23" s="64">
        <f>COUNTIFS(Sheet1!F:F,'REPORTE GENERAL'!C$1,Sheet1!N:N,'REPORTE GENERAL'!G$3,Sheet1!H:H,'REPORTE GENERAL'!A23)</f>
        <v>0</v>
      </c>
      <c r="H23" s="64">
        <f>COUNTIFS(Sheet1!F:F,'REPORTE GENERAL'!C$1,Sheet1!N:N,'REPORTE GENERAL'!H$3,Sheet1!H:H,'REPORTE GENERAL'!A23)</f>
        <v>0</v>
      </c>
      <c r="I23" s="64">
        <f>COUNTIFS(Sheet1!F:F,'REPORTE GENERAL'!C$1,Sheet1!N:N,'REPORTE GENERAL'!I$3,Sheet1!H:H,'REPORTE GENERAL'!A23)</f>
        <v>0</v>
      </c>
      <c r="J23" s="64">
        <f>COUNTIFS(Sheet1!F:F,'REPORTE GENERAL'!C$1,Sheet1!N:N,'REPORTE GENERAL'!J$3,Sheet1!H:H,'REPORTE GENERAL'!A23)</f>
        <v>0</v>
      </c>
      <c r="K23" s="64">
        <f>COUNTIFS(Sheet1!F:F,'REPORTE GENERAL'!C$1,Sheet1!N:N,'REPORTE GENERAL'!K$3,Sheet1!H:H,'REPORTE GENERAL'!A23)</f>
        <v>0</v>
      </c>
      <c r="L23" s="64">
        <f>COUNTIFS(Sheet1!F:F,'REPORTE GENERAL'!C$1,Sheet1!N:N,'REPORTE GENERAL'!L$3,Sheet1!H:H,'REPORTE GENERAL'!A23)</f>
        <v>0</v>
      </c>
      <c r="M23" s="65">
        <f>SUM(B23:L23)</f>
        <v>0</v>
      </c>
    </row>
    <row r="24" spans="1:13">
      <c r="A24" s="57" t="s">
        <v>8721</v>
      </c>
      <c r="B24" s="64">
        <f>COUNTIFS(Sheet1!F:F,'REPORTE GENERAL'!C$1,Sheet1!N:N,'REPORTE GENERAL'!B$3,Sheet1!H:H,'REPORTE GENERAL'!A24)</f>
        <v>0</v>
      </c>
      <c r="C24" s="64">
        <f>COUNTIFS(Sheet1!F:F,'REPORTE GENERAL'!C$1,Sheet1!N:N,'REPORTE GENERAL'!C$3,Sheet1!H:H,'REPORTE GENERAL'!A24)</f>
        <v>0</v>
      </c>
      <c r="D24" s="64">
        <f>COUNTIFS(Sheet1!F:F,'REPORTE GENERAL'!C$1,Sheet1!N:N,'REPORTE GENERAL'!D$3,Sheet1!H:H,'REPORTE GENERAL'!A24)</f>
        <v>0</v>
      </c>
      <c r="E24" s="64">
        <f>COUNTIFS(Sheet1!F:F,'REPORTE GENERAL'!C$1,Sheet1!N:N,'REPORTE GENERAL'!E$3,Sheet1!H:H,'REPORTE GENERAL'!A24)</f>
        <v>0</v>
      </c>
      <c r="F24" s="64">
        <f>COUNTIFS(Sheet1!F:F,'REPORTE GENERAL'!C$1,Sheet1!N:N,'REPORTE GENERAL'!F$3,Sheet1!H:H,'REPORTE GENERAL'!A24)</f>
        <v>0</v>
      </c>
      <c r="G24" s="64">
        <f>COUNTIFS(Sheet1!F:F,'REPORTE GENERAL'!C$1,Sheet1!N:N,'REPORTE GENERAL'!G$3,Sheet1!H:H,'REPORTE GENERAL'!A24)</f>
        <v>0</v>
      </c>
      <c r="H24" s="64">
        <f>COUNTIFS(Sheet1!F:F,'REPORTE GENERAL'!C$1,Sheet1!N:N,'REPORTE GENERAL'!H$3,Sheet1!H:H,'REPORTE GENERAL'!A24)</f>
        <v>0</v>
      </c>
      <c r="I24" s="64">
        <f>COUNTIFS(Sheet1!F:F,'REPORTE GENERAL'!C$1,Sheet1!N:N,'REPORTE GENERAL'!I$3,Sheet1!H:H,'REPORTE GENERAL'!A24)</f>
        <v>0</v>
      </c>
      <c r="J24" s="64">
        <f>COUNTIFS(Sheet1!F:F,'REPORTE GENERAL'!C$1,Sheet1!N:N,'REPORTE GENERAL'!J$3,Sheet1!H:H,'REPORTE GENERAL'!A24)</f>
        <v>0</v>
      </c>
      <c r="K24" s="64">
        <f>COUNTIFS(Sheet1!F:F,'REPORTE GENERAL'!C$1,Sheet1!N:N,'REPORTE GENERAL'!K$3,Sheet1!H:H,'REPORTE GENERAL'!A24)</f>
        <v>0</v>
      </c>
      <c r="L24" s="64">
        <f>COUNTIFS(Sheet1!F:F,'REPORTE GENERAL'!C$1,Sheet1!N:N,'REPORTE GENERAL'!L$3,Sheet1!H:H,'REPORTE GENERAL'!A24)</f>
        <v>0</v>
      </c>
      <c r="M24" s="65">
        <f>SUM(B24:L24)</f>
        <v>0</v>
      </c>
    </row>
    <row r="25" spans="1:13">
      <c r="A25" s="57" t="s">
        <v>9991</v>
      </c>
      <c r="B25" s="64">
        <f>COUNTIFS(Sheet1!F:F,'REPORTE GENERAL'!C$1,Sheet1!N:N,'REPORTE GENERAL'!B$3,Sheet1!H:H,'REPORTE GENERAL'!A25)</f>
        <v>1</v>
      </c>
      <c r="C25" s="64">
        <f>COUNTIFS(Sheet1!F:F,'REPORTE GENERAL'!C$1,Sheet1!N:N,'REPORTE GENERAL'!C$3,Sheet1!H:H,'REPORTE GENERAL'!A25)</f>
        <v>0</v>
      </c>
      <c r="D25" s="64">
        <f>COUNTIFS(Sheet1!F:F,'REPORTE GENERAL'!C$1,Sheet1!N:N,'REPORTE GENERAL'!D$3,Sheet1!H:H,'REPORTE GENERAL'!A25)</f>
        <v>2</v>
      </c>
      <c r="E25" s="64">
        <f>COUNTIFS(Sheet1!F:F,'REPORTE GENERAL'!C$1,Sheet1!N:N,'REPORTE GENERAL'!E$3,Sheet1!H:H,'REPORTE GENERAL'!A25)</f>
        <v>0</v>
      </c>
      <c r="F25" s="64">
        <f>COUNTIFS(Sheet1!F:F,'REPORTE GENERAL'!C$1,Sheet1!N:N,'REPORTE GENERAL'!F$3,Sheet1!H:H,'REPORTE GENERAL'!A25)</f>
        <v>0</v>
      </c>
      <c r="G25" s="64">
        <f>COUNTIFS(Sheet1!F:F,'REPORTE GENERAL'!C$1,Sheet1!N:N,'REPORTE GENERAL'!G$3,Sheet1!H:H,'REPORTE GENERAL'!A25)</f>
        <v>3</v>
      </c>
      <c r="H25" s="64">
        <f>COUNTIFS(Sheet1!F:F,'REPORTE GENERAL'!C$1,Sheet1!N:N,'REPORTE GENERAL'!H$3,Sheet1!H:H,'REPORTE GENERAL'!A25)</f>
        <v>1</v>
      </c>
      <c r="I25" s="64">
        <f>COUNTIFS(Sheet1!F:F,'REPORTE GENERAL'!C$1,Sheet1!N:N,'REPORTE GENERAL'!I$3,Sheet1!H:H,'REPORTE GENERAL'!A25)</f>
        <v>0</v>
      </c>
      <c r="J25" s="64">
        <f>COUNTIFS(Sheet1!F:F,'REPORTE GENERAL'!C$1,Sheet1!N:N,'REPORTE GENERAL'!J$3,Sheet1!H:H,'REPORTE GENERAL'!A25)</f>
        <v>0</v>
      </c>
      <c r="K25" s="64">
        <f>COUNTIFS(Sheet1!F:F,'REPORTE GENERAL'!C$1,Sheet1!N:N,'REPORTE GENERAL'!K$3,Sheet1!H:H,'REPORTE GENERAL'!A25)</f>
        <v>0</v>
      </c>
      <c r="L25" s="64">
        <f>COUNTIFS(Sheet1!F:F,'REPORTE GENERAL'!C$1,Sheet1!N:N,'REPORTE GENERAL'!L$3,Sheet1!H:H,'REPORTE GENERAL'!A25)</f>
        <v>0</v>
      </c>
      <c r="M25" s="65">
        <f t="shared" ref="M25:M28" si="1">SUM(B25:L25)</f>
        <v>7</v>
      </c>
    </row>
    <row r="26" spans="1:13">
      <c r="A26" s="57" t="s">
        <v>9986</v>
      </c>
      <c r="B26" s="64">
        <f>COUNTIFS(Sheet1!F:F,'REPORTE GENERAL'!C$1,Sheet1!N:N,'REPORTE GENERAL'!B$3,Sheet1!H:H,'REPORTE GENERAL'!A26)</f>
        <v>0</v>
      </c>
      <c r="C26" s="64">
        <f>COUNTIFS(Sheet1!F:F,'REPORTE GENERAL'!C$1,Sheet1!N:N,'REPORTE GENERAL'!C$3,Sheet1!H:H,'REPORTE GENERAL'!A26)</f>
        <v>0</v>
      </c>
      <c r="D26" s="64">
        <f>COUNTIFS(Sheet1!F:F,'REPORTE GENERAL'!C$1,Sheet1!N:N,'REPORTE GENERAL'!D$3,Sheet1!H:H,'REPORTE GENERAL'!A26)</f>
        <v>0</v>
      </c>
      <c r="E26" s="64">
        <f>COUNTIFS(Sheet1!F:F,'REPORTE GENERAL'!C$1,Sheet1!N:N,'REPORTE GENERAL'!E$3,Sheet1!H:H,'REPORTE GENERAL'!A26)</f>
        <v>0</v>
      </c>
      <c r="F26" s="64">
        <f>COUNTIFS(Sheet1!F:F,'REPORTE GENERAL'!C$1,Sheet1!N:N,'REPORTE GENERAL'!F$3,Sheet1!H:H,'REPORTE GENERAL'!A26)</f>
        <v>0</v>
      </c>
      <c r="G26" s="64">
        <f>COUNTIFS(Sheet1!F:F,'REPORTE GENERAL'!C$1,Sheet1!N:N,'REPORTE GENERAL'!G$3,Sheet1!H:H,'REPORTE GENERAL'!A26)</f>
        <v>0</v>
      </c>
      <c r="H26" s="64">
        <f>COUNTIFS(Sheet1!F:F,'REPORTE GENERAL'!C$1,Sheet1!N:N,'REPORTE GENERAL'!H$3,Sheet1!H:H,'REPORTE GENERAL'!A26)</f>
        <v>0</v>
      </c>
      <c r="I26" s="64">
        <f>COUNTIFS(Sheet1!F:F,'REPORTE GENERAL'!C$1,Sheet1!N:N,'REPORTE GENERAL'!I$3,Sheet1!H:H,'REPORTE GENERAL'!A26)</f>
        <v>0</v>
      </c>
      <c r="J26" s="64">
        <f>COUNTIFS(Sheet1!F:F,'REPORTE GENERAL'!C$1,Sheet1!N:N,'REPORTE GENERAL'!J$3,Sheet1!H:H,'REPORTE GENERAL'!A26)</f>
        <v>0</v>
      </c>
      <c r="K26" s="64">
        <f>COUNTIFS(Sheet1!F:F,'REPORTE GENERAL'!C$1,Sheet1!N:N,'REPORTE GENERAL'!K$3,Sheet1!H:H,'REPORTE GENERAL'!A26)</f>
        <v>0</v>
      </c>
      <c r="L26" s="64">
        <f>COUNTIFS(Sheet1!F:F,'REPORTE GENERAL'!C$1,Sheet1!N:N,'REPORTE GENERAL'!L$3,Sheet1!H:H,'REPORTE GENERAL'!A26)</f>
        <v>0</v>
      </c>
      <c r="M26" s="65">
        <f t="shared" si="1"/>
        <v>0</v>
      </c>
    </row>
    <row r="27" spans="1:13">
      <c r="A27" s="57" t="s">
        <v>9960</v>
      </c>
      <c r="B27" s="64">
        <f>COUNTIFS(Sheet1!F:F,'REPORTE GENERAL'!C$1,Sheet1!N:N,'REPORTE GENERAL'!B$3,Sheet1!H:H,'REPORTE GENERAL'!A27)</f>
        <v>1</v>
      </c>
      <c r="C27" s="64">
        <f>COUNTIFS(Sheet1!F:F,'REPORTE GENERAL'!C$1,Sheet1!N:N,'REPORTE GENERAL'!C$3,Sheet1!H:H,'REPORTE GENERAL'!A27)</f>
        <v>0</v>
      </c>
      <c r="D27" s="64">
        <f>COUNTIFS(Sheet1!F:F,'REPORTE GENERAL'!C$1,Sheet1!N:N,'REPORTE GENERAL'!D$3,Sheet1!H:H,'REPORTE GENERAL'!A27)</f>
        <v>0</v>
      </c>
      <c r="E27" s="64">
        <f>COUNTIFS(Sheet1!F:F,'REPORTE GENERAL'!C$1,Sheet1!N:N,'REPORTE GENERAL'!E$3,Sheet1!H:H,'REPORTE GENERAL'!A27)</f>
        <v>0</v>
      </c>
      <c r="F27" s="64">
        <f>COUNTIFS(Sheet1!F:F,'REPORTE GENERAL'!C$1,Sheet1!N:N,'REPORTE GENERAL'!F$3,Sheet1!H:H,'REPORTE GENERAL'!A27)</f>
        <v>0</v>
      </c>
      <c r="G27" s="64">
        <f>COUNTIFS(Sheet1!F:F,'REPORTE GENERAL'!C$1,Sheet1!N:N,'REPORTE GENERAL'!G$3,Sheet1!H:H,'REPORTE GENERAL'!A27)</f>
        <v>0</v>
      </c>
      <c r="H27" s="64">
        <f>COUNTIFS(Sheet1!F:F,'REPORTE GENERAL'!C$1,Sheet1!N:N,'REPORTE GENERAL'!H$3,Sheet1!H:H,'REPORTE GENERAL'!A27)</f>
        <v>1</v>
      </c>
      <c r="I27" s="64">
        <f>COUNTIFS(Sheet1!F:F,'REPORTE GENERAL'!C$1,Sheet1!N:N,'REPORTE GENERAL'!I$3,Sheet1!H:H,'REPORTE GENERAL'!A27)</f>
        <v>0</v>
      </c>
      <c r="J27" s="64">
        <f>COUNTIFS(Sheet1!F:F,'REPORTE GENERAL'!C$1,Sheet1!N:N,'REPORTE GENERAL'!J$3,Sheet1!H:H,'REPORTE GENERAL'!A27)</f>
        <v>0</v>
      </c>
      <c r="K27" s="64">
        <f>COUNTIFS(Sheet1!F:F,'REPORTE GENERAL'!C$1,Sheet1!N:N,'REPORTE GENERAL'!K$3,Sheet1!H:H,'REPORTE GENERAL'!A27)</f>
        <v>0</v>
      </c>
      <c r="L27" s="64">
        <f>COUNTIFS(Sheet1!F:F,'REPORTE GENERAL'!C$1,Sheet1!N:N,'REPORTE GENERAL'!L$3,Sheet1!H:H,'REPORTE GENERAL'!A27)</f>
        <v>0</v>
      </c>
      <c r="M27" s="65">
        <f t="shared" si="1"/>
        <v>2</v>
      </c>
    </row>
    <row r="28" spans="1:13">
      <c r="A28" s="57" t="s">
        <v>10043</v>
      </c>
      <c r="B28" s="64">
        <f>COUNTIFS(Sheet1!F:F,'REPORTE GENERAL'!C$1,Sheet1!N:N,'REPORTE GENERAL'!B$3,Sheet1!H:H,'REPORTE GENERAL'!A28)</f>
        <v>0</v>
      </c>
      <c r="C28" s="64">
        <f>COUNTIFS(Sheet1!F:F,'REPORTE GENERAL'!C$1,Sheet1!N:N,'REPORTE GENERAL'!C$3,Sheet1!H:H,'REPORTE GENERAL'!A28)</f>
        <v>0</v>
      </c>
      <c r="D28" s="64">
        <f>COUNTIFS(Sheet1!F:F,'REPORTE GENERAL'!C$1,Sheet1!N:N,'REPORTE GENERAL'!D$3,Sheet1!H:H,'REPORTE GENERAL'!A28)</f>
        <v>0</v>
      </c>
      <c r="E28" s="64">
        <f>COUNTIFS(Sheet1!F:F,'REPORTE GENERAL'!C$1,Sheet1!N:N,'REPORTE GENERAL'!E$3,Sheet1!H:H,'REPORTE GENERAL'!A28)</f>
        <v>0</v>
      </c>
      <c r="F28" s="64">
        <f>COUNTIFS(Sheet1!F:F,'REPORTE GENERAL'!C$1,Sheet1!N:N,'REPORTE GENERAL'!F$3,Sheet1!H:H,'REPORTE GENERAL'!A28)</f>
        <v>0</v>
      </c>
      <c r="G28" s="64">
        <f>COUNTIFS(Sheet1!F:F,'REPORTE GENERAL'!C$1,Sheet1!N:N,'REPORTE GENERAL'!G$3,Sheet1!H:H,'REPORTE GENERAL'!A28)</f>
        <v>0</v>
      </c>
      <c r="H28" s="64">
        <f>COUNTIFS(Sheet1!F:F,'REPORTE GENERAL'!C$1,Sheet1!N:N,'REPORTE GENERAL'!H$3,Sheet1!H:H,'REPORTE GENERAL'!A28)</f>
        <v>0</v>
      </c>
      <c r="I28" s="64">
        <f>COUNTIFS(Sheet1!F:F,'REPORTE GENERAL'!C$1,Sheet1!N:N,'REPORTE GENERAL'!I$3,Sheet1!H:H,'REPORTE GENERAL'!A28)</f>
        <v>0</v>
      </c>
      <c r="J28" s="64">
        <f>COUNTIFS(Sheet1!F:F,'REPORTE GENERAL'!C$1,Sheet1!N:N,'REPORTE GENERAL'!J$3,Sheet1!H:H,'REPORTE GENERAL'!A28)</f>
        <v>0</v>
      </c>
      <c r="K28" s="64">
        <f>COUNTIFS(Sheet1!F:F,'REPORTE GENERAL'!C$1,Sheet1!N:N,'REPORTE GENERAL'!K$3,Sheet1!H:H,'REPORTE GENERAL'!A28)</f>
        <v>0</v>
      </c>
      <c r="L28" s="64">
        <f>COUNTIFS(Sheet1!F:F,'REPORTE GENERAL'!C$1,Sheet1!N:N,'REPORTE GENERAL'!L$3,Sheet1!H:H,'REPORTE GENERAL'!A28)</f>
        <v>0</v>
      </c>
      <c r="M28" s="65">
        <f t="shared" si="1"/>
        <v>0</v>
      </c>
    </row>
    <row r="29" spans="1:13">
      <c r="A29" s="58" t="s">
        <v>61</v>
      </c>
      <c r="B29" s="64">
        <f>COUNTIFS(Sheet1!F:F,'REPORTE GENERAL'!C$1,Sheet1!N:N,'REPORTE GENERAL'!B$3,Sheet1!H:H,'REPORTE GENERAL'!A29)</f>
        <v>0</v>
      </c>
      <c r="C29" s="64">
        <f>COUNTIFS(Sheet1!F:F,'REPORTE GENERAL'!C$1,Sheet1!N:N,'REPORTE GENERAL'!C$3,Sheet1!H:H,'REPORTE GENERAL'!A29)</f>
        <v>0</v>
      </c>
      <c r="D29" s="64">
        <f>COUNTIFS(Sheet1!F:F,'REPORTE GENERAL'!C$1,Sheet1!N:N,'REPORTE GENERAL'!D$3,Sheet1!H:H,'REPORTE GENERAL'!A29)</f>
        <v>0</v>
      </c>
      <c r="E29" s="64">
        <f>COUNTIFS(Sheet1!F:F,'REPORTE GENERAL'!C$1,Sheet1!N:N,'REPORTE GENERAL'!E$3,Sheet1!H:H,'REPORTE GENERAL'!A29)</f>
        <v>0</v>
      </c>
      <c r="F29" s="64">
        <f>COUNTIFS(Sheet1!F:F,'REPORTE GENERAL'!C$1,Sheet1!N:N,'REPORTE GENERAL'!F$3,Sheet1!H:H,'REPORTE GENERAL'!A29)</f>
        <v>0</v>
      </c>
      <c r="G29" s="64">
        <f>COUNTIFS(Sheet1!F:F,'REPORTE GENERAL'!C$1,Sheet1!N:N,'REPORTE GENERAL'!G$3,Sheet1!H:H,'REPORTE GENERAL'!A29)</f>
        <v>0</v>
      </c>
      <c r="H29" s="64">
        <f>COUNTIFS(Sheet1!F:F,'REPORTE GENERAL'!C$1,Sheet1!N:N,'REPORTE GENERAL'!H$3,Sheet1!H:H,'REPORTE GENERAL'!A29)</f>
        <v>0</v>
      </c>
      <c r="I29" s="64">
        <f>COUNTIFS(Sheet1!F:F,'REPORTE GENERAL'!C$1,Sheet1!N:N,'REPORTE GENERAL'!I$3,Sheet1!H:H,'REPORTE GENERAL'!A29)</f>
        <v>0</v>
      </c>
      <c r="J29" s="64">
        <f>COUNTIFS(Sheet1!F:F,'REPORTE GENERAL'!C$1,Sheet1!N:N,'REPORTE GENERAL'!J$3,Sheet1!H:H,'REPORTE GENERAL'!A29)</f>
        <v>0</v>
      </c>
      <c r="K29" s="64">
        <f>COUNTIFS(Sheet1!F:F,'REPORTE GENERAL'!C$1,Sheet1!N:N,'REPORTE GENERAL'!K$3,Sheet1!H:H,'REPORTE GENERAL'!A29)</f>
        <v>0</v>
      </c>
      <c r="L29" s="64">
        <f>COUNTIFS(Sheet1!F:F,'REPORTE GENERAL'!C$1,Sheet1!N:N,'REPORTE GENERAL'!L$3,Sheet1!H:H,'REPORTE GENERAL'!A29)</f>
        <v>0</v>
      </c>
      <c r="M29" s="65">
        <f t="shared" si="0"/>
        <v>0</v>
      </c>
    </row>
    <row r="30" spans="1:13">
      <c r="A30" s="59" t="s">
        <v>93</v>
      </c>
      <c r="B30" s="64">
        <f>COUNTIFS(Sheet1!F:F,'REPORTE GENERAL'!C$1,Sheet1!N:N,'REPORTE GENERAL'!B$3,Sheet1!H:H,'REPORTE GENERAL'!A30)</f>
        <v>0</v>
      </c>
      <c r="C30" s="64">
        <f>COUNTIFS(Sheet1!F:F,'REPORTE GENERAL'!C$1,Sheet1!N:N,'REPORTE GENERAL'!C$3,Sheet1!H:H,'REPORTE GENERAL'!A30)</f>
        <v>0</v>
      </c>
      <c r="D30" s="64">
        <f>COUNTIFS(Sheet1!F:F,'REPORTE GENERAL'!C$1,Sheet1!N:N,'REPORTE GENERAL'!D$3,Sheet1!H:H,'REPORTE GENERAL'!A30)</f>
        <v>0</v>
      </c>
      <c r="E30" s="64">
        <f>COUNTIFS(Sheet1!F:F,'REPORTE GENERAL'!C$1,Sheet1!N:N,'REPORTE GENERAL'!E$3,Sheet1!H:H,'REPORTE GENERAL'!A30)</f>
        <v>0</v>
      </c>
      <c r="F30" s="64">
        <f>COUNTIFS(Sheet1!F:F,'REPORTE GENERAL'!C$1,Sheet1!N:N,'REPORTE GENERAL'!F$3,Sheet1!H:H,'REPORTE GENERAL'!A30)</f>
        <v>0</v>
      </c>
      <c r="G30" s="64">
        <f>COUNTIFS(Sheet1!F:F,'REPORTE GENERAL'!C$1,Sheet1!N:N,'REPORTE GENERAL'!G$3,Sheet1!H:H,'REPORTE GENERAL'!A30)</f>
        <v>0</v>
      </c>
      <c r="H30" s="64">
        <f>COUNTIFS(Sheet1!F:F,'REPORTE GENERAL'!C$1,Sheet1!N:N,'REPORTE GENERAL'!H$3,Sheet1!H:H,'REPORTE GENERAL'!A30)</f>
        <v>0</v>
      </c>
      <c r="I30" s="64">
        <f>COUNTIFS(Sheet1!F:F,'REPORTE GENERAL'!C$1,Sheet1!N:N,'REPORTE GENERAL'!I$3,Sheet1!H:H,'REPORTE GENERAL'!A30)</f>
        <v>0</v>
      </c>
      <c r="J30" s="64">
        <f>COUNTIFS(Sheet1!F:F,'REPORTE GENERAL'!C$1,Sheet1!N:N,'REPORTE GENERAL'!J$3,Sheet1!H:H,'REPORTE GENERAL'!A30)</f>
        <v>0</v>
      </c>
      <c r="K30" s="64">
        <f>COUNTIFS(Sheet1!F:F,'REPORTE GENERAL'!C$1,Sheet1!N:N,'REPORTE GENERAL'!K$3,Sheet1!H:H,'REPORTE GENERAL'!A30)</f>
        <v>0</v>
      </c>
      <c r="L30" s="64">
        <f>COUNTIFS(Sheet1!F:F,'REPORTE GENERAL'!C$1,Sheet1!N:N,'REPORTE GENERAL'!L$3,Sheet1!H:H,'REPORTE GENERAL'!A30)</f>
        <v>0</v>
      </c>
      <c r="M30" s="65">
        <f t="shared" si="0"/>
        <v>0</v>
      </c>
    </row>
    <row r="31" spans="1:13">
      <c r="A31" s="100" t="s">
        <v>5135</v>
      </c>
      <c r="B31" s="64">
        <f>COUNTIFS(Sheet1!F:F,'REPORTE GENERAL'!C$1,Sheet1!N:N,'REPORTE GENERAL'!B$3,Sheet1!H:H,'REPORTE GENERAL'!A31)</f>
        <v>0</v>
      </c>
      <c r="C31" s="64">
        <f>COUNTIFS(Sheet1!F:F,'REPORTE GENERAL'!C$1,Sheet1!N:N,'REPORTE GENERAL'!C$3,Sheet1!H:H,'REPORTE GENERAL'!A31)</f>
        <v>0</v>
      </c>
      <c r="D31" s="64">
        <f>COUNTIFS(Sheet1!F:F,'REPORTE GENERAL'!C$1,Sheet1!N:N,'REPORTE GENERAL'!D$3,Sheet1!H:H,'REPORTE GENERAL'!A31)</f>
        <v>0</v>
      </c>
      <c r="E31" s="64">
        <f>COUNTIFS(Sheet1!F:F,'REPORTE GENERAL'!C$1,Sheet1!N:N,'REPORTE GENERAL'!E$3,Sheet1!H:H,'REPORTE GENERAL'!A31)</f>
        <v>0</v>
      </c>
      <c r="F31" s="64">
        <f>COUNTIFS(Sheet1!F:F,'REPORTE GENERAL'!C$1,Sheet1!N:N,'REPORTE GENERAL'!F$3,Sheet1!H:H,'REPORTE GENERAL'!A31)</f>
        <v>0</v>
      </c>
      <c r="G31" s="64">
        <f>COUNTIFS(Sheet1!F:F,'REPORTE GENERAL'!C$1,Sheet1!N:N,'REPORTE GENERAL'!G$3,Sheet1!H:H,'REPORTE GENERAL'!A31)</f>
        <v>0</v>
      </c>
      <c r="H31" s="64">
        <f>COUNTIFS(Sheet1!F:F,'REPORTE GENERAL'!C$1,Sheet1!N:N,'REPORTE GENERAL'!H$3,Sheet1!H:H,'REPORTE GENERAL'!A31)</f>
        <v>0</v>
      </c>
      <c r="I31" s="64">
        <f>COUNTIFS(Sheet1!F:F,'REPORTE GENERAL'!C$1,Sheet1!N:N,'REPORTE GENERAL'!I$3,Sheet1!H:H,'REPORTE GENERAL'!A31)</f>
        <v>0</v>
      </c>
      <c r="J31" s="64">
        <f>COUNTIFS(Sheet1!F:F,'REPORTE GENERAL'!C$1,Sheet1!N:N,'REPORTE GENERAL'!J$3,Sheet1!H:H,'REPORTE GENERAL'!A31)</f>
        <v>0</v>
      </c>
      <c r="K31" s="64">
        <f>COUNTIFS(Sheet1!F:F,'REPORTE GENERAL'!C$1,Sheet1!N:N,'REPORTE GENERAL'!K$3,Sheet1!H:H,'REPORTE GENERAL'!A31)</f>
        <v>0</v>
      </c>
      <c r="L31" s="64">
        <f>COUNTIFS(Sheet1!F:F,'REPORTE GENERAL'!C$1,Sheet1!N:N,'REPORTE GENERAL'!L$3,Sheet1!H:H,'REPORTE GENERAL'!A31)</f>
        <v>0</v>
      </c>
      <c r="M31" s="65">
        <f t="shared" si="0"/>
        <v>0</v>
      </c>
    </row>
    <row r="32" spans="1:13">
      <c r="A32" s="60" t="s">
        <v>103</v>
      </c>
      <c r="B32" s="64">
        <f>COUNTIFS(Sheet1!F:F,'REPORTE GENERAL'!C$1,Sheet1!N:N,'REPORTE GENERAL'!B$3,Sheet1!H:H,'REPORTE GENERAL'!A32)</f>
        <v>0</v>
      </c>
      <c r="C32" s="64">
        <f>COUNTIFS(Sheet1!F:F,'REPORTE GENERAL'!C$1,Sheet1!N:N,'REPORTE GENERAL'!C$3,Sheet1!H:H,'REPORTE GENERAL'!A32)</f>
        <v>0</v>
      </c>
      <c r="D32" s="64">
        <f>COUNTIFS(Sheet1!F:F,'REPORTE GENERAL'!C$1,Sheet1!N:N,'REPORTE GENERAL'!D$3,Sheet1!H:H,'REPORTE GENERAL'!A32)</f>
        <v>0</v>
      </c>
      <c r="E32" s="64">
        <f>COUNTIFS(Sheet1!F:F,'REPORTE GENERAL'!C$1,Sheet1!N:N,'REPORTE GENERAL'!E$3,Sheet1!H:H,'REPORTE GENERAL'!A32)</f>
        <v>0</v>
      </c>
      <c r="F32" s="64">
        <f>COUNTIFS(Sheet1!F:F,'REPORTE GENERAL'!C$1,Sheet1!N:N,'REPORTE GENERAL'!F$3,Sheet1!H:H,'REPORTE GENERAL'!A32)</f>
        <v>0</v>
      </c>
      <c r="G32" s="64">
        <f>COUNTIFS(Sheet1!F:F,'REPORTE GENERAL'!C$1,Sheet1!N:N,'REPORTE GENERAL'!G$3,Sheet1!H:H,'REPORTE GENERAL'!A32)</f>
        <v>0</v>
      </c>
      <c r="H32" s="64">
        <f>COUNTIFS(Sheet1!F:F,'REPORTE GENERAL'!C$1,Sheet1!N:N,'REPORTE GENERAL'!H$3,Sheet1!H:H,'REPORTE GENERAL'!A32)</f>
        <v>1</v>
      </c>
      <c r="I32" s="64">
        <f>COUNTIFS(Sheet1!F:F,'REPORTE GENERAL'!C$1,Sheet1!N:N,'REPORTE GENERAL'!I$3,Sheet1!H:H,'REPORTE GENERAL'!A32)</f>
        <v>0</v>
      </c>
      <c r="J32" s="64">
        <f>COUNTIFS(Sheet1!F:F,'REPORTE GENERAL'!C$1,Sheet1!N:N,'REPORTE GENERAL'!J$3,Sheet1!H:H,'REPORTE GENERAL'!A32)</f>
        <v>0</v>
      </c>
      <c r="K32" s="64">
        <f>COUNTIFS(Sheet1!F:F,'REPORTE GENERAL'!C$1,Sheet1!N:N,'REPORTE GENERAL'!K$3,Sheet1!H:H,'REPORTE GENERAL'!A32)</f>
        <v>0</v>
      </c>
      <c r="L32" s="64">
        <f>COUNTIFS(Sheet1!F:F,'REPORTE GENERAL'!C$1,Sheet1!N:N,'REPORTE GENERAL'!L$3,Sheet1!H:H,'REPORTE GENERAL'!A32)</f>
        <v>0</v>
      </c>
      <c r="M32" s="65">
        <f>SUM(B32:L32)</f>
        <v>1</v>
      </c>
    </row>
    <row r="33" spans="1:13">
      <c r="A33" s="60" t="s">
        <v>90</v>
      </c>
      <c r="B33" s="64">
        <f>COUNTIFS(Sheet1!F:F,'REPORTE GENERAL'!C$1,Sheet1!N:N,'REPORTE GENERAL'!B$3,Sheet1!H:H,'REPORTE GENERAL'!A33)</f>
        <v>0</v>
      </c>
      <c r="C33" s="64">
        <f>COUNTIFS(Sheet1!F:F,'REPORTE GENERAL'!C$1,Sheet1!N:N,'REPORTE GENERAL'!C$3,Sheet1!H:H,'REPORTE GENERAL'!A33)</f>
        <v>0</v>
      </c>
      <c r="D33" s="64">
        <f>COUNTIFS(Sheet1!F:F,'REPORTE GENERAL'!C$1,Sheet1!N:N,'REPORTE GENERAL'!D$3,Sheet1!H:H,'REPORTE GENERAL'!A33)</f>
        <v>0</v>
      </c>
      <c r="E33" s="64">
        <f>COUNTIFS(Sheet1!F:F,'REPORTE GENERAL'!C$1,Sheet1!N:N,'REPORTE GENERAL'!E$3,Sheet1!H:H,'REPORTE GENERAL'!A33)</f>
        <v>0</v>
      </c>
      <c r="F33" s="64">
        <f>COUNTIFS(Sheet1!F:F,'REPORTE GENERAL'!C$1,Sheet1!N:N,'REPORTE GENERAL'!F$3,Sheet1!H:H,'REPORTE GENERAL'!A33)</f>
        <v>0</v>
      </c>
      <c r="G33" s="64">
        <f>COUNTIFS(Sheet1!F:F,'REPORTE GENERAL'!C$1,Sheet1!N:N,'REPORTE GENERAL'!G$3,Sheet1!H:H,'REPORTE GENERAL'!A33)</f>
        <v>0</v>
      </c>
      <c r="H33" s="64">
        <f>COUNTIFS(Sheet1!F:F,'REPORTE GENERAL'!C$1,Sheet1!N:N,'REPORTE GENERAL'!H$3,Sheet1!H:H,'REPORTE GENERAL'!A33)</f>
        <v>0</v>
      </c>
      <c r="I33" s="64">
        <f>COUNTIFS(Sheet1!F:F,'REPORTE GENERAL'!C$1,Sheet1!N:N,'REPORTE GENERAL'!I$3,Sheet1!H:H,'REPORTE GENERAL'!A33)</f>
        <v>0</v>
      </c>
      <c r="J33" s="64">
        <f>COUNTIFS(Sheet1!F:F,'REPORTE GENERAL'!C$1,Sheet1!N:N,'REPORTE GENERAL'!J$3,Sheet1!H:H,'REPORTE GENERAL'!A33)</f>
        <v>0</v>
      </c>
      <c r="K33" s="64">
        <f>COUNTIFS(Sheet1!F:F,'REPORTE GENERAL'!C$1,Sheet1!N:N,'REPORTE GENERAL'!K$3,Sheet1!H:H,'REPORTE GENERAL'!A33)</f>
        <v>0</v>
      </c>
      <c r="L33" s="64">
        <f>COUNTIFS(Sheet1!F:F,'REPORTE GENERAL'!C$1,Sheet1!N:N,'REPORTE GENERAL'!L$3,Sheet1!H:H,'REPORTE GENERAL'!A33)</f>
        <v>0</v>
      </c>
      <c r="M33" s="65">
        <f>SUM(B33:L33)</f>
        <v>0</v>
      </c>
    </row>
    <row r="34" spans="1:13">
      <c r="A34" s="61" t="s">
        <v>1625</v>
      </c>
      <c r="B34" s="64">
        <f>COUNTIFS(Sheet1!F:F,'REPORTE GENERAL'!C$1,Sheet1!N:N,'REPORTE GENERAL'!B$3,Sheet1!H:H,'REPORTE GENERAL'!A34)</f>
        <v>0</v>
      </c>
      <c r="C34" s="64">
        <f>COUNTIFS(Sheet1!F:F,'REPORTE GENERAL'!C$1,Sheet1!N:N,'REPORTE GENERAL'!C$3,Sheet1!H:H,'REPORTE GENERAL'!A34)</f>
        <v>2</v>
      </c>
      <c r="D34" s="64">
        <f>COUNTIFS(Sheet1!F:F,'REPORTE GENERAL'!C$1,Sheet1!N:N,'REPORTE GENERAL'!D$3,Sheet1!H:H,'REPORTE GENERAL'!A34)</f>
        <v>0</v>
      </c>
      <c r="E34" s="64">
        <f>COUNTIFS(Sheet1!F:F,'REPORTE GENERAL'!C$1,Sheet1!N:N,'REPORTE GENERAL'!E$3,Sheet1!H:H,'REPORTE GENERAL'!A34)</f>
        <v>0</v>
      </c>
      <c r="F34" s="64">
        <f>COUNTIFS(Sheet1!F:F,'REPORTE GENERAL'!C$1,Sheet1!N:N,'REPORTE GENERAL'!F$3,Sheet1!H:H,'REPORTE GENERAL'!A34)</f>
        <v>0</v>
      </c>
      <c r="G34" s="64">
        <f>COUNTIFS(Sheet1!F:F,'REPORTE GENERAL'!C$1,Sheet1!N:N,'REPORTE GENERAL'!G$3,Sheet1!H:H,'REPORTE GENERAL'!A34)</f>
        <v>4</v>
      </c>
      <c r="H34" s="64">
        <f>COUNTIFS(Sheet1!F:F,'REPORTE GENERAL'!C$1,Sheet1!N:N,'REPORTE GENERAL'!H$3,Sheet1!H:H,'REPORTE GENERAL'!A34)</f>
        <v>0</v>
      </c>
      <c r="I34" s="64">
        <f>COUNTIFS(Sheet1!F:F,'REPORTE GENERAL'!C$1,Sheet1!N:N,'REPORTE GENERAL'!I$3,Sheet1!H:H,'REPORTE GENERAL'!A34)</f>
        <v>0</v>
      </c>
      <c r="J34" s="64">
        <f>COUNTIFS(Sheet1!F:F,'REPORTE GENERAL'!C$1,Sheet1!N:N,'REPORTE GENERAL'!J$3,Sheet1!H:H,'REPORTE GENERAL'!A34)</f>
        <v>0</v>
      </c>
      <c r="K34" s="64">
        <f>COUNTIFS(Sheet1!F:F,'REPORTE GENERAL'!C$1,Sheet1!N:N,'REPORTE GENERAL'!K$3,Sheet1!H:H,'REPORTE GENERAL'!A34)</f>
        <v>0</v>
      </c>
      <c r="L34" s="64">
        <f>COUNTIFS(Sheet1!F:F,'REPORTE GENERAL'!C$1,Sheet1!N:N,'REPORTE GENERAL'!L$3,Sheet1!H:H,'REPORTE GENERAL'!A34)</f>
        <v>0</v>
      </c>
      <c r="M34" s="65">
        <f t="shared" si="0"/>
        <v>6</v>
      </c>
    </row>
    <row r="35" spans="1:13">
      <c r="A35" s="61" t="s">
        <v>1629</v>
      </c>
      <c r="B35" s="64">
        <f>COUNTIFS(Sheet1!F:F,'REPORTE GENERAL'!C$1,Sheet1!N:N,'REPORTE GENERAL'!B$3,Sheet1!H:H,'REPORTE GENERAL'!A35)</f>
        <v>0</v>
      </c>
      <c r="C35" s="64">
        <f>COUNTIFS(Sheet1!F:F,'REPORTE GENERAL'!C$1,Sheet1!N:N,'REPORTE GENERAL'!C$3,Sheet1!H:H,'REPORTE GENERAL'!A35)</f>
        <v>0</v>
      </c>
      <c r="D35" s="64">
        <f>COUNTIFS(Sheet1!F:F,'REPORTE GENERAL'!C$1,Sheet1!N:N,'REPORTE GENERAL'!D$3,Sheet1!H:H,'REPORTE GENERAL'!A35)</f>
        <v>0</v>
      </c>
      <c r="E35" s="64">
        <f>COUNTIFS(Sheet1!F:F,'REPORTE GENERAL'!C$1,Sheet1!N:N,'REPORTE GENERAL'!E$3,Sheet1!H:H,'REPORTE GENERAL'!A35)</f>
        <v>0</v>
      </c>
      <c r="F35" s="64">
        <f>COUNTIFS(Sheet1!F:F,'REPORTE GENERAL'!C$1,Sheet1!N:N,'REPORTE GENERAL'!F$3,Sheet1!H:H,'REPORTE GENERAL'!A35)</f>
        <v>0</v>
      </c>
      <c r="G35" s="64">
        <f>COUNTIFS(Sheet1!F:F,'REPORTE GENERAL'!C$1,Sheet1!N:N,'REPORTE GENERAL'!G$3,Sheet1!H:H,'REPORTE GENERAL'!A35)</f>
        <v>0</v>
      </c>
      <c r="H35" s="64">
        <f>COUNTIFS(Sheet1!F:F,'REPORTE GENERAL'!C$1,Sheet1!N:N,'REPORTE GENERAL'!H$3,Sheet1!H:H,'REPORTE GENERAL'!A35)</f>
        <v>0</v>
      </c>
      <c r="I35" s="64">
        <f>COUNTIFS(Sheet1!F:F,'REPORTE GENERAL'!C$1,Sheet1!N:N,'REPORTE GENERAL'!I$3,Sheet1!H:H,'REPORTE GENERAL'!A35)</f>
        <v>0</v>
      </c>
      <c r="J35" s="64">
        <f>COUNTIFS(Sheet1!F:F,'REPORTE GENERAL'!C$1,Sheet1!N:N,'REPORTE GENERAL'!J$3,Sheet1!H:H,'REPORTE GENERAL'!A35)</f>
        <v>0</v>
      </c>
      <c r="K35" s="64">
        <f>COUNTIFS(Sheet1!F:F,'REPORTE GENERAL'!C$1,Sheet1!N:N,'REPORTE GENERAL'!K$3,Sheet1!H:H,'REPORTE GENERAL'!A35)</f>
        <v>0</v>
      </c>
      <c r="L35" s="64">
        <f>COUNTIFS(Sheet1!F:F,'REPORTE GENERAL'!C$1,Sheet1!N:N,'REPORTE GENERAL'!L$3,Sheet1!H:H,'REPORTE GENERAL'!A35)</f>
        <v>0</v>
      </c>
      <c r="M35" s="65">
        <f t="shared" si="0"/>
        <v>0</v>
      </c>
    </row>
    <row r="36" spans="1:13">
      <c r="A36" s="61" t="s">
        <v>1957</v>
      </c>
      <c r="B36" s="64">
        <f>COUNTIFS(Sheet1!F:F,'REPORTE GENERAL'!C$1,Sheet1!N:N,'REPORTE GENERAL'!B$3,Sheet1!H:H,'REPORTE GENERAL'!A36)</f>
        <v>0</v>
      </c>
      <c r="C36" s="64">
        <f>COUNTIFS(Sheet1!F:F,'REPORTE GENERAL'!C$1,Sheet1!N:N,'REPORTE GENERAL'!C$3,Sheet1!H:H,'REPORTE GENERAL'!A36)</f>
        <v>0</v>
      </c>
      <c r="D36" s="64">
        <f>COUNTIFS(Sheet1!F:F,'REPORTE GENERAL'!C$1,Sheet1!N:N,'REPORTE GENERAL'!D$3,Sheet1!H:H,'REPORTE GENERAL'!A36)</f>
        <v>0</v>
      </c>
      <c r="E36" s="64">
        <f>COUNTIFS(Sheet1!F:F,'REPORTE GENERAL'!C$1,Sheet1!N:N,'REPORTE GENERAL'!E$3,Sheet1!H:H,'REPORTE GENERAL'!A36)</f>
        <v>0</v>
      </c>
      <c r="F36" s="64">
        <f>COUNTIFS(Sheet1!F:F,'REPORTE GENERAL'!C$1,Sheet1!N:N,'REPORTE GENERAL'!F$3,Sheet1!H:H,'REPORTE GENERAL'!A36)</f>
        <v>0</v>
      </c>
      <c r="G36" s="64">
        <f>COUNTIFS(Sheet1!F:F,'REPORTE GENERAL'!C$1,Sheet1!N:N,'REPORTE GENERAL'!G$3,Sheet1!H:H,'REPORTE GENERAL'!A36)</f>
        <v>0</v>
      </c>
      <c r="H36" s="64">
        <f>COUNTIFS(Sheet1!F:F,'REPORTE GENERAL'!C$1,Sheet1!N:N,'REPORTE GENERAL'!H$3,Sheet1!H:H,'REPORTE GENERAL'!A36)</f>
        <v>0</v>
      </c>
      <c r="I36" s="64">
        <f>COUNTIFS(Sheet1!F:F,'REPORTE GENERAL'!C$1,Sheet1!N:N,'REPORTE GENERAL'!I$3,Sheet1!H:H,'REPORTE GENERAL'!A36)</f>
        <v>0</v>
      </c>
      <c r="J36" s="64">
        <f>COUNTIFS(Sheet1!F:F,'REPORTE GENERAL'!C$1,Sheet1!N:N,'REPORTE GENERAL'!J$3,Sheet1!H:H,'REPORTE GENERAL'!A36)</f>
        <v>0</v>
      </c>
      <c r="K36" s="64">
        <f>COUNTIFS(Sheet1!F:F,'REPORTE GENERAL'!C$1,Sheet1!N:N,'REPORTE GENERAL'!K$3,Sheet1!H:H,'REPORTE GENERAL'!A36)</f>
        <v>0</v>
      </c>
      <c r="L36" s="64">
        <f>COUNTIFS(Sheet1!F:F,'REPORTE GENERAL'!C$1,Sheet1!N:N,'REPORTE GENERAL'!L$3,Sheet1!H:H,'REPORTE GENERAL'!A36)</f>
        <v>0</v>
      </c>
      <c r="M36" s="65">
        <f t="shared" si="0"/>
        <v>0</v>
      </c>
    </row>
    <row r="37" spans="1:13">
      <c r="A37" s="61" t="s">
        <v>2908</v>
      </c>
      <c r="B37" s="64">
        <f>COUNTIFS(Sheet1!F:F,'REPORTE GENERAL'!C$1,Sheet1!N:N,'REPORTE GENERAL'!B$3,Sheet1!H:H,'REPORTE GENERAL'!A37)</f>
        <v>0</v>
      </c>
      <c r="C37" s="64">
        <f>COUNTIFS(Sheet1!F:F,'REPORTE GENERAL'!C$1,Sheet1!N:N,'REPORTE GENERAL'!C$3,Sheet1!H:H,'REPORTE GENERAL'!A37)</f>
        <v>0</v>
      </c>
      <c r="D37" s="64">
        <f>COUNTIFS(Sheet1!F:F,'REPORTE GENERAL'!C$1,Sheet1!N:N,'REPORTE GENERAL'!D$3,Sheet1!H:H,'REPORTE GENERAL'!A37)</f>
        <v>0</v>
      </c>
      <c r="E37" s="64">
        <f>COUNTIFS(Sheet1!F:F,'REPORTE GENERAL'!C$1,Sheet1!N:N,'REPORTE GENERAL'!E$3,Sheet1!H:H,'REPORTE GENERAL'!A37)</f>
        <v>0</v>
      </c>
      <c r="F37" s="64">
        <f>COUNTIFS(Sheet1!F:F,'REPORTE GENERAL'!C$1,Sheet1!N:N,'REPORTE GENERAL'!F$3,Sheet1!H:H,'REPORTE GENERAL'!A37)</f>
        <v>0</v>
      </c>
      <c r="G37" s="64">
        <f>COUNTIFS(Sheet1!F:F,'REPORTE GENERAL'!C$1,Sheet1!N:N,'REPORTE GENERAL'!G$3,Sheet1!H:H,'REPORTE GENERAL'!A37)</f>
        <v>0</v>
      </c>
      <c r="H37" s="64">
        <f>COUNTIFS(Sheet1!F:F,'REPORTE GENERAL'!C$1,Sheet1!N:N,'REPORTE GENERAL'!H$3,Sheet1!H:H,'REPORTE GENERAL'!A37)</f>
        <v>0</v>
      </c>
      <c r="I37" s="64">
        <f>COUNTIFS(Sheet1!F:F,'REPORTE GENERAL'!C$1,Sheet1!N:N,'REPORTE GENERAL'!I$3,Sheet1!H:H,'REPORTE GENERAL'!A37)</f>
        <v>0</v>
      </c>
      <c r="J37" s="64">
        <f>COUNTIFS(Sheet1!F:F,'REPORTE GENERAL'!C$1,Sheet1!N:N,'REPORTE GENERAL'!J$3,Sheet1!H:H,'REPORTE GENERAL'!A37)</f>
        <v>0</v>
      </c>
      <c r="K37" s="64">
        <f>COUNTIFS(Sheet1!F:F,'REPORTE GENERAL'!C$1,Sheet1!N:N,'REPORTE GENERAL'!K$3,Sheet1!H:H,'REPORTE GENERAL'!A37)</f>
        <v>0</v>
      </c>
      <c r="L37" s="64">
        <f>COUNTIFS(Sheet1!F:F,'REPORTE GENERAL'!C$1,Sheet1!N:N,'REPORTE GENERAL'!L$3,Sheet1!H:H,'REPORTE GENERAL'!A37)</f>
        <v>0</v>
      </c>
      <c r="M37" s="65">
        <f t="shared" si="0"/>
        <v>0</v>
      </c>
    </row>
    <row r="38" spans="1:13">
      <c r="A38" s="55" t="s">
        <v>11521</v>
      </c>
      <c r="B38" s="65">
        <f>SUM(B5:B37)</f>
        <v>6</v>
      </c>
      <c r="C38" s="65">
        <f>SUM(C5:C37)</f>
        <v>4</v>
      </c>
      <c r="D38" s="65">
        <f>SUM(D5:D37)</f>
        <v>3</v>
      </c>
      <c r="E38" s="65">
        <f>SUM(E5:E37)</f>
        <v>0</v>
      </c>
      <c r="F38" s="65">
        <f>SUM(F5:F37)</f>
        <v>1</v>
      </c>
      <c r="G38" s="65">
        <f>SUM(G5:G37)</f>
        <v>16</v>
      </c>
      <c r="H38" s="65">
        <f>SUM(H5:H37)</f>
        <v>7</v>
      </c>
      <c r="I38" s="65">
        <f>SUM(I5:I37)</f>
        <v>0</v>
      </c>
      <c r="J38" s="65">
        <f>SUM(J5:J37)</f>
        <v>0</v>
      </c>
      <c r="K38" s="65">
        <f>SUM(K5:K37)</f>
        <v>2</v>
      </c>
      <c r="L38" s="65">
        <f>SUM(L5:L37)</f>
        <v>0</v>
      </c>
      <c r="M38" s="65">
        <f>SUM(M4:M37)</f>
        <v>39</v>
      </c>
    </row>
  </sheetData>
  <pageMargins left="0.7" right="0.7" top="0.75" bottom="0.75" header="0.3" footer="0.3"/>
  <pageSetup fitToWidth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A3978D-6FEE-4C87-A1F6-DC3D73C1DCC1}">
          <x14:formula1>
            <xm:f>LISTA!$A$1:$A$12</xm:f>
          </x14:formula1>
          <xm:sqref>L3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0BD4-E71B-4443-9178-6F59D9EFBD0A}">
  <dimension ref="B2:H171"/>
  <sheetViews>
    <sheetView topLeftCell="A88" workbookViewId="0">
      <selection activeCell="H111" sqref="H111"/>
    </sheetView>
  </sheetViews>
  <sheetFormatPr defaultRowHeight="15"/>
  <cols>
    <col min="2" max="2" width="12.85546875" style="77" customWidth="1"/>
    <col min="3" max="3" width="16.7109375" style="105" customWidth="1"/>
    <col min="4" max="4" width="24" style="77" customWidth="1"/>
    <col min="5" max="5" width="13.7109375" style="77" customWidth="1"/>
    <col min="6" max="6" width="11.7109375" style="29" customWidth="1"/>
    <col min="7" max="7" width="16.28515625" style="104" bestFit="1" customWidth="1"/>
    <col min="14" max="14" width="13.85546875" bestFit="1" customWidth="1"/>
    <col min="16" max="16" width="10.42578125" bestFit="1" customWidth="1"/>
  </cols>
  <sheetData>
    <row r="2" spans="2:8">
      <c r="B2" s="77" t="s">
        <v>11520</v>
      </c>
      <c r="C2" s="105" t="s">
        <v>9</v>
      </c>
      <c r="D2" s="77" t="s">
        <v>10</v>
      </c>
      <c r="E2" s="77" t="s">
        <v>11</v>
      </c>
      <c r="F2" s="29" t="s">
        <v>5</v>
      </c>
      <c r="G2" s="104" t="s">
        <v>11522</v>
      </c>
      <c r="H2" s="77" t="s">
        <v>11523</v>
      </c>
    </row>
    <row r="3" spans="2:8">
      <c r="B3" s="77" t="s">
        <v>11524</v>
      </c>
      <c r="C3" s="105">
        <v>14846100163</v>
      </c>
      <c r="F3" s="29">
        <v>46227</v>
      </c>
      <c r="G3" s="104">
        <v>1</v>
      </c>
      <c r="H3" s="77"/>
    </row>
    <row r="4" spans="2:8">
      <c r="B4" s="77" t="s">
        <v>11524</v>
      </c>
      <c r="D4" s="77" t="s">
        <v>11525</v>
      </c>
      <c r="F4" s="29">
        <v>46228</v>
      </c>
      <c r="G4" s="104">
        <v>2</v>
      </c>
      <c r="H4" s="77"/>
    </row>
    <row r="5" spans="2:8">
      <c r="B5" s="77" t="s">
        <v>8233</v>
      </c>
      <c r="C5" s="105">
        <v>21806040461</v>
      </c>
      <c r="F5" s="29">
        <v>46230</v>
      </c>
      <c r="G5" s="104">
        <v>2</v>
      </c>
      <c r="H5" s="77"/>
    </row>
    <row r="6" spans="2:8">
      <c r="B6" s="77" t="s">
        <v>8233</v>
      </c>
      <c r="C6" s="105">
        <v>32866405098</v>
      </c>
      <c r="F6" s="29">
        <v>46230</v>
      </c>
      <c r="G6" s="104">
        <v>2</v>
      </c>
      <c r="H6" s="77"/>
    </row>
    <row r="7" spans="2:8">
      <c r="B7" s="77" t="s">
        <v>11524</v>
      </c>
      <c r="C7" s="105" t="s">
        <v>5145</v>
      </c>
      <c r="F7" s="29">
        <v>46233</v>
      </c>
      <c r="G7" s="104">
        <v>1</v>
      </c>
      <c r="H7" s="77"/>
    </row>
    <row r="8" spans="2:8">
      <c r="B8" s="77" t="s">
        <v>8233</v>
      </c>
      <c r="C8" s="105" t="s">
        <v>11526</v>
      </c>
      <c r="F8" s="29">
        <v>46231</v>
      </c>
      <c r="G8" s="104">
        <v>2</v>
      </c>
      <c r="H8" s="77"/>
    </row>
    <row r="9" spans="2:8">
      <c r="B9" s="77" t="s">
        <v>11527</v>
      </c>
      <c r="E9" s="77">
        <v>22584580</v>
      </c>
      <c r="F9" s="29">
        <v>46231</v>
      </c>
      <c r="G9" s="104">
        <v>1</v>
      </c>
      <c r="H9" s="77"/>
    </row>
    <row r="10" spans="2:8">
      <c r="B10" s="77" t="s">
        <v>11527</v>
      </c>
      <c r="E10" s="77">
        <v>22756598</v>
      </c>
      <c r="F10" s="29">
        <v>46231</v>
      </c>
      <c r="G10" s="104">
        <v>1</v>
      </c>
      <c r="H10" s="77"/>
    </row>
    <row r="11" spans="2:8">
      <c r="B11" s="77" t="s">
        <v>8233</v>
      </c>
      <c r="C11" s="105" t="s">
        <v>11528</v>
      </c>
      <c r="F11" s="29">
        <v>46234</v>
      </c>
      <c r="G11" s="104">
        <v>1</v>
      </c>
      <c r="H11" s="77"/>
    </row>
    <row r="12" spans="2:8">
      <c r="B12" s="77" t="s">
        <v>11524</v>
      </c>
      <c r="C12" s="105" t="s">
        <v>11529</v>
      </c>
      <c r="F12" s="29">
        <v>46234</v>
      </c>
      <c r="G12" s="104">
        <v>3</v>
      </c>
      <c r="H12" s="77"/>
    </row>
    <row r="13" spans="2:8">
      <c r="B13" s="77" t="s">
        <v>8233</v>
      </c>
      <c r="C13" s="105" t="s">
        <v>11530</v>
      </c>
      <c r="F13" s="29">
        <v>46234</v>
      </c>
      <c r="G13" s="104">
        <v>1</v>
      </c>
      <c r="H13" s="77"/>
    </row>
    <row r="14" spans="2:8">
      <c r="H14" s="77"/>
    </row>
    <row r="15" spans="2:8">
      <c r="B15" s="77" t="s">
        <v>11524</v>
      </c>
      <c r="C15" s="105" t="s">
        <v>11531</v>
      </c>
      <c r="F15" s="29">
        <v>46237</v>
      </c>
      <c r="G15" s="104">
        <v>1</v>
      </c>
      <c r="H15" s="77"/>
    </row>
    <row r="16" spans="2:8">
      <c r="B16" s="77" t="s">
        <v>8233</v>
      </c>
      <c r="C16" s="105" t="s">
        <v>11532</v>
      </c>
      <c r="E16" s="77">
        <v>22895720</v>
      </c>
      <c r="F16" s="29">
        <v>46238</v>
      </c>
      <c r="G16" s="104">
        <v>2</v>
      </c>
      <c r="H16" s="77"/>
    </row>
    <row r="17" spans="2:8">
      <c r="B17" s="77" t="s">
        <v>11524</v>
      </c>
      <c r="C17" s="105" t="s">
        <v>11533</v>
      </c>
      <c r="F17" s="29">
        <v>46238</v>
      </c>
      <c r="G17" s="104">
        <v>1</v>
      </c>
      <c r="H17" s="77"/>
    </row>
    <row r="18" spans="2:8">
      <c r="B18" s="77" t="s">
        <v>8233</v>
      </c>
      <c r="C18" s="105" t="s">
        <v>11534</v>
      </c>
      <c r="F18" s="29">
        <v>46238</v>
      </c>
      <c r="G18" s="104">
        <v>2</v>
      </c>
      <c r="H18" s="77"/>
    </row>
    <row r="19" spans="2:8">
      <c r="B19" s="77" t="s">
        <v>11524</v>
      </c>
      <c r="C19" s="105" t="s">
        <v>11535</v>
      </c>
      <c r="F19" s="29">
        <v>46239</v>
      </c>
      <c r="G19" s="104">
        <v>1</v>
      </c>
      <c r="H19" s="77"/>
    </row>
    <row r="20" spans="2:8">
      <c r="B20" s="77" t="s">
        <v>11524</v>
      </c>
      <c r="C20" s="105" t="s">
        <v>11536</v>
      </c>
      <c r="F20" s="29">
        <v>46239</v>
      </c>
      <c r="G20" s="104">
        <v>1</v>
      </c>
      <c r="H20" s="77"/>
    </row>
    <row r="21" spans="2:8">
      <c r="B21" s="77" t="s">
        <v>9777</v>
      </c>
      <c r="D21" s="77" t="s">
        <v>6884</v>
      </c>
      <c r="F21" s="29">
        <v>46239</v>
      </c>
      <c r="G21" s="104">
        <v>1</v>
      </c>
      <c r="H21" s="77"/>
    </row>
    <row r="22" spans="2:8">
      <c r="B22" s="77" t="s">
        <v>8233</v>
      </c>
      <c r="C22" s="105" t="s">
        <v>11537</v>
      </c>
      <c r="F22" s="29">
        <v>46239</v>
      </c>
      <c r="G22" s="104">
        <v>1</v>
      </c>
      <c r="H22" s="77"/>
    </row>
    <row r="23" spans="2:8">
      <c r="B23" s="77" t="s">
        <v>8233</v>
      </c>
      <c r="C23" s="105" t="s">
        <v>11538</v>
      </c>
      <c r="F23" s="29">
        <v>46240</v>
      </c>
      <c r="G23" s="104">
        <v>1</v>
      </c>
      <c r="H23" s="77"/>
    </row>
    <row r="24" spans="2:8">
      <c r="B24" s="77" t="s">
        <v>8233</v>
      </c>
      <c r="C24" s="105" t="s">
        <v>11539</v>
      </c>
      <c r="F24" s="29">
        <v>46241</v>
      </c>
      <c r="G24" s="104">
        <v>1</v>
      </c>
      <c r="H24" s="77"/>
    </row>
    <row r="25" spans="2:8">
      <c r="B25" s="77" t="s">
        <v>11524</v>
      </c>
      <c r="C25" s="105" t="s">
        <v>11540</v>
      </c>
      <c r="F25" s="29">
        <v>46242</v>
      </c>
      <c r="G25" s="104">
        <v>1</v>
      </c>
      <c r="H25" s="77"/>
    </row>
    <row r="26" spans="2:8">
      <c r="B26" s="77" t="s">
        <v>8233</v>
      </c>
      <c r="C26" s="105" t="s">
        <v>11541</v>
      </c>
      <c r="F26" s="29">
        <v>46242</v>
      </c>
      <c r="G26" s="104">
        <v>1</v>
      </c>
      <c r="H26" s="77"/>
    </row>
    <row r="27" spans="2:8">
      <c r="B27" s="77" t="s">
        <v>11524</v>
      </c>
      <c r="C27">
        <v>37886300013</v>
      </c>
      <c r="F27" s="29">
        <v>46244</v>
      </c>
      <c r="G27" s="104">
        <v>1</v>
      </c>
      <c r="H27" s="77"/>
    </row>
    <row r="28" spans="2:8">
      <c r="B28" s="77" t="s">
        <v>11524</v>
      </c>
      <c r="C28">
        <v>1634756199</v>
      </c>
      <c r="F28" s="29">
        <v>46244</v>
      </c>
      <c r="G28" s="104">
        <v>1</v>
      </c>
      <c r="H28" s="77"/>
    </row>
    <row r="29" spans="2:8">
      <c r="B29" s="77" t="s">
        <v>11524</v>
      </c>
      <c r="C29">
        <v>45917429859</v>
      </c>
      <c r="F29" s="29">
        <v>46244</v>
      </c>
      <c r="G29" s="104">
        <v>1</v>
      </c>
      <c r="H29" s="77"/>
    </row>
    <row r="30" spans="2:8">
      <c r="B30" s="77" t="s">
        <v>11524</v>
      </c>
      <c r="C30" s="105" t="s">
        <v>11542</v>
      </c>
      <c r="F30" s="29">
        <v>46244</v>
      </c>
      <c r="G30" s="104">
        <v>1</v>
      </c>
      <c r="H30" s="77"/>
    </row>
    <row r="31" spans="2:8">
      <c r="B31" s="77" t="s">
        <v>11524</v>
      </c>
      <c r="C31" s="105" t="s">
        <v>11543</v>
      </c>
      <c r="F31" s="29">
        <v>46244</v>
      </c>
      <c r="G31" s="104">
        <v>1</v>
      </c>
      <c r="H31" s="77"/>
    </row>
    <row r="32" spans="2:8">
      <c r="B32" s="77" t="s">
        <v>8233</v>
      </c>
      <c r="C32" s="105" t="s">
        <v>11544</v>
      </c>
      <c r="F32" s="29">
        <v>46245</v>
      </c>
      <c r="G32" s="104">
        <v>1</v>
      </c>
      <c r="H32" s="77"/>
    </row>
    <row r="33" spans="2:8">
      <c r="B33" s="77" t="s">
        <v>8233</v>
      </c>
      <c r="D33" s="105" t="s">
        <v>11545</v>
      </c>
      <c r="F33" s="29">
        <v>46245</v>
      </c>
      <c r="G33" s="104">
        <v>1</v>
      </c>
      <c r="H33" s="77"/>
    </row>
    <row r="34" spans="2:8">
      <c r="B34" s="77" t="s">
        <v>11524</v>
      </c>
      <c r="C34" s="105" t="s">
        <v>11546</v>
      </c>
      <c r="F34" s="29">
        <v>46245</v>
      </c>
      <c r="G34" s="104">
        <v>1</v>
      </c>
      <c r="H34" s="77"/>
    </row>
    <row r="35" spans="2:8">
      <c r="B35" s="77" t="s">
        <v>11524</v>
      </c>
      <c r="C35" s="105" t="s">
        <v>11547</v>
      </c>
      <c r="F35" s="29">
        <v>46245</v>
      </c>
      <c r="G35" s="104">
        <v>1</v>
      </c>
      <c r="H35" s="77"/>
    </row>
    <row r="36" spans="2:8">
      <c r="B36" s="77" t="s">
        <v>11524</v>
      </c>
      <c r="C36" s="105" t="s">
        <v>11548</v>
      </c>
      <c r="F36" s="29">
        <v>46245</v>
      </c>
      <c r="G36" s="104">
        <v>1</v>
      </c>
      <c r="H36" s="77"/>
    </row>
    <row r="37" spans="2:8">
      <c r="B37" s="77" t="s">
        <v>11524</v>
      </c>
      <c r="C37" s="105" t="s">
        <v>11549</v>
      </c>
      <c r="F37" s="29">
        <v>46246</v>
      </c>
      <c r="G37" s="104">
        <v>1</v>
      </c>
      <c r="H37" s="77"/>
    </row>
    <row r="38" spans="2:8">
      <c r="B38" s="77" t="s">
        <v>8233</v>
      </c>
      <c r="C38" s="105" t="s">
        <v>7152</v>
      </c>
      <c r="F38" s="29">
        <v>46247</v>
      </c>
      <c r="G38" s="104">
        <v>1</v>
      </c>
      <c r="H38" s="77"/>
    </row>
    <row r="39" spans="2:8">
      <c r="B39" s="77" t="s">
        <v>8233</v>
      </c>
      <c r="C39" s="105" t="s">
        <v>11550</v>
      </c>
      <c r="F39" s="29">
        <v>46247</v>
      </c>
      <c r="G39" s="104">
        <v>1</v>
      </c>
      <c r="H39" s="77"/>
    </row>
    <row r="40" spans="2:8">
      <c r="B40" s="77" t="s">
        <v>11551</v>
      </c>
      <c r="C40" s="105" t="s">
        <v>11552</v>
      </c>
      <c r="D40" s="77" t="s">
        <v>11553</v>
      </c>
      <c r="F40" s="29">
        <v>46248</v>
      </c>
      <c r="G40" s="104">
        <v>2</v>
      </c>
      <c r="H40" s="77"/>
    </row>
    <row r="41" spans="2:8">
      <c r="B41" s="77" t="s">
        <v>11551</v>
      </c>
      <c r="C41" s="105" t="s">
        <v>11554</v>
      </c>
      <c r="D41" s="77" t="s">
        <v>11555</v>
      </c>
      <c r="F41" s="29">
        <v>46249</v>
      </c>
      <c r="G41" s="104">
        <v>1</v>
      </c>
      <c r="H41" s="77"/>
    </row>
    <row r="42" spans="2:8">
      <c r="B42" s="77" t="s">
        <v>11524</v>
      </c>
      <c r="C42" s="105" t="s">
        <v>11556</v>
      </c>
      <c r="F42" s="29">
        <v>46252</v>
      </c>
      <c r="G42" s="104">
        <v>1</v>
      </c>
      <c r="H42" s="77"/>
    </row>
    <row r="43" spans="2:8">
      <c r="B43" s="77" t="s">
        <v>11524</v>
      </c>
      <c r="C43" s="105" t="s">
        <v>11557</v>
      </c>
      <c r="F43" s="29">
        <v>46251</v>
      </c>
      <c r="G43" s="104">
        <v>1</v>
      </c>
      <c r="H43" s="77"/>
    </row>
    <row r="44" spans="2:8">
      <c r="B44" s="77" t="s">
        <v>8233</v>
      </c>
      <c r="C44" s="105" t="s">
        <v>11558</v>
      </c>
      <c r="F44" s="29">
        <v>46253</v>
      </c>
      <c r="G44" s="104">
        <v>2</v>
      </c>
      <c r="H44" s="77"/>
    </row>
    <row r="45" spans="2:8">
      <c r="B45" s="77" t="s">
        <v>8436</v>
      </c>
      <c r="C45" s="105" t="s">
        <v>11559</v>
      </c>
      <c r="F45" s="29">
        <v>46254</v>
      </c>
      <c r="G45" s="104">
        <v>2</v>
      </c>
      <c r="H45" s="77"/>
    </row>
    <row r="46" spans="2:8">
      <c r="B46" s="77" t="s">
        <v>8280</v>
      </c>
      <c r="C46" s="105" t="s">
        <v>6177</v>
      </c>
      <c r="F46" s="29">
        <v>46254</v>
      </c>
      <c r="G46" s="104">
        <v>1</v>
      </c>
      <c r="H46" s="77"/>
    </row>
    <row r="47" spans="2:8">
      <c r="B47" s="77" t="s">
        <v>11524</v>
      </c>
      <c r="C47" s="105" t="s">
        <v>11560</v>
      </c>
      <c r="F47" s="29">
        <v>46255</v>
      </c>
      <c r="G47" s="104">
        <v>1</v>
      </c>
      <c r="H47" s="77"/>
    </row>
    <row r="48" spans="2:8">
      <c r="B48" s="77" t="s">
        <v>8233</v>
      </c>
      <c r="C48" s="105" t="s">
        <v>11561</v>
      </c>
      <c r="F48" s="29">
        <v>46259</v>
      </c>
      <c r="G48" s="104">
        <v>1</v>
      </c>
      <c r="H48" s="77"/>
    </row>
    <row r="49" spans="2:8">
      <c r="B49" s="77" t="s">
        <v>8280</v>
      </c>
      <c r="C49" s="105" t="s">
        <v>11562</v>
      </c>
      <c r="F49" s="29">
        <v>46261</v>
      </c>
      <c r="G49" s="104">
        <v>1</v>
      </c>
      <c r="H49" s="77"/>
    </row>
    <row r="50" spans="2:8">
      <c r="B50" s="77" t="s">
        <v>11563</v>
      </c>
      <c r="D50" s="77" t="s">
        <v>7769</v>
      </c>
      <c r="F50" s="29">
        <v>46262</v>
      </c>
      <c r="G50" s="104">
        <v>1</v>
      </c>
      <c r="H50" s="77"/>
    </row>
    <row r="51" spans="2:8">
      <c r="H51" s="77"/>
    </row>
    <row r="52" spans="2:8">
      <c r="B52" s="77" t="s">
        <v>8233</v>
      </c>
      <c r="C52" s="105" t="s">
        <v>11564</v>
      </c>
      <c r="F52" s="29">
        <v>46266</v>
      </c>
      <c r="G52" s="104">
        <v>1</v>
      </c>
      <c r="H52" s="77"/>
    </row>
    <row r="53" spans="2:8">
      <c r="B53" s="77" t="s">
        <v>8233</v>
      </c>
      <c r="C53" s="105" t="s">
        <v>11565</v>
      </c>
      <c r="F53" s="29">
        <v>46267</v>
      </c>
      <c r="G53" s="104">
        <v>2</v>
      </c>
      <c r="H53" s="77"/>
    </row>
    <row r="54" spans="2:8">
      <c r="B54" s="77" t="s">
        <v>8233</v>
      </c>
      <c r="C54" s="105" t="s">
        <v>11566</v>
      </c>
      <c r="F54" s="29">
        <v>46267</v>
      </c>
      <c r="G54" s="104">
        <v>1</v>
      </c>
      <c r="H54" s="77"/>
    </row>
    <row r="55" spans="2:8">
      <c r="B55" s="77" t="s">
        <v>8233</v>
      </c>
      <c r="C55" s="105" t="s">
        <v>11567</v>
      </c>
      <c r="F55" s="29">
        <v>46267</v>
      </c>
      <c r="G55" s="104">
        <v>1</v>
      </c>
      <c r="H55" s="77"/>
    </row>
    <row r="56" spans="2:8">
      <c r="B56" s="77" t="s">
        <v>11524</v>
      </c>
      <c r="C56" s="105" t="s">
        <v>11568</v>
      </c>
      <c r="F56" s="29">
        <v>46268</v>
      </c>
      <c r="G56" s="104">
        <v>1</v>
      </c>
      <c r="H56" s="77"/>
    </row>
    <row r="57" spans="2:8">
      <c r="B57" s="77" t="s">
        <v>11524</v>
      </c>
      <c r="C57" s="105" t="s">
        <v>11569</v>
      </c>
      <c r="F57" s="29">
        <v>46268</v>
      </c>
      <c r="G57" s="104">
        <v>1</v>
      </c>
      <c r="H57" s="77"/>
    </row>
    <row r="58" spans="2:8">
      <c r="B58" s="77" t="s">
        <v>8233</v>
      </c>
      <c r="C58" s="105" t="s">
        <v>11570</v>
      </c>
      <c r="F58" s="29">
        <v>46268</v>
      </c>
      <c r="G58" s="104">
        <v>2</v>
      </c>
      <c r="H58" s="77"/>
    </row>
    <row r="59" spans="2:8">
      <c r="B59" s="77" t="s">
        <v>8233</v>
      </c>
      <c r="C59" s="105" t="s">
        <v>11571</v>
      </c>
      <c r="F59" s="29">
        <v>46269</v>
      </c>
      <c r="G59" s="104">
        <v>1</v>
      </c>
      <c r="H59" s="77"/>
    </row>
    <row r="60" spans="2:8">
      <c r="B60" s="77" t="s">
        <v>11524</v>
      </c>
      <c r="C60" s="105" t="s">
        <v>11572</v>
      </c>
      <c r="F60" s="29">
        <v>46273</v>
      </c>
      <c r="G60" s="104">
        <v>1</v>
      </c>
      <c r="H60" s="77"/>
    </row>
    <row r="61" spans="2:8">
      <c r="B61" s="77" t="s">
        <v>11563</v>
      </c>
      <c r="C61" s="105" t="s">
        <v>11573</v>
      </c>
      <c r="F61" s="29">
        <v>46274</v>
      </c>
      <c r="G61" s="104">
        <v>1</v>
      </c>
      <c r="H61" s="77"/>
    </row>
    <row r="62" spans="2:8">
      <c r="B62" s="77" t="s">
        <v>11524</v>
      </c>
      <c r="C62" s="105" t="s">
        <v>11574</v>
      </c>
      <c r="F62" s="29">
        <v>46274</v>
      </c>
      <c r="G62" s="104">
        <v>1</v>
      </c>
      <c r="H62" s="77"/>
    </row>
    <row r="63" spans="2:8">
      <c r="B63" s="77" t="s">
        <v>11524</v>
      </c>
      <c r="C63" s="105" t="s">
        <v>11575</v>
      </c>
      <c r="F63" s="29">
        <v>46274</v>
      </c>
      <c r="G63" s="104">
        <v>1</v>
      </c>
      <c r="H63" s="77"/>
    </row>
    <row r="64" spans="2:8">
      <c r="B64" s="77" t="s">
        <v>11524</v>
      </c>
      <c r="C64" s="105" t="s">
        <v>11576</v>
      </c>
      <c r="F64" s="29">
        <v>46274</v>
      </c>
      <c r="G64" s="104">
        <v>1</v>
      </c>
      <c r="H64" s="77"/>
    </row>
    <row r="65" spans="2:8">
      <c r="B65" s="77" t="s">
        <v>9642</v>
      </c>
      <c r="C65" s="105" t="s">
        <v>11577</v>
      </c>
      <c r="F65" s="29">
        <v>46274</v>
      </c>
      <c r="G65" s="104">
        <v>1</v>
      </c>
      <c r="H65" s="77"/>
    </row>
    <row r="66" spans="2:8">
      <c r="B66" s="77" t="s">
        <v>9777</v>
      </c>
      <c r="D66" s="77" t="s">
        <v>11578</v>
      </c>
      <c r="F66" s="29">
        <v>46275</v>
      </c>
      <c r="G66" s="104">
        <v>1</v>
      </c>
      <c r="H66" s="77"/>
    </row>
    <row r="67" spans="2:8">
      <c r="B67" s="77" t="s">
        <v>11524</v>
      </c>
      <c r="C67" s="105" t="s">
        <v>11579</v>
      </c>
      <c r="F67" s="29">
        <v>46275</v>
      </c>
      <c r="G67" s="104">
        <v>1</v>
      </c>
      <c r="H67" s="77"/>
    </row>
    <row r="68" spans="2:8">
      <c r="B68" s="77" t="s">
        <v>11524</v>
      </c>
      <c r="C68" s="105" t="s">
        <v>11580</v>
      </c>
      <c r="F68" s="29">
        <v>46275</v>
      </c>
      <c r="G68" s="104">
        <v>1</v>
      </c>
      <c r="H68" s="77"/>
    </row>
    <row r="69" spans="2:8">
      <c r="B69" s="77" t="s">
        <v>8264</v>
      </c>
      <c r="C69" s="105" t="s">
        <v>11581</v>
      </c>
      <c r="F69" s="29">
        <v>46276</v>
      </c>
      <c r="G69" s="104">
        <v>1</v>
      </c>
      <c r="H69" s="77"/>
    </row>
    <row r="70" spans="2:8">
      <c r="B70" s="77" t="s">
        <v>11524</v>
      </c>
      <c r="C70" s="105" t="s">
        <v>11582</v>
      </c>
      <c r="F70" s="29">
        <v>46276</v>
      </c>
      <c r="G70" s="104">
        <v>1</v>
      </c>
      <c r="H70" s="77"/>
    </row>
    <row r="71" spans="2:8">
      <c r="B71" s="77" t="s">
        <v>11524</v>
      </c>
      <c r="C71" s="105" t="s">
        <v>11583</v>
      </c>
      <c r="F71" s="29">
        <v>46276</v>
      </c>
      <c r="G71" s="104">
        <v>1</v>
      </c>
      <c r="H71" s="77"/>
    </row>
    <row r="72" spans="2:8">
      <c r="B72" s="77" t="s">
        <v>11524</v>
      </c>
      <c r="C72" s="105" t="s">
        <v>11584</v>
      </c>
      <c r="F72" s="29">
        <v>46277</v>
      </c>
      <c r="G72" s="104">
        <v>1</v>
      </c>
      <c r="H72" s="77"/>
    </row>
    <row r="73" spans="2:8">
      <c r="B73" s="77" t="s">
        <v>8264</v>
      </c>
      <c r="C73" s="105" t="s">
        <v>11585</v>
      </c>
      <c r="F73" s="29">
        <v>46279</v>
      </c>
      <c r="G73" s="104">
        <v>1</v>
      </c>
      <c r="H73" s="77"/>
    </row>
    <row r="74" spans="2:8">
      <c r="B74" s="77" t="s">
        <v>11524</v>
      </c>
      <c r="C74" s="105" t="s">
        <v>11586</v>
      </c>
      <c r="F74" s="29">
        <v>46279</v>
      </c>
      <c r="G74" s="104">
        <v>1</v>
      </c>
      <c r="H74" s="77"/>
    </row>
    <row r="75" spans="2:8">
      <c r="B75" s="77" t="s">
        <v>10632</v>
      </c>
      <c r="C75" s="105" t="s">
        <v>11587</v>
      </c>
      <c r="D75" s="77" t="s">
        <v>11588</v>
      </c>
      <c r="F75" s="29">
        <v>46279</v>
      </c>
      <c r="G75" s="104">
        <v>1</v>
      </c>
      <c r="H75" s="77"/>
    </row>
    <row r="76" spans="2:8">
      <c r="B76" s="77" t="s">
        <v>9777</v>
      </c>
      <c r="C76" s="105" t="s">
        <v>11589</v>
      </c>
      <c r="F76" s="29">
        <v>46282</v>
      </c>
      <c r="G76" s="104">
        <v>1</v>
      </c>
      <c r="H76" s="77"/>
    </row>
    <row r="77" spans="2:8">
      <c r="B77" s="77" t="s">
        <v>11524</v>
      </c>
      <c r="C77" s="105" t="s">
        <v>11590</v>
      </c>
      <c r="F77" s="29">
        <v>46282</v>
      </c>
      <c r="G77" s="104">
        <v>1</v>
      </c>
      <c r="H77" s="77"/>
    </row>
    <row r="78" spans="2:8">
      <c r="B78" s="77" t="s">
        <v>8264</v>
      </c>
      <c r="C78" s="105" t="s">
        <v>11585</v>
      </c>
      <c r="F78" s="29">
        <v>46282</v>
      </c>
      <c r="G78" s="104">
        <v>1</v>
      </c>
      <c r="H78" s="77"/>
    </row>
    <row r="79" spans="2:8">
      <c r="B79" s="77" t="s">
        <v>11524</v>
      </c>
      <c r="C79" s="105" t="s">
        <v>11591</v>
      </c>
      <c r="F79" s="29">
        <v>46282</v>
      </c>
      <c r="G79" s="104">
        <v>1</v>
      </c>
      <c r="H79" s="77"/>
    </row>
    <row r="80" spans="2:8">
      <c r="B80" s="77" t="s">
        <v>8233</v>
      </c>
      <c r="C80" s="105" t="s">
        <v>11592</v>
      </c>
      <c r="F80" s="29">
        <v>46282</v>
      </c>
      <c r="G80" s="104">
        <v>2</v>
      </c>
      <c r="H80" s="77"/>
    </row>
    <row r="81" spans="2:8">
      <c r="B81" s="77" t="s">
        <v>11593</v>
      </c>
      <c r="C81" s="105" t="s">
        <v>11594</v>
      </c>
      <c r="D81" s="77" t="s">
        <v>11595</v>
      </c>
      <c r="F81" s="29">
        <v>46282</v>
      </c>
      <c r="G81" s="104">
        <v>1</v>
      </c>
      <c r="H81" s="77"/>
    </row>
    <row r="82" spans="2:8">
      <c r="B82" s="77" t="s">
        <v>8233</v>
      </c>
      <c r="C82" s="105" t="s">
        <v>9837</v>
      </c>
      <c r="F82" s="29">
        <v>46282</v>
      </c>
      <c r="G82" s="104">
        <v>1</v>
      </c>
      <c r="H82" s="77"/>
    </row>
    <row r="83" spans="2:8">
      <c r="B83" s="77" t="s">
        <v>8233</v>
      </c>
      <c r="C83" s="105" t="s">
        <v>11596</v>
      </c>
      <c r="F83" s="29">
        <v>46283</v>
      </c>
      <c r="G83" s="104">
        <v>2</v>
      </c>
      <c r="H83" s="77"/>
    </row>
    <row r="84" spans="2:8">
      <c r="B84" s="77" t="s">
        <v>11524</v>
      </c>
      <c r="C84" s="105" t="s">
        <v>11597</v>
      </c>
      <c r="F84" s="29">
        <v>46286</v>
      </c>
      <c r="G84" s="104">
        <v>1</v>
      </c>
      <c r="H84" s="77"/>
    </row>
    <row r="85" spans="2:8">
      <c r="B85" s="77" t="s">
        <v>11524</v>
      </c>
      <c r="C85" s="105" t="s">
        <v>11598</v>
      </c>
      <c r="F85" s="29">
        <v>46286</v>
      </c>
      <c r="G85" s="104">
        <v>1</v>
      </c>
      <c r="H85" s="77"/>
    </row>
    <row r="86" spans="2:8">
      <c r="B86" s="77" t="s">
        <v>11524</v>
      </c>
      <c r="C86" s="105" t="s">
        <v>11599</v>
      </c>
      <c r="F86" s="29">
        <v>46286</v>
      </c>
      <c r="G86" s="104">
        <v>1</v>
      </c>
      <c r="H86" s="77"/>
    </row>
    <row r="87" spans="2:8">
      <c r="B87" s="77" t="s">
        <v>11524</v>
      </c>
      <c r="C87" s="105" t="s">
        <v>11600</v>
      </c>
      <c r="F87" s="29">
        <v>46286</v>
      </c>
      <c r="G87" s="104">
        <v>1</v>
      </c>
      <c r="H87" s="77"/>
    </row>
    <row r="88" spans="2:8">
      <c r="B88" s="77" t="s">
        <v>11524</v>
      </c>
      <c r="C88" s="105" t="s">
        <v>10467</v>
      </c>
      <c r="F88" s="29">
        <v>46286</v>
      </c>
      <c r="G88" s="104">
        <v>1</v>
      </c>
      <c r="H88" s="77"/>
    </row>
    <row r="89" spans="2:8">
      <c r="B89" s="77" t="s">
        <v>9777</v>
      </c>
      <c r="C89" s="105" t="s">
        <v>11589</v>
      </c>
      <c r="F89" s="29">
        <v>46286</v>
      </c>
      <c r="G89" s="104">
        <v>1</v>
      </c>
      <c r="H89" s="77"/>
    </row>
    <row r="90" spans="2:8">
      <c r="B90" s="77" t="s">
        <v>10632</v>
      </c>
      <c r="C90" s="105" t="s">
        <v>10158</v>
      </c>
      <c r="D90" s="77" t="s">
        <v>10159</v>
      </c>
      <c r="F90" s="29">
        <v>46287</v>
      </c>
      <c r="G90" s="104">
        <v>0</v>
      </c>
      <c r="H90" s="77"/>
    </row>
    <row r="91" spans="2:8">
      <c r="B91" s="77" t="s">
        <v>8233</v>
      </c>
      <c r="C91" s="105" t="s">
        <v>11596</v>
      </c>
      <c r="F91" s="29">
        <v>46288</v>
      </c>
      <c r="G91" s="104">
        <v>2</v>
      </c>
      <c r="H91" s="77"/>
    </row>
    <row r="92" spans="2:8">
      <c r="B92" s="77" t="s">
        <v>8233</v>
      </c>
      <c r="D92" s="77" t="s">
        <v>11601</v>
      </c>
      <c r="F92" s="29">
        <v>46288</v>
      </c>
      <c r="G92" s="104">
        <v>1</v>
      </c>
      <c r="H92" s="77"/>
    </row>
    <row r="93" spans="2:8">
      <c r="B93" s="77" t="s">
        <v>8436</v>
      </c>
      <c r="C93" s="105" t="s">
        <v>11602</v>
      </c>
      <c r="D93" s="77" t="s">
        <v>11603</v>
      </c>
      <c r="F93" s="29">
        <v>46288</v>
      </c>
      <c r="G93" s="104">
        <v>1</v>
      </c>
      <c r="H93" s="77"/>
    </row>
    <row r="94" spans="2:8">
      <c r="B94" s="77" t="s">
        <v>9777</v>
      </c>
      <c r="D94" s="77" t="s">
        <v>1226</v>
      </c>
      <c r="F94" s="29">
        <v>46288</v>
      </c>
      <c r="G94" s="104">
        <v>1</v>
      </c>
      <c r="H94" s="77"/>
    </row>
    <row r="95" spans="2:8">
      <c r="B95" s="77" t="s">
        <v>10632</v>
      </c>
      <c r="D95" s="77" t="s">
        <v>11604</v>
      </c>
      <c r="F95" s="29">
        <v>46288</v>
      </c>
      <c r="G95" s="104">
        <v>2</v>
      </c>
      <c r="H95" s="77"/>
    </row>
    <row r="96" spans="2:8">
      <c r="B96" s="77" t="s">
        <v>8233</v>
      </c>
      <c r="C96" s="105" t="s">
        <v>11605</v>
      </c>
      <c r="F96" s="29">
        <v>46288</v>
      </c>
      <c r="G96" s="104">
        <v>1</v>
      </c>
      <c r="H96" s="77"/>
    </row>
    <row r="97" spans="2:8">
      <c r="B97" s="77" t="s">
        <v>8233</v>
      </c>
      <c r="C97" s="105" t="s">
        <v>11606</v>
      </c>
      <c r="F97" s="29">
        <v>46290</v>
      </c>
      <c r="G97" s="104">
        <v>1</v>
      </c>
      <c r="H97" s="77"/>
    </row>
    <row r="98" spans="2:8">
      <c r="B98" s="77" t="s">
        <v>11524</v>
      </c>
      <c r="C98" s="105" t="s">
        <v>11607</v>
      </c>
      <c r="F98" s="29">
        <v>46290</v>
      </c>
      <c r="G98" s="104">
        <v>2</v>
      </c>
      <c r="H98" s="77"/>
    </row>
    <row r="99" spans="2:8">
      <c r="B99" s="77" t="s">
        <v>10632</v>
      </c>
      <c r="C99" s="105" t="s">
        <v>11608</v>
      </c>
      <c r="F99" s="29">
        <v>46290</v>
      </c>
      <c r="G99" s="104">
        <v>1</v>
      </c>
      <c r="H99" s="77"/>
    </row>
    <row r="100" spans="2:8">
      <c r="B100" s="77" t="s">
        <v>10632</v>
      </c>
      <c r="C100" s="105" t="s">
        <v>11609</v>
      </c>
      <c r="F100" s="29">
        <v>46290</v>
      </c>
      <c r="G100" s="104">
        <v>1</v>
      </c>
      <c r="H100" s="77"/>
    </row>
    <row r="101" spans="2:8">
      <c r="B101" s="77" t="s">
        <v>10632</v>
      </c>
      <c r="C101" s="105" t="s">
        <v>11610</v>
      </c>
      <c r="F101" s="29">
        <v>46290</v>
      </c>
      <c r="G101" s="104">
        <v>1</v>
      </c>
      <c r="H101" s="77"/>
    </row>
    <row r="102" spans="2:8">
      <c r="B102" s="77" t="s">
        <v>10632</v>
      </c>
      <c r="C102" s="105" t="s">
        <v>11611</v>
      </c>
      <c r="F102" s="29">
        <v>46290</v>
      </c>
      <c r="G102" s="104">
        <v>1</v>
      </c>
      <c r="H102" s="77"/>
    </row>
    <row r="103" spans="2:8">
      <c r="B103" s="77" t="s">
        <v>10632</v>
      </c>
      <c r="C103" s="105" t="s">
        <v>11612</v>
      </c>
      <c r="F103" s="29">
        <v>46290</v>
      </c>
      <c r="G103" s="104">
        <v>1</v>
      </c>
      <c r="H103" s="77"/>
    </row>
    <row r="104" spans="2:8">
      <c r="B104" s="77" t="s">
        <v>10632</v>
      </c>
      <c r="C104" s="105" t="s">
        <v>11613</v>
      </c>
      <c r="F104" s="29">
        <v>46290</v>
      </c>
      <c r="G104" s="104">
        <v>1</v>
      </c>
      <c r="H104" s="77"/>
    </row>
    <row r="105" spans="2:8">
      <c r="B105" s="77" t="s">
        <v>10632</v>
      </c>
      <c r="C105" s="105" t="s">
        <v>11614</v>
      </c>
      <c r="F105" s="29">
        <v>46290</v>
      </c>
      <c r="G105" s="104">
        <v>1</v>
      </c>
      <c r="H105" s="77"/>
    </row>
    <row r="106" spans="2:8">
      <c r="B106" s="77" t="s">
        <v>8436</v>
      </c>
      <c r="C106" s="105" t="s">
        <v>11615</v>
      </c>
      <c r="F106" s="29">
        <v>46293</v>
      </c>
      <c r="G106" s="104">
        <v>1</v>
      </c>
      <c r="H106" s="77"/>
    </row>
    <row r="107" spans="2:8">
      <c r="B107" s="77" t="s">
        <v>8436</v>
      </c>
      <c r="C107" s="105" t="s">
        <v>11616</v>
      </c>
      <c r="F107" s="29">
        <v>46293</v>
      </c>
      <c r="G107" s="104">
        <v>1</v>
      </c>
      <c r="H107" s="77"/>
    </row>
    <row r="108" spans="2:8">
      <c r="B108" s="77" t="s">
        <v>8436</v>
      </c>
      <c r="C108" s="105" t="s">
        <v>11617</v>
      </c>
      <c r="F108" s="29">
        <v>46293</v>
      </c>
      <c r="G108" s="104">
        <v>1</v>
      </c>
      <c r="H108" s="77"/>
    </row>
    <row r="109" spans="2:8">
      <c r="B109" s="77" t="s">
        <v>8436</v>
      </c>
      <c r="C109" s="105" t="s">
        <v>11618</v>
      </c>
      <c r="F109" s="29">
        <v>46293</v>
      </c>
      <c r="G109" s="104">
        <v>1</v>
      </c>
      <c r="H109" s="77"/>
    </row>
    <row r="110" spans="2:8">
      <c r="B110" s="77" t="s">
        <v>11563</v>
      </c>
      <c r="D110" s="77" t="s">
        <v>11619</v>
      </c>
      <c r="F110" s="29">
        <v>46294</v>
      </c>
      <c r="G110" s="104">
        <v>2</v>
      </c>
      <c r="H110" s="77"/>
    </row>
    <row r="111" spans="2:8">
      <c r="B111" s="77" t="s">
        <v>8233</v>
      </c>
      <c r="C111" s="105" t="s">
        <v>11620</v>
      </c>
      <c r="F111" s="29">
        <v>46294</v>
      </c>
      <c r="G111" s="104">
        <v>1</v>
      </c>
      <c r="H111" s="77"/>
    </row>
    <row r="112" spans="2:8">
      <c r="H112" s="77"/>
    </row>
    <row r="113" spans="8:8">
      <c r="H113" s="77"/>
    </row>
    <row r="114" spans="8:8">
      <c r="H114" s="77"/>
    </row>
    <row r="115" spans="8:8">
      <c r="H115" s="77"/>
    </row>
    <row r="116" spans="8:8">
      <c r="H116" s="77"/>
    </row>
    <row r="117" spans="8:8">
      <c r="H117" s="77"/>
    </row>
    <row r="118" spans="8:8">
      <c r="H118" s="77"/>
    </row>
    <row r="119" spans="8:8">
      <c r="H119" s="77"/>
    </row>
    <row r="120" spans="8:8">
      <c r="H120" s="77"/>
    </row>
    <row r="121" spans="8:8">
      <c r="H121" s="77"/>
    </row>
    <row r="122" spans="8:8">
      <c r="H122" s="77"/>
    </row>
    <row r="123" spans="8:8">
      <c r="H123" s="77"/>
    </row>
    <row r="124" spans="8:8">
      <c r="H124" s="77"/>
    </row>
    <row r="125" spans="8:8">
      <c r="H125" s="77"/>
    </row>
    <row r="126" spans="8:8">
      <c r="H126" s="77"/>
    </row>
    <row r="127" spans="8:8">
      <c r="H127" s="77"/>
    </row>
    <row r="128" spans="8:8">
      <c r="H128" s="77"/>
    </row>
    <row r="129" spans="8:8">
      <c r="H129" s="77"/>
    </row>
    <row r="130" spans="8:8">
      <c r="H130" s="77"/>
    </row>
    <row r="131" spans="8:8">
      <c r="H131" s="77"/>
    </row>
    <row r="132" spans="8:8">
      <c r="H132" s="77"/>
    </row>
    <row r="133" spans="8:8">
      <c r="H133" s="77"/>
    </row>
    <row r="134" spans="8:8">
      <c r="H134" s="77"/>
    </row>
    <row r="135" spans="8:8">
      <c r="H135" s="77"/>
    </row>
    <row r="136" spans="8:8">
      <c r="H136" s="77"/>
    </row>
    <row r="137" spans="8:8">
      <c r="H137" s="77"/>
    </row>
    <row r="138" spans="8:8">
      <c r="H138" s="77"/>
    </row>
    <row r="139" spans="8:8">
      <c r="H139" s="77"/>
    </row>
    <row r="140" spans="8:8">
      <c r="H140" s="77"/>
    </row>
    <row r="141" spans="8:8">
      <c r="H141" s="77"/>
    </row>
    <row r="142" spans="8:8">
      <c r="H142" s="77"/>
    </row>
    <row r="143" spans="8:8">
      <c r="H143" s="77"/>
    </row>
    <row r="144" spans="8:8">
      <c r="H144" s="77"/>
    </row>
    <row r="145" spans="8:8">
      <c r="H145" s="77"/>
    </row>
    <row r="146" spans="8:8">
      <c r="H146" s="77"/>
    </row>
    <row r="147" spans="8:8">
      <c r="H147" s="77"/>
    </row>
    <row r="148" spans="8:8">
      <c r="H148" s="77"/>
    </row>
    <row r="149" spans="8:8">
      <c r="H149" s="77"/>
    </row>
    <row r="150" spans="8:8">
      <c r="H150" s="77"/>
    </row>
    <row r="151" spans="8:8">
      <c r="H151" s="77"/>
    </row>
    <row r="152" spans="8:8">
      <c r="H152" s="77"/>
    </row>
    <row r="153" spans="8:8">
      <c r="H153" s="77"/>
    </row>
    <row r="154" spans="8:8">
      <c r="H154" s="77"/>
    </row>
    <row r="155" spans="8:8">
      <c r="H155" s="77"/>
    </row>
    <row r="156" spans="8:8">
      <c r="H156" s="77"/>
    </row>
    <row r="157" spans="8:8">
      <c r="H157" s="77"/>
    </row>
    <row r="158" spans="8:8">
      <c r="H158" s="77"/>
    </row>
    <row r="159" spans="8:8">
      <c r="H159" s="77"/>
    </row>
    <row r="160" spans="8:8">
      <c r="H160" s="77"/>
    </row>
    <row r="161" spans="8:8">
      <c r="H161" s="77"/>
    </row>
    <row r="162" spans="8:8">
      <c r="H162" s="77"/>
    </row>
    <row r="163" spans="8:8">
      <c r="H163" s="77"/>
    </row>
    <row r="164" spans="8:8">
      <c r="H164" s="77"/>
    </row>
    <row r="165" spans="8:8">
      <c r="H165" s="77"/>
    </row>
    <row r="166" spans="8:8">
      <c r="H166" s="77"/>
    </row>
    <row r="167" spans="8:8">
      <c r="H167" s="77"/>
    </row>
    <row r="168" spans="8:8">
      <c r="H168" s="77"/>
    </row>
    <row r="169" spans="8:8">
      <c r="H169" s="77"/>
    </row>
    <row r="170" spans="8:8">
      <c r="H170" s="77"/>
    </row>
    <row r="171" spans="8:8">
      <c r="H171" s="7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0BEB-01F1-49D3-B644-ED9DE8968B36}">
  <dimension ref="A1:AB1733"/>
  <sheetViews>
    <sheetView workbookViewId="0">
      <pane ySplit="1" topLeftCell="H1724" activePane="bottomLeft" state="frozen"/>
      <selection pane="bottomLeft" activeCell="G1732" sqref="G1732"/>
    </sheetView>
  </sheetViews>
  <sheetFormatPr defaultRowHeight="15"/>
  <cols>
    <col min="1" max="1" width="4.42578125" bestFit="1" customWidth="1"/>
    <col min="2" max="2" width="17" bestFit="1" customWidth="1"/>
    <col min="3" max="3" width="19" bestFit="1" customWidth="1"/>
    <col min="4" max="4" width="17.85546875" bestFit="1" customWidth="1"/>
    <col min="5" max="5" width="8.42578125" bestFit="1" customWidth="1"/>
    <col min="6" max="6" width="11.42578125" style="68" bestFit="1" customWidth="1"/>
    <col min="7" max="7" width="15.42578125" bestFit="1" customWidth="1"/>
    <col min="8" max="8" width="26.5703125" bestFit="1" customWidth="1"/>
    <col min="9" max="9" width="43" bestFit="1" customWidth="1"/>
    <col min="10" max="10" width="13.85546875" bestFit="1" customWidth="1"/>
    <col min="11" max="11" width="31.7109375" bestFit="1" customWidth="1"/>
    <col min="12" max="12" width="9.85546875" bestFit="1" customWidth="1"/>
    <col min="13" max="13" width="17.5703125" bestFit="1" customWidth="1"/>
    <col min="14" max="14" width="16.42578125" bestFit="1" customWidth="1"/>
    <col min="15" max="15" width="18.5703125" bestFit="1" customWidth="1"/>
    <col min="16" max="16" width="13" bestFit="1" customWidth="1"/>
    <col min="17" max="17" width="10.85546875" bestFit="1" customWidth="1"/>
    <col min="18" max="18" width="11.7109375" bestFit="1" customWidth="1"/>
    <col min="19" max="19" width="14.140625" bestFit="1" customWidth="1"/>
    <col min="20" max="20" width="14" bestFit="1" customWidth="1"/>
    <col min="21" max="21" width="9.140625" customWidth="1"/>
    <col min="22" max="22" width="19.140625" bestFit="1" customWidth="1"/>
    <col min="23" max="25" width="9.140625" customWidth="1"/>
  </cols>
  <sheetData>
    <row r="1" spans="1:28">
      <c r="A1" s="83" t="str">
        <f>Sheet1!A$1</f>
        <v>Id</v>
      </c>
      <c r="B1" s="83" t="str">
        <f>Sheet1!B$1</f>
        <v>Hora de inicio</v>
      </c>
      <c r="C1" s="83" t="str">
        <f>Sheet1!C$1</f>
        <v>Hora de finalización</v>
      </c>
      <c r="D1" s="83" t="str">
        <f>Sheet1!D$1</f>
        <v>Correo electrónico</v>
      </c>
      <c r="E1" s="83" t="str">
        <f>Sheet1!E$1</f>
        <v>Nombre</v>
      </c>
      <c r="F1" s="84" t="str">
        <f>Sheet1!F$1</f>
        <v>FECHA</v>
      </c>
      <c r="G1" s="84" t="str">
        <f>Sheet1!G$1</f>
        <v>FECHA KOMMO</v>
      </c>
      <c r="H1" s="83" t="str">
        <f>Sheet1!H$1</f>
        <v>Asesor</v>
      </c>
      <c r="I1" s="83" t="str">
        <f>Sheet1!I$1</f>
        <v>NOMBRE CLIENTE</v>
      </c>
      <c r="J1" s="83" t="str">
        <f>Sheet1!J$1</f>
        <v>NSS</v>
      </c>
      <c r="K1" s="83" t="str">
        <f>Sheet1!K$1</f>
        <v>CURP</v>
      </c>
      <c r="L1" s="83" t="str">
        <f>Sheet1!L$1</f>
        <v>LEAD</v>
      </c>
      <c r="M1" s="85" t="str">
        <f>Sheet1!M$1</f>
        <v>TELEFONO</v>
      </c>
      <c r="N1" s="83" t="str">
        <f>Sheet1!N$1</f>
        <v>ESTATUS</v>
      </c>
      <c r="O1" s="83" t="str">
        <f>Sheet1!O$1</f>
        <v xml:space="preserve"> INFORMEDEPAGO </v>
      </c>
      <c r="P1" s="83" t="str">
        <f>Sheet1!P$1</f>
        <v>DESCUENTOS</v>
      </c>
      <c r="Q1" s="86" t="str">
        <f>Sheet1!Q$1</f>
        <v xml:space="preserve">$0.30 </v>
      </c>
      <c r="R1" s="83" t="str">
        <f>Sheet1!R$1</f>
        <v>CAPACIDAD</v>
      </c>
      <c r="S1" s="84" t="str">
        <f>Sheet1!S$1</f>
        <v>VENCIMIENTO</v>
      </c>
      <c r="T1" s="83" t="str">
        <f>Sheet1!T$1</f>
        <v xml:space="preserve">FINANCIERA </v>
      </c>
      <c r="U1" s="83" t="str">
        <f>Sheet1!V$1</f>
        <v>Asignado</v>
      </c>
      <c r="V1" t="str">
        <f>Sheet1!X$1</f>
        <v>CUENTA PANTALLAS</v>
      </c>
      <c r="AA1" s="80" t="s">
        <v>11621</v>
      </c>
    </row>
    <row r="2" spans="1:28">
      <c r="A2" s="26" t="str" cm="1">
        <f t="array" ref="A2:X1733">_xlfn.LET(_xlpm.r,_xlfn._xlws.FILTER(OfficeForms.Table[],ISNUMBER(MATCH(OfficeForms.Table[ESTATUS],$AA$2:$AA$6,0)),"Sin resultados"),IF(_xlpm.r="","",_xlpm.r))</f>
        <v/>
      </c>
      <c r="B2" s="87">
        <v>46029.390277777777</v>
      </c>
      <c r="C2" s="87">
        <v>46204.396527777775</v>
      </c>
      <c r="D2" t="str">
        <v>anónimo</v>
      </c>
      <c r="E2" t="str">
        <v/>
      </c>
      <c r="F2" s="68">
        <v>46204</v>
      </c>
      <c r="G2" s="88" t="str">
        <v>28/06/2026</v>
      </c>
      <c r="H2" t="str">
        <v>GLORIA ORTIZ C/C</v>
      </c>
      <c r="I2" t="str">
        <v>SILVESTRE VAZQUEZ PEREZ</v>
      </c>
      <c r="J2" s="82">
        <v>71856308862</v>
      </c>
      <c r="K2" t="str">
        <v/>
      </c>
      <c r="L2" s="82">
        <v>22076120</v>
      </c>
      <c r="M2" s="82">
        <v>5219616687207</v>
      </c>
      <c r="N2" t="str">
        <v>NUEVO MAYOR</v>
      </c>
      <c r="O2" s="89">
        <v>7920.51</v>
      </c>
      <c r="P2" s="89" t="str">
        <v/>
      </c>
      <c r="Q2" s="89">
        <v>2376.15</v>
      </c>
      <c r="R2" s="89">
        <v>2376.15</v>
      </c>
      <c r="S2" t="str">
        <v/>
      </c>
      <c r="T2" t="str">
        <v/>
      </c>
      <c r="U2" t="str">
        <v/>
      </c>
      <c r="V2" t="str">
        <v/>
      </c>
      <c r="W2" t="str">
        <v/>
      </c>
      <c r="X2">
        <v>1</v>
      </c>
      <c r="AA2" s="81" t="s">
        <v>28</v>
      </c>
    </row>
    <row r="3" spans="1:28">
      <c r="A3" s="26" t="str">
        <v/>
      </c>
      <c r="B3" s="87">
        <v>46029.419444444444</v>
      </c>
      <c r="C3" s="87">
        <v>46204.425000000003</v>
      </c>
      <c r="D3" t="str">
        <v>anónimo</v>
      </c>
      <c r="E3" t="str">
        <v/>
      </c>
      <c r="F3" s="68">
        <v>46204</v>
      </c>
      <c r="G3" s="88" t="str">
        <v>29/07/2026</v>
      </c>
      <c r="H3" t="str">
        <v>IRAN CASTILLO SUR</v>
      </c>
      <c r="I3" t="str">
        <v>GUILLERMO GONZALEZ GUDIÑO</v>
      </c>
      <c r="J3" s="82">
        <v>49866521245</v>
      </c>
      <c r="K3" t="str">
        <v>GOGG650509HTSNDL06</v>
      </c>
      <c r="L3" s="82">
        <v>22099170</v>
      </c>
      <c r="M3" s="82">
        <v>22099170</v>
      </c>
      <c r="N3" t="str">
        <v>NUEVO MAYOR</v>
      </c>
      <c r="O3" s="89">
        <v>26776.92</v>
      </c>
      <c r="P3" s="89" t="str">
        <v/>
      </c>
      <c r="Q3" s="89">
        <v>8033.08</v>
      </c>
      <c r="R3" s="89">
        <v>8033.08</v>
      </c>
      <c r="S3" t="str">
        <v/>
      </c>
      <c r="T3" t="str">
        <v/>
      </c>
      <c r="U3" t="str">
        <v/>
      </c>
      <c r="V3" t="str">
        <v/>
      </c>
      <c r="W3" t="str">
        <v/>
      </c>
      <c r="X3">
        <v>1</v>
      </c>
      <c r="AA3" s="81" t="s">
        <v>106</v>
      </c>
    </row>
    <row r="4" spans="1:28">
      <c r="A4" s="26" t="str">
        <v/>
      </c>
      <c r="B4" s="87">
        <v>46029.425000000003</v>
      </c>
      <c r="C4" s="87">
        <v>46204.429166666669</v>
      </c>
      <c r="D4" t="str">
        <v>anónimo</v>
      </c>
      <c r="E4" t="str">
        <v/>
      </c>
      <c r="F4" s="68">
        <v>46204</v>
      </c>
      <c r="G4" s="88">
        <v>46029</v>
      </c>
      <c r="H4" t="str">
        <v>MIRIAM MONTELONGO SUR</v>
      </c>
      <c r="I4" t="str">
        <v>MAXIMINO SALUSTIANO ORTEGA VASQUEZ</v>
      </c>
      <c r="J4" s="82">
        <v>78856505439</v>
      </c>
      <c r="K4" t="str">
        <v>OEVM650608HOCRSX02</v>
      </c>
      <c r="L4" s="82">
        <v>22161070</v>
      </c>
      <c r="M4" s="82">
        <v>5219541288949</v>
      </c>
      <c r="N4" t="str">
        <v>NUEVO MAYOR</v>
      </c>
      <c r="O4" s="89">
        <v>9760.32</v>
      </c>
      <c r="P4" s="89" t="str">
        <v/>
      </c>
      <c r="Q4" s="89">
        <v>2928.1</v>
      </c>
      <c r="R4" s="89">
        <v>2928.1</v>
      </c>
      <c r="S4" t="str">
        <v/>
      </c>
      <c r="T4" t="str">
        <v/>
      </c>
      <c r="U4" t="str">
        <v/>
      </c>
      <c r="V4" t="str">
        <v/>
      </c>
      <c r="W4" t="str">
        <v/>
      </c>
      <c r="X4">
        <v>1</v>
      </c>
      <c r="AA4" s="81" t="s">
        <v>47</v>
      </c>
    </row>
    <row r="5" spans="1:28">
      <c r="A5" s="26" t="str">
        <v/>
      </c>
      <c r="B5" s="87">
        <v>46029.40347222222</v>
      </c>
      <c r="C5" s="87">
        <v>46204.429861111108</v>
      </c>
      <c r="D5" t="str">
        <v>anónimo</v>
      </c>
      <c r="E5" t="str">
        <v/>
      </c>
      <c r="F5" s="68">
        <v>46204</v>
      </c>
      <c r="G5" s="88" t="str">
        <v>30/06/2026</v>
      </c>
      <c r="H5" t="str">
        <v>GLORIA ORTIZ C/C</v>
      </c>
      <c r="I5" t="str">
        <v>JOSE PALACIOS ALVAREZ</v>
      </c>
      <c r="J5" s="82">
        <v>31795905855</v>
      </c>
      <c r="K5" t="str">
        <v/>
      </c>
      <c r="L5" s="82">
        <v>22125836</v>
      </c>
      <c r="M5" s="82">
        <v>5216182035940</v>
      </c>
      <c r="N5" t="str">
        <v>NUEVO MENOR</v>
      </c>
      <c r="O5" s="89">
        <v>4568.18</v>
      </c>
      <c r="P5" s="89" t="str">
        <v/>
      </c>
      <c r="Q5" s="89">
        <v>1370.45</v>
      </c>
      <c r="R5" s="89">
        <v>395.2</v>
      </c>
      <c r="S5" t="str">
        <v/>
      </c>
      <c r="T5" t="str">
        <v/>
      </c>
      <c r="U5" t="str">
        <v/>
      </c>
      <c r="V5" t="str">
        <v/>
      </c>
      <c r="W5" t="str">
        <v/>
      </c>
      <c r="X5">
        <v>1</v>
      </c>
      <c r="AA5" s="81" t="s">
        <v>263</v>
      </c>
    </row>
    <row r="6" spans="1:28">
      <c r="A6" s="26" t="str">
        <v/>
      </c>
      <c r="B6" s="87" t="str">
        <v>30/06/2026 16:00</v>
      </c>
      <c r="C6" s="87">
        <v>46204.490972222222</v>
      </c>
      <c r="D6" t="str">
        <v>anónimo</v>
      </c>
      <c r="E6" t="str">
        <v/>
      </c>
      <c r="F6" s="68">
        <v>46204</v>
      </c>
      <c r="G6" s="88" t="str">
        <v>28/06/2026</v>
      </c>
      <c r="H6" t="str">
        <v>MARIA NIÑO</v>
      </c>
      <c r="I6" t="str">
        <v>IGNACIO MEDINA FERRETIZ</v>
      </c>
      <c r="J6" s="82" t="str">
        <v/>
      </c>
      <c r="K6" t="str">
        <v>MEFI550312HSPDRG00</v>
      </c>
      <c r="L6" s="82">
        <v>22072350</v>
      </c>
      <c r="M6" s="82">
        <v>19452607843</v>
      </c>
      <c r="N6" t="str">
        <v>NUEVO MAYOR</v>
      </c>
      <c r="O6" s="89">
        <v>5630.32</v>
      </c>
      <c r="P6" s="89" t="str">
        <v/>
      </c>
      <c r="Q6" s="89">
        <v>1689.1</v>
      </c>
      <c r="R6" s="89">
        <v>1457.34</v>
      </c>
      <c r="S6" t="str">
        <v/>
      </c>
      <c r="T6" t="str">
        <v/>
      </c>
      <c r="U6" t="str">
        <v/>
      </c>
      <c r="V6" t="str">
        <v/>
      </c>
      <c r="W6" t="str">
        <v/>
      </c>
      <c r="X6">
        <v>1</v>
      </c>
      <c r="AA6" t="s">
        <v>130</v>
      </c>
    </row>
    <row r="7" spans="1:28">
      <c r="A7" s="26" t="str">
        <v/>
      </c>
      <c r="B7" s="87">
        <v>46029.511805555558</v>
      </c>
      <c r="C7" s="87">
        <v>46204.521527777775</v>
      </c>
      <c r="D7" t="str">
        <v>anónimo</v>
      </c>
      <c r="E7" t="str">
        <v/>
      </c>
      <c r="F7" s="68">
        <v>46204</v>
      </c>
      <c r="G7" s="88" t="str">
        <v>30/06/2026</v>
      </c>
      <c r="H7" t="str">
        <v>JORGE MEDINA EXT C/C</v>
      </c>
      <c r="I7" t="str">
        <v>MANUEL IZMAEL CAB UUH</v>
      </c>
      <c r="J7" s="82">
        <v>84816307601</v>
      </c>
      <c r="K7" t="str">
        <v>CAUM630617HYNBHN05</v>
      </c>
      <c r="L7" s="82">
        <v>22106562</v>
      </c>
      <c r="M7" s="82">
        <v>5219871019830</v>
      </c>
      <c r="N7" t="str">
        <v>NUEVO MAYOR</v>
      </c>
      <c r="O7" s="89">
        <v>7920.51</v>
      </c>
      <c r="P7" s="89">
        <v>848</v>
      </c>
      <c r="Q7" s="89">
        <v>2376.15</v>
      </c>
      <c r="R7" s="89">
        <v>1528.15</v>
      </c>
      <c r="S7" t="str">
        <v/>
      </c>
      <c r="T7" t="str">
        <v/>
      </c>
      <c r="U7" t="str">
        <v/>
      </c>
      <c r="V7" t="str">
        <v/>
      </c>
      <c r="W7" t="str">
        <v/>
      </c>
      <c r="X7">
        <v>1</v>
      </c>
      <c r="AA7" s="79" t="s">
        <v>11622</v>
      </c>
      <c r="AB7">
        <f>COUNTA(A2:A100000)</f>
        <v>1732</v>
      </c>
    </row>
    <row r="8" spans="1:28">
      <c r="A8" s="26" t="str">
        <v/>
      </c>
      <c r="B8" s="87">
        <v>46029.54583333333</v>
      </c>
      <c r="C8" s="87">
        <v>46204.547222222223</v>
      </c>
      <c r="D8" t="str">
        <v>anónimo</v>
      </c>
      <c r="E8" t="str">
        <v/>
      </c>
      <c r="F8" s="68">
        <v>46204</v>
      </c>
      <c r="G8" s="88">
        <v>46029</v>
      </c>
      <c r="H8" t="str">
        <v>LILIANA MARTINEZ SUR</v>
      </c>
      <c r="I8" t="str">
        <v>JEUS AMARO FLORES</v>
      </c>
      <c r="J8" s="82">
        <v>43816503825</v>
      </c>
      <c r="K8" t="str">
        <v>AAFJ650316HNLMLS05</v>
      </c>
      <c r="L8" s="82">
        <v>22167414</v>
      </c>
      <c r="M8" s="82">
        <v>5218186939401</v>
      </c>
      <c r="N8" t="str">
        <v>NUEVO MAYOR</v>
      </c>
      <c r="O8" s="89">
        <v>9760.32</v>
      </c>
      <c r="P8" s="89" t="str">
        <v/>
      </c>
      <c r="Q8" s="89">
        <v>2928.1</v>
      </c>
      <c r="R8" s="89">
        <v>2928.1</v>
      </c>
      <c r="S8" t="str">
        <v/>
      </c>
      <c r="T8" t="str">
        <v/>
      </c>
      <c r="U8" t="str">
        <v/>
      </c>
      <c r="V8" t="str">
        <v/>
      </c>
      <c r="W8" t="str">
        <v/>
      </c>
      <c r="X8">
        <v>1</v>
      </c>
    </row>
    <row r="9" spans="1:28">
      <c r="A9" s="26" t="str">
        <v/>
      </c>
      <c r="B9" s="87">
        <v>46029.527083333334</v>
      </c>
      <c r="C9" s="87">
        <v>46204.573611111111</v>
      </c>
      <c r="D9" t="str">
        <v>anónimo</v>
      </c>
      <c r="E9" t="str">
        <v/>
      </c>
      <c r="F9" s="68">
        <v>46204</v>
      </c>
      <c r="G9" s="88">
        <v>46029</v>
      </c>
      <c r="H9" t="str">
        <v>ALAN ALTAMIRANO EXT</v>
      </c>
      <c r="I9" t="str">
        <v>ALFREDO ZAVALA TUDON</v>
      </c>
      <c r="J9" s="82" t="str">
        <v/>
      </c>
      <c r="K9" t="str">
        <v>ZATA620612HTSVDL03</v>
      </c>
      <c r="L9" s="82">
        <v>1</v>
      </c>
      <c r="M9" s="82">
        <v>8683945967</v>
      </c>
      <c r="N9" t="str">
        <v>COMPRA MAYOR</v>
      </c>
      <c r="O9" s="89">
        <v>7920.51</v>
      </c>
      <c r="P9" s="89">
        <v>2182.2199999999998</v>
      </c>
      <c r="Q9" s="89">
        <v>2376.15</v>
      </c>
      <c r="R9" s="89">
        <v>193.93</v>
      </c>
      <c r="S9">
        <v>46027</v>
      </c>
      <c r="T9" t="str">
        <v/>
      </c>
      <c r="U9" t="str">
        <v/>
      </c>
      <c r="V9" t="str">
        <v/>
      </c>
      <c r="W9" t="str">
        <v/>
      </c>
      <c r="X9">
        <v>2</v>
      </c>
    </row>
    <row r="10" spans="1:28">
      <c r="A10" s="26" t="str">
        <v/>
      </c>
      <c r="B10" s="87">
        <v>46029.580555555556</v>
      </c>
      <c r="C10" s="87">
        <v>46204.583333333336</v>
      </c>
      <c r="D10" t="str">
        <v>anónimo</v>
      </c>
      <c r="E10" t="str">
        <v/>
      </c>
      <c r="F10" s="68">
        <v>46204</v>
      </c>
      <c r="G10" s="88" t="str">
        <v>30/06/2026</v>
      </c>
      <c r="H10" t="str">
        <v>DEYANIRA CORDOVA C/C</v>
      </c>
      <c r="I10" t="str">
        <v xml:space="preserve">MARIO </v>
      </c>
      <c r="J10" s="82" t="str">
        <v/>
      </c>
      <c r="K10" t="str">
        <v>MEHM641116HCLNRR04</v>
      </c>
      <c r="L10" s="82">
        <v>22125834</v>
      </c>
      <c r="M10" s="82">
        <v>8445409780</v>
      </c>
      <c r="N10" t="str">
        <v>NUEVO MAYOR</v>
      </c>
      <c r="O10" s="89">
        <v>9081.52</v>
      </c>
      <c r="P10" s="89" t="str">
        <v/>
      </c>
      <c r="Q10" s="89">
        <v>2724.46</v>
      </c>
      <c r="R10" s="89">
        <v>2724.46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>
        <v>1</v>
      </c>
    </row>
    <row r="11" spans="1:28">
      <c r="A11" s="26" t="str">
        <v/>
      </c>
      <c r="B11" s="87">
        <v>46029.586111111108</v>
      </c>
      <c r="C11" s="87">
        <v>46204.587500000001</v>
      </c>
      <c r="D11" t="str">
        <v>anónimo</v>
      </c>
      <c r="E11" t="str">
        <v/>
      </c>
      <c r="F11" s="68">
        <v>46204</v>
      </c>
      <c r="G11" s="88" t="str">
        <v>30/06/2026</v>
      </c>
      <c r="H11" t="str">
        <v>ANA VILLEGAS C/C</v>
      </c>
      <c r="I11" t="str">
        <v xml:space="preserve">Fernando madera </v>
      </c>
      <c r="J11" s="82">
        <v>1735247338</v>
      </c>
      <c r="K11" t="str">
        <v/>
      </c>
      <c r="L11" s="82">
        <v>22125778</v>
      </c>
      <c r="M11" s="82">
        <v>5214931259332</v>
      </c>
      <c r="N11" t="str">
        <v>NUEVO MAYOR</v>
      </c>
      <c r="O11" s="89">
        <v>23893.01</v>
      </c>
      <c r="P11" s="89" t="str">
        <v/>
      </c>
      <c r="Q11" s="89">
        <v>7167.9</v>
      </c>
      <c r="R11" s="89">
        <v>7167.9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>
        <v>1</v>
      </c>
    </row>
    <row r="12" spans="1:28">
      <c r="A12" s="26" t="str">
        <v/>
      </c>
      <c r="B12" s="87">
        <v>46029.589583333334</v>
      </c>
      <c r="C12" s="87">
        <v>46204.59097222222</v>
      </c>
      <c r="D12" t="str">
        <v>anónimo</v>
      </c>
      <c r="E12" t="str">
        <v/>
      </c>
      <c r="F12" s="68">
        <v>46204</v>
      </c>
      <c r="G12" s="88" t="str">
        <v>30/06/2026</v>
      </c>
      <c r="H12" t="str">
        <v>ANA VILLEGAS C/C</v>
      </c>
      <c r="I12" t="str">
        <v xml:space="preserve">José Juan Félix </v>
      </c>
      <c r="J12" s="82">
        <v>23846009217</v>
      </c>
      <c r="K12" t="str">
        <v/>
      </c>
      <c r="L12" s="82">
        <v>22128306</v>
      </c>
      <c r="M12" s="82">
        <v>5216871965719</v>
      </c>
      <c r="N12" t="str">
        <v>NUEVO MENOR</v>
      </c>
      <c r="O12" s="89">
        <v>26507.99</v>
      </c>
      <c r="P12" s="89">
        <v>6796.9</v>
      </c>
      <c r="Q12" s="89">
        <v>7952.4</v>
      </c>
      <c r="R12" s="89">
        <v>1155.5</v>
      </c>
      <c r="S12">
        <v>46398</v>
      </c>
      <c r="T12" t="str">
        <v/>
      </c>
      <c r="U12" t="str">
        <v/>
      </c>
      <c r="V12" t="str">
        <v/>
      </c>
      <c r="W12" t="str">
        <v/>
      </c>
      <c r="X12">
        <v>2</v>
      </c>
    </row>
    <row r="13" spans="1:28">
      <c r="A13" s="26" t="str">
        <v/>
      </c>
      <c r="B13" s="87">
        <v>46029.601388888892</v>
      </c>
      <c r="C13" s="87">
        <v>46204.603472222225</v>
      </c>
      <c r="D13" t="str">
        <v>anónimo</v>
      </c>
      <c r="E13" t="str">
        <v/>
      </c>
      <c r="F13" s="68">
        <v>46204</v>
      </c>
      <c r="G13" s="88">
        <v>46029</v>
      </c>
      <c r="H13" t="str">
        <v>IRAN CASTILLO SUR</v>
      </c>
      <c r="I13" t="str">
        <v>JOSE ANGEL LOPEZ CASAS</v>
      </c>
      <c r="J13" s="82" t="str">
        <v/>
      </c>
      <c r="K13" t="str">
        <v>LXCA621017HNLPSN09</v>
      </c>
      <c r="L13" s="82">
        <v>22162412</v>
      </c>
      <c r="M13" s="82">
        <v>5214881170727</v>
      </c>
      <c r="N13" t="str">
        <v>COMPRA MAYOR</v>
      </c>
      <c r="O13" s="89">
        <v>9081.52</v>
      </c>
      <c r="P13" s="89">
        <v>2518.66</v>
      </c>
      <c r="Q13" s="89">
        <v>2724.46</v>
      </c>
      <c r="R13" s="89">
        <v>205.8</v>
      </c>
      <c r="S13">
        <v>46029</v>
      </c>
      <c r="T13" t="str">
        <v/>
      </c>
      <c r="U13" t="str">
        <v/>
      </c>
      <c r="V13" t="str">
        <v/>
      </c>
      <c r="W13" t="str">
        <v/>
      </c>
      <c r="X13">
        <v>2</v>
      </c>
    </row>
    <row r="14" spans="1:28">
      <c r="A14" s="26" t="str">
        <v/>
      </c>
      <c r="B14" s="87">
        <v>46029.606944444444</v>
      </c>
      <c r="C14" s="87">
        <v>46204.609722222223</v>
      </c>
      <c r="D14" t="str">
        <v>anónimo</v>
      </c>
      <c r="E14" t="str">
        <v/>
      </c>
      <c r="F14" s="68">
        <v>46204</v>
      </c>
      <c r="G14" s="88" t="str">
        <v>30/06/2026</v>
      </c>
      <c r="H14" t="str">
        <v>DEYANIRA CORDOVA C/C</v>
      </c>
      <c r="I14" t="str">
        <v/>
      </c>
      <c r="J14" s="82">
        <v>33806434180</v>
      </c>
      <c r="K14" t="str">
        <v/>
      </c>
      <c r="L14" s="82">
        <v>22126200</v>
      </c>
      <c r="M14" s="82">
        <v>6391558331</v>
      </c>
      <c r="N14" t="str">
        <v>COMPRA MAYOR</v>
      </c>
      <c r="O14" s="89">
        <v>18771.990000000002</v>
      </c>
      <c r="P14" s="89">
        <v>5333.7</v>
      </c>
      <c r="Q14" s="89">
        <v>5631.6</v>
      </c>
      <c r="R14" s="89">
        <v>297.89999999999998</v>
      </c>
      <c r="S14">
        <v>46029</v>
      </c>
      <c r="T14" t="str">
        <v/>
      </c>
      <c r="U14" t="str">
        <v/>
      </c>
      <c r="V14" t="str">
        <v/>
      </c>
      <c r="W14" t="str">
        <v/>
      </c>
      <c r="X14">
        <v>2</v>
      </c>
    </row>
    <row r="15" spans="1:28">
      <c r="A15" s="26" t="str">
        <v/>
      </c>
      <c r="B15" s="87">
        <v>46029.611805555556</v>
      </c>
      <c r="C15" s="87">
        <v>46204.614583333336</v>
      </c>
      <c r="D15" t="str">
        <v>anónimo</v>
      </c>
      <c r="E15" t="str">
        <v/>
      </c>
      <c r="F15" s="68">
        <v>46204</v>
      </c>
      <c r="G15" s="88" t="str">
        <v>30/06/2026</v>
      </c>
      <c r="H15" t="str">
        <v>MARIA MARTINEZ SUR</v>
      </c>
      <c r="I15" t="str">
        <v>BEATRIZ HERNANDEZ RODRIGUEZ</v>
      </c>
      <c r="J15" s="82">
        <v>60836000467</v>
      </c>
      <c r="K15" t="str">
        <v>HERB600202MDFRDT00</v>
      </c>
      <c r="L15" s="82">
        <v>22151900</v>
      </c>
      <c r="M15" s="82">
        <v>5215578381289</v>
      </c>
      <c r="N15" t="str">
        <v>COMPRA MENOR</v>
      </c>
      <c r="O15" s="89">
        <v>5617.63</v>
      </c>
      <c r="P15" s="89">
        <v>1392.9</v>
      </c>
      <c r="Q15" s="89">
        <v>1685.29</v>
      </c>
      <c r="R15" s="89">
        <v>51.75</v>
      </c>
      <c r="S15">
        <v>46027</v>
      </c>
      <c r="T15" t="str">
        <v/>
      </c>
      <c r="U15" t="str">
        <v/>
      </c>
      <c r="V15" t="str">
        <v/>
      </c>
      <c r="W15" t="str">
        <v/>
      </c>
      <c r="X15">
        <v>2</v>
      </c>
    </row>
    <row r="16" spans="1:28">
      <c r="A16" s="26" t="str">
        <v/>
      </c>
      <c r="B16" s="87">
        <v>46029.635416666664</v>
      </c>
      <c r="C16" s="87">
        <v>46204.637499999997</v>
      </c>
      <c r="D16" t="str">
        <v>anónimo</v>
      </c>
      <c r="E16" t="str">
        <v/>
      </c>
      <c r="F16" s="68">
        <v>46204</v>
      </c>
      <c r="G16" s="88">
        <v>46362</v>
      </c>
      <c r="H16" t="str">
        <v>MARIA MARTINEZ SUR</v>
      </c>
      <c r="I16" t="str">
        <v>JULIO BASULTO USCANGA</v>
      </c>
      <c r="J16" s="82" t="str">
        <v/>
      </c>
      <c r="K16" t="str">
        <v>BAUJ630925HVZSSL04</v>
      </c>
      <c r="L16" s="82">
        <v>21661676</v>
      </c>
      <c r="M16" s="82">
        <v>5212971061427</v>
      </c>
      <c r="N16" t="str">
        <v>COMPRA MAYOR</v>
      </c>
      <c r="O16" s="89">
        <v>9081.52</v>
      </c>
      <c r="P16" s="89">
        <v>2500</v>
      </c>
      <c r="Q16" s="89">
        <v>2724.46</v>
      </c>
      <c r="R16" s="89">
        <v>224.46</v>
      </c>
      <c r="S16">
        <v>46029</v>
      </c>
      <c r="T16" t="str">
        <v/>
      </c>
      <c r="U16" t="str">
        <v/>
      </c>
      <c r="V16" t="str">
        <v/>
      </c>
      <c r="W16" t="str">
        <v/>
      </c>
      <c r="X16">
        <v>2</v>
      </c>
    </row>
    <row r="17" spans="1:24">
      <c r="A17" s="26" t="str">
        <v/>
      </c>
      <c r="B17" s="87">
        <v>46029.519444444442</v>
      </c>
      <c r="C17" s="87">
        <v>46204.647222222222</v>
      </c>
      <c r="D17" t="str">
        <v>anónimo</v>
      </c>
      <c r="E17" t="str">
        <v/>
      </c>
      <c r="F17" s="68">
        <v>46204</v>
      </c>
      <c r="G17" s="88">
        <v>46029</v>
      </c>
      <c r="H17" t="str">
        <v>MIRIAM MONTELONGO SUR</v>
      </c>
      <c r="I17" t="str">
        <v>JOSE DE JESUS MENDOZA GODINEZ</v>
      </c>
      <c r="J17" s="82">
        <v>54795203865</v>
      </c>
      <c r="K17" t="str">
        <v>MEGJ521109HJCNDS00</v>
      </c>
      <c r="L17" s="82">
        <v>22153278</v>
      </c>
      <c r="M17" s="82">
        <v>22153278</v>
      </c>
      <c r="N17" t="str">
        <v>COMPRA MAYOR</v>
      </c>
      <c r="O17" s="89">
        <v>9120.5</v>
      </c>
      <c r="P17" s="89">
        <v>2241</v>
      </c>
      <c r="Q17" s="89">
        <v>2736.15</v>
      </c>
      <c r="R17" s="89">
        <v>495.15</v>
      </c>
      <c r="S17">
        <v>45301</v>
      </c>
      <c r="T17" t="str">
        <v/>
      </c>
      <c r="U17" t="str">
        <v/>
      </c>
      <c r="V17" t="str">
        <v/>
      </c>
      <c r="W17" t="str">
        <v/>
      </c>
      <c r="X17">
        <v>2</v>
      </c>
    </row>
    <row r="18" spans="1:24">
      <c r="A18" s="26" t="str">
        <v/>
      </c>
      <c r="B18" s="87">
        <v>46029.645833333336</v>
      </c>
      <c r="C18" s="87">
        <v>46204.647222222222</v>
      </c>
      <c r="D18" t="str">
        <v>anónimo</v>
      </c>
      <c r="E18" t="str">
        <v/>
      </c>
      <c r="F18" s="68">
        <v>46204</v>
      </c>
      <c r="G18" s="88">
        <v>46029</v>
      </c>
      <c r="H18" t="str">
        <v>LUIS DAVILA C/C</v>
      </c>
      <c r="I18" t="str">
        <v/>
      </c>
      <c r="J18" s="82">
        <v>54836503653</v>
      </c>
      <c r="K18" t="str">
        <v>FOAD650805HJCLVV08</v>
      </c>
      <c r="L18" s="82">
        <v>22150440</v>
      </c>
      <c r="M18" s="82">
        <v>13344602961</v>
      </c>
      <c r="N18" t="str">
        <v>NUEVO MENOR</v>
      </c>
      <c r="O18" s="89">
        <v>9760.32</v>
      </c>
      <c r="P18" s="89">
        <v>2237.06</v>
      </c>
      <c r="Q18" s="89">
        <v>2928.1</v>
      </c>
      <c r="R18" s="89">
        <v>691.04</v>
      </c>
      <c r="S18">
        <v>46759</v>
      </c>
      <c r="T18" t="str">
        <v/>
      </c>
      <c r="U18" t="str">
        <v/>
      </c>
      <c r="V18" t="str">
        <v/>
      </c>
      <c r="W18" t="str">
        <v/>
      </c>
      <c r="X18">
        <v>2</v>
      </c>
    </row>
    <row r="19" spans="1:24">
      <c r="A19" s="26" t="str">
        <v/>
      </c>
      <c r="B19" s="87">
        <v>46029.493750000001</v>
      </c>
      <c r="C19" s="87">
        <v>46204.65347222222</v>
      </c>
      <c r="D19" t="str">
        <v>anónimo</v>
      </c>
      <c r="E19" t="str">
        <v/>
      </c>
      <c r="F19" s="68">
        <v>46204</v>
      </c>
      <c r="G19" s="88" t="str">
        <v>24/06/2026</v>
      </c>
      <c r="H19" t="str">
        <v>MARA HERNANDEZ SUR</v>
      </c>
      <c r="I19" t="str">
        <v>Marco Antonio Pacheco Castro</v>
      </c>
      <c r="J19" s="82" t="str">
        <v/>
      </c>
      <c r="K19" t="str">
        <v>PACM630406HMCCSR07</v>
      </c>
      <c r="L19" s="82">
        <v>21965960</v>
      </c>
      <c r="M19" s="82">
        <v>5215615423449</v>
      </c>
      <c r="N19" t="str">
        <v>NUEVO MAYOR</v>
      </c>
      <c r="O19" s="89">
        <v>9760.32</v>
      </c>
      <c r="P19" s="89">
        <v>879</v>
      </c>
      <c r="Q19" s="89">
        <v>2928.1</v>
      </c>
      <c r="R19" s="89">
        <v>2049.1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>
        <v>1</v>
      </c>
    </row>
    <row r="20" spans="1:24">
      <c r="A20" s="26" t="str">
        <v/>
      </c>
      <c r="B20" s="87">
        <v>46029.661111111112</v>
      </c>
      <c r="C20" s="87">
        <v>46204.663194444445</v>
      </c>
      <c r="D20" t="str">
        <v>anónimo</v>
      </c>
      <c r="E20" t="str">
        <v/>
      </c>
      <c r="F20" s="68">
        <v>46204</v>
      </c>
      <c r="G20" s="88">
        <v>46029</v>
      </c>
      <c r="H20" t="str">
        <v>DULCE ARTEAGA SUR</v>
      </c>
      <c r="I20" t="str">
        <v>RAFAELA HERNANDEZ GARCIA</v>
      </c>
      <c r="J20" s="82" t="str">
        <v/>
      </c>
      <c r="K20" t="str">
        <v>HEGR620805MNLRRF07</v>
      </c>
      <c r="L20" s="82">
        <v>22160340</v>
      </c>
      <c r="M20" s="82">
        <v>5219601353463</v>
      </c>
      <c r="N20" t="str">
        <v>COMPRA MAYOR</v>
      </c>
      <c r="O20" s="89">
        <v>7116.73</v>
      </c>
      <c r="P20" s="89">
        <v>1972.32</v>
      </c>
      <c r="Q20" s="89">
        <v>2135.02</v>
      </c>
      <c r="R20" s="89">
        <v>162.69999999999999</v>
      </c>
      <c r="S20">
        <v>46024</v>
      </c>
      <c r="T20" t="str">
        <v/>
      </c>
      <c r="U20" t="str">
        <v/>
      </c>
      <c r="V20" t="str">
        <v/>
      </c>
      <c r="W20" t="str">
        <v/>
      </c>
      <c r="X20">
        <v>2</v>
      </c>
    </row>
    <row r="21" spans="1:24">
      <c r="A21" s="26" t="str">
        <v/>
      </c>
      <c r="B21" s="87">
        <v>46029.664583333331</v>
      </c>
      <c r="C21" s="87">
        <v>46204.671527777777</v>
      </c>
      <c r="D21" t="str">
        <v>anónimo</v>
      </c>
      <c r="E21" t="str">
        <v/>
      </c>
      <c r="F21" s="68">
        <v>46204</v>
      </c>
      <c r="G21" s="88">
        <v>46029</v>
      </c>
      <c r="H21" t="str">
        <v>JENNIFER AVENDAÑO SUR</v>
      </c>
      <c r="I21" t="str">
        <v>MARIA JULIETA PUENTE DEGOLLADO</v>
      </c>
      <c r="J21" s="82">
        <v>43715531471</v>
      </c>
      <c r="K21" t="str">
        <v>PUDJ680730MNLNGL02</v>
      </c>
      <c r="L21" s="82">
        <v>22173260</v>
      </c>
      <c r="M21" s="82">
        <v>5218117824579</v>
      </c>
      <c r="N21" t="str">
        <v>NUEVO MENOR</v>
      </c>
      <c r="O21" s="89">
        <v>5242.94</v>
      </c>
      <c r="P21" s="89" t="str">
        <v/>
      </c>
      <c r="Q21" s="89">
        <v>1572.88</v>
      </c>
      <c r="R21" s="89">
        <v>1069.96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>
        <v>1</v>
      </c>
    </row>
    <row r="22" spans="1:24">
      <c r="A22" s="26" t="str">
        <v/>
      </c>
      <c r="B22" s="87">
        <v>46029.723611111112</v>
      </c>
      <c r="C22" s="87">
        <v>46204.725694444445</v>
      </c>
      <c r="D22" t="str">
        <v>anónimo</v>
      </c>
      <c r="E22" t="str">
        <v/>
      </c>
      <c r="F22" s="68">
        <v>46204</v>
      </c>
      <c r="G22" s="88">
        <v>46029</v>
      </c>
      <c r="H22" t="str">
        <v>MIRIAM MONTELONGO SUR</v>
      </c>
      <c r="I22" t="str">
        <v>MARIA GUADALUPE CRUZ DIAZ</v>
      </c>
      <c r="J22" s="82" t="str">
        <v/>
      </c>
      <c r="K22" t="str">
        <v>CUDG631113MSLRZD08</v>
      </c>
      <c r="L22" s="82">
        <v>22206188</v>
      </c>
      <c r="M22" s="82">
        <v>5216863525035</v>
      </c>
      <c r="N22" t="str">
        <v>NUEVO MAYOR</v>
      </c>
      <c r="O22" s="89">
        <v>9081.52</v>
      </c>
      <c r="P22" s="89">
        <v>879</v>
      </c>
      <c r="Q22" s="89">
        <v>2724.46</v>
      </c>
      <c r="R22" s="89">
        <v>1845.46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1</v>
      </c>
    </row>
    <row r="23" spans="1:24">
      <c r="A23" s="26" t="str">
        <v/>
      </c>
      <c r="B23" s="87">
        <v>46029.540972222225</v>
      </c>
      <c r="C23" s="87">
        <v>46204.734722222223</v>
      </c>
      <c r="D23" t="str">
        <v>anónimo</v>
      </c>
      <c r="E23" t="str">
        <v/>
      </c>
      <c r="F23" s="68">
        <v>46204</v>
      </c>
      <c r="G23" s="88">
        <v>46029</v>
      </c>
      <c r="H23" t="str">
        <v>ESMERALDA ESQUIVEL SUR</v>
      </c>
      <c r="I23" t="str">
        <v xml:space="preserve">Antonio Olguin Rodriguez </v>
      </c>
      <c r="J23" s="82">
        <v>3279622476</v>
      </c>
      <c r="K23" t="str">
        <v>OURA621211HCLLDN00</v>
      </c>
      <c r="L23" s="82">
        <v>22206374</v>
      </c>
      <c r="M23" s="82">
        <v>5218661509862</v>
      </c>
      <c r="N23" t="str">
        <v>COMPRA MAYOR</v>
      </c>
      <c r="O23" s="89">
        <v>8539.89</v>
      </c>
      <c r="P23" s="89">
        <v>2306.3200000000002</v>
      </c>
      <c r="Q23" s="89">
        <v>2561.9699999999998</v>
      </c>
      <c r="R23" s="89">
        <v>255.65</v>
      </c>
      <c r="S23">
        <v>46023</v>
      </c>
      <c r="T23" t="str">
        <v/>
      </c>
      <c r="U23" t="str">
        <v/>
      </c>
      <c r="V23" t="str">
        <v/>
      </c>
      <c r="W23" t="str">
        <v/>
      </c>
      <c r="X23">
        <v>2</v>
      </c>
    </row>
    <row r="24" spans="1:24">
      <c r="A24" s="26" t="str">
        <v/>
      </c>
      <c r="B24" s="87">
        <v>46060.420138888891</v>
      </c>
      <c r="C24" s="87">
        <v>46205.423611111109</v>
      </c>
      <c r="D24" t="str">
        <v>anónimo</v>
      </c>
      <c r="E24" t="str">
        <v/>
      </c>
      <c r="F24" s="68">
        <v>46205</v>
      </c>
      <c r="G24" s="88">
        <v>46029</v>
      </c>
      <c r="H24" t="str">
        <v>JENNIFER AVENDAÑO SUR</v>
      </c>
      <c r="I24" t="str">
        <v>LUIS MANUEL CORTES SANCHEZ</v>
      </c>
      <c r="J24" s="82">
        <v>54755612741</v>
      </c>
      <c r="K24" t="str">
        <v>COSL560315HJCRNS04</v>
      </c>
      <c r="L24" s="82">
        <v>22175236</v>
      </c>
      <c r="M24" s="82">
        <v>5213411176544</v>
      </c>
      <c r="N24" t="str">
        <v>NUEVO MAYOR</v>
      </c>
      <c r="O24" s="89">
        <v>10636.54</v>
      </c>
      <c r="P24" s="89" t="str">
        <v/>
      </c>
      <c r="Q24" s="89">
        <v>3190.96</v>
      </c>
      <c r="R24" s="89">
        <v>3190.96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>
        <v>1</v>
      </c>
    </row>
    <row r="25" spans="1:24">
      <c r="A25" s="26" t="str">
        <v/>
      </c>
      <c r="B25" s="87">
        <v>46060.425000000003</v>
      </c>
      <c r="C25" s="87">
        <v>46205.436111111114</v>
      </c>
      <c r="D25" t="str">
        <v>anónimo</v>
      </c>
      <c r="E25" t="str">
        <v/>
      </c>
      <c r="F25" s="68">
        <v>46205</v>
      </c>
      <c r="G25" s="88">
        <v>46060</v>
      </c>
      <c r="H25" t="str">
        <v>MAFER Z</v>
      </c>
      <c r="I25" t="str">
        <v>JUANA ROSARIO ZÚÑIGA VALLE</v>
      </c>
      <c r="J25" s="82">
        <v>49876015642</v>
      </c>
      <c r="K25" t="str">
        <v>ZUVJ600726MTSXLN00</v>
      </c>
      <c r="L25" s="82">
        <v>22227740</v>
      </c>
      <c r="M25" s="82">
        <v>528334484233</v>
      </c>
      <c r="N25" t="str">
        <v>COMPRA MENOR</v>
      </c>
      <c r="O25" s="89">
        <v>24606.78</v>
      </c>
      <c r="P25" s="89">
        <v>7379.13</v>
      </c>
      <c r="Q25" s="89">
        <v>7382.03</v>
      </c>
      <c r="R25" s="89">
        <v>2.9</v>
      </c>
      <c r="S25">
        <v>46026</v>
      </c>
      <c r="T25" t="str">
        <v/>
      </c>
      <c r="U25" t="str">
        <v/>
      </c>
      <c r="V25" t="str">
        <v/>
      </c>
      <c r="W25" t="str">
        <v/>
      </c>
      <c r="X25">
        <v>2</v>
      </c>
    </row>
    <row r="26" spans="1:24">
      <c r="A26" s="26" t="str">
        <v/>
      </c>
      <c r="B26" s="87">
        <v>46060.480555555558</v>
      </c>
      <c r="C26" s="87">
        <v>46205.481249999997</v>
      </c>
      <c r="D26" t="str">
        <v>anónimo</v>
      </c>
      <c r="E26" t="str">
        <v/>
      </c>
      <c r="F26" s="68">
        <v>46205</v>
      </c>
      <c r="G26" s="88">
        <v>46060</v>
      </c>
      <c r="H26" t="str">
        <v>YULIANA RODRIGUEZ C/C</v>
      </c>
      <c r="I26" t="str">
        <v xml:space="preserve">DANIEL CORREA ARCE </v>
      </c>
      <c r="J26" s="82">
        <v>6785803617</v>
      </c>
      <c r="K26" t="str">
        <v/>
      </c>
      <c r="L26" s="82">
        <v>22241220</v>
      </c>
      <c r="M26" s="82">
        <v>5214421328128</v>
      </c>
      <c r="N26" t="str">
        <v>NUEVO MAYOR</v>
      </c>
      <c r="O26" s="89">
        <v>22109.54</v>
      </c>
      <c r="P26" s="89" t="str">
        <v/>
      </c>
      <c r="Q26" s="89">
        <v>6632.86</v>
      </c>
      <c r="R26" s="89">
        <v>6632.86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>
        <v>1</v>
      </c>
    </row>
    <row r="27" spans="1:24">
      <c r="A27" s="26" t="str">
        <v/>
      </c>
      <c r="B27" s="87">
        <v>46060.48333333333</v>
      </c>
      <c r="C27" s="87">
        <v>46205.486111111109</v>
      </c>
      <c r="D27" t="str">
        <v>anónimo</v>
      </c>
      <c r="E27" t="str">
        <v/>
      </c>
      <c r="F27" s="68">
        <v>46205</v>
      </c>
      <c r="G27" s="88">
        <v>46029</v>
      </c>
      <c r="H27" t="str">
        <v>VALERY RODRIGUEZ SUR</v>
      </c>
      <c r="I27" t="str">
        <v>PEDRO ROJAS ALVAREZ</v>
      </c>
      <c r="J27" s="82" t="str">
        <v/>
      </c>
      <c r="K27" t="str">
        <v>ROAP620109HDFJLD04</v>
      </c>
      <c r="L27" s="82">
        <v>22176092</v>
      </c>
      <c r="M27" s="82">
        <v>5215629626816</v>
      </c>
      <c r="N27" t="str">
        <v>NUEVO MAYOR</v>
      </c>
      <c r="O27" s="89">
        <v>9081.52</v>
      </c>
      <c r="P27" s="89" t="str">
        <v/>
      </c>
      <c r="Q27" s="89">
        <v>2724.46</v>
      </c>
      <c r="R27" s="89">
        <v>2724.46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>
        <v>1</v>
      </c>
    </row>
    <row r="28" spans="1:24">
      <c r="A28" s="26" t="str">
        <v/>
      </c>
      <c r="B28" s="87">
        <v>46060.517361111109</v>
      </c>
      <c r="C28" s="87">
        <v>46205.518750000003</v>
      </c>
      <c r="D28" t="str">
        <v>anónimo</v>
      </c>
      <c r="E28" t="str">
        <v/>
      </c>
      <c r="F28" s="68">
        <v>46205</v>
      </c>
      <c r="G28" s="88">
        <v>46301</v>
      </c>
      <c r="H28" t="str">
        <v>DEYANIRA CORDOVA C/C</v>
      </c>
      <c r="I28" t="str">
        <v xml:space="preserve">BLANCA </v>
      </c>
      <c r="J28" s="82" t="str">
        <v/>
      </c>
      <c r="K28" t="str">
        <v>MOCB660326MCMNML05</v>
      </c>
      <c r="L28" s="82">
        <v>21581006</v>
      </c>
      <c r="M28" s="82">
        <v>17208778718</v>
      </c>
      <c r="N28" t="str">
        <v>NUEVO MAYOR</v>
      </c>
      <c r="O28" s="89">
        <v>10636.54</v>
      </c>
      <c r="P28" s="89" t="str">
        <v/>
      </c>
      <c r="Q28" s="89">
        <v>3190.96</v>
      </c>
      <c r="R28" s="89">
        <v>3190.96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>
        <v>1</v>
      </c>
    </row>
    <row r="29" spans="1:24">
      <c r="A29" s="26" t="str">
        <v/>
      </c>
      <c r="B29" s="87">
        <v>46060.543055555558</v>
      </c>
      <c r="C29" s="87">
        <v>46205.543749999997</v>
      </c>
      <c r="D29" t="str">
        <v>anónimo</v>
      </c>
      <c r="E29" t="str">
        <v/>
      </c>
      <c r="F29" s="68">
        <v>46205</v>
      </c>
      <c r="G29" s="88">
        <v>46088</v>
      </c>
      <c r="H29" t="str">
        <v>DEYANIRA CORDOVA C/C</v>
      </c>
      <c r="I29" t="str">
        <v xml:space="preserve">Alfredo Zavala </v>
      </c>
      <c r="J29" s="82" t="str">
        <v/>
      </c>
      <c r="K29" t="str">
        <v>ZATA620612HTSVDL03</v>
      </c>
      <c r="L29" s="82">
        <v>22242964</v>
      </c>
      <c r="M29" s="82">
        <v>5218683945967</v>
      </c>
      <c r="N29" t="str">
        <v>COMPRA MAYOR</v>
      </c>
      <c r="O29" s="89">
        <v>7920.51</v>
      </c>
      <c r="P29" s="89">
        <v>2182.2199999999998</v>
      </c>
      <c r="Q29" s="89">
        <v>2376.15</v>
      </c>
      <c r="R29" s="89">
        <v>193.93</v>
      </c>
      <c r="S29">
        <v>46027</v>
      </c>
      <c r="T29" t="str">
        <v/>
      </c>
      <c r="U29" t="str">
        <v/>
      </c>
      <c r="V29" t="str">
        <v/>
      </c>
      <c r="W29" t="str">
        <v/>
      </c>
      <c r="X29">
        <v>2</v>
      </c>
    </row>
    <row r="30" spans="1:24">
      <c r="A30" s="26" t="str">
        <v/>
      </c>
      <c r="B30" s="87">
        <v>46060.552777777775</v>
      </c>
      <c r="C30" s="87">
        <v>46205.554166666669</v>
      </c>
      <c r="D30" t="str">
        <v>anónimo</v>
      </c>
      <c r="E30" t="str">
        <v/>
      </c>
      <c r="F30" s="68">
        <v>46205</v>
      </c>
      <c r="G30" s="88">
        <v>46060</v>
      </c>
      <c r="H30" t="str">
        <v>HANIA GARCIA</v>
      </c>
      <c r="I30" t="str">
        <v>Francisco Guadarrama Valdes</v>
      </c>
      <c r="J30" s="82" t="str">
        <v/>
      </c>
      <c r="K30" t="str">
        <v>GUVF610405HDFDLR02</v>
      </c>
      <c r="L30" s="82">
        <v>22222084</v>
      </c>
      <c r="M30" s="82">
        <v>2969617653</v>
      </c>
      <c r="N30" t="str">
        <v>NUEVO MAYOR</v>
      </c>
      <c r="O30" s="89">
        <v>11444.12</v>
      </c>
      <c r="P30" s="89">
        <v>848</v>
      </c>
      <c r="Q30" s="89">
        <v>3433.24</v>
      </c>
      <c r="R30" s="89">
        <v>2585.2399999999998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>
        <v>1</v>
      </c>
    </row>
    <row r="31" spans="1:24">
      <c r="A31" s="26" t="str">
        <v/>
      </c>
      <c r="B31" s="87">
        <v>46060.5625</v>
      </c>
      <c r="C31" s="87">
        <v>46205.563194444447</v>
      </c>
      <c r="D31" t="str">
        <v>anónimo</v>
      </c>
      <c r="E31" t="str">
        <v/>
      </c>
      <c r="F31" s="68">
        <v>46205</v>
      </c>
      <c r="G31" s="88">
        <v>46060</v>
      </c>
      <c r="H31" t="str">
        <v>DEYANIRA CORDOVA C/C</v>
      </c>
      <c r="I31" t="str">
        <v xml:space="preserve">Hector </v>
      </c>
      <c r="J31" s="82" t="str">
        <v/>
      </c>
      <c r="K31" t="str">
        <v>CORH760520HPLYMC02</v>
      </c>
      <c r="L31" s="82">
        <v>22243126</v>
      </c>
      <c r="M31" s="82">
        <v>5214614210356</v>
      </c>
      <c r="N31" t="str">
        <v>NUEVO MENOR</v>
      </c>
      <c r="O31" s="89">
        <v>4851.55</v>
      </c>
      <c r="P31" s="89" t="str">
        <v/>
      </c>
      <c r="Q31" s="89">
        <v>1455.47</v>
      </c>
      <c r="R31" s="89">
        <v>678.57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>
        <v>1</v>
      </c>
    </row>
    <row r="32" spans="1:24">
      <c r="A32" s="26" t="str">
        <v/>
      </c>
      <c r="B32" s="87">
        <v>46060.554166666669</v>
      </c>
      <c r="C32" s="87">
        <v>46205.569444444445</v>
      </c>
      <c r="D32" t="str">
        <v>anónimo</v>
      </c>
      <c r="E32" t="str">
        <v/>
      </c>
      <c r="F32" s="68">
        <v>46205</v>
      </c>
      <c r="G32" s="88">
        <v>46060</v>
      </c>
      <c r="H32" t="str">
        <v>HANIA GARCIA</v>
      </c>
      <c r="I32" t="str">
        <v>Javier Espinoza Neira</v>
      </c>
      <c r="J32" s="82" t="str">
        <v/>
      </c>
      <c r="K32" t="str">
        <v>EINJ650713HCLSRV07</v>
      </c>
      <c r="L32" s="82">
        <v>22242138</v>
      </c>
      <c r="M32" s="82">
        <v>8446653191</v>
      </c>
      <c r="N32" t="str">
        <v>NUEVO MENOR</v>
      </c>
      <c r="O32" s="89">
        <v>12245.79</v>
      </c>
      <c r="P32" s="89">
        <v>3223.55</v>
      </c>
      <c r="Q32" s="89">
        <v>3673.74</v>
      </c>
      <c r="R32" s="89">
        <v>450.19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>
        <v>1</v>
      </c>
    </row>
    <row r="33" spans="1:24">
      <c r="A33" s="26" t="str">
        <v/>
      </c>
      <c r="B33" s="87">
        <v>46060.495138888888</v>
      </c>
      <c r="C33" s="87">
        <v>46205.577777777777</v>
      </c>
      <c r="D33" t="str">
        <v>anónimo</v>
      </c>
      <c r="E33" t="str">
        <v/>
      </c>
      <c r="F33" s="68">
        <v>46205</v>
      </c>
      <c r="G33" s="88">
        <v>46060</v>
      </c>
      <c r="H33" t="str">
        <v>YULIANA RODRIGUEZ C/C</v>
      </c>
      <c r="I33" t="str">
        <v xml:space="preserve">martin gonzalez capitan </v>
      </c>
      <c r="J33" s="82" t="str">
        <v/>
      </c>
      <c r="K33" t="str">
        <v>GOCM591015HOCNPR05</v>
      </c>
      <c r="L33" s="82">
        <v>22242258</v>
      </c>
      <c r="M33" s="82">
        <v>5212871460110</v>
      </c>
      <c r="N33" t="str">
        <v>NUEVO MAYOR</v>
      </c>
      <c r="O33" s="89">
        <v>6099.07</v>
      </c>
      <c r="P33" s="89" t="str">
        <v/>
      </c>
      <c r="Q33" s="89">
        <v>1829.72</v>
      </c>
      <c r="R33" s="89">
        <v>1829.72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>
        <v>1</v>
      </c>
    </row>
    <row r="34" spans="1:24">
      <c r="A34" s="26" t="str">
        <v/>
      </c>
      <c r="B34" s="87">
        <v>46060.592361111114</v>
      </c>
      <c r="C34" s="87">
        <v>46205.59375</v>
      </c>
      <c r="D34" t="str">
        <v>anónimo</v>
      </c>
      <c r="E34" t="str">
        <v/>
      </c>
      <c r="F34" s="68">
        <v>46205</v>
      </c>
      <c r="G34" s="88">
        <v>46060</v>
      </c>
      <c r="H34" t="str">
        <v>ALBERTO POZOS EXT</v>
      </c>
      <c r="I34" t="str">
        <v xml:space="preserve">JUAN CARLOS </v>
      </c>
      <c r="J34" s="82">
        <v>60897104687</v>
      </c>
      <c r="K34" t="str">
        <v/>
      </c>
      <c r="L34" s="82">
        <v>1</v>
      </c>
      <c r="M34" s="82">
        <v>8715683390</v>
      </c>
      <c r="N34" t="str">
        <v>RESTRINGIDA</v>
      </c>
      <c r="O34" s="89">
        <v>8527.41</v>
      </c>
      <c r="P34" s="89">
        <v>1540.38</v>
      </c>
      <c r="Q34" s="89">
        <v>2558.2199999999998</v>
      </c>
      <c r="R34" s="89">
        <v>1017.84</v>
      </c>
      <c r="S34">
        <v>46029</v>
      </c>
      <c r="T34" t="str">
        <v>FISOFO</v>
      </c>
      <c r="U34" t="str">
        <v/>
      </c>
      <c r="V34" t="str">
        <v/>
      </c>
      <c r="W34" t="str">
        <v/>
      </c>
      <c r="X34">
        <v>2</v>
      </c>
    </row>
    <row r="35" spans="1:24">
      <c r="A35" s="26" t="str">
        <v/>
      </c>
      <c r="B35" s="87">
        <v>46060.593055555553</v>
      </c>
      <c r="C35" s="87">
        <v>46205.617361111108</v>
      </c>
      <c r="D35" t="str">
        <v>anónimo</v>
      </c>
      <c r="E35" t="str">
        <v/>
      </c>
      <c r="F35" s="68">
        <v>46205</v>
      </c>
      <c r="G35" s="88">
        <v>46060</v>
      </c>
      <c r="H35" t="str">
        <v>YAMILETH LÓPEZ HDEZ SUR</v>
      </c>
      <c r="I35" t="str">
        <v>ISMAEL PEREZ MORA</v>
      </c>
      <c r="J35" s="82" t="str">
        <v/>
      </c>
      <c r="K35" t="str">
        <v>PEMI631217HTSRRS03</v>
      </c>
      <c r="L35" s="82">
        <v>22245584</v>
      </c>
      <c r="M35" s="82">
        <v>5218125912554</v>
      </c>
      <c r="N35" t="str">
        <v>NUEVO MAYOR</v>
      </c>
      <c r="O35" s="89">
        <v>9504.7000000000007</v>
      </c>
      <c r="P35" s="89" t="str">
        <v/>
      </c>
      <c r="Q35" s="89">
        <v>2851.41</v>
      </c>
      <c r="R35" s="89">
        <v>2851.41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>
        <v>1</v>
      </c>
    </row>
    <row r="36" spans="1:24">
      <c r="A36" s="26" t="str">
        <v/>
      </c>
      <c r="B36" s="87">
        <v>46060.647222222222</v>
      </c>
      <c r="C36" s="87">
        <v>46205.648611111108</v>
      </c>
      <c r="D36" t="str">
        <v>anónimo</v>
      </c>
      <c r="E36" t="str">
        <v/>
      </c>
      <c r="F36" s="68">
        <v>46205</v>
      </c>
      <c r="G36" s="88">
        <v>46060</v>
      </c>
      <c r="H36" t="str">
        <v>MARA HERNANDEZ SUR</v>
      </c>
      <c r="I36" t="str">
        <v>JUAN VARGAS MAYORGA</v>
      </c>
      <c r="J36" s="82">
        <v>54886423372</v>
      </c>
      <c r="K36" t="str">
        <v>VAMJ640821HNTRYN16</v>
      </c>
      <c r="L36" s="82">
        <v>22245440</v>
      </c>
      <c r="M36" s="82">
        <v>5213228889443</v>
      </c>
      <c r="N36" t="str">
        <v>NUEVO MAYOR</v>
      </c>
      <c r="O36" s="89">
        <v>10636.54</v>
      </c>
      <c r="P36" s="89" t="str">
        <v/>
      </c>
      <c r="Q36" s="89">
        <v>3190.96</v>
      </c>
      <c r="R36" s="89">
        <v>3190.96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>
        <v>1</v>
      </c>
    </row>
    <row r="37" spans="1:24">
      <c r="A37" s="26" t="str">
        <v/>
      </c>
      <c r="B37" s="87">
        <v>46060.629861111112</v>
      </c>
      <c r="C37" s="87">
        <v>46205.682638888888</v>
      </c>
      <c r="D37" t="str">
        <v>anónimo</v>
      </c>
      <c r="E37" t="str">
        <v/>
      </c>
      <c r="F37" s="68">
        <v>46205</v>
      </c>
      <c r="G37" s="88">
        <v>46060</v>
      </c>
      <c r="H37" t="str">
        <v>HANIA GARCIA</v>
      </c>
      <c r="I37" t="str">
        <v>Juventino Martinez Silva</v>
      </c>
      <c r="J37" s="82" t="str">
        <v/>
      </c>
      <c r="K37" t="str">
        <v>MASJ530125HDFRLV03</v>
      </c>
      <c r="L37" s="82">
        <v>22245776</v>
      </c>
      <c r="M37" s="82">
        <v>5510173067</v>
      </c>
      <c r="N37" t="str">
        <v>NUEVO MENOR</v>
      </c>
      <c r="O37" s="89">
        <v>15842.31</v>
      </c>
      <c r="P37" s="89">
        <v>4342.05</v>
      </c>
      <c r="Q37" s="89">
        <v>4752.6899999999996</v>
      </c>
      <c r="R37" s="89">
        <v>410.64</v>
      </c>
      <c r="S37">
        <v>46032</v>
      </c>
      <c r="T37" t="str">
        <v/>
      </c>
      <c r="U37" t="str">
        <v/>
      </c>
      <c r="V37" t="str">
        <v/>
      </c>
      <c r="W37" t="str">
        <v/>
      </c>
      <c r="X37">
        <v>2</v>
      </c>
    </row>
    <row r="38" spans="1:24">
      <c r="A38" s="26" t="str">
        <v/>
      </c>
      <c r="B38" s="87">
        <v>46060.7</v>
      </c>
      <c r="C38" s="87">
        <v>46205.701388888891</v>
      </c>
      <c r="D38" t="str">
        <v>anónimo</v>
      </c>
      <c r="E38" t="str">
        <v/>
      </c>
      <c r="F38" s="68">
        <v>46205</v>
      </c>
      <c r="G38" s="88" t="str">
        <v>29/06/2026</v>
      </c>
      <c r="H38" t="str">
        <v>FERNANDA ROMERO SUR</v>
      </c>
      <c r="I38" t="str">
        <v>GLORIA RUIZ SOTO</v>
      </c>
      <c r="J38" s="82" t="str">
        <v/>
      </c>
      <c r="K38" t="str">
        <v>RUSG650417MDFZTL09</v>
      </c>
      <c r="L38" s="82">
        <v>22099872</v>
      </c>
      <c r="M38" s="82">
        <v>5215534890206</v>
      </c>
      <c r="N38" t="str">
        <v>COMPRA MENOR</v>
      </c>
      <c r="O38" s="89">
        <v>5617.63</v>
      </c>
      <c r="P38" s="89">
        <v>1392.57</v>
      </c>
      <c r="Q38" s="89">
        <v>1685.29</v>
      </c>
      <c r="R38" s="89">
        <v>52.08</v>
      </c>
      <c r="S38">
        <v>45668</v>
      </c>
      <c r="T38" t="str">
        <v/>
      </c>
      <c r="U38" t="str">
        <v/>
      </c>
      <c r="V38" t="str">
        <v/>
      </c>
      <c r="W38" t="str">
        <v/>
      </c>
      <c r="X38">
        <v>2</v>
      </c>
    </row>
    <row r="39" spans="1:24">
      <c r="A39" s="26" t="str">
        <v/>
      </c>
      <c r="B39" s="87">
        <v>46060.592361111114</v>
      </c>
      <c r="C39" s="87">
        <v>46205.711805555555</v>
      </c>
      <c r="D39" t="str">
        <v>anónimo</v>
      </c>
      <c r="E39" t="str">
        <v/>
      </c>
      <c r="F39" s="68">
        <v>46205</v>
      </c>
      <c r="G39" s="88">
        <v>46060</v>
      </c>
      <c r="H39" t="str">
        <v>ROSA CASTRO SUR</v>
      </c>
      <c r="I39" t="str">
        <v xml:space="preserve">SONIA ZARATE PAZ </v>
      </c>
      <c r="J39" s="82">
        <v>31907036086</v>
      </c>
      <c r="K39" t="str">
        <v>ZAPS721109MMCRZN08</v>
      </c>
      <c r="L39" s="82">
        <v>22249500</v>
      </c>
      <c r="M39" s="82">
        <v>5216181582484</v>
      </c>
      <c r="N39" t="str">
        <v>NUEVO MAYOR</v>
      </c>
      <c r="O39" s="89">
        <v>8784.2900000000009</v>
      </c>
      <c r="P39" s="89" t="str">
        <v/>
      </c>
      <c r="Q39" s="89">
        <v>2635.29</v>
      </c>
      <c r="R39" s="89">
        <v>2635.29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>
        <v>1</v>
      </c>
    </row>
    <row r="40" spans="1:24">
      <c r="A40" s="26" t="str">
        <v/>
      </c>
      <c r="B40" s="87">
        <v>46060.736805555556</v>
      </c>
      <c r="C40" s="87">
        <v>46205.737500000003</v>
      </c>
      <c r="D40" t="str">
        <v>anónimo</v>
      </c>
      <c r="E40" t="str">
        <v/>
      </c>
      <c r="F40" s="68">
        <v>46205</v>
      </c>
      <c r="G40" s="88">
        <v>46060</v>
      </c>
      <c r="H40" t="str">
        <v>ALBERTO POZOS EXT</v>
      </c>
      <c r="I40" t="str">
        <v/>
      </c>
      <c r="J40" s="82">
        <v>31816321702</v>
      </c>
      <c r="K40" t="str">
        <v/>
      </c>
      <c r="L40" s="82">
        <v>1</v>
      </c>
      <c r="M40" s="82" t="str">
        <v>NO PROMOCIONO</v>
      </c>
      <c r="N40" t="str">
        <v>NUEVO MENOR</v>
      </c>
      <c r="O40" s="89">
        <v>7920.51</v>
      </c>
      <c r="P40" s="89">
        <v>1228.47</v>
      </c>
      <c r="Q40" s="89">
        <v>2376.15</v>
      </c>
      <c r="R40" s="89">
        <v>1147.68</v>
      </c>
      <c r="S40">
        <v>46394</v>
      </c>
      <c r="T40" t="str">
        <v/>
      </c>
      <c r="U40" t="str">
        <v/>
      </c>
      <c r="V40" t="str">
        <v/>
      </c>
      <c r="W40" t="str">
        <v/>
      </c>
      <c r="X40">
        <v>2</v>
      </c>
    </row>
    <row r="41" spans="1:24">
      <c r="A41" s="26" t="str">
        <v/>
      </c>
      <c r="B41" s="87">
        <v>46060.626388888886</v>
      </c>
      <c r="C41" s="87">
        <v>46205.75277777778</v>
      </c>
      <c r="D41" t="str">
        <v>anónimo</v>
      </c>
      <c r="E41" t="str">
        <v/>
      </c>
      <c r="F41" s="68">
        <v>46205</v>
      </c>
      <c r="G41" s="88">
        <v>46060</v>
      </c>
      <c r="H41" t="str">
        <v>LUIS DAVILA C/C</v>
      </c>
      <c r="I41" t="str">
        <v>ENRIQUE RAMIREZ</v>
      </c>
      <c r="J41" s="82">
        <v>1725287898</v>
      </c>
      <c r="K41" t="str">
        <v>RADE520715HDFMLN00</v>
      </c>
      <c r="L41" s="82">
        <v>22207964</v>
      </c>
      <c r="M41" s="82">
        <v>5215569151192</v>
      </c>
      <c r="N41" t="str">
        <v>NUEVO MENOR</v>
      </c>
      <c r="O41" s="89">
        <v>4813.6899999999996</v>
      </c>
      <c r="P41" s="89" t="str">
        <v/>
      </c>
      <c r="Q41" s="89">
        <v>1444.11</v>
      </c>
      <c r="R41" s="89">
        <v>640.71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>
        <v>1</v>
      </c>
    </row>
    <row r="42" spans="1:24">
      <c r="A42" s="26" t="str">
        <v/>
      </c>
      <c r="B42" s="87">
        <v>46060.75277777778</v>
      </c>
      <c r="C42" s="87">
        <v>46205.754861111112</v>
      </c>
      <c r="D42" t="str">
        <v>anónimo</v>
      </c>
      <c r="E42" t="str">
        <v/>
      </c>
      <c r="F42" s="68">
        <v>46205</v>
      </c>
      <c r="G42" s="88">
        <v>46060</v>
      </c>
      <c r="H42" t="str">
        <v>DEYANIRA CORDOVA C/C</v>
      </c>
      <c r="I42" t="str">
        <v>rosa maria</v>
      </c>
      <c r="J42" s="82">
        <v>43775958044</v>
      </c>
      <c r="K42" t="str">
        <v/>
      </c>
      <c r="L42" s="82">
        <v>22212628</v>
      </c>
      <c r="M42" s="82">
        <v>8116002549</v>
      </c>
      <c r="N42" t="str">
        <v>NUEVO MENOR</v>
      </c>
      <c r="O42" s="89">
        <v>4813.6899999999996</v>
      </c>
      <c r="P42" s="89" t="str">
        <v/>
      </c>
      <c r="Q42" s="89">
        <v>1444.11</v>
      </c>
      <c r="R42" s="89">
        <v>640.71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1</v>
      </c>
    </row>
    <row r="43" spans="1:24">
      <c r="A43" s="26" t="str">
        <v/>
      </c>
      <c r="B43" s="87">
        <v>46088.381249999999</v>
      </c>
      <c r="C43" s="87">
        <v>46206.384027777778</v>
      </c>
      <c r="D43" t="str">
        <v>anónimo</v>
      </c>
      <c r="E43" t="str">
        <v/>
      </c>
      <c r="F43" s="68">
        <v>46206</v>
      </c>
      <c r="G43" s="88" t="str">
        <v>30/06/2026</v>
      </c>
      <c r="H43" t="str">
        <v>YULIANA RODRIGUEZ C/C</v>
      </c>
      <c r="I43" t="str">
        <v>LUCIO JUAN  RUBIO ANACORETA</v>
      </c>
      <c r="J43" s="82" t="str">
        <v/>
      </c>
      <c r="K43" t="str">
        <v>RUAL430127HMCBNC00</v>
      </c>
      <c r="L43" s="82">
        <v>22145074</v>
      </c>
      <c r="M43" s="82">
        <v>5215618817424</v>
      </c>
      <c r="N43" t="str">
        <v>NUEVO MAYOR</v>
      </c>
      <c r="O43" s="89">
        <v>6153.16</v>
      </c>
      <c r="P43" s="89" t="str">
        <v/>
      </c>
      <c r="Q43" s="89">
        <v>1845.95</v>
      </c>
      <c r="R43" s="89">
        <v>1845.95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1</v>
      </c>
    </row>
    <row r="44" spans="1:24">
      <c r="A44" s="26" t="str">
        <v/>
      </c>
      <c r="B44" s="87">
        <v>46088.413194444445</v>
      </c>
      <c r="C44" s="87">
        <v>46206.414583333331</v>
      </c>
      <c r="D44" t="str">
        <v>anónimo</v>
      </c>
      <c r="E44" t="str">
        <v/>
      </c>
      <c r="F44" s="68">
        <v>46206</v>
      </c>
      <c r="G44" s="88">
        <v>46060</v>
      </c>
      <c r="H44" t="str">
        <v>YULIANA RODRIGUEZ C/C</v>
      </c>
      <c r="I44" t="str">
        <v>Abelina tinas nicanor</v>
      </c>
      <c r="J44" s="82" t="str">
        <v/>
      </c>
      <c r="K44" t="str">
        <v>TINA480828MGRNCB04</v>
      </c>
      <c r="L44" s="82">
        <v>22247348</v>
      </c>
      <c r="M44" s="82">
        <v>5212204891623</v>
      </c>
      <c r="N44" t="str">
        <v>NUEVO MENOR</v>
      </c>
      <c r="O44" s="89">
        <v>6257.23</v>
      </c>
      <c r="P44" s="89">
        <v>848</v>
      </c>
      <c r="Q44" s="89">
        <v>1877.17</v>
      </c>
      <c r="R44" s="89">
        <v>1029.17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>
        <v>1</v>
      </c>
    </row>
    <row r="45" spans="1:24">
      <c r="A45" s="26" t="str">
        <v/>
      </c>
      <c r="B45" s="87">
        <v>46088.414583333331</v>
      </c>
      <c r="C45" s="87">
        <v>46206.415972222225</v>
      </c>
      <c r="D45" t="str">
        <v>anónimo</v>
      </c>
      <c r="E45" t="str">
        <v/>
      </c>
      <c r="F45" s="68">
        <v>46206</v>
      </c>
      <c r="G45" s="88">
        <v>46060</v>
      </c>
      <c r="H45" t="str">
        <v>DEYANIRA CORDOVA C/C</v>
      </c>
      <c r="I45" t="str">
        <v>RAYMUNDO</v>
      </c>
      <c r="J45" s="82" t="str">
        <v/>
      </c>
      <c r="K45" t="str">
        <v>MOVR630501HPLGZY07</v>
      </c>
      <c r="L45" s="82">
        <v>22228666</v>
      </c>
      <c r="M45" s="82">
        <v>5212311216916</v>
      </c>
      <c r="N45" t="str">
        <v>COMPRA MAYOR</v>
      </c>
      <c r="O45" s="89">
        <v>6404.45</v>
      </c>
      <c r="P45" s="89">
        <v>1778</v>
      </c>
      <c r="Q45" s="89">
        <v>1921.34</v>
      </c>
      <c r="R45" s="89">
        <v>143.34</v>
      </c>
      <c r="S45">
        <v>46029</v>
      </c>
      <c r="T45" t="str">
        <v/>
      </c>
      <c r="U45" t="str">
        <v/>
      </c>
      <c r="V45" t="str">
        <v/>
      </c>
      <c r="W45" t="str">
        <v/>
      </c>
      <c r="X45">
        <v>2</v>
      </c>
    </row>
    <row r="46" spans="1:24">
      <c r="A46" s="26" t="str">
        <v/>
      </c>
      <c r="B46" s="87">
        <v>46088.414583333331</v>
      </c>
      <c r="C46" s="87">
        <v>46206.415972222225</v>
      </c>
      <c r="D46" t="str">
        <v>anónimo</v>
      </c>
      <c r="E46" t="str">
        <v/>
      </c>
      <c r="F46" s="68">
        <v>46206</v>
      </c>
      <c r="G46" s="88">
        <v>46060</v>
      </c>
      <c r="H46" t="str">
        <v>LILIANA MARTINEZ SUR</v>
      </c>
      <c r="I46" t="str">
        <v>LIDIA GUADALUPE VILLANUEVA CAMPOS</v>
      </c>
      <c r="J46" s="82">
        <v>49876201242</v>
      </c>
      <c r="K46" t="str">
        <v>VICL700518MTSLMD04</v>
      </c>
      <c r="L46" s="82">
        <v>22249824</v>
      </c>
      <c r="M46" s="82">
        <v>5218341226737</v>
      </c>
      <c r="N46" t="str">
        <v>COMPRA MAYOR</v>
      </c>
      <c r="O46" s="89">
        <v>7128.48</v>
      </c>
      <c r="P46" s="89">
        <v>2045.18</v>
      </c>
      <c r="Q46" s="89">
        <v>2138.54</v>
      </c>
      <c r="R46" s="89">
        <v>93.36</v>
      </c>
      <c r="S46">
        <v>46029</v>
      </c>
      <c r="T46" t="str">
        <v/>
      </c>
      <c r="U46" t="str">
        <v/>
      </c>
      <c r="V46" t="str">
        <v/>
      </c>
      <c r="W46" t="str">
        <v/>
      </c>
      <c r="X46">
        <v>2</v>
      </c>
    </row>
    <row r="47" spans="1:24">
      <c r="A47" s="26" t="str">
        <v/>
      </c>
      <c r="B47" s="87">
        <v>46088.42083333333</v>
      </c>
      <c r="C47" s="87">
        <v>46206.42291666667</v>
      </c>
      <c r="D47" t="str">
        <v>anónimo</v>
      </c>
      <c r="E47" t="str">
        <v/>
      </c>
      <c r="F47" s="68">
        <v>46206</v>
      </c>
      <c r="G47" s="88">
        <v>46060</v>
      </c>
      <c r="H47" t="str">
        <v>MARA HERNANDEZ SUR</v>
      </c>
      <c r="I47" t="str">
        <v>GUSTAVO ADOLFO VILLASEÑOR BORBOLLA</v>
      </c>
      <c r="J47" s="82">
        <v>24775809635</v>
      </c>
      <c r="K47" t="str">
        <v>VIBG581021HSLLRS08</v>
      </c>
      <c r="L47" s="82">
        <v>22251940</v>
      </c>
      <c r="M47" s="82">
        <v>5216145373538</v>
      </c>
      <c r="N47" t="str">
        <v>COMPRA MAYOR</v>
      </c>
      <c r="O47" s="89">
        <v>9504.7000000000007</v>
      </c>
      <c r="P47" s="89">
        <v>2482.13</v>
      </c>
      <c r="Q47" s="89">
        <v>2851.41</v>
      </c>
      <c r="R47" s="89">
        <v>369.28</v>
      </c>
      <c r="S47">
        <v>46028</v>
      </c>
      <c r="T47" t="str">
        <v/>
      </c>
      <c r="U47" t="str">
        <v/>
      </c>
      <c r="V47" t="str">
        <v/>
      </c>
      <c r="W47" t="str">
        <v/>
      </c>
      <c r="X47">
        <v>2</v>
      </c>
    </row>
    <row r="48" spans="1:24">
      <c r="A48" s="26" t="str">
        <v/>
      </c>
      <c r="B48" s="87">
        <v>46088.42291666667</v>
      </c>
      <c r="C48" s="87">
        <v>46206.428472222222</v>
      </c>
      <c r="D48" t="str">
        <v>anónimo</v>
      </c>
      <c r="E48" t="str">
        <v/>
      </c>
      <c r="F48" s="68">
        <v>46206</v>
      </c>
      <c r="G48" s="88" t="str">
        <v>22/06/2026</v>
      </c>
      <c r="H48" t="str">
        <v>MAFER Z</v>
      </c>
      <c r="I48" t="str">
        <v>SANDRA GAUNA HERNANDEZ</v>
      </c>
      <c r="J48" s="82">
        <v>43826586166</v>
      </c>
      <c r="K48" t="str">
        <v>GAHS650810MNLNRN09</v>
      </c>
      <c r="L48" s="82">
        <v>21908108</v>
      </c>
      <c r="M48" s="82">
        <v>8135766668</v>
      </c>
      <c r="N48" t="str">
        <v>NUEVO MAYOR</v>
      </c>
      <c r="O48" s="89">
        <v>9760.32</v>
      </c>
      <c r="P48" s="89">
        <v>879</v>
      </c>
      <c r="Q48" s="89">
        <v>2928.1</v>
      </c>
      <c r="R48" s="89">
        <v>2049.1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>
        <v>1</v>
      </c>
    </row>
    <row r="49" spans="1:24">
      <c r="A49" s="26" t="str">
        <v/>
      </c>
      <c r="B49" s="87">
        <v>46088.429166666669</v>
      </c>
      <c r="C49" s="87">
        <v>46206.458333333336</v>
      </c>
      <c r="D49" t="str">
        <v>anónimo</v>
      </c>
      <c r="E49" t="str">
        <v/>
      </c>
      <c r="F49" s="68">
        <v>46206</v>
      </c>
      <c r="G49" s="88">
        <v>46088</v>
      </c>
      <c r="H49" t="str">
        <v>JENNIFER AVENDAÑO SUR</v>
      </c>
      <c r="I49" t="str">
        <v>MARTIN AGUILAR ALEMAN</v>
      </c>
      <c r="J49" s="82">
        <v>32816384310</v>
      </c>
      <c r="K49" t="str">
        <v>AUAM631225HCLGLR07</v>
      </c>
      <c r="L49" s="82">
        <v>22267094</v>
      </c>
      <c r="M49" s="82">
        <v>5218182104800</v>
      </c>
      <c r="N49" t="str">
        <v>RESTRINGIDA</v>
      </c>
      <c r="O49" s="89">
        <v>7920.51</v>
      </c>
      <c r="P49" s="89">
        <v>2183.66</v>
      </c>
      <c r="Q49" s="89">
        <v>2376.15</v>
      </c>
      <c r="R49" s="89">
        <v>192.49</v>
      </c>
      <c r="S49">
        <v>46027</v>
      </c>
      <c r="T49" t="str">
        <v>CONSUBANCO</v>
      </c>
      <c r="U49" t="str">
        <v/>
      </c>
      <c r="V49" t="str">
        <v/>
      </c>
      <c r="W49" t="str">
        <v/>
      </c>
      <c r="X49">
        <v>2</v>
      </c>
    </row>
    <row r="50" spans="1:24">
      <c r="A50" s="26" t="str">
        <v/>
      </c>
      <c r="B50" s="87">
        <v>46088.447916666664</v>
      </c>
      <c r="C50" s="87">
        <v>46206.486805555556</v>
      </c>
      <c r="D50" t="str">
        <v>anónimo</v>
      </c>
      <c r="E50" t="str">
        <v/>
      </c>
      <c r="F50" s="68">
        <v>46206</v>
      </c>
      <c r="G50" s="88">
        <v>46088</v>
      </c>
      <c r="H50" t="str">
        <v>YAMILETH LÓPEZ HDEZ SUR</v>
      </c>
      <c r="I50" t="str">
        <v>EDUARDO FLORES HERNANDEZ</v>
      </c>
      <c r="J50" s="82">
        <v>92887056593</v>
      </c>
      <c r="K50" t="str">
        <v>FOHE701217HDFLRD05</v>
      </c>
      <c r="L50" s="82">
        <v>22268572</v>
      </c>
      <c r="M50" s="82">
        <v>5216243151388</v>
      </c>
      <c r="N50" t="str">
        <v>RESTRINGIDA</v>
      </c>
      <c r="O50" s="89">
        <v>5950.2</v>
      </c>
      <c r="P50" s="89">
        <v>1644.73</v>
      </c>
      <c r="Q50" s="89">
        <v>1785.06</v>
      </c>
      <c r="R50" s="89">
        <v>132.49</v>
      </c>
      <c r="S50">
        <v>46028</v>
      </c>
      <c r="T50" t="str">
        <v/>
      </c>
      <c r="U50" t="str">
        <v/>
      </c>
      <c r="V50" t="str">
        <v/>
      </c>
      <c r="W50" t="str">
        <v/>
      </c>
      <c r="X50">
        <v>2</v>
      </c>
    </row>
    <row r="51" spans="1:24">
      <c r="A51" s="26" t="str">
        <v/>
      </c>
      <c r="B51" s="87">
        <v>46088.487500000003</v>
      </c>
      <c r="C51" s="87">
        <v>46206.489583333336</v>
      </c>
      <c r="D51" t="str">
        <v>anónimo</v>
      </c>
      <c r="E51" t="str">
        <v/>
      </c>
      <c r="F51" s="68">
        <v>46206</v>
      </c>
      <c r="G51" s="88">
        <v>46088</v>
      </c>
      <c r="H51" t="str">
        <v>ALBERTO POZOS EXT</v>
      </c>
      <c r="I51" t="str">
        <v xml:space="preserve">GUILLERMO PÉREZ MARTÍNEZ </v>
      </c>
      <c r="J51" s="82">
        <v>11886409967</v>
      </c>
      <c r="K51" t="str">
        <v>PEMG640903HDFRRL16</v>
      </c>
      <c r="L51" s="82">
        <v>1</v>
      </c>
      <c r="M51" s="82">
        <v>5520414265</v>
      </c>
      <c r="N51" t="str">
        <v>NUEVO MAYOR</v>
      </c>
      <c r="O51" s="89">
        <v>9081.52</v>
      </c>
      <c r="P51" s="89" t="str">
        <v/>
      </c>
      <c r="Q51" s="89">
        <v>2724.46</v>
      </c>
      <c r="R51" s="89">
        <v>2724.46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>
        <v>1</v>
      </c>
    </row>
    <row r="52" spans="1:24">
      <c r="A52" s="26" t="str">
        <v/>
      </c>
      <c r="B52" s="87">
        <v>46088.486805555556</v>
      </c>
      <c r="C52" s="87">
        <v>46206.490277777775</v>
      </c>
      <c r="D52" t="str">
        <v>anónimo</v>
      </c>
      <c r="E52" t="str">
        <v/>
      </c>
      <c r="F52" s="68">
        <v>46206</v>
      </c>
      <c r="G52" s="88">
        <v>46088</v>
      </c>
      <c r="H52" t="str">
        <v>YAMILETH LÓPEZ HDEZ SUR</v>
      </c>
      <c r="I52" t="str">
        <v>JUAN ESTUDILLO RIOS</v>
      </c>
      <c r="J52" s="82" t="str">
        <v/>
      </c>
      <c r="K52" t="str">
        <v>EURJ591224HPLSSN07</v>
      </c>
      <c r="L52" s="82">
        <v>22269098</v>
      </c>
      <c r="M52" s="82">
        <v>5212224735440</v>
      </c>
      <c r="N52" t="str">
        <v>NUEVO MENOR</v>
      </c>
      <c r="O52" s="89">
        <v>35696.699999999997</v>
      </c>
      <c r="P52" s="89">
        <v>9905.56</v>
      </c>
      <c r="Q52" s="89">
        <v>10709.01</v>
      </c>
      <c r="R52" s="89">
        <v>803.45</v>
      </c>
      <c r="S52">
        <v>46031</v>
      </c>
      <c r="T52" t="str">
        <v/>
      </c>
      <c r="U52" t="str">
        <v/>
      </c>
      <c r="V52" t="str">
        <v/>
      </c>
      <c r="W52" t="str">
        <v/>
      </c>
      <c r="X52">
        <v>2</v>
      </c>
    </row>
    <row r="53" spans="1:24">
      <c r="A53" s="26" t="str">
        <v/>
      </c>
      <c r="B53" s="87">
        <v>46088.488194444442</v>
      </c>
      <c r="C53" s="87">
        <v>46206.495138888888</v>
      </c>
      <c r="D53" t="str">
        <v>anónimo</v>
      </c>
      <c r="E53" t="str">
        <v/>
      </c>
      <c r="F53" s="68">
        <v>46206</v>
      </c>
      <c r="G53" s="88" t="str">
        <v>25/06/2026</v>
      </c>
      <c r="H53" t="str">
        <v>MAFER Z</v>
      </c>
      <c r="I53" t="str">
        <v>JORGE LOPEZ SALINAS</v>
      </c>
      <c r="J53" s="82" t="str">
        <v/>
      </c>
      <c r="K53" t="str">
        <v>LOSJ600727HCLPLR00</v>
      </c>
      <c r="L53" s="82">
        <v>22009942</v>
      </c>
      <c r="M53" s="82">
        <v>5218717354065</v>
      </c>
      <c r="N53" t="str">
        <v>RESTRINGIDA</v>
      </c>
      <c r="O53" s="89">
        <v>5617.63</v>
      </c>
      <c r="P53" s="89">
        <v>1237.42</v>
      </c>
      <c r="Q53" s="89">
        <v>1685.29</v>
      </c>
      <c r="R53" s="89">
        <v>207.23</v>
      </c>
      <c r="S53">
        <v>45661</v>
      </c>
      <c r="T53" t="str">
        <v/>
      </c>
      <c r="U53" t="str">
        <v/>
      </c>
      <c r="V53" t="str">
        <v/>
      </c>
      <c r="W53" t="str">
        <v/>
      </c>
      <c r="X53">
        <v>2</v>
      </c>
    </row>
    <row r="54" spans="1:24">
      <c r="A54" s="26" t="str">
        <v/>
      </c>
      <c r="B54" s="87">
        <v>46088.556250000001</v>
      </c>
      <c r="C54" s="87">
        <v>46206.556944444441</v>
      </c>
      <c r="D54" t="str">
        <v>anónimo</v>
      </c>
      <c r="E54" t="str">
        <v/>
      </c>
      <c r="F54" s="68">
        <v>46206</v>
      </c>
      <c r="G54" s="88" t="str">
        <v>29/06/2026</v>
      </c>
      <c r="H54" t="str">
        <v>DULCE FRANCO</v>
      </c>
      <c r="I54" t="str">
        <v>EFRAIN TERAN GARCIA</v>
      </c>
      <c r="J54" s="82" t="str">
        <v/>
      </c>
      <c r="K54" t="str">
        <v>TEGE590604HTSRRF00</v>
      </c>
      <c r="L54" s="82">
        <v>22109534</v>
      </c>
      <c r="M54" s="82">
        <v>5218341495264</v>
      </c>
      <c r="N54" t="str">
        <v>RESTRINGIDA</v>
      </c>
      <c r="O54" s="89">
        <v>4813.6899999999996</v>
      </c>
      <c r="P54" s="89">
        <v>592.91</v>
      </c>
      <c r="Q54" s="89">
        <v>1444.11</v>
      </c>
      <c r="R54" s="89">
        <v>47.8</v>
      </c>
      <c r="S54">
        <v>46028</v>
      </c>
      <c r="T54" t="str">
        <v>CONSUBANCO</v>
      </c>
      <c r="U54" t="str">
        <v/>
      </c>
      <c r="V54" t="str">
        <v/>
      </c>
      <c r="W54" t="str">
        <v/>
      </c>
      <c r="X54">
        <v>2</v>
      </c>
    </row>
    <row r="55" spans="1:24">
      <c r="A55" s="26" t="str">
        <v/>
      </c>
      <c r="B55" s="87">
        <v>46088.557638888888</v>
      </c>
      <c r="C55" s="87">
        <v>46206.559027777781</v>
      </c>
      <c r="D55" t="str">
        <v>anónimo</v>
      </c>
      <c r="E55" t="str">
        <v/>
      </c>
      <c r="F55" s="68">
        <v>46206</v>
      </c>
      <c r="G55" s="88">
        <v>46088</v>
      </c>
      <c r="H55" t="str">
        <v>LILIANA MARTINEZ SUR</v>
      </c>
      <c r="I55" t="str">
        <v>MERCEDES CONCEPCION TABORA RIVERA</v>
      </c>
      <c r="J55" s="82">
        <v>42815505732</v>
      </c>
      <c r="K55" t="str">
        <v>TARM520718MNEBVR09</v>
      </c>
      <c r="L55" s="82">
        <v>22269054</v>
      </c>
      <c r="M55" s="82">
        <v>5219858521961</v>
      </c>
      <c r="N55" t="str">
        <v>NUEVO MAYOR</v>
      </c>
      <c r="O55" s="89">
        <v>9256.42</v>
      </c>
      <c r="P55" s="89">
        <v>848</v>
      </c>
      <c r="Q55" s="89">
        <v>2776.93</v>
      </c>
      <c r="R55" s="89">
        <v>1928.93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>
        <v>1</v>
      </c>
    </row>
    <row r="56" spans="1:24">
      <c r="A56" s="26" t="str">
        <v/>
      </c>
      <c r="B56" s="87">
        <v>46088.490277777775</v>
      </c>
      <c r="C56" s="87">
        <v>46206.573611111111</v>
      </c>
      <c r="D56" t="str">
        <v>anónimo</v>
      </c>
      <c r="E56" t="str">
        <v/>
      </c>
      <c r="F56" s="68">
        <v>46206</v>
      </c>
      <c r="G56" s="88">
        <v>46060</v>
      </c>
      <c r="H56" t="str">
        <v>YAMILETH LÓPEZ HDEZ SUR</v>
      </c>
      <c r="I56" t="str">
        <v>VIDAL MARTIN YESCAS</v>
      </c>
      <c r="J56" s="82">
        <v>24856332978</v>
      </c>
      <c r="K56" t="str">
        <v/>
      </c>
      <c r="L56" s="82">
        <v>22255792</v>
      </c>
      <c r="M56" s="82">
        <v>22255792</v>
      </c>
      <c r="N56" t="str">
        <v>NUEVO MAYOR</v>
      </c>
      <c r="O56" s="89">
        <v>30959.32</v>
      </c>
      <c r="P56" s="89" t="str">
        <v/>
      </c>
      <c r="Q56" s="89">
        <v>9287.7999999999993</v>
      </c>
      <c r="R56" s="89">
        <v>9287.7999999999993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>
        <v>1</v>
      </c>
    </row>
    <row r="57" spans="1:24">
      <c r="A57" s="26" t="str">
        <v/>
      </c>
      <c r="B57" s="87">
        <v>46088.573611111111</v>
      </c>
      <c r="C57" s="87">
        <v>46206.590277777781</v>
      </c>
      <c r="D57" t="str">
        <v>anónimo</v>
      </c>
      <c r="E57" t="str">
        <v/>
      </c>
      <c r="F57" s="68">
        <v>46206</v>
      </c>
      <c r="G57" s="88">
        <v>46088</v>
      </c>
      <c r="H57" t="str">
        <v>YAMILETH LÓPEZ HDEZ SUR</v>
      </c>
      <c r="I57" t="str">
        <v>JOSE ESCAMILLA HERNANDEZ</v>
      </c>
      <c r="J57" s="82" t="str">
        <v/>
      </c>
      <c r="K57" t="str">
        <v>EAHJ650105HCLSRS06</v>
      </c>
      <c r="L57" s="82">
        <v>22271542</v>
      </c>
      <c r="M57" s="82">
        <v>5218714168335</v>
      </c>
      <c r="N57" t="str">
        <v>NUEVO MAYOR</v>
      </c>
      <c r="O57" s="89">
        <v>10171.24</v>
      </c>
      <c r="P57" s="89" t="str">
        <v/>
      </c>
      <c r="Q57" s="89">
        <v>3051.37</v>
      </c>
      <c r="R57" s="89">
        <v>3051.37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>
        <v>1</v>
      </c>
    </row>
    <row r="58" spans="1:24">
      <c r="A58" s="26" t="str">
        <v/>
      </c>
      <c r="B58" s="87">
        <v>46088.598611111112</v>
      </c>
      <c r="C58" s="87">
        <v>46206.599305555559</v>
      </c>
      <c r="D58" t="str">
        <v>anónimo</v>
      </c>
      <c r="E58" t="str">
        <v/>
      </c>
      <c r="F58" s="68">
        <v>46206</v>
      </c>
      <c r="G58" s="88" t="str">
        <v>30/06/2026</v>
      </c>
      <c r="H58" t="str">
        <v>GLORIA ORTIZ C/C</v>
      </c>
      <c r="I58" t="str">
        <v>RAUL ESPINOZO VILLASANA</v>
      </c>
      <c r="J58" s="82">
        <v>10866111973</v>
      </c>
      <c r="K58" t="str">
        <v/>
      </c>
      <c r="L58" s="82">
        <v>22131510</v>
      </c>
      <c r="M58" s="82">
        <v>5215524424496</v>
      </c>
      <c r="N58" t="str">
        <v>NUEVO MAYOR</v>
      </c>
      <c r="O58" s="89">
        <v>24586.97</v>
      </c>
      <c r="P58" s="89" t="str">
        <v/>
      </c>
      <c r="Q58" s="89">
        <v>7376.09</v>
      </c>
      <c r="R58" s="89">
        <v>7376.09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>
        <v>1</v>
      </c>
    </row>
    <row r="59" spans="1:24">
      <c r="A59" s="26" t="str">
        <v/>
      </c>
      <c r="B59" s="87">
        <v>46088.607638888891</v>
      </c>
      <c r="C59" s="87">
        <v>46206.612500000003</v>
      </c>
      <c r="D59" t="str">
        <v>anónimo</v>
      </c>
      <c r="E59" t="str">
        <v/>
      </c>
      <c r="F59" s="68">
        <v>46206</v>
      </c>
      <c r="G59" s="88">
        <v>46088</v>
      </c>
      <c r="H59" t="str">
        <v>LILIANA MARTINEZ SUR</v>
      </c>
      <c r="I59" t="str">
        <v>ADRIAN MORENO CAMPOS</v>
      </c>
      <c r="J59" s="82">
        <v>12755703275</v>
      </c>
      <c r="K59" t="str">
        <v>MOCA570908HDFRMD01</v>
      </c>
      <c r="L59" s="82">
        <v>22273572</v>
      </c>
      <c r="M59" s="82">
        <v>5214621894855</v>
      </c>
      <c r="N59" t="str">
        <v>RESTRINGIDA</v>
      </c>
      <c r="O59" s="89">
        <v>5617.63</v>
      </c>
      <c r="P59" s="89">
        <v>1379.63</v>
      </c>
      <c r="Q59" s="89">
        <v>1685.29</v>
      </c>
      <c r="R59" s="89">
        <v>65.02</v>
      </c>
      <c r="S59">
        <v>44938</v>
      </c>
      <c r="T59" t="str">
        <v>FISOFO</v>
      </c>
      <c r="U59" t="str">
        <v/>
      </c>
      <c r="V59" t="str">
        <v/>
      </c>
      <c r="W59" t="str">
        <v/>
      </c>
      <c r="X59">
        <v>2</v>
      </c>
    </row>
    <row r="60" spans="1:24">
      <c r="A60" s="26" t="str">
        <v/>
      </c>
      <c r="B60" s="87">
        <v>46088.538888888892</v>
      </c>
      <c r="C60" s="87">
        <v>46206.631249999999</v>
      </c>
      <c r="D60" t="str">
        <v>anónimo</v>
      </c>
      <c r="E60" t="str">
        <v/>
      </c>
      <c r="F60" s="68">
        <v>46206</v>
      </c>
      <c r="G60" s="88">
        <v>46088</v>
      </c>
      <c r="H60" t="str">
        <v>ESMERALDA ESQUIVEL SUR</v>
      </c>
      <c r="I60" t="str">
        <v>Fatima del Rosario Heredia Sanchez</v>
      </c>
      <c r="J60" s="82" t="str">
        <v/>
      </c>
      <c r="K60" t="str">
        <v>HESF610514MCCRNT05</v>
      </c>
      <c r="L60" s="82">
        <v>22273146</v>
      </c>
      <c r="M60" s="82">
        <v>5219841060471</v>
      </c>
      <c r="N60" t="str">
        <v>NUEVO MENOR</v>
      </c>
      <c r="O60" s="89">
        <v>48339.4</v>
      </c>
      <c r="P60" s="89">
        <v>13985.72</v>
      </c>
      <c r="Q60" s="89">
        <v>14501.82</v>
      </c>
      <c r="R60" s="89">
        <v>516.1</v>
      </c>
      <c r="S60">
        <v>46391</v>
      </c>
      <c r="T60" t="str">
        <v/>
      </c>
      <c r="U60" t="str">
        <v/>
      </c>
      <c r="V60" t="str">
        <v/>
      </c>
      <c r="W60" t="str">
        <v/>
      </c>
      <c r="X60">
        <v>2</v>
      </c>
    </row>
    <row r="61" spans="1:24">
      <c r="A61" s="26" t="str">
        <v/>
      </c>
      <c r="B61" s="87">
        <v>46088.651388888888</v>
      </c>
      <c r="C61" s="87">
        <v>46206.654166666667</v>
      </c>
      <c r="D61" t="str">
        <v>anónimo</v>
      </c>
      <c r="E61" t="str">
        <v/>
      </c>
      <c r="F61" s="68">
        <v>46206</v>
      </c>
      <c r="G61" s="88">
        <v>46088</v>
      </c>
      <c r="H61" t="str">
        <v>MAFER Z</v>
      </c>
      <c r="I61" t="str">
        <v>JOSE LUIS TORRES LUNA</v>
      </c>
      <c r="J61" s="82">
        <v>43806064283</v>
      </c>
      <c r="K61" t="str">
        <v>TOLL600917HNLRNS06</v>
      </c>
      <c r="L61" s="82">
        <v>22275404</v>
      </c>
      <c r="M61" s="82">
        <v>5218122205052</v>
      </c>
      <c r="N61" t="str">
        <v>NUEVO MENOR</v>
      </c>
      <c r="O61" s="89">
        <v>5617.63</v>
      </c>
      <c r="P61" s="89">
        <v>879</v>
      </c>
      <c r="Q61" s="89">
        <v>1685.29</v>
      </c>
      <c r="R61" s="89">
        <v>565.65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>
        <v>1</v>
      </c>
    </row>
    <row r="62" spans="1:24">
      <c r="A62" s="26" t="str">
        <v/>
      </c>
      <c r="B62" s="87">
        <v>46088.597916666666</v>
      </c>
      <c r="C62" s="87">
        <v>46206.661111111112</v>
      </c>
      <c r="D62" t="str">
        <v>anónimo</v>
      </c>
      <c r="E62" t="str">
        <v/>
      </c>
      <c r="F62" s="68">
        <v>46206</v>
      </c>
      <c r="G62" s="88">
        <v>46088</v>
      </c>
      <c r="H62" t="str">
        <v>HANIA GARCIA</v>
      </c>
      <c r="I62" t="str">
        <v>Cesar Lopez Rojo</v>
      </c>
      <c r="J62" s="82" t="str">
        <v/>
      </c>
      <c r="K62" t="str">
        <v>LORC601129HSLPJS03</v>
      </c>
      <c r="L62" s="82">
        <v>22275604</v>
      </c>
      <c r="M62" s="82">
        <v>4531468232</v>
      </c>
      <c r="N62" t="str">
        <v>NUEVO MAYOR</v>
      </c>
      <c r="O62" s="89">
        <v>5670.94</v>
      </c>
      <c r="P62" s="89" t="str">
        <v/>
      </c>
      <c r="Q62" s="89">
        <v>1701.28</v>
      </c>
      <c r="R62" s="89">
        <v>1497.96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>
        <v>1</v>
      </c>
    </row>
    <row r="63" spans="1:24">
      <c r="A63" s="26" t="str">
        <v/>
      </c>
      <c r="B63" s="87">
        <v>46088.668749999997</v>
      </c>
      <c r="C63" s="87">
        <v>46206.668749999997</v>
      </c>
      <c r="D63" t="str">
        <v>anónimo</v>
      </c>
      <c r="E63" t="str">
        <v/>
      </c>
      <c r="F63" s="68">
        <v>46206</v>
      </c>
      <c r="G63" s="88">
        <v>46088</v>
      </c>
      <c r="H63" t="str">
        <v>JENNIFER AVENDAÑO SUR</v>
      </c>
      <c r="I63" t="str">
        <v>JAIME OVALLES PALACIOS</v>
      </c>
      <c r="J63" s="82">
        <v>71856003711</v>
      </c>
      <c r="K63" t="str">
        <v>OAPJ600925HCSVLM07</v>
      </c>
      <c r="L63" s="82">
        <v>22273350</v>
      </c>
      <c r="M63" s="82">
        <v>5219661131043</v>
      </c>
      <c r="N63" t="str">
        <v>NUEVO MAYOR</v>
      </c>
      <c r="O63" s="89">
        <v>11029.03</v>
      </c>
      <c r="P63" s="89" t="str">
        <v/>
      </c>
      <c r="Q63" s="89">
        <v>3308.71</v>
      </c>
      <c r="R63" s="89">
        <v>3308.71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>
        <v>1</v>
      </c>
    </row>
    <row r="64" spans="1:24">
      <c r="A64" s="26" t="str">
        <v/>
      </c>
      <c r="B64" s="87">
        <v>46088.679166666669</v>
      </c>
      <c r="C64" s="87">
        <v>46206.679861111108</v>
      </c>
      <c r="D64" t="str">
        <v>anónimo</v>
      </c>
      <c r="E64" t="str">
        <v/>
      </c>
      <c r="F64" s="68">
        <v>46206</v>
      </c>
      <c r="G64" s="88">
        <v>46088</v>
      </c>
      <c r="H64" t="str">
        <v>GLORIA ORTIZ C/C</v>
      </c>
      <c r="I64" t="str">
        <v>ROSA GUADALUPE ROMERO RAMIREZ</v>
      </c>
      <c r="J64" s="82">
        <v>23836119117</v>
      </c>
      <c r="K64" t="str">
        <v/>
      </c>
      <c r="L64" s="82">
        <v>22276590</v>
      </c>
      <c r="M64" s="82">
        <v>5219903041236</v>
      </c>
      <c r="N64" t="str">
        <v>COMPRA MAYOR</v>
      </c>
      <c r="O64" s="89">
        <v>5055.87</v>
      </c>
      <c r="P64" s="89">
        <v>1202.26</v>
      </c>
      <c r="Q64" s="89">
        <v>1516.76</v>
      </c>
      <c r="R64" s="89">
        <v>-319.37</v>
      </c>
      <c r="S64">
        <v>46029</v>
      </c>
      <c r="T64" t="str">
        <v/>
      </c>
      <c r="U64" t="str">
        <v/>
      </c>
      <c r="V64" t="str">
        <v/>
      </c>
      <c r="W64" t="str">
        <v/>
      </c>
      <c r="X64">
        <v>2</v>
      </c>
    </row>
    <row r="65" spans="1:24">
      <c r="A65" s="26" t="str">
        <v/>
      </c>
      <c r="B65" s="87">
        <v>46088.682638888888</v>
      </c>
      <c r="C65" s="87">
        <v>46206.68472222222</v>
      </c>
      <c r="D65" t="str">
        <v>anónimo</v>
      </c>
      <c r="E65" t="str">
        <v/>
      </c>
      <c r="F65" s="68">
        <v>46206</v>
      </c>
      <c r="G65" s="88" t="str">
        <v>25/06/2026</v>
      </c>
      <c r="H65" t="str">
        <v>ANA VILLEGAS C/C</v>
      </c>
      <c r="I65" t="str">
        <v>Jesus Manuel Perez Peraza</v>
      </c>
      <c r="J65" s="82">
        <v>54805720395</v>
      </c>
      <c r="K65" t="str">
        <v/>
      </c>
      <c r="L65" s="82">
        <v>22014576</v>
      </c>
      <c r="M65" s="82">
        <v>5216691294225</v>
      </c>
      <c r="N65" t="str">
        <v>NUEVO MENOR</v>
      </c>
      <c r="O65" s="89">
        <v>33036.519999999997</v>
      </c>
      <c r="P65" s="89">
        <v>9392.11</v>
      </c>
      <c r="Q65" s="89">
        <v>9910.9599999999991</v>
      </c>
      <c r="R65" s="89">
        <v>518.85</v>
      </c>
      <c r="S65">
        <v>46393</v>
      </c>
      <c r="T65" t="str">
        <v/>
      </c>
      <c r="U65" t="str">
        <v/>
      </c>
      <c r="V65" t="str">
        <v/>
      </c>
      <c r="W65" t="str">
        <v/>
      </c>
      <c r="X65">
        <v>2</v>
      </c>
    </row>
    <row r="66" spans="1:24">
      <c r="A66" s="26" t="str">
        <v/>
      </c>
      <c r="B66" s="87">
        <v>46088.686111111114</v>
      </c>
      <c r="C66" s="87">
        <v>46206.686805555553</v>
      </c>
      <c r="D66" t="str">
        <v>anónimo</v>
      </c>
      <c r="E66" t="str">
        <v/>
      </c>
      <c r="F66" s="68">
        <v>46206</v>
      </c>
      <c r="G66" s="88">
        <v>46088</v>
      </c>
      <c r="H66" t="str">
        <v>YULIANA RODRIGUEZ C/C</v>
      </c>
      <c r="I66" t="str">
        <v xml:space="preserve">ABELARDO CORTES ROSAS </v>
      </c>
      <c r="J66" s="82" t="str">
        <v/>
      </c>
      <c r="K66" t="str">
        <v>CORA640205HDFRSB02</v>
      </c>
      <c r="L66" s="82">
        <v>22276362</v>
      </c>
      <c r="M66" s="82">
        <v>5215647471721</v>
      </c>
      <c r="N66" t="str">
        <v>NUEVO MAYOR</v>
      </c>
      <c r="O66" s="89">
        <v>36067.29</v>
      </c>
      <c r="P66" s="89" t="str">
        <v/>
      </c>
      <c r="Q66" s="89">
        <v>10820.19</v>
      </c>
      <c r="R66" s="89">
        <v>10820.19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>
        <v>1</v>
      </c>
    </row>
    <row r="67" spans="1:24">
      <c r="A67" s="26" t="str">
        <v/>
      </c>
      <c r="B67" s="87">
        <v>46088.661111111112</v>
      </c>
      <c r="C67" s="87">
        <v>46206.695138888892</v>
      </c>
      <c r="D67" t="str">
        <v>anónimo</v>
      </c>
      <c r="E67" t="str">
        <v/>
      </c>
      <c r="F67" s="68">
        <v>46206</v>
      </c>
      <c r="G67" s="88">
        <v>46088</v>
      </c>
      <c r="H67" t="str">
        <v>HANIA GARCIA</v>
      </c>
      <c r="I67" t="str">
        <v>Jose Garcia Rangel</v>
      </c>
      <c r="J67" s="82" t="str">
        <v/>
      </c>
      <c r="K67" t="str">
        <v>GARJ630421HGTRNS06</v>
      </c>
      <c r="L67" s="82">
        <v>22275378</v>
      </c>
      <c r="M67" s="82">
        <v>3314245619</v>
      </c>
      <c r="N67" t="str">
        <v>NUEVO MAYOR</v>
      </c>
      <c r="O67" s="89">
        <v>9760.32</v>
      </c>
      <c r="P67" s="89" t="str">
        <v/>
      </c>
      <c r="Q67" s="89">
        <v>2928.1</v>
      </c>
      <c r="R67" s="89">
        <v>2928.1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>
        <v>1</v>
      </c>
    </row>
    <row r="68" spans="1:24">
      <c r="A68" s="26" t="str">
        <v/>
      </c>
      <c r="B68" s="87">
        <v>46088.691666666666</v>
      </c>
      <c r="C68" s="87">
        <v>46206.695833333331</v>
      </c>
      <c r="D68" t="str">
        <v>anónimo</v>
      </c>
      <c r="E68" t="str">
        <v/>
      </c>
      <c r="F68" s="68">
        <v>46206</v>
      </c>
      <c r="G68" s="88">
        <v>46088</v>
      </c>
      <c r="H68" t="str">
        <v>VALERY RODRIGUEZ SUR</v>
      </c>
      <c r="I68" t="str">
        <v>BENIGNO ARMANDO AVALOS QUINTERO</v>
      </c>
      <c r="J68" s="82" t="str">
        <v/>
      </c>
      <c r="K68" t="str">
        <v>AAQB540405HTSVNN01</v>
      </c>
      <c r="L68" s="82">
        <v>22266388</v>
      </c>
      <c r="M68" s="82">
        <v>5218331211701</v>
      </c>
      <c r="N68" t="str">
        <v>RESTRINGIDA</v>
      </c>
      <c r="O68" s="89">
        <v>4813.6899999999996</v>
      </c>
      <c r="P68" s="89">
        <v>748.85</v>
      </c>
      <c r="Q68" s="89">
        <v>1444.11</v>
      </c>
      <c r="R68" s="89">
        <v>-108.14</v>
      </c>
      <c r="S68">
        <v>45294</v>
      </c>
      <c r="T68" t="str">
        <v/>
      </c>
      <c r="U68" t="str">
        <v/>
      </c>
      <c r="V68" t="str">
        <v/>
      </c>
      <c r="W68" t="str">
        <v/>
      </c>
      <c r="X68">
        <v>2</v>
      </c>
    </row>
    <row r="69" spans="1:24">
      <c r="A69" s="26" t="str">
        <v/>
      </c>
      <c r="B69" s="87">
        <v>46088.707638888889</v>
      </c>
      <c r="C69" s="87">
        <v>46206.710416666669</v>
      </c>
      <c r="D69" t="str">
        <v>anónimo</v>
      </c>
      <c r="E69" t="str">
        <v/>
      </c>
      <c r="F69" s="68">
        <v>46206</v>
      </c>
      <c r="G69" s="88" t="str">
        <v>28/06/2026</v>
      </c>
      <c r="H69" t="str">
        <v>GLORIA ORTIZ C/C</v>
      </c>
      <c r="I69" t="str">
        <v>JAVIER REYES RAMIREZ</v>
      </c>
      <c r="J69" s="82">
        <v>10816427842</v>
      </c>
      <c r="K69" t="str">
        <v/>
      </c>
      <c r="L69" s="82">
        <v>22069066</v>
      </c>
      <c r="M69" s="82">
        <v>5215573846520</v>
      </c>
      <c r="N69" t="str">
        <v>NUEVO MAYOR</v>
      </c>
      <c r="O69" s="89">
        <v>9760.32</v>
      </c>
      <c r="P69" s="89" t="str">
        <v/>
      </c>
      <c r="Q69" s="89">
        <v>2928.1</v>
      </c>
      <c r="R69" s="89">
        <v>2928.1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>
        <v>1</v>
      </c>
    </row>
    <row r="70" spans="1:24">
      <c r="A70" s="26" t="str">
        <v/>
      </c>
      <c r="B70" s="87">
        <v>46119.347916666666</v>
      </c>
      <c r="C70" s="87">
        <v>46207.38958333333</v>
      </c>
      <c r="D70" t="str">
        <v>anónimo</v>
      </c>
      <c r="E70" t="str">
        <v/>
      </c>
      <c r="F70" s="68">
        <v>46207</v>
      </c>
      <c r="G70" s="88">
        <v>46119</v>
      </c>
      <c r="H70" t="str">
        <v>DULCE FRANCO</v>
      </c>
      <c r="I70" t="str">
        <v>JOAQUIN SANTIAGO HERNANDEZ</v>
      </c>
      <c r="J70" s="82" t="str">
        <v/>
      </c>
      <c r="K70" t="str">
        <v>SAHJ640320HVZNRQ08</v>
      </c>
      <c r="L70" s="82">
        <v>22287828</v>
      </c>
      <c r="M70" s="82">
        <v>5218445947253</v>
      </c>
      <c r="N70" t="str">
        <v>COMPRA MAYOR</v>
      </c>
      <c r="O70" s="89">
        <v>9081.52</v>
      </c>
      <c r="P70" s="89">
        <v>2521.35</v>
      </c>
      <c r="Q70" s="89">
        <v>2724.46</v>
      </c>
      <c r="R70" s="89">
        <v>203.11</v>
      </c>
      <c r="S70">
        <v>46029</v>
      </c>
      <c r="T70" t="str">
        <v/>
      </c>
      <c r="U70" t="str">
        <v/>
      </c>
      <c r="V70" t="str">
        <v/>
      </c>
      <c r="W70" t="str">
        <v/>
      </c>
      <c r="X70">
        <v>2</v>
      </c>
    </row>
    <row r="71" spans="1:24">
      <c r="A71" s="26" t="str">
        <v/>
      </c>
      <c r="B71" s="87">
        <v>46119.434027777781</v>
      </c>
      <c r="C71" s="87">
        <v>46207.435416666667</v>
      </c>
      <c r="D71" t="str">
        <v>anónimo</v>
      </c>
      <c r="E71" t="str">
        <v/>
      </c>
      <c r="F71" s="68">
        <v>46207</v>
      </c>
      <c r="G71" s="88" t="str">
        <v>28/06/2026</v>
      </c>
      <c r="H71" t="str">
        <v>DULCE FRANCO</v>
      </c>
      <c r="I71" t="str">
        <v>ARTURO CHAVEZ ALVARADO</v>
      </c>
      <c r="J71" s="82" t="str">
        <v/>
      </c>
      <c r="K71" t="str">
        <v>CAAA610910HNLHLR02</v>
      </c>
      <c r="L71" s="82">
        <v>22068448</v>
      </c>
      <c r="M71" s="82">
        <v>5218132440996</v>
      </c>
      <c r="N71" t="str">
        <v>NUEVO MAYOR</v>
      </c>
      <c r="O71" s="89">
        <v>9504.7000000000007</v>
      </c>
      <c r="P71" s="89" t="str">
        <v/>
      </c>
      <c r="Q71" s="89">
        <v>2851.41</v>
      </c>
      <c r="R71" s="89">
        <v>2851.41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>
        <v>1</v>
      </c>
    </row>
    <row r="72" spans="1:24">
      <c r="A72" s="26" t="str">
        <v/>
      </c>
      <c r="B72" s="87">
        <v>46060.537499999999</v>
      </c>
      <c r="C72" s="87">
        <v>46207.445833333331</v>
      </c>
      <c r="D72" t="str">
        <v>anónimo</v>
      </c>
      <c r="E72" t="str">
        <v/>
      </c>
      <c r="F72" s="68">
        <v>46207</v>
      </c>
      <c r="G72" s="88">
        <v>46119</v>
      </c>
      <c r="H72" t="str">
        <v>LUIS DAVILA C/C</v>
      </c>
      <c r="I72" t="str">
        <v>JULIO CESAR JIMENEZ GOVEA</v>
      </c>
      <c r="J72" s="82">
        <v>83775502525</v>
      </c>
      <c r="K72" t="str">
        <v>JIGJ550901HTCMLV09</v>
      </c>
      <c r="L72" s="82">
        <v>22279618</v>
      </c>
      <c r="M72" s="82">
        <v>5219343447799</v>
      </c>
      <c r="N72" t="str">
        <v>RESTRINGIDA</v>
      </c>
      <c r="O72" s="89">
        <v>6589.24</v>
      </c>
      <c r="P72" s="89">
        <v>1976.77</v>
      </c>
      <c r="Q72" s="89">
        <v>1976.77</v>
      </c>
      <c r="R72" s="89">
        <v>0</v>
      </c>
      <c r="S72">
        <v>45302</v>
      </c>
      <c r="T72" t="str">
        <v>FISOFO</v>
      </c>
      <c r="U72" t="str">
        <v/>
      </c>
      <c r="V72" t="str">
        <v/>
      </c>
      <c r="W72" t="str">
        <v/>
      </c>
      <c r="X72">
        <v>2</v>
      </c>
    </row>
    <row r="73" spans="1:24">
      <c r="A73" s="26" t="str">
        <v/>
      </c>
      <c r="B73" s="87">
        <v>46119.602777777778</v>
      </c>
      <c r="C73" s="87">
        <v>46207.604861111111</v>
      </c>
      <c r="D73" t="str">
        <v>anónimo</v>
      </c>
      <c r="E73" t="str">
        <v/>
      </c>
      <c r="F73" s="68">
        <v>46207</v>
      </c>
      <c r="G73" s="88" t="str">
        <v>21/06/2026</v>
      </c>
      <c r="H73" t="str">
        <v>LITZY MARTINEZ C/C</v>
      </c>
      <c r="I73" t="str">
        <v xml:space="preserve">JOSE ANGEL MARTINEZ MORALES </v>
      </c>
      <c r="J73" s="82">
        <v>32846605098</v>
      </c>
      <c r="K73" t="str">
        <v>MAMA670110HDGRRN02</v>
      </c>
      <c r="L73" s="82">
        <v>21883668</v>
      </c>
      <c r="M73" s="82">
        <v>5218771369038</v>
      </c>
      <c r="N73" t="str">
        <v>COMPRA MAYOR</v>
      </c>
      <c r="O73" s="89">
        <v>5642.22</v>
      </c>
      <c r="P73" s="89">
        <v>1354.16</v>
      </c>
      <c r="Q73" s="89">
        <v>1692.67</v>
      </c>
      <c r="R73" s="89">
        <v>115.08</v>
      </c>
      <c r="S73">
        <v>46028</v>
      </c>
      <c r="T73" t="str">
        <v/>
      </c>
      <c r="U73" t="str">
        <v/>
      </c>
      <c r="V73" t="str">
        <v/>
      </c>
      <c r="W73" t="str">
        <v/>
      </c>
      <c r="X73">
        <v>2</v>
      </c>
    </row>
    <row r="74" spans="1:24">
      <c r="A74" s="26" t="str">
        <v/>
      </c>
      <c r="B74" s="87">
        <v>46119.652083333334</v>
      </c>
      <c r="C74" s="87">
        <v>46207.656944444447</v>
      </c>
      <c r="D74" t="str">
        <v>anónimo</v>
      </c>
      <c r="E74" t="str">
        <v/>
      </c>
      <c r="F74" s="68">
        <v>46207</v>
      </c>
      <c r="G74" s="88">
        <v>46119</v>
      </c>
      <c r="H74" t="str">
        <v>MARA HERNANDEZ SUR</v>
      </c>
      <c r="I74" t="str">
        <v>Oscar García polendo</v>
      </c>
      <c r="J74" s="82">
        <v>33836425828</v>
      </c>
      <c r="K74" t="str">
        <v>GAPO631204HCHRLS05</v>
      </c>
      <c r="L74" s="82">
        <v>22294378</v>
      </c>
      <c r="M74" s="82">
        <v>5216565935140</v>
      </c>
      <c r="N74" t="str">
        <v>COMPRA MAYOR</v>
      </c>
      <c r="O74" s="89">
        <v>9081.52</v>
      </c>
      <c r="P74" s="89">
        <v>2518.73</v>
      </c>
      <c r="Q74" s="89">
        <v>2724.46</v>
      </c>
      <c r="R74" s="89">
        <v>205.73</v>
      </c>
      <c r="S74">
        <v>46028</v>
      </c>
      <c r="T74" t="str">
        <v/>
      </c>
      <c r="U74" t="str">
        <v/>
      </c>
      <c r="V74" t="str">
        <v/>
      </c>
      <c r="W74" t="str">
        <v/>
      </c>
      <c r="X74">
        <v>2</v>
      </c>
    </row>
    <row r="75" spans="1:24">
      <c r="A75" s="26" t="str">
        <v/>
      </c>
      <c r="B75" s="87">
        <v>46119.658333333333</v>
      </c>
      <c r="C75" s="87">
        <v>46207.736111111109</v>
      </c>
      <c r="D75" t="str">
        <v>anónimo</v>
      </c>
      <c r="E75" t="str">
        <v/>
      </c>
      <c r="F75" s="68">
        <v>46207</v>
      </c>
      <c r="G75" s="88">
        <v>46119</v>
      </c>
      <c r="H75" t="str">
        <v>ROSA CASTRO SUR</v>
      </c>
      <c r="I75" t="str">
        <v>GUADALUPE SANCHEZ CARRILLO</v>
      </c>
      <c r="J75" s="82">
        <v>56733000352</v>
      </c>
      <c r="K75" t="str">
        <v>SACG670211MNTNRD07</v>
      </c>
      <c r="L75" s="82">
        <v>22297682</v>
      </c>
      <c r="M75" s="82">
        <v>5213231126686</v>
      </c>
      <c r="N75" t="str">
        <v>NUEVO MAYOR</v>
      </c>
      <c r="O75" s="89">
        <v>5639.59</v>
      </c>
      <c r="P75" s="89" t="str">
        <v/>
      </c>
      <c r="Q75" s="89">
        <v>1691.88</v>
      </c>
      <c r="R75" s="89">
        <v>1466.61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>
        <v>1</v>
      </c>
    </row>
    <row r="76" spans="1:24">
      <c r="A76" s="26" t="str">
        <v/>
      </c>
      <c r="B76" s="87">
        <v>46149.34375</v>
      </c>
      <c r="C76" s="87">
        <v>46208.375694444447</v>
      </c>
      <c r="D76" t="str">
        <v>anónimo</v>
      </c>
      <c r="E76" t="str">
        <v/>
      </c>
      <c r="F76" s="68">
        <v>46208</v>
      </c>
      <c r="G76" s="88">
        <v>46149</v>
      </c>
      <c r="H76" t="str">
        <v>DULCE FRANCO</v>
      </c>
      <c r="I76" t="str">
        <v>CARLOS ARTURO YAÑEZ PEREZ</v>
      </c>
      <c r="J76" s="82" t="str">
        <v/>
      </c>
      <c r="K76" t="str">
        <v>YAPC700810HDFXRR05</v>
      </c>
      <c r="L76" s="82">
        <v>22304412</v>
      </c>
      <c r="M76" s="82">
        <v>5215580125655</v>
      </c>
      <c r="N76" t="str">
        <v>NUEVO MAYOR</v>
      </c>
      <c r="O76" s="89">
        <v>8793.09</v>
      </c>
      <c r="P76" s="89" t="str">
        <v/>
      </c>
      <c r="Q76" s="89">
        <v>2637.93</v>
      </c>
      <c r="R76" s="89">
        <v>2637.93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>
        <v>1</v>
      </c>
    </row>
    <row r="77" spans="1:24">
      <c r="A77" s="26" t="str">
        <v/>
      </c>
      <c r="B77" s="87">
        <v>46149.549305555556</v>
      </c>
      <c r="C77" s="87">
        <v>46208.551388888889</v>
      </c>
      <c r="D77" t="str">
        <v>anónimo</v>
      </c>
      <c r="E77" t="str">
        <v/>
      </c>
      <c r="F77" s="68">
        <v>46208</v>
      </c>
      <c r="G77" s="88">
        <v>46149</v>
      </c>
      <c r="H77" t="str">
        <v>GLORIA ORTIZ C/C</v>
      </c>
      <c r="I77" t="str">
        <v>JOSE JUAN SARAO MATEO</v>
      </c>
      <c r="J77" s="82">
        <v>83977817856</v>
      </c>
      <c r="K77" t="str">
        <v>SAMJ780710HCCRTN01</v>
      </c>
      <c r="L77" s="82">
        <v>22311476</v>
      </c>
      <c r="M77" s="82">
        <v>5219993631098</v>
      </c>
      <c r="N77" t="str">
        <v>NUEVO MAYOR</v>
      </c>
      <c r="O77" s="89">
        <v>5431.73</v>
      </c>
      <c r="P77" s="89" t="str">
        <v/>
      </c>
      <c r="Q77" s="89">
        <v>1629.52</v>
      </c>
      <c r="R77" s="89">
        <v>1258.75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>
        <v>1</v>
      </c>
    </row>
    <row r="78" spans="1:24">
      <c r="A78" s="26" t="str">
        <v/>
      </c>
      <c r="B78" s="87">
        <v>46149.604861111111</v>
      </c>
      <c r="C78" s="87">
        <v>46208.606249999997</v>
      </c>
      <c r="D78" t="str">
        <v>anónimo</v>
      </c>
      <c r="E78" t="str">
        <v/>
      </c>
      <c r="F78" s="68">
        <v>46208</v>
      </c>
      <c r="G78" s="88">
        <v>46149</v>
      </c>
      <c r="H78" t="str">
        <v>YULIANA RODRIGUEZ C/C</v>
      </c>
      <c r="I78" t="str">
        <v xml:space="preserve">MARIA ELIZABETH MALDONADO LANDA </v>
      </c>
      <c r="J78" s="82">
        <v>53816316755</v>
      </c>
      <c r="K78" t="str">
        <v>MALE861013MMNLNL01</v>
      </c>
      <c r="L78" s="82">
        <v>22313002</v>
      </c>
      <c r="M78" s="82">
        <v>5214522035247</v>
      </c>
      <c r="N78" t="str">
        <v>COMPRA MAYOR</v>
      </c>
      <c r="O78" s="89">
        <v>7128.48</v>
      </c>
      <c r="P78" s="89">
        <v>1890.26</v>
      </c>
      <c r="Q78" s="89">
        <v>2138.54</v>
      </c>
      <c r="R78" s="89">
        <v>248.28</v>
      </c>
      <c r="S78">
        <v>45668</v>
      </c>
      <c r="T78" t="str">
        <v/>
      </c>
      <c r="U78" t="str">
        <v/>
      </c>
      <c r="V78" t="str">
        <v/>
      </c>
      <c r="W78" t="str">
        <v/>
      </c>
      <c r="X78">
        <v>2</v>
      </c>
    </row>
    <row r="79" spans="1:24">
      <c r="A79" s="26" t="str">
        <v/>
      </c>
      <c r="B79" s="87">
        <v>46149.624305555553</v>
      </c>
      <c r="C79" s="87">
        <v>46208.625</v>
      </c>
      <c r="D79" t="str">
        <v>anónimo</v>
      </c>
      <c r="E79" t="str">
        <v/>
      </c>
      <c r="F79" s="68">
        <v>46208</v>
      </c>
      <c r="G79" s="88">
        <v>46149</v>
      </c>
      <c r="H79" t="str">
        <v>ANA VILLEGAS C/C</v>
      </c>
      <c r="I79" t="str">
        <v>Felipe Gonzalez</v>
      </c>
      <c r="J79" s="82">
        <v>13735701644</v>
      </c>
      <c r="K79" t="str">
        <v>GOIF570526HHGNSL09</v>
      </c>
      <c r="L79" s="82">
        <v>22311640</v>
      </c>
      <c r="M79" s="82">
        <v>5217713460540</v>
      </c>
      <c r="N79" t="str">
        <v>NUEVO MAYOR</v>
      </c>
      <c r="O79" s="89">
        <v>16644.53</v>
      </c>
      <c r="P79" s="89" t="str">
        <v/>
      </c>
      <c r="Q79" s="89">
        <v>4993.3599999999997</v>
      </c>
      <c r="R79" s="89">
        <v>4993.3599999999997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>
        <v>1</v>
      </c>
    </row>
    <row r="80" spans="1:24">
      <c r="A80" s="26" t="str">
        <v/>
      </c>
      <c r="B80" s="87">
        <v>46180.482638888891</v>
      </c>
      <c r="C80" s="87">
        <v>46209.48333333333</v>
      </c>
      <c r="D80" t="str">
        <v>anónimo</v>
      </c>
      <c r="E80" t="str">
        <v/>
      </c>
      <c r="F80" s="68">
        <v>46209</v>
      </c>
      <c r="G80" s="88">
        <v>46119</v>
      </c>
      <c r="H80" t="str">
        <v>DULCE FRANCO</v>
      </c>
      <c r="I80" t="str">
        <v>ALBERTO ARCE CALDERON</v>
      </c>
      <c r="J80" s="82" t="str">
        <v/>
      </c>
      <c r="K80" t="str">
        <v>AECA590921HBCRLL03</v>
      </c>
      <c r="L80" s="82">
        <v>22292842</v>
      </c>
      <c r="M80" s="82" t="str">
        <v>624 129 6518</v>
      </c>
      <c r="N80" t="str">
        <v>NUEVO MAYOR</v>
      </c>
      <c r="O80" s="89">
        <v>15407.69</v>
      </c>
      <c r="P80" s="89" t="str">
        <v/>
      </c>
      <c r="Q80" s="89">
        <v>4622.3100000000004</v>
      </c>
      <c r="R80" s="89">
        <v>4622.3100000000004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>
        <v>1</v>
      </c>
    </row>
    <row r="81" spans="1:24">
      <c r="A81" s="26" t="str">
        <v/>
      </c>
      <c r="B81" s="87">
        <v>46180.484722222223</v>
      </c>
      <c r="C81" s="87">
        <v>46209.486111111109</v>
      </c>
      <c r="D81" t="str">
        <v>anónimo</v>
      </c>
      <c r="E81" t="str">
        <v/>
      </c>
      <c r="F81" s="68">
        <v>46209</v>
      </c>
      <c r="G81" s="88">
        <v>46180</v>
      </c>
      <c r="H81" t="str">
        <v>ALAN ALTAMIRANO EXT</v>
      </c>
      <c r="I81" t="str">
        <v xml:space="preserve">JUAN GOMEZ GONZALEZ </v>
      </c>
      <c r="J81" s="82" t="str">
        <v/>
      </c>
      <c r="K81" t="str">
        <v>GORJ560222HPLMSN07</v>
      </c>
      <c r="L81" s="82">
        <v>1</v>
      </c>
      <c r="M81" s="82">
        <v>5525679814</v>
      </c>
      <c r="N81" t="str">
        <v>RESTRINGIDA</v>
      </c>
      <c r="O81" s="89">
        <v>6262.86</v>
      </c>
      <c r="P81" s="89">
        <v>1532.08</v>
      </c>
      <c r="Q81" s="89">
        <v>1878.86</v>
      </c>
      <c r="R81" s="89">
        <v>346.78</v>
      </c>
      <c r="S81">
        <v>45302</v>
      </c>
      <c r="T81" t="str">
        <v/>
      </c>
      <c r="U81" t="str">
        <v/>
      </c>
      <c r="V81" t="str">
        <v/>
      </c>
      <c r="W81" t="str">
        <v/>
      </c>
      <c r="X81">
        <v>2</v>
      </c>
    </row>
    <row r="82" spans="1:24">
      <c r="A82" s="26" t="str">
        <v/>
      </c>
      <c r="B82" s="87">
        <v>46180.48333333333</v>
      </c>
      <c r="C82" s="87">
        <v>46209.488888888889</v>
      </c>
      <c r="D82" t="str">
        <v>anónimo</v>
      </c>
      <c r="E82" t="str">
        <v/>
      </c>
      <c r="F82" s="68">
        <v>46209</v>
      </c>
      <c r="G82" s="88">
        <v>46088</v>
      </c>
      <c r="H82" t="str">
        <v>XIMENA RIVERA SUR</v>
      </c>
      <c r="I82" t="str">
        <v>BERNARDINO ORLANDO FLORES ANGELES</v>
      </c>
      <c r="J82" s="82">
        <v>6745819216</v>
      </c>
      <c r="K82" t="str">
        <v>FOAB590520HMCLNR05</v>
      </c>
      <c r="L82" s="82">
        <v>22267188</v>
      </c>
      <c r="M82" s="82">
        <v>22267188</v>
      </c>
      <c r="N82" t="str">
        <v>COMPRA MENOR</v>
      </c>
      <c r="O82" s="89">
        <v>5617.63</v>
      </c>
      <c r="P82" s="89">
        <v>1181.3</v>
      </c>
      <c r="Q82" s="89">
        <v>1685.29</v>
      </c>
      <c r="R82" s="89">
        <v>263.35000000000002</v>
      </c>
      <c r="S82">
        <v>45295</v>
      </c>
      <c r="T82" t="str">
        <v/>
      </c>
      <c r="U82" t="str">
        <v/>
      </c>
      <c r="V82" t="str">
        <v/>
      </c>
      <c r="W82" t="str">
        <v/>
      </c>
      <c r="X82">
        <v>2</v>
      </c>
    </row>
    <row r="83" spans="1:24">
      <c r="A83" s="26" t="str">
        <v/>
      </c>
      <c r="B83" s="87">
        <v>46180.52847222222</v>
      </c>
      <c r="C83" s="87">
        <v>46209.529166666667</v>
      </c>
      <c r="D83" t="str">
        <v>anónimo</v>
      </c>
      <c r="E83" t="str">
        <v/>
      </c>
      <c r="F83" s="68">
        <v>46209</v>
      </c>
      <c r="G83" s="88" t="str">
        <v>30/05/2026</v>
      </c>
      <c r="H83" t="str">
        <v>HANIA GARCIA</v>
      </c>
      <c r="I83" t="str">
        <v>FANNY CRISTINA RODRIGUEZ FRANCO</v>
      </c>
      <c r="J83" s="82">
        <v>53855900113</v>
      </c>
      <c r="K83" t="str">
        <v>ROFF650104MJCDRN03</v>
      </c>
      <c r="L83" s="82">
        <v>21189560</v>
      </c>
      <c r="M83" s="82">
        <v>5213313529165</v>
      </c>
      <c r="N83" t="str">
        <v>COMPRA MAYOR</v>
      </c>
      <c r="O83" s="89">
        <v>16627.439999999999</v>
      </c>
      <c r="P83" s="89">
        <v>4800.5200000000004</v>
      </c>
      <c r="Q83" s="89">
        <v>4988.2299999999996</v>
      </c>
      <c r="R83" s="89">
        <v>187.71</v>
      </c>
      <c r="S83">
        <v>45662</v>
      </c>
      <c r="T83" t="str">
        <v/>
      </c>
      <c r="U83" t="str">
        <v/>
      </c>
      <c r="V83" t="str">
        <v/>
      </c>
      <c r="W83" t="str">
        <v/>
      </c>
      <c r="X83">
        <v>2</v>
      </c>
    </row>
    <row r="84" spans="1:24">
      <c r="A84" s="26" t="str">
        <v/>
      </c>
      <c r="B84" s="87">
        <v>46180.569444444445</v>
      </c>
      <c r="C84" s="87">
        <v>46209.571527777778</v>
      </c>
      <c r="D84" t="str">
        <v>anónimo</v>
      </c>
      <c r="E84" t="str">
        <v/>
      </c>
      <c r="F84" s="68">
        <v>46209</v>
      </c>
      <c r="G84" s="88">
        <v>46180</v>
      </c>
      <c r="H84" t="str">
        <v>ALBERTO POZOS EXT</v>
      </c>
      <c r="I84" t="str">
        <v xml:space="preserve">JUAN LUIS </v>
      </c>
      <c r="J84" s="82">
        <v>65906555282</v>
      </c>
      <c r="K84" t="str">
        <v/>
      </c>
      <c r="L84" s="82">
        <v>1</v>
      </c>
      <c r="M84" s="82">
        <v>5631871819</v>
      </c>
      <c r="N84" t="str">
        <v>NUEVO MAYOR</v>
      </c>
      <c r="O84" s="89">
        <v>9760.32</v>
      </c>
      <c r="P84" s="89">
        <v>879</v>
      </c>
      <c r="Q84" s="89">
        <v>2928.1</v>
      </c>
      <c r="R84" s="89">
        <v>2049.1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>
        <v>1</v>
      </c>
    </row>
    <row r="85" spans="1:24">
      <c r="A85" s="26" t="str">
        <v/>
      </c>
      <c r="B85" s="87">
        <v>46180.578472222223</v>
      </c>
      <c r="C85" s="87">
        <v>46209.580555555556</v>
      </c>
      <c r="D85" t="str">
        <v>anónimo</v>
      </c>
      <c r="E85" t="str">
        <v/>
      </c>
      <c r="F85" s="68">
        <v>46209</v>
      </c>
      <c r="G85" s="88">
        <v>46088</v>
      </c>
      <c r="H85" t="str">
        <v>MAFER Z</v>
      </c>
      <c r="I85" t="str">
        <v>ISELDA VALENZUELA MARTINEZ</v>
      </c>
      <c r="J85" s="82">
        <v>23927577413</v>
      </c>
      <c r="K85" t="str">
        <v>VAMI750213MSLLRS19</v>
      </c>
      <c r="L85" s="82">
        <v>22277248</v>
      </c>
      <c r="M85" s="82">
        <v>5216627444478</v>
      </c>
      <c r="N85" t="str">
        <v>NUEVO MAYOR</v>
      </c>
      <c r="O85" s="89">
        <v>8562.7999999999993</v>
      </c>
      <c r="P85" s="89">
        <v>848</v>
      </c>
      <c r="Q85" s="89">
        <v>2568.84</v>
      </c>
      <c r="R85" s="89">
        <v>1720.84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>
        <v>1</v>
      </c>
    </row>
    <row r="86" spans="1:24">
      <c r="A86" s="26" t="str">
        <v/>
      </c>
      <c r="B86" s="87">
        <v>46180.584027777775</v>
      </c>
      <c r="C86" s="87">
        <v>46209.587500000001</v>
      </c>
      <c r="D86" t="str">
        <v>anónimo</v>
      </c>
      <c r="E86" t="str">
        <v/>
      </c>
      <c r="F86" s="68">
        <v>46209</v>
      </c>
      <c r="G86" s="88" t="str">
        <v>21/04/2026</v>
      </c>
      <c r="H86" t="str">
        <v>GIOVANNI MELGAR</v>
      </c>
      <c r="I86" t="str">
        <v/>
      </c>
      <c r="J86" s="82">
        <v>12765818781</v>
      </c>
      <c r="K86" t="str">
        <v/>
      </c>
      <c r="L86" s="82">
        <v>19888642</v>
      </c>
      <c r="M86" s="82">
        <v>5214611225139</v>
      </c>
      <c r="N86" t="str">
        <v>NUEVO MAYOR</v>
      </c>
      <c r="O86" s="89">
        <v>14954.45</v>
      </c>
      <c r="P86" s="89" t="str">
        <v/>
      </c>
      <c r="Q86" s="89">
        <v>4486.34</v>
      </c>
      <c r="R86" s="89">
        <v>4486.34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>
        <v>1</v>
      </c>
    </row>
    <row r="87" spans="1:24">
      <c r="A87" s="26" t="str">
        <v/>
      </c>
      <c r="B87" s="87">
        <v>46180.591666666667</v>
      </c>
      <c r="C87" s="87">
        <v>46209.599999999999</v>
      </c>
      <c r="D87" t="str">
        <v>anónimo</v>
      </c>
      <c r="E87" t="str">
        <v/>
      </c>
      <c r="F87" s="68">
        <v>46209</v>
      </c>
      <c r="G87" s="88">
        <v>46088</v>
      </c>
      <c r="H87" t="str">
        <v>LILIANA MARTINEZ SUR</v>
      </c>
      <c r="I87" t="str">
        <v>NORMA ALICIA TAPIA GUZMAN</v>
      </c>
      <c r="J87" s="82">
        <v>52846809102</v>
      </c>
      <c r="K87" t="str">
        <v>TAGN691121MCMPZR06</v>
      </c>
      <c r="L87" s="82">
        <v>22266828</v>
      </c>
      <c r="M87" s="82">
        <v>5213141606702</v>
      </c>
      <c r="N87" t="str">
        <v>NUEVO MAYOR</v>
      </c>
      <c r="O87" s="89">
        <v>8173.37</v>
      </c>
      <c r="P87" s="89" t="str">
        <v/>
      </c>
      <c r="Q87" s="89">
        <v>2452.0100000000002</v>
      </c>
      <c r="R87" s="89">
        <v>2452.0100000000002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>
        <v>1</v>
      </c>
    </row>
    <row r="88" spans="1:24">
      <c r="A88" s="26" t="str">
        <v/>
      </c>
      <c r="B88" s="87">
        <v>46180.625694444447</v>
      </c>
      <c r="C88" s="87">
        <v>46209.631944444445</v>
      </c>
      <c r="D88" t="str">
        <v>anónimo</v>
      </c>
      <c r="E88" t="str">
        <v/>
      </c>
      <c r="F88" s="68">
        <v>46209</v>
      </c>
      <c r="G88" s="88">
        <v>46119</v>
      </c>
      <c r="H88" t="str">
        <v>MARIA MARTINEZ SUR</v>
      </c>
      <c r="I88" t="str">
        <v xml:space="preserve">JUANA MARIA CASTILLO GONZALEZ </v>
      </c>
      <c r="J88" s="82" t="str">
        <v/>
      </c>
      <c r="K88" t="str">
        <v>CAGJ591016MTSSNN04</v>
      </c>
      <c r="L88" s="82">
        <v>22293730</v>
      </c>
      <c r="M88" s="82">
        <v>5218118477244</v>
      </c>
      <c r="N88" t="str">
        <v>NUEVO MENOR</v>
      </c>
      <c r="O88" s="89">
        <v>4813.6899999999996</v>
      </c>
      <c r="P88" s="89" t="str">
        <v/>
      </c>
      <c r="Q88" s="89">
        <v>1444.11</v>
      </c>
      <c r="R88" s="89">
        <v>640.71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>
        <v>1</v>
      </c>
    </row>
    <row r="89" spans="1:24">
      <c r="A89" s="26" t="str">
        <v/>
      </c>
      <c r="B89" s="87">
        <v>46180.707638888889</v>
      </c>
      <c r="C89" s="87">
        <v>46209.709027777775</v>
      </c>
      <c r="D89" t="str">
        <v>anónimo</v>
      </c>
      <c r="E89" t="str">
        <v/>
      </c>
      <c r="F89" s="68">
        <v>46209</v>
      </c>
      <c r="G89" s="88">
        <v>46119</v>
      </c>
      <c r="H89" t="str">
        <v>GIOVANNI MELGAR</v>
      </c>
      <c r="I89" t="str">
        <v>ESMERALDA PINEDA LOPEZ</v>
      </c>
      <c r="J89" s="82">
        <v>82765703804</v>
      </c>
      <c r="K89" t="str">
        <v xml:space="preserve"> PILE591228MMNNPS03</v>
      </c>
      <c r="L89" s="82">
        <v>22296620</v>
      </c>
      <c r="M89" s="82">
        <v>5214361088138</v>
      </c>
      <c r="N89" t="str">
        <v>RESTRINGIDA</v>
      </c>
      <c r="O89" s="89">
        <v>5533.43</v>
      </c>
      <c r="P89" s="89">
        <v>1594.54</v>
      </c>
      <c r="Q89" s="89">
        <v>1660.03</v>
      </c>
      <c r="R89" s="89">
        <v>-234.09</v>
      </c>
      <c r="S89">
        <v>46023</v>
      </c>
      <c r="T89" t="str">
        <v>CONSUBANCO</v>
      </c>
      <c r="U89" t="str">
        <v/>
      </c>
      <c r="V89" t="str">
        <v/>
      </c>
      <c r="W89" t="str">
        <v/>
      </c>
      <c r="X89">
        <v>2</v>
      </c>
    </row>
    <row r="90" spans="1:24">
      <c r="A90" s="26" t="str">
        <v/>
      </c>
      <c r="B90" s="87">
        <v>46180.712500000001</v>
      </c>
      <c r="C90" s="87">
        <v>46209.713194444441</v>
      </c>
      <c r="D90" t="str">
        <v>anónimo</v>
      </c>
      <c r="E90" t="str">
        <v/>
      </c>
      <c r="F90" s="68">
        <v>46209</v>
      </c>
      <c r="G90" s="88">
        <v>46180</v>
      </c>
      <c r="H90" t="str">
        <v>ALAN ALTAMIRANO EXT</v>
      </c>
      <c r="I90" t="str">
        <v xml:space="preserve">NO PROPORCIONO </v>
      </c>
      <c r="J90" s="82">
        <v>23978200246</v>
      </c>
      <c r="K90" t="str">
        <v/>
      </c>
      <c r="L90" s="82">
        <v>1</v>
      </c>
      <c r="M90" s="82">
        <v>6311431371</v>
      </c>
      <c r="N90" t="str">
        <v>NUEVO MENOR</v>
      </c>
      <c r="O90" s="89">
        <v>5642.22</v>
      </c>
      <c r="P90" s="89">
        <v>1145</v>
      </c>
      <c r="Q90" s="89">
        <v>1692.67</v>
      </c>
      <c r="R90" s="89">
        <v>324.24</v>
      </c>
      <c r="S90">
        <v>46390</v>
      </c>
      <c r="T90" t="str">
        <v/>
      </c>
      <c r="U90" t="str">
        <v/>
      </c>
      <c r="V90" t="str">
        <v/>
      </c>
      <c r="W90" t="str">
        <v/>
      </c>
      <c r="X90">
        <v>2</v>
      </c>
    </row>
    <row r="91" spans="1:24">
      <c r="A91" s="26" t="str">
        <v/>
      </c>
      <c r="B91" s="87">
        <v>46210.359027777777</v>
      </c>
      <c r="C91" s="87">
        <v>46210.362500000003</v>
      </c>
      <c r="D91" t="str">
        <v>anónimo</v>
      </c>
      <c r="E91" t="str">
        <v/>
      </c>
      <c r="F91" s="68">
        <v>46210</v>
      </c>
      <c r="G91" s="88">
        <v>46088</v>
      </c>
      <c r="H91" t="str">
        <v>GLORIA ORTIZ C/C</v>
      </c>
      <c r="I91" t="str">
        <v>OCTAVIO NUÑEZ CASTRO</v>
      </c>
      <c r="J91" s="82">
        <v>23806337632</v>
      </c>
      <c r="K91" t="str">
        <v/>
      </c>
      <c r="L91" s="82">
        <v>22277902</v>
      </c>
      <c r="M91" s="82">
        <v>15206583756</v>
      </c>
      <c r="N91" t="str">
        <v>NUEVO MAYOR</v>
      </c>
      <c r="O91" s="89">
        <v>7920.51</v>
      </c>
      <c r="P91" s="89" t="str">
        <v/>
      </c>
      <c r="Q91" s="89">
        <v>2376.15</v>
      </c>
      <c r="R91" s="89">
        <v>2376.15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>
        <v>1</v>
      </c>
    </row>
    <row r="92" spans="1:24">
      <c r="A92" s="26" t="str">
        <v/>
      </c>
      <c r="B92" s="87">
        <v>46210.376388888886</v>
      </c>
      <c r="C92" s="87">
        <v>46210.379166666666</v>
      </c>
      <c r="D92" t="str">
        <v>anónimo</v>
      </c>
      <c r="E92" t="str">
        <v/>
      </c>
      <c r="F92" s="68">
        <v>46210</v>
      </c>
      <c r="G92" s="88">
        <v>46119</v>
      </c>
      <c r="H92" t="str">
        <v>GIOVANNI MELGAR</v>
      </c>
      <c r="I92" t="str">
        <v>CARMEN GOMEZ</v>
      </c>
      <c r="J92" s="82">
        <v>32806314269</v>
      </c>
      <c r="K92" t="str">
        <v/>
      </c>
      <c r="L92" s="82">
        <v>22293866</v>
      </c>
      <c r="M92" s="82">
        <v>22293866</v>
      </c>
      <c r="N92" t="str">
        <v>COMPRA MAYOR</v>
      </c>
      <c r="O92" s="89">
        <v>7358.36</v>
      </c>
      <c r="P92" s="89">
        <v>2042.9</v>
      </c>
      <c r="Q92" s="89">
        <v>2207.5100000000002</v>
      </c>
      <c r="R92" s="89">
        <v>164.61</v>
      </c>
      <c r="S92">
        <v>46029</v>
      </c>
      <c r="T92" t="str">
        <v/>
      </c>
      <c r="U92" t="str">
        <v/>
      </c>
      <c r="V92" t="str">
        <v/>
      </c>
      <c r="W92" t="str">
        <v/>
      </c>
      <c r="X92">
        <v>2</v>
      </c>
    </row>
    <row r="93" spans="1:24">
      <c r="A93" s="26" t="str">
        <v/>
      </c>
      <c r="B93" s="87">
        <v>46210.379166666666</v>
      </c>
      <c r="C93" s="87">
        <v>46210.396527777775</v>
      </c>
      <c r="D93" t="str">
        <v>anónimo</v>
      </c>
      <c r="E93" t="str">
        <v/>
      </c>
      <c r="F93" s="68">
        <v>46210</v>
      </c>
      <c r="G93" s="88">
        <v>46060</v>
      </c>
      <c r="H93" t="str">
        <v>YAMILETH LÓPEZ HDEZ SUR</v>
      </c>
      <c r="I93" t="str">
        <v>ALFREDO SILVA GONZALEZ</v>
      </c>
      <c r="J93" s="82" t="str">
        <v/>
      </c>
      <c r="K93" t="str">
        <v>SIGA620910HNLLNL04</v>
      </c>
      <c r="L93" s="82">
        <v>22255088</v>
      </c>
      <c r="M93" s="82">
        <v>5218125924532</v>
      </c>
      <c r="N93" t="str">
        <v>NUEVO MAYOR</v>
      </c>
      <c r="O93" s="89">
        <v>7920.51</v>
      </c>
      <c r="P93" s="89" t="str">
        <v/>
      </c>
      <c r="Q93" s="89">
        <v>2376.15</v>
      </c>
      <c r="R93" s="89">
        <v>2376.15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>
        <v>1</v>
      </c>
    </row>
    <row r="94" spans="1:24">
      <c r="A94" s="26" t="str">
        <v/>
      </c>
      <c r="B94" s="87">
        <v>46210.399305555555</v>
      </c>
      <c r="C94" s="87">
        <v>46210.40625</v>
      </c>
      <c r="D94" t="str">
        <v>anónimo</v>
      </c>
      <c r="E94" t="str">
        <v/>
      </c>
      <c r="F94" s="68">
        <v>46210</v>
      </c>
      <c r="G94" s="88">
        <v>46210</v>
      </c>
      <c r="H94" t="str">
        <v>LILIANA MARTINEZ SUR</v>
      </c>
      <c r="I94" t="str">
        <v>ROGELIO SEGURA QUEZADA</v>
      </c>
      <c r="J94" s="82">
        <v>43796089241</v>
      </c>
      <c r="K94" t="str">
        <v>SEQR601231HNLGZG06</v>
      </c>
      <c r="L94" s="82">
        <v>22422002</v>
      </c>
      <c r="M94" s="82">
        <v>5218281486452</v>
      </c>
      <c r="N94" t="str">
        <v>COMPRA MENOR</v>
      </c>
      <c r="O94" s="89">
        <v>6262.86</v>
      </c>
      <c r="P94" s="89">
        <v>1738.79</v>
      </c>
      <c r="Q94" s="89">
        <v>1878.86</v>
      </c>
      <c r="R94" s="89">
        <v>140.07</v>
      </c>
      <c r="S94">
        <v>46023</v>
      </c>
      <c r="T94" t="str">
        <v/>
      </c>
      <c r="U94" t="str">
        <v/>
      </c>
      <c r="V94" t="str">
        <v/>
      </c>
      <c r="W94" t="str">
        <v/>
      </c>
      <c r="X94">
        <v>2</v>
      </c>
    </row>
    <row r="95" spans="1:24">
      <c r="A95" s="26" t="str">
        <v/>
      </c>
      <c r="B95" s="87">
        <v>46210.409722222219</v>
      </c>
      <c r="C95" s="87">
        <v>46210.411805555559</v>
      </c>
      <c r="D95" t="str">
        <v>anónimo</v>
      </c>
      <c r="E95" t="str">
        <v/>
      </c>
      <c r="F95" s="68">
        <v>46210</v>
      </c>
      <c r="G95" s="88">
        <v>46119</v>
      </c>
      <c r="H95" t="str">
        <v>YAMILETH LÓPEZ HDEZ SUR</v>
      </c>
      <c r="I95" t="str">
        <v xml:space="preserve">DONATO PEREZ BELLO </v>
      </c>
      <c r="J95" s="82">
        <v>17846513418</v>
      </c>
      <c r="K95" t="str">
        <v>PEBD651114HDFRLN05</v>
      </c>
      <c r="L95" s="82">
        <v>22296236</v>
      </c>
      <c r="M95" s="82">
        <v>5215540014081</v>
      </c>
      <c r="N95" t="str">
        <v>NUEVO MAYOR</v>
      </c>
      <c r="O95" s="89">
        <v>11029.03</v>
      </c>
      <c r="P95" s="89" t="str">
        <v/>
      </c>
      <c r="Q95" s="89">
        <v>3308.71</v>
      </c>
      <c r="R95" s="89">
        <v>3308.71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1</v>
      </c>
    </row>
    <row r="96" spans="1:24">
      <c r="A96" s="26" t="str">
        <v/>
      </c>
      <c r="B96" s="87">
        <v>46210.4375</v>
      </c>
      <c r="C96" s="87">
        <v>46210.438888888886</v>
      </c>
      <c r="D96" t="str">
        <v>anónimo</v>
      </c>
      <c r="E96" t="str">
        <v/>
      </c>
      <c r="F96" s="68">
        <v>46210</v>
      </c>
      <c r="G96" s="88" t="str">
        <v>28/06/2026</v>
      </c>
      <c r="H96" t="str">
        <v>ANA VILLEGAS C/C</v>
      </c>
      <c r="I96" t="str">
        <v>Leocadio</v>
      </c>
      <c r="J96" s="82">
        <v>13806102599</v>
      </c>
      <c r="K96" t="str">
        <v/>
      </c>
      <c r="L96" s="82">
        <v>22081136</v>
      </c>
      <c r="M96" s="82">
        <v>5217751994952</v>
      </c>
      <c r="N96" t="str">
        <v>NUEVO MAYOR</v>
      </c>
      <c r="O96" s="89">
        <v>10636.54</v>
      </c>
      <c r="P96" s="89" t="str">
        <v/>
      </c>
      <c r="Q96" s="89">
        <v>3190.96</v>
      </c>
      <c r="R96" s="89">
        <v>3190.96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>
        <v>1</v>
      </c>
    </row>
    <row r="97" spans="1:24">
      <c r="A97" s="26" t="str">
        <v/>
      </c>
      <c r="B97" s="87">
        <v>46210.444444444445</v>
      </c>
      <c r="C97" s="87">
        <v>46210.456944444442</v>
      </c>
      <c r="D97" t="str">
        <v>anónimo</v>
      </c>
      <c r="E97" t="str">
        <v/>
      </c>
      <c r="F97" s="68">
        <v>46210</v>
      </c>
      <c r="G97" s="88">
        <v>46180</v>
      </c>
      <c r="H97" t="str">
        <v>XIMENA RIVERA SUR</v>
      </c>
      <c r="I97" t="str">
        <v>MA. DEL SOCORRO GUERRERO RAMIREZ</v>
      </c>
      <c r="J97" s="82">
        <v>41916203700</v>
      </c>
      <c r="K97" t="str">
        <v/>
      </c>
      <c r="L97" s="82">
        <v>22368426</v>
      </c>
      <c r="M97" s="82">
        <v>22368426</v>
      </c>
      <c r="N97" t="str">
        <v>NUEVO MAYOR</v>
      </c>
      <c r="O97" s="89">
        <v>7116.73</v>
      </c>
      <c r="P97" s="89">
        <v>848</v>
      </c>
      <c r="Q97" s="89">
        <v>2135.02</v>
      </c>
      <c r="R97" s="89">
        <v>1287.02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>
        <v>1</v>
      </c>
    </row>
    <row r="98" spans="1:24">
      <c r="A98" s="26" t="str">
        <v/>
      </c>
      <c r="B98" s="87">
        <v>46210.493055555555</v>
      </c>
      <c r="C98" s="87">
        <v>46210.502083333333</v>
      </c>
      <c r="D98" t="str">
        <v>anónimo</v>
      </c>
      <c r="E98" t="str">
        <v/>
      </c>
      <c r="F98" s="68">
        <v>46210</v>
      </c>
      <c r="G98" s="88">
        <v>46210</v>
      </c>
      <c r="H98" t="str">
        <v>IRAN CASTILLO SUR</v>
      </c>
      <c r="I98" t="str">
        <v>JOSE FERNANDO GARCIA PEREZ</v>
      </c>
      <c r="J98" s="82">
        <v>62786210021</v>
      </c>
      <c r="K98" t="str">
        <v>GAPF621108HPLRRR06</v>
      </c>
      <c r="L98" s="82">
        <v>22427004</v>
      </c>
      <c r="M98" s="82">
        <v>5212211144286</v>
      </c>
      <c r="N98" t="str">
        <v>NUEVO MAYOR</v>
      </c>
      <c r="O98" s="89">
        <v>11029.03</v>
      </c>
      <c r="P98" s="89" t="str">
        <v/>
      </c>
      <c r="Q98" s="89">
        <v>3308.71</v>
      </c>
      <c r="R98" s="89">
        <v>3308.71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>
        <v>1</v>
      </c>
    </row>
    <row r="99" spans="1:24">
      <c r="A99" s="26" t="str">
        <v/>
      </c>
      <c r="B99" s="87">
        <v>46210.513194444444</v>
      </c>
      <c r="C99" s="87">
        <v>46210.54791666667</v>
      </c>
      <c r="D99" t="str">
        <v>anónimo</v>
      </c>
      <c r="E99" t="str">
        <v/>
      </c>
      <c r="F99" s="68">
        <v>46210</v>
      </c>
      <c r="G99" s="88">
        <v>46210</v>
      </c>
      <c r="H99" t="str">
        <v>ESMERALDA ESQUIVEL SUR</v>
      </c>
      <c r="I99" t="str">
        <v xml:space="preserve">Feliciano Alfonso López León </v>
      </c>
      <c r="J99" s="82">
        <v>23735514673</v>
      </c>
      <c r="K99" t="str">
        <v>LOLF560609HSLPNL01</v>
      </c>
      <c r="L99" s="82">
        <v>22429302</v>
      </c>
      <c r="M99" s="82">
        <v>5216692558001</v>
      </c>
      <c r="N99" t="str">
        <v>NUEVO MAYOR</v>
      </c>
      <c r="O99" s="89">
        <v>9956.98</v>
      </c>
      <c r="P99" s="89">
        <v>640</v>
      </c>
      <c r="Q99" s="89">
        <v>2987.09</v>
      </c>
      <c r="R99" s="89">
        <v>2347.09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>
        <v>1</v>
      </c>
    </row>
    <row r="100" spans="1:24">
      <c r="A100" s="26" t="str">
        <v/>
      </c>
      <c r="B100" s="87">
        <v>46210.54791666667</v>
      </c>
      <c r="C100" s="87">
        <v>46210.551388888889</v>
      </c>
      <c r="D100" t="str">
        <v>anónimo</v>
      </c>
      <c r="E100" t="str">
        <v/>
      </c>
      <c r="F100" s="68">
        <v>46210</v>
      </c>
      <c r="G100" s="88">
        <v>46029</v>
      </c>
      <c r="H100" t="str">
        <v>ESMERALDA ESQUIVEL SUR</v>
      </c>
      <c r="I100" t="str">
        <v xml:space="preserve">Felipe Leon Guzman </v>
      </c>
      <c r="J100" s="82">
        <v>6856600421</v>
      </c>
      <c r="K100" t="str">
        <v>LEGF660307HPLNZL09</v>
      </c>
      <c r="L100" s="82">
        <v>22162024</v>
      </c>
      <c r="M100" s="82">
        <v>5217641300945</v>
      </c>
      <c r="N100" t="str">
        <v>NUEVO MENOR</v>
      </c>
      <c r="O100" s="89">
        <v>13808.57</v>
      </c>
      <c r="P100" s="89">
        <v>3172.03</v>
      </c>
      <c r="Q100" s="89">
        <v>4142.57</v>
      </c>
      <c r="R100" s="89">
        <v>970.54</v>
      </c>
      <c r="S100">
        <v>46759</v>
      </c>
      <c r="T100" t="str">
        <v/>
      </c>
      <c r="U100" t="str">
        <v/>
      </c>
      <c r="V100" t="str">
        <v/>
      </c>
      <c r="W100" t="str">
        <v/>
      </c>
      <c r="X100">
        <v>2</v>
      </c>
    </row>
    <row r="101" spans="1:24">
      <c r="A101" s="26" t="str">
        <v/>
      </c>
      <c r="B101" s="87">
        <v>46210.621527777781</v>
      </c>
      <c r="C101" s="87">
        <v>46210.630555555559</v>
      </c>
      <c r="D101" t="str">
        <v>anónimo</v>
      </c>
      <c r="E101" t="str">
        <v/>
      </c>
      <c r="F101" s="68">
        <v>46210</v>
      </c>
      <c r="G101" s="88">
        <v>46210</v>
      </c>
      <c r="H101" t="str">
        <v>LILIANA MARTINEZ SUR</v>
      </c>
      <c r="I101" t="str">
        <v>JOSE DE JESUS PEÑA CAMACHO</v>
      </c>
      <c r="J101" s="82" t="str">
        <v/>
      </c>
      <c r="K101" t="str">
        <v>PECJ640126HJCXMS00</v>
      </c>
      <c r="L101" s="82">
        <v>22426210</v>
      </c>
      <c r="M101" s="82">
        <v>5213316062657</v>
      </c>
      <c r="N101" t="str">
        <v>NUEVO MAYOR</v>
      </c>
      <c r="O101" s="89">
        <v>9760.32</v>
      </c>
      <c r="P101" s="89" t="str">
        <v/>
      </c>
      <c r="Q101" s="89">
        <v>2928.1</v>
      </c>
      <c r="R101" s="89">
        <v>2928.1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>
        <v>1</v>
      </c>
    </row>
    <row r="102" spans="1:24">
      <c r="A102" s="26" t="str">
        <v/>
      </c>
      <c r="B102" s="87">
        <v>46210.637499999997</v>
      </c>
      <c r="C102" s="87">
        <v>46210.640972222223</v>
      </c>
      <c r="D102" t="str">
        <v>anónimo</v>
      </c>
      <c r="E102" t="str">
        <v/>
      </c>
      <c r="F102" s="68">
        <v>46210</v>
      </c>
      <c r="G102" s="88">
        <v>46210</v>
      </c>
      <c r="H102" t="str">
        <v>JENNIFER AVENDAÑO SUR</v>
      </c>
      <c r="I102" t="str">
        <v>JOSE LUIS ALFARO JIMENEZ</v>
      </c>
      <c r="J102" s="82">
        <v>23785807225</v>
      </c>
      <c r="K102" t="str">
        <v>AAJL581220HSLLMS08</v>
      </c>
      <c r="L102" s="82">
        <v>22429146</v>
      </c>
      <c r="M102" s="82">
        <v>5216675031022</v>
      </c>
      <c r="N102" t="str">
        <v>NUEVO MAYOR</v>
      </c>
      <c r="O102" s="89">
        <v>9760.32</v>
      </c>
      <c r="P102" s="89" t="str">
        <v/>
      </c>
      <c r="Q102" s="89">
        <v>2928.1</v>
      </c>
      <c r="R102" s="89">
        <v>2928.1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>
        <v>1</v>
      </c>
    </row>
    <row r="103" spans="1:24">
      <c r="A103" s="26" t="str">
        <v/>
      </c>
      <c r="B103" s="87">
        <v>46210.544444444444</v>
      </c>
      <c r="C103" s="87">
        <v>46210.647222222222</v>
      </c>
      <c r="D103" t="str">
        <v>anónimo</v>
      </c>
      <c r="E103" t="str">
        <v/>
      </c>
      <c r="F103" s="68">
        <v>46210</v>
      </c>
      <c r="G103" s="88">
        <v>46210</v>
      </c>
      <c r="H103" t="str">
        <v>XIMENA RIVERA SUR</v>
      </c>
      <c r="I103" t="str">
        <v>Jose Luis Méndez Gómez</v>
      </c>
      <c r="J103" s="82" t="str">
        <v/>
      </c>
      <c r="K103" t="str">
        <v>MEGL610621HGTNMS05</v>
      </c>
      <c r="L103" s="82">
        <v>22433554</v>
      </c>
      <c r="M103" s="82">
        <v>5214791425480</v>
      </c>
      <c r="N103" t="str">
        <v>NUEVO MAYOR</v>
      </c>
      <c r="O103" s="89">
        <v>7116.73</v>
      </c>
      <c r="P103" s="89" t="str">
        <v/>
      </c>
      <c r="Q103" s="89">
        <v>2135.02</v>
      </c>
      <c r="R103" s="89">
        <v>2135.02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>
        <v>1</v>
      </c>
    </row>
    <row r="104" spans="1:24">
      <c r="A104" s="26" t="str">
        <v/>
      </c>
      <c r="B104" s="87">
        <v>46210.546527777777</v>
      </c>
      <c r="C104" s="87">
        <v>46210.685416666667</v>
      </c>
      <c r="D104" t="str">
        <v>anónimo</v>
      </c>
      <c r="E104" t="str">
        <v/>
      </c>
      <c r="F104" s="68">
        <v>46210</v>
      </c>
      <c r="G104" s="88">
        <v>46210</v>
      </c>
      <c r="H104" t="str">
        <v>MARA HERNANDEZ SUR</v>
      </c>
      <c r="I104" t="str">
        <v>Julia Hernández Garay</v>
      </c>
      <c r="J104" s="82">
        <v>43795961820</v>
      </c>
      <c r="K104" t="str">
        <v>HEGJ591019MNLRRL07</v>
      </c>
      <c r="L104" s="82">
        <v>22435070</v>
      </c>
      <c r="M104" s="82">
        <v>5218180889339</v>
      </c>
      <c r="N104" t="str">
        <v>COMPRA MENOR</v>
      </c>
      <c r="O104" s="89">
        <v>17195.97</v>
      </c>
      <c r="P104" s="89">
        <v>4773.8500000000004</v>
      </c>
      <c r="Q104" s="89">
        <v>5158.79</v>
      </c>
      <c r="R104" s="89">
        <v>384.94</v>
      </c>
      <c r="S104">
        <v>45659</v>
      </c>
      <c r="T104" t="str">
        <v/>
      </c>
      <c r="U104" t="str">
        <v/>
      </c>
      <c r="V104" t="str">
        <v/>
      </c>
      <c r="W104" t="str">
        <v/>
      </c>
      <c r="X104">
        <v>2</v>
      </c>
    </row>
    <row r="105" spans="1:24">
      <c r="A105" s="26" t="str">
        <v/>
      </c>
      <c r="B105" s="87">
        <v>46210.677083333336</v>
      </c>
      <c r="C105" s="87">
        <v>46210.686805555553</v>
      </c>
      <c r="D105" t="str">
        <v>anónimo</v>
      </c>
      <c r="E105" t="str">
        <v/>
      </c>
      <c r="F105" s="68">
        <v>46210</v>
      </c>
      <c r="G105" s="88">
        <v>46210</v>
      </c>
      <c r="H105" t="str">
        <v>JENNIFER AVENDAÑO SUR</v>
      </c>
      <c r="I105" t="str">
        <v>JAIME ARNOLDO OZUNA HAROS</v>
      </c>
      <c r="J105" s="82">
        <v>24735713281</v>
      </c>
      <c r="K105" t="str">
        <v>OUHJ570502HSRZRM07</v>
      </c>
      <c r="L105" s="82">
        <v>22433392</v>
      </c>
      <c r="M105" s="82">
        <v>5216623681313</v>
      </c>
      <c r="N105" t="str">
        <v>COMPRA MAYOR</v>
      </c>
      <c r="O105" s="89">
        <v>12818.25</v>
      </c>
      <c r="P105" s="89">
        <v>3708.63</v>
      </c>
      <c r="Q105" s="89">
        <v>3845.48</v>
      </c>
      <c r="R105" s="89">
        <v>136.85</v>
      </c>
      <c r="S105">
        <v>45302</v>
      </c>
      <c r="T105" t="str">
        <v/>
      </c>
      <c r="U105" t="str">
        <v/>
      </c>
      <c r="V105" t="str">
        <v/>
      </c>
      <c r="W105" t="str">
        <v/>
      </c>
      <c r="X105">
        <v>2</v>
      </c>
    </row>
    <row r="106" spans="1:24">
      <c r="A106" s="26" t="str">
        <v/>
      </c>
      <c r="B106" s="87">
        <v>46210.681944444441</v>
      </c>
      <c r="C106" s="87">
        <v>46210.686805555553</v>
      </c>
      <c r="D106" t="str">
        <v>anónimo</v>
      </c>
      <c r="E106" t="str">
        <v/>
      </c>
      <c r="F106" s="68">
        <v>46210</v>
      </c>
      <c r="G106" s="88">
        <v>46210</v>
      </c>
      <c r="H106" t="str">
        <v>MARA HERNANDEZ SUR</v>
      </c>
      <c r="I106" t="str">
        <v>Virgilio Aguirre Beltrán</v>
      </c>
      <c r="J106" s="82">
        <v>47937730795</v>
      </c>
      <c r="K106" t="str">
        <v>AUBV771111HNLGLR05</v>
      </c>
      <c r="L106" s="82">
        <v>22433122</v>
      </c>
      <c r="M106" s="82">
        <v>5218123564288</v>
      </c>
      <c r="N106" t="str">
        <v>COMPRA MAYOR</v>
      </c>
      <c r="O106" s="89">
        <v>5727.08</v>
      </c>
      <c r="P106" s="89">
        <v>2243.89</v>
      </c>
      <c r="Q106" s="89">
        <v>1718.12</v>
      </c>
      <c r="R106" s="89">
        <v>-689.79</v>
      </c>
      <c r="S106">
        <v>46028</v>
      </c>
      <c r="T106" t="str">
        <v/>
      </c>
      <c r="U106" t="str">
        <v/>
      </c>
      <c r="V106" t="str">
        <v/>
      </c>
      <c r="W106" t="str">
        <v/>
      </c>
      <c r="X106">
        <v>2</v>
      </c>
    </row>
    <row r="107" spans="1:24">
      <c r="A107" s="26" t="str">
        <v/>
      </c>
      <c r="B107" s="87">
        <v>46210.694444444445</v>
      </c>
      <c r="C107" s="87">
        <v>46210.720138888886</v>
      </c>
      <c r="D107" t="str">
        <v>anónimo</v>
      </c>
      <c r="E107" t="str">
        <v/>
      </c>
      <c r="F107" s="68">
        <v>46210</v>
      </c>
      <c r="G107" s="88">
        <v>46210</v>
      </c>
      <c r="H107" t="str">
        <v>ESMERALDA ESQUIVEL SUR</v>
      </c>
      <c r="I107" t="str">
        <v>María del Socorro Ochoa Cosio</v>
      </c>
      <c r="J107" s="82">
        <v>84826207262</v>
      </c>
      <c r="K107" t="str">
        <v>OOCS620627MCSCSC11</v>
      </c>
      <c r="L107" s="82">
        <v>22430296</v>
      </c>
      <c r="M107" s="82">
        <v>5219621417431</v>
      </c>
      <c r="N107" t="str">
        <v>NUEVO MAYOR</v>
      </c>
      <c r="O107" s="89">
        <v>9760.32</v>
      </c>
      <c r="P107" s="89" t="str">
        <v/>
      </c>
      <c r="Q107" s="89">
        <v>2928.1</v>
      </c>
      <c r="R107" s="89">
        <v>2928.1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>
        <v>1</v>
      </c>
    </row>
    <row r="108" spans="1:24">
      <c r="A108" s="26" t="str">
        <v/>
      </c>
      <c r="B108" s="87">
        <v>46210.713888888888</v>
      </c>
      <c r="C108" s="87">
        <v>46210.727083333331</v>
      </c>
      <c r="D108" t="str">
        <v>anónimo</v>
      </c>
      <c r="E108" t="str">
        <v/>
      </c>
      <c r="F108" s="68">
        <v>46210</v>
      </c>
      <c r="G108" s="88">
        <v>46210</v>
      </c>
      <c r="H108" t="str">
        <v>MARIA MARTINEZ SUR</v>
      </c>
      <c r="I108" t="str">
        <v>JENARO REYES MARIN</v>
      </c>
      <c r="J108" s="82">
        <v>780631754</v>
      </c>
      <c r="K108" t="str">
        <v>REMJ630211HDFYRN04</v>
      </c>
      <c r="L108" s="82">
        <v>22407300</v>
      </c>
      <c r="M108" s="82">
        <v>5215581624816</v>
      </c>
      <c r="N108" t="str">
        <v>NUEVO MAYOR</v>
      </c>
      <c r="O108" s="89">
        <v>8377</v>
      </c>
      <c r="P108" s="89">
        <v>848</v>
      </c>
      <c r="Q108" s="89">
        <v>2513.1</v>
      </c>
      <c r="R108" s="89">
        <v>1665.1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>
        <v>1</v>
      </c>
    </row>
    <row r="109" spans="1:24">
      <c r="A109" s="26" t="str">
        <v/>
      </c>
      <c r="B109" s="87">
        <v>46210.76458333333</v>
      </c>
      <c r="C109" s="87">
        <v>46210.76666666667</v>
      </c>
      <c r="D109" t="str">
        <v>anónimo</v>
      </c>
      <c r="E109" t="str">
        <v/>
      </c>
      <c r="F109" s="68">
        <v>46210</v>
      </c>
      <c r="G109" s="88">
        <v>46210</v>
      </c>
      <c r="H109" t="str">
        <v>ALAN ALTAMIRANO EXT</v>
      </c>
      <c r="I109" t="str">
        <v>GUSTAVO CUMPLIDO SALAZAR</v>
      </c>
      <c r="J109" s="82">
        <v>24886326396</v>
      </c>
      <c r="K109" t="str">
        <v>CUSG630321HSRMLS00</v>
      </c>
      <c r="L109" s="82">
        <v>1</v>
      </c>
      <c r="M109" s="82">
        <v>6621392553</v>
      </c>
      <c r="N109" t="str">
        <v>NUEVO MAYOR</v>
      </c>
      <c r="O109" s="89">
        <v>32009.38</v>
      </c>
      <c r="P109" s="89" t="str">
        <v/>
      </c>
      <c r="Q109" s="89">
        <v>9602.81</v>
      </c>
      <c r="R109" s="89">
        <v>9602.81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>
        <v>1</v>
      </c>
    </row>
    <row r="110" spans="1:24">
      <c r="A110" s="26" t="str">
        <v/>
      </c>
      <c r="B110" s="87">
        <v>46210.8</v>
      </c>
      <c r="C110" s="87">
        <v>46210.821527777778</v>
      </c>
      <c r="D110" t="str">
        <v>anónimo</v>
      </c>
      <c r="E110" t="str">
        <v/>
      </c>
      <c r="F110" s="68">
        <v>46210</v>
      </c>
      <c r="G110" s="88">
        <v>46210</v>
      </c>
      <c r="H110" t="str">
        <v>LUIS DAVILA C/C</v>
      </c>
      <c r="I110" t="str">
        <v>FERNANDA GOMEZ</v>
      </c>
      <c r="J110" s="82">
        <v>19796033041</v>
      </c>
      <c r="K110" t="str">
        <v>MAMB620313MDFRRT08</v>
      </c>
      <c r="L110" s="82">
        <v>22440270</v>
      </c>
      <c r="M110" s="82">
        <v>5215544745456</v>
      </c>
      <c r="N110" t="str">
        <v>COMPRA MENOR</v>
      </c>
      <c r="O110" s="89">
        <v>7108.77</v>
      </c>
      <c r="P110" s="89">
        <v>943.27</v>
      </c>
      <c r="Q110" s="89">
        <v>2132.63</v>
      </c>
      <c r="R110" s="89">
        <v>1189.3599999999999</v>
      </c>
      <c r="S110">
        <v>46026</v>
      </c>
      <c r="T110" t="str">
        <v/>
      </c>
      <c r="U110" t="str">
        <v/>
      </c>
      <c r="V110" t="str">
        <v/>
      </c>
      <c r="W110" t="str">
        <v/>
      </c>
      <c r="X110">
        <v>2</v>
      </c>
    </row>
    <row r="111" spans="1:24">
      <c r="A111" s="26" t="str">
        <v/>
      </c>
      <c r="B111" s="87">
        <v>46241.336805555555</v>
      </c>
      <c r="C111" s="87">
        <v>46211.338888888888</v>
      </c>
      <c r="D111" t="str">
        <v>anónimo</v>
      </c>
      <c r="E111" t="str">
        <v/>
      </c>
      <c r="F111" s="68">
        <v>46211</v>
      </c>
      <c r="G111" s="88">
        <v>46241</v>
      </c>
      <c r="H111" t="str">
        <v>ALAN ALTAMIRANO EXT</v>
      </c>
      <c r="I111" t="str">
        <v xml:space="preserve">JESÚS ANGEL HERNANDEZ MARTÍNEZ </v>
      </c>
      <c r="J111" s="82">
        <v>3654927593</v>
      </c>
      <c r="K111" t="str">
        <v>HEMJ491001HNLRRS03</v>
      </c>
      <c r="L111" s="82">
        <v>1</v>
      </c>
      <c r="M111" s="82">
        <v>8114746025</v>
      </c>
      <c r="N111" t="str">
        <v>NUEVO MAYOR</v>
      </c>
      <c r="O111" s="89">
        <v>28095.21</v>
      </c>
      <c r="P111" s="89">
        <v>1151.54</v>
      </c>
      <c r="Q111" s="89">
        <v>8428.56</v>
      </c>
      <c r="R111" s="89">
        <v>7277.02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>
        <v>1</v>
      </c>
    </row>
    <row r="112" spans="1:24">
      <c r="A112" s="26" t="str">
        <v/>
      </c>
      <c r="B112" s="87">
        <v>46241.392361111109</v>
      </c>
      <c r="C112" s="87">
        <v>46211.401388888888</v>
      </c>
      <c r="D112" t="str">
        <v>anónimo</v>
      </c>
      <c r="E112" t="str">
        <v/>
      </c>
      <c r="F112" s="68">
        <v>46211</v>
      </c>
      <c r="G112" s="88">
        <v>46241</v>
      </c>
      <c r="H112" t="str">
        <v>GUADALUPE BECERRA C/C</v>
      </c>
      <c r="I112" t="str">
        <v>LAURO ALBERTO FLORES SALDAÑA</v>
      </c>
      <c r="J112" s="82">
        <v>15816103186</v>
      </c>
      <c r="K112" t="str">
        <v>FOSL611201HMSLLR09</v>
      </c>
      <c r="L112" s="82">
        <v>22456412</v>
      </c>
      <c r="M112" s="82">
        <v>5217773776168</v>
      </c>
      <c r="N112" t="str">
        <v>RESTRINGIDA</v>
      </c>
      <c r="O112" s="89">
        <v>20716.04</v>
      </c>
      <c r="P112" s="89">
        <v>5750.57</v>
      </c>
      <c r="Q112" s="89">
        <v>6214.81</v>
      </c>
      <c r="R112" s="89">
        <v>464.24</v>
      </c>
      <c r="S112">
        <v>46027</v>
      </c>
      <c r="T112" t="str">
        <v>FISOFO</v>
      </c>
      <c r="U112" t="str">
        <v/>
      </c>
      <c r="V112" t="str">
        <v/>
      </c>
      <c r="W112" t="str">
        <v/>
      </c>
      <c r="X112">
        <v>2</v>
      </c>
    </row>
    <row r="113" spans="1:24">
      <c r="A113" s="26" t="str">
        <v/>
      </c>
      <c r="B113" s="87">
        <v>46241.401388888888</v>
      </c>
      <c r="C113" s="87">
        <v>46211.415277777778</v>
      </c>
      <c r="D113" t="str">
        <v>anónimo</v>
      </c>
      <c r="E113" t="str">
        <v/>
      </c>
      <c r="F113" s="68">
        <v>46211</v>
      </c>
      <c r="G113" s="88">
        <v>46210</v>
      </c>
      <c r="H113" t="str">
        <v>GUADALUPE BECERRA C/C</v>
      </c>
      <c r="I113" t="str">
        <v>MA. DE JESUS SANCHEZ BADILLO</v>
      </c>
      <c r="J113" s="82">
        <v>34724900740</v>
      </c>
      <c r="K113" t="str">
        <v>SABJ570617MASNDS2</v>
      </c>
      <c r="L113" s="82">
        <v>22443916</v>
      </c>
      <c r="M113" s="82">
        <v>5214494021048</v>
      </c>
      <c r="N113" t="str">
        <v>NUEVO MAYOR</v>
      </c>
      <c r="O113" s="89">
        <v>9572.89</v>
      </c>
      <c r="P113" s="89" t="str">
        <v/>
      </c>
      <c r="Q113" s="89">
        <v>2871.87</v>
      </c>
      <c r="R113" s="89">
        <v>2871.87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>
        <v>1</v>
      </c>
    </row>
    <row r="114" spans="1:24">
      <c r="A114" s="26" t="str">
        <v/>
      </c>
      <c r="B114" s="87">
        <v>46241.439583333333</v>
      </c>
      <c r="C114" s="87">
        <v>46211.44027777778</v>
      </c>
      <c r="D114" t="str">
        <v>anónimo</v>
      </c>
      <c r="E114" t="str">
        <v/>
      </c>
      <c r="F114" s="68">
        <v>46211</v>
      </c>
      <c r="G114" s="88">
        <v>46241</v>
      </c>
      <c r="H114" t="str">
        <v>ALBERTO POZOS EXT</v>
      </c>
      <c r="I114" t="str">
        <v/>
      </c>
      <c r="J114" s="82">
        <v>32783800686</v>
      </c>
      <c r="K114" t="str">
        <v/>
      </c>
      <c r="L114" s="82">
        <v>1</v>
      </c>
      <c r="M114" s="82">
        <v>528443274846</v>
      </c>
      <c r="N114" t="str">
        <v>COMPRA MENOR</v>
      </c>
      <c r="O114" s="89">
        <v>4554.84</v>
      </c>
      <c r="P114" s="89">
        <v>654.4</v>
      </c>
      <c r="Q114" s="89">
        <v>1366.45</v>
      </c>
      <c r="R114" s="89">
        <v>-272.54000000000002</v>
      </c>
      <c r="S114">
        <v>45658</v>
      </c>
      <c r="T114" t="str">
        <v/>
      </c>
      <c r="U114" t="str">
        <v/>
      </c>
      <c r="V114" t="str">
        <v/>
      </c>
      <c r="W114" t="str">
        <v/>
      </c>
      <c r="X114">
        <v>2</v>
      </c>
    </row>
    <row r="115" spans="1:24">
      <c r="A115" s="26" t="str">
        <v/>
      </c>
      <c r="B115" s="87">
        <v>46241.465277777781</v>
      </c>
      <c r="C115" s="87">
        <v>46211.466666666667</v>
      </c>
      <c r="D115" t="str">
        <v>anónimo</v>
      </c>
      <c r="E115" t="str">
        <v/>
      </c>
      <c r="F115" s="68">
        <v>46211</v>
      </c>
      <c r="G115" s="88">
        <v>46241</v>
      </c>
      <c r="H115" t="str">
        <v>DEYANIRA CORDOVA C/C</v>
      </c>
      <c r="I115" t="str">
        <v xml:space="preserve">ANTONIO DIAZ </v>
      </c>
      <c r="J115" s="82" t="str">
        <v/>
      </c>
      <c r="K115" t="str">
        <v>DIHA731103HDFZRN03</v>
      </c>
      <c r="L115" s="82">
        <v>22455460</v>
      </c>
      <c r="M115" s="82">
        <v>5215631491841</v>
      </c>
      <c r="N115" t="str">
        <v>NUEVO MAYOR</v>
      </c>
      <c r="O115" s="89">
        <v>10569.39</v>
      </c>
      <c r="P115" s="89" t="str">
        <v/>
      </c>
      <c r="Q115" s="89">
        <v>3170.82</v>
      </c>
      <c r="R115" s="89">
        <v>3170.82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>
        <v>1</v>
      </c>
    </row>
    <row r="116" spans="1:24">
      <c r="A116" s="26" t="str">
        <v/>
      </c>
      <c r="B116" s="87">
        <v>46241.415277777778</v>
      </c>
      <c r="C116" s="87">
        <v>46211.479861111111</v>
      </c>
      <c r="D116" t="str">
        <v>anónimo</v>
      </c>
      <c r="E116" t="str">
        <v/>
      </c>
      <c r="F116" s="68">
        <v>46211</v>
      </c>
      <c r="G116" s="88">
        <v>46241</v>
      </c>
      <c r="H116" t="str">
        <v>GUADALUPE BECERRA C/C</v>
      </c>
      <c r="I116" t="str">
        <v xml:space="preserve">Carlos Ramírez Padron </v>
      </c>
      <c r="J116" s="82" t="str">
        <v/>
      </c>
      <c r="K116" t="str">
        <v>RAPC650626HDFMDR08</v>
      </c>
      <c r="L116" s="82">
        <v>22460000</v>
      </c>
      <c r="M116" s="82">
        <v>5219601485916</v>
      </c>
      <c r="N116" t="str">
        <v>NUEVO MAYOR</v>
      </c>
      <c r="O116" s="89">
        <v>9760.32</v>
      </c>
      <c r="P116" s="89" t="str">
        <v/>
      </c>
      <c r="Q116" s="89">
        <v>2928.1</v>
      </c>
      <c r="R116" s="89">
        <v>2928.1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>
        <v>1</v>
      </c>
    </row>
    <row r="117" spans="1:24">
      <c r="A117" s="26" t="str">
        <v/>
      </c>
      <c r="B117" s="87">
        <v>46241.468055555553</v>
      </c>
      <c r="C117" s="87">
        <v>46211.488888888889</v>
      </c>
      <c r="D117" t="str">
        <v>anónimo</v>
      </c>
      <c r="E117" t="str">
        <v/>
      </c>
      <c r="F117" s="68">
        <v>46211</v>
      </c>
      <c r="G117" s="88">
        <v>46210</v>
      </c>
      <c r="H117" t="str">
        <v>MARA HERNANDEZ SUR</v>
      </c>
      <c r="I117" t="str">
        <v>JORGE LUIS TERRAZAS RICO</v>
      </c>
      <c r="J117" s="82">
        <v>32806118637</v>
      </c>
      <c r="K117" t="str">
        <v>TERJ611017HCLRCR09</v>
      </c>
      <c r="L117" s="82">
        <v>22431386</v>
      </c>
      <c r="M117" s="82">
        <v>5218661128479</v>
      </c>
      <c r="N117" t="str">
        <v>NUEVO MAYOR</v>
      </c>
      <c r="O117" s="89">
        <v>28426.720000000001</v>
      </c>
      <c r="P117" s="89" t="str">
        <v/>
      </c>
      <c r="Q117" s="89">
        <v>8528.02</v>
      </c>
      <c r="R117" s="89">
        <v>8528.02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>
        <v>1</v>
      </c>
    </row>
    <row r="118" spans="1:24">
      <c r="A118" s="26" t="str">
        <v/>
      </c>
      <c r="B118" s="87">
        <v>46241.540972222225</v>
      </c>
      <c r="C118" s="87">
        <v>46211.543055555558</v>
      </c>
      <c r="D118" t="str">
        <v>anónimo</v>
      </c>
      <c r="E118" t="str">
        <v/>
      </c>
      <c r="F118" s="68">
        <v>46211</v>
      </c>
      <c r="G118" s="88">
        <v>46210</v>
      </c>
      <c r="H118" t="str">
        <v>LILIANA MARTINEZ SUR</v>
      </c>
      <c r="I118" t="str">
        <v>JORGE OSORIO RUIZ</v>
      </c>
      <c r="J118" s="82" t="str">
        <v/>
      </c>
      <c r="K118" t="str">
        <v>OORJ510918HDFSZR08</v>
      </c>
      <c r="L118" s="82">
        <v>22427464</v>
      </c>
      <c r="M118" s="82">
        <v>5217351747949</v>
      </c>
      <c r="N118" t="str">
        <v>NUEVO MENOR</v>
      </c>
      <c r="O118" s="89">
        <v>15125.95</v>
      </c>
      <c r="P118" s="89">
        <v>4199.5</v>
      </c>
      <c r="Q118" s="89">
        <v>4537.79</v>
      </c>
      <c r="R118" s="89">
        <v>338.29</v>
      </c>
      <c r="S118">
        <v>46032</v>
      </c>
      <c r="T118" t="str">
        <v/>
      </c>
      <c r="U118" t="str">
        <v/>
      </c>
      <c r="V118" t="str">
        <v/>
      </c>
      <c r="W118" t="str">
        <v/>
      </c>
      <c r="X118">
        <v>2</v>
      </c>
    </row>
    <row r="119" spans="1:24">
      <c r="A119" s="26" t="str">
        <v/>
      </c>
      <c r="B119" s="87">
        <v>46241.540277777778</v>
      </c>
      <c r="C119" s="87">
        <v>46211.543749999997</v>
      </c>
      <c r="D119" t="str">
        <v>anónimo</v>
      </c>
      <c r="E119" t="str">
        <v/>
      </c>
      <c r="F119" s="68">
        <v>46211</v>
      </c>
      <c r="G119" s="88">
        <v>46210</v>
      </c>
      <c r="H119" t="str">
        <v>MARIA MARTINEZ SUR</v>
      </c>
      <c r="I119" t="str">
        <v>FRANCISCO PADILLA GALVAN</v>
      </c>
      <c r="J119" s="82" t="str">
        <v/>
      </c>
      <c r="K119" t="str">
        <v>PAGF620926HMCDLR03</v>
      </c>
      <c r="L119" s="82">
        <v>22430898</v>
      </c>
      <c r="M119" s="82">
        <v>5215582179697</v>
      </c>
      <c r="N119" t="str">
        <v>RESTRINGIDA</v>
      </c>
      <c r="O119" s="89">
        <v>26061.71</v>
      </c>
      <c r="P119" s="89">
        <v>6896.65</v>
      </c>
      <c r="Q119" s="89">
        <v>7818.51</v>
      </c>
      <c r="R119" s="89">
        <v>921.86</v>
      </c>
      <c r="S119">
        <v>46394</v>
      </c>
      <c r="T119" t="str">
        <v/>
      </c>
      <c r="U119" t="str">
        <v/>
      </c>
      <c r="V119" t="str">
        <v/>
      </c>
      <c r="W119" t="str">
        <v/>
      </c>
      <c r="X119">
        <v>2</v>
      </c>
    </row>
    <row r="120" spans="1:24">
      <c r="A120" s="26" t="str">
        <v/>
      </c>
      <c r="B120" s="87">
        <v>46241.568749999999</v>
      </c>
      <c r="C120" s="87">
        <v>46211.571527777778</v>
      </c>
      <c r="D120" t="str">
        <v>anónimo</v>
      </c>
      <c r="E120" t="str">
        <v/>
      </c>
      <c r="F120" s="68">
        <v>46211</v>
      </c>
      <c r="G120" s="88">
        <v>46241</v>
      </c>
      <c r="H120" t="str">
        <v>DEYANIRA CORDOVA C/C</v>
      </c>
      <c r="I120" t="str">
        <v xml:space="preserve">DIANA DE LA CRUZ </v>
      </c>
      <c r="J120" s="82">
        <v>83927627824</v>
      </c>
      <c r="K120" t="str">
        <v>CUCD810126MTCRSN07</v>
      </c>
      <c r="L120" s="82">
        <v>22461072</v>
      </c>
      <c r="M120" s="82">
        <v>5219932773198</v>
      </c>
      <c r="N120" t="str">
        <v>COMPRA MAYOR</v>
      </c>
      <c r="O120" s="89">
        <v>6121.36</v>
      </c>
      <c r="P120" s="89">
        <v>2853.42</v>
      </c>
      <c r="Q120" s="89">
        <v>1836.41</v>
      </c>
      <c r="R120" s="89">
        <v>-1017.01</v>
      </c>
      <c r="S120">
        <v>46029</v>
      </c>
      <c r="T120" t="str">
        <v/>
      </c>
      <c r="U120" t="str">
        <v/>
      </c>
      <c r="V120" t="str">
        <v/>
      </c>
      <c r="W120" t="str">
        <v/>
      </c>
      <c r="X120">
        <v>2</v>
      </c>
    </row>
    <row r="121" spans="1:24">
      <c r="A121" s="26" t="str">
        <v/>
      </c>
      <c r="B121" s="87">
        <v>46241.548611111109</v>
      </c>
      <c r="C121" s="87">
        <v>46211.59375</v>
      </c>
      <c r="D121" t="str">
        <v>anónimo</v>
      </c>
      <c r="E121" t="str">
        <v/>
      </c>
      <c r="F121" s="68">
        <v>46211</v>
      </c>
      <c r="G121" s="88" t="str">
        <v>29/06/2026</v>
      </c>
      <c r="H121" t="str">
        <v>MARIA MARTINEZ SUR</v>
      </c>
      <c r="I121" t="str">
        <v>CLAUDIA EDUWIGES MORENO AHUMADA</v>
      </c>
      <c r="J121" s="82" t="str">
        <v/>
      </c>
      <c r="K121" t="str">
        <v>MOAC770909MSRRHL02</v>
      </c>
      <c r="L121" s="82">
        <v>22096042</v>
      </c>
      <c r="M121" s="82">
        <v>5216623483682</v>
      </c>
      <c r="N121" t="str">
        <v>NUEVO MENOR</v>
      </c>
      <c r="O121" s="89">
        <v>4538.28</v>
      </c>
      <c r="P121" s="89" t="str">
        <v/>
      </c>
      <c r="Q121" s="89">
        <v>1361.48</v>
      </c>
      <c r="R121" s="89">
        <v>365.3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>
        <v>1</v>
      </c>
    </row>
    <row r="122" spans="1:24">
      <c r="A122" s="26" t="str">
        <v/>
      </c>
      <c r="B122" s="87">
        <v>46241.59652777778</v>
      </c>
      <c r="C122" s="87">
        <v>46211.602083333331</v>
      </c>
      <c r="D122" t="str">
        <v>anónimo</v>
      </c>
      <c r="E122" t="str">
        <v/>
      </c>
      <c r="F122" s="68">
        <v>46211</v>
      </c>
      <c r="G122" s="88">
        <v>46119</v>
      </c>
      <c r="H122" t="str">
        <v>LILIANA MARTINEZ SUR</v>
      </c>
      <c r="I122" t="str">
        <v>PATRICIA VARELA RIVERO</v>
      </c>
      <c r="J122" s="82">
        <v>11614411400</v>
      </c>
      <c r="K122" t="str">
        <v>VARP620810MDFRVT03</v>
      </c>
      <c r="L122" s="82">
        <v>22283428</v>
      </c>
      <c r="M122" s="82">
        <v>5215524227440</v>
      </c>
      <c r="N122" t="str">
        <v>COMPRA MENOR</v>
      </c>
      <c r="O122" s="89">
        <v>6193.88</v>
      </c>
      <c r="P122" s="89">
        <v>1792.04</v>
      </c>
      <c r="Q122" s="89">
        <v>1858.16</v>
      </c>
      <c r="R122" s="89">
        <v>66.12</v>
      </c>
      <c r="S122">
        <v>45660</v>
      </c>
      <c r="T122" t="str">
        <v/>
      </c>
      <c r="U122" t="str">
        <v/>
      </c>
      <c r="V122" t="str">
        <v/>
      </c>
      <c r="W122" t="str">
        <v/>
      </c>
      <c r="X122">
        <v>2</v>
      </c>
    </row>
    <row r="123" spans="1:24">
      <c r="A123" s="26" t="str">
        <v/>
      </c>
      <c r="B123" s="87">
        <v>46241.453472222223</v>
      </c>
      <c r="C123" s="87">
        <v>46211.636805555558</v>
      </c>
      <c r="D123" t="str">
        <v>anónimo</v>
      </c>
      <c r="E123" t="str">
        <v/>
      </c>
      <c r="F123" s="68">
        <v>46211</v>
      </c>
      <c r="G123" s="88">
        <v>46241</v>
      </c>
      <c r="H123" t="str">
        <v>LUIS DAVILA C/C</v>
      </c>
      <c r="I123" t="str">
        <v>ANA LAURA</v>
      </c>
      <c r="J123" s="82">
        <v>23896405398</v>
      </c>
      <c r="K123" t="str">
        <v>VASA641129MICZLN06</v>
      </c>
      <c r="L123" s="82">
        <v>21952838</v>
      </c>
      <c r="M123" s="82">
        <v>5216674845599</v>
      </c>
      <c r="N123" t="str">
        <v>NUEVO MAYOR</v>
      </c>
      <c r="O123" s="89">
        <v>11029.03</v>
      </c>
      <c r="P123" s="89" t="str">
        <v/>
      </c>
      <c r="Q123" s="89">
        <v>3308.71</v>
      </c>
      <c r="R123" s="89">
        <v>3308.71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>
        <v>1</v>
      </c>
    </row>
    <row r="124" spans="1:24">
      <c r="A124" s="26" t="str">
        <v/>
      </c>
      <c r="B124" s="87">
        <v>46241.665277777778</v>
      </c>
      <c r="C124" s="87">
        <v>46211.667361111111</v>
      </c>
      <c r="D124" t="str">
        <v>anónimo</v>
      </c>
      <c r="E124" t="str">
        <v/>
      </c>
      <c r="F124" s="68">
        <v>46211</v>
      </c>
      <c r="G124" s="88" t="str">
        <v>22/06/2026</v>
      </c>
      <c r="H124" t="str">
        <v>GIOVANNI MELGAR</v>
      </c>
      <c r="I124" t="str">
        <v>JUAN ARMANDO CASTILLO GUZMAN</v>
      </c>
      <c r="J124" s="82" t="str">
        <v/>
      </c>
      <c r="K124" t="str">
        <v>CAGJ540827HNLSZN09</v>
      </c>
      <c r="L124" s="82">
        <v>21907488</v>
      </c>
      <c r="M124" s="82">
        <v>5218186537201</v>
      </c>
      <c r="N124" t="str">
        <v>NUEVO MAYOR</v>
      </c>
      <c r="O124" s="89">
        <v>15283.99</v>
      </c>
      <c r="P124" s="89">
        <v>848</v>
      </c>
      <c r="Q124" s="89">
        <v>4585.2</v>
      </c>
      <c r="R124" s="89">
        <v>3737.2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>
        <v>1</v>
      </c>
    </row>
    <row r="125" spans="1:24">
      <c r="A125" s="26" t="str">
        <v/>
      </c>
      <c r="B125" s="87">
        <v>46241.6875</v>
      </c>
      <c r="C125" s="87">
        <v>46211.695138888892</v>
      </c>
      <c r="D125" t="str">
        <v>anónimo</v>
      </c>
      <c r="E125" t="str">
        <v/>
      </c>
      <c r="F125" s="68">
        <v>46211</v>
      </c>
      <c r="G125" s="88">
        <v>46241</v>
      </c>
      <c r="H125" t="str">
        <v>GLORIA ORTIZ C/C</v>
      </c>
      <c r="I125" t="str">
        <v>SEVERINO HERNANDEZ ROSALES</v>
      </c>
      <c r="J125" s="82">
        <v>11705250857</v>
      </c>
      <c r="K125" t="str">
        <v/>
      </c>
      <c r="L125" s="82">
        <v>21880216</v>
      </c>
      <c r="M125" s="82">
        <v>5215582856876</v>
      </c>
      <c r="N125" t="str">
        <v>NUEVO MAYOR</v>
      </c>
      <c r="O125" s="89">
        <v>12091.18</v>
      </c>
      <c r="P125" s="89" t="str">
        <v/>
      </c>
      <c r="Q125" s="89">
        <v>3627.35</v>
      </c>
      <c r="R125" s="89">
        <v>3627.35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>
        <v>1</v>
      </c>
    </row>
    <row r="126" spans="1:24">
      <c r="A126" s="26" t="str">
        <v/>
      </c>
      <c r="B126" s="87">
        <v>46241.720833333333</v>
      </c>
      <c r="C126" s="87">
        <v>46211.722916666666</v>
      </c>
      <c r="D126" t="str">
        <v>anónimo</v>
      </c>
      <c r="E126" t="str">
        <v/>
      </c>
      <c r="F126" s="68">
        <v>46211</v>
      </c>
      <c r="G126" s="88">
        <v>46060</v>
      </c>
      <c r="H126" t="str">
        <v>JENNIFER AVENDAÑO SUR</v>
      </c>
      <c r="I126" t="str">
        <v>AURELIO SAUCEDO SAUCEDO</v>
      </c>
      <c r="J126" s="82">
        <v>43786094979</v>
      </c>
      <c r="K126" t="str">
        <v>SASA600118HNLCCR02</v>
      </c>
      <c r="L126" s="82">
        <v>22254392</v>
      </c>
      <c r="M126" s="82">
        <v>5218136094220</v>
      </c>
      <c r="N126" t="str">
        <v>NUEVO MAYOR</v>
      </c>
      <c r="O126" s="89">
        <v>14152.81</v>
      </c>
      <c r="P126" s="89">
        <v>2981.22</v>
      </c>
      <c r="Q126" s="89">
        <v>4245.84</v>
      </c>
      <c r="R126" s="89">
        <v>1264.6199999999999</v>
      </c>
      <c r="S126">
        <v>46032</v>
      </c>
      <c r="T126" t="str">
        <v/>
      </c>
      <c r="U126" t="str">
        <v/>
      </c>
      <c r="V126" t="str">
        <v/>
      </c>
      <c r="W126" t="str">
        <v/>
      </c>
      <c r="X126">
        <v>2</v>
      </c>
    </row>
    <row r="127" spans="1:24">
      <c r="A127" s="26" t="str">
        <v/>
      </c>
      <c r="B127" s="87">
        <v>46241.723611111112</v>
      </c>
      <c r="C127" s="87">
        <v>46211.725694444445</v>
      </c>
      <c r="D127" t="str">
        <v>anónimo</v>
      </c>
      <c r="E127" t="str">
        <v/>
      </c>
      <c r="F127" s="68">
        <v>46211</v>
      </c>
      <c r="G127" s="88">
        <v>46119</v>
      </c>
      <c r="H127" t="str">
        <v>MARIA MARTINEZ SUR</v>
      </c>
      <c r="I127" t="str">
        <v>MARIA ALMA GARDUÑO RAMIREZ</v>
      </c>
      <c r="J127" s="82" t="str">
        <v/>
      </c>
      <c r="K127" t="str">
        <v>GARA720209MMNRML08</v>
      </c>
      <c r="L127" s="82">
        <v>22293406</v>
      </c>
      <c r="M127" s="82">
        <v>5216645707581</v>
      </c>
      <c r="N127" t="str">
        <v>NUEVO MENOR</v>
      </c>
      <c r="O127" s="89">
        <v>5085.96</v>
      </c>
      <c r="P127" s="89" t="str">
        <v/>
      </c>
      <c r="Q127" s="89">
        <v>1525.79</v>
      </c>
      <c r="R127" s="89">
        <v>912.98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>
        <v>1</v>
      </c>
    </row>
    <row r="128" spans="1:24">
      <c r="A128" s="26" t="str">
        <v/>
      </c>
      <c r="B128" s="87">
        <v>46241.854166666664</v>
      </c>
      <c r="C128" s="87">
        <v>46211.856249999997</v>
      </c>
      <c r="D128" t="str">
        <v>anónimo</v>
      </c>
      <c r="E128" t="str">
        <v/>
      </c>
      <c r="F128" s="68">
        <v>46211</v>
      </c>
      <c r="G128" s="88">
        <v>46241</v>
      </c>
      <c r="H128" t="str">
        <v>LUIS DAVILA C/C</v>
      </c>
      <c r="I128" t="str">
        <v>RAUL TRUJILLO RIVAS</v>
      </c>
      <c r="J128" s="82">
        <v>12927444252</v>
      </c>
      <c r="K128" t="str">
        <v>TURR740911HGTRVL08</v>
      </c>
      <c r="L128" s="82">
        <v>22480544</v>
      </c>
      <c r="M128" s="82">
        <v>5214791011803</v>
      </c>
      <c r="N128" t="str">
        <v>NUEVO MAYOR</v>
      </c>
      <c r="O128" s="89">
        <v>5810.12</v>
      </c>
      <c r="P128" s="89" t="str">
        <v/>
      </c>
      <c r="Q128" s="89">
        <v>1743.04</v>
      </c>
      <c r="R128" s="89">
        <v>1637.14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>
        <v>1</v>
      </c>
    </row>
    <row r="129" spans="1:24">
      <c r="A129" s="26" t="str">
        <v/>
      </c>
      <c r="B129" s="87">
        <v>46272.348611111112</v>
      </c>
      <c r="C129" s="87">
        <v>46212.349305555559</v>
      </c>
      <c r="D129" t="str">
        <v>anónimo</v>
      </c>
      <c r="E129" t="str">
        <v/>
      </c>
      <c r="F129" s="68">
        <v>46212</v>
      </c>
      <c r="G129" s="88">
        <v>46241</v>
      </c>
      <c r="H129" t="str">
        <v>LITZY MARTINEZ C/C</v>
      </c>
      <c r="I129" t="str">
        <v>Eduardo Ramos Molina</v>
      </c>
      <c r="J129" s="82" t="str">
        <v/>
      </c>
      <c r="K129" t="str">
        <v>RAME551212HCSMLD00</v>
      </c>
      <c r="L129" s="82">
        <v>22475746</v>
      </c>
      <c r="M129" s="82">
        <v>0</v>
      </c>
      <c r="N129" t="str">
        <v>NUEVO MAYOR</v>
      </c>
      <c r="O129" s="89">
        <v>6262.86</v>
      </c>
      <c r="P129" s="89" t="str">
        <v/>
      </c>
      <c r="Q129" s="89">
        <v>1878.86</v>
      </c>
      <c r="R129" s="89">
        <v>1878.86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>
        <v>1</v>
      </c>
    </row>
    <row r="130" spans="1:24">
      <c r="A130" s="26" t="str">
        <v/>
      </c>
      <c r="B130" s="87">
        <v>46272.377083333333</v>
      </c>
      <c r="C130" s="87">
        <v>46212.458333333336</v>
      </c>
      <c r="D130" t="str">
        <v>anónimo</v>
      </c>
      <c r="E130" t="str">
        <v/>
      </c>
      <c r="F130" s="68">
        <v>46212</v>
      </c>
      <c r="G130" s="88">
        <v>46119</v>
      </c>
      <c r="H130" t="str">
        <v>LILIANA MARTINEZ SUR</v>
      </c>
      <c r="I130" t="str">
        <v>MARGARITA EDITH PEREZ LUNA</v>
      </c>
      <c r="J130" s="82">
        <v>7866501377</v>
      </c>
      <c r="K130" t="str">
        <v>PELM670222MMCRNR05</v>
      </c>
      <c r="L130" s="82">
        <v>22292548</v>
      </c>
      <c r="M130" s="82">
        <v>5215663967910</v>
      </c>
      <c r="N130" t="str">
        <v>NUEVO MAYOR</v>
      </c>
      <c r="O130" s="89">
        <v>7580.38</v>
      </c>
      <c r="P130" s="89">
        <v>848</v>
      </c>
      <c r="Q130" s="89">
        <v>2274.11</v>
      </c>
      <c r="R130" s="89">
        <v>1426.11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>
        <v>1</v>
      </c>
    </row>
    <row r="131" spans="1:24">
      <c r="A131" s="26" t="str">
        <v/>
      </c>
      <c r="B131" s="87">
        <v>46272.454861111109</v>
      </c>
      <c r="C131" s="87">
        <v>46212.465277777781</v>
      </c>
      <c r="D131" t="str">
        <v>anónimo</v>
      </c>
      <c r="E131" t="str">
        <v/>
      </c>
      <c r="F131" s="68">
        <v>46212</v>
      </c>
      <c r="G131" s="88">
        <v>46272</v>
      </c>
      <c r="H131" t="str">
        <v>LILIANA MARTINEZ SUR</v>
      </c>
      <c r="I131" t="str">
        <v>JULIO JOSE ALFREDO MENDOZA ROJAS</v>
      </c>
      <c r="J131" s="82">
        <v>17225679581</v>
      </c>
      <c r="K131" t="str">
        <v>MERJ551220HMCNJL08</v>
      </c>
      <c r="L131" s="82">
        <v>22502448</v>
      </c>
      <c r="M131" s="82">
        <v>5215581079293</v>
      </c>
      <c r="N131" t="str">
        <v>NUEVO MAYOR</v>
      </c>
      <c r="O131" s="89">
        <v>9760.32</v>
      </c>
      <c r="P131" s="89" t="str">
        <v/>
      </c>
      <c r="Q131" s="89">
        <v>2928.1</v>
      </c>
      <c r="R131" s="89">
        <v>2928.1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>
        <v>1</v>
      </c>
    </row>
    <row r="132" spans="1:24">
      <c r="A132" s="26" t="str">
        <v/>
      </c>
      <c r="B132" s="87">
        <v>46272.45208333333</v>
      </c>
      <c r="C132" s="87">
        <v>46212.481249999997</v>
      </c>
      <c r="D132" t="str">
        <v>anónimo</v>
      </c>
      <c r="E132" t="str">
        <v/>
      </c>
      <c r="F132" s="68">
        <v>46212</v>
      </c>
      <c r="G132" s="88">
        <v>46272</v>
      </c>
      <c r="H132" t="str">
        <v>YAMILETH LÓPEZ HDEZ SUR</v>
      </c>
      <c r="I132" t="str">
        <v>TELESFORA LOPEZ PEREZ</v>
      </c>
      <c r="J132" s="82">
        <v>71653711482</v>
      </c>
      <c r="K132" t="str">
        <v>LOPT780926MCSPRL07</v>
      </c>
      <c r="L132" s="82">
        <v>22494274</v>
      </c>
      <c r="M132" s="82">
        <v>5219671465811</v>
      </c>
      <c r="N132" t="str">
        <v>NUEVO MAYOR</v>
      </c>
      <c r="O132" s="89">
        <v>7363.38</v>
      </c>
      <c r="P132" s="89" t="str">
        <v/>
      </c>
      <c r="Q132" s="89">
        <v>2209.0100000000002</v>
      </c>
      <c r="R132" s="89">
        <v>2209.0100000000002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>
        <v>1</v>
      </c>
    </row>
    <row r="133" spans="1:24">
      <c r="A133" s="26" t="str">
        <v/>
      </c>
      <c r="B133" s="87">
        <v>46272.484027777777</v>
      </c>
      <c r="C133" s="87">
        <v>46212.491666666669</v>
      </c>
      <c r="D133" t="str">
        <v>anónimo</v>
      </c>
      <c r="E133" t="str">
        <v/>
      </c>
      <c r="F133" s="68">
        <v>46212</v>
      </c>
      <c r="G133" s="88">
        <v>46272</v>
      </c>
      <c r="H133" t="str">
        <v>ROSA CASTRO SUR</v>
      </c>
      <c r="I133" t="str">
        <v>WILBER ENRIQUE TABARES JUAREZ</v>
      </c>
      <c r="J133" s="82">
        <v>81897110698</v>
      </c>
      <c r="K133" t="str">
        <v>TAJW710922HCCBRL01</v>
      </c>
      <c r="L133" s="82">
        <v>22505280</v>
      </c>
      <c r="M133" s="82">
        <v>5219811151981</v>
      </c>
      <c r="N133" t="str">
        <v>NUEVO MAYOR</v>
      </c>
      <c r="O133" s="89">
        <v>8181.55</v>
      </c>
      <c r="P133" s="89" t="str">
        <v/>
      </c>
      <c r="Q133" s="89">
        <v>2454.4699999999998</v>
      </c>
      <c r="R133" s="89">
        <v>2454.4699999999998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>
        <v>1</v>
      </c>
    </row>
    <row r="134" spans="1:24">
      <c r="A134" s="26" t="str">
        <v/>
      </c>
      <c r="B134" s="87">
        <v>46272.493750000001</v>
      </c>
      <c r="C134" s="87">
        <v>46212.49722222222</v>
      </c>
      <c r="D134" t="str">
        <v>anónimo</v>
      </c>
      <c r="E134" t="str">
        <v/>
      </c>
      <c r="F134" s="68">
        <v>46212</v>
      </c>
      <c r="G134" s="88">
        <v>46272</v>
      </c>
      <c r="H134" t="str">
        <v>JENNIFER AVENDAÑO SUR</v>
      </c>
      <c r="I134" t="str">
        <v>PERFECTO RODRIGUEZ SANCHEZ</v>
      </c>
      <c r="J134" s="82">
        <v>32816625795</v>
      </c>
      <c r="K134" t="str">
        <v>ROSP660418HCLDNR02</v>
      </c>
      <c r="L134" s="82">
        <v>22505282</v>
      </c>
      <c r="M134" s="82">
        <v>5218446685591</v>
      </c>
      <c r="N134" t="str">
        <v>NUEVO MAYOR</v>
      </c>
      <c r="O134" s="89">
        <v>10636.54</v>
      </c>
      <c r="P134" s="89" t="str">
        <v/>
      </c>
      <c r="Q134" s="89">
        <v>3190.96</v>
      </c>
      <c r="R134" s="89">
        <v>3190.96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>
        <v>1</v>
      </c>
    </row>
    <row r="135" spans="1:24">
      <c r="A135" s="26" t="str">
        <v/>
      </c>
      <c r="B135" s="87">
        <v>46272.523611111108</v>
      </c>
      <c r="C135" s="87">
        <v>46212.523611111108</v>
      </c>
      <c r="D135" t="str">
        <v>anónimo</v>
      </c>
      <c r="E135" t="str">
        <v/>
      </c>
      <c r="F135" s="68">
        <v>46212</v>
      </c>
      <c r="G135" s="88">
        <v>46272</v>
      </c>
      <c r="H135" t="str">
        <v>ALBERTO POZOS EXT</v>
      </c>
      <c r="I135" t="str">
        <v/>
      </c>
      <c r="J135" s="82">
        <v>85724706792</v>
      </c>
      <c r="K135" t="str">
        <v/>
      </c>
      <c r="L135" s="82">
        <v>1</v>
      </c>
      <c r="M135" s="82" t="str">
        <v xml:space="preserve">No proporcionó </v>
      </c>
      <c r="N135" t="str">
        <v>NUEVO MENOR</v>
      </c>
      <c r="O135" s="89">
        <v>7913.78</v>
      </c>
      <c r="P135" s="89">
        <v>2029.1</v>
      </c>
      <c r="Q135" s="89">
        <v>2374.13</v>
      </c>
      <c r="R135" s="89">
        <v>345.03</v>
      </c>
      <c r="S135">
        <v>46391</v>
      </c>
      <c r="T135" t="str">
        <v/>
      </c>
      <c r="U135" t="str">
        <v/>
      </c>
      <c r="V135" t="str">
        <v/>
      </c>
      <c r="W135" t="str">
        <v/>
      </c>
      <c r="X135">
        <v>2</v>
      </c>
    </row>
    <row r="136" spans="1:24">
      <c r="A136" s="26" t="str">
        <v/>
      </c>
      <c r="B136" s="87">
        <v>46272.536111111112</v>
      </c>
      <c r="C136" s="87">
        <v>46212.538888888892</v>
      </c>
      <c r="D136" t="str">
        <v>anónimo</v>
      </c>
      <c r="E136" t="str">
        <v/>
      </c>
      <c r="F136" s="68">
        <v>46212</v>
      </c>
      <c r="G136" s="88">
        <v>46241</v>
      </c>
      <c r="H136" t="str">
        <v>JENNIFER AVENDAÑO SUR</v>
      </c>
      <c r="I136" t="str">
        <v>ANA MARIA HERNANDEZ BECERRA</v>
      </c>
      <c r="J136" s="82" t="str">
        <v/>
      </c>
      <c r="K136" t="str">
        <v>HEBA570726MDFRCN04</v>
      </c>
      <c r="L136" s="82">
        <v>22482000</v>
      </c>
      <c r="M136" s="82">
        <v>5215560991866</v>
      </c>
      <c r="N136" t="str">
        <v>COMPRA MENOR</v>
      </c>
      <c r="O136" s="89">
        <v>4813.6899999999996</v>
      </c>
      <c r="P136" s="89">
        <v>524.64</v>
      </c>
      <c r="Q136" s="89">
        <v>1444.11</v>
      </c>
      <c r="R136" s="89">
        <v>116.07</v>
      </c>
      <c r="S136">
        <v>45300</v>
      </c>
      <c r="T136" t="str">
        <v/>
      </c>
      <c r="U136" t="str">
        <v/>
      </c>
      <c r="V136" t="str">
        <v/>
      </c>
      <c r="W136" t="str">
        <v/>
      </c>
      <c r="X136">
        <v>2</v>
      </c>
    </row>
    <row r="137" spans="1:24">
      <c r="A137" s="26" t="str">
        <v/>
      </c>
      <c r="B137" s="87">
        <v>46272.464583333334</v>
      </c>
      <c r="C137" s="87">
        <v>46212.561111111114</v>
      </c>
      <c r="D137" t="str">
        <v>anónimo</v>
      </c>
      <c r="E137" t="str">
        <v/>
      </c>
      <c r="F137" s="68">
        <v>46212</v>
      </c>
      <c r="G137" s="88">
        <v>46241</v>
      </c>
      <c r="H137" t="str">
        <v>ALAN ALTAMIRANO EXT</v>
      </c>
      <c r="I137" t="str">
        <v xml:space="preserve">NO PROPORCIONO </v>
      </c>
      <c r="J137" s="82">
        <v>32936102048</v>
      </c>
      <c r="K137" t="str">
        <v/>
      </c>
      <c r="L137" s="82">
        <v>1</v>
      </c>
      <c r="M137" s="82">
        <v>8714794151</v>
      </c>
      <c r="N137" t="str">
        <v>NUEVO MENOR</v>
      </c>
      <c r="O137" s="89">
        <v>6262.86</v>
      </c>
      <c r="P137" s="89">
        <v>848</v>
      </c>
      <c r="Q137" s="89">
        <v>1878.86</v>
      </c>
      <c r="R137" s="89">
        <v>1030.8599999999999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>
        <v>1</v>
      </c>
    </row>
    <row r="138" spans="1:24">
      <c r="A138" s="26" t="str">
        <v/>
      </c>
      <c r="B138" s="87">
        <v>46272.581250000003</v>
      </c>
      <c r="C138" s="87">
        <v>46212.584722222222</v>
      </c>
      <c r="D138" t="str">
        <v>anónimo</v>
      </c>
      <c r="E138" t="str">
        <v/>
      </c>
      <c r="F138" s="68">
        <v>46212</v>
      </c>
      <c r="G138" s="88">
        <v>46272</v>
      </c>
      <c r="H138" t="str">
        <v>ALAN ALTAMIRANO EXT</v>
      </c>
      <c r="I138" t="str">
        <v>JOSE FRANCISCO HERNANDEZ GARCIA</v>
      </c>
      <c r="J138" s="82" t="str">
        <v/>
      </c>
      <c r="K138" t="str">
        <v>HEGF660525HTCRRR09</v>
      </c>
      <c r="L138" s="82">
        <v>1</v>
      </c>
      <c r="M138" s="82">
        <v>8993448864</v>
      </c>
      <c r="N138" t="str">
        <v>NUEVO MENOR</v>
      </c>
      <c r="O138" s="89">
        <v>7920.51</v>
      </c>
      <c r="P138" s="89">
        <v>1195.94</v>
      </c>
      <c r="Q138" s="89">
        <v>2376.15</v>
      </c>
      <c r="R138" s="89">
        <v>1180.21</v>
      </c>
      <c r="S138">
        <v>46397</v>
      </c>
      <c r="T138" t="str">
        <v/>
      </c>
      <c r="U138" t="str">
        <v/>
      </c>
      <c r="V138" t="str">
        <v/>
      </c>
      <c r="W138" t="str">
        <v/>
      </c>
      <c r="X138">
        <v>2</v>
      </c>
    </row>
    <row r="139" spans="1:24">
      <c r="A139" s="26" t="str">
        <v/>
      </c>
      <c r="B139" s="87">
        <v>46272.581944444442</v>
      </c>
      <c r="C139" s="87">
        <v>46212.59097222222</v>
      </c>
      <c r="D139" t="str">
        <v>anónimo</v>
      </c>
      <c r="E139" t="str">
        <v/>
      </c>
      <c r="F139" s="68">
        <v>46212</v>
      </c>
      <c r="G139" s="88">
        <v>46272</v>
      </c>
      <c r="H139" t="str">
        <v>LILIANA MARTINEZ SUR</v>
      </c>
      <c r="I139" t="str">
        <v>FELIPE AMARO SOLORZANO</v>
      </c>
      <c r="J139" s="82">
        <v>10826111824</v>
      </c>
      <c r="K139" t="str">
        <v>AASF610710HDFMLL03</v>
      </c>
      <c r="L139" s="82">
        <v>22506692</v>
      </c>
      <c r="M139" s="82">
        <v>5213319449078</v>
      </c>
      <c r="N139" t="str">
        <v>NUEVO MAYOR</v>
      </c>
      <c r="O139" s="89">
        <v>12775.03</v>
      </c>
      <c r="P139" s="89" t="str">
        <v/>
      </c>
      <c r="Q139" s="89">
        <v>3832.51</v>
      </c>
      <c r="R139" s="89">
        <v>3832.51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>
        <v>1</v>
      </c>
    </row>
    <row r="140" spans="1:24">
      <c r="A140" s="26" t="str">
        <v/>
      </c>
      <c r="B140" s="87">
        <v>46272.631249999999</v>
      </c>
      <c r="C140" s="87">
        <v>46212.643055555556</v>
      </c>
      <c r="D140" t="str">
        <v>anónimo</v>
      </c>
      <c r="E140" t="str">
        <v/>
      </c>
      <c r="F140" s="68">
        <v>46212</v>
      </c>
      <c r="G140" s="88">
        <v>46272</v>
      </c>
      <c r="H140" t="str">
        <v>MARA HERNANDEZ SUR</v>
      </c>
      <c r="I140" t="str">
        <v>JORGE LUIS HERNANDEZ REYES</v>
      </c>
      <c r="J140" s="82">
        <v>32816392958</v>
      </c>
      <c r="K140" t="str">
        <v>HERJ631113HDGRYR03</v>
      </c>
      <c r="L140" s="82">
        <v>22507370</v>
      </c>
      <c r="M140" s="82">
        <v>5218727719493</v>
      </c>
      <c r="N140" t="str">
        <v>COMPRA MENOR</v>
      </c>
      <c r="O140" s="89">
        <v>17234.73</v>
      </c>
      <c r="P140" s="89">
        <v>5170.03</v>
      </c>
      <c r="Q140" s="89">
        <v>5170.42</v>
      </c>
      <c r="R140" s="89">
        <v>0.39</v>
      </c>
      <c r="S140">
        <v>46029</v>
      </c>
      <c r="T140" t="str">
        <v/>
      </c>
      <c r="U140" t="str">
        <v/>
      </c>
      <c r="V140" t="str">
        <v/>
      </c>
      <c r="W140" t="str">
        <v/>
      </c>
      <c r="X140">
        <v>2</v>
      </c>
    </row>
    <row r="141" spans="1:24">
      <c r="A141" s="26" t="str">
        <v/>
      </c>
      <c r="B141" s="87">
        <v>46272.637499999997</v>
      </c>
      <c r="C141" s="87">
        <v>46212.652777777781</v>
      </c>
      <c r="D141" t="str">
        <v>anónimo</v>
      </c>
      <c r="E141" t="str">
        <v/>
      </c>
      <c r="F141" s="68">
        <v>46212</v>
      </c>
      <c r="G141" s="88">
        <v>46272</v>
      </c>
      <c r="H141" t="str">
        <v>MARA HERNANDEZ SUR</v>
      </c>
      <c r="I141" t="str">
        <v>ALEJANDRO JAVIER PELLICER JIMENEZ</v>
      </c>
      <c r="J141" s="82" t="str">
        <v/>
      </c>
      <c r="K141" t="str">
        <v>PEJA571203HDFLML05</v>
      </c>
      <c r="L141" s="82">
        <v>22509918</v>
      </c>
      <c r="M141" s="82">
        <v>5214423449316</v>
      </c>
      <c r="N141" t="str">
        <v>COMPRA MAYOR</v>
      </c>
      <c r="O141" s="89">
        <v>6262.86</v>
      </c>
      <c r="P141" s="89">
        <v>1537.22</v>
      </c>
      <c r="Q141" s="89">
        <v>1878.86</v>
      </c>
      <c r="R141" s="89">
        <v>341.64</v>
      </c>
      <c r="S141">
        <v>45296</v>
      </c>
      <c r="T141" t="str">
        <v/>
      </c>
      <c r="U141" t="str">
        <v/>
      </c>
      <c r="V141" t="str">
        <v/>
      </c>
      <c r="W141" t="str">
        <v/>
      </c>
      <c r="X141">
        <v>2</v>
      </c>
    </row>
    <row r="142" spans="1:24">
      <c r="A142" s="26" t="str">
        <v/>
      </c>
      <c r="B142" s="87">
        <v>46272.65</v>
      </c>
      <c r="C142" s="87">
        <v>46212.658333333333</v>
      </c>
      <c r="D142" t="str">
        <v>anónimo</v>
      </c>
      <c r="E142" t="str">
        <v/>
      </c>
      <c r="F142" s="68">
        <v>46212</v>
      </c>
      <c r="G142" s="88">
        <v>46210</v>
      </c>
      <c r="H142" t="str">
        <v>XIMENA RIVERA SUR</v>
      </c>
      <c r="I142" t="str">
        <v>URIEL RAMIREZ</v>
      </c>
      <c r="J142" s="82">
        <v>53825916116</v>
      </c>
      <c r="K142" t="str">
        <v/>
      </c>
      <c r="L142" s="82">
        <v>22425734</v>
      </c>
      <c r="M142" s="82">
        <v>5217733506421</v>
      </c>
      <c r="N142" t="str">
        <v>NUEVO MAYOR</v>
      </c>
      <c r="O142" s="89">
        <v>11695.97</v>
      </c>
      <c r="P142" s="89" t="str">
        <v/>
      </c>
      <c r="Q142" s="89">
        <v>3508.79</v>
      </c>
      <c r="R142" s="89">
        <v>3508.79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>
        <v>1</v>
      </c>
    </row>
    <row r="143" spans="1:24">
      <c r="A143" s="26" t="str">
        <v/>
      </c>
      <c r="B143" s="87">
        <v>46272.67291666667</v>
      </c>
      <c r="C143" s="87">
        <v>46212.679166666669</v>
      </c>
      <c r="D143" t="str">
        <v>anónimo</v>
      </c>
      <c r="E143" t="str">
        <v/>
      </c>
      <c r="F143" s="68">
        <v>46212</v>
      </c>
      <c r="G143" s="88">
        <v>46272</v>
      </c>
      <c r="H143" t="str">
        <v>XIMENA RIVERA SUR</v>
      </c>
      <c r="I143" t="str">
        <v>MARIA DE LOURDES CALDERA PEREZ</v>
      </c>
      <c r="J143" s="82">
        <v>32866507265</v>
      </c>
      <c r="K143" t="str">
        <v/>
      </c>
      <c r="L143" s="82">
        <v>22512452</v>
      </c>
      <c r="M143" s="82">
        <v>5218712055316</v>
      </c>
      <c r="N143" t="str">
        <v>NUEVO MAYOR</v>
      </c>
      <c r="O143" s="89">
        <v>9760.32</v>
      </c>
      <c r="P143" s="89" t="str">
        <v/>
      </c>
      <c r="Q143" s="89">
        <v>2928.1</v>
      </c>
      <c r="R143" s="89">
        <v>2928.1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>
        <v>1</v>
      </c>
    </row>
    <row r="144" spans="1:24">
      <c r="A144" s="26" t="str">
        <v/>
      </c>
      <c r="B144" s="87">
        <v>46272.696527777778</v>
      </c>
      <c r="C144" s="87">
        <v>46212.699305555558</v>
      </c>
      <c r="D144" t="str">
        <v>anónimo</v>
      </c>
      <c r="E144" t="str">
        <v/>
      </c>
      <c r="F144" s="68">
        <v>46212</v>
      </c>
      <c r="G144" s="88">
        <v>46272</v>
      </c>
      <c r="H144" t="str">
        <v>MARA HERNANDEZ SUR</v>
      </c>
      <c r="I144" t="str">
        <v>NORMA GARCIA URBINA</v>
      </c>
      <c r="J144" s="82" t="str">
        <v/>
      </c>
      <c r="K144" t="str">
        <v>GAUN660207MMNRRR00</v>
      </c>
      <c r="L144" s="82">
        <v>22512658</v>
      </c>
      <c r="M144" s="82">
        <v>5216643666862</v>
      </c>
      <c r="N144" t="str">
        <v>NUEVO MAYOR</v>
      </c>
      <c r="O144" s="89">
        <v>10636.54</v>
      </c>
      <c r="P144" s="89" t="str">
        <v/>
      </c>
      <c r="Q144" s="89">
        <v>3190.96</v>
      </c>
      <c r="R144" s="89">
        <v>3190.96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>
        <v>1</v>
      </c>
    </row>
    <row r="145" spans="1:24">
      <c r="A145" s="26" t="str">
        <v/>
      </c>
      <c r="B145" s="87">
        <v>46272.700694444444</v>
      </c>
      <c r="C145" s="87">
        <v>46212.75</v>
      </c>
      <c r="D145" t="str">
        <v>anónimo</v>
      </c>
      <c r="E145" t="str">
        <v/>
      </c>
      <c r="F145" s="68">
        <v>46212</v>
      </c>
      <c r="G145" s="88">
        <v>46272</v>
      </c>
      <c r="H145" t="str">
        <v>ALBERTO POZOS EXT</v>
      </c>
      <c r="I145" t="str">
        <v xml:space="preserve">GARCIA RAMÍREZ </v>
      </c>
      <c r="J145" s="82">
        <v>31775001097</v>
      </c>
      <c r="K145" t="str">
        <v/>
      </c>
      <c r="L145" s="82">
        <v>1</v>
      </c>
      <c r="M145" s="82" t="str">
        <v>N/P</v>
      </c>
      <c r="N145" t="str">
        <v>RESTRINGIDA</v>
      </c>
      <c r="O145" s="89">
        <v>4555.82</v>
      </c>
      <c r="P145" s="89">
        <v>548.09</v>
      </c>
      <c r="Q145" s="89">
        <v>1366.75</v>
      </c>
      <c r="R145" s="89">
        <v>-165.25</v>
      </c>
      <c r="S145">
        <v>45294</v>
      </c>
      <c r="T145" t="str">
        <v>CONSUBANCO</v>
      </c>
      <c r="U145" t="str">
        <v/>
      </c>
      <c r="V145" t="str">
        <v/>
      </c>
      <c r="W145" t="str">
        <v/>
      </c>
      <c r="X145">
        <v>2</v>
      </c>
    </row>
    <row r="146" spans="1:24">
      <c r="A146" s="26" t="str">
        <v/>
      </c>
      <c r="B146" s="87">
        <v>46302.399305555555</v>
      </c>
      <c r="C146" s="87">
        <v>46213.411111111112</v>
      </c>
      <c r="D146" t="str">
        <v>anónimo</v>
      </c>
      <c r="E146" t="str">
        <v/>
      </c>
      <c r="F146" s="68">
        <v>46213</v>
      </c>
      <c r="G146" s="88">
        <v>46088</v>
      </c>
      <c r="H146" t="str">
        <v>ROSA CASTRO SUR</v>
      </c>
      <c r="I146" t="str">
        <v xml:space="preserve">ROCIO JUANA ZUÑIGA RESENDIZ </v>
      </c>
      <c r="J146" s="82">
        <v>6816502691</v>
      </c>
      <c r="K146" t="str">
        <v>ZURR650606MSRXSC09</v>
      </c>
      <c r="L146" s="82">
        <v>22271994</v>
      </c>
      <c r="M146" s="82">
        <v>22271994</v>
      </c>
      <c r="N146" t="str">
        <v>NUEVO MAYOR</v>
      </c>
      <c r="O146" s="89">
        <v>9760.32</v>
      </c>
      <c r="P146" s="89" t="str">
        <v/>
      </c>
      <c r="Q146" s="89">
        <v>2928.1</v>
      </c>
      <c r="R146" s="89">
        <v>2928.1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>
        <v>1</v>
      </c>
    </row>
    <row r="147" spans="1:24">
      <c r="A147" s="26" t="str">
        <v/>
      </c>
      <c r="B147" s="87">
        <v>46302.422222222223</v>
      </c>
      <c r="C147" s="87">
        <v>46213.427777777775</v>
      </c>
      <c r="D147" t="str">
        <v>anónimo</v>
      </c>
      <c r="E147" t="str">
        <v/>
      </c>
      <c r="F147" s="68">
        <v>46213</v>
      </c>
      <c r="G147" s="88">
        <v>46302</v>
      </c>
      <c r="H147" t="str">
        <v>JENNIFER AVENDAÑO SUR</v>
      </c>
      <c r="I147" t="str">
        <v>JUAN JOSE MONROY GUTIÉRREZ</v>
      </c>
      <c r="J147" s="82">
        <v>6624502313</v>
      </c>
      <c r="K147" t="str">
        <v>MOGJ451126HDFNTN09</v>
      </c>
      <c r="L147" s="82">
        <v>22523700</v>
      </c>
      <c r="M147" s="82">
        <v>5215629147954</v>
      </c>
      <c r="N147" t="str">
        <v>COMPRA MENOR</v>
      </c>
      <c r="O147" s="89">
        <v>5308.14</v>
      </c>
      <c r="P147" s="89">
        <v>1049.3699999999999</v>
      </c>
      <c r="Q147" s="89">
        <v>1592.44</v>
      </c>
      <c r="R147" s="89">
        <v>85.79</v>
      </c>
      <c r="S147">
        <v>46025</v>
      </c>
      <c r="T147" t="str">
        <v/>
      </c>
      <c r="U147" t="str">
        <v/>
      </c>
      <c r="V147" t="str">
        <v/>
      </c>
      <c r="W147" t="str">
        <v/>
      </c>
      <c r="X147">
        <v>2</v>
      </c>
    </row>
    <row r="148" spans="1:24">
      <c r="A148" s="26" t="str">
        <v/>
      </c>
      <c r="B148" s="87">
        <v>46302.425000000003</v>
      </c>
      <c r="C148" s="87">
        <v>46213.429166666669</v>
      </c>
      <c r="D148" t="str">
        <v>anónimo</v>
      </c>
      <c r="E148" t="str">
        <v/>
      </c>
      <c r="F148" s="68">
        <v>46213</v>
      </c>
      <c r="G148" s="88">
        <v>46302</v>
      </c>
      <c r="H148" t="str">
        <v>IRAN CASTILLO SUR</v>
      </c>
      <c r="I148" t="str">
        <v>IRENE RAMIREZ MOTA</v>
      </c>
      <c r="J148" s="82">
        <v>41764700666</v>
      </c>
      <c r="K148" t="str">
        <v>RAMI611020MHGMTR00</v>
      </c>
      <c r="L148" s="82">
        <v>22533548</v>
      </c>
      <c r="M148" s="82">
        <v>5214811135088</v>
      </c>
      <c r="N148" t="str">
        <v>NUEVO MENOR</v>
      </c>
      <c r="O148" s="89">
        <v>6405.06</v>
      </c>
      <c r="P148" s="89">
        <v>848</v>
      </c>
      <c r="Q148" s="89">
        <v>1921.52</v>
      </c>
      <c r="R148" s="89">
        <v>1073.52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>
        <v>1</v>
      </c>
    </row>
    <row r="149" spans="1:24">
      <c r="A149" s="26" t="str">
        <v/>
      </c>
      <c r="B149" s="87">
        <v>46302.456944444442</v>
      </c>
      <c r="C149" s="87">
        <v>46213.457638888889</v>
      </c>
      <c r="D149" t="str">
        <v>anónimo</v>
      </c>
      <c r="E149" t="str">
        <v/>
      </c>
      <c r="F149" s="68">
        <v>46213</v>
      </c>
      <c r="G149" s="88">
        <v>46302</v>
      </c>
      <c r="H149" t="str">
        <v>ALBERTO POZOS EXT</v>
      </c>
      <c r="I149" t="str">
        <v/>
      </c>
      <c r="J149" s="82">
        <v>84866900057</v>
      </c>
      <c r="K149" t="str">
        <v/>
      </c>
      <c r="L149" s="82">
        <v>1</v>
      </c>
      <c r="M149" s="82" t="str">
        <v/>
      </c>
      <c r="N149" t="str">
        <v>NUEVO MAYOR</v>
      </c>
      <c r="O149" s="89">
        <v>6845.98</v>
      </c>
      <c r="P149" s="89" t="str">
        <v/>
      </c>
      <c r="Q149" s="89">
        <v>2053.79</v>
      </c>
      <c r="R149" s="89">
        <v>2053.79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>
        <v>1</v>
      </c>
    </row>
    <row r="150" spans="1:24">
      <c r="A150" s="26" t="str">
        <v/>
      </c>
      <c r="B150" s="87">
        <v>46302.458333333336</v>
      </c>
      <c r="C150" s="87">
        <v>46213.459722222222</v>
      </c>
      <c r="D150" t="str">
        <v>anónimo</v>
      </c>
      <c r="E150" t="str">
        <v/>
      </c>
      <c r="F150" s="68">
        <v>46213</v>
      </c>
      <c r="G150" s="88">
        <v>46302</v>
      </c>
      <c r="H150" t="str">
        <v>ALAN ALTAMIRANO EXT</v>
      </c>
      <c r="I150" t="str">
        <v/>
      </c>
      <c r="J150" s="82">
        <v>43745827576</v>
      </c>
      <c r="K150" t="str">
        <v/>
      </c>
      <c r="L150" s="82">
        <v>1</v>
      </c>
      <c r="M150" s="82">
        <v>6685621563</v>
      </c>
      <c r="N150" t="str">
        <v>NUEVO MENOR</v>
      </c>
      <c r="O150" s="89">
        <v>5055.88</v>
      </c>
      <c r="P150" s="89" t="str">
        <v/>
      </c>
      <c r="Q150" s="89">
        <v>1516.76</v>
      </c>
      <c r="R150" s="89">
        <v>882.9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>
        <v>1</v>
      </c>
    </row>
    <row r="151" spans="1:24">
      <c r="A151" s="26" t="str">
        <v/>
      </c>
      <c r="B151" s="87">
        <v>46302.472916666666</v>
      </c>
      <c r="C151" s="87">
        <v>46213.475694444445</v>
      </c>
      <c r="D151" t="str">
        <v>anónimo</v>
      </c>
      <c r="E151" t="str">
        <v/>
      </c>
      <c r="F151" s="68">
        <v>46213</v>
      </c>
      <c r="G151" s="88">
        <v>46302</v>
      </c>
      <c r="H151" t="str">
        <v>YAMILETH LÓPEZ HDEZ SUR</v>
      </c>
      <c r="I151" t="str">
        <v>ELEUTERIO ROMERO CARRILLO</v>
      </c>
      <c r="J151" s="82" t="str">
        <v/>
      </c>
      <c r="K151" t="str">
        <v>ROCE560220HNTMRL07</v>
      </c>
      <c r="L151" s="82">
        <v>22531190</v>
      </c>
      <c r="M151" s="82">
        <v>5213327997817</v>
      </c>
      <c r="N151" t="str">
        <v>NUEVO MAYOR</v>
      </c>
      <c r="O151" s="89">
        <v>13469.54</v>
      </c>
      <c r="P151" s="89" t="str">
        <v/>
      </c>
      <c r="Q151" s="89">
        <v>4040.86</v>
      </c>
      <c r="R151" s="89">
        <v>4040.86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>
        <v>1</v>
      </c>
    </row>
    <row r="152" spans="1:24">
      <c r="A152" s="26" t="str">
        <v/>
      </c>
      <c r="B152" s="87">
        <v>46302.478472222225</v>
      </c>
      <c r="C152" s="87">
        <v>46213.481249999997</v>
      </c>
      <c r="D152" t="str">
        <v>anónimo</v>
      </c>
      <c r="E152" t="str">
        <v/>
      </c>
      <c r="F152" s="68">
        <v>46213</v>
      </c>
      <c r="G152" s="88">
        <v>46302</v>
      </c>
      <c r="H152" t="str">
        <v>IRAN CASTILLO SUR</v>
      </c>
      <c r="I152" t="str">
        <v>ARTURO ORTIZ DIAZ</v>
      </c>
      <c r="J152" s="82">
        <v>6695139623</v>
      </c>
      <c r="K152" t="str">
        <v>OIDA511129HDFRZR04</v>
      </c>
      <c r="L152" s="82">
        <v>22502054</v>
      </c>
      <c r="M152" s="82">
        <v>5214426539385</v>
      </c>
      <c r="N152" t="str">
        <v>NUEVO MAYOR</v>
      </c>
      <c r="O152" s="89">
        <v>12090.09</v>
      </c>
      <c r="P152" s="89">
        <v>848</v>
      </c>
      <c r="Q152" s="89">
        <v>3627.03</v>
      </c>
      <c r="R152" s="89">
        <v>2779.03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>
        <v>1</v>
      </c>
    </row>
    <row r="153" spans="1:24">
      <c r="A153" s="26" t="str">
        <v/>
      </c>
      <c r="B153" s="87">
        <v>46302.481249999997</v>
      </c>
      <c r="C153" s="87">
        <v>46213.486111111109</v>
      </c>
      <c r="D153" t="str">
        <v>anónimo</v>
      </c>
      <c r="E153" t="str">
        <v/>
      </c>
      <c r="F153" s="68">
        <v>46213</v>
      </c>
      <c r="G153" s="88">
        <v>46272</v>
      </c>
      <c r="H153" t="str">
        <v>ROSA CASTRO SUR</v>
      </c>
      <c r="I153" t="str">
        <v>ESPERANZA KATIA ZUÑIGA HERRERA</v>
      </c>
      <c r="J153" s="82">
        <v>15958070888</v>
      </c>
      <c r="K153" t="str">
        <v>ZUHE800715MMSXRS06</v>
      </c>
      <c r="L153" s="82">
        <v>22522440</v>
      </c>
      <c r="M153" s="82">
        <v>5217341427665</v>
      </c>
      <c r="N153" t="str">
        <v>NUEVO MENOR</v>
      </c>
      <c r="O153" s="89">
        <v>4678.1099999999997</v>
      </c>
      <c r="P153" s="89" t="str">
        <v/>
      </c>
      <c r="Q153" s="89">
        <v>1403.43</v>
      </c>
      <c r="R153" s="89">
        <v>505.13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>
        <v>1</v>
      </c>
    </row>
    <row r="154" spans="1:24">
      <c r="A154" s="26" t="str">
        <v/>
      </c>
      <c r="B154" s="87">
        <v>46302.466666666667</v>
      </c>
      <c r="C154" s="87">
        <v>46213.488194444442</v>
      </c>
      <c r="D154" t="str">
        <v>anónimo</v>
      </c>
      <c r="E154" t="str">
        <v/>
      </c>
      <c r="F154" s="68">
        <v>46213</v>
      </c>
      <c r="G154" s="88">
        <v>46272</v>
      </c>
      <c r="H154" t="str">
        <v>LILIANA MARTINEZ SUR</v>
      </c>
      <c r="I154" t="str">
        <v>BALTAZAR ACOSTA CAMACHO</v>
      </c>
      <c r="J154" s="82">
        <v>43755912722</v>
      </c>
      <c r="K154" t="str">
        <v>AOCB590106HNLCML02</v>
      </c>
      <c r="L154" s="82">
        <v>22499154</v>
      </c>
      <c r="M154" s="82">
        <v>5218123194808</v>
      </c>
      <c r="N154" t="str">
        <v>COMPRA MAYOR</v>
      </c>
      <c r="O154" s="89">
        <v>14339.1</v>
      </c>
      <c r="P154" s="89">
        <v>3970.08</v>
      </c>
      <c r="Q154" s="89">
        <v>4301.7299999999996</v>
      </c>
      <c r="R154" s="89">
        <v>331.65</v>
      </c>
      <c r="S154">
        <v>46029</v>
      </c>
      <c r="T154" t="str">
        <v/>
      </c>
      <c r="U154" t="str">
        <v/>
      </c>
      <c r="V154" t="str">
        <v/>
      </c>
      <c r="W154" t="str">
        <v/>
      </c>
      <c r="X154">
        <v>2</v>
      </c>
    </row>
    <row r="155" spans="1:24">
      <c r="A155" s="26" t="str">
        <v/>
      </c>
      <c r="B155" s="87">
        <v>46302.475694444445</v>
      </c>
      <c r="C155" s="87">
        <v>46213.489583333336</v>
      </c>
      <c r="D155" t="str">
        <v>anónimo</v>
      </c>
      <c r="E155" t="str">
        <v/>
      </c>
      <c r="F155" s="68">
        <v>46213</v>
      </c>
      <c r="G155" s="88">
        <v>46302</v>
      </c>
      <c r="H155" t="str">
        <v>YAMILETH LÓPEZ HDEZ SUR</v>
      </c>
      <c r="I155" t="str">
        <v>BEATRIZ UMELIA RODRIGUEZ GUTIERREZ</v>
      </c>
      <c r="J155" s="82">
        <v>49907502410</v>
      </c>
      <c r="K155" t="str">
        <v>ROGB771106MNLDTT14</v>
      </c>
      <c r="L155" s="82">
        <v>22533354</v>
      </c>
      <c r="M155" s="82">
        <v>5218136039287</v>
      </c>
      <c r="N155" t="str">
        <v>NUEVO MAYOR</v>
      </c>
      <c r="O155" s="89">
        <v>5514.8</v>
      </c>
      <c r="P155" s="89" t="str">
        <v/>
      </c>
      <c r="Q155" s="89">
        <v>1654.44</v>
      </c>
      <c r="R155" s="89">
        <v>1341.82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>
        <v>1</v>
      </c>
    </row>
    <row r="156" spans="1:24">
      <c r="A156" s="26" t="str">
        <v/>
      </c>
      <c r="B156" s="87">
        <v>46302.488194444442</v>
      </c>
      <c r="C156" s="87">
        <v>46213.490972222222</v>
      </c>
      <c r="D156" t="str">
        <v>anónimo</v>
      </c>
      <c r="E156" t="str">
        <v/>
      </c>
      <c r="F156" s="68">
        <v>46213</v>
      </c>
      <c r="G156" s="88">
        <v>46302</v>
      </c>
      <c r="H156" t="str">
        <v>LILIANA MARTINEZ SUR</v>
      </c>
      <c r="I156" t="str">
        <v>ALEJANDRA VALDEZ GARCIA</v>
      </c>
      <c r="J156" s="82">
        <v>90907369988</v>
      </c>
      <c r="K156" t="str">
        <v>VXGA870810MMCLRL15</v>
      </c>
      <c r="L156" s="82">
        <v>22539988</v>
      </c>
      <c r="M156" s="82">
        <v>5215584797077</v>
      </c>
      <c r="N156" t="str">
        <v>NUEVO MENOR</v>
      </c>
      <c r="O156" s="89">
        <v>4813.68</v>
      </c>
      <c r="P156" s="89" t="str">
        <v/>
      </c>
      <c r="Q156" s="89">
        <v>1444.1</v>
      </c>
      <c r="R156" s="89">
        <v>640.70000000000005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>
        <v>1</v>
      </c>
    </row>
    <row r="157" spans="1:24">
      <c r="A157" s="26" t="str">
        <v/>
      </c>
      <c r="B157" s="87">
        <v>46302.519444444442</v>
      </c>
      <c r="C157" s="87">
        <v>46213.52847222222</v>
      </c>
      <c r="D157" t="str">
        <v>anónimo</v>
      </c>
      <c r="E157" t="str">
        <v/>
      </c>
      <c r="F157" s="68">
        <v>46213</v>
      </c>
      <c r="G157" s="88">
        <v>46302</v>
      </c>
      <c r="H157" t="str">
        <v>ALAN ALTAMIRANO EXT</v>
      </c>
      <c r="I157" t="str">
        <v xml:space="preserve">ALMA ERICA HERNANDEZ </v>
      </c>
      <c r="J157" s="82">
        <v>12917278157</v>
      </c>
      <c r="K157" t="str">
        <v/>
      </c>
      <c r="L157" s="82">
        <v>1</v>
      </c>
      <c r="M157" s="82">
        <v>3315472266</v>
      </c>
      <c r="N157" t="str">
        <v>COMPRA MAYOR</v>
      </c>
      <c r="O157" s="89">
        <v>12581.43</v>
      </c>
      <c r="P157" s="89">
        <v>3492.07</v>
      </c>
      <c r="Q157" s="89">
        <v>3774.43</v>
      </c>
      <c r="R157" s="89">
        <v>282.36</v>
      </c>
      <c r="S157">
        <v>46029</v>
      </c>
      <c r="T157" t="str">
        <v/>
      </c>
      <c r="U157" t="str">
        <v/>
      </c>
      <c r="V157" t="str">
        <v/>
      </c>
      <c r="W157" t="str">
        <v/>
      </c>
      <c r="X157">
        <v>2</v>
      </c>
    </row>
    <row r="158" spans="1:24">
      <c r="A158" s="26" t="str">
        <v/>
      </c>
      <c r="B158" s="87">
        <v>46302.525694444441</v>
      </c>
      <c r="C158" s="87">
        <v>46213.529861111114</v>
      </c>
      <c r="D158" t="str">
        <v>anónimo</v>
      </c>
      <c r="E158" t="str">
        <v/>
      </c>
      <c r="F158" s="68">
        <v>46213</v>
      </c>
      <c r="G158" s="88">
        <v>46302</v>
      </c>
      <c r="H158" t="str">
        <v>IRAN CASTILLO SUR</v>
      </c>
      <c r="I158" t="str">
        <v>MARTIN ARMANDO LOZANO YAÑEZ</v>
      </c>
      <c r="J158" s="82" t="str">
        <v/>
      </c>
      <c r="K158" t="str">
        <v>LOYM650710HJCZXR00</v>
      </c>
      <c r="L158" s="82">
        <v>22534820</v>
      </c>
      <c r="M158" s="82">
        <v>5213311600935</v>
      </c>
      <c r="N158" t="str">
        <v>NUEVO MAYOR</v>
      </c>
      <c r="O158" s="89">
        <v>10369.39</v>
      </c>
      <c r="P158" s="89" t="str">
        <v/>
      </c>
      <c r="Q158" s="89">
        <v>3110.82</v>
      </c>
      <c r="R158" s="89">
        <v>3110.82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>
        <v>1</v>
      </c>
    </row>
    <row r="159" spans="1:24">
      <c r="A159" s="26" t="str">
        <v/>
      </c>
      <c r="B159" s="87">
        <v>46302.536805555559</v>
      </c>
      <c r="C159" s="87">
        <v>46213.553472222222</v>
      </c>
      <c r="D159" t="str">
        <v>anónimo</v>
      </c>
      <c r="E159" t="str">
        <v/>
      </c>
      <c r="F159" s="68">
        <v>46213</v>
      </c>
      <c r="G159" s="88">
        <v>46302</v>
      </c>
      <c r="H159" t="str">
        <v>ALAN ALTAMIRANO EXT</v>
      </c>
      <c r="I159" t="str">
        <v xml:space="preserve">NO PROPORCIONO </v>
      </c>
      <c r="J159" s="82">
        <v>32836635105</v>
      </c>
      <c r="K159" t="str">
        <v/>
      </c>
      <c r="L159" s="82">
        <v>1</v>
      </c>
      <c r="M159" s="82">
        <v>8444945742</v>
      </c>
      <c r="N159" t="str">
        <v>NUEVO MAYOR</v>
      </c>
      <c r="O159" s="89">
        <v>9081.52</v>
      </c>
      <c r="P159" s="89" t="str">
        <v/>
      </c>
      <c r="Q159" s="89">
        <v>2724.46</v>
      </c>
      <c r="R159" s="89">
        <v>2724.46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>
        <v>1</v>
      </c>
    </row>
    <row r="160" spans="1:24">
      <c r="A160" s="26" t="str">
        <v/>
      </c>
      <c r="B160" s="87">
        <v>46302.540277777778</v>
      </c>
      <c r="C160" s="87">
        <v>46213.588888888888</v>
      </c>
      <c r="D160" t="str">
        <v>anónimo</v>
      </c>
      <c r="E160" t="str">
        <v/>
      </c>
      <c r="F160" s="68">
        <v>46213</v>
      </c>
      <c r="G160" s="88">
        <v>46302</v>
      </c>
      <c r="H160" t="str">
        <v>MARIA MARTINEZ SUR</v>
      </c>
      <c r="I160" t="str">
        <v/>
      </c>
      <c r="J160" s="82">
        <v>32886025751</v>
      </c>
      <c r="K160" t="str">
        <v/>
      </c>
      <c r="L160" s="82">
        <v>22524300</v>
      </c>
      <c r="M160" s="82">
        <v>5218661857579</v>
      </c>
      <c r="N160" t="str">
        <v>COMPRA MENOR</v>
      </c>
      <c r="O160" s="89">
        <v>6262.86</v>
      </c>
      <c r="P160" s="89">
        <v>1738.79</v>
      </c>
      <c r="Q160" s="89">
        <v>1878.86</v>
      </c>
      <c r="R160" s="89">
        <v>140.07</v>
      </c>
      <c r="S160">
        <v>45667</v>
      </c>
      <c r="T160" t="str">
        <v/>
      </c>
      <c r="U160" t="str">
        <v/>
      </c>
      <c r="V160" t="str">
        <v/>
      </c>
      <c r="W160" t="str">
        <v/>
      </c>
      <c r="X160">
        <v>2</v>
      </c>
    </row>
    <row r="161" spans="1:24">
      <c r="A161" s="26" t="str">
        <v/>
      </c>
      <c r="B161" s="87">
        <v>46302.556944444441</v>
      </c>
      <c r="C161" s="87">
        <v>46213.589583333334</v>
      </c>
      <c r="D161" t="str">
        <v>anónimo</v>
      </c>
      <c r="E161" t="str">
        <v/>
      </c>
      <c r="F161" s="68">
        <v>46213</v>
      </c>
      <c r="G161" s="88">
        <v>46029</v>
      </c>
      <c r="H161" t="str">
        <v>JENNIFER AVENDAÑO SUR</v>
      </c>
      <c r="I161" t="str">
        <v>VICTOR MARTINEZ GOMEZ</v>
      </c>
      <c r="J161" s="82">
        <v>1704572153</v>
      </c>
      <c r="K161" t="str">
        <v>MAGV451108HHGRMC07</v>
      </c>
      <c r="L161" s="82">
        <v>22177178</v>
      </c>
      <c r="M161" s="82">
        <v>5217716840041</v>
      </c>
      <c r="N161" t="str">
        <v>NUEVO MAYOR</v>
      </c>
      <c r="O161" s="89">
        <v>18288.509999999998</v>
      </c>
      <c r="P161" s="89" t="str">
        <v/>
      </c>
      <c r="Q161" s="89">
        <v>5486.55</v>
      </c>
      <c r="R161" s="89">
        <v>5486.55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>
        <v>1</v>
      </c>
    </row>
    <row r="162" spans="1:24">
      <c r="A162" s="26" t="str">
        <v/>
      </c>
      <c r="B162" s="87">
        <v>46302.613888888889</v>
      </c>
      <c r="C162" s="87">
        <v>46213.617361111108</v>
      </c>
      <c r="D162" t="str">
        <v>anónimo</v>
      </c>
      <c r="E162" t="str">
        <v/>
      </c>
      <c r="F162" s="68">
        <v>46213</v>
      </c>
      <c r="G162" s="88">
        <v>46302</v>
      </c>
      <c r="H162" t="str">
        <v>IRAN CASTILLO SUR</v>
      </c>
      <c r="I162" t="str">
        <v>JUAN PARRA RIVERA</v>
      </c>
      <c r="J162" s="82">
        <v>54806188725</v>
      </c>
      <c r="K162" t="str">
        <v>PARJ610830HNTRVN00</v>
      </c>
      <c r="L162" s="82">
        <v>22546260</v>
      </c>
      <c r="M162" s="82">
        <v>5213339035370</v>
      </c>
      <c r="N162" t="str">
        <v>NUEVO MAYOR</v>
      </c>
      <c r="O162" s="89">
        <v>9760.32</v>
      </c>
      <c r="P162" s="89">
        <v>879</v>
      </c>
      <c r="Q162" s="89">
        <v>2928.1</v>
      </c>
      <c r="R162" s="89">
        <v>2049.1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>
        <v>1</v>
      </c>
    </row>
    <row r="163" spans="1:24">
      <c r="A163" s="26" t="str">
        <v/>
      </c>
      <c r="B163" s="87">
        <v>46302.624305555553</v>
      </c>
      <c r="C163" s="87">
        <v>46213.625</v>
      </c>
      <c r="D163" t="str">
        <v>anónimo</v>
      </c>
      <c r="E163" t="str">
        <v/>
      </c>
      <c r="F163" s="68">
        <v>46213</v>
      </c>
      <c r="G163" s="88">
        <v>46302</v>
      </c>
      <c r="H163" t="str">
        <v>ALAN ALTAMIRANO EXT</v>
      </c>
      <c r="I163" t="str">
        <v>LORENZO MIRANDA FLORES</v>
      </c>
      <c r="J163" s="82" t="str">
        <v/>
      </c>
      <c r="K163" t="str">
        <v>MIFL640905HMCRLR03</v>
      </c>
      <c r="L163" s="82">
        <v>1</v>
      </c>
      <c r="M163" s="82">
        <v>3315472266</v>
      </c>
      <c r="N163" t="str">
        <v>NUEVO MAYOR</v>
      </c>
      <c r="O163" s="89">
        <v>9760.32</v>
      </c>
      <c r="P163" s="89" t="str">
        <v/>
      </c>
      <c r="Q163" s="89">
        <v>2928.1</v>
      </c>
      <c r="R163" s="89">
        <v>2928.1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>
        <v>1</v>
      </c>
    </row>
    <row r="164" spans="1:24">
      <c r="A164" s="26" t="str">
        <v/>
      </c>
      <c r="B164" s="87">
        <v>46302.640277777777</v>
      </c>
      <c r="C164" s="87">
        <v>46213.645833333336</v>
      </c>
      <c r="D164" t="str">
        <v>anónimo</v>
      </c>
      <c r="E164" t="str">
        <v/>
      </c>
      <c r="F164" s="68">
        <v>46213</v>
      </c>
      <c r="G164" s="88">
        <v>46302</v>
      </c>
      <c r="H164" t="str">
        <v>IRAN CASTILLO SUR</v>
      </c>
      <c r="I164" t="str">
        <v>JOEL REBOLLOSO TIRADO</v>
      </c>
      <c r="J164" s="82" t="str">
        <v/>
      </c>
      <c r="K164" t="str">
        <v>RETJ640214HTSBRL09</v>
      </c>
      <c r="L164" s="82">
        <v>22545864</v>
      </c>
      <c r="M164" s="82">
        <v>5218126023008</v>
      </c>
      <c r="N164" t="str">
        <v>COMPRA MAYOR</v>
      </c>
      <c r="O164" s="89">
        <v>9081.52</v>
      </c>
      <c r="P164" s="89">
        <v>2724.43</v>
      </c>
      <c r="Q164" s="89">
        <v>2724.46</v>
      </c>
      <c r="R164" s="89">
        <v>0.03</v>
      </c>
      <c r="S164">
        <v>46029</v>
      </c>
      <c r="T164" t="str">
        <v/>
      </c>
      <c r="U164" t="str">
        <v/>
      </c>
      <c r="V164" t="str">
        <v/>
      </c>
      <c r="W164" t="str">
        <v/>
      </c>
      <c r="X164">
        <v>2</v>
      </c>
    </row>
    <row r="165" spans="1:24">
      <c r="A165" s="26" t="str">
        <v/>
      </c>
      <c r="B165" s="87">
        <v>46302.636111111111</v>
      </c>
      <c r="C165" s="87">
        <v>46213.664583333331</v>
      </c>
      <c r="D165" t="str">
        <v>anónimo</v>
      </c>
      <c r="E165" t="str">
        <v/>
      </c>
      <c r="F165" s="68">
        <v>46213</v>
      </c>
      <c r="G165" s="88">
        <v>46272</v>
      </c>
      <c r="H165" t="str">
        <v>YAMILETH LÓPEZ HDEZ SUR</v>
      </c>
      <c r="I165" t="str">
        <v>ROSAURA GOMEZ DE LA ROSA</v>
      </c>
      <c r="J165" s="82" t="str">
        <v/>
      </c>
      <c r="K165" t="str">
        <v>GORR660508MBCMSS02</v>
      </c>
      <c r="L165" s="82">
        <v>22515654</v>
      </c>
      <c r="M165" s="82">
        <v>5216641224401</v>
      </c>
      <c r="N165" t="str">
        <v>NUEVO MAYOR</v>
      </c>
      <c r="O165" s="89">
        <v>10636.54</v>
      </c>
      <c r="P165" s="89" t="str">
        <v/>
      </c>
      <c r="Q165" s="89">
        <v>3190.96</v>
      </c>
      <c r="R165" s="89">
        <v>3190.96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>
        <v>1</v>
      </c>
    </row>
    <row r="166" spans="1:24">
      <c r="A166" s="26" t="str">
        <v/>
      </c>
      <c r="B166" s="87">
        <v>46302.665972222225</v>
      </c>
      <c r="C166" s="87">
        <v>46213.670138888891</v>
      </c>
      <c r="D166" t="str">
        <v>anónimo</v>
      </c>
      <c r="E166" t="str">
        <v/>
      </c>
      <c r="F166" s="68">
        <v>46213</v>
      </c>
      <c r="G166" s="88">
        <v>46302</v>
      </c>
      <c r="H166" t="str">
        <v>IRAN CASTILLO SUR</v>
      </c>
      <c r="I166" t="str">
        <v>VICTOR ELIZALDE RAMOS</v>
      </c>
      <c r="J166" s="82" t="str">
        <v/>
      </c>
      <c r="K166" t="str">
        <v>EIRV560826HVZLMC09</v>
      </c>
      <c r="L166" s="82">
        <v>22536870</v>
      </c>
      <c r="M166" s="82">
        <v>5215527597013</v>
      </c>
      <c r="N166" t="str">
        <v>NUEVO MAYOR</v>
      </c>
      <c r="O166" s="89">
        <v>7920.51</v>
      </c>
      <c r="P166" s="89" t="str">
        <v/>
      </c>
      <c r="Q166" s="89">
        <v>2376.15</v>
      </c>
      <c r="R166" s="89">
        <v>2376.15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>
        <v>1</v>
      </c>
    </row>
    <row r="167" spans="1:24">
      <c r="A167" s="26" t="str">
        <v/>
      </c>
      <c r="B167" s="87">
        <v>46302.693749999999</v>
      </c>
      <c r="C167" s="87">
        <v>46213.703472222223</v>
      </c>
      <c r="D167" t="str">
        <v>anónimo</v>
      </c>
      <c r="E167" t="str">
        <v/>
      </c>
      <c r="F167" s="68">
        <v>46213</v>
      </c>
      <c r="G167" s="88">
        <v>46272</v>
      </c>
      <c r="H167" t="str">
        <v>LILIANA MARTINEZ SUR</v>
      </c>
      <c r="I167" t="str">
        <v>JESUS MARTINEZ ZARAGOZA</v>
      </c>
      <c r="J167" s="82" t="str">
        <v/>
      </c>
      <c r="K167" t="str">
        <v>MAZJ610806HTSRRS05</v>
      </c>
      <c r="L167" s="82">
        <v>22520912</v>
      </c>
      <c r="M167" s="82">
        <v>5218334484642</v>
      </c>
      <c r="N167" t="str">
        <v>NUEVO MAYOR</v>
      </c>
      <c r="O167" s="89">
        <v>23271.759999999998</v>
      </c>
      <c r="P167" s="89" t="str">
        <v/>
      </c>
      <c r="Q167" s="89">
        <v>6981.53</v>
      </c>
      <c r="R167" s="89">
        <v>6981.53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>
        <v>1</v>
      </c>
    </row>
    <row r="168" spans="1:24">
      <c r="A168" s="26" t="str">
        <v/>
      </c>
      <c r="B168" s="87">
        <v>46302.609027777777</v>
      </c>
      <c r="C168" s="87">
        <v>46213.784722222219</v>
      </c>
      <c r="D168" t="str">
        <v>anónimo</v>
      </c>
      <c r="E168" t="str">
        <v/>
      </c>
      <c r="F168" s="68">
        <v>46213</v>
      </c>
      <c r="G168" s="88">
        <v>46302</v>
      </c>
      <c r="H168" t="str">
        <v>LUIS DAVILA C/C</v>
      </c>
      <c r="I168" t="str">
        <v>ORLANDO PEREZ ESCALANTE</v>
      </c>
      <c r="J168" s="82">
        <v>84846102543</v>
      </c>
      <c r="K168" t="str">
        <v>PEEO610120HYNRSR08</v>
      </c>
      <c r="L168" s="82">
        <v>22556674</v>
      </c>
      <c r="M168" s="82">
        <v>5219999472978</v>
      </c>
      <c r="N168" t="str">
        <v>NUEVO MAYOR</v>
      </c>
      <c r="O168" s="89">
        <v>52377.34</v>
      </c>
      <c r="P168" s="89">
        <v>14455.85</v>
      </c>
      <c r="Q168" s="89">
        <v>15713.2</v>
      </c>
      <c r="R168" s="89">
        <v>1257.3499999999999</v>
      </c>
      <c r="S168">
        <v>46392</v>
      </c>
      <c r="T168" t="str">
        <v/>
      </c>
      <c r="U168" t="str">
        <v/>
      </c>
      <c r="V168" t="str">
        <v/>
      </c>
      <c r="W168" t="str">
        <v/>
      </c>
      <c r="X168">
        <v>2</v>
      </c>
    </row>
    <row r="169" spans="1:24">
      <c r="A169" s="26" t="str">
        <v/>
      </c>
      <c r="B169" s="87">
        <v>46333.363194444442</v>
      </c>
      <c r="C169" s="87">
        <v>46214.363888888889</v>
      </c>
      <c r="D169" t="str">
        <v>anónimo</v>
      </c>
      <c r="E169" t="str">
        <v/>
      </c>
      <c r="F169" s="68">
        <v>46214</v>
      </c>
      <c r="G169" s="88">
        <v>46333</v>
      </c>
      <c r="H169" t="str">
        <v>LITZY MARTINEZ C/C</v>
      </c>
      <c r="I169" t="str">
        <v xml:space="preserve">MARIA DEL ROSIO ROQUE MARTINEZ </v>
      </c>
      <c r="J169" s="82">
        <v>4917587380</v>
      </c>
      <c r="K169" t="str">
        <v/>
      </c>
      <c r="L169" s="82">
        <v>22567478</v>
      </c>
      <c r="M169" s="82">
        <v>3318839641</v>
      </c>
      <c r="N169" t="str">
        <v>NUEVO MENOR</v>
      </c>
      <c r="O169" s="89">
        <v>5072.45</v>
      </c>
      <c r="P169" s="89" t="str">
        <v/>
      </c>
      <c r="Q169" s="89">
        <v>1521.74</v>
      </c>
      <c r="R169" s="89">
        <v>899.47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>
        <v>1</v>
      </c>
    </row>
    <row r="170" spans="1:24">
      <c r="A170" s="26" t="str">
        <v/>
      </c>
      <c r="B170" s="87">
        <v>46333.415972222225</v>
      </c>
      <c r="C170" s="87">
        <v>46214.417361111111</v>
      </c>
      <c r="D170" t="str">
        <v>anónimo</v>
      </c>
      <c r="E170" t="str">
        <v/>
      </c>
      <c r="F170" s="68">
        <v>46214</v>
      </c>
      <c r="G170" s="88">
        <v>46333</v>
      </c>
      <c r="H170" t="str">
        <v>GUADALUPE BECERRA C/C</v>
      </c>
      <c r="I170" t="str">
        <v>Pedro betancourth chia</v>
      </c>
      <c r="J170" s="82">
        <v>49947215429</v>
      </c>
      <c r="K170" t="str">
        <v/>
      </c>
      <c r="L170" s="82">
        <v>22561844</v>
      </c>
      <c r="M170" s="82">
        <v>5218991084353</v>
      </c>
      <c r="N170" t="str">
        <v>NUEVO MAYOR</v>
      </c>
      <c r="O170" s="89">
        <v>16328.14</v>
      </c>
      <c r="P170" s="89" t="str">
        <v/>
      </c>
      <c r="Q170" s="89">
        <v>4898.4399999999996</v>
      </c>
      <c r="R170" s="89">
        <v>4898.4399999999996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>
        <v>1</v>
      </c>
    </row>
    <row r="171" spans="1:24">
      <c r="A171" s="26" t="str">
        <v/>
      </c>
      <c r="B171" s="87">
        <v>46333.4375</v>
      </c>
      <c r="C171" s="87">
        <v>46214.438194444447</v>
      </c>
      <c r="D171" t="str">
        <v>anónimo</v>
      </c>
      <c r="E171" t="str">
        <v/>
      </c>
      <c r="F171" s="68">
        <v>46214</v>
      </c>
      <c r="G171" s="88">
        <v>46302</v>
      </c>
      <c r="H171" t="str">
        <v>YULIANA RODRIGUEZ C/C</v>
      </c>
      <c r="I171" t="str">
        <v xml:space="preserve">SAMUEL HERNANDEZ RAMOS </v>
      </c>
      <c r="J171" s="82" t="str">
        <v/>
      </c>
      <c r="K171" t="str">
        <v>HERS600611HVZRMM04</v>
      </c>
      <c r="L171" s="82">
        <v>22559122</v>
      </c>
      <c r="M171" s="82">
        <v>5218771280996</v>
      </c>
      <c r="N171" t="str">
        <v>NUEVO MAYOR</v>
      </c>
      <c r="O171" s="89">
        <v>6963.23</v>
      </c>
      <c r="P171" s="89" t="str">
        <v/>
      </c>
      <c r="Q171" s="89">
        <v>2088.9699999999998</v>
      </c>
      <c r="R171" s="89">
        <v>2088.9699999999998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>
        <v>1</v>
      </c>
    </row>
    <row r="172" spans="1:24">
      <c r="A172" s="26" t="str">
        <v/>
      </c>
      <c r="B172" s="87">
        <v>46333.460416666669</v>
      </c>
      <c r="C172" s="87">
        <v>46214.461805555555</v>
      </c>
      <c r="D172" t="str">
        <v>anónimo</v>
      </c>
      <c r="E172" t="str">
        <v/>
      </c>
      <c r="F172" s="68">
        <v>46214</v>
      </c>
      <c r="G172" s="88">
        <v>46333</v>
      </c>
      <c r="H172" t="str">
        <v>LITZY MARTINEZ C/C</v>
      </c>
      <c r="I172" t="str">
        <v xml:space="preserve">Veronica Mejía Valdenegro </v>
      </c>
      <c r="J172" s="82">
        <v>16947301517</v>
      </c>
      <c r="K172" t="str">
        <v>MEVV750930MMCJLR07</v>
      </c>
      <c r="L172" s="82">
        <v>22570334</v>
      </c>
      <c r="M172" s="82">
        <v>5217206756692</v>
      </c>
      <c r="N172" t="str">
        <v>COMPRA MAYOR</v>
      </c>
      <c r="O172" s="89">
        <v>8805.7000000000007</v>
      </c>
      <c r="P172" s="89">
        <v>2424.91</v>
      </c>
      <c r="Q172" s="89">
        <v>2641.71</v>
      </c>
      <c r="R172" s="89">
        <v>216.8</v>
      </c>
      <c r="S172">
        <v>46026</v>
      </c>
      <c r="T172" t="str">
        <v/>
      </c>
      <c r="U172" t="str">
        <v/>
      </c>
      <c r="V172" t="str">
        <v/>
      </c>
      <c r="W172" t="str">
        <v/>
      </c>
      <c r="X172">
        <v>2</v>
      </c>
    </row>
    <row r="173" spans="1:24">
      <c r="A173" s="26" t="str">
        <v/>
      </c>
      <c r="B173" s="87">
        <v>46333.458333333336</v>
      </c>
      <c r="C173" s="87">
        <v>46214.465277777781</v>
      </c>
      <c r="D173" t="str">
        <v>anónimo</v>
      </c>
      <c r="E173" t="str">
        <v/>
      </c>
      <c r="F173" s="68">
        <v>46214</v>
      </c>
      <c r="G173" s="88">
        <v>46302</v>
      </c>
      <c r="H173" t="str">
        <v>LILIANA MARTINEZ SUR</v>
      </c>
      <c r="I173" t="str">
        <v>JOSE GUADALUPE HERNANDEZ AGUILERA</v>
      </c>
      <c r="J173" s="82">
        <v>67877054253</v>
      </c>
      <c r="K173" t="str">
        <v>HEAG701213HVZRGD08</v>
      </c>
      <c r="L173" s="82">
        <v>22555574</v>
      </c>
      <c r="M173" s="82">
        <v>5216631233818</v>
      </c>
      <c r="N173" t="str">
        <v>NUEVO MAYOR</v>
      </c>
      <c r="O173" s="89">
        <v>6405.14</v>
      </c>
      <c r="P173" s="89" t="str">
        <v/>
      </c>
      <c r="Q173" s="89">
        <v>1921.54</v>
      </c>
      <c r="R173" s="89">
        <v>1921.54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>
        <v>1</v>
      </c>
    </row>
    <row r="174" spans="1:24">
      <c r="A174" s="26" t="str">
        <v/>
      </c>
      <c r="B174" s="87">
        <v>46333.467361111114</v>
      </c>
      <c r="C174" s="87">
        <v>46214.468055555553</v>
      </c>
      <c r="D174" t="str">
        <v>anónimo</v>
      </c>
      <c r="E174" t="str">
        <v/>
      </c>
      <c r="F174" s="68">
        <v>46214</v>
      </c>
      <c r="G174" s="88">
        <v>46333</v>
      </c>
      <c r="H174" t="str">
        <v>ANA VILLEGAS C/C</v>
      </c>
      <c r="I174" t="str">
        <v xml:space="preserve">Luciano Espinoza </v>
      </c>
      <c r="J174" s="82">
        <v>39936505708</v>
      </c>
      <c r="K174" t="str">
        <v/>
      </c>
      <c r="L174" s="82">
        <v>22569134</v>
      </c>
      <c r="M174" s="82">
        <v>5215550595928</v>
      </c>
      <c r="N174" t="str">
        <v>NUEVO MAYOR</v>
      </c>
      <c r="O174" s="89">
        <v>9760.32</v>
      </c>
      <c r="P174" s="89" t="str">
        <v/>
      </c>
      <c r="Q174" s="89">
        <v>2928.1</v>
      </c>
      <c r="R174" s="89">
        <v>2928.1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>
        <v>1</v>
      </c>
    </row>
    <row r="175" spans="1:24">
      <c r="A175" s="26" t="str">
        <v/>
      </c>
      <c r="B175" s="87">
        <v>46333.459027777775</v>
      </c>
      <c r="C175" s="87">
        <v>46214.47152777778</v>
      </c>
      <c r="D175" t="str">
        <v>anónimo</v>
      </c>
      <c r="E175" t="str">
        <v/>
      </c>
      <c r="F175" s="68">
        <v>46214</v>
      </c>
      <c r="G175" s="88">
        <v>46302</v>
      </c>
      <c r="H175" t="str">
        <v>LILIANA MARTINEZ SUR</v>
      </c>
      <c r="I175" t="str">
        <v>ANDRES RIVERO CASTELAN</v>
      </c>
      <c r="J175" s="82" t="str">
        <v/>
      </c>
      <c r="K175" t="str">
        <v>RICA681110HHGVSN01</v>
      </c>
      <c r="L175" s="82">
        <v>22554670</v>
      </c>
      <c r="M175" s="82">
        <v>5215529016728</v>
      </c>
      <c r="N175" t="str">
        <v>NUEVO MENOR</v>
      </c>
      <c r="O175" s="89">
        <v>4662.8500000000004</v>
      </c>
      <c r="P175" s="89">
        <v>35</v>
      </c>
      <c r="Q175" s="89">
        <v>1398.86</v>
      </c>
      <c r="R175" s="89">
        <v>454.87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>
        <v>1</v>
      </c>
    </row>
    <row r="176" spans="1:24">
      <c r="A176" s="26" t="str">
        <v/>
      </c>
      <c r="B176" s="87">
        <v>46333.492361111108</v>
      </c>
      <c r="C176" s="87">
        <v>46214.493055555555</v>
      </c>
      <c r="D176" t="str">
        <v>anónimo</v>
      </c>
      <c r="E176" t="str">
        <v/>
      </c>
      <c r="F176" s="68">
        <v>46214</v>
      </c>
      <c r="G176" s="88">
        <v>46302</v>
      </c>
      <c r="H176" t="str">
        <v>LITZY MARTINEZ C/C</v>
      </c>
      <c r="I176" t="str">
        <v xml:space="preserve">Bertha cervera Hernandez </v>
      </c>
      <c r="J176" s="82" t="str">
        <v/>
      </c>
      <c r="K176" t="str">
        <v>CEHB650320MGTRRR03</v>
      </c>
      <c r="L176" s="82">
        <v>22560930</v>
      </c>
      <c r="M176" s="82">
        <v>4774142565</v>
      </c>
      <c r="N176" t="str">
        <v>NUEVO MAYOR</v>
      </c>
      <c r="O176" s="89">
        <v>9760.32</v>
      </c>
      <c r="P176" s="89" t="str">
        <v/>
      </c>
      <c r="Q176" s="89">
        <v>2928.1</v>
      </c>
      <c r="R176" s="89">
        <v>2928.1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>
        <v>1</v>
      </c>
    </row>
    <row r="177" spans="1:24">
      <c r="A177" s="26" t="str">
        <v/>
      </c>
      <c r="B177" s="87">
        <v>46333.46597222222</v>
      </c>
      <c r="C177" s="87">
        <v>46214.575694444444</v>
      </c>
      <c r="D177" t="str">
        <v>anónimo</v>
      </c>
      <c r="E177" t="str">
        <v/>
      </c>
      <c r="F177" s="68">
        <v>46214</v>
      </c>
      <c r="G177" s="88">
        <v>46333</v>
      </c>
      <c r="H177" t="str">
        <v>DEYANIRA CORDOVA C/C</v>
      </c>
      <c r="I177" t="str">
        <v xml:space="preserve">Gerardo García </v>
      </c>
      <c r="J177" s="82">
        <v>17856001254</v>
      </c>
      <c r="K177" t="str">
        <v>GACG601114HDFRLR02</v>
      </c>
      <c r="L177" s="82">
        <v>22576204</v>
      </c>
      <c r="M177" s="82">
        <v>5585839567</v>
      </c>
      <c r="N177" t="str">
        <v>NUEVO MAYOR</v>
      </c>
      <c r="O177" s="89">
        <v>11029.03</v>
      </c>
      <c r="P177" s="89" t="str">
        <v/>
      </c>
      <c r="Q177" s="89">
        <v>3308.71</v>
      </c>
      <c r="R177" s="89">
        <v>3308.71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>
        <v>1</v>
      </c>
    </row>
    <row r="178" spans="1:24">
      <c r="A178" s="26" t="str">
        <v/>
      </c>
      <c r="B178" s="87">
        <v>46333.636805555558</v>
      </c>
      <c r="C178" s="87">
        <v>46214.692361111112</v>
      </c>
      <c r="D178" t="str">
        <v>anónimo</v>
      </c>
      <c r="E178" t="str">
        <v/>
      </c>
      <c r="F178" s="68">
        <v>46214</v>
      </c>
      <c r="G178" s="88">
        <v>46333</v>
      </c>
      <c r="H178" t="str">
        <v>XIMENA RIVERA SUR</v>
      </c>
      <c r="I178" t="str">
        <v xml:space="preserve">FELIPE TELLES TELLES </v>
      </c>
      <c r="J178" s="82">
        <v>19796023547</v>
      </c>
      <c r="K178" t="str">
        <v/>
      </c>
      <c r="L178" s="82">
        <v>22574168</v>
      </c>
      <c r="M178" s="82">
        <v>5216641898909</v>
      </c>
      <c r="N178" t="str">
        <v>COMPRA MAYOR</v>
      </c>
      <c r="O178" s="89">
        <v>5776.61</v>
      </c>
      <c r="P178" s="89">
        <v>1445.81</v>
      </c>
      <c r="Q178" s="89">
        <v>1732.98</v>
      </c>
      <c r="R178" s="89">
        <v>157.82</v>
      </c>
      <c r="S178">
        <v>46028</v>
      </c>
      <c r="T178" t="str">
        <v/>
      </c>
      <c r="U178" t="str">
        <v/>
      </c>
      <c r="V178" t="str">
        <v/>
      </c>
      <c r="W178" t="str">
        <v/>
      </c>
      <c r="X178">
        <v>2</v>
      </c>
    </row>
    <row r="179" spans="1:24">
      <c r="A179" s="26" t="str">
        <v/>
      </c>
      <c r="B179" s="87">
        <v>46333.725694444445</v>
      </c>
      <c r="C179" s="87">
        <v>46214.728472222225</v>
      </c>
      <c r="D179" t="str">
        <v>anónimo</v>
      </c>
      <c r="E179" t="str">
        <v/>
      </c>
      <c r="F179" s="68">
        <v>46214</v>
      </c>
      <c r="G179" s="88">
        <v>46333</v>
      </c>
      <c r="H179" t="str">
        <v>IRAN CASTILLO SUR</v>
      </c>
      <c r="I179" t="str">
        <v xml:space="preserve">ALFREDO MORALES LARA </v>
      </c>
      <c r="J179" s="82">
        <v>64856637679</v>
      </c>
      <c r="K179" t="str">
        <v>MOLA660112HDFRRL00</v>
      </c>
      <c r="L179" s="82">
        <v>22580290</v>
      </c>
      <c r="M179" s="82">
        <v>5214427060893</v>
      </c>
      <c r="N179" t="str">
        <v>NUEVO MAYOR</v>
      </c>
      <c r="O179" s="89">
        <v>13218.47</v>
      </c>
      <c r="P179" s="89" t="str">
        <v/>
      </c>
      <c r="Q179" s="89">
        <v>3965.54</v>
      </c>
      <c r="R179" s="89">
        <v>3965.54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>
        <v>1</v>
      </c>
    </row>
    <row r="180" spans="1:24">
      <c r="A180" s="26" t="str">
        <v/>
      </c>
      <c r="B180" s="87">
        <v>46333.65347222222</v>
      </c>
      <c r="C180" s="87">
        <v>46214.729166666664</v>
      </c>
      <c r="D180" t="str">
        <v>anónimo</v>
      </c>
      <c r="E180" t="str">
        <v/>
      </c>
      <c r="F180" s="68">
        <v>46214</v>
      </c>
      <c r="G180" s="88">
        <v>46333</v>
      </c>
      <c r="H180" t="str">
        <v>ROSA CASTRO SUR</v>
      </c>
      <c r="I180" t="str">
        <v>TOMAS OLMOS RODRIGUEZ</v>
      </c>
      <c r="J180" s="82">
        <v>11725551722</v>
      </c>
      <c r="K180" t="str">
        <v>OORT561103HDFLDM09</v>
      </c>
      <c r="L180" s="82">
        <v>22540186</v>
      </c>
      <c r="M180" s="82">
        <v>5214611974979</v>
      </c>
      <c r="N180" t="str">
        <v>NUEVO MENOR</v>
      </c>
      <c r="O180" s="89">
        <v>11018.76</v>
      </c>
      <c r="P180" s="89">
        <v>2984.93</v>
      </c>
      <c r="Q180" s="89">
        <v>3305.63</v>
      </c>
      <c r="R180" s="89">
        <v>320.7</v>
      </c>
      <c r="S180">
        <v>46753</v>
      </c>
      <c r="T180" t="str">
        <v/>
      </c>
      <c r="U180" t="str">
        <v/>
      </c>
      <c r="V180" t="str">
        <v/>
      </c>
      <c r="W180" t="str">
        <v/>
      </c>
      <c r="X180">
        <v>2</v>
      </c>
    </row>
    <row r="181" spans="1:24">
      <c r="A181" s="26" t="str">
        <v/>
      </c>
      <c r="B181" s="87">
        <v>46333.740972222222</v>
      </c>
      <c r="C181" s="87">
        <v>46214.745138888888</v>
      </c>
      <c r="D181" t="str">
        <v>anónimo</v>
      </c>
      <c r="E181" t="str">
        <v/>
      </c>
      <c r="F181" s="68">
        <v>46214</v>
      </c>
      <c r="G181" s="88">
        <v>46333</v>
      </c>
      <c r="H181" t="str">
        <v>JENNIFER AVENDAÑO SUR</v>
      </c>
      <c r="I181" t="str">
        <v xml:space="preserve">HECTOR MANUEL ZAMUDIO LOPEZ </v>
      </c>
      <c r="J181" s="82">
        <v>23856300134</v>
      </c>
      <c r="K181" t="str">
        <v>ZALH630113HSLMPC05</v>
      </c>
      <c r="L181" s="82">
        <v>22579892</v>
      </c>
      <c r="M181" s="82">
        <v>5216673444152</v>
      </c>
      <c r="N181" t="str">
        <v>NUEVO MAYOR</v>
      </c>
      <c r="O181" s="89">
        <v>55672.13</v>
      </c>
      <c r="P181" s="89">
        <v>15360.6</v>
      </c>
      <c r="Q181" s="89">
        <v>16701.64</v>
      </c>
      <c r="R181" s="89">
        <v>1341.04</v>
      </c>
      <c r="S181">
        <v>46389</v>
      </c>
      <c r="T181" t="str">
        <v/>
      </c>
      <c r="U181" t="str">
        <v/>
      </c>
      <c r="V181" t="str">
        <v/>
      </c>
      <c r="W181" t="str">
        <v/>
      </c>
      <c r="X181">
        <v>2</v>
      </c>
    </row>
    <row r="182" spans="1:24">
      <c r="A182" s="26" t="str">
        <v/>
      </c>
      <c r="B182" s="87">
        <v>46333.670138888891</v>
      </c>
      <c r="C182" s="87">
        <v>46215.342361111114</v>
      </c>
      <c r="D182" t="str">
        <v>anónimo</v>
      </c>
      <c r="E182" t="str">
        <v/>
      </c>
      <c r="F182" s="68">
        <v>46215</v>
      </c>
      <c r="G182" s="88">
        <v>46333</v>
      </c>
      <c r="H182" t="str">
        <v>YULIANA RODRIGUEZ C/C</v>
      </c>
      <c r="I182" t="str">
        <v xml:space="preserve">HECTOR RIVAS </v>
      </c>
      <c r="J182" s="82">
        <v>19755633211</v>
      </c>
      <c r="K182" t="str">
        <v/>
      </c>
      <c r="L182" s="82">
        <v>22586146</v>
      </c>
      <c r="M182" s="82">
        <v>5214981227367</v>
      </c>
      <c r="N182" t="str">
        <v>COMPRA MENOR</v>
      </c>
      <c r="O182" s="89">
        <v>5226.93</v>
      </c>
      <c r="P182" s="89">
        <v>1015.61</v>
      </c>
      <c r="Q182" s="89">
        <v>1568.08</v>
      </c>
      <c r="R182" s="89">
        <v>38.340000000000003</v>
      </c>
      <c r="S182">
        <v>46028</v>
      </c>
      <c r="T182" t="str">
        <v/>
      </c>
      <c r="U182" t="str">
        <v/>
      </c>
      <c r="V182" t="str">
        <v/>
      </c>
      <c r="W182" t="str">
        <v/>
      </c>
      <c r="X182">
        <v>2</v>
      </c>
    </row>
    <row r="183" spans="1:24">
      <c r="A183" s="26" t="str">
        <v/>
      </c>
      <c r="B183" s="87">
        <v>46363.366666666669</v>
      </c>
      <c r="C183" s="87">
        <v>46215.367361111108</v>
      </c>
      <c r="D183" t="str">
        <v>anónimo</v>
      </c>
      <c r="E183" t="str">
        <v/>
      </c>
      <c r="F183" s="68">
        <v>46215</v>
      </c>
      <c r="G183" s="88">
        <v>46363</v>
      </c>
      <c r="H183" t="str">
        <v>LITZY MARTINEZ C/C</v>
      </c>
      <c r="I183" t="str">
        <v>Jose luis ramos rivas</v>
      </c>
      <c r="J183" s="82" t="str">
        <v/>
      </c>
      <c r="K183" t="str">
        <v>RARL650110HCLMVS02</v>
      </c>
      <c r="L183" s="82">
        <v>22590640</v>
      </c>
      <c r="M183" s="82">
        <v>18787023992</v>
      </c>
      <c r="N183" t="str">
        <v>NUEVO MENOR</v>
      </c>
      <c r="O183" s="89">
        <v>10171.24</v>
      </c>
      <c r="P183" s="89">
        <v>2094.7800000000002</v>
      </c>
      <c r="Q183" s="89">
        <v>3051.37</v>
      </c>
      <c r="R183" s="89">
        <v>956.59</v>
      </c>
      <c r="S183">
        <v>46395</v>
      </c>
      <c r="T183" t="str">
        <v/>
      </c>
      <c r="U183" t="str">
        <v/>
      </c>
      <c r="V183" t="str">
        <v/>
      </c>
      <c r="W183" t="str">
        <v/>
      </c>
      <c r="X183">
        <v>2</v>
      </c>
    </row>
    <row r="184" spans="1:24">
      <c r="A184" s="26" t="str">
        <v/>
      </c>
      <c r="B184" s="87">
        <v>46363.377083333333</v>
      </c>
      <c r="C184" s="87">
        <v>46215.380555555559</v>
      </c>
      <c r="D184" t="str">
        <v>anónimo</v>
      </c>
      <c r="E184" t="str">
        <v/>
      </c>
      <c r="F184" s="68">
        <v>46215</v>
      </c>
      <c r="G184" s="88">
        <v>46363</v>
      </c>
      <c r="H184" t="str">
        <v>HANIA GARCIA</v>
      </c>
      <c r="I184" t="str">
        <v>Bayardo Andrés Castañeda Lopez</v>
      </c>
      <c r="J184" s="82" t="str">
        <v/>
      </c>
      <c r="K184" t="str">
        <v>CALB621212HDFSPY00</v>
      </c>
      <c r="L184" s="82">
        <v>22590704</v>
      </c>
      <c r="M184" s="82">
        <v>5549517967</v>
      </c>
      <c r="N184" t="str">
        <v>NUEVO MAYOR</v>
      </c>
      <c r="O184" s="89">
        <v>34432.47</v>
      </c>
      <c r="P184" s="89" t="str">
        <v/>
      </c>
      <c r="Q184" s="89">
        <v>10329.74</v>
      </c>
      <c r="R184" s="89">
        <v>10329.74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>
        <v>1</v>
      </c>
    </row>
    <row r="185" spans="1:24">
      <c r="A185" s="26" t="str">
        <v/>
      </c>
      <c r="B185" s="87">
        <v>46363.411805555559</v>
      </c>
      <c r="C185" s="87">
        <v>46215.412499999999</v>
      </c>
      <c r="D185" t="str">
        <v>anónimo</v>
      </c>
      <c r="E185" t="str">
        <v/>
      </c>
      <c r="F185" s="68">
        <v>46215</v>
      </c>
      <c r="G185" s="88">
        <v>46333</v>
      </c>
      <c r="H185" t="str">
        <v>YULIANA RODRIGUEZ C/C</v>
      </c>
      <c r="I185" t="str">
        <v xml:space="preserve">AGAPITO RAMIREZ MAR </v>
      </c>
      <c r="J185" s="82" t="str">
        <v/>
      </c>
      <c r="K185" t="str">
        <v>RAMA630921HVZMRG07</v>
      </c>
      <c r="L185" s="82">
        <v>22583132</v>
      </c>
      <c r="M185" s="82">
        <v>5219231055002</v>
      </c>
      <c r="N185" t="str">
        <v>NUEVO MAYOR</v>
      </c>
      <c r="O185" s="89">
        <v>7920.51</v>
      </c>
      <c r="P185" s="89" t="str">
        <v/>
      </c>
      <c r="Q185" s="89">
        <v>2376.15</v>
      </c>
      <c r="R185" s="89">
        <v>2376.15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>
        <v>1</v>
      </c>
    </row>
    <row r="186" spans="1:24">
      <c r="A186" s="26" t="str">
        <v/>
      </c>
      <c r="B186" s="87">
        <v>46363.428472222222</v>
      </c>
      <c r="C186" s="87">
        <v>46215.429166666669</v>
      </c>
      <c r="D186" t="str">
        <v>anónimo</v>
      </c>
      <c r="E186" t="str">
        <v/>
      </c>
      <c r="F186" s="68">
        <v>46215</v>
      </c>
      <c r="G186" s="88">
        <v>46333</v>
      </c>
      <c r="H186" t="str">
        <v>YULIANA RODRIGUEZ C/C</v>
      </c>
      <c r="I186" t="str">
        <v xml:space="preserve">JORGE ALBERTO VASQUEZ LAGARDA </v>
      </c>
      <c r="J186" s="82" t="str">
        <v/>
      </c>
      <c r="K186" t="str">
        <v>VALJ610110HSRSGR05</v>
      </c>
      <c r="L186" s="82">
        <v>22582850</v>
      </c>
      <c r="M186" s="82">
        <v>5216444545057</v>
      </c>
      <c r="N186" t="str">
        <v>NUEVO MENOR</v>
      </c>
      <c r="O186" s="89">
        <v>6262</v>
      </c>
      <c r="P186" s="89">
        <v>1500</v>
      </c>
      <c r="Q186" s="89">
        <v>1878.6</v>
      </c>
      <c r="R186" s="89">
        <v>378.6</v>
      </c>
      <c r="S186">
        <v>46396</v>
      </c>
      <c r="T186" t="str">
        <v/>
      </c>
      <c r="U186" t="str">
        <v/>
      </c>
      <c r="V186" t="str">
        <v/>
      </c>
      <c r="W186" t="str">
        <v/>
      </c>
      <c r="X186">
        <v>2</v>
      </c>
    </row>
    <row r="187" spans="1:24">
      <c r="A187" s="26" t="str">
        <v/>
      </c>
      <c r="B187" s="87">
        <v>46363.431944444441</v>
      </c>
      <c r="C187" s="87">
        <v>46215.433333333334</v>
      </c>
      <c r="D187" t="str">
        <v>anónimo</v>
      </c>
      <c r="E187" t="str">
        <v/>
      </c>
      <c r="F187" s="68">
        <v>46215</v>
      </c>
      <c r="G187" s="88">
        <v>46363</v>
      </c>
      <c r="H187" t="str">
        <v>HANIA GARCIA</v>
      </c>
      <c r="I187" t="str">
        <v>Mario Alberto Rodriguez Lopez</v>
      </c>
      <c r="J187" s="82" t="str">
        <v/>
      </c>
      <c r="K187" t="str">
        <v>ROLM591001HGTDPR06</v>
      </c>
      <c r="L187" s="82">
        <v>22592718</v>
      </c>
      <c r="M187" s="82">
        <v>4776356283</v>
      </c>
      <c r="N187" t="str">
        <v>NUEVO MAYOR</v>
      </c>
      <c r="O187" s="89">
        <v>7218</v>
      </c>
      <c r="P187" s="89" t="str">
        <v/>
      </c>
      <c r="Q187" s="89">
        <v>2165.4</v>
      </c>
      <c r="R187" s="89">
        <v>2165.4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>
        <v>1</v>
      </c>
    </row>
    <row r="188" spans="1:24">
      <c r="A188" s="26" t="str">
        <v/>
      </c>
      <c r="B188" s="87">
        <v>46363.455555555556</v>
      </c>
      <c r="C188" s="87">
        <v>46215.456250000003</v>
      </c>
      <c r="D188" t="str">
        <v>anónimo</v>
      </c>
      <c r="E188" t="str">
        <v/>
      </c>
      <c r="F188" s="68">
        <v>46215</v>
      </c>
      <c r="G188" s="88">
        <v>46363</v>
      </c>
      <c r="H188" t="str">
        <v>GLORIA ORTIZ C/C</v>
      </c>
      <c r="I188" t="str">
        <v>JESUS HERNANDEZ GOMEZ</v>
      </c>
      <c r="J188" s="82">
        <v>65846102047</v>
      </c>
      <c r="K188" t="str">
        <v>HEGJ611211HVZRMS04</v>
      </c>
      <c r="L188" s="82">
        <v>22594470</v>
      </c>
      <c r="M188" s="82">
        <v>5212295215917</v>
      </c>
      <c r="N188" t="str">
        <v>NUEVO MAYOR</v>
      </c>
      <c r="O188" s="89">
        <v>7640.52</v>
      </c>
      <c r="P188" s="89">
        <v>880.31</v>
      </c>
      <c r="Q188" s="89">
        <v>2292.16</v>
      </c>
      <c r="R188" s="89">
        <v>1411.85</v>
      </c>
      <c r="S188">
        <v>46755</v>
      </c>
      <c r="T188" t="str">
        <v/>
      </c>
      <c r="U188" t="str">
        <v/>
      </c>
      <c r="V188" t="str">
        <v/>
      </c>
      <c r="W188" t="str">
        <v/>
      </c>
      <c r="X188">
        <v>2</v>
      </c>
    </row>
    <row r="189" spans="1:24">
      <c r="A189" s="26" t="str">
        <v/>
      </c>
      <c r="B189" s="87">
        <v>46363.495138888888</v>
      </c>
      <c r="C189" s="87">
        <v>46215.496527777781</v>
      </c>
      <c r="D189" t="str">
        <v>anónimo</v>
      </c>
      <c r="E189" t="str">
        <v/>
      </c>
      <c r="F189" s="68">
        <v>46215</v>
      </c>
      <c r="G189" s="88">
        <v>46302</v>
      </c>
      <c r="H189" t="str">
        <v>DEYANIRA CORDOVA C/C</v>
      </c>
      <c r="I189" t="str">
        <v xml:space="preserve">REMEDIOS </v>
      </c>
      <c r="J189" s="82">
        <v>23745108052</v>
      </c>
      <c r="K189" t="str">
        <v>HEBR770915MSLRRM04</v>
      </c>
      <c r="L189" s="82">
        <v>22560062</v>
      </c>
      <c r="M189" s="82">
        <v>5216161159102</v>
      </c>
      <c r="N189" t="str">
        <v>COMPRA MENOR</v>
      </c>
      <c r="O189" s="89">
        <v>6405.06</v>
      </c>
      <c r="P189" s="89">
        <v>1833.5</v>
      </c>
      <c r="Q189" s="89">
        <v>1921.52</v>
      </c>
      <c r="R189" s="89">
        <v>88.02</v>
      </c>
      <c r="S189">
        <v>46024</v>
      </c>
      <c r="T189" t="str">
        <v/>
      </c>
      <c r="U189" t="str">
        <v/>
      </c>
      <c r="V189" t="str">
        <v/>
      </c>
      <c r="W189" t="str">
        <v/>
      </c>
      <c r="X189">
        <v>2</v>
      </c>
    </row>
    <row r="190" spans="1:24">
      <c r="A190" s="26" t="str">
        <v/>
      </c>
      <c r="B190" s="87">
        <v>46363.496527777781</v>
      </c>
      <c r="C190" s="87">
        <v>46215.498611111114</v>
      </c>
      <c r="D190" t="str">
        <v>anónimo</v>
      </c>
      <c r="E190" t="str">
        <v/>
      </c>
      <c r="F190" s="68">
        <v>46215</v>
      </c>
      <c r="G190" s="88">
        <v>46333</v>
      </c>
      <c r="H190" t="str">
        <v>GUADALUPE BECERRA C/C</v>
      </c>
      <c r="I190" t="str">
        <v>Jose Gerardo Ayala Serrato</v>
      </c>
      <c r="J190" s="82" t="str">
        <v/>
      </c>
      <c r="K190" t="str">
        <v>AASG540615HCLYRR06</v>
      </c>
      <c r="L190" s="82">
        <v>22570758</v>
      </c>
      <c r="M190" s="82">
        <v>5218715857136</v>
      </c>
      <c r="N190" t="str">
        <v>RESTRINGIDA</v>
      </c>
      <c r="O190" s="89">
        <v>23604.97</v>
      </c>
      <c r="P190" s="89">
        <v>6829.48</v>
      </c>
      <c r="Q190" s="89">
        <v>7081.49</v>
      </c>
      <c r="R190" s="89">
        <v>252.01</v>
      </c>
      <c r="S190">
        <v>45665</v>
      </c>
      <c r="T190" t="str">
        <v/>
      </c>
      <c r="U190" t="str">
        <v/>
      </c>
      <c r="V190" t="str">
        <v/>
      </c>
      <c r="W190" t="str">
        <v/>
      </c>
      <c r="X190">
        <v>2</v>
      </c>
    </row>
    <row r="191" spans="1:24">
      <c r="A191" s="26" t="str">
        <v/>
      </c>
      <c r="B191" s="87">
        <v>46363.549305555556</v>
      </c>
      <c r="C191" s="87">
        <v>46215.550694444442</v>
      </c>
      <c r="D191" t="str">
        <v>anónimo</v>
      </c>
      <c r="E191" t="str">
        <v/>
      </c>
      <c r="F191" s="68">
        <v>46215</v>
      </c>
      <c r="G191" s="88">
        <v>46363</v>
      </c>
      <c r="H191" t="str">
        <v>MAFER Z</v>
      </c>
      <c r="I191" t="str">
        <v>MIGUELINA ABAD SOTO</v>
      </c>
      <c r="J191" s="82">
        <v>84856905132</v>
      </c>
      <c r="K191" t="str">
        <v>AASM871213MNEBTG08</v>
      </c>
      <c r="L191" s="82">
        <v>22594254</v>
      </c>
      <c r="M191" s="82">
        <v>5219983477889</v>
      </c>
      <c r="N191" t="str">
        <v>COMPRA MAYOR</v>
      </c>
      <c r="O191" s="89">
        <v>6811.14</v>
      </c>
      <c r="P191" s="89">
        <v>1897.41</v>
      </c>
      <c r="Q191" s="89">
        <v>2043.34</v>
      </c>
      <c r="R191" s="89">
        <v>145.93</v>
      </c>
      <c r="S191">
        <v>45297</v>
      </c>
      <c r="T191" t="str">
        <v/>
      </c>
      <c r="U191" t="str">
        <v/>
      </c>
      <c r="V191" t="str">
        <v/>
      </c>
      <c r="W191" t="str">
        <v/>
      </c>
      <c r="X191">
        <v>2</v>
      </c>
    </row>
    <row r="192" spans="1:24">
      <c r="A192" s="26" t="str">
        <v/>
      </c>
      <c r="B192" s="87">
        <v>46363.559027777781</v>
      </c>
      <c r="C192" s="87">
        <v>46215.560416666667</v>
      </c>
      <c r="D192" t="str">
        <v>anónimo</v>
      </c>
      <c r="E192" t="str">
        <v/>
      </c>
      <c r="F192" s="68">
        <v>46215</v>
      </c>
      <c r="G192" s="88">
        <v>46363</v>
      </c>
      <c r="H192" t="str">
        <v>DULCE FRANCO</v>
      </c>
      <c r="I192" t="str">
        <v>RICARDO GUADALUPE MORENO MONTEMAYOR</v>
      </c>
      <c r="J192" s="82">
        <v>3685115010</v>
      </c>
      <c r="K192" t="str">
        <v>MOMR510406HNLRNC05</v>
      </c>
      <c r="L192" s="82">
        <v>22595438</v>
      </c>
      <c r="M192" s="82">
        <v>5218110769796</v>
      </c>
      <c r="N192" t="str">
        <v>COMPRA MENOR</v>
      </c>
      <c r="O192" s="89">
        <v>4943.63</v>
      </c>
      <c r="P192" s="89">
        <v>710.81</v>
      </c>
      <c r="Q192" s="89">
        <v>1483.09</v>
      </c>
      <c r="R192" s="89">
        <v>59.84</v>
      </c>
      <c r="S192">
        <v>46025</v>
      </c>
      <c r="T192" t="str">
        <v/>
      </c>
      <c r="U192" t="str">
        <v/>
      </c>
      <c r="V192" t="str">
        <v/>
      </c>
      <c r="W192" t="str">
        <v/>
      </c>
      <c r="X192">
        <v>2</v>
      </c>
    </row>
    <row r="193" spans="1:24">
      <c r="A193" s="26" t="str">
        <v/>
      </c>
      <c r="B193" s="87">
        <v>46363.570833333331</v>
      </c>
      <c r="C193" s="87">
        <v>46215.572222222225</v>
      </c>
      <c r="D193" t="str">
        <v>anónimo</v>
      </c>
      <c r="E193" t="str">
        <v/>
      </c>
      <c r="F193" s="68">
        <v>46215</v>
      </c>
      <c r="G193" s="88">
        <v>46363</v>
      </c>
      <c r="H193" t="str">
        <v>ANA VILLEGAS C/C</v>
      </c>
      <c r="I193" t="str">
        <v>LUZ RODRIGUEZ</v>
      </c>
      <c r="J193" s="82">
        <v>43846250843</v>
      </c>
      <c r="K193" t="str">
        <v/>
      </c>
      <c r="L193" s="82">
        <v>22588722</v>
      </c>
      <c r="M193" s="82">
        <v>5218123625436</v>
      </c>
      <c r="N193" t="str">
        <v>NUEVO MENOR</v>
      </c>
      <c r="O193" s="89">
        <v>7116.73</v>
      </c>
      <c r="P193" s="89">
        <v>1547.61</v>
      </c>
      <c r="Q193" s="89">
        <v>2135.02</v>
      </c>
      <c r="R193" s="89">
        <v>587.41</v>
      </c>
      <c r="S193">
        <v>46031</v>
      </c>
      <c r="T193" t="str">
        <v/>
      </c>
      <c r="U193" t="str">
        <v/>
      </c>
      <c r="V193" t="str">
        <v/>
      </c>
      <c r="W193" t="str">
        <v/>
      </c>
      <c r="X193">
        <v>2</v>
      </c>
    </row>
    <row r="194" spans="1:24">
      <c r="A194" s="26" t="str">
        <v/>
      </c>
      <c r="B194" s="87">
        <v>46363.573611111111</v>
      </c>
      <c r="C194" s="87">
        <v>46215.574999999997</v>
      </c>
      <c r="D194" t="str">
        <v>anónimo</v>
      </c>
      <c r="E194" t="str">
        <v/>
      </c>
      <c r="F194" s="68">
        <v>46215</v>
      </c>
      <c r="G194" s="88">
        <v>46363</v>
      </c>
      <c r="H194" t="str">
        <v>ANA VILLEGAS C/C</v>
      </c>
      <c r="I194" t="str">
        <v>AMANDO IGNACIO</v>
      </c>
      <c r="J194" s="82" t="str">
        <v/>
      </c>
      <c r="K194" t="str">
        <v>moja600204hplnrm06</v>
      </c>
      <c r="L194" s="82">
        <v>22597798</v>
      </c>
      <c r="M194" s="82">
        <v>5218119145315</v>
      </c>
      <c r="N194" t="str">
        <v>RESTRINGIDA</v>
      </c>
      <c r="O194" s="89">
        <v>5617.63</v>
      </c>
      <c r="P194" s="89">
        <v>1336.94</v>
      </c>
      <c r="Q194" s="89">
        <v>1685.29</v>
      </c>
      <c r="R194" s="89">
        <v>107.71</v>
      </c>
      <c r="S194">
        <v>46028</v>
      </c>
      <c r="T194" t="str">
        <v>FISOFO</v>
      </c>
      <c r="U194" t="str">
        <v/>
      </c>
      <c r="V194" t="str">
        <v/>
      </c>
      <c r="W194" t="str">
        <v/>
      </c>
      <c r="X194">
        <v>2</v>
      </c>
    </row>
    <row r="195" spans="1:24">
      <c r="A195" s="26" t="str">
        <v/>
      </c>
      <c r="B195" s="87">
        <v>46363.575694444444</v>
      </c>
      <c r="C195" s="87">
        <v>46215.57708333333</v>
      </c>
      <c r="D195" t="str">
        <v>anónimo</v>
      </c>
      <c r="E195" t="str">
        <v/>
      </c>
      <c r="F195" s="68">
        <v>46215</v>
      </c>
      <c r="G195" s="88">
        <v>46363</v>
      </c>
      <c r="H195" t="str">
        <v>HANIA GARCIA</v>
      </c>
      <c r="I195" t="str">
        <v>Arturo Codero Y Becerra</v>
      </c>
      <c r="J195" s="82" t="str">
        <v/>
      </c>
      <c r="K195" t="str">
        <v>COBA470316HDFRCR00</v>
      </c>
      <c r="L195" s="82">
        <v>22597754</v>
      </c>
      <c r="M195" s="82">
        <v>2211664108</v>
      </c>
      <c r="N195" t="str">
        <v>NUEVO MENOR</v>
      </c>
      <c r="O195" s="89">
        <v>4745.3599999999997</v>
      </c>
      <c r="P195" s="89" t="str">
        <v/>
      </c>
      <c r="Q195" s="89">
        <v>1423.61</v>
      </c>
      <c r="R195" s="89">
        <v>572.38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>
        <v>1</v>
      </c>
    </row>
    <row r="196" spans="1:24">
      <c r="A196" s="26" t="str">
        <v/>
      </c>
      <c r="B196" s="87">
        <v>46363.628472222219</v>
      </c>
      <c r="C196" s="87">
        <v>46215.629861111112</v>
      </c>
      <c r="D196" t="str">
        <v>anónimo</v>
      </c>
      <c r="E196" t="str">
        <v/>
      </c>
      <c r="F196" s="68">
        <v>46215</v>
      </c>
      <c r="G196" s="88">
        <v>46333</v>
      </c>
      <c r="H196" t="str">
        <v>DULCE FRANCO</v>
      </c>
      <c r="I196" t="str">
        <v>ROMEO GARCIA MORENO</v>
      </c>
      <c r="J196" s="82" t="str">
        <v/>
      </c>
      <c r="K196" t="str">
        <v>GAMR581128HSRRRM06</v>
      </c>
      <c r="L196" s="82">
        <v>22584878</v>
      </c>
      <c r="M196" s="82">
        <v>5216321057583</v>
      </c>
      <c r="N196" t="str">
        <v>COMPRA MENOR</v>
      </c>
      <c r="O196" s="89">
        <v>5053.22</v>
      </c>
      <c r="P196" s="89">
        <v>774.8</v>
      </c>
      <c r="Q196" s="89">
        <v>1515.97</v>
      </c>
      <c r="R196" s="89">
        <v>105.44</v>
      </c>
      <c r="S196">
        <v>45660</v>
      </c>
      <c r="T196" t="str">
        <v/>
      </c>
      <c r="U196" t="str">
        <v/>
      </c>
      <c r="V196" t="str">
        <v/>
      </c>
      <c r="W196" t="str">
        <v/>
      </c>
      <c r="X196">
        <v>2</v>
      </c>
    </row>
    <row r="197" spans="1:24">
      <c r="A197" s="26" t="str">
        <v/>
      </c>
      <c r="B197" s="87">
        <v>46363.636805555558</v>
      </c>
      <c r="C197" s="87">
        <v>46215.638194444444</v>
      </c>
      <c r="D197" t="str">
        <v>anónimo</v>
      </c>
      <c r="E197" t="str">
        <v/>
      </c>
      <c r="F197" s="68">
        <v>46215</v>
      </c>
      <c r="G197" s="88">
        <v>46363</v>
      </c>
      <c r="H197" t="str">
        <v>HANIA GARCIA</v>
      </c>
      <c r="I197" t="str">
        <v>Fernando Martinez Zamora</v>
      </c>
      <c r="J197" s="82" t="str">
        <v/>
      </c>
      <c r="K197" t="str">
        <v>MAZF640208HNLRMR08</v>
      </c>
      <c r="L197" s="82">
        <v>22598808</v>
      </c>
      <c r="M197" s="82">
        <v>8111551313</v>
      </c>
      <c r="N197" t="str">
        <v>NUEVO MENOR</v>
      </c>
      <c r="O197" s="89">
        <v>12974.51</v>
      </c>
      <c r="P197" s="89">
        <v>3125.62</v>
      </c>
      <c r="Q197" s="89">
        <v>3892.35</v>
      </c>
      <c r="R197" s="89">
        <v>766.73</v>
      </c>
      <c r="S197">
        <v>46390</v>
      </c>
      <c r="T197" t="str">
        <v/>
      </c>
      <c r="U197" t="str">
        <v/>
      </c>
      <c r="V197" t="str">
        <v/>
      </c>
      <c r="W197" t="str">
        <v/>
      </c>
      <c r="X197">
        <v>2</v>
      </c>
    </row>
    <row r="198" spans="1:24">
      <c r="A198" s="26" t="str">
        <v/>
      </c>
      <c r="B198" s="87">
        <v>46363.679166666669</v>
      </c>
      <c r="C198" s="87">
        <v>46215.679861111108</v>
      </c>
      <c r="D198" t="str">
        <v>anónimo</v>
      </c>
      <c r="E198" t="str">
        <v/>
      </c>
      <c r="F198" s="68">
        <v>46215</v>
      </c>
      <c r="G198" s="88">
        <v>46333</v>
      </c>
      <c r="H198" t="str">
        <v>LITZY MARTINEZ C/C</v>
      </c>
      <c r="I198" t="str">
        <v>JUAN MARTIN RODRIGUEZ</v>
      </c>
      <c r="J198" s="82">
        <v>65886131419</v>
      </c>
      <c r="K198" t="str">
        <v/>
      </c>
      <c r="L198" s="82">
        <v>22578524</v>
      </c>
      <c r="M198" s="82">
        <v>5219211411594</v>
      </c>
      <c r="N198" t="str">
        <v>COMPRA MAYOR</v>
      </c>
      <c r="O198" s="89">
        <v>7116.33</v>
      </c>
      <c r="P198" s="89">
        <v>2058.64</v>
      </c>
      <c r="Q198" s="89">
        <v>2134.9</v>
      </c>
      <c r="R198" s="89">
        <v>76.260000000000005</v>
      </c>
      <c r="S198">
        <v>45662</v>
      </c>
      <c r="T198" t="str">
        <v/>
      </c>
      <c r="U198" t="str">
        <v/>
      </c>
      <c r="V198" t="str">
        <v/>
      </c>
      <c r="W198" t="str">
        <v/>
      </c>
      <c r="X198">
        <v>2</v>
      </c>
    </row>
    <row r="199" spans="1:24">
      <c r="A199" s="26" t="str">
        <v/>
      </c>
      <c r="B199" s="87">
        <v>46363.554861111108</v>
      </c>
      <c r="C199" s="87">
        <v>46215.682638888888</v>
      </c>
      <c r="D199" t="str">
        <v>anónimo</v>
      </c>
      <c r="E199" t="str">
        <v/>
      </c>
      <c r="F199" s="68">
        <v>46215</v>
      </c>
      <c r="G199" s="88">
        <v>46363</v>
      </c>
      <c r="H199" t="str">
        <v>GUADALUPE BECERRA C/C</v>
      </c>
      <c r="I199" t="str">
        <v>Alvaro Jimenez Garcia</v>
      </c>
      <c r="J199" s="82" t="str">
        <v/>
      </c>
      <c r="K199" t="str">
        <v>JIGA581225HDFMRL01</v>
      </c>
      <c r="L199" s="82">
        <v>22605368</v>
      </c>
      <c r="M199" s="82">
        <v>5217224847143</v>
      </c>
      <c r="N199" t="str">
        <v>RESTRINGIDA</v>
      </c>
      <c r="O199" s="89">
        <v>11994.41</v>
      </c>
      <c r="P199" s="89">
        <v>2940.31</v>
      </c>
      <c r="Q199" s="89">
        <v>3598.32</v>
      </c>
      <c r="R199" s="89">
        <v>658.01</v>
      </c>
      <c r="S199">
        <v>45297</v>
      </c>
      <c r="T199" t="str">
        <v>CONSUBANCO</v>
      </c>
      <c r="U199" t="str">
        <v/>
      </c>
      <c r="V199" t="str">
        <v/>
      </c>
      <c r="W199" t="str">
        <v/>
      </c>
      <c r="X199">
        <v>2</v>
      </c>
    </row>
    <row r="200" spans="1:24">
      <c r="A200" s="26" t="str">
        <v/>
      </c>
      <c r="B200" s="87" t="str">
        <v>13/07/2026 07:51</v>
      </c>
      <c r="C200" s="87">
        <v>46216.327777777777</v>
      </c>
      <c r="D200" t="str">
        <v>anónimo</v>
      </c>
      <c r="E200" t="str">
        <v/>
      </c>
      <c r="F200" s="68">
        <v>46216</v>
      </c>
      <c r="G200" s="88" t="str">
        <v>13/07/2026</v>
      </c>
      <c r="H200" t="str">
        <v>ALAN ALTAMIRANO EXT</v>
      </c>
      <c r="I200" t="str">
        <v xml:space="preserve">JORGE ARTURO MANRIQUE CANTÓ </v>
      </c>
      <c r="J200" s="82">
        <v>82826606947</v>
      </c>
      <c r="K200" t="str">
        <v/>
      </c>
      <c r="L200" s="82">
        <v>1</v>
      </c>
      <c r="M200" s="82">
        <v>9981160303</v>
      </c>
      <c r="N200" t="str">
        <v>NUEVO MAYOR</v>
      </c>
      <c r="O200" s="89">
        <v>9760.32</v>
      </c>
      <c r="P200" s="89" t="str">
        <v/>
      </c>
      <c r="Q200" s="89">
        <v>2928.1</v>
      </c>
      <c r="R200" s="89">
        <v>2928.1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>
        <v>1</v>
      </c>
    </row>
    <row r="201" spans="1:24">
      <c r="A201" s="26" t="str">
        <v/>
      </c>
      <c r="B201" s="87" t="str">
        <v>13/07/2026 09:53</v>
      </c>
      <c r="C201" s="87">
        <v>46216.425000000003</v>
      </c>
      <c r="D201" t="str">
        <v>anónimo</v>
      </c>
      <c r="E201" t="str">
        <v/>
      </c>
      <c r="F201" s="68">
        <v>46216</v>
      </c>
      <c r="G201" s="88">
        <v>46363</v>
      </c>
      <c r="H201" t="str">
        <v>YAMILETH LÓPEZ HDEZ SUR</v>
      </c>
      <c r="I201" t="str">
        <v>FEDERICO CASILLAS TORRES</v>
      </c>
      <c r="J201" s="82">
        <v>4896003037</v>
      </c>
      <c r="K201" t="str">
        <v>CATF600427HJCSRD01</v>
      </c>
      <c r="L201" s="82">
        <v>22608392</v>
      </c>
      <c r="M201" s="82">
        <v>5213411499853</v>
      </c>
      <c r="N201" t="str">
        <v>NUEVO MAYOR</v>
      </c>
      <c r="O201" s="89">
        <v>7920.51</v>
      </c>
      <c r="P201" s="89" t="str">
        <v/>
      </c>
      <c r="Q201" s="89">
        <v>2376.15</v>
      </c>
      <c r="R201" s="89">
        <v>2376.15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>
        <v>1</v>
      </c>
    </row>
    <row r="202" spans="1:24">
      <c r="A202" s="26" t="str">
        <v/>
      </c>
      <c r="B202" s="87" t="str">
        <v>13/07/2026 10:45</v>
      </c>
      <c r="C202" s="87">
        <v>46216.448611111111</v>
      </c>
      <c r="D202" t="str">
        <v>anónimo</v>
      </c>
      <c r="E202" t="str">
        <v/>
      </c>
      <c r="F202" s="68">
        <v>46216</v>
      </c>
      <c r="G202" s="88" t="str">
        <v>13/07/2026</v>
      </c>
      <c r="H202" t="str">
        <v>ALAN ALTAMIRANO EXT</v>
      </c>
      <c r="I202" t="str">
        <v xml:space="preserve">NO PROPORCIONO </v>
      </c>
      <c r="J202" s="82">
        <v>42846202697</v>
      </c>
      <c r="K202" t="str">
        <v xml:space="preserve">NO PROPORCIONO </v>
      </c>
      <c r="L202" s="82">
        <v>1</v>
      </c>
      <c r="M202" s="82">
        <v>2212185900</v>
      </c>
      <c r="N202" t="str">
        <v>COMPRA MAYOR</v>
      </c>
      <c r="O202" s="89">
        <v>8539.89</v>
      </c>
      <c r="P202" s="89">
        <v>2364.4299999999998</v>
      </c>
      <c r="Q202" s="89">
        <v>2561.9699999999998</v>
      </c>
      <c r="R202" s="89">
        <v>197.54</v>
      </c>
      <c r="S202">
        <v>46027</v>
      </c>
      <c r="T202" t="str">
        <v>FISOFO</v>
      </c>
      <c r="U202" t="str">
        <v/>
      </c>
      <c r="V202" t="str">
        <v/>
      </c>
      <c r="W202" t="str">
        <v/>
      </c>
      <c r="X202">
        <v>2</v>
      </c>
    </row>
    <row r="203" spans="1:24">
      <c r="A203" s="26" t="str">
        <v/>
      </c>
      <c r="B203" s="87" t="str">
        <v>13/07/2026 11:03</v>
      </c>
      <c r="C203" s="87">
        <v>46216.461111111108</v>
      </c>
      <c r="D203" t="str">
        <v>anónimo</v>
      </c>
      <c r="E203" t="str">
        <v/>
      </c>
      <c r="F203" s="68">
        <v>46216</v>
      </c>
      <c r="G203" s="88">
        <v>46363</v>
      </c>
      <c r="H203" t="str">
        <v>YULIANA RODRIGUEZ C/C</v>
      </c>
      <c r="I203" t="str">
        <v xml:space="preserve">JESUS </v>
      </c>
      <c r="J203" s="82">
        <v>24896326923</v>
      </c>
      <c r="K203" t="str">
        <v/>
      </c>
      <c r="L203" s="82">
        <v>22596168</v>
      </c>
      <c r="M203" s="82">
        <v>5216621712092</v>
      </c>
      <c r="N203" t="str">
        <v>NUEVO MAYOR</v>
      </c>
      <c r="O203" s="89">
        <v>7920.51</v>
      </c>
      <c r="P203" s="89" t="str">
        <v/>
      </c>
      <c r="Q203" s="89">
        <v>2376.15</v>
      </c>
      <c r="R203" s="89">
        <v>2376.15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>
        <v>1</v>
      </c>
    </row>
    <row r="204" spans="1:24">
      <c r="A204" s="26" t="str">
        <v/>
      </c>
      <c r="B204" s="87" t="str">
        <v>13/07/2026 11:06</v>
      </c>
      <c r="C204" s="87">
        <v>46216.463194444441</v>
      </c>
      <c r="D204" t="str">
        <v>anónimo</v>
      </c>
      <c r="E204" t="str">
        <v/>
      </c>
      <c r="F204" s="68">
        <v>46216</v>
      </c>
      <c r="G204" s="88">
        <v>46363</v>
      </c>
      <c r="H204" t="str">
        <v>HANIA GARCIA</v>
      </c>
      <c r="I204" t="str">
        <v>Raymundo Alaniz Hernandez</v>
      </c>
      <c r="J204" s="82" t="str">
        <v/>
      </c>
      <c r="K204" t="str">
        <v>AAHR630315HJCLRY04</v>
      </c>
      <c r="L204" s="82">
        <v>22594728</v>
      </c>
      <c r="M204" s="82">
        <v>7151134015</v>
      </c>
      <c r="N204" t="str">
        <v>NUEVO MAYOR</v>
      </c>
      <c r="O204" s="89">
        <v>7920.53</v>
      </c>
      <c r="P204" s="89" t="str">
        <v/>
      </c>
      <c r="Q204" s="89">
        <v>2376.16</v>
      </c>
      <c r="R204" s="89">
        <v>2376.16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>
        <v>1</v>
      </c>
    </row>
    <row r="205" spans="1:24">
      <c r="A205" s="26" t="str">
        <v/>
      </c>
      <c r="B205" s="87" t="str">
        <v>13/07/2026 10:56</v>
      </c>
      <c r="C205" s="87">
        <v>46216.465277777781</v>
      </c>
      <c r="D205" t="str">
        <v>anónimo</v>
      </c>
      <c r="E205" t="str">
        <v/>
      </c>
      <c r="F205" s="68">
        <v>46216</v>
      </c>
      <c r="G205" s="88" t="str">
        <v>13/07/2026</v>
      </c>
      <c r="H205" t="str">
        <v>XIMENA RIVERA SUR</v>
      </c>
      <c r="I205" t="str">
        <v>ENRIQUE NAVA VALENZUELA</v>
      </c>
      <c r="J205" s="82" t="str">
        <v/>
      </c>
      <c r="K205" t="str">
        <v>NAVE630714HDGVLN02</v>
      </c>
      <c r="L205" s="82">
        <v>22629466</v>
      </c>
      <c r="M205" s="82">
        <v>5215528638193</v>
      </c>
      <c r="N205" t="str">
        <v>NUEVO MAYOR</v>
      </c>
      <c r="O205" s="89">
        <v>20107.38</v>
      </c>
      <c r="P205" s="89" t="str">
        <v/>
      </c>
      <c r="Q205" s="89">
        <v>6032.21</v>
      </c>
      <c r="R205" s="89">
        <v>6032.21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>
        <v>1</v>
      </c>
    </row>
    <row r="206" spans="1:24">
      <c r="A206" s="26" t="str">
        <v/>
      </c>
      <c r="B206" s="87" t="str">
        <v>13/07/2026 11:10</v>
      </c>
      <c r="C206" s="87">
        <v>46216.46597222222</v>
      </c>
      <c r="D206" t="str">
        <v>anónimo</v>
      </c>
      <c r="E206" t="str">
        <v/>
      </c>
      <c r="F206" s="68">
        <v>46216</v>
      </c>
      <c r="G206" s="88" t="str">
        <v>13/07/2026</v>
      </c>
      <c r="H206" t="str">
        <v>ALAN ALTAMIRANO EXT</v>
      </c>
      <c r="I206" t="str">
        <v xml:space="preserve">NO PROPORCIONO </v>
      </c>
      <c r="J206" s="82">
        <v>33926964595</v>
      </c>
      <c r="K206" t="str">
        <v xml:space="preserve">NO PROPORCIONO </v>
      </c>
      <c r="L206" s="82">
        <v>1</v>
      </c>
      <c r="M206" s="82">
        <v>6145048853</v>
      </c>
      <c r="N206" t="str">
        <v>COMPRA MENOR</v>
      </c>
      <c r="O206" s="89">
        <v>4714.47</v>
      </c>
      <c r="P206" s="89">
        <v>441.25</v>
      </c>
      <c r="Q206" s="89">
        <v>1414.34</v>
      </c>
      <c r="R206" s="89">
        <v>100.24</v>
      </c>
      <c r="S206">
        <v>45298</v>
      </c>
      <c r="T206" t="str">
        <v/>
      </c>
      <c r="U206" t="str">
        <v/>
      </c>
      <c r="V206" t="str">
        <v/>
      </c>
      <c r="W206" t="str">
        <v/>
      </c>
      <c r="X206">
        <v>2</v>
      </c>
    </row>
    <row r="207" spans="1:24">
      <c r="A207" s="26" t="str">
        <v/>
      </c>
      <c r="B207" s="87" t="str">
        <v>13/07/2026 11:12</v>
      </c>
      <c r="C207" s="87">
        <v>46216.469444444447</v>
      </c>
      <c r="D207" t="str">
        <v>anónimo</v>
      </c>
      <c r="E207" t="str">
        <v/>
      </c>
      <c r="F207" s="68">
        <v>46216</v>
      </c>
      <c r="G207" s="88">
        <v>46302</v>
      </c>
      <c r="H207" t="str">
        <v>GUADALUPE BECERRA C/C</v>
      </c>
      <c r="I207" t="str">
        <v>Juan Carlos nava Alvarado</v>
      </c>
      <c r="J207" s="82" t="str">
        <v/>
      </c>
      <c r="K207" t="str">
        <v>NAAJ600215HJCVLN06</v>
      </c>
      <c r="L207" s="82">
        <v>22560126</v>
      </c>
      <c r="M207" s="82">
        <v>5213841188497</v>
      </c>
      <c r="N207" t="str">
        <v>RESTRINGIDA</v>
      </c>
      <c r="O207" s="89">
        <v>6262.86</v>
      </c>
      <c r="P207" s="89">
        <v>1656.78</v>
      </c>
      <c r="Q207" s="89">
        <v>1878.86</v>
      </c>
      <c r="R207" s="89">
        <v>222.08</v>
      </c>
      <c r="S207">
        <v>45661</v>
      </c>
      <c r="T207" t="str">
        <v>FISOFO</v>
      </c>
      <c r="U207" t="str">
        <v/>
      </c>
      <c r="V207" t="str">
        <v/>
      </c>
      <c r="W207" t="str">
        <v/>
      </c>
      <c r="X207">
        <v>2</v>
      </c>
    </row>
    <row r="208" spans="1:24">
      <c r="A208" s="26" t="str">
        <v/>
      </c>
      <c r="B208" s="87" t="str">
        <v>13/07/2026 09:02</v>
      </c>
      <c r="C208" s="87">
        <v>46216.472222222219</v>
      </c>
      <c r="D208" t="str">
        <v>anónimo</v>
      </c>
      <c r="E208" t="str">
        <v/>
      </c>
      <c r="F208" s="68">
        <v>46216</v>
      </c>
      <c r="G208" s="88" t="str">
        <v>13/07/2026</v>
      </c>
      <c r="H208" t="str">
        <v>ROSA CASTRO SUR</v>
      </c>
      <c r="I208" t="str">
        <v>PATRICIA CRUZ TERRON</v>
      </c>
      <c r="J208" s="82">
        <v>54786014719</v>
      </c>
      <c r="K208" t="str">
        <v>CUTP600129MDFRR702</v>
      </c>
      <c r="L208" s="82">
        <v>22616088</v>
      </c>
      <c r="M208" s="82">
        <v>5213324946270</v>
      </c>
      <c r="N208" t="str">
        <v>COMPRA MENOR</v>
      </c>
      <c r="O208" s="89">
        <v>29676.15</v>
      </c>
      <c r="P208" s="89">
        <v>8901.02</v>
      </c>
      <c r="Q208" s="89">
        <v>8902.85</v>
      </c>
      <c r="R208" s="89">
        <v>1.82</v>
      </c>
      <c r="S208">
        <v>46025</v>
      </c>
      <c r="T208" t="str">
        <v/>
      </c>
      <c r="U208" t="str">
        <v/>
      </c>
      <c r="V208" t="str">
        <v/>
      </c>
      <c r="W208" t="str">
        <v/>
      </c>
      <c r="X208">
        <v>2</v>
      </c>
    </row>
    <row r="209" spans="1:24">
      <c r="A209" s="26" t="str">
        <v/>
      </c>
      <c r="B209" s="87" t="str">
        <v>13/07/2026 11:13</v>
      </c>
      <c r="C209" s="87">
        <v>46216.481249999997</v>
      </c>
      <c r="D209" t="str">
        <v>anónimo</v>
      </c>
      <c r="E209" t="str">
        <v/>
      </c>
      <c r="F209" s="68">
        <v>46216</v>
      </c>
      <c r="G209" s="88">
        <v>46363</v>
      </c>
      <c r="H209" t="str">
        <v>MARIA MARTINEZ SUR</v>
      </c>
      <c r="I209" t="str">
        <v>JUAN MANUEL REZA GARCIA</v>
      </c>
      <c r="J209" s="82">
        <v>3695336200</v>
      </c>
      <c r="K209" t="str">
        <v>REGJ530614HZSZRN03</v>
      </c>
      <c r="L209" s="82">
        <v>22612098</v>
      </c>
      <c r="M209" s="82">
        <v>5215519725522</v>
      </c>
      <c r="N209" t="str">
        <v>NUEVO MENOR</v>
      </c>
      <c r="O209" s="89">
        <v>4813.6899999999996</v>
      </c>
      <c r="P209" s="89" t="str">
        <v/>
      </c>
      <c r="Q209" s="89">
        <v>1444.11</v>
      </c>
      <c r="R209" s="89">
        <v>640.71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>
        <v>1</v>
      </c>
    </row>
    <row r="210" spans="1:24">
      <c r="A210" s="26" t="str">
        <v/>
      </c>
      <c r="B210" s="87" t="str">
        <v>13/07/2026 10:12</v>
      </c>
      <c r="C210" s="87">
        <v>46216.481249999997</v>
      </c>
      <c r="D210" t="str">
        <v>anónimo</v>
      </c>
      <c r="E210" t="str">
        <v/>
      </c>
      <c r="F210" s="68">
        <v>46216</v>
      </c>
      <c r="G210" s="88" t="str">
        <v>13/07/2026</v>
      </c>
      <c r="H210" t="str">
        <v>YAMILETH LÓPEZ HDEZ SUR</v>
      </c>
      <c r="I210" t="str">
        <v>ELIZABETH RAMIREZ TORRES</v>
      </c>
      <c r="J210" s="82">
        <v>2604205688</v>
      </c>
      <c r="K210" t="str">
        <v>RATE751225MPLMRL05</v>
      </c>
      <c r="L210" s="82">
        <v>22626936</v>
      </c>
      <c r="M210" s="82">
        <v>5212223849012</v>
      </c>
      <c r="N210" t="str">
        <v>COMPRA MAYOR</v>
      </c>
      <c r="O210" s="89">
        <v>10350.049999999999</v>
      </c>
      <c r="P210" s="89">
        <v>3104.98</v>
      </c>
      <c r="Q210" s="89">
        <v>3105.02</v>
      </c>
      <c r="R210" s="89">
        <v>0.03</v>
      </c>
      <c r="S210">
        <v>46029</v>
      </c>
      <c r="T210" t="str">
        <v/>
      </c>
      <c r="U210" t="str">
        <v/>
      </c>
      <c r="V210" t="str">
        <v/>
      </c>
      <c r="W210" t="str">
        <v/>
      </c>
      <c r="X210">
        <v>2</v>
      </c>
    </row>
    <row r="211" spans="1:24">
      <c r="A211" s="26" t="str">
        <v/>
      </c>
      <c r="B211" s="87" t="str">
        <v>13/07/2026 11:23</v>
      </c>
      <c r="C211" s="87">
        <v>46216.482638888891</v>
      </c>
      <c r="D211" t="str">
        <v>anónimo</v>
      </c>
      <c r="E211" t="str">
        <v/>
      </c>
      <c r="F211" s="68">
        <v>46216</v>
      </c>
      <c r="G211" s="88">
        <v>46363</v>
      </c>
      <c r="H211" t="str">
        <v>MARA HERNANDEZ SUR</v>
      </c>
      <c r="I211" t="str">
        <v>DANEL SUAREZ CRUZ</v>
      </c>
      <c r="J211" s="82">
        <v>62896564051</v>
      </c>
      <c r="K211" t="str">
        <v>SUCD651211HPLRRN07</v>
      </c>
      <c r="L211" s="82">
        <v>22608292</v>
      </c>
      <c r="M211" s="82">
        <v>5212224117276</v>
      </c>
      <c r="N211" t="str">
        <v>NUEVO MAYOR</v>
      </c>
      <c r="O211" s="89">
        <v>11029.03</v>
      </c>
      <c r="P211" s="89" t="str">
        <v/>
      </c>
      <c r="Q211" s="89">
        <v>3308.71</v>
      </c>
      <c r="R211" s="89">
        <v>3308.71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>
        <v>1</v>
      </c>
    </row>
    <row r="212" spans="1:24">
      <c r="A212" s="26" t="str">
        <v/>
      </c>
      <c r="B212" s="87" t="str">
        <v>13/07/2026 11:40</v>
      </c>
      <c r="C212" s="87">
        <v>46216.496527777781</v>
      </c>
      <c r="D212" t="str">
        <v>anónimo</v>
      </c>
      <c r="E212" t="str">
        <v/>
      </c>
      <c r="F212" s="68">
        <v>46216</v>
      </c>
      <c r="G212" s="88" t="str">
        <v>13/07/2026</v>
      </c>
      <c r="H212" t="str">
        <v>LILIANA MARTINEZ SUR</v>
      </c>
      <c r="I212" t="str">
        <v>VICTOR MANUEL ROCHA TORRES</v>
      </c>
      <c r="J212" s="82">
        <v>60887303489</v>
      </c>
      <c r="K212" t="str">
        <v>ROTV730128HCLCRC07</v>
      </c>
      <c r="L212" s="82">
        <v>22630922</v>
      </c>
      <c r="M212" s="82">
        <v>5216563283386</v>
      </c>
      <c r="N212" t="str">
        <v>COMPRA MAYOR</v>
      </c>
      <c r="O212" s="89">
        <v>7135.6</v>
      </c>
      <c r="P212" s="89">
        <v>1976.75</v>
      </c>
      <c r="Q212" s="89">
        <v>2140.6799999999998</v>
      </c>
      <c r="R212" s="89">
        <v>163.93</v>
      </c>
      <c r="S212">
        <v>46026</v>
      </c>
      <c r="T212" t="str">
        <v/>
      </c>
      <c r="U212" t="str">
        <v/>
      </c>
      <c r="V212" t="str">
        <v/>
      </c>
      <c r="W212" t="str">
        <v/>
      </c>
      <c r="X212">
        <v>2</v>
      </c>
    </row>
    <row r="213" spans="1:24">
      <c r="A213" s="26" t="str">
        <v/>
      </c>
      <c r="B213" s="87" t="str">
        <v>13/07/2026 11:04</v>
      </c>
      <c r="C213" s="87">
        <v>46216.49722222222</v>
      </c>
      <c r="D213" t="str">
        <v>anónimo</v>
      </c>
      <c r="E213" t="str">
        <v/>
      </c>
      <c r="F213" s="68">
        <v>46216</v>
      </c>
      <c r="G213" s="88">
        <v>46363</v>
      </c>
      <c r="H213" t="str">
        <v>IRAN CASTILLO SUR</v>
      </c>
      <c r="I213" t="str">
        <v xml:space="preserve">ALEJANDRO DE JESUS GARCIA MERCADO </v>
      </c>
      <c r="J213" s="82">
        <v>21887164635</v>
      </c>
      <c r="K213" t="str">
        <v xml:space="preserve">GAMA711029HSRRRL04 </v>
      </c>
      <c r="L213" s="82">
        <v>22608872</v>
      </c>
      <c r="M213" s="82">
        <v>5216863038381</v>
      </c>
      <c r="N213" t="str">
        <v>COMPRA MENOR</v>
      </c>
      <c r="O213" s="89">
        <v>8041.78</v>
      </c>
      <c r="P213" s="89">
        <v>2231.98</v>
      </c>
      <c r="Q213" s="89">
        <v>2412.5300000000002</v>
      </c>
      <c r="R213" s="89">
        <v>180.55</v>
      </c>
      <c r="S213">
        <v>46023</v>
      </c>
      <c r="T213" t="str">
        <v/>
      </c>
      <c r="U213" t="str">
        <v/>
      </c>
      <c r="V213" t="str">
        <v/>
      </c>
      <c r="W213" t="str">
        <v/>
      </c>
      <c r="X213">
        <v>2</v>
      </c>
    </row>
    <row r="214" spans="1:24">
      <c r="A214" s="26" t="str">
        <v/>
      </c>
      <c r="B214" s="87" t="str">
        <v>13/07/2026 11:52</v>
      </c>
      <c r="C214" s="87">
        <v>46216.498611111114</v>
      </c>
      <c r="D214" t="str">
        <v>anónimo</v>
      </c>
      <c r="E214" t="str">
        <v/>
      </c>
      <c r="F214" s="68">
        <v>46216</v>
      </c>
      <c r="G214" s="88">
        <v>46363</v>
      </c>
      <c r="H214" t="str">
        <v>JENNIFER AVENDAÑO SUR</v>
      </c>
      <c r="I214" t="str">
        <v>MANUELA MARGARITA GONZALEZ RESENDIZ</v>
      </c>
      <c r="J214" s="82">
        <v>3977394349</v>
      </c>
      <c r="K214" t="str">
        <v>GORM710610MDGNSN09</v>
      </c>
      <c r="L214" s="82">
        <v>22609174</v>
      </c>
      <c r="M214" s="82">
        <v>5216183139447</v>
      </c>
      <c r="N214" t="str">
        <v>COMPRA MENOR</v>
      </c>
      <c r="O214" s="89">
        <v>6576.43</v>
      </c>
      <c r="P214" s="89">
        <v>1902</v>
      </c>
      <c r="Q214" s="89">
        <v>1972.93</v>
      </c>
      <c r="R214" s="89">
        <v>70.930000000000007</v>
      </c>
      <c r="S214">
        <v>45664</v>
      </c>
      <c r="T214" t="str">
        <v/>
      </c>
      <c r="U214" t="str">
        <v/>
      </c>
      <c r="V214" t="str">
        <v/>
      </c>
      <c r="W214" t="str">
        <v/>
      </c>
      <c r="X214">
        <v>2</v>
      </c>
    </row>
    <row r="215" spans="1:24">
      <c r="A215" s="26" t="str">
        <v/>
      </c>
      <c r="B215" s="87" t="str">
        <v>13/07/2026 12:00</v>
      </c>
      <c r="C215" s="87">
        <v>46216.51458333333</v>
      </c>
      <c r="D215" t="str">
        <v>anónimo</v>
      </c>
      <c r="E215" t="str">
        <v/>
      </c>
      <c r="F215" s="68">
        <v>46216</v>
      </c>
      <c r="G215" s="88">
        <v>46363</v>
      </c>
      <c r="H215" t="str">
        <v>MARIA MARTINEZ SUR</v>
      </c>
      <c r="I215" t="str">
        <v>ESPERANZA DOMINGUEZ ARGUELLES</v>
      </c>
      <c r="J215" s="82">
        <v>67846667623</v>
      </c>
      <c r="K215" t="str">
        <v>DOAE810424MCCMRS05</v>
      </c>
      <c r="L215" s="82">
        <v>22614634</v>
      </c>
      <c r="M215" s="82">
        <v>5219211053546</v>
      </c>
      <c r="N215" t="str">
        <v>NUEVO MAYOR</v>
      </c>
      <c r="O215" s="89">
        <v>8627.43</v>
      </c>
      <c r="P215" s="89" t="str">
        <v/>
      </c>
      <c r="Q215" s="89">
        <v>2588.23</v>
      </c>
      <c r="R215" s="89">
        <v>2588.23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>
        <v>1</v>
      </c>
    </row>
    <row r="216" spans="1:24">
      <c r="A216" s="26" t="str">
        <v/>
      </c>
      <c r="B216" s="87" t="str">
        <v>13/07/2026 12:14</v>
      </c>
      <c r="C216" s="87">
        <v>46216.520138888889</v>
      </c>
      <c r="D216" t="str">
        <v>anónimo</v>
      </c>
      <c r="E216" t="str">
        <v/>
      </c>
      <c r="F216" s="68">
        <v>46216</v>
      </c>
      <c r="G216" s="88" t="str">
        <v>13/07/2026</v>
      </c>
      <c r="H216" t="str">
        <v>IRAN CASTILLO SUR</v>
      </c>
      <c r="I216" t="str">
        <v xml:space="preserve">JOSE MATILDE PEREZ KEB </v>
      </c>
      <c r="J216" s="82">
        <v>81846204790</v>
      </c>
      <c r="K216" t="str">
        <v>PEKM630307HYNRBT02</v>
      </c>
      <c r="L216" s="82">
        <v>22627970</v>
      </c>
      <c r="M216" s="82">
        <v>5219211291362</v>
      </c>
      <c r="N216" t="str">
        <v>NUEVO MENOR</v>
      </c>
      <c r="O216" s="89">
        <v>11433.38</v>
      </c>
      <c r="P216" s="89">
        <v>3036.23</v>
      </c>
      <c r="Q216" s="89">
        <v>3430.01</v>
      </c>
      <c r="R216" s="89">
        <v>393.78</v>
      </c>
      <c r="S216">
        <v>46396</v>
      </c>
      <c r="T216" t="str">
        <v/>
      </c>
      <c r="U216" t="str">
        <v/>
      </c>
      <c r="V216" t="str">
        <v/>
      </c>
      <c r="W216" t="str">
        <v/>
      </c>
      <c r="X216">
        <v>2</v>
      </c>
    </row>
    <row r="217" spans="1:24">
      <c r="A217" s="26" t="str">
        <v/>
      </c>
      <c r="B217" s="87" t="str">
        <v>13/07/2026 12:29</v>
      </c>
      <c r="C217" s="87">
        <v>46216.526388888888</v>
      </c>
      <c r="D217" t="str">
        <v>anónimo</v>
      </c>
      <c r="E217" t="str">
        <v/>
      </c>
      <c r="F217" s="68">
        <v>46216</v>
      </c>
      <c r="G217" s="88" t="str">
        <v>13/07/2026</v>
      </c>
      <c r="H217" t="str">
        <v>IRAN CASTILLO SUR</v>
      </c>
      <c r="I217" t="str">
        <v>MA. DEL ROSARIO SILVIA HERNANDEZ VARGAS</v>
      </c>
      <c r="J217" s="82">
        <v>14806217924</v>
      </c>
      <c r="K217" t="str">
        <v>HEVR620817MQTRRS09</v>
      </c>
      <c r="L217" s="82">
        <v>22632294</v>
      </c>
      <c r="M217" s="82">
        <v>5214425788378</v>
      </c>
      <c r="N217" t="str">
        <v>NUEVO MENOR</v>
      </c>
      <c r="O217" s="89">
        <v>9504.7000000000007</v>
      </c>
      <c r="P217" s="89">
        <v>2408.94</v>
      </c>
      <c r="Q217" s="89">
        <v>2851.41</v>
      </c>
      <c r="R217" s="89">
        <v>442.47</v>
      </c>
      <c r="S217">
        <v>46394</v>
      </c>
      <c r="T217" t="str">
        <v/>
      </c>
      <c r="U217" t="str">
        <v/>
      </c>
      <c r="V217" t="str">
        <v/>
      </c>
      <c r="W217" t="str">
        <v/>
      </c>
      <c r="X217">
        <v>2</v>
      </c>
    </row>
    <row r="218" spans="1:24">
      <c r="A218" s="26" t="str">
        <v/>
      </c>
      <c r="B218" s="87" t="str">
        <v>13/07/2026 13:25</v>
      </c>
      <c r="C218" s="87">
        <v>46216.561111111114</v>
      </c>
      <c r="D218" t="str">
        <v>anónimo</v>
      </c>
      <c r="E218" t="str">
        <v/>
      </c>
      <c r="F218" s="68">
        <v>46216</v>
      </c>
      <c r="G218" s="88">
        <v>46363</v>
      </c>
      <c r="H218" t="str">
        <v>JENNIFER AVENDAÑO SUR</v>
      </c>
      <c r="I218" t="str">
        <v>JOSEFINA LARA SALAZAR</v>
      </c>
      <c r="J218" s="82">
        <v>31946100356</v>
      </c>
      <c r="K218" t="str">
        <v>LASJ610320MDGRLS09</v>
      </c>
      <c r="L218" s="82">
        <v>22612342</v>
      </c>
      <c r="M218" s="82">
        <v>5216565296926</v>
      </c>
      <c r="N218" t="str">
        <v>NUEVO MAYOR</v>
      </c>
      <c r="O218" s="89">
        <v>10636.54</v>
      </c>
      <c r="P218" s="89" t="str">
        <v/>
      </c>
      <c r="Q218" s="89">
        <v>3190.96</v>
      </c>
      <c r="R218" s="89">
        <v>3190.96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>
        <v>1</v>
      </c>
    </row>
    <row r="219" spans="1:24">
      <c r="A219" s="26" t="str">
        <v/>
      </c>
      <c r="B219" s="87" t="str">
        <v>13/07/2026 13:13</v>
      </c>
      <c r="C219" s="87">
        <v>46216.563194444447</v>
      </c>
      <c r="D219" t="str">
        <v>anónimo</v>
      </c>
      <c r="E219" t="str">
        <v/>
      </c>
      <c r="F219" s="68">
        <v>46216</v>
      </c>
      <c r="G219" s="88">
        <v>46333</v>
      </c>
      <c r="H219" t="str">
        <v>MAFER Z</v>
      </c>
      <c r="I219" t="str">
        <v>LETICIA RAMIREZ RAMIREZ</v>
      </c>
      <c r="J219" s="82">
        <v>3967367370</v>
      </c>
      <c r="K219" t="str">
        <v>RARL780827MQTMMT07</v>
      </c>
      <c r="L219" s="82">
        <v>22582702</v>
      </c>
      <c r="M219" s="82">
        <v>5218110816915</v>
      </c>
      <c r="N219" t="str">
        <v>NUEVO MENOR</v>
      </c>
      <c r="O219" s="89">
        <v>4790.71</v>
      </c>
      <c r="P219" s="89" t="str">
        <v/>
      </c>
      <c r="Q219" s="89">
        <v>1437.21</v>
      </c>
      <c r="R219" s="89">
        <v>617.73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>
        <v>1</v>
      </c>
    </row>
    <row r="220" spans="1:24">
      <c r="A220" s="26" t="str">
        <v/>
      </c>
      <c r="B220" s="87" t="str">
        <v>13/07/2026 13:59</v>
      </c>
      <c r="C220" s="87">
        <v>46216.583333333336</v>
      </c>
      <c r="D220" t="str">
        <v>anónimo</v>
      </c>
      <c r="E220" t="str">
        <v/>
      </c>
      <c r="F220" s="68">
        <v>46216</v>
      </c>
      <c r="G220" s="88">
        <v>46363</v>
      </c>
      <c r="H220" t="str">
        <v>GLORIA ORTIZ C/C</v>
      </c>
      <c r="I220" t="str">
        <v/>
      </c>
      <c r="J220" s="82">
        <v>33816740873</v>
      </c>
      <c r="K220" t="str">
        <v>UECJ670307MCHRRN03</v>
      </c>
      <c r="L220" s="82">
        <v>22560634</v>
      </c>
      <c r="M220" s="82">
        <v>5216143703372</v>
      </c>
      <c r="N220" t="str">
        <v>RESTRINGIDA</v>
      </c>
      <c r="O220" s="89">
        <v>5056.32</v>
      </c>
      <c r="P220" s="89">
        <v>1239.72</v>
      </c>
      <c r="Q220" s="89">
        <v>1516.9</v>
      </c>
      <c r="R220" s="89">
        <v>-356.38</v>
      </c>
      <c r="S220">
        <v>46508</v>
      </c>
      <c r="T220" t="str">
        <v>FISOFO</v>
      </c>
      <c r="U220" t="str">
        <v/>
      </c>
      <c r="V220" t="str">
        <v/>
      </c>
      <c r="W220" t="str">
        <v/>
      </c>
      <c r="X220">
        <v>2</v>
      </c>
    </row>
    <row r="221" spans="1:24">
      <c r="A221" s="26" t="str">
        <v/>
      </c>
      <c r="B221" s="87" t="str">
        <v>13/07/2026 14:18</v>
      </c>
      <c r="C221" s="87">
        <v>46216.597222222219</v>
      </c>
      <c r="D221" t="str">
        <v>anónimo</v>
      </c>
      <c r="E221" t="str">
        <v/>
      </c>
      <c r="F221" s="68">
        <v>46216</v>
      </c>
      <c r="G221" s="88">
        <v>46333</v>
      </c>
      <c r="H221" t="str">
        <v>DULCE FRANCO</v>
      </c>
      <c r="I221" t="str">
        <v>HORTENCIA TAVAREZ MARTINEZ</v>
      </c>
      <c r="J221" s="82" t="str">
        <v/>
      </c>
      <c r="K221" t="str">
        <v>TAMH650111MASVRR08</v>
      </c>
      <c r="L221" s="82">
        <v>22582052</v>
      </c>
      <c r="M221" s="82">
        <v>5214494332732</v>
      </c>
      <c r="N221" t="str">
        <v>NUEVO MAYOR</v>
      </c>
      <c r="O221" s="89">
        <v>10171.24</v>
      </c>
      <c r="P221" s="89" t="str">
        <v/>
      </c>
      <c r="Q221" s="89">
        <v>3051.37</v>
      </c>
      <c r="R221" s="89">
        <v>3051.37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>
        <v>1</v>
      </c>
    </row>
    <row r="222" spans="1:24">
      <c r="A222" s="26" t="str">
        <v/>
      </c>
      <c r="B222" s="87" t="str">
        <v>13/07/2026 14:11</v>
      </c>
      <c r="C222" s="87">
        <v>46216.606249999997</v>
      </c>
      <c r="D222" t="str">
        <v>anónimo</v>
      </c>
      <c r="E222" t="str">
        <v/>
      </c>
      <c r="F222" s="68">
        <v>46216</v>
      </c>
      <c r="G222" s="88">
        <v>46363</v>
      </c>
      <c r="H222" t="str">
        <v>LILIANA MARTINEZ SUR</v>
      </c>
      <c r="I222" t="str">
        <v>ENRIQUE MARCOS CISNEROS RODRIGUEZ</v>
      </c>
      <c r="J222" s="82">
        <v>23765406618</v>
      </c>
      <c r="K222" t="str">
        <v>CIRE540123HMCSDN02</v>
      </c>
      <c r="L222" s="82">
        <v>22611264</v>
      </c>
      <c r="M222" s="82">
        <v>5216676958870</v>
      </c>
      <c r="N222" t="str">
        <v>COMPRA MENOR</v>
      </c>
      <c r="O222" s="89">
        <v>4807.78</v>
      </c>
      <c r="P222" s="89">
        <v>587.46</v>
      </c>
      <c r="Q222" s="89">
        <v>1442.33</v>
      </c>
      <c r="R222" s="89">
        <v>47.34</v>
      </c>
      <c r="S222">
        <v>46028</v>
      </c>
      <c r="T222" t="str">
        <v/>
      </c>
      <c r="U222" t="str">
        <v/>
      </c>
      <c r="V222" t="str">
        <v/>
      </c>
      <c r="W222" t="str">
        <v/>
      </c>
      <c r="X222">
        <v>2</v>
      </c>
    </row>
    <row r="223" spans="1:24">
      <c r="A223" s="26" t="str">
        <v/>
      </c>
      <c r="B223" s="87" t="str">
        <v>13/07/2026 14:44</v>
      </c>
      <c r="C223" s="87">
        <v>46216.614583333336</v>
      </c>
      <c r="D223" t="str">
        <v>anónimo</v>
      </c>
      <c r="E223" t="str">
        <v/>
      </c>
      <c r="F223" s="68">
        <v>46216</v>
      </c>
      <c r="G223" s="88">
        <v>46333</v>
      </c>
      <c r="H223" t="str">
        <v>YULIANA RODRIGUEZ C/C</v>
      </c>
      <c r="I223" t="str">
        <v xml:space="preserve">elias mendez </v>
      </c>
      <c r="J223" s="82" t="str">
        <v/>
      </c>
      <c r="K223" t="str">
        <v>MEVE550720HPLNZL06</v>
      </c>
      <c r="L223" s="82">
        <v>22568646</v>
      </c>
      <c r="M223" s="82">
        <v>5212281289385</v>
      </c>
      <c r="N223" t="str">
        <v>NUEVO MAYOR</v>
      </c>
      <c r="O223" s="89">
        <v>16658.41</v>
      </c>
      <c r="P223" s="89" t="str">
        <v/>
      </c>
      <c r="Q223" s="89">
        <v>4997.5200000000004</v>
      </c>
      <c r="R223" s="89">
        <v>4997.5200000000004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>
        <v>1</v>
      </c>
    </row>
    <row r="224" spans="1:24">
      <c r="A224" s="26" t="str">
        <v/>
      </c>
      <c r="B224" s="87" t="str">
        <v>13/07/2026 15:15</v>
      </c>
      <c r="C224" s="87">
        <v>46216.636111111111</v>
      </c>
      <c r="D224" t="str">
        <v>anónimo</v>
      </c>
      <c r="E224" t="str">
        <v/>
      </c>
      <c r="F224" s="68">
        <v>46216</v>
      </c>
      <c r="G224" s="88" t="str">
        <v>13/07/2026</v>
      </c>
      <c r="H224" t="str">
        <v>DULCE FRANCO</v>
      </c>
      <c r="I224" t="str">
        <v>SAMUEL GONZALEZ RAMOS</v>
      </c>
      <c r="J224" s="82" t="str">
        <v/>
      </c>
      <c r="K224" t="str">
        <v>GORS620827HGTNMM06</v>
      </c>
      <c r="L224" s="82">
        <v>22636648</v>
      </c>
      <c r="M224" s="82">
        <v>5214778903119</v>
      </c>
      <c r="N224" t="str">
        <v>COMPRA MAYOR</v>
      </c>
      <c r="O224" s="89">
        <v>7116.73</v>
      </c>
      <c r="P224" s="89">
        <v>1859.05</v>
      </c>
      <c r="Q224" s="89">
        <v>2135.02</v>
      </c>
      <c r="R224" s="89">
        <v>275.97000000000003</v>
      </c>
      <c r="S224">
        <v>46024</v>
      </c>
      <c r="T224" t="str">
        <v/>
      </c>
      <c r="U224" t="str">
        <v/>
      </c>
      <c r="V224" t="str">
        <v/>
      </c>
      <c r="W224" t="str">
        <v/>
      </c>
      <c r="X224">
        <v>2</v>
      </c>
    </row>
    <row r="225" spans="1:24">
      <c r="A225" s="26" t="str">
        <v/>
      </c>
      <c r="B225" s="87" t="str">
        <v>13/07/2026 15:04</v>
      </c>
      <c r="C225" s="87">
        <v>46216.648611111108</v>
      </c>
      <c r="D225" t="str">
        <v>anónimo</v>
      </c>
      <c r="E225" t="str">
        <v/>
      </c>
      <c r="F225" s="68">
        <v>46216</v>
      </c>
      <c r="G225" s="88" t="str">
        <v>13/07/2026</v>
      </c>
      <c r="H225" t="str">
        <v>MARA HERNANDEZ SUR</v>
      </c>
      <c r="I225" t="str">
        <v>Ma, Guadalupe Bernal Betancourt</v>
      </c>
      <c r="J225" s="82">
        <v>6805710594</v>
      </c>
      <c r="K225" t="str">
        <v>BEBG591122MMCRTD09</v>
      </c>
      <c r="L225" s="82">
        <v>22655130</v>
      </c>
      <c r="M225" s="82">
        <v>5216632109315</v>
      </c>
      <c r="N225" t="str">
        <v>COMPRA MAYOR</v>
      </c>
      <c r="O225" s="89">
        <v>7116.73</v>
      </c>
      <c r="P225" s="89">
        <v>1968.44</v>
      </c>
      <c r="Q225" s="89">
        <v>2135.02</v>
      </c>
      <c r="R225" s="89">
        <v>166.58</v>
      </c>
      <c r="S225">
        <v>46028</v>
      </c>
      <c r="T225" t="str">
        <v/>
      </c>
      <c r="U225" t="str">
        <v/>
      </c>
      <c r="V225" t="str">
        <v/>
      </c>
      <c r="W225" t="str">
        <v/>
      </c>
      <c r="X225">
        <v>2</v>
      </c>
    </row>
    <row r="226" spans="1:24">
      <c r="A226" s="26" t="str">
        <v/>
      </c>
      <c r="B226" s="87" t="str">
        <v>13/07/2026 15:34</v>
      </c>
      <c r="C226" s="87">
        <v>46216.65347222222</v>
      </c>
      <c r="D226" t="str">
        <v>anónimo</v>
      </c>
      <c r="E226" t="str">
        <v/>
      </c>
      <c r="F226" s="68">
        <v>46216</v>
      </c>
      <c r="G226" s="88" t="str">
        <v>13/07/2026</v>
      </c>
      <c r="H226" t="str">
        <v>MARA HERNANDEZ SUR</v>
      </c>
      <c r="I226" t="str">
        <v/>
      </c>
      <c r="J226" s="82">
        <v>32806267855</v>
      </c>
      <c r="K226" t="str">
        <v/>
      </c>
      <c r="L226" s="82">
        <v>22640684</v>
      </c>
      <c r="M226" s="82">
        <v>5218441039950</v>
      </c>
      <c r="N226" t="str">
        <v>NUEVO MAYOR</v>
      </c>
      <c r="O226" s="89">
        <v>6474.77</v>
      </c>
      <c r="P226" s="89" t="str">
        <v/>
      </c>
      <c r="Q226" s="89">
        <v>1942.43</v>
      </c>
      <c r="R226" s="89">
        <v>1942.43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>
        <v>1</v>
      </c>
    </row>
    <row r="227" spans="1:24">
      <c r="A227" s="26" t="str">
        <v/>
      </c>
      <c r="B227" s="87" t="str">
        <v>13/07/2026 15:48</v>
      </c>
      <c r="C227" s="87">
        <v>46216.65902777778</v>
      </c>
      <c r="D227" t="str">
        <v>anónimo</v>
      </c>
      <c r="E227" t="str">
        <v/>
      </c>
      <c r="F227" s="68">
        <v>46216</v>
      </c>
      <c r="G227" s="88" t="str">
        <v>13/07/2026</v>
      </c>
      <c r="H227" t="str">
        <v>DULCE FRANCO</v>
      </c>
      <c r="I227" t="str">
        <v>MAXIMILIANO RINCON LOPEZ</v>
      </c>
      <c r="J227" s="82" t="str">
        <v/>
      </c>
      <c r="K227" t="str">
        <v>RILM621231HMNNPX02</v>
      </c>
      <c r="L227" s="82">
        <v>22640350</v>
      </c>
      <c r="M227" s="82">
        <v>5217531157241</v>
      </c>
      <c r="N227" t="str">
        <v>NUEVO MAYOR</v>
      </c>
      <c r="O227" s="89">
        <v>21658.36</v>
      </c>
      <c r="P227" s="89">
        <v>5197.3599999999997</v>
      </c>
      <c r="Q227" s="89">
        <v>6497.51</v>
      </c>
      <c r="R227" s="89">
        <v>1300.1500000000001</v>
      </c>
      <c r="S227">
        <v>46033</v>
      </c>
      <c r="T227" t="str">
        <v/>
      </c>
      <c r="U227" t="str">
        <v/>
      </c>
      <c r="V227" t="str">
        <v/>
      </c>
      <c r="W227" t="str">
        <v/>
      </c>
      <c r="X227">
        <v>2</v>
      </c>
    </row>
    <row r="228" spans="1:24">
      <c r="A228" s="26" t="str">
        <v/>
      </c>
      <c r="B228" s="87" t="str">
        <v>13/07/2026 15:41</v>
      </c>
      <c r="C228" s="87">
        <v>46216.668749999997</v>
      </c>
      <c r="D228" t="str">
        <v>anónimo</v>
      </c>
      <c r="E228" t="str">
        <v/>
      </c>
      <c r="F228" s="68">
        <v>46216</v>
      </c>
      <c r="G228" s="88" t="str">
        <v>13/07/2026</v>
      </c>
      <c r="H228" t="str">
        <v>MARA HERNANDEZ SUR</v>
      </c>
      <c r="I228" t="str">
        <v>ENRIQUE REYNOSO DIAZ</v>
      </c>
      <c r="J228" s="82" t="str">
        <v/>
      </c>
      <c r="K228" t="str">
        <v>REDE601229HJCYZN02</v>
      </c>
      <c r="L228" s="82">
        <v>22638868</v>
      </c>
      <c r="M228" s="82">
        <v>5218130826424</v>
      </c>
      <c r="N228" t="str">
        <v>NUEVO MAYOR</v>
      </c>
      <c r="O228" s="89">
        <v>7920.51</v>
      </c>
      <c r="P228" s="89" t="str">
        <v/>
      </c>
      <c r="Q228" s="89">
        <v>2376.15</v>
      </c>
      <c r="R228" s="89">
        <v>2376.15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>
        <v>1</v>
      </c>
    </row>
    <row r="229" spans="1:24">
      <c r="A229" s="26" t="str">
        <v/>
      </c>
      <c r="B229" s="87" t="str">
        <v>13/07/2026 12:48</v>
      </c>
      <c r="C229" s="87">
        <v>46216.736111111109</v>
      </c>
      <c r="D229" t="str">
        <v>anónimo</v>
      </c>
      <c r="E229" t="str">
        <v/>
      </c>
      <c r="F229" s="68">
        <v>46216</v>
      </c>
      <c r="G229" s="88" t="str">
        <v>13/07/2026</v>
      </c>
      <c r="H229" t="str">
        <v>ROSA CASTRO SUR</v>
      </c>
      <c r="I229" t="str">
        <v xml:space="preserve">ADOLFO MORALES HIGUERA </v>
      </c>
      <c r="J229" s="82">
        <v>23705217489</v>
      </c>
      <c r="K229" t="str">
        <v>MOHA520609HSLRGD06</v>
      </c>
      <c r="L229" s="82">
        <v>22628336</v>
      </c>
      <c r="M229" s="82">
        <v>5216691508124</v>
      </c>
      <c r="N229" t="str">
        <v>NUEVO MENOR</v>
      </c>
      <c r="O229" s="89">
        <v>44411.1</v>
      </c>
      <c r="P229" s="89">
        <v>12849.19</v>
      </c>
      <c r="Q229" s="89">
        <v>13323.33</v>
      </c>
      <c r="R229" s="89">
        <v>474.14</v>
      </c>
      <c r="S229">
        <v>46753</v>
      </c>
      <c r="T229" t="str">
        <v/>
      </c>
      <c r="U229" t="str">
        <v/>
      </c>
      <c r="V229" t="str">
        <v/>
      </c>
      <c r="W229" t="str">
        <v/>
      </c>
      <c r="X229">
        <v>2</v>
      </c>
    </row>
    <row r="230" spans="1:24">
      <c r="A230" s="26" t="str">
        <v/>
      </c>
      <c r="B230" s="87" t="str">
        <v>13/07/2026 16:03</v>
      </c>
      <c r="C230" s="87">
        <v>46216.739583333336</v>
      </c>
      <c r="D230" t="str">
        <v>anónimo</v>
      </c>
      <c r="E230" t="str">
        <v/>
      </c>
      <c r="F230" s="68">
        <v>46216</v>
      </c>
      <c r="G230" s="88" t="str">
        <v>13/07/2026</v>
      </c>
      <c r="H230" t="str">
        <v>MARA HERNANDEZ SUR</v>
      </c>
      <c r="I230" t="str">
        <v>ROBERTO JAVIER GARCIA CARRILLO</v>
      </c>
      <c r="J230" s="82">
        <v>32745719917</v>
      </c>
      <c r="K230" t="str">
        <v>GACR591118HCLRRB07</v>
      </c>
      <c r="L230" s="82">
        <v>22624006</v>
      </c>
      <c r="M230" s="82">
        <v>5218715054614</v>
      </c>
      <c r="N230" t="str">
        <v>NUEVO MENOR</v>
      </c>
      <c r="O230" s="89">
        <v>4813.6899999999996</v>
      </c>
      <c r="P230" s="89" t="str">
        <v/>
      </c>
      <c r="Q230" s="89">
        <v>1444.11</v>
      </c>
      <c r="R230" s="89">
        <v>640.71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>
        <v>1</v>
      </c>
    </row>
    <row r="231" spans="1:24">
      <c r="A231" s="26" t="str">
        <v/>
      </c>
      <c r="B231" s="87" t="str">
        <v>14/07/2026 08:56</v>
      </c>
      <c r="C231" s="87">
        <v>46217.375</v>
      </c>
      <c r="D231" t="str">
        <v>anónimo</v>
      </c>
      <c r="E231" t="str">
        <v/>
      </c>
      <c r="F231" s="68">
        <v>46217</v>
      </c>
      <c r="G231" s="88">
        <v>46302</v>
      </c>
      <c r="H231" t="str">
        <v>YULIANA RODRIGUEZ C/C</v>
      </c>
      <c r="I231" t="str">
        <v xml:space="preserve">BENJAMIN MONTOYA </v>
      </c>
      <c r="J231" s="82">
        <v>7806300492</v>
      </c>
      <c r="K231" t="str">
        <v/>
      </c>
      <c r="L231" s="82">
        <v>22560130</v>
      </c>
      <c r="M231" s="82">
        <v>5215518041896</v>
      </c>
      <c r="N231" t="str">
        <v>COMPRA MENOR</v>
      </c>
      <c r="O231" s="89">
        <v>5617.63</v>
      </c>
      <c r="P231" s="89">
        <v>1393.24</v>
      </c>
      <c r="Q231" s="89">
        <v>1685.29</v>
      </c>
      <c r="R231" s="89">
        <v>51.41</v>
      </c>
      <c r="S231">
        <v>45666</v>
      </c>
      <c r="T231" t="str">
        <v/>
      </c>
      <c r="U231" t="str">
        <v/>
      </c>
      <c r="V231" t="str">
        <v/>
      </c>
      <c r="W231" t="str">
        <v/>
      </c>
      <c r="X231">
        <v>2</v>
      </c>
    </row>
    <row r="232" spans="1:24">
      <c r="A232" s="26" t="str">
        <v/>
      </c>
      <c r="B232" s="87" t="str">
        <v>14/07/2026 09:00</v>
      </c>
      <c r="C232" s="87">
        <v>46217.376388888886</v>
      </c>
      <c r="D232" t="str">
        <v>anónimo</v>
      </c>
      <c r="E232" t="str">
        <v/>
      </c>
      <c r="F232" s="68">
        <v>46217</v>
      </c>
      <c r="G232" s="88" t="str">
        <v>14/07/2026</v>
      </c>
      <c r="H232" t="str">
        <v>GLORIA ORTIZ C/C</v>
      </c>
      <c r="I232" t="str">
        <v>JAVIER MORALES GUTIERREZ</v>
      </c>
      <c r="J232" s="82">
        <v>54806171580</v>
      </c>
      <c r="K232" t="str">
        <v>GUMJ610123HJCTRV04</v>
      </c>
      <c r="L232" s="82">
        <v>22667926</v>
      </c>
      <c r="M232" s="82">
        <v>5213332013606</v>
      </c>
      <c r="N232" t="str">
        <v>NUEVO MENOR</v>
      </c>
      <c r="O232" s="89">
        <v>33064.39</v>
      </c>
      <c r="P232" s="89">
        <v>9177.4699999999993</v>
      </c>
      <c r="Q232" s="89">
        <v>9919.32</v>
      </c>
      <c r="R232" s="89">
        <v>741.85</v>
      </c>
      <c r="S232">
        <v>46388</v>
      </c>
      <c r="T232" t="str">
        <v/>
      </c>
      <c r="U232" t="str">
        <v/>
      </c>
      <c r="V232" t="str">
        <v/>
      </c>
      <c r="W232" t="str">
        <v/>
      </c>
      <c r="X232">
        <v>2</v>
      </c>
    </row>
    <row r="233" spans="1:24">
      <c r="A233" s="26" t="str">
        <v/>
      </c>
      <c r="B233" s="87" t="str">
        <v>14/07/2026 09:08</v>
      </c>
      <c r="C233" s="87">
        <v>46217.381944444445</v>
      </c>
      <c r="D233" t="str">
        <v>anónimo</v>
      </c>
      <c r="E233" t="str">
        <v/>
      </c>
      <c r="F233" s="68">
        <v>46217</v>
      </c>
      <c r="G233" s="88" t="str">
        <v>13/07/2026</v>
      </c>
      <c r="H233" t="str">
        <v>DULCE FRANCO</v>
      </c>
      <c r="I233" t="str">
        <v>BLANCA NOHEMI SANCHEZ ALONSO</v>
      </c>
      <c r="J233" s="82" t="str">
        <v/>
      </c>
      <c r="K233" t="str">
        <v>SAAB510524MVZNLL01</v>
      </c>
      <c r="L233" s="82">
        <v>22665902</v>
      </c>
      <c r="M233" s="82">
        <v>5212291171782</v>
      </c>
      <c r="N233" t="str">
        <v>NUEVO MENOR</v>
      </c>
      <c r="O233" s="89">
        <v>5320.51</v>
      </c>
      <c r="P233" s="89" t="str">
        <v/>
      </c>
      <c r="Q233" s="89">
        <v>1596.15</v>
      </c>
      <c r="R233" s="89">
        <v>1147.53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>
        <v>1</v>
      </c>
    </row>
    <row r="234" spans="1:24">
      <c r="A234" s="26" t="str">
        <v/>
      </c>
      <c r="B234" s="87" t="str">
        <v>14/07/2026 09:30</v>
      </c>
      <c r="C234" s="87">
        <v>46217.395833333336</v>
      </c>
      <c r="D234" t="str">
        <v>anónimo</v>
      </c>
      <c r="E234" t="str">
        <v/>
      </c>
      <c r="F234" s="68">
        <v>46217</v>
      </c>
      <c r="G234" s="88" t="str">
        <v>14/07/2026</v>
      </c>
      <c r="H234" t="str">
        <v>ALBERTO POZOS EXT</v>
      </c>
      <c r="I234" t="str">
        <v/>
      </c>
      <c r="J234" s="82">
        <v>71826001803</v>
      </c>
      <c r="K234" t="str">
        <v/>
      </c>
      <c r="L234" s="82">
        <v>1</v>
      </c>
      <c r="M234" s="82" t="str">
        <v>N / P</v>
      </c>
      <c r="N234" t="str">
        <v>NUEVO MENOR</v>
      </c>
      <c r="O234" s="89">
        <v>5617.63</v>
      </c>
      <c r="P234" s="89">
        <v>848</v>
      </c>
      <c r="Q234" s="89">
        <v>1685.29</v>
      </c>
      <c r="R234" s="89">
        <v>596.65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>
        <v>1</v>
      </c>
    </row>
    <row r="235" spans="1:24">
      <c r="A235" s="26" t="str">
        <v/>
      </c>
      <c r="B235" s="87" t="str">
        <v>14/07/2026 09:26</v>
      </c>
      <c r="C235" s="87">
        <v>46217.40347222222</v>
      </c>
      <c r="D235" t="str">
        <v>anónimo</v>
      </c>
      <c r="E235" t="str">
        <v/>
      </c>
      <c r="F235" s="68">
        <v>46217</v>
      </c>
      <c r="G235" s="88" t="str">
        <v>13/07/2026</v>
      </c>
      <c r="H235" t="str">
        <v>XIMENA RIVERA SUR</v>
      </c>
      <c r="I235" t="str">
        <v>Irma Ayala González</v>
      </c>
      <c r="J235" s="82">
        <v>1925900530</v>
      </c>
      <c r="K235" t="str">
        <v/>
      </c>
      <c r="L235" s="82">
        <v>22667152</v>
      </c>
      <c r="M235" s="82">
        <v>5215516479379</v>
      </c>
      <c r="N235" t="str">
        <v>COMPRA MENOR</v>
      </c>
      <c r="O235" s="89">
        <v>4813.6899999999996</v>
      </c>
      <c r="P235" s="89">
        <v>516.65</v>
      </c>
      <c r="Q235" s="89">
        <v>1444.11</v>
      </c>
      <c r="R235" s="89">
        <v>124.06</v>
      </c>
      <c r="S235">
        <v>45301</v>
      </c>
      <c r="T235" t="str">
        <v/>
      </c>
      <c r="U235" t="str">
        <v/>
      </c>
      <c r="V235" t="str">
        <v/>
      </c>
      <c r="W235" t="str">
        <v/>
      </c>
      <c r="X235">
        <v>2</v>
      </c>
    </row>
    <row r="236" spans="1:24">
      <c r="A236" s="26" t="str">
        <v/>
      </c>
      <c r="B236" s="87" t="str">
        <v>14/07/2026 09:28</v>
      </c>
      <c r="C236" s="87">
        <v>46217.40625</v>
      </c>
      <c r="D236" t="str">
        <v>anónimo</v>
      </c>
      <c r="E236" t="str">
        <v/>
      </c>
      <c r="F236" s="68">
        <v>46217</v>
      </c>
      <c r="G236" s="88" t="str">
        <v>13/07/2026</v>
      </c>
      <c r="H236" t="str">
        <v>LILIANA MARTINEZ SUR</v>
      </c>
      <c r="I236" t="str">
        <v>MARIA GUADALUPE AGUILAR MORALES</v>
      </c>
      <c r="J236" s="82">
        <v>53927357326</v>
      </c>
      <c r="K236" t="str">
        <v>AUMG930530MMNGRD02</v>
      </c>
      <c r="L236" s="82">
        <v>22665328</v>
      </c>
      <c r="M236" s="82">
        <v>5214521121270</v>
      </c>
      <c r="N236" t="str">
        <v>NUEVO MAYOR</v>
      </c>
      <c r="O236" s="89">
        <v>7920.54</v>
      </c>
      <c r="P236" s="89" t="str">
        <v/>
      </c>
      <c r="Q236" s="89">
        <v>2376.16</v>
      </c>
      <c r="R236" s="89">
        <v>2376.16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>
        <v>1</v>
      </c>
    </row>
    <row r="237" spans="1:24">
      <c r="A237" s="26" t="str">
        <v/>
      </c>
      <c r="B237" s="87" t="str">
        <v>14/07/2026 09:43</v>
      </c>
      <c r="C237" s="87">
        <v>46217.421527777777</v>
      </c>
      <c r="D237" t="str">
        <v>anónimo</v>
      </c>
      <c r="E237" t="str">
        <v/>
      </c>
      <c r="F237" s="68">
        <v>46217</v>
      </c>
      <c r="G237" s="88" t="str">
        <v>13/07/2026</v>
      </c>
      <c r="H237" t="str">
        <v>MARIA MARTINEZ SUR</v>
      </c>
      <c r="I237" t="str">
        <v>GERMAN ORTIZ BALCAZAR</v>
      </c>
      <c r="J237" s="82">
        <v>33896449767</v>
      </c>
      <c r="K237" t="str">
        <v>OIBG641011HCHRLR01</v>
      </c>
      <c r="L237" s="82">
        <v>22628398</v>
      </c>
      <c r="M237" s="82">
        <v>5216481247680</v>
      </c>
      <c r="N237" t="str">
        <v>NUEVO MENOR</v>
      </c>
      <c r="O237" s="89">
        <v>22574.84</v>
      </c>
      <c r="P237" s="89">
        <v>5769.17</v>
      </c>
      <c r="Q237" s="89">
        <v>6772.45</v>
      </c>
      <c r="R237" s="89">
        <v>1003.28</v>
      </c>
      <c r="S237">
        <v>46389</v>
      </c>
      <c r="T237" t="str">
        <v/>
      </c>
      <c r="U237" t="str">
        <v/>
      </c>
      <c r="V237" t="str">
        <v/>
      </c>
      <c r="W237" t="str">
        <v/>
      </c>
      <c r="X237">
        <v>2</v>
      </c>
    </row>
    <row r="238" spans="1:24">
      <c r="A238" s="26" t="str">
        <v/>
      </c>
      <c r="B238" s="87" t="str">
        <v>14/07/2026 09:25</v>
      </c>
      <c r="C238" s="87">
        <v>46217.440972222219</v>
      </c>
      <c r="D238" t="str">
        <v>anónimo</v>
      </c>
      <c r="E238" t="str">
        <v/>
      </c>
      <c r="F238" s="68">
        <v>46217</v>
      </c>
      <c r="G238" s="88">
        <v>46363</v>
      </c>
      <c r="H238" t="str">
        <v>YAMILETH LÓPEZ HDEZ SUR</v>
      </c>
      <c r="I238" t="str">
        <v>SALVADOR ESTRADA CHAVEZ</v>
      </c>
      <c r="J238" s="82">
        <v>53795621787</v>
      </c>
      <c r="K238" t="str">
        <v/>
      </c>
      <c r="L238" s="82">
        <v>22610212</v>
      </c>
      <c r="M238" s="82">
        <v>5214422504274</v>
      </c>
      <c r="N238" t="str">
        <v>RESTRINGIDA</v>
      </c>
      <c r="O238" s="89">
        <v>21769.360000000001</v>
      </c>
      <c r="P238" s="89">
        <v>6276.74</v>
      </c>
      <c r="Q238" s="89">
        <v>6530.81</v>
      </c>
      <c r="R238" s="89">
        <v>254.07</v>
      </c>
      <c r="S238">
        <v>46029</v>
      </c>
      <c r="T238" t="str">
        <v/>
      </c>
      <c r="U238" t="str">
        <v/>
      </c>
      <c r="V238" t="str">
        <v/>
      </c>
      <c r="W238" t="str">
        <v/>
      </c>
      <c r="X238">
        <v>2</v>
      </c>
    </row>
    <row r="239" spans="1:24">
      <c r="A239" s="26" t="str">
        <v/>
      </c>
      <c r="B239" s="87" t="str">
        <v>14/07/2026 11:15</v>
      </c>
      <c r="C239" s="87">
        <v>46217.490277777775</v>
      </c>
      <c r="D239" t="str">
        <v>anónimo</v>
      </c>
      <c r="E239" t="str">
        <v/>
      </c>
      <c r="F239" s="68">
        <v>46217</v>
      </c>
      <c r="G239" s="88" t="str">
        <v>14/07/2026</v>
      </c>
      <c r="H239" t="str">
        <v>IRAN CASTILLO SUR</v>
      </c>
      <c r="I239" t="str">
        <v>MANUEL BECERRA ZEPEDA</v>
      </c>
      <c r="J239" s="82">
        <v>54806475213</v>
      </c>
      <c r="K239" t="str">
        <v>BEZM640410HJCCPN04</v>
      </c>
      <c r="L239" s="82">
        <v>22689350</v>
      </c>
      <c r="M239" s="82">
        <v>5213333266115</v>
      </c>
      <c r="N239" t="str">
        <v>NUEVO MAYOR</v>
      </c>
      <c r="O239" s="89">
        <v>9760.32</v>
      </c>
      <c r="P239" s="89" t="str">
        <v/>
      </c>
      <c r="Q239" s="89">
        <v>2928.1</v>
      </c>
      <c r="R239" s="89">
        <v>2928.1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>
        <v>1</v>
      </c>
    </row>
    <row r="240" spans="1:24">
      <c r="A240" s="26" t="str">
        <v/>
      </c>
      <c r="B240" s="87" t="str">
        <v>14/07/2026 10:48</v>
      </c>
      <c r="C240" s="87">
        <v>46217.496527777781</v>
      </c>
      <c r="D240" t="str">
        <v>anónimo</v>
      </c>
      <c r="E240" t="str">
        <v/>
      </c>
      <c r="F240" s="68">
        <v>46217</v>
      </c>
      <c r="G240" s="88" t="str">
        <v>14/07/2026</v>
      </c>
      <c r="H240" t="str">
        <v>YAMILETH LÓPEZ HDEZ SUR</v>
      </c>
      <c r="I240" t="str">
        <v>MARIA DEL ROSARIO MENDEZ SANCHEZ</v>
      </c>
      <c r="J240" s="82">
        <v>1715235253</v>
      </c>
      <c r="K240" t="str">
        <v>MESR630411MDFNNS05</v>
      </c>
      <c r="L240" s="82">
        <v>22690354</v>
      </c>
      <c r="M240" s="82">
        <v>5215579810265</v>
      </c>
      <c r="N240" t="str">
        <v>NUEVO MAYOR</v>
      </c>
      <c r="O240" s="89">
        <v>8173.36</v>
      </c>
      <c r="P240" s="89" t="str">
        <v/>
      </c>
      <c r="Q240" s="89">
        <v>2452.0100000000002</v>
      </c>
      <c r="R240" s="89">
        <v>2452.0100000000002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>
        <v>1</v>
      </c>
    </row>
    <row r="241" spans="1:24">
      <c r="A241" s="26" t="str">
        <v/>
      </c>
      <c r="B241" s="87" t="str">
        <v>14/07/2026 11:46</v>
      </c>
      <c r="C241" s="87">
        <v>46217.496527777781</v>
      </c>
      <c r="D241" t="str">
        <v>anónimo</v>
      </c>
      <c r="E241" t="str">
        <v/>
      </c>
      <c r="F241" s="68">
        <v>46217</v>
      </c>
      <c r="G241" s="88" t="str">
        <v>14/07/2026</v>
      </c>
      <c r="H241" t="str">
        <v>ROSA CASTRO SUR</v>
      </c>
      <c r="I241" t="str">
        <v xml:space="preserve">MARTIN MARTINEZ MARTINEZ </v>
      </c>
      <c r="J241" s="82">
        <v>43796302149</v>
      </c>
      <c r="K241" t="str">
        <v>MAMM630816HNLRRR08</v>
      </c>
      <c r="L241" s="82">
        <v>22688094</v>
      </c>
      <c r="M241" s="82">
        <v>5218124111570</v>
      </c>
      <c r="N241" t="str">
        <v>COMPRA MAYOR</v>
      </c>
      <c r="O241" s="89">
        <v>7920.51</v>
      </c>
      <c r="P241" s="89">
        <v>2101.11</v>
      </c>
      <c r="Q241" s="89">
        <v>2376.15</v>
      </c>
      <c r="R241" s="89">
        <v>275.04000000000002</v>
      </c>
      <c r="S241">
        <v>45668</v>
      </c>
      <c r="T241" t="str">
        <v/>
      </c>
      <c r="U241" t="str">
        <v/>
      </c>
      <c r="V241" t="str">
        <v/>
      </c>
      <c r="W241" t="str">
        <v/>
      </c>
      <c r="X241">
        <v>2</v>
      </c>
    </row>
    <row r="242" spans="1:24">
      <c r="A242" s="26" t="str">
        <v/>
      </c>
      <c r="B242" s="87" t="str">
        <v>14/07/2026 11:48</v>
      </c>
      <c r="C242" s="87">
        <v>46217.497916666667</v>
      </c>
      <c r="D242" t="str">
        <v>anónimo</v>
      </c>
      <c r="E242" t="str">
        <v/>
      </c>
      <c r="F242" s="68">
        <v>46217</v>
      </c>
      <c r="G242" s="88">
        <v>46333</v>
      </c>
      <c r="H242" t="str">
        <v>LILIANA MARTINEZ SUR</v>
      </c>
      <c r="I242" t="str">
        <v>VERONICA ENRIQUETA SAMPAYO DIAZ</v>
      </c>
      <c r="J242" s="82">
        <v>43896433091</v>
      </c>
      <c r="K242" t="str">
        <v>SADV640426MNLMZR05</v>
      </c>
      <c r="L242" s="82">
        <v>22580480</v>
      </c>
      <c r="M242" s="82">
        <v>5218115138552</v>
      </c>
      <c r="N242" t="str">
        <v>NUEVO MENOR</v>
      </c>
      <c r="O242" s="89">
        <v>15237.96</v>
      </c>
      <c r="P242" s="89">
        <v>3559.81</v>
      </c>
      <c r="Q242" s="89">
        <v>4571.3900000000003</v>
      </c>
      <c r="R242" s="89">
        <v>1011.58</v>
      </c>
      <c r="S242">
        <v>46393</v>
      </c>
      <c r="T242" t="str">
        <v/>
      </c>
      <c r="U242" t="str">
        <v/>
      </c>
      <c r="V242" t="str">
        <v/>
      </c>
      <c r="W242" t="str">
        <v/>
      </c>
      <c r="X242">
        <v>2</v>
      </c>
    </row>
    <row r="243" spans="1:24">
      <c r="A243" s="26" t="str">
        <v/>
      </c>
      <c r="B243" s="87" t="str">
        <v>14/07/2026 11:58</v>
      </c>
      <c r="C243" s="87">
        <v>46217.502083333333</v>
      </c>
      <c r="D243" t="str">
        <v>anónimo</v>
      </c>
      <c r="E243" t="str">
        <v/>
      </c>
      <c r="F243" s="68">
        <v>46217</v>
      </c>
      <c r="G243" s="88">
        <v>46333</v>
      </c>
      <c r="H243" t="str">
        <v>HANIA GARCIA</v>
      </c>
      <c r="I243" t="str">
        <v>Reynaldo Sias Valencia</v>
      </c>
      <c r="J243" s="82" t="str">
        <v/>
      </c>
      <c r="K243" t="str">
        <v>SIVR530225HCHSLY08</v>
      </c>
      <c r="L243" s="82">
        <v>22585848</v>
      </c>
      <c r="M243" s="82">
        <v>6351116443</v>
      </c>
      <c r="N243" t="str">
        <v>NUEVO MAYOR</v>
      </c>
      <c r="O243" s="89">
        <v>18599.07</v>
      </c>
      <c r="P243" s="89" t="str">
        <v/>
      </c>
      <c r="Q243" s="89">
        <v>5579.72</v>
      </c>
      <c r="R243" s="89">
        <v>5579.72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>
        <v>1</v>
      </c>
    </row>
    <row r="244" spans="1:24">
      <c r="A244" s="26" t="str">
        <v/>
      </c>
      <c r="B244" s="87" t="str">
        <v>14/07/2026 12:08</v>
      </c>
      <c r="C244" s="87">
        <v>46217.510416666664</v>
      </c>
      <c r="D244" t="str">
        <v>anónimo</v>
      </c>
      <c r="E244" t="str">
        <v/>
      </c>
      <c r="F244" s="68">
        <v>46217</v>
      </c>
      <c r="G244" s="88" t="str">
        <v>14/07/2026</v>
      </c>
      <c r="H244" t="str">
        <v>YAMILETH CARDONA EXT 2</v>
      </c>
      <c r="I244" t="str">
        <v>OSCAR SANCHEZ IBARRA</v>
      </c>
      <c r="J244" s="82">
        <v>80917378064</v>
      </c>
      <c r="K244" t="str">
        <v>SAIO731007HCLNBS01</v>
      </c>
      <c r="L244" s="82">
        <v>2</v>
      </c>
      <c r="M244" s="82">
        <v>8442638064</v>
      </c>
      <c r="N244" t="str">
        <v>COMPRA MENOR</v>
      </c>
      <c r="O244" s="89">
        <v>10482.5</v>
      </c>
      <c r="P244" s="89">
        <v>3139.11</v>
      </c>
      <c r="Q244" s="89">
        <v>3144.75</v>
      </c>
      <c r="R244" s="89">
        <v>5.64</v>
      </c>
      <c r="S244">
        <v>46029</v>
      </c>
      <c r="T244" t="str">
        <v/>
      </c>
      <c r="U244" t="str">
        <v/>
      </c>
      <c r="V244" t="str">
        <v/>
      </c>
      <c r="W244" t="str">
        <v/>
      </c>
      <c r="X244">
        <v>2</v>
      </c>
    </row>
    <row r="245" spans="1:24">
      <c r="A245" s="26" t="str">
        <v/>
      </c>
      <c r="B245" s="87" t="str">
        <v>14/07/2026 12:58</v>
      </c>
      <c r="C245" s="87">
        <v>46217.545138888891</v>
      </c>
      <c r="D245" t="str">
        <v>anónimo</v>
      </c>
      <c r="E245" t="str">
        <v/>
      </c>
      <c r="F245" s="68">
        <v>46217</v>
      </c>
      <c r="G245" s="88" t="str">
        <v>14/07/2026</v>
      </c>
      <c r="H245" t="str">
        <v>JENNIFER AVENDAÑO SUR</v>
      </c>
      <c r="I245" t="str">
        <v>ANTONIO RIOS ALVAREZ</v>
      </c>
      <c r="J245" s="82">
        <v>43846425387</v>
      </c>
      <c r="K245" t="str">
        <v>RIAA640505HZSSLN04</v>
      </c>
      <c r="L245" s="82">
        <v>22690608</v>
      </c>
      <c r="M245" s="82">
        <v>5214931493971</v>
      </c>
      <c r="N245" t="str">
        <v>NUEVO MAYOR</v>
      </c>
      <c r="O245" s="89">
        <v>9081.52</v>
      </c>
      <c r="P245" s="89">
        <v>848</v>
      </c>
      <c r="Q245" s="89">
        <v>2724.46</v>
      </c>
      <c r="R245" s="89">
        <v>1876.46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>
        <v>1</v>
      </c>
    </row>
    <row r="246" spans="1:24">
      <c r="A246" s="26" t="str">
        <v/>
      </c>
      <c r="B246" s="87" t="str">
        <v>14/07/2026 13:55</v>
      </c>
      <c r="C246" s="87">
        <v>46217.581944444442</v>
      </c>
      <c r="D246" t="str">
        <v>anónimo</v>
      </c>
      <c r="E246" t="str">
        <v/>
      </c>
      <c r="F246" s="68">
        <v>46217</v>
      </c>
      <c r="G246" s="88" t="str">
        <v>13/07/2026</v>
      </c>
      <c r="H246" t="str">
        <v>YULIANA RODRIGUEZ C/C</v>
      </c>
      <c r="I246" t="str">
        <v xml:space="preserve">MARTIN TORRES MUNGUIA </v>
      </c>
      <c r="J246" s="82" t="str">
        <v/>
      </c>
      <c r="K246" t="str">
        <v>TOMM660309HSRRNR04</v>
      </c>
      <c r="L246" s="82">
        <v>22669924</v>
      </c>
      <c r="M246" s="82">
        <v>5216623287799</v>
      </c>
      <c r="N246" t="str">
        <v>NUEVO MENOR</v>
      </c>
      <c r="O246" s="89">
        <v>12103.68</v>
      </c>
      <c r="P246" s="89">
        <v>3240.99</v>
      </c>
      <c r="Q246" s="89">
        <v>3631.1</v>
      </c>
      <c r="R246" s="89">
        <v>390.11</v>
      </c>
      <c r="S246">
        <v>46395</v>
      </c>
      <c r="T246" t="str">
        <v/>
      </c>
      <c r="U246" t="str">
        <v/>
      </c>
      <c r="V246" t="str">
        <v/>
      </c>
      <c r="W246" t="str">
        <v/>
      </c>
      <c r="X246">
        <v>2</v>
      </c>
    </row>
    <row r="247" spans="1:24">
      <c r="A247" s="26" t="str">
        <v/>
      </c>
      <c r="B247" s="87" t="str">
        <v>14/07/2026 09:19</v>
      </c>
      <c r="C247" s="87">
        <v>46217.616666666669</v>
      </c>
      <c r="D247" t="str">
        <v>anónimo</v>
      </c>
      <c r="E247" t="str">
        <v/>
      </c>
      <c r="F247" s="68">
        <v>46217</v>
      </c>
      <c r="G247" s="88">
        <v>46272</v>
      </c>
      <c r="H247" t="str">
        <v>MARA HERNANDEZ SUR</v>
      </c>
      <c r="I247" t="str">
        <v>MARIA TERESA CUEVA CRUZ</v>
      </c>
      <c r="J247" s="82">
        <v>14937425560</v>
      </c>
      <c r="K247" t="str">
        <v>CUCT890601MQTVRR00</v>
      </c>
      <c r="L247" s="82">
        <v>22515090</v>
      </c>
      <c r="M247" s="82">
        <v>5214423465502</v>
      </c>
      <c r="N247" t="str">
        <v>RESTRINGIDA</v>
      </c>
      <c r="O247" s="89">
        <v>9572.11</v>
      </c>
      <c r="P247" s="89">
        <v>2657.56</v>
      </c>
      <c r="Q247" s="89">
        <v>2871.63</v>
      </c>
      <c r="R247" s="89">
        <v>214.07</v>
      </c>
      <c r="S247">
        <v>46029</v>
      </c>
      <c r="T247" t="str">
        <v>FISOFO</v>
      </c>
      <c r="U247" t="str">
        <v/>
      </c>
      <c r="V247" t="str">
        <v/>
      </c>
      <c r="W247" t="str">
        <v/>
      </c>
      <c r="X247">
        <v>2</v>
      </c>
    </row>
    <row r="248" spans="1:24">
      <c r="A248" s="26" t="str">
        <v/>
      </c>
      <c r="B248" s="87" t="str">
        <v>14/07/2026 13:50</v>
      </c>
      <c r="C248" s="87">
        <v>46217.634722222225</v>
      </c>
      <c r="D248" t="str">
        <v>anónimo</v>
      </c>
      <c r="E248" t="str">
        <v/>
      </c>
      <c r="F248" s="68">
        <v>46217</v>
      </c>
      <c r="G248" s="88" t="str">
        <v>14/07/2026</v>
      </c>
      <c r="H248" t="str">
        <v>LUISA LARA SUR</v>
      </c>
      <c r="I248" t="str">
        <v>Antonio Hernández Arechiga</v>
      </c>
      <c r="J248" s="82">
        <v>43816408686</v>
      </c>
      <c r="K248" t="str">
        <v>HEAA640708HNLRRN07</v>
      </c>
      <c r="L248" s="82">
        <v>22698566</v>
      </c>
      <c r="M248" s="82">
        <v>5218120079204</v>
      </c>
      <c r="N248" t="str">
        <v>NUEVO MAYOR</v>
      </c>
      <c r="O248" s="89">
        <v>34688.980000000003</v>
      </c>
      <c r="P248" s="89">
        <v>9023.91</v>
      </c>
      <c r="Q248" s="89">
        <v>10406.69</v>
      </c>
      <c r="R248" s="89">
        <v>1382.78</v>
      </c>
      <c r="S248">
        <v>46034</v>
      </c>
      <c r="T248" t="str">
        <v/>
      </c>
      <c r="U248" t="str">
        <v/>
      </c>
      <c r="V248" t="str">
        <v/>
      </c>
      <c r="W248" t="str">
        <v/>
      </c>
      <c r="X248">
        <v>2</v>
      </c>
    </row>
    <row r="249" spans="1:24">
      <c r="A249" s="26" t="str">
        <v/>
      </c>
      <c r="B249" s="87" t="str">
        <v>14/07/2026 15:02</v>
      </c>
      <c r="C249" s="87">
        <v>46217.636111111111</v>
      </c>
      <c r="D249" t="str">
        <v>anónimo</v>
      </c>
      <c r="E249" t="str">
        <v/>
      </c>
      <c r="F249" s="68">
        <v>46217</v>
      </c>
      <c r="G249" s="88" t="str">
        <v>14/07/2026</v>
      </c>
      <c r="H249" t="str">
        <v>LILIANA MARTINEZ SUR</v>
      </c>
      <c r="I249" t="str">
        <v>LUCIA MARINA SALAZAR OLIVO</v>
      </c>
      <c r="J249" s="82">
        <v>43856022280</v>
      </c>
      <c r="K249" t="str">
        <v>SAOL601226MNLLLC03</v>
      </c>
      <c r="L249" s="82">
        <v>22690880</v>
      </c>
      <c r="M249" s="82">
        <v>5218123409540</v>
      </c>
      <c r="N249" t="str">
        <v>COMPRA MENOR</v>
      </c>
      <c r="O249" s="89">
        <v>6262.86</v>
      </c>
      <c r="P249" s="89">
        <v>830.61</v>
      </c>
      <c r="Q249" s="89">
        <v>1878.86</v>
      </c>
      <c r="R249" s="89">
        <v>1048.25</v>
      </c>
      <c r="S249">
        <v>45299</v>
      </c>
      <c r="T249" t="str">
        <v/>
      </c>
      <c r="U249" t="str">
        <v/>
      </c>
      <c r="V249" t="str">
        <v/>
      </c>
      <c r="W249" t="str">
        <v/>
      </c>
      <c r="X249">
        <v>2</v>
      </c>
    </row>
    <row r="250" spans="1:24">
      <c r="A250" s="26" t="str">
        <v/>
      </c>
      <c r="B250" s="87" t="str">
        <v>14/07/2026 15:02</v>
      </c>
      <c r="C250" s="87">
        <v>46217.636805555558</v>
      </c>
      <c r="D250" t="str">
        <v>anónimo</v>
      </c>
      <c r="E250" t="str">
        <v/>
      </c>
      <c r="F250" s="68">
        <v>46217</v>
      </c>
      <c r="G250" s="88" t="str">
        <v>13/07/2026</v>
      </c>
      <c r="H250" t="str">
        <v>LILIANA MARTINEZ SUR</v>
      </c>
      <c r="I250" t="str">
        <v>ALVARO ULLOA MORALES</v>
      </c>
      <c r="J250" s="82">
        <v>4806305977</v>
      </c>
      <c r="K250" t="str">
        <v>UOMA630219HJCLRL08</v>
      </c>
      <c r="L250" s="82">
        <v>22667208</v>
      </c>
      <c r="M250" s="82">
        <v>5218112130618</v>
      </c>
      <c r="N250" t="str">
        <v>NUEVO MAYOR</v>
      </c>
      <c r="O250" s="89">
        <v>7920.53</v>
      </c>
      <c r="P250" s="89" t="str">
        <v/>
      </c>
      <c r="Q250" s="89">
        <v>2376.16</v>
      </c>
      <c r="R250" s="89">
        <v>2376.16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>
        <v>1</v>
      </c>
    </row>
    <row r="251" spans="1:24">
      <c r="A251" s="26" t="str">
        <v/>
      </c>
      <c r="B251" s="87" t="str">
        <v>14/07/2026 14:57</v>
      </c>
      <c r="C251" s="87">
        <v>46217.645833333336</v>
      </c>
      <c r="D251" t="str">
        <v>anónimo</v>
      </c>
      <c r="E251" t="str">
        <v/>
      </c>
      <c r="F251" s="68">
        <v>46217</v>
      </c>
      <c r="G251" s="88" t="str">
        <v>14/07/2026</v>
      </c>
      <c r="H251" t="str">
        <v>LUISA LARA SUR</v>
      </c>
      <c r="I251" t="str">
        <v>Gustavo Adolfo Amador Gonzalez</v>
      </c>
      <c r="J251" s="82">
        <v>32836529282</v>
      </c>
      <c r="K251" t="str">
        <v>AAGG650106HCLMNS05</v>
      </c>
      <c r="L251" s="82">
        <v>22697576</v>
      </c>
      <c r="M251" s="82">
        <v>5218662349794</v>
      </c>
      <c r="N251" t="str">
        <v>NUEVO MENOR</v>
      </c>
      <c r="O251" s="89">
        <v>10171.19</v>
      </c>
      <c r="P251" s="89">
        <v>2743.1</v>
      </c>
      <c r="Q251" s="89">
        <v>3051.36</v>
      </c>
      <c r="R251" s="89">
        <v>308.26</v>
      </c>
      <c r="S251">
        <v>46394</v>
      </c>
      <c r="T251" t="str">
        <v/>
      </c>
      <c r="U251" t="str">
        <v/>
      </c>
      <c r="V251" t="str">
        <v/>
      </c>
      <c r="W251" t="str">
        <v/>
      </c>
      <c r="X251">
        <v>2</v>
      </c>
    </row>
    <row r="252" spans="1:24">
      <c r="A252" s="26" t="str">
        <v/>
      </c>
      <c r="B252" s="87" t="str">
        <v>14/07/2026 15:37</v>
      </c>
      <c r="C252" s="87">
        <v>46217.65902777778</v>
      </c>
      <c r="D252" t="str">
        <v>anónimo</v>
      </c>
      <c r="E252" t="str">
        <v/>
      </c>
      <c r="F252" s="68">
        <v>46217</v>
      </c>
      <c r="G252" s="88" t="str">
        <v>14/07/2026</v>
      </c>
      <c r="H252" t="str">
        <v>MARIA MARTINEZ SUR</v>
      </c>
      <c r="I252" t="str">
        <v>CLEMENTE GOROSTIETA BENITES</v>
      </c>
      <c r="J252" s="82">
        <v>37886400987</v>
      </c>
      <c r="K252" t="str">
        <v>GOBC640916HMCRNL05</v>
      </c>
      <c r="L252" s="82">
        <v>22690438</v>
      </c>
      <c r="M252" s="82">
        <v>5215540411813</v>
      </c>
      <c r="N252" t="str">
        <v>NUEVO MAYOR</v>
      </c>
      <c r="O252" s="89">
        <v>28949.8</v>
      </c>
      <c r="P252" s="89" t="str">
        <v/>
      </c>
      <c r="Q252" s="89">
        <v>8684.94</v>
      </c>
      <c r="R252" s="89">
        <v>8684.94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>
        <v>1</v>
      </c>
    </row>
    <row r="253" spans="1:24">
      <c r="A253" s="26" t="str">
        <v/>
      </c>
      <c r="B253" s="87" t="str">
        <v>14/07/2026 15:49</v>
      </c>
      <c r="C253" s="87">
        <v>46217.671527777777</v>
      </c>
      <c r="D253" t="str">
        <v>anónimo</v>
      </c>
      <c r="E253" t="str">
        <v/>
      </c>
      <c r="F253" s="68">
        <v>46217</v>
      </c>
      <c r="G253" s="88" t="str">
        <v>14/07/2026</v>
      </c>
      <c r="H253" t="str">
        <v>MARIA MARTINEZ SUR</v>
      </c>
      <c r="I253" t="str">
        <v>GENARO DAVILA HILARIO</v>
      </c>
      <c r="J253" s="82">
        <v>32786204373</v>
      </c>
      <c r="K253" t="str">
        <v>DAHG620109HCLVLN03</v>
      </c>
      <c r="L253" s="82">
        <v>22700936</v>
      </c>
      <c r="M253" s="82">
        <v>5218444602026</v>
      </c>
      <c r="N253" t="str">
        <v>COMPRA MENOR</v>
      </c>
      <c r="O253" s="89">
        <v>8859.2099999999991</v>
      </c>
      <c r="P253" s="89">
        <v>2560.73</v>
      </c>
      <c r="Q253" s="89">
        <v>2657.76</v>
      </c>
      <c r="R253" s="89">
        <v>97.03</v>
      </c>
      <c r="S253">
        <v>46028</v>
      </c>
      <c r="T253" t="str">
        <v/>
      </c>
      <c r="U253" t="str">
        <v/>
      </c>
      <c r="V253" t="str">
        <v/>
      </c>
      <c r="W253" t="str">
        <v/>
      </c>
      <c r="X253">
        <v>2</v>
      </c>
    </row>
    <row r="254" spans="1:24">
      <c r="A254" s="26" t="str">
        <v/>
      </c>
      <c r="B254" s="87" t="str">
        <v>14/07/2026 16:04</v>
      </c>
      <c r="C254" s="87">
        <v>46217.672222222223</v>
      </c>
      <c r="D254" t="str">
        <v>anónimo</v>
      </c>
      <c r="E254" t="str">
        <v/>
      </c>
      <c r="F254" s="68">
        <v>46217</v>
      </c>
      <c r="G254" s="88" t="str">
        <v>14/07/2026</v>
      </c>
      <c r="H254" t="str">
        <v>JENNIFER AVENDAÑO SUR</v>
      </c>
      <c r="I254" t="str">
        <v xml:space="preserve">ALEJANDRO CERVANTES RUIZ </v>
      </c>
      <c r="J254" s="82">
        <v>70886202467</v>
      </c>
      <c r="K254" t="str">
        <v>CERA620424HDFRZL04</v>
      </c>
      <c r="L254" s="82">
        <v>22700398</v>
      </c>
      <c r="M254" s="82">
        <v>5215558789763</v>
      </c>
      <c r="N254" t="str">
        <v>NUEVO MAYOR</v>
      </c>
      <c r="O254" s="89">
        <v>7920.53</v>
      </c>
      <c r="P254" s="89" t="str">
        <v/>
      </c>
      <c r="Q254" s="89">
        <v>2376.16</v>
      </c>
      <c r="R254" s="89">
        <v>2376.16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>
        <v>1</v>
      </c>
    </row>
    <row r="255" spans="1:24">
      <c r="A255" s="26" t="str">
        <v/>
      </c>
      <c r="B255" s="87" t="str">
        <v>14/07/2026 15:32</v>
      </c>
      <c r="C255" s="87">
        <v>46217.674305555556</v>
      </c>
      <c r="D255" t="str">
        <v>anónimo</v>
      </c>
      <c r="E255" t="str">
        <v/>
      </c>
      <c r="F255" s="68">
        <v>46217</v>
      </c>
      <c r="G255" s="88" t="str">
        <v>14/07/2026</v>
      </c>
      <c r="H255" t="str">
        <v>XIMENA RIVERA SUR</v>
      </c>
      <c r="I255" t="str">
        <v>MARTIN ALEJANDRO LOPEZ BENITEZ</v>
      </c>
      <c r="J255" s="82">
        <v>42816307559</v>
      </c>
      <c r="K255" t="str">
        <v>LOBM630107HDFPNR01</v>
      </c>
      <c r="L255" s="82">
        <v>22699024</v>
      </c>
      <c r="M255" s="82">
        <v>5215648680800</v>
      </c>
      <c r="N255" t="str">
        <v>NUEVO MAYOR</v>
      </c>
      <c r="O255" s="89">
        <v>7920.51</v>
      </c>
      <c r="P255" s="89" t="str">
        <v/>
      </c>
      <c r="Q255" s="89">
        <v>2376.15</v>
      </c>
      <c r="R255" s="89">
        <v>2376.15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>
        <v>1</v>
      </c>
    </row>
    <row r="256" spans="1:24">
      <c r="A256" s="26" t="str">
        <v/>
      </c>
      <c r="B256" s="87" t="str">
        <v>14/07/2026 16:10</v>
      </c>
      <c r="C256" s="87">
        <v>46217.711111111108</v>
      </c>
      <c r="D256" t="str">
        <v>anónimo</v>
      </c>
      <c r="E256" t="str">
        <v/>
      </c>
      <c r="F256" s="68">
        <v>46217</v>
      </c>
      <c r="G256" s="88" t="str">
        <v>14/07/2026</v>
      </c>
      <c r="H256" t="str">
        <v>ROSA CASTRO SUR</v>
      </c>
      <c r="I256" t="str">
        <v xml:space="preserve">JOSE LUIS MORALES BALLEZA </v>
      </c>
      <c r="J256" s="82">
        <v>43745758540</v>
      </c>
      <c r="K256" t="str">
        <v>MOBL571109HNLRLS09</v>
      </c>
      <c r="L256" s="82">
        <v>22703858</v>
      </c>
      <c r="M256" s="82">
        <v>5218129126642</v>
      </c>
      <c r="N256" t="str">
        <v>COMPRA MAYOR</v>
      </c>
      <c r="O256" s="89">
        <v>13842.87</v>
      </c>
      <c r="P256" s="89">
        <v>3843.27</v>
      </c>
      <c r="Q256" s="89">
        <v>4152.8599999999997</v>
      </c>
      <c r="R256" s="89">
        <v>309.58999999999997</v>
      </c>
      <c r="S256">
        <v>46029</v>
      </c>
      <c r="T256" t="str">
        <v/>
      </c>
      <c r="U256" t="str">
        <v/>
      </c>
      <c r="V256" t="str">
        <v/>
      </c>
      <c r="W256" t="str">
        <v/>
      </c>
      <c r="X256">
        <v>2</v>
      </c>
    </row>
    <row r="257" spans="1:24">
      <c r="A257" s="26" t="str">
        <v/>
      </c>
      <c r="B257" s="87" t="str">
        <v>14/07/2026 17:05</v>
      </c>
      <c r="C257" s="87">
        <v>46217.718055555553</v>
      </c>
      <c r="D257" t="str">
        <v>anónimo</v>
      </c>
      <c r="E257" t="str">
        <v/>
      </c>
      <c r="F257" s="68">
        <v>46217</v>
      </c>
      <c r="G257" s="88" t="str">
        <v>14/07/2026</v>
      </c>
      <c r="H257" t="str">
        <v>JENNIFER AVENDAÑO SUR</v>
      </c>
      <c r="I257" t="str">
        <v>LAURA ELSA CASTAÑON VAZQUEZ</v>
      </c>
      <c r="J257" s="82">
        <v>49865711805</v>
      </c>
      <c r="K257" t="str">
        <v>CAVL690512MTSSZR18</v>
      </c>
      <c r="L257" s="82">
        <v>22703024</v>
      </c>
      <c r="M257" s="82">
        <v>5218683038595</v>
      </c>
      <c r="N257" t="str">
        <v>NUEVO MENOR</v>
      </c>
      <c r="O257" s="89">
        <v>5636.59</v>
      </c>
      <c r="P257" s="89">
        <v>848</v>
      </c>
      <c r="Q257" s="89">
        <v>1690.98</v>
      </c>
      <c r="R257" s="89">
        <v>615.61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>
        <v>1</v>
      </c>
    </row>
    <row r="258" spans="1:24">
      <c r="A258" s="26" t="str">
        <v/>
      </c>
      <c r="B258" s="87" t="str">
        <v>15/07/2026 08:46</v>
      </c>
      <c r="C258" s="87">
        <v>46218.365277777775</v>
      </c>
      <c r="D258" t="str">
        <v>anónimo</v>
      </c>
      <c r="E258" t="str">
        <v/>
      </c>
      <c r="F258" s="68">
        <v>46218</v>
      </c>
      <c r="G258" s="88" t="str">
        <v>15/07/2026</v>
      </c>
      <c r="H258" t="str">
        <v>ALAN ALTAMIRANO EXT</v>
      </c>
      <c r="I258" t="str">
        <v xml:space="preserve">NO PROPORCIONO </v>
      </c>
      <c r="J258" s="82">
        <v>90886948331</v>
      </c>
      <c r="K258" t="str">
        <v/>
      </c>
      <c r="L258" s="82">
        <v>1</v>
      </c>
      <c r="M258" s="82">
        <v>5542558819</v>
      </c>
      <c r="N258" t="str">
        <v>NUEVO MENOR</v>
      </c>
      <c r="O258" s="89">
        <v>21022.68</v>
      </c>
      <c r="P258" s="89">
        <v>5803.14</v>
      </c>
      <c r="Q258" s="89">
        <v>6306.8</v>
      </c>
      <c r="R258" s="89">
        <v>503.66</v>
      </c>
      <c r="S258">
        <v>46031</v>
      </c>
      <c r="T258" t="str">
        <v/>
      </c>
      <c r="U258" t="str">
        <v/>
      </c>
      <c r="V258" t="str">
        <v/>
      </c>
      <c r="W258" t="str">
        <v/>
      </c>
      <c r="X258">
        <v>2</v>
      </c>
    </row>
    <row r="259" spans="1:24">
      <c r="A259" s="26" t="str">
        <v/>
      </c>
      <c r="B259" s="87" t="str">
        <v>15/07/2026 10:15</v>
      </c>
      <c r="C259" s="87">
        <v>46218.431944444441</v>
      </c>
      <c r="D259" t="str">
        <v>anónimo</v>
      </c>
      <c r="E259" t="str">
        <v/>
      </c>
      <c r="F259" s="68">
        <v>46218</v>
      </c>
      <c r="G259" s="88" t="str">
        <v>15/07/2026</v>
      </c>
      <c r="H259" t="str">
        <v>MAGALI MARTINEZ EXT 2</v>
      </c>
      <c r="I259" t="str">
        <v>JUAN MANUEL MORALES MEZA</v>
      </c>
      <c r="J259" s="82">
        <v>78906412115</v>
      </c>
      <c r="K259" t="str">
        <v>MOMJ640607HOCRZN01</v>
      </c>
      <c r="L259" s="82">
        <v>2</v>
      </c>
      <c r="M259" s="82">
        <v>2818706606</v>
      </c>
      <c r="N259" t="str">
        <v>NUEVO MAYOR</v>
      </c>
      <c r="O259" s="89">
        <v>15828.98</v>
      </c>
      <c r="P259" s="89" t="str">
        <v/>
      </c>
      <c r="Q259" s="89">
        <v>4748.6899999999996</v>
      </c>
      <c r="R259" s="89">
        <v>4748.6899999999996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>
        <v>1</v>
      </c>
    </row>
    <row r="260" spans="1:24">
      <c r="A260" s="26" t="str">
        <v/>
      </c>
      <c r="B260" s="87" t="str">
        <v>15/07/2026 10:04</v>
      </c>
      <c r="C260" s="87">
        <v>46218.448611111111</v>
      </c>
      <c r="D260" t="str">
        <v>anónimo</v>
      </c>
      <c r="E260" t="str">
        <v/>
      </c>
      <c r="F260" s="68">
        <v>46218</v>
      </c>
      <c r="G260" s="88" t="str">
        <v>14/07/2026</v>
      </c>
      <c r="H260" t="str">
        <v>LILIANA MARTINEZ SUR</v>
      </c>
      <c r="I260" t="str">
        <v>JOSEFINA JAIMES SANCHEZ</v>
      </c>
      <c r="J260" s="82">
        <v>43786124990</v>
      </c>
      <c r="K260" t="str">
        <v>JASJ590319MDFMNS02</v>
      </c>
      <c r="L260" s="82">
        <v>22703592</v>
      </c>
      <c r="M260" s="82">
        <v>5218119943535</v>
      </c>
      <c r="N260" t="str">
        <v>COMPRA MENOR</v>
      </c>
      <c r="O260" s="89">
        <v>19014.38</v>
      </c>
      <c r="P260" s="89">
        <v>5704.31</v>
      </c>
      <c r="Q260" s="89">
        <v>5704.31</v>
      </c>
      <c r="R260" s="89">
        <v>0</v>
      </c>
      <c r="S260">
        <v>45662</v>
      </c>
      <c r="T260" t="str">
        <v/>
      </c>
      <c r="U260" t="str">
        <v/>
      </c>
      <c r="V260" t="str">
        <v/>
      </c>
      <c r="W260" t="str">
        <v/>
      </c>
      <c r="X260">
        <v>2</v>
      </c>
    </row>
    <row r="261" spans="1:24">
      <c r="A261" s="26" t="str">
        <v/>
      </c>
      <c r="B261" s="87" t="str">
        <v>15/07/2026 10:18</v>
      </c>
      <c r="C261" s="87">
        <v>46218.456250000003</v>
      </c>
      <c r="D261" t="str">
        <v>anónimo</v>
      </c>
      <c r="E261" t="str">
        <v/>
      </c>
      <c r="F261" s="68">
        <v>46218</v>
      </c>
      <c r="G261" s="88">
        <v>46363</v>
      </c>
      <c r="H261" t="str">
        <v>XIMENA RIVERA SUR</v>
      </c>
      <c r="I261" t="str">
        <v>FERMIN MENDOZA VERDUGO</v>
      </c>
      <c r="J261" s="82" t="str">
        <v/>
      </c>
      <c r="K261" t="str">
        <v>MEVF590607HSRNRR05</v>
      </c>
      <c r="L261" s="82">
        <v>22610256</v>
      </c>
      <c r="M261" s="82">
        <v>5216442090455</v>
      </c>
      <c r="N261" t="str">
        <v>NUEVO MAYOR</v>
      </c>
      <c r="O261" s="89">
        <v>9081.52</v>
      </c>
      <c r="P261" s="89">
        <v>848</v>
      </c>
      <c r="Q261" s="89">
        <v>2724.46</v>
      </c>
      <c r="R261" s="89">
        <v>1876.46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>
        <v>1</v>
      </c>
    </row>
    <row r="262" spans="1:24">
      <c r="A262" s="26" t="str">
        <v/>
      </c>
      <c r="B262" s="87" t="str">
        <v>15/07/2026 11:08</v>
      </c>
      <c r="C262" s="87">
        <v>46218.464583333334</v>
      </c>
      <c r="D262" t="str">
        <v>anónimo</v>
      </c>
      <c r="E262" t="str">
        <v/>
      </c>
      <c r="F262" s="68">
        <v>46218</v>
      </c>
      <c r="G262" s="88">
        <v>46363</v>
      </c>
      <c r="H262" t="str">
        <v>LITZY MARTINEZ C/C</v>
      </c>
      <c r="I262" t="str">
        <v xml:space="preserve"> Filiberto. Reyes</v>
      </c>
      <c r="J262" s="82">
        <v>67806310107</v>
      </c>
      <c r="K262" t="str">
        <v/>
      </c>
      <c r="L262" s="82">
        <v>22605036</v>
      </c>
      <c r="M262" s="82">
        <v>2724941826</v>
      </c>
      <c r="N262" t="str">
        <v>COMPRA MAYOR</v>
      </c>
      <c r="O262" s="89">
        <v>7920.51</v>
      </c>
      <c r="P262" s="89">
        <v>2371.37</v>
      </c>
      <c r="Q262" s="89">
        <v>2376.15</v>
      </c>
      <c r="R262" s="89">
        <v>4.78</v>
      </c>
      <c r="S262">
        <v>46028</v>
      </c>
      <c r="T262" t="str">
        <v/>
      </c>
      <c r="U262" t="str">
        <v/>
      </c>
      <c r="V262" t="str">
        <v/>
      </c>
      <c r="W262" t="str">
        <v/>
      </c>
      <c r="X262">
        <v>2</v>
      </c>
    </row>
    <row r="263" spans="1:24">
      <c r="A263" s="26" t="str">
        <v/>
      </c>
      <c r="B263" s="87" t="str">
        <v>15/07/2026 10:58</v>
      </c>
      <c r="C263" s="87">
        <v>46218.474305555559</v>
      </c>
      <c r="D263" t="str">
        <v>anónimo</v>
      </c>
      <c r="E263" t="str">
        <v/>
      </c>
      <c r="F263" s="68">
        <v>46218</v>
      </c>
      <c r="G263" s="88" t="str">
        <v>15/07/2026</v>
      </c>
      <c r="H263" t="str">
        <v>XIMENA RIVERA SUR</v>
      </c>
      <c r="I263" t="str">
        <v>TITO GARCIA RAMIREZ</v>
      </c>
      <c r="J263" s="82" t="str">
        <v/>
      </c>
      <c r="K263" t="str">
        <v>GART500210HDGRMT01</v>
      </c>
      <c r="L263" s="82">
        <v>22724188</v>
      </c>
      <c r="M263" s="82">
        <v>5218714737086</v>
      </c>
      <c r="N263" t="str">
        <v>RESTRINGIDA</v>
      </c>
      <c r="O263" s="89">
        <v>4555.82</v>
      </c>
      <c r="P263" s="89">
        <v>548.09</v>
      </c>
      <c r="Q263" s="89">
        <v>1366.75</v>
      </c>
      <c r="R263" s="89">
        <v>-165.25</v>
      </c>
      <c r="S263">
        <v>45294</v>
      </c>
      <c r="T263" t="str">
        <v/>
      </c>
      <c r="U263" t="str">
        <v/>
      </c>
      <c r="V263" t="str">
        <v/>
      </c>
      <c r="W263" t="str">
        <v/>
      </c>
      <c r="X263">
        <v>2</v>
      </c>
    </row>
    <row r="264" spans="1:24">
      <c r="A264" s="26" t="str">
        <v/>
      </c>
      <c r="B264" s="87" t="str">
        <v>15/07/2026 10:59</v>
      </c>
      <c r="C264" s="87">
        <v>46218.481249999997</v>
      </c>
      <c r="D264" t="str">
        <v>anónimo</v>
      </c>
      <c r="E264" t="str">
        <v/>
      </c>
      <c r="F264" s="68">
        <v>46218</v>
      </c>
      <c r="G264" s="88" t="str">
        <v>15/07/2026</v>
      </c>
      <c r="H264" t="str">
        <v>LILIANA MARTINEZ SUR</v>
      </c>
      <c r="I264" t="str">
        <v>LEONOR MORENO ESCUTIA</v>
      </c>
      <c r="J264" s="82">
        <v>90927119975</v>
      </c>
      <c r="K264" t="str">
        <v>MOEL750821MMCRSN03</v>
      </c>
      <c r="L264" s="82">
        <v>22723750</v>
      </c>
      <c r="M264" s="82">
        <v>5215640006655</v>
      </c>
      <c r="N264" t="str">
        <v>RESTRINGIDA</v>
      </c>
      <c r="O264" s="89">
        <v>7128.48</v>
      </c>
      <c r="P264" s="89">
        <v>2138.19</v>
      </c>
      <c r="Q264" s="89">
        <v>2138.54</v>
      </c>
      <c r="R264" s="89">
        <v>0.35</v>
      </c>
      <c r="S264">
        <v>46026</v>
      </c>
      <c r="T264" t="str">
        <v>FISOFO</v>
      </c>
      <c r="U264" t="str">
        <v/>
      </c>
      <c r="V264" t="str">
        <v/>
      </c>
      <c r="W264" t="str">
        <v/>
      </c>
      <c r="X264">
        <v>2</v>
      </c>
    </row>
    <row r="265" spans="1:24">
      <c r="A265" s="26" t="str">
        <v/>
      </c>
      <c r="B265" s="87" t="str">
        <v>15/07/2026 10:51</v>
      </c>
      <c r="C265" s="87">
        <v>46218.489583333336</v>
      </c>
      <c r="D265" t="str">
        <v>anónimo</v>
      </c>
      <c r="E265" t="str">
        <v/>
      </c>
      <c r="F265" s="68">
        <v>46218</v>
      </c>
      <c r="G265" s="88" t="str">
        <v>15/07/2026</v>
      </c>
      <c r="H265" t="str">
        <v>YAMILETH LÓPEZ HDEZ SUR</v>
      </c>
      <c r="I265" t="str">
        <v>MARTIN GERARDO RODALLEGAS MARTINEZ</v>
      </c>
      <c r="J265" s="82" t="str">
        <v/>
      </c>
      <c r="K265" t="str">
        <v>ROMM630909HCLDRR09</v>
      </c>
      <c r="L265" s="82">
        <v>22723852</v>
      </c>
      <c r="M265" s="82">
        <v>5218117567527</v>
      </c>
      <c r="N265" t="str">
        <v>NUEVO MAYOR</v>
      </c>
      <c r="O265" s="89">
        <v>13656.88</v>
      </c>
      <c r="P265" s="89" t="str">
        <v/>
      </c>
      <c r="Q265" s="89">
        <v>4097.0600000000004</v>
      </c>
      <c r="R265" s="89">
        <v>4097.0600000000004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>
        <v>1</v>
      </c>
    </row>
    <row r="266" spans="1:24">
      <c r="A266" s="26" t="str">
        <v/>
      </c>
      <c r="B266" s="87" t="str">
        <v>15/07/2026 11:59</v>
      </c>
      <c r="C266" s="87">
        <v>46218.504166666666</v>
      </c>
      <c r="D266" t="str">
        <v>anónimo</v>
      </c>
      <c r="E266" t="str">
        <v/>
      </c>
      <c r="F266" s="68">
        <v>46218</v>
      </c>
      <c r="G266" s="88" t="str">
        <v>15/07/2026</v>
      </c>
      <c r="H266" t="str">
        <v>IRAN CASTILLO SUR</v>
      </c>
      <c r="I266" t="str">
        <v>JULIO HERNANDEZ CRUZ</v>
      </c>
      <c r="J266" s="82" t="str">
        <v/>
      </c>
      <c r="K266" t="str">
        <v>HECJ640412HDFRRL09</v>
      </c>
      <c r="L266" s="82">
        <v>22719794</v>
      </c>
      <c r="M266" s="82">
        <v>5215532610366</v>
      </c>
      <c r="N266" t="str">
        <v>NUEVO MAYOR</v>
      </c>
      <c r="O266" s="89">
        <v>10303.14</v>
      </c>
      <c r="P266" s="89">
        <v>879</v>
      </c>
      <c r="Q266" s="89">
        <v>3090.94</v>
      </c>
      <c r="R266" s="89">
        <v>2211.94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>
        <v>1</v>
      </c>
    </row>
    <row r="267" spans="1:24">
      <c r="A267" s="26" t="str">
        <v/>
      </c>
      <c r="B267" s="87" t="str">
        <v>15/07/2026 10:05</v>
      </c>
      <c r="C267" s="87">
        <v>46218.519444444442</v>
      </c>
      <c r="D267" t="str">
        <v>anónimo</v>
      </c>
      <c r="E267" t="str">
        <v/>
      </c>
      <c r="F267" s="68">
        <v>46218</v>
      </c>
      <c r="G267" s="88" t="str">
        <v>15/07/2026</v>
      </c>
      <c r="H267" t="str">
        <v>ROSA CASTRO SUR</v>
      </c>
      <c r="I267" t="str">
        <v xml:space="preserve">GABRIEL ALFONSO GONZALEZ SANTOS </v>
      </c>
      <c r="J267" s="82">
        <v>84815705920</v>
      </c>
      <c r="K267" t="str">
        <v>GOSG570620HYNNNB07</v>
      </c>
      <c r="L267" s="82">
        <v>22727644</v>
      </c>
      <c r="M267" s="82">
        <v>5219991340575</v>
      </c>
      <c r="N267" t="str">
        <v>NUEVO MAYOR</v>
      </c>
      <c r="O267" s="89">
        <v>8234.26</v>
      </c>
      <c r="P267" s="89" t="str">
        <v/>
      </c>
      <c r="Q267" s="89">
        <v>2470.2800000000002</v>
      </c>
      <c r="R267" s="89">
        <v>2470.2800000000002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>
        <v>1</v>
      </c>
    </row>
    <row r="268" spans="1:24">
      <c r="A268" s="26" t="str">
        <v/>
      </c>
      <c r="B268" s="87" t="str">
        <v>15/07/2026 12:36</v>
      </c>
      <c r="C268" s="87">
        <v>46218.525000000001</v>
      </c>
      <c r="D268" t="str">
        <v>anónimo</v>
      </c>
      <c r="E268" t="str">
        <v/>
      </c>
      <c r="F268" s="68">
        <v>46218</v>
      </c>
      <c r="G268" s="88" t="str">
        <v>15/07/2026</v>
      </c>
      <c r="H268" t="str">
        <v>ALAN ALTAMIRANO EXT</v>
      </c>
      <c r="I268" t="str">
        <v xml:space="preserve">NO PROPORCIONO </v>
      </c>
      <c r="J268" s="82">
        <v>83856422429</v>
      </c>
      <c r="K268" t="str">
        <v/>
      </c>
      <c r="L268" s="82">
        <v>1</v>
      </c>
      <c r="M268" s="82">
        <v>2492433571</v>
      </c>
      <c r="N268" t="str">
        <v>NUEVO MENOR</v>
      </c>
      <c r="O268" s="89">
        <v>9081.4599999999991</v>
      </c>
      <c r="P268" s="89">
        <v>2418</v>
      </c>
      <c r="Q268" s="89">
        <v>2724.44</v>
      </c>
      <c r="R268" s="89">
        <v>306.44</v>
      </c>
      <c r="S268">
        <v>46033</v>
      </c>
      <c r="T268" t="str">
        <v/>
      </c>
      <c r="U268" t="str">
        <v/>
      </c>
      <c r="V268" t="str">
        <v/>
      </c>
      <c r="W268" t="str">
        <v/>
      </c>
      <c r="X268">
        <v>2</v>
      </c>
    </row>
    <row r="269" spans="1:24">
      <c r="A269" s="26" t="str">
        <v/>
      </c>
      <c r="B269" s="87" t="str">
        <v>15/07/2026 12:48</v>
      </c>
      <c r="C269" s="87">
        <v>46218.536111111112</v>
      </c>
      <c r="D269" t="str">
        <v>anónimo</v>
      </c>
      <c r="E269" t="str">
        <v/>
      </c>
      <c r="F269" s="68">
        <v>46218</v>
      </c>
      <c r="G269" s="88" t="str">
        <v>15/07/2026</v>
      </c>
      <c r="H269" t="str">
        <v>LILIANA MARTINEZ SUR</v>
      </c>
      <c r="I269" t="str">
        <v>ARMANDO ABARCA CORTEZ</v>
      </c>
      <c r="J269" s="82">
        <v>21876319290</v>
      </c>
      <c r="K269" t="str">
        <v>AACA630406HGRBRR18</v>
      </c>
      <c r="L269" s="82">
        <v>22718214</v>
      </c>
      <c r="M269" s="82">
        <v>5216866027493</v>
      </c>
      <c r="N269" t="str">
        <v>NUEVO MAYOR</v>
      </c>
      <c r="O269" s="89">
        <v>16911.82</v>
      </c>
      <c r="P269" s="89">
        <v>2476.06</v>
      </c>
      <c r="Q269" s="89">
        <v>5073.55</v>
      </c>
      <c r="R269" s="89">
        <v>2597.4899999999998</v>
      </c>
      <c r="S269">
        <v>46754</v>
      </c>
      <c r="T269" t="str">
        <v/>
      </c>
      <c r="U269" t="str">
        <v/>
      </c>
      <c r="V269" t="str">
        <v/>
      </c>
      <c r="W269" t="str">
        <v/>
      </c>
      <c r="X269">
        <v>2</v>
      </c>
    </row>
    <row r="270" spans="1:24">
      <c r="A270" s="26" t="str">
        <v/>
      </c>
      <c r="B270" s="87" t="str">
        <v>15/07/2026 10:48</v>
      </c>
      <c r="C270" s="87">
        <v>46218.544444444444</v>
      </c>
      <c r="D270" t="str">
        <v>anónimo</v>
      </c>
      <c r="E270" t="str">
        <v/>
      </c>
      <c r="F270" s="68">
        <v>46218</v>
      </c>
      <c r="G270" s="88" t="str">
        <v>13/07/2026</v>
      </c>
      <c r="H270" t="str">
        <v>GLORIA ORTIZ C/C</v>
      </c>
      <c r="I270" t="str">
        <v>CLAUDIA LOPEZ ABATCA</v>
      </c>
      <c r="J270" s="82">
        <v>11786079464</v>
      </c>
      <c r="K270" t="str">
        <v>LOAC601103MDFPBL09</v>
      </c>
      <c r="L270" s="82">
        <v>22669712</v>
      </c>
      <c r="M270" s="82">
        <v>5213317681670</v>
      </c>
      <c r="N270" t="str">
        <v>NUEVO MAYOR</v>
      </c>
      <c r="O270" s="89">
        <v>9504.7000000000007</v>
      </c>
      <c r="P270" s="89" t="str">
        <v/>
      </c>
      <c r="Q270" s="89">
        <v>2851.41</v>
      </c>
      <c r="R270" s="89">
        <v>2851.41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>
        <v>1</v>
      </c>
    </row>
    <row r="271" spans="1:24">
      <c r="A271" s="26" t="str">
        <v/>
      </c>
      <c r="B271" s="87" t="str">
        <v>15/07/2026 13:23</v>
      </c>
      <c r="C271" s="87">
        <v>46218.558333333334</v>
      </c>
      <c r="D271" t="str">
        <v>anónimo</v>
      </c>
      <c r="E271" t="str">
        <v/>
      </c>
      <c r="F271" s="68">
        <v>46218</v>
      </c>
      <c r="G271" s="88" t="str">
        <v>25/06/2026</v>
      </c>
      <c r="H271" t="str">
        <v>DULCE FRANCO</v>
      </c>
      <c r="I271" t="str">
        <v>ALEJANDRINA RAMIREZ RODRIGUEZ</v>
      </c>
      <c r="J271" s="82" t="str">
        <v/>
      </c>
      <c r="K271" t="str">
        <v>RARA710610MJCMDL05</v>
      </c>
      <c r="L271" s="82">
        <v>22017672</v>
      </c>
      <c r="M271" s="82">
        <v>5213319118413</v>
      </c>
      <c r="N271" t="str">
        <v>NUEVO MAYOR</v>
      </c>
      <c r="O271" s="89">
        <v>8327.1299999999992</v>
      </c>
      <c r="P271" s="89">
        <v>1191.53</v>
      </c>
      <c r="Q271" s="89">
        <v>2498.14</v>
      </c>
      <c r="R271" s="89">
        <v>1306.6099999999999</v>
      </c>
      <c r="S271">
        <v>46759</v>
      </c>
      <c r="T271" t="str">
        <v>FISOFO</v>
      </c>
      <c r="U271" t="str">
        <v/>
      </c>
      <c r="V271" t="str">
        <v/>
      </c>
      <c r="W271" t="str">
        <v/>
      </c>
      <c r="X271">
        <v>2</v>
      </c>
    </row>
    <row r="272" spans="1:24">
      <c r="A272" s="26" t="str">
        <v/>
      </c>
      <c r="B272" s="87" t="str">
        <v>15/07/2026 13:42</v>
      </c>
      <c r="C272" s="87">
        <v>46218.572222222225</v>
      </c>
      <c r="D272" t="str">
        <v>anónimo</v>
      </c>
      <c r="E272" t="str">
        <v/>
      </c>
      <c r="F272" s="68">
        <v>46218</v>
      </c>
      <c r="G272" s="88" t="str">
        <v>15/07/2026</v>
      </c>
      <c r="H272" t="str">
        <v>DULCE FRANCO</v>
      </c>
      <c r="I272" t="str">
        <v>JUAN MANUEL HERNANDEZ SANCHEZ</v>
      </c>
      <c r="J272" s="82" t="str">
        <v/>
      </c>
      <c r="K272" t="str">
        <v>HESJ560605HASRNN07</v>
      </c>
      <c r="L272" s="82">
        <v>22730264</v>
      </c>
      <c r="M272" s="82">
        <v>5214494874150</v>
      </c>
      <c r="N272" t="str">
        <v>NUEVO MENOR</v>
      </c>
      <c r="O272" s="89">
        <v>4751.88</v>
      </c>
      <c r="P272" s="89" t="str">
        <v/>
      </c>
      <c r="Q272" s="89">
        <v>1425.56</v>
      </c>
      <c r="R272" s="89">
        <v>578.9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>
        <v>1</v>
      </c>
    </row>
    <row r="273" spans="1:24">
      <c r="A273" s="26" t="str">
        <v/>
      </c>
      <c r="B273" s="87" t="str">
        <v>15/07/2026 14:00</v>
      </c>
      <c r="C273" s="87">
        <v>46218.584027777775</v>
      </c>
      <c r="D273" t="str">
        <v>anónimo</v>
      </c>
      <c r="E273" t="str">
        <v/>
      </c>
      <c r="F273" s="68">
        <v>46218</v>
      </c>
      <c r="G273" s="88" t="str">
        <v>15/07/2026</v>
      </c>
      <c r="H273" t="str">
        <v>YAMILETH CARDONA EXT 2</v>
      </c>
      <c r="I273" t="str">
        <v>RAUL VARGAS RUELAS</v>
      </c>
      <c r="J273" s="82">
        <v>64866611624</v>
      </c>
      <c r="K273" t="str">
        <v>VARR660217HDFRLL05</v>
      </c>
      <c r="L273" s="82">
        <v>2</v>
      </c>
      <c r="M273" s="82">
        <v>6675759078</v>
      </c>
      <c r="N273" t="str">
        <v>NUEVO MAYOR</v>
      </c>
      <c r="O273" s="89">
        <v>60058.12</v>
      </c>
      <c r="P273" s="89" t="str">
        <v/>
      </c>
      <c r="Q273" s="89">
        <v>18017.439999999999</v>
      </c>
      <c r="R273" s="89">
        <v>18017.439999999999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>
        <v>1</v>
      </c>
    </row>
    <row r="274" spans="1:24">
      <c r="A274" s="26" t="str">
        <v/>
      </c>
      <c r="B274" s="87" t="str">
        <v>15/07/2026 14:59</v>
      </c>
      <c r="C274" s="87">
        <v>46218.625</v>
      </c>
      <c r="D274" t="str">
        <v>anónimo</v>
      </c>
      <c r="E274" t="str">
        <v/>
      </c>
      <c r="F274" s="68">
        <v>46218</v>
      </c>
      <c r="G274" s="88" t="str">
        <v>15/07/2026</v>
      </c>
      <c r="H274" t="str">
        <v>YAMILETH CARDONA EXT 2</v>
      </c>
      <c r="I274" t="str">
        <v>CARLOS VALADEZ MONTAÑEZ</v>
      </c>
      <c r="J274" s="82">
        <v>5189317270</v>
      </c>
      <c r="K274" t="str">
        <v>VAMC730317HASLNR08</v>
      </c>
      <c r="L274" s="82">
        <v>2</v>
      </c>
      <c r="M274" s="82">
        <v>4495545244</v>
      </c>
      <c r="N274" t="str">
        <v>NUEVO MAYOR</v>
      </c>
      <c r="O274" s="89">
        <v>25321.439999999999</v>
      </c>
      <c r="P274" s="89">
        <v>2367.75</v>
      </c>
      <c r="Q274" s="89">
        <v>7596.43</v>
      </c>
      <c r="R274" s="89">
        <v>5228.68</v>
      </c>
      <c r="S274">
        <v>46031</v>
      </c>
      <c r="T274" t="str">
        <v/>
      </c>
      <c r="U274" t="str">
        <v/>
      </c>
      <c r="V274" t="str">
        <v/>
      </c>
      <c r="W274" t="str">
        <v/>
      </c>
      <c r="X274">
        <v>2</v>
      </c>
    </row>
    <row r="275" spans="1:24">
      <c r="A275" s="26" t="str">
        <v/>
      </c>
      <c r="B275" s="87" t="str">
        <v>15/07/2026 15:18</v>
      </c>
      <c r="C275" s="87">
        <v>46218.640277777777</v>
      </c>
      <c r="D275" t="str">
        <v>anónimo</v>
      </c>
      <c r="E275" t="str">
        <v/>
      </c>
      <c r="F275" s="68">
        <v>46218</v>
      </c>
      <c r="G275" s="88" t="str">
        <v>15/07/2026</v>
      </c>
      <c r="H275" t="str">
        <v>DEYANIRA CORDOVA C/C</v>
      </c>
      <c r="I275" t="str">
        <v xml:space="preserve">MARIA TERESA </v>
      </c>
      <c r="J275" s="82" t="str">
        <v/>
      </c>
      <c r="K275" t="str">
        <v>CAHT601101MSLRRR05</v>
      </c>
      <c r="L275" s="82">
        <v>22730182</v>
      </c>
      <c r="M275" s="82">
        <v>6672263095</v>
      </c>
      <c r="N275" t="str">
        <v>NUEVO MENOR</v>
      </c>
      <c r="O275" s="89">
        <v>30157.19</v>
      </c>
      <c r="P275" s="89">
        <v>8724.43</v>
      </c>
      <c r="Q275" s="89">
        <v>9047.16</v>
      </c>
      <c r="R275" s="89">
        <v>322.73</v>
      </c>
      <c r="S275">
        <v>46397</v>
      </c>
      <c r="T275" t="str">
        <v/>
      </c>
      <c r="U275" t="str">
        <v/>
      </c>
      <c r="V275" t="str">
        <v/>
      </c>
      <c r="W275" t="str">
        <v/>
      </c>
      <c r="X275">
        <v>2</v>
      </c>
    </row>
    <row r="276" spans="1:24">
      <c r="A276" s="26" t="str">
        <v/>
      </c>
      <c r="B276" s="87" t="str">
        <v>15/07/2026 15:18</v>
      </c>
      <c r="C276" s="87">
        <v>46218.643750000003</v>
      </c>
      <c r="D276" t="str">
        <v>anónimo</v>
      </c>
      <c r="E276" t="str">
        <v/>
      </c>
      <c r="F276" s="68">
        <v>46218</v>
      </c>
      <c r="G276" s="88" t="str">
        <v>14/07/2026</v>
      </c>
      <c r="H276" t="str">
        <v>XIMENA RIVERA SUR</v>
      </c>
      <c r="I276" t="str">
        <v>ANGELICA LOPEZ</v>
      </c>
      <c r="J276" s="82">
        <v>1573742143</v>
      </c>
      <c r="K276" t="str">
        <v/>
      </c>
      <c r="L276" s="82">
        <v>22709232</v>
      </c>
      <c r="M276" s="82">
        <v>5215573855099</v>
      </c>
      <c r="N276" t="str">
        <v>NUEVO MAYOR</v>
      </c>
      <c r="O276" s="89">
        <v>7118.42</v>
      </c>
      <c r="P276" s="89" t="str">
        <v/>
      </c>
      <c r="Q276" s="89">
        <v>2135.5300000000002</v>
      </c>
      <c r="R276" s="89">
        <v>2135.5300000000002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>
        <v>1</v>
      </c>
    </row>
    <row r="277" spans="1:24">
      <c r="A277" s="26" t="str">
        <v/>
      </c>
      <c r="B277" s="87" t="str">
        <v>15/07/2026 15:28</v>
      </c>
      <c r="C277" s="87">
        <v>46218.645138888889</v>
      </c>
      <c r="D277" t="str">
        <v>anónimo</v>
      </c>
      <c r="E277" t="str">
        <v/>
      </c>
      <c r="F277" s="68">
        <v>46218</v>
      </c>
      <c r="G277" s="88" t="str">
        <v>15/07/2026</v>
      </c>
      <c r="H277" t="str">
        <v>DULCE FRANCO</v>
      </c>
      <c r="I277" t="str">
        <v>JOSE CARMELO ARMANDO FLORES ALANIS</v>
      </c>
      <c r="J277" s="82" t="str">
        <v/>
      </c>
      <c r="K277" t="str">
        <v>FOAC471118HMNLLR02</v>
      </c>
      <c r="L277" s="82">
        <v>22732972</v>
      </c>
      <c r="M277" s="82">
        <v>5214438388080</v>
      </c>
      <c r="N277" t="str">
        <v>NUEVO MAYOR</v>
      </c>
      <c r="O277" s="89">
        <v>38664.1</v>
      </c>
      <c r="P277" s="89" t="str">
        <v/>
      </c>
      <c r="Q277" s="89">
        <v>11599.23</v>
      </c>
      <c r="R277" s="89">
        <v>11599.23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>
        <v>1</v>
      </c>
    </row>
    <row r="278" spans="1:24">
      <c r="A278" s="26" t="str">
        <v/>
      </c>
      <c r="B278" s="87" t="str">
        <v>15/07/2026 15:21</v>
      </c>
      <c r="C278" s="87">
        <v>46218.654166666667</v>
      </c>
      <c r="D278" t="str">
        <v>anónimo</v>
      </c>
      <c r="E278" t="str">
        <v/>
      </c>
      <c r="F278" s="68">
        <v>46218</v>
      </c>
      <c r="G278" s="88" t="str">
        <v>15/07/2026</v>
      </c>
      <c r="H278" t="str">
        <v>XIMENA RIVERA SUR</v>
      </c>
      <c r="I278" t="str">
        <v>ALFREDO WIEDMANN GONZALEZ</v>
      </c>
      <c r="J278" s="82" t="str">
        <v/>
      </c>
      <c r="K278" t="str">
        <v>WIGA650914HJCDNL09</v>
      </c>
      <c r="L278" s="82">
        <v>22726374</v>
      </c>
      <c r="M278" s="82">
        <v>5213314780753</v>
      </c>
      <c r="N278" t="str">
        <v>NUEVO MENOR</v>
      </c>
      <c r="O278" s="89">
        <v>46367.06</v>
      </c>
      <c r="P278" s="89">
        <v>13199.86</v>
      </c>
      <c r="Q278" s="89">
        <v>13910.12</v>
      </c>
      <c r="R278" s="89">
        <v>710.26</v>
      </c>
      <c r="S278">
        <v>46753</v>
      </c>
      <c r="T278" t="str">
        <v/>
      </c>
      <c r="U278" t="str">
        <v/>
      </c>
      <c r="V278" t="str">
        <v/>
      </c>
      <c r="W278" t="str">
        <v/>
      </c>
      <c r="X278">
        <v>2</v>
      </c>
    </row>
    <row r="279" spans="1:24">
      <c r="A279" s="26" t="str">
        <v/>
      </c>
      <c r="B279" s="87" t="str">
        <v>15/07/2026 16:33</v>
      </c>
      <c r="C279" s="87">
        <v>46218.69027777778</v>
      </c>
      <c r="D279" t="str">
        <v>anónimo</v>
      </c>
      <c r="E279" t="str">
        <v/>
      </c>
      <c r="F279" s="68">
        <v>46218</v>
      </c>
      <c r="G279" s="88" t="str">
        <v>15/07/2026</v>
      </c>
      <c r="H279" t="str">
        <v>LITZY MARTINEZ C/C</v>
      </c>
      <c r="I279" t="str">
        <v xml:space="preserve">Jose Rafael terraza Borquez </v>
      </c>
      <c r="J279" s="82" t="str">
        <v/>
      </c>
      <c r="K279" t="str">
        <v>TEBR670905HSLRRF05</v>
      </c>
      <c r="L279" s="82">
        <v>22734352</v>
      </c>
      <c r="M279" s="82">
        <v>5216678403375</v>
      </c>
      <c r="N279" t="str">
        <v>NUEVO MENOR</v>
      </c>
      <c r="O279" s="89">
        <v>5642.22</v>
      </c>
      <c r="P279" s="89">
        <v>1085</v>
      </c>
      <c r="Q279" s="89">
        <v>1692.67</v>
      </c>
      <c r="R279" s="89">
        <v>384.24</v>
      </c>
      <c r="S279">
        <v>46389</v>
      </c>
      <c r="T279" t="str">
        <v/>
      </c>
      <c r="U279" t="str">
        <v/>
      </c>
      <c r="V279" t="str">
        <v/>
      </c>
      <c r="W279" t="str">
        <v/>
      </c>
      <c r="X279">
        <v>2</v>
      </c>
    </row>
    <row r="280" spans="1:24">
      <c r="A280" s="26" t="str">
        <v/>
      </c>
      <c r="B280" s="87" t="str">
        <v>15/07/2026 16:54</v>
      </c>
      <c r="C280" s="87">
        <v>46218.705555555556</v>
      </c>
      <c r="D280" t="str">
        <v>anónimo</v>
      </c>
      <c r="E280" t="str">
        <v/>
      </c>
      <c r="F280" s="68">
        <v>46218</v>
      </c>
      <c r="G280" s="88" t="str">
        <v>15/07/2026</v>
      </c>
      <c r="H280" t="str">
        <v>MAGALI MARTINEZ EXT 2</v>
      </c>
      <c r="I280" t="str">
        <v xml:space="preserve">FAUSTO TORIZ MARIN </v>
      </c>
      <c r="J280" s="82">
        <v>11745569357</v>
      </c>
      <c r="K280" t="str">
        <v>TOMF580906HDFRRS05</v>
      </c>
      <c r="L280" s="82">
        <v>2</v>
      </c>
      <c r="M280" s="82">
        <v>5521031652</v>
      </c>
      <c r="N280" t="str">
        <v>NUEVO MAYOR</v>
      </c>
      <c r="O280" s="89">
        <v>9081.52</v>
      </c>
      <c r="P280" s="89" t="str">
        <v/>
      </c>
      <c r="Q280" s="89">
        <v>2724.46</v>
      </c>
      <c r="R280" s="89">
        <v>2724.46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>
        <v>1</v>
      </c>
    </row>
    <row r="281" spans="1:24">
      <c r="A281" s="26" t="str">
        <v/>
      </c>
      <c r="B281" s="87" t="str">
        <v>15/07/2026 16:57</v>
      </c>
      <c r="C281" s="87">
        <v>46218.710416666669</v>
      </c>
      <c r="D281" t="str">
        <v>anónimo</v>
      </c>
      <c r="E281" t="str">
        <v/>
      </c>
      <c r="F281" s="68">
        <v>46218</v>
      </c>
      <c r="G281" s="88" t="str">
        <v>15/07/2026</v>
      </c>
      <c r="H281" t="str">
        <v>MARIA MARTINEZ SUR</v>
      </c>
      <c r="I281" t="str">
        <v>JOSE LUIS MARTINEZ GARCIA</v>
      </c>
      <c r="J281" s="82" t="str">
        <v/>
      </c>
      <c r="K281" t="str">
        <v>MAGL600508HDFRRS06</v>
      </c>
      <c r="L281" s="82">
        <v>22719768</v>
      </c>
      <c r="M281" s="82">
        <v>5215613305479</v>
      </c>
      <c r="N281" t="str">
        <v>COMPRA MENOR</v>
      </c>
      <c r="O281" s="89">
        <v>5617.63</v>
      </c>
      <c r="P281" s="89">
        <v>1069.5</v>
      </c>
      <c r="Q281" s="89">
        <v>1685.29</v>
      </c>
      <c r="R281" s="89">
        <v>375.15</v>
      </c>
      <c r="S281">
        <v>44938</v>
      </c>
      <c r="T281" t="str">
        <v/>
      </c>
      <c r="U281" t="str">
        <v/>
      </c>
      <c r="V281" t="str">
        <v/>
      </c>
      <c r="W281" t="str">
        <v/>
      </c>
      <c r="X281">
        <v>2</v>
      </c>
    </row>
    <row r="282" spans="1:24">
      <c r="A282" s="26" t="str">
        <v/>
      </c>
      <c r="B282" s="87" t="str">
        <v>15/07/2026 17:14</v>
      </c>
      <c r="C282" s="87">
        <v>46218.723611111112</v>
      </c>
      <c r="D282" t="str">
        <v>anónimo</v>
      </c>
      <c r="E282" t="str">
        <v/>
      </c>
      <c r="F282" s="68">
        <v>46218</v>
      </c>
      <c r="G282" s="88" t="str">
        <v>15/07/2026</v>
      </c>
      <c r="H282" t="str">
        <v>JENNIFER AVENDAÑO SUR</v>
      </c>
      <c r="I282" t="str">
        <v>JESUS RAMIREZ ALFARO</v>
      </c>
      <c r="J282" s="82" t="str">
        <v/>
      </c>
      <c r="K282" t="str">
        <v>RAAJ510701HHGMLS00</v>
      </c>
      <c r="L282" s="82">
        <v>22720424</v>
      </c>
      <c r="M282" s="82">
        <v>5217718234958</v>
      </c>
      <c r="N282" t="str">
        <v>COMPRA MAYOR</v>
      </c>
      <c r="O282" s="89">
        <v>7214.12</v>
      </c>
      <c r="P282" s="89">
        <v>2002.9</v>
      </c>
      <c r="Q282" s="89">
        <v>2164.2399999999998</v>
      </c>
      <c r="R282" s="89">
        <v>161.34</v>
      </c>
      <c r="S282">
        <v>46029</v>
      </c>
      <c r="T282" t="str">
        <v/>
      </c>
      <c r="U282" t="str">
        <v/>
      </c>
      <c r="V282" t="str">
        <v/>
      </c>
      <c r="W282" t="str">
        <v/>
      </c>
      <c r="X282">
        <v>2</v>
      </c>
    </row>
    <row r="283" spans="1:24">
      <c r="A283" s="26" t="str">
        <v/>
      </c>
      <c r="B283" s="87" t="str">
        <v>15/07/2026 17:39</v>
      </c>
      <c r="C283" s="87">
        <v>46218.738194444442</v>
      </c>
      <c r="D283" t="str">
        <v>anónimo</v>
      </c>
      <c r="E283" t="str">
        <v/>
      </c>
      <c r="F283" s="68">
        <v>46218</v>
      </c>
      <c r="G283" s="88" t="str">
        <v>14/07/2026</v>
      </c>
      <c r="H283" t="str">
        <v>MARIA MARTINEZ SUR</v>
      </c>
      <c r="I283" t="str">
        <v>JESUS MANUEL MEJIA VALENCIANA</v>
      </c>
      <c r="J283" s="82">
        <v>43826550923</v>
      </c>
      <c r="K283" t="str">
        <v>MEVJ651225HNLJLS02</v>
      </c>
      <c r="L283" s="82">
        <v>22710626</v>
      </c>
      <c r="M283" s="82">
        <v>5218132538477</v>
      </c>
      <c r="N283" t="str">
        <v>NUEVO MAYOR</v>
      </c>
      <c r="O283" s="89">
        <v>9760.32</v>
      </c>
      <c r="P283" s="89" t="str">
        <v/>
      </c>
      <c r="Q283" s="89">
        <v>2928.1</v>
      </c>
      <c r="R283" s="89">
        <v>2928.1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>
        <v>1</v>
      </c>
    </row>
    <row r="284" spans="1:24">
      <c r="A284" s="26" t="str">
        <v/>
      </c>
      <c r="B284" s="87" t="str">
        <v>16/07/2026 08:30</v>
      </c>
      <c r="C284" s="87">
        <v>46219.357638888891</v>
      </c>
      <c r="D284" t="str">
        <v>anónimo</v>
      </c>
      <c r="E284" t="str">
        <v/>
      </c>
      <c r="F284" s="68">
        <v>46219</v>
      </c>
      <c r="G284" s="88" t="str">
        <v>15/07/2026</v>
      </c>
      <c r="H284" t="str">
        <v>AMIR NAVARRO EXT 2</v>
      </c>
      <c r="I284" t="str">
        <v>EDUARDO MENDEZ Y MENDEZ</v>
      </c>
      <c r="J284" s="82">
        <v>1654414869</v>
      </c>
      <c r="K284" t="str">
        <v>MEME440724HDFNND00</v>
      </c>
      <c r="L284" s="82">
        <v>2</v>
      </c>
      <c r="M284" s="82">
        <v>5532535945</v>
      </c>
      <c r="N284" t="str">
        <v>NUEVO MAYOR</v>
      </c>
      <c r="O284" s="89">
        <v>51457.61</v>
      </c>
      <c r="P284" s="89" t="str">
        <v/>
      </c>
      <c r="Q284" s="89">
        <v>15437.28</v>
      </c>
      <c r="R284" s="89">
        <v>15437.28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>
        <v>1</v>
      </c>
    </row>
    <row r="285" spans="1:24">
      <c r="A285" s="26" t="str">
        <v/>
      </c>
      <c r="B285" s="87" t="str">
        <v>16/07/2026 09:49</v>
      </c>
      <c r="C285" s="87">
        <v>46219.413194444445</v>
      </c>
      <c r="D285" t="str">
        <v>anónimo</v>
      </c>
      <c r="E285" t="str">
        <v/>
      </c>
      <c r="F285" s="68">
        <v>46219</v>
      </c>
      <c r="G285" s="88" t="str">
        <v>16/07/2026</v>
      </c>
      <c r="H285" t="str">
        <v>YAMILETH CARDONA EXT 2</v>
      </c>
      <c r="I285" t="str">
        <v>ALFREDO WIEDMANN GONZALEZ</v>
      </c>
      <c r="J285" s="82">
        <v>54846513205</v>
      </c>
      <c r="K285" t="str">
        <v>WIGA650914HJCDNL09</v>
      </c>
      <c r="L285" s="82">
        <v>2</v>
      </c>
      <c r="M285" s="82">
        <v>3314780753</v>
      </c>
      <c r="N285" t="str">
        <v>NUEVO MENOR</v>
      </c>
      <c r="O285" s="89">
        <v>46367.06</v>
      </c>
      <c r="P285" s="89">
        <v>13199.86</v>
      </c>
      <c r="Q285" s="89">
        <v>13910.12</v>
      </c>
      <c r="R285" s="89">
        <v>710.26</v>
      </c>
      <c r="S285">
        <v>46753</v>
      </c>
      <c r="T285" t="str">
        <v/>
      </c>
      <c r="U285" t="str">
        <v/>
      </c>
      <c r="V285" t="str">
        <v/>
      </c>
      <c r="W285" t="str">
        <v/>
      </c>
      <c r="X285">
        <v>2</v>
      </c>
    </row>
    <row r="286" spans="1:24">
      <c r="A286" s="26" t="str">
        <v/>
      </c>
      <c r="B286" s="87" t="str">
        <v>16/07/2026 09:53</v>
      </c>
      <c r="C286" s="87">
        <v>46219.419444444444</v>
      </c>
      <c r="D286" t="str">
        <v>anónimo</v>
      </c>
      <c r="E286" t="str">
        <v/>
      </c>
      <c r="F286" s="68">
        <v>46219</v>
      </c>
      <c r="G286" s="88">
        <v>46272</v>
      </c>
      <c r="H286" t="str">
        <v>GIOVANNI MELGAR</v>
      </c>
      <c r="I286" t="str">
        <v>MARIA DEL ROSARIO CAMARENA NEVAREZ</v>
      </c>
      <c r="J286" s="82">
        <v>3584671505</v>
      </c>
      <c r="K286" t="str">
        <v>CANR761231MCHMVS00</v>
      </c>
      <c r="L286" s="82">
        <v>22523568</v>
      </c>
      <c r="M286" s="82">
        <v>5216565896686</v>
      </c>
      <c r="N286" t="str">
        <v>RESTRINGIDA</v>
      </c>
      <c r="O286" s="89">
        <v>22358.77</v>
      </c>
      <c r="P286" s="89">
        <v>6668.9</v>
      </c>
      <c r="Q286" s="89">
        <v>6707.63</v>
      </c>
      <c r="R286" s="89">
        <v>38.729999999999997</v>
      </c>
      <c r="S286">
        <v>46027</v>
      </c>
      <c r="T286" t="str">
        <v/>
      </c>
      <c r="U286" t="str">
        <v/>
      </c>
      <c r="V286" t="str">
        <v/>
      </c>
      <c r="W286" t="str">
        <v/>
      </c>
      <c r="X286">
        <v>2</v>
      </c>
    </row>
    <row r="287" spans="1:24">
      <c r="A287" s="26" t="str">
        <v/>
      </c>
      <c r="B287" s="87" t="str">
        <v>16/07/2026 10:34</v>
      </c>
      <c r="C287" s="87">
        <v>46219.442361111112</v>
      </c>
      <c r="D287" t="str">
        <v>anónimo</v>
      </c>
      <c r="E287" t="str">
        <v/>
      </c>
      <c r="F287" s="68">
        <v>46219</v>
      </c>
      <c r="G287" s="88" t="str">
        <v>15/07/2026</v>
      </c>
      <c r="H287" t="str">
        <v>LILIANA MARTINEZ SUR</v>
      </c>
      <c r="I287" t="str">
        <v>NICOLAS SORIANO MIRANDA</v>
      </c>
      <c r="J287" s="82">
        <v>7815202317</v>
      </c>
      <c r="K287" t="str">
        <v>SOMN521206HDFRRC07</v>
      </c>
      <c r="L287" s="82">
        <v>22720754</v>
      </c>
      <c r="M287" s="82">
        <v>5215611847126</v>
      </c>
      <c r="N287" t="str">
        <v>COMPRA MENOR</v>
      </c>
      <c r="O287" s="89">
        <v>4784.82</v>
      </c>
      <c r="P287" s="89">
        <v>486.74</v>
      </c>
      <c r="Q287" s="89">
        <v>1435.45</v>
      </c>
      <c r="R287" s="89">
        <v>125.1</v>
      </c>
      <c r="S287">
        <v>45299</v>
      </c>
      <c r="T287" t="str">
        <v/>
      </c>
      <c r="U287" t="str">
        <v/>
      </c>
      <c r="V287" t="str">
        <v/>
      </c>
      <c r="W287" t="str">
        <v/>
      </c>
      <c r="X287">
        <v>2</v>
      </c>
    </row>
    <row r="288" spans="1:24">
      <c r="A288" s="26" t="str">
        <v/>
      </c>
      <c r="B288" s="87" t="str">
        <v>16/07/2026 11:04</v>
      </c>
      <c r="C288" s="87">
        <v>46219.46597222222</v>
      </c>
      <c r="D288" t="str">
        <v>anónimo</v>
      </c>
      <c r="E288" t="str">
        <v/>
      </c>
      <c r="F288" s="68">
        <v>46219</v>
      </c>
      <c r="G288" s="88" t="str">
        <v>15/07/2026</v>
      </c>
      <c r="H288" t="str">
        <v>DEYANIRA CORDOVA C/C</v>
      </c>
      <c r="I288" t="str">
        <v>REGINA</v>
      </c>
      <c r="J288" s="82">
        <v>45967936191</v>
      </c>
      <c r="K288" t="str">
        <v>SIAM890712MDFLRR00</v>
      </c>
      <c r="L288" s="82">
        <v>22730838</v>
      </c>
      <c r="M288" s="82">
        <v>5215627117371</v>
      </c>
      <c r="N288" t="str">
        <v>NUEVO MAYOR</v>
      </c>
      <c r="O288" s="89">
        <v>11193.22</v>
      </c>
      <c r="P288" s="89" t="str">
        <v/>
      </c>
      <c r="Q288" s="89">
        <v>3357.97</v>
      </c>
      <c r="R288" s="89">
        <v>3357.97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>
        <v>1</v>
      </c>
    </row>
    <row r="289" spans="1:24">
      <c r="A289" s="26" t="str">
        <v/>
      </c>
      <c r="B289" s="87" t="str">
        <v>16/07/2026 11:58</v>
      </c>
      <c r="C289" s="87">
        <v>46219.507638888892</v>
      </c>
      <c r="D289" t="str">
        <v>anónimo</v>
      </c>
      <c r="E289" t="str">
        <v/>
      </c>
      <c r="F289" s="68">
        <v>46219</v>
      </c>
      <c r="G289" s="88" t="str">
        <v>15/07/2026</v>
      </c>
      <c r="H289" t="str">
        <v>MARIA MARTINEZ SUR</v>
      </c>
      <c r="I289" t="str">
        <v>SALVADOR MUÑOZ HERNANDEZ</v>
      </c>
      <c r="J289" s="82">
        <v>43755738838</v>
      </c>
      <c r="K289" t="str">
        <v>MUHS570804HNLXRL07</v>
      </c>
      <c r="L289" s="82">
        <v>22738342</v>
      </c>
      <c r="M289" s="82">
        <v>5218123670532</v>
      </c>
      <c r="N289" t="str">
        <v>COMPRA MAYOR</v>
      </c>
      <c r="O289" s="89">
        <v>8365.1299999999992</v>
      </c>
      <c r="P289" s="89">
        <v>2320</v>
      </c>
      <c r="Q289" s="89">
        <v>2509.54</v>
      </c>
      <c r="R289" s="89">
        <v>189.54</v>
      </c>
      <c r="S289">
        <v>46028</v>
      </c>
      <c r="T289" t="str">
        <v/>
      </c>
      <c r="U289" t="str">
        <v/>
      </c>
      <c r="V289" t="str">
        <v/>
      </c>
      <c r="W289" t="str">
        <v/>
      </c>
      <c r="X289">
        <v>2</v>
      </c>
    </row>
    <row r="290" spans="1:24">
      <c r="A290" s="26" t="str">
        <v/>
      </c>
      <c r="B290" s="87" t="str">
        <v>16/07/2026 10:11</v>
      </c>
      <c r="C290" s="87">
        <v>46219.513888888891</v>
      </c>
      <c r="D290" t="str">
        <v>anónimo</v>
      </c>
      <c r="E290" t="str">
        <v/>
      </c>
      <c r="F290" s="68">
        <v>46219</v>
      </c>
      <c r="G290" s="88" t="str">
        <v>16/07/2026</v>
      </c>
      <c r="H290" t="str">
        <v>MARA HERNANDEZ SUR</v>
      </c>
      <c r="I290" t="str">
        <v>ROSA ERENDIDA HURTADO MURRIETA</v>
      </c>
      <c r="J290" s="82">
        <v>24745301986</v>
      </c>
      <c r="K290" t="str">
        <v>HUMR551128MSRRRS09</v>
      </c>
      <c r="L290" s="82">
        <v>22740548</v>
      </c>
      <c r="M290" s="82">
        <v>5216624589636</v>
      </c>
      <c r="N290" t="str">
        <v>NUEVO MAYOR</v>
      </c>
      <c r="O290" s="89">
        <v>8173.37</v>
      </c>
      <c r="P290" s="89" t="str">
        <v/>
      </c>
      <c r="Q290" s="89">
        <v>2452.0100000000002</v>
      </c>
      <c r="R290" s="89">
        <v>2452.0100000000002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>
        <v>1</v>
      </c>
    </row>
    <row r="291" spans="1:24">
      <c r="A291" s="26" t="str">
        <v/>
      </c>
      <c r="B291" s="87" t="str">
        <v>16/07/2026 12:10</v>
      </c>
      <c r="C291" s="87">
        <v>46219.544444444444</v>
      </c>
      <c r="D291" t="str">
        <v>anónimo</v>
      </c>
      <c r="E291" t="str">
        <v/>
      </c>
      <c r="F291" s="68">
        <v>46219</v>
      </c>
      <c r="G291" s="88" t="str">
        <v>15/07/2026</v>
      </c>
      <c r="H291" t="str">
        <v>ESMERALDA ESQUIVEL SUR</v>
      </c>
      <c r="I291" t="str">
        <v>Jesús Eduardo Moreno Guajardo</v>
      </c>
      <c r="J291" s="82">
        <v>32826557293</v>
      </c>
      <c r="K291" t="str">
        <v>MOGJ650527HCLRJS02</v>
      </c>
      <c r="L291" s="82">
        <v>22740924</v>
      </c>
      <c r="M291" s="82">
        <v>5218993450908</v>
      </c>
      <c r="N291" t="str">
        <v>NUEVO MAYOR</v>
      </c>
      <c r="O291" s="89">
        <v>10636.54</v>
      </c>
      <c r="P291" s="89" t="str">
        <v/>
      </c>
      <c r="Q291" s="89">
        <v>3190.96</v>
      </c>
      <c r="R291" s="89">
        <v>3190.96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>
        <v>1</v>
      </c>
    </row>
    <row r="292" spans="1:24">
      <c r="A292" s="26" t="str">
        <v/>
      </c>
      <c r="B292" s="87" t="str">
        <v>16/07/2026 13:22</v>
      </c>
      <c r="C292" s="87">
        <v>46219.55972222222</v>
      </c>
      <c r="D292" t="str">
        <v>anónimo</v>
      </c>
      <c r="E292" t="str">
        <v/>
      </c>
      <c r="F292" s="68">
        <v>46219</v>
      </c>
      <c r="G292" s="88">
        <v>46333</v>
      </c>
      <c r="H292" t="str">
        <v>DEYANIRA CORDOVA C/C</v>
      </c>
      <c r="I292" t="str">
        <v>MARINA</v>
      </c>
      <c r="J292" s="82">
        <v>33825714802</v>
      </c>
      <c r="K292" t="str">
        <v>VIHM670611MCHLRR03</v>
      </c>
      <c r="L292" s="82">
        <v>22584580</v>
      </c>
      <c r="M292" s="82">
        <v>6142897075</v>
      </c>
      <c r="N292" t="str">
        <v>COMPRA MAYOR</v>
      </c>
      <c r="O292" s="89">
        <v>5636.59</v>
      </c>
      <c r="P292" s="89">
        <v>1564.92</v>
      </c>
      <c r="Q292" s="89">
        <v>1690.98</v>
      </c>
      <c r="R292" s="89">
        <v>-101.31</v>
      </c>
      <c r="S292">
        <v>46025</v>
      </c>
      <c r="T292" t="str">
        <v/>
      </c>
      <c r="U292" t="str">
        <v/>
      </c>
      <c r="V292" t="str">
        <v/>
      </c>
      <c r="W292" t="str">
        <v/>
      </c>
      <c r="X292">
        <v>2</v>
      </c>
    </row>
    <row r="293" spans="1:24">
      <c r="A293" s="26" t="str">
        <v/>
      </c>
      <c r="B293" s="87" t="str">
        <v>16/07/2026 14:35</v>
      </c>
      <c r="C293" s="87">
        <v>46219.631944444445</v>
      </c>
      <c r="D293" t="str">
        <v>anónimo</v>
      </c>
      <c r="E293" t="str">
        <v/>
      </c>
      <c r="F293" s="68">
        <v>46219</v>
      </c>
      <c r="G293" s="88" t="str">
        <v>16/07/2026</v>
      </c>
      <c r="H293" t="str">
        <v>IRAN CASTILLO SUR</v>
      </c>
      <c r="I293" t="str">
        <v>SALVADOR DIAZ TOCA</v>
      </c>
      <c r="J293" s="82">
        <v>65715509512</v>
      </c>
      <c r="K293" t="str">
        <v>DITS551009HDFZCL09</v>
      </c>
      <c r="L293" s="82">
        <v>22739552</v>
      </c>
      <c r="M293" s="82">
        <v>5215520571005</v>
      </c>
      <c r="N293" t="str">
        <v>NUEVO MAYOR</v>
      </c>
      <c r="O293" s="89">
        <v>9760.32</v>
      </c>
      <c r="P293" s="89" t="str">
        <v/>
      </c>
      <c r="Q293" s="89">
        <v>2928.1</v>
      </c>
      <c r="R293" s="89">
        <v>2928.1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>
        <v>1</v>
      </c>
    </row>
    <row r="294" spans="1:24">
      <c r="A294" s="26" t="str">
        <v/>
      </c>
      <c r="B294" s="87" t="str">
        <v>16/07/2026 15:18</v>
      </c>
      <c r="C294" s="87">
        <v>46219.638194444444</v>
      </c>
      <c r="D294" t="str">
        <v>anónimo</v>
      </c>
      <c r="E294" t="str">
        <v/>
      </c>
      <c r="F294" s="68">
        <v>46219</v>
      </c>
      <c r="G294" s="88" t="str">
        <v>16/07/2026</v>
      </c>
      <c r="H294" t="str">
        <v>DEYANIRA CORDOVA C/C</v>
      </c>
      <c r="I294" t="str">
        <v xml:space="preserve">JOSE EFRAIN </v>
      </c>
      <c r="J294" s="82" t="str">
        <v/>
      </c>
      <c r="K294" t="str">
        <v>GAJE680208HZSRMF01</v>
      </c>
      <c r="L294" s="82">
        <v>22756598</v>
      </c>
      <c r="M294" s="82">
        <v>4651083115</v>
      </c>
      <c r="N294" t="str">
        <v>COMPRA MAYOR</v>
      </c>
      <c r="O294" s="89">
        <v>19163.59</v>
      </c>
      <c r="P294" s="89">
        <v>5320.48</v>
      </c>
      <c r="Q294" s="89">
        <v>5749.08</v>
      </c>
      <c r="R294" s="89">
        <v>428.6</v>
      </c>
      <c r="S294">
        <v>45302</v>
      </c>
      <c r="T294" t="str">
        <v/>
      </c>
      <c r="U294" t="str">
        <v/>
      </c>
      <c r="V294" t="str">
        <v/>
      </c>
      <c r="W294" t="str">
        <v/>
      </c>
      <c r="X294">
        <v>2</v>
      </c>
    </row>
    <row r="295" spans="1:24">
      <c r="A295" s="26" t="str">
        <v/>
      </c>
      <c r="B295" s="87" t="str">
        <v>16/07/2026 16:18</v>
      </c>
      <c r="C295" s="87">
        <v>46219.679861111108</v>
      </c>
      <c r="D295" t="str">
        <v>anónimo</v>
      </c>
      <c r="E295" t="str">
        <v/>
      </c>
      <c r="F295" s="68">
        <v>46219</v>
      </c>
      <c r="G295" s="88" t="str">
        <v>16/07/2026</v>
      </c>
      <c r="H295" t="str">
        <v>HANIA GARCIA</v>
      </c>
      <c r="I295" t="str">
        <v>Jaime Cruz Avila</v>
      </c>
      <c r="J295" s="82" t="str">
        <v/>
      </c>
      <c r="K295" t="str">
        <v>CUAJ630506HVZRVM00</v>
      </c>
      <c r="L295" s="82">
        <v>22759780</v>
      </c>
      <c r="M295" s="82">
        <v>9993212926</v>
      </c>
      <c r="N295" t="str">
        <v>COMPRA MAYOR</v>
      </c>
      <c r="O295" s="89">
        <v>7920.51</v>
      </c>
      <c r="P295" s="89">
        <v>2291.6</v>
      </c>
      <c r="Q295" s="89">
        <v>2376.15</v>
      </c>
      <c r="R295" s="89">
        <v>84.55</v>
      </c>
      <c r="S295">
        <v>46028</v>
      </c>
      <c r="T295" t="str">
        <v/>
      </c>
      <c r="U295" t="str">
        <v/>
      </c>
      <c r="V295" t="str">
        <v/>
      </c>
      <c r="W295" t="str">
        <v/>
      </c>
      <c r="X295">
        <v>2</v>
      </c>
    </row>
    <row r="296" spans="1:24">
      <c r="A296" s="26" t="str">
        <v/>
      </c>
      <c r="B296" s="87" t="str">
        <v>16/07/2026 16:07</v>
      </c>
      <c r="C296" s="87">
        <v>46219.684027777781</v>
      </c>
      <c r="D296" t="str">
        <v>anónimo</v>
      </c>
      <c r="E296" t="str">
        <v/>
      </c>
      <c r="F296" s="68">
        <v>46219</v>
      </c>
      <c r="G296" s="88">
        <v>46333</v>
      </c>
      <c r="H296" t="str">
        <v>JENNIFER AVENDAÑO SUR</v>
      </c>
      <c r="I296" t="str">
        <v>ARTURO ALVARADO MARTINEZ</v>
      </c>
      <c r="J296" s="82">
        <v>41826203618</v>
      </c>
      <c r="K296" t="str">
        <v>AAMA620413HSPLRR01</v>
      </c>
      <c r="L296" s="82">
        <v>22571728</v>
      </c>
      <c r="M296" s="82">
        <v>5214871390058</v>
      </c>
      <c r="N296" t="str">
        <v>NUEVO MAYOR</v>
      </c>
      <c r="O296" s="89">
        <v>9081.52</v>
      </c>
      <c r="P296" s="89" t="str">
        <v/>
      </c>
      <c r="Q296" s="89">
        <v>2724.46</v>
      </c>
      <c r="R296" s="89">
        <v>2724.46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>
        <v>1</v>
      </c>
    </row>
    <row r="297" spans="1:24">
      <c r="A297" s="26" t="str">
        <v/>
      </c>
      <c r="B297" s="87" t="str">
        <v>16/07/2026 16:27</v>
      </c>
      <c r="C297" s="87">
        <v>46219.686805555553</v>
      </c>
      <c r="D297" t="str">
        <v>anónimo</v>
      </c>
      <c r="E297" t="str">
        <v/>
      </c>
      <c r="F297" s="68">
        <v>46219</v>
      </c>
      <c r="G297" s="88" t="str">
        <v>13/07/2026</v>
      </c>
      <c r="H297" t="str">
        <v>GLORIA ORTIZ C/C</v>
      </c>
      <c r="I297" t="str">
        <v>MARGARITA LOPEZ MARTINEZ</v>
      </c>
      <c r="J297" s="82">
        <v>76846300721</v>
      </c>
      <c r="K297" t="str">
        <v>LOMM630512MDFPRR14</v>
      </c>
      <c r="L297" s="82">
        <v>22672944</v>
      </c>
      <c r="M297" s="82">
        <v>5215548896845</v>
      </c>
      <c r="N297" t="str">
        <v>COMPRA MAYOR</v>
      </c>
      <c r="O297" s="89">
        <v>7920.51</v>
      </c>
      <c r="P297" s="89">
        <v>2098.06</v>
      </c>
      <c r="Q297" s="89">
        <v>2376.15</v>
      </c>
      <c r="R297" s="89">
        <v>278.08999999999997</v>
      </c>
      <c r="S297">
        <v>45669</v>
      </c>
      <c r="T297" t="str">
        <v/>
      </c>
      <c r="U297" t="str">
        <v/>
      </c>
      <c r="V297" t="str">
        <v/>
      </c>
      <c r="W297" t="str">
        <v/>
      </c>
      <c r="X297">
        <v>2</v>
      </c>
    </row>
    <row r="298" spans="1:24">
      <c r="A298" s="26" t="str">
        <v/>
      </c>
      <c r="B298" s="87" t="str">
        <v>16/07/2026 16:39</v>
      </c>
      <c r="C298" s="87">
        <v>46219.694444444445</v>
      </c>
      <c r="D298" t="str">
        <v>anónimo</v>
      </c>
      <c r="E298" t="str">
        <v/>
      </c>
      <c r="F298" s="68">
        <v>46219</v>
      </c>
      <c r="G298" s="88" t="str">
        <v>16/07/2026</v>
      </c>
      <c r="H298" t="str">
        <v>DEYANIRA CORDOVA C/C</v>
      </c>
      <c r="I298" t="str">
        <v>JOAQUIN FLORES</v>
      </c>
      <c r="J298" s="82" t="str">
        <v/>
      </c>
      <c r="K298" t="str">
        <v>HEFJ630801HMNRLQ08</v>
      </c>
      <c r="L298" s="82">
        <v>22756980</v>
      </c>
      <c r="M298" s="82">
        <v>5217861436651</v>
      </c>
      <c r="N298" t="str">
        <v>NUEVO MAYOR</v>
      </c>
      <c r="O298" s="89">
        <v>10570.88</v>
      </c>
      <c r="P298" s="89" t="str">
        <v/>
      </c>
      <c r="Q298" s="89">
        <v>3171.26</v>
      </c>
      <c r="R298" s="89">
        <v>3171.26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>
        <v>1</v>
      </c>
    </row>
    <row r="299" spans="1:24">
      <c r="A299" s="26" t="str">
        <v/>
      </c>
      <c r="B299" s="87" t="str">
        <v>16/07/2026 17:10</v>
      </c>
      <c r="C299" s="87">
        <v>46219.720138888886</v>
      </c>
      <c r="D299" t="str">
        <v>anónimo</v>
      </c>
      <c r="E299" t="str">
        <v/>
      </c>
      <c r="F299" s="68">
        <v>46219</v>
      </c>
      <c r="G299" s="88" t="str">
        <v>16/07/2026</v>
      </c>
      <c r="H299" t="str">
        <v>IRAN CASTILLO SUR</v>
      </c>
      <c r="I299" t="str">
        <v>JOSE ANTONIO FLORES MERCADO</v>
      </c>
      <c r="J299" s="82">
        <v>45886261705</v>
      </c>
      <c r="K299" t="str">
        <v>FOMA620711HDFLRN04</v>
      </c>
      <c r="L299" s="82">
        <v>22740450</v>
      </c>
      <c r="M299" s="82">
        <v>5215573953588</v>
      </c>
      <c r="N299" t="str">
        <v>NUEVO MAYOR</v>
      </c>
      <c r="O299" s="89">
        <v>23691.17</v>
      </c>
      <c r="P299" s="89">
        <v>5121.8500000000004</v>
      </c>
      <c r="Q299" s="89">
        <v>7107.35</v>
      </c>
      <c r="R299" s="89">
        <v>1985.5</v>
      </c>
      <c r="S299">
        <v>46390</v>
      </c>
      <c r="T299" t="str">
        <v/>
      </c>
      <c r="U299" t="str">
        <v/>
      </c>
      <c r="V299" t="str">
        <v/>
      </c>
      <c r="W299" t="str">
        <v/>
      </c>
      <c r="X299">
        <v>2</v>
      </c>
    </row>
    <row r="300" spans="1:24">
      <c r="A300" s="26" t="str">
        <v/>
      </c>
      <c r="B300" s="87" t="str">
        <v>16/07/2026 13:05</v>
      </c>
      <c r="C300" s="87">
        <v>46219.729166666664</v>
      </c>
      <c r="D300" t="str">
        <v>anónimo</v>
      </c>
      <c r="E300" t="str">
        <v/>
      </c>
      <c r="F300" s="68">
        <v>46219</v>
      </c>
      <c r="G300" s="88" t="str">
        <v>15/07/2026</v>
      </c>
      <c r="H300" t="str">
        <v>ESMERALDA ESQUIVEL SUR</v>
      </c>
      <c r="I300" t="str">
        <v xml:space="preserve">Aurora Castro Inzunza </v>
      </c>
      <c r="J300" s="82">
        <v>21865400200</v>
      </c>
      <c r="K300" t="str">
        <v>CAIA601210MSLSNR02</v>
      </c>
      <c r="L300" s="82">
        <v>22740054</v>
      </c>
      <c r="M300" s="82">
        <v>5216862433196</v>
      </c>
      <c r="N300" t="str">
        <v>COMPRA MENOR</v>
      </c>
      <c r="O300" s="89">
        <v>5378.99</v>
      </c>
      <c r="P300" s="89">
        <v>1613.53</v>
      </c>
      <c r="Q300" s="89">
        <v>1613.7</v>
      </c>
      <c r="R300" s="89">
        <v>-407.52</v>
      </c>
      <c r="S300">
        <v>45299</v>
      </c>
      <c r="T300" t="str">
        <v/>
      </c>
      <c r="U300" t="str">
        <v/>
      </c>
      <c r="V300" t="str">
        <v/>
      </c>
      <c r="W300" t="str">
        <v/>
      </c>
      <c r="X300">
        <v>2</v>
      </c>
    </row>
    <row r="301" spans="1:24">
      <c r="A301" s="26" t="str">
        <v/>
      </c>
      <c r="B301" s="87" t="str">
        <v>16/07/2026 17:41</v>
      </c>
      <c r="C301" s="87">
        <v>46219.738194444442</v>
      </c>
      <c r="D301" t="str">
        <v>anónimo</v>
      </c>
      <c r="E301" t="str">
        <v/>
      </c>
      <c r="F301" s="68">
        <v>46219</v>
      </c>
      <c r="G301" s="88" t="str">
        <v>16/07/2026</v>
      </c>
      <c r="H301" t="str">
        <v>LITZY MARTINEZ C/C</v>
      </c>
      <c r="I301" t="str">
        <v xml:space="preserve">jorge cobaxin cobaxin </v>
      </c>
      <c r="J301" s="82" t="str">
        <v/>
      </c>
      <c r="K301" t="str">
        <v>COCJ570312HVZBBR01</v>
      </c>
      <c r="L301" s="82">
        <v>22759452</v>
      </c>
      <c r="M301" s="82">
        <v>5218441471329</v>
      </c>
      <c r="N301" t="str">
        <v>NUEVO MAYOR</v>
      </c>
      <c r="O301" s="89">
        <v>10636.54</v>
      </c>
      <c r="P301" s="89" t="str">
        <v/>
      </c>
      <c r="Q301" s="89">
        <v>3190.96</v>
      </c>
      <c r="R301" s="89">
        <v>3190.96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>
        <v>1</v>
      </c>
    </row>
    <row r="302" spans="1:24">
      <c r="A302" s="26" t="str">
        <v/>
      </c>
      <c r="B302" s="87" t="str">
        <v>17/07/2026 09:59</v>
      </c>
      <c r="C302" s="87">
        <v>46220.42291666667</v>
      </c>
      <c r="D302" t="str">
        <v>anónimo</v>
      </c>
      <c r="E302" t="str">
        <v/>
      </c>
      <c r="F302" s="68">
        <v>46220</v>
      </c>
      <c r="G302" s="88" t="str">
        <v>17/07/2026</v>
      </c>
      <c r="H302" t="str">
        <v>LUISA LARA SUR</v>
      </c>
      <c r="I302" t="str">
        <v>MA. CARMEN CORONA CASTRO</v>
      </c>
      <c r="J302" s="82">
        <v>12755204075</v>
      </c>
      <c r="K302" t="str">
        <v>COCC590707MGTRSR02</v>
      </c>
      <c r="L302" s="82">
        <v>22765034</v>
      </c>
      <c r="M302" s="82">
        <v>5214423456322</v>
      </c>
      <c r="N302" t="str">
        <v>NUEVO MAYOR</v>
      </c>
      <c r="O302" s="89">
        <v>8784.2900000000009</v>
      </c>
      <c r="P302" s="89" t="str">
        <v/>
      </c>
      <c r="Q302" s="89">
        <v>2635.29</v>
      </c>
      <c r="R302" s="89">
        <v>2635.29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>
        <v>1</v>
      </c>
    </row>
    <row r="303" spans="1:24">
      <c r="A303" s="26" t="str">
        <v/>
      </c>
      <c r="B303" s="87" t="str">
        <v>17/07/2026 10:09</v>
      </c>
      <c r="C303" s="87">
        <v>46220.428472222222</v>
      </c>
      <c r="D303" t="str">
        <v>anónimo</v>
      </c>
      <c r="E303" t="str">
        <v/>
      </c>
      <c r="F303" s="68">
        <v>46220</v>
      </c>
      <c r="G303" s="88" t="str">
        <v>17/07/2026</v>
      </c>
      <c r="H303" t="str">
        <v>LUISA LARA SUR</v>
      </c>
      <c r="I303" t="str">
        <v>JUANA MARIA DAVILA ADAME</v>
      </c>
      <c r="J303" s="82">
        <v>34906602528</v>
      </c>
      <c r="K303" t="str">
        <v>DAAJ660327MCLVDN06</v>
      </c>
      <c r="L303" s="82">
        <v>22765636</v>
      </c>
      <c r="M303" s="82">
        <v>5214921037006</v>
      </c>
      <c r="N303" t="str">
        <v>NUEVO MAYOR</v>
      </c>
      <c r="O303" s="89">
        <v>10636.54</v>
      </c>
      <c r="P303" s="89">
        <v>1789.65</v>
      </c>
      <c r="Q303" s="89">
        <v>3190.96</v>
      </c>
      <c r="R303" s="89">
        <v>1401.31</v>
      </c>
      <c r="S303">
        <v>46758</v>
      </c>
      <c r="T303" t="str">
        <v/>
      </c>
      <c r="U303" t="str">
        <v/>
      </c>
      <c r="V303" t="str">
        <v/>
      </c>
      <c r="W303" t="str">
        <v/>
      </c>
      <c r="X303">
        <v>2</v>
      </c>
    </row>
    <row r="304" spans="1:24">
      <c r="A304" s="26" t="str">
        <v/>
      </c>
      <c r="B304" s="87" t="str">
        <v>17/07/2026 10:48</v>
      </c>
      <c r="C304" s="87">
        <v>46220.456944444442</v>
      </c>
      <c r="D304" t="str">
        <v>anónimo</v>
      </c>
      <c r="E304" t="str">
        <v/>
      </c>
      <c r="F304" s="68">
        <v>46220</v>
      </c>
      <c r="G304" s="88" t="str">
        <v>16/07/2026</v>
      </c>
      <c r="H304" t="str">
        <v>JENNIFER AVENDAÑO SUR</v>
      </c>
      <c r="I304" t="str">
        <v>ALFONSO GUSTAVO VENTURA MERINO MORA</v>
      </c>
      <c r="J304" s="82">
        <v>12705325152</v>
      </c>
      <c r="K304" t="str">
        <v>MEMA530714HVZRRL01</v>
      </c>
      <c r="L304" s="82">
        <v>22765294</v>
      </c>
      <c r="M304" s="82">
        <v>5212291621009</v>
      </c>
      <c r="N304" t="str">
        <v>NUEVO MAYOR</v>
      </c>
      <c r="O304" s="89">
        <v>10467.25</v>
      </c>
      <c r="P304" s="89" t="str">
        <v/>
      </c>
      <c r="Q304" s="89">
        <v>3140.18</v>
      </c>
      <c r="R304" s="89">
        <v>3140.18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>
        <v>1</v>
      </c>
    </row>
    <row r="305" spans="1:24">
      <c r="A305" s="26" t="str">
        <v/>
      </c>
      <c r="B305" s="87" t="str">
        <v>17/07/2026 11:35</v>
      </c>
      <c r="C305" s="87">
        <v>46220.48333333333</v>
      </c>
      <c r="D305" t="str">
        <v>anónimo</v>
      </c>
      <c r="E305" t="str">
        <v/>
      </c>
      <c r="F305" s="68">
        <v>46220</v>
      </c>
      <c r="G305" s="88" t="str">
        <v>17/07/2026</v>
      </c>
      <c r="H305" t="str">
        <v>MAGALI MARTINEZ EXT 2</v>
      </c>
      <c r="I305" t="str">
        <v>ROSA MARIA SANDOVAL BARRAGAN</v>
      </c>
      <c r="J305" s="82">
        <v>64806116857</v>
      </c>
      <c r="K305" t="str">
        <v>SABR610807MDFNRS03</v>
      </c>
      <c r="L305" s="82">
        <v>2</v>
      </c>
      <c r="M305" s="82">
        <v>7299689395</v>
      </c>
      <c r="N305" t="str">
        <v>NUEVO MENOR</v>
      </c>
      <c r="O305" s="89">
        <v>29321.29</v>
      </c>
      <c r="P305" s="89">
        <v>8481.5499999999993</v>
      </c>
      <c r="Q305" s="89">
        <v>8796.39</v>
      </c>
      <c r="R305" s="89">
        <v>314.83999999999997</v>
      </c>
      <c r="S305">
        <v>46399</v>
      </c>
      <c r="T305" t="str">
        <v/>
      </c>
      <c r="U305" t="str">
        <v/>
      </c>
      <c r="V305" t="str">
        <v/>
      </c>
      <c r="W305" t="str">
        <v/>
      </c>
      <c r="X305">
        <v>2</v>
      </c>
    </row>
    <row r="306" spans="1:24">
      <c r="A306" s="26" t="str">
        <v/>
      </c>
      <c r="B306" s="87" t="str">
        <v>17/07/2026 11:42</v>
      </c>
      <c r="C306" s="87">
        <v>46220.489583333336</v>
      </c>
      <c r="D306" t="str">
        <v>anónimo</v>
      </c>
      <c r="E306" t="str">
        <v/>
      </c>
      <c r="F306" s="68">
        <v>46220</v>
      </c>
      <c r="G306" s="88" t="str">
        <v>16/07/2026</v>
      </c>
      <c r="H306" t="str">
        <v>LITZY MARTINEZ C/C</v>
      </c>
      <c r="I306" t="str">
        <v>HERIBERTO FRIAS RANGEL</v>
      </c>
      <c r="J306" s="82">
        <v>21836571097</v>
      </c>
      <c r="K306" t="str">
        <v>FIRH651020HBCRNR09</v>
      </c>
      <c r="L306" s="82">
        <v>22763356</v>
      </c>
      <c r="M306" s="82">
        <v>5216531760996</v>
      </c>
      <c r="N306" t="str">
        <v>NUEVO MENOR</v>
      </c>
      <c r="O306" s="89">
        <v>9760.32</v>
      </c>
      <c r="P306" s="89">
        <v>2206.65</v>
      </c>
      <c r="Q306" s="89">
        <v>2928.1</v>
      </c>
      <c r="R306" s="89">
        <v>721.45</v>
      </c>
      <c r="S306">
        <v>46759</v>
      </c>
      <c r="T306" t="str">
        <v>FISOFO</v>
      </c>
      <c r="U306" t="str">
        <v/>
      </c>
      <c r="V306" t="str">
        <v/>
      </c>
      <c r="W306" t="str">
        <v/>
      </c>
      <c r="X306">
        <v>2</v>
      </c>
    </row>
    <row r="307" spans="1:24">
      <c r="A307" s="26" t="str">
        <v/>
      </c>
      <c r="B307" s="87" t="str">
        <v>17/07/2026 12:08</v>
      </c>
      <c r="C307" s="87">
        <v>46220.507638888892</v>
      </c>
      <c r="D307" t="str">
        <v>anónimo</v>
      </c>
      <c r="E307" t="str">
        <v/>
      </c>
      <c r="F307" s="68">
        <v>46220</v>
      </c>
      <c r="G307" s="88" t="str">
        <v>16/07/2026</v>
      </c>
      <c r="H307" t="str">
        <v>HANIA GARCIA</v>
      </c>
      <c r="I307" t="str">
        <v>Alfonso Antonio Del Prado Zertuche</v>
      </c>
      <c r="J307" s="82" t="str">
        <v/>
      </c>
      <c r="K307" t="str">
        <v>PAZA641110HSPRRL07</v>
      </c>
      <c r="L307" s="82">
        <v>22762500</v>
      </c>
      <c r="M307" s="82">
        <v>4443938539</v>
      </c>
      <c r="N307" t="str">
        <v>NUEVO MAYOR</v>
      </c>
      <c r="O307" s="89">
        <v>9760.32</v>
      </c>
      <c r="P307" s="89">
        <v>370.66</v>
      </c>
      <c r="Q307" s="89">
        <v>2928.1</v>
      </c>
      <c r="R307" s="89">
        <v>2557.44</v>
      </c>
      <c r="S307">
        <v>46756</v>
      </c>
      <c r="T307" t="str">
        <v/>
      </c>
      <c r="U307" t="str">
        <v/>
      </c>
      <c r="V307" t="str">
        <v/>
      </c>
      <c r="W307" t="str">
        <v/>
      </c>
      <c r="X307">
        <v>2</v>
      </c>
    </row>
    <row r="308" spans="1:24">
      <c r="A308" s="26" t="str">
        <v/>
      </c>
      <c r="B308" s="87" t="str">
        <v>17/07/2026 13:01</v>
      </c>
      <c r="C308" s="87">
        <v>46220.543055555558</v>
      </c>
      <c r="D308" t="str">
        <v>anónimo</v>
      </c>
      <c r="E308" t="str">
        <v/>
      </c>
      <c r="F308" s="68">
        <v>46220</v>
      </c>
      <c r="G308" s="88" t="str">
        <v>16/07/2026</v>
      </c>
      <c r="H308" t="str">
        <v>LITZY MARTINEZ C/C</v>
      </c>
      <c r="I308" t="str">
        <v xml:space="preserve">ISRRAEL CAMACHO RUELAS </v>
      </c>
      <c r="J308" s="82" t="str">
        <v/>
      </c>
      <c r="K308" t="str">
        <v>CARI641203HBCMLS03</v>
      </c>
      <c r="L308" s="82">
        <v>22763566</v>
      </c>
      <c r="M308" s="82">
        <v>5216381075480</v>
      </c>
      <c r="N308" t="str">
        <v>NUEVO MAYOR</v>
      </c>
      <c r="O308" s="89">
        <v>10171.24</v>
      </c>
      <c r="P308" s="89">
        <v>879</v>
      </c>
      <c r="Q308" s="89">
        <v>3051.37</v>
      </c>
      <c r="R308" s="89">
        <v>2172.37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>
        <v>1</v>
      </c>
    </row>
    <row r="309" spans="1:24">
      <c r="A309" s="26" t="str">
        <v/>
      </c>
      <c r="B309" s="87" t="str">
        <v>17/07/2026 13:52</v>
      </c>
      <c r="C309" s="87">
        <v>46220.579861111109</v>
      </c>
      <c r="D309" t="str">
        <v>anónimo</v>
      </c>
      <c r="E309" t="str">
        <v/>
      </c>
      <c r="F309" s="68">
        <v>46220</v>
      </c>
      <c r="G309" s="88" t="str">
        <v>17/07/2026</v>
      </c>
      <c r="H309" t="str">
        <v>MAGALI MARTINEZ EXT 2</v>
      </c>
      <c r="I309" t="str">
        <v>JORGE AGUILERA MAGAÑA</v>
      </c>
      <c r="J309" s="82">
        <v>54816141714</v>
      </c>
      <c r="K309" t="str">
        <v>AUMJ610823HJCGGR05</v>
      </c>
      <c r="L309" s="82">
        <v>2</v>
      </c>
      <c r="M309" s="82">
        <v>3412154194</v>
      </c>
      <c r="N309" t="str">
        <v>RESTRINGIDA</v>
      </c>
      <c r="O309" s="89">
        <v>9504.7000000000007</v>
      </c>
      <c r="P309" s="89">
        <v>2637.84</v>
      </c>
      <c r="Q309" s="89">
        <v>2851.41</v>
      </c>
      <c r="R309" s="89">
        <v>213.57</v>
      </c>
      <c r="S309">
        <v>46026</v>
      </c>
      <c r="T309" t="str">
        <v>FISOFO</v>
      </c>
      <c r="U309" t="str">
        <v/>
      </c>
      <c r="V309" t="str">
        <v/>
      </c>
      <c r="W309" t="str">
        <v/>
      </c>
      <c r="X309">
        <v>2</v>
      </c>
    </row>
    <row r="310" spans="1:24">
      <c r="A310" s="26" t="str">
        <v/>
      </c>
      <c r="B310" s="87" t="str">
        <v>17/07/2026 14:11</v>
      </c>
      <c r="C310" s="87">
        <v>46220.6</v>
      </c>
      <c r="D310" t="str">
        <v>anónimo</v>
      </c>
      <c r="E310" t="str">
        <v/>
      </c>
      <c r="F310" s="68">
        <v>46220</v>
      </c>
      <c r="G310" s="88" t="str">
        <v>18/07/2026</v>
      </c>
      <c r="H310" t="str">
        <v>LUISA LARA SUR</v>
      </c>
      <c r="I310" t="str">
        <v>Juan Carlos Guzmán Feregrino</v>
      </c>
      <c r="J310" s="82">
        <v>14836406570</v>
      </c>
      <c r="K310" t="str">
        <v>GUFJ631104HQTZRN02</v>
      </c>
      <c r="L310" s="82">
        <v>22785942</v>
      </c>
      <c r="M310" s="82">
        <v>5214271032003</v>
      </c>
      <c r="N310" t="str">
        <v>NUEVO MAYOR</v>
      </c>
      <c r="O310" s="89">
        <v>31418.66</v>
      </c>
      <c r="P310" s="89">
        <v>5180.49</v>
      </c>
      <c r="Q310" s="89">
        <v>9425.6</v>
      </c>
      <c r="R310" s="89">
        <v>4245.1099999999997</v>
      </c>
      <c r="S310">
        <v>46396</v>
      </c>
      <c r="T310" t="str">
        <v/>
      </c>
      <c r="U310" t="str">
        <v/>
      </c>
      <c r="V310" t="str">
        <v/>
      </c>
      <c r="W310" t="str">
        <v/>
      </c>
      <c r="X310">
        <v>2</v>
      </c>
    </row>
    <row r="311" spans="1:24">
      <c r="A311" s="26" t="str">
        <v/>
      </c>
      <c r="B311" s="87" t="str">
        <v>17/07/2026 15:00</v>
      </c>
      <c r="C311" s="87">
        <v>46220.631944444445</v>
      </c>
      <c r="D311" t="str">
        <v>anónimo</v>
      </c>
      <c r="E311" t="str">
        <v/>
      </c>
      <c r="F311" s="68">
        <v>46220</v>
      </c>
      <c r="G311" s="88" t="str">
        <v>17/07/2026</v>
      </c>
      <c r="H311" t="str">
        <v>MARA HERNANDEZ SUR</v>
      </c>
      <c r="I311" t="str">
        <v>AMALIA OSUNA RIOS</v>
      </c>
      <c r="J311" s="82" t="str">
        <v/>
      </c>
      <c r="K311" t="str">
        <v>OURA580506MSLSSM00</v>
      </c>
      <c r="L311" s="82">
        <v>22728244</v>
      </c>
      <c r="M311" s="82">
        <v>5216861658944</v>
      </c>
      <c r="N311" t="str">
        <v>NUEVO MAYOR</v>
      </c>
      <c r="O311" s="89">
        <v>9760.32</v>
      </c>
      <c r="P311" s="89" t="str">
        <v/>
      </c>
      <c r="Q311" s="89">
        <v>2928.1</v>
      </c>
      <c r="R311" s="89">
        <v>2928.1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>
        <v>1</v>
      </c>
    </row>
    <row r="312" spans="1:24">
      <c r="A312" s="26" t="str">
        <v/>
      </c>
      <c r="B312" s="87" t="str">
        <v>17/07/2026 16:45</v>
      </c>
      <c r="C312" s="87">
        <v>46220.699305555558</v>
      </c>
      <c r="D312" t="str">
        <v>anónimo</v>
      </c>
      <c r="E312" t="str">
        <v/>
      </c>
      <c r="F312" s="68">
        <v>46220</v>
      </c>
      <c r="G312" s="88" t="str">
        <v>17/07/2026</v>
      </c>
      <c r="H312" t="str">
        <v>HANIA GARCIA</v>
      </c>
      <c r="I312" t="str">
        <v>Marcelino Cota Ruiz</v>
      </c>
      <c r="J312" s="82" t="str">
        <v/>
      </c>
      <c r="K312" t="str">
        <v>CORM560602HSLTZR06</v>
      </c>
      <c r="L312" s="82">
        <v>22789292</v>
      </c>
      <c r="M312" s="82">
        <v>2222030925</v>
      </c>
      <c r="N312" t="str">
        <v>NUEVO MENOR</v>
      </c>
      <c r="O312" s="89">
        <v>65289.73</v>
      </c>
      <c r="P312" s="89">
        <v>18864.12</v>
      </c>
      <c r="Q312" s="89">
        <v>19586.919999999998</v>
      </c>
      <c r="R312" s="89">
        <v>722.8</v>
      </c>
      <c r="S312">
        <v>46392</v>
      </c>
      <c r="T312" t="str">
        <v/>
      </c>
      <c r="U312" t="str">
        <v/>
      </c>
      <c r="V312" t="str">
        <v/>
      </c>
      <c r="W312" t="str">
        <v/>
      </c>
      <c r="X312">
        <v>2</v>
      </c>
    </row>
    <row r="313" spans="1:24">
      <c r="A313" s="26" t="str">
        <v/>
      </c>
      <c r="B313" s="87" t="str">
        <v>17/07/2026 16:49</v>
      </c>
      <c r="C313" s="87">
        <v>46220.704861111109</v>
      </c>
      <c r="D313" t="str">
        <v>anónimo</v>
      </c>
      <c r="E313" t="str">
        <v/>
      </c>
      <c r="F313" s="68">
        <v>46220</v>
      </c>
      <c r="G313" s="88" t="str">
        <v>17/07/2026</v>
      </c>
      <c r="H313" t="str">
        <v>LILIANA MARTINEZ SUR</v>
      </c>
      <c r="I313" t="str">
        <v>ARMANDO SALAZAR ALVAREZ</v>
      </c>
      <c r="J313" s="82">
        <v>41836700314</v>
      </c>
      <c r="K313" t="str">
        <v>SAAA670820HSPLLR07</v>
      </c>
      <c r="L313" s="82">
        <v>22781738</v>
      </c>
      <c r="M313" s="82">
        <v>5214441403644</v>
      </c>
      <c r="N313" t="str">
        <v>NUEVO MAYOR</v>
      </c>
      <c r="O313" s="89">
        <v>8181.55</v>
      </c>
      <c r="P313" s="89" t="str">
        <v/>
      </c>
      <c r="Q313" s="89">
        <v>2454.4699999999998</v>
      </c>
      <c r="R313" s="89">
        <v>2454.4699999999998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>
        <v>1</v>
      </c>
    </row>
    <row r="314" spans="1:24">
      <c r="A314" s="26" t="str">
        <v/>
      </c>
      <c r="B314" s="87" t="str">
        <v>17/07/2026 17:45</v>
      </c>
      <c r="C314" s="87">
        <v>46220.740277777775</v>
      </c>
      <c r="D314" t="str">
        <v>anónimo</v>
      </c>
      <c r="E314" t="str">
        <v/>
      </c>
      <c r="F314" s="68">
        <v>46220</v>
      </c>
      <c r="G314" s="88" t="str">
        <v>17/07/2026</v>
      </c>
      <c r="H314" t="str">
        <v>HANIA GARCIA</v>
      </c>
      <c r="I314" t="str">
        <v>Roberto De La Torre Garcia</v>
      </c>
      <c r="J314" s="82" t="str">
        <v/>
      </c>
      <c r="K314" t="str">
        <v>TOGR591230HMCRRB01</v>
      </c>
      <c r="L314" s="82">
        <v>22799122</v>
      </c>
      <c r="M314" s="82">
        <v>7225587980</v>
      </c>
      <c r="N314" t="str">
        <v>NUEVO MAYOR</v>
      </c>
      <c r="O314" s="89">
        <v>10636.54</v>
      </c>
      <c r="P314" s="89" t="str">
        <v/>
      </c>
      <c r="Q314" s="89">
        <v>3190.96</v>
      </c>
      <c r="R314" s="89">
        <v>3190.96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>
        <v>1</v>
      </c>
    </row>
    <row r="315" spans="1:24">
      <c r="A315" s="26" t="str">
        <v/>
      </c>
      <c r="B315" s="87" t="str">
        <v>17/07/2026 18:10</v>
      </c>
      <c r="C315" s="87">
        <v>46220.757638888892</v>
      </c>
      <c r="D315" t="str">
        <v>anónimo</v>
      </c>
      <c r="E315" t="str">
        <v/>
      </c>
      <c r="F315" s="68">
        <v>46220</v>
      </c>
      <c r="G315" s="88" t="str">
        <v>17/07/2026</v>
      </c>
      <c r="H315" t="str">
        <v>LITZY MARTINEZ C/C</v>
      </c>
      <c r="I315" t="str">
        <v>Guillermo Yañez García</v>
      </c>
      <c r="J315" s="82" t="str">
        <v/>
      </c>
      <c r="K315" t="str">
        <v>YAGG570831HSPXRL06</v>
      </c>
      <c r="L315" s="82">
        <v>22799726</v>
      </c>
      <c r="M315" s="82">
        <v>5214443543156</v>
      </c>
      <c r="N315" t="str">
        <v>COMPRA MENOR</v>
      </c>
      <c r="O315" s="89">
        <v>17591.439999999999</v>
      </c>
      <c r="P315" s="89">
        <v>4877.79</v>
      </c>
      <c r="Q315" s="89">
        <v>5277.43</v>
      </c>
      <c r="R315" s="89">
        <v>399.64</v>
      </c>
      <c r="S315">
        <v>46029</v>
      </c>
      <c r="T315" t="str">
        <v/>
      </c>
      <c r="U315" t="str">
        <v/>
      </c>
      <c r="V315" t="str">
        <v/>
      </c>
      <c r="W315" t="str">
        <v/>
      </c>
      <c r="X315">
        <v>2</v>
      </c>
    </row>
    <row r="316" spans="1:24">
      <c r="A316" s="26" t="str">
        <v/>
      </c>
      <c r="B316" s="87" t="str">
        <v>17/07/2026 18:44</v>
      </c>
      <c r="C316" s="87">
        <v>46220.78125</v>
      </c>
      <c r="D316" t="str">
        <v>anónimo</v>
      </c>
      <c r="E316" t="str">
        <v/>
      </c>
      <c r="F316" s="68">
        <v>46220</v>
      </c>
      <c r="G316" s="88" t="str">
        <v>17/07/2026</v>
      </c>
      <c r="H316" t="str">
        <v>HANIA GARCIA</v>
      </c>
      <c r="I316" t="str">
        <v>German Perez Venegas</v>
      </c>
      <c r="J316" s="82" t="str">
        <v/>
      </c>
      <c r="K316" t="str">
        <v>PEVG511123HPLRNR09</v>
      </c>
      <c r="L316" s="82">
        <v>22797292</v>
      </c>
      <c r="M316" s="82">
        <v>5565138159</v>
      </c>
      <c r="N316" t="str">
        <v>RESTRINGIDA</v>
      </c>
      <c r="O316" s="89">
        <v>4813.6899999999996</v>
      </c>
      <c r="P316" s="89">
        <v>487.84</v>
      </c>
      <c r="Q316" s="89">
        <v>1444.11</v>
      </c>
      <c r="R316" s="89">
        <v>152.87</v>
      </c>
      <c r="S316">
        <v>46027</v>
      </c>
      <c r="T316" t="str">
        <v>CONSUBANCO</v>
      </c>
      <c r="U316" t="str">
        <v/>
      </c>
      <c r="V316" t="str">
        <v/>
      </c>
      <c r="W316" t="str">
        <v/>
      </c>
      <c r="X316">
        <v>2</v>
      </c>
    </row>
    <row r="317" spans="1:24">
      <c r="A317" s="26" t="str">
        <v/>
      </c>
      <c r="B317" s="87" t="str">
        <v>18/07/2026 08:34</v>
      </c>
      <c r="C317" s="87">
        <v>46221.357638888891</v>
      </c>
      <c r="D317" t="str">
        <v>anónimo</v>
      </c>
      <c r="E317" t="str">
        <v/>
      </c>
      <c r="F317" s="68">
        <v>46221</v>
      </c>
      <c r="G317" s="88" t="str">
        <v>18/07/2026</v>
      </c>
      <c r="H317" t="str">
        <v>ALAN ALTAMIRANO EXT</v>
      </c>
      <c r="I317" t="str">
        <v/>
      </c>
      <c r="J317" s="82">
        <v>32836471253</v>
      </c>
      <c r="K317" t="str">
        <v/>
      </c>
      <c r="L317" s="82">
        <v>1</v>
      </c>
      <c r="M317" s="82">
        <v>8616159531</v>
      </c>
      <c r="N317" t="str">
        <v>NUEVO MAYOR</v>
      </c>
      <c r="O317" s="89">
        <v>9081.52</v>
      </c>
      <c r="P317" s="89">
        <v>1488.22</v>
      </c>
      <c r="Q317" s="89">
        <v>2724.46</v>
      </c>
      <c r="R317" s="89">
        <v>1236.24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>
        <v>1</v>
      </c>
    </row>
    <row r="318" spans="1:24">
      <c r="A318" s="26" t="str">
        <v/>
      </c>
      <c r="B318" s="87" t="str">
        <v>17/07/2026 17:22</v>
      </c>
      <c r="C318" s="87">
        <v>46221.418749999997</v>
      </c>
      <c r="D318" t="str">
        <v>anónimo</v>
      </c>
      <c r="E318" t="str">
        <v/>
      </c>
      <c r="F318" s="68">
        <v>46221</v>
      </c>
      <c r="G318" s="88" t="str">
        <v>18/07/2026</v>
      </c>
      <c r="H318" t="str">
        <v>ROSA CASTRO SUR</v>
      </c>
      <c r="I318" t="str">
        <v xml:space="preserve">EUSEBIO JACOME GONZALEZ </v>
      </c>
      <c r="J318" s="82">
        <v>83806107179</v>
      </c>
      <c r="K318" t="str">
        <v>JAGE610714HVZCNS07</v>
      </c>
      <c r="L318" s="82">
        <v>22804920</v>
      </c>
      <c r="M318" s="82">
        <v>5219612300061</v>
      </c>
      <c r="N318" t="str">
        <v>COMPRA MAYOR</v>
      </c>
      <c r="O318" s="89">
        <v>43963.74</v>
      </c>
      <c r="P318" s="89">
        <v>12717.21</v>
      </c>
      <c r="Q318" s="89">
        <v>13189.12</v>
      </c>
      <c r="R318" s="89">
        <v>471.91</v>
      </c>
      <c r="S318">
        <v>46027</v>
      </c>
      <c r="T318" t="str">
        <v/>
      </c>
      <c r="U318" t="str">
        <v/>
      </c>
      <c r="V318" t="str">
        <v/>
      </c>
      <c r="W318" t="str">
        <v/>
      </c>
      <c r="X318">
        <v>2</v>
      </c>
    </row>
    <row r="319" spans="1:24">
      <c r="A319" s="26" t="str">
        <v/>
      </c>
      <c r="B319" s="87" t="str">
        <v>18/07/2026 11:26</v>
      </c>
      <c r="C319" s="87">
        <v>46221.479166666664</v>
      </c>
      <c r="D319" t="str">
        <v>anónimo</v>
      </c>
      <c r="E319" t="str">
        <v/>
      </c>
      <c r="F319" s="68">
        <v>46221</v>
      </c>
      <c r="G319" s="88" t="str">
        <v>18/07/2026</v>
      </c>
      <c r="H319" t="str">
        <v>JENNIFER AVENDAÑO SUR</v>
      </c>
      <c r="I319" t="str">
        <v>PEDRO ARMANDO HERNANDEZ ZAMORA</v>
      </c>
      <c r="J319" s="82">
        <v>43886547520</v>
      </c>
      <c r="K319" t="str">
        <v>HEZP651022HNLRMD01</v>
      </c>
      <c r="L319" s="82">
        <v>22809108</v>
      </c>
      <c r="M319" s="82">
        <v>5218117256737</v>
      </c>
      <c r="N319" t="str">
        <v>NUEVO MENOR</v>
      </c>
      <c r="O319" s="89">
        <v>32674.29</v>
      </c>
      <c r="P319" s="89">
        <v>9309.94</v>
      </c>
      <c r="Q319" s="89">
        <v>9802.2900000000009</v>
      </c>
      <c r="R319" s="89">
        <v>492.35</v>
      </c>
      <c r="S319">
        <v>46757</v>
      </c>
      <c r="T319" t="str">
        <v/>
      </c>
      <c r="U319" t="str">
        <v/>
      </c>
      <c r="V319" t="str">
        <v/>
      </c>
      <c r="W319" t="str">
        <v/>
      </c>
      <c r="X319">
        <v>2</v>
      </c>
    </row>
    <row r="320" spans="1:24">
      <c r="A320" s="26" t="str">
        <v/>
      </c>
      <c r="B320" s="87" t="str">
        <v>18/07/2026 09:55</v>
      </c>
      <c r="C320" s="87">
        <v>46221.490277777775</v>
      </c>
      <c r="D320" t="str">
        <v>anónimo</v>
      </c>
      <c r="E320" t="str">
        <v/>
      </c>
      <c r="F320" s="68">
        <v>46221</v>
      </c>
      <c r="G320" s="88">
        <v>46119</v>
      </c>
      <c r="H320" t="str">
        <v>GUADALUPE BECERRA C/C</v>
      </c>
      <c r="I320" t="str">
        <v>LAZARO HERNANDEZ ALCALA</v>
      </c>
      <c r="J320" s="82" t="str">
        <v/>
      </c>
      <c r="K320" t="str">
        <v>HEAL571217HGTRLZ03</v>
      </c>
      <c r="L320" s="82">
        <v>22295846</v>
      </c>
      <c r="M320" s="82">
        <v>5214772302136</v>
      </c>
      <c r="N320" t="str">
        <v>NUEVO MAYOR</v>
      </c>
      <c r="O320" s="89">
        <v>5617.63</v>
      </c>
      <c r="P320" s="89" t="str">
        <v/>
      </c>
      <c r="Q320" s="89">
        <v>1685.29</v>
      </c>
      <c r="R320" s="89">
        <v>1444.65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>
        <v>1</v>
      </c>
    </row>
    <row r="321" spans="1:24">
      <c r="A321" s="26" t="str">
        <v/>
      </c>
      <c r="B321" s="87" t="str">
        <v>18/07/2026 11:53</v>
      </c>
      <c r="C321" s="87">
        <v>46221.497916666667</v>
      </c>
      <c r="D321" t="str">
        <v>anónimo</v>
      </c>
      <c r="E321" t="str">
        <v/>
      </c>
      <c r="F321" s="68">
        <v>46221</v>
      </c>
      <c r="G321" s="88" t="str">
        <v>17/07/2026</v>
      </c>
      <c r="H321" t="str">
        <v>JENNIFER AVENDAÑO SUR</v>
      </c>
      <c r="I321" t="str">
        <v>JOSE MANUEL PEREZ ABARCA</v>
      </c>
      <c r="J321" s="82">
        <v>7875903408</v>
      </c>
      <c r="K321" t="str">
        <v>PEAM590603HDFRBN04</v>
      </c>
      <c r="L321" s="82">
        <v>22786636</v>
      </c>
      <c r="M321" s="82">
        <v>5215513578840</v>
      </c>
      <c r="N321" t="str">
        <v>NUEVO MAYOR</v>
      </c>
      <c r="O321" s="89">
        <v>6108.48</v>
      </c>
      <c r="P321" s="89" t="str">
        <v/>
      </c>
      <c r="Q321" s="89">
        <v>1832.54</v>
      </c>
      <c r="R321" s="89">
        <v>1832.54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>
        <v>1</v>
      </c>
    </row>
    <row r="322" spans="1:24">
      <c r="A322" s="26" t="str">
        <v/>
      </c>
      <c r="B322" s="87" t="str">
        <v>18/07/2026 11:49</v>
      </c>
      <c r="C322" s="87">
        <v>46221.498611111114</v>
      </c>
      <c r="D322" t="str">
        <v>anónimo</v>
      </c>
      <c r="E322" t="str">
        <v/>
      </c>
      <c r="F322" s="68">
        <v>46221</v>
      </c>
      <c r="G322" s="88" t="str">
        <v>18/07/2026</v>
      </c>
      <c r="H322" t="str">
        <v>LILIANA MARTINEZ SUR</v>
      </c>
      <c r="I322" t="str">
        <v>HECTOR ROSALES ALVAREZ</v>
      </c>
      <c r="J322" s="82" t="str">
        <v/>
      </c>
      <c r="K322" t="str">
        <v>ROAH620529HNLSLC02</v>
      </c>
      <c r="L322" s="82">
        <v>22811570</v>
      </c>
      <c r="M322" s="82">
        <v>5218115536001</v>
      </c>
      <c r="N322" t="str">
        <v>NUEVO MENOR</v>
      </c>
      <c r="O322" s="89">
        <v>7116.73</v>
      </c>
      <c r="P322" s="89">
        <v>999.92</v>
      </c>
      <c r="Q322" s="89">
        <v>2135.02</v>
      </c>
      <c r="R322" s="89">
        <v>1135.0999999999999</v>
      </c>
      <c r="S322">
        <v>46395</v>
      </c>
      <c r="T322" t="str">
        <v/>
      </c>
      <c r="U322" t="str">
        <v/>
      </c>
      <c r="V322" t="str">
        <v/>
      </c>
      <c r="W322" t="str">
        <v/>
      </c>
      <c r="X322">
        <v>2</v>
      </c>
    </row>
    <row r="323" spans="1:24">
      <c r="A323" s="26" t="str">
        <v/>
      </c>
      <c r="B323" s="87" t="str">
        <v>18/07/2026 11:43</v>
      </c>
      <c r="C323" s="87">
        <v>46221.50277777778</v>
      </c>
      <c r="D323" t="str">
        <v>anónimo</v>
      </c>
      <c r="E323" t="str">
        <v/>
      </c>
      <c r="F323" s="68">
        <v>46221</v>
      </c>
      <c r="G323" s="88" t="str">
        <v>18/07/2026</v>
      </c>
      <c r="H323" t="str">
        <v>ROSA CASTRO SUR</v>
      </c>
      <c r="I323" t="str">
        <v xml:space="preserve">JULIA HERNANDEZ CRUZ </v>
      </c>
      <c r="J323" s="82">
        <v>31966104817</v>
      </c>
      <c r="K323" t="str">
        <v>HECJ611125MCHRRL07</v>
      </c>
      <c r="L323" s="82">
        <v>22809458</v>
      </c>
      <c r="M323" s="82">
        <v>5216144661225</v>
      </c>
      <c r="N323" t="str">
        <v>NUEVO MAYOR</v>
      </c>
      <c r="O323" s="89">
        <v>9564.7000000000007</v>
      </c>
      <c r="P323" s="89">
        <v>387.31</v>
      </c>
      <c r="Q323" s="89">
        <v>2869.41</v>
      </c>
      <c r="R323" s="89">
        <v>2482.1</v>
      </c>
      <c r="S323">
        <v>46034</v>
      </c>
      <c r="T323" t="str">
        <v/>
      </c>
      <c r="U323" t="str">
        <v/>
      </c>
      <c r="V323" t="str">
        <v/>
      </c>
      <c r="W323" t="str">
        <v/>
      </c>
      <c r="X323">
        <v>2</v>
      </c>
    </row>
    <row r="324" spans="1:24">
      <c r="A324" s="26" t="str">
        <v/>
      </c>
      <c r="B324" s="87" t="str">
        <v>18/07/2026 11:58</v>
      </c>
      <c r="C324" s="87">
        <v>46221.510416666664</v>
      </c>
      <c r="D324" t="str">
        <v>anónimo</v>
      </c>
      <c r="E324" t="str">
        <v/>
      </c>
      <c r="F324" s="68">
        <v>46221</v>
      </c>
      <c r="G324" s="88" t="str">
        <v>18/07/2026</v>
      </c>
      <c r="H324" t="str">
        <v>LILIANA MARTINEZ SUR</v>
      </c>
      <c r="I324" t="str">
        <v>JESUS HUMBERTO PEREZ QUINTERO</v>
      </c>
      <c r="J324" s="82">
        <v>23836209744</v>
      </c>
      <c r="K324" t="str">
        <v>PEQJ620320HSLRNS00</v>
      </c>
      <c r="L324" s="82">
        <v>22811956</v>
      </c>
      <c r="M324" s="82">
        <v>5213113414264</v>
      </c>
      <c r="N324" t="str">
        <v>NUEVO MAYOR</v>
      </c>
      <c r="O324" s="89">
        <v>9760.32</v>
      </c>
      <c r="P324" s="89">
        <v>848</v>
      </c>
      <c r="Q324" s="89">
        <v>2928.1</v>
      </c>
      <c r="R324" s="89">
        <v>2080.1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>
        <v>1</v>
      </c>
    </row>
    <row r="325" spans="1:24">
      <c r="A325" s="26" t="str">
        <v/>
      </c>
      <c r="B325" s="87" t="str">
        <v>18/07/2026 12:37</v>
      </c>
      <c r="C325" s="87">
        <v>46221.532638888886</v>
      </c>
      <c r="D325" t="str">
        <v>anónimo</v>
      </c>
      <c r="E325" t="str">
        <v/>
      </c>
      <c r="F325" s="68">
        <v>46221</v>
      </c>
      <c r="G325" s="88" t="str">
        <v>18/07/2026</v>
      </c>
      <c r="H325" t="str">
        <v>IRAN CASTILLO SUR</v>
      </c>
      <c r="I325" t="str">
        <v>MARIA YESENIA FLORES PACHECO</v>
      </c>
      <c r="J325" s="82">
        <v>23897015758</v>
      </c>
      <c r="K325" t="str">
        <v>FEPY751104MSLLCS04</v>
      </c>
      <c r="L325" s="82">
        <v>22804698</v>
      </c>
      <c r="M325" s="82">
        <v>5216421401937</v>
      </c>
      <c r="N325" t="str">
        <v>NUEVO MAYOR</v>
      </c>
      <c r="O325" s="89">
        <v>9572.8799999999992</v>
      </c>
      <c r="P325" s="89" t="str">
        <v/>
      </c>
      <c r="Q325" s="89">
        <v>2871.86</v>
      </c>
      <c r="R325" s="89">
        <v>2871.86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>
        <v>1</v>
      </c>
    </row>
    <row r="326" spans="1:24">
      <c r="A326" s="26" t="str">
        <v/>
      </c>
      <c r="B326" s="87" t="str">
        <v>18/07/2026 12:36</v>
      </c>
      <c r="C326" s="87">
        <v>46221.53402777778</v>
      </c>
      <c r="D326" t="str">
        <v>anónimo</v>
      </c>
      <c r="E326" t="str">
        <v/>
      </c>
      <c r="F326" s="68">
        <v>46221</v>
      </c>
      <c r="G326" s="88" t="str">
        <v>18/07/2026</v>
      </c>
      <c r="H326" t="str">
        <v>LILIANA MARTINEZ SUR</v>
      </c>
      <c r="I326" t="str">
        <v>SUSANA HERRERA MARTINEZ</v>
      </c>
      <c r="J326" s="82">
        <v>24796308211</v>
      </c>
      <c r="K326" t="str">
        <v>HEMS630524MSRRRS09</v>
      </c>
      <c r="L326" s="82">
        <v>22811300</v>
      </c>
      <c r="M326" s="82">
        <v>5216333359202</v>
      </c>
      <c r="N326" t="str">
        <v>RESTRINGIDA</v>
      </c>
      <c r="O326" s="89">
        <v>9081.52</v>
      </c>
      <c r="P326" s="89">
        <v>2517.33</v>
      </c>
      <c r="Q326" s="89">
        <v>2724.46</v>
      </c>
      <c r="R326" s="89">
        <v>207.13</v>
      </c>
      <c r="S326">
        <v>46029</v>
      </c>
      <c r="T326" t="str">
        <v/>
      </c>
      <c r="U326" t="str">
        <v/>
      </c>
      <c r="V326" t="str">
        <v/>
      </c>
      <c r="W326" t="str">
        <v/>
      </c>
      <c r="X326">
        <v>2</v>
      </c>
    </row>
    <row r="327" spans="1:24">
      <c r="A327" s="26" t="str">
        <v/>
      </c>
      <c r="B327" s="87" t="str">
        <v>18/07/2026 13:22</v>
      </c>
      <c r="C327" s="87">
        <v>46221.557638888888</v>
      </c>
      <c r="D327" t="str">
        <v>anónimo</v>
      </c>
      <c r="E327" t="str">
        <v/>
      </c>
      <c r="F327" s="68">
        <v>46221</v>
      </c>
      <c r="G327" s="88" t="str">
        <v>17/07/2026</v>
      </c>
      <c r="H327" t="str">
        <v>YULIANA RODRIGUEZ C/C</v>
      </c>
      <c r="I327" t="str">
        <v xml:space="preserve">GRACIELA GONZALEZ GALICIA </v>
      </c>
      <c r="J327" s="82" t="str">
        <v/>
      </c>
      <c r="K327" t="str">
        <v>GOGG560701MSPNLR09</v>
      </c>
      <c r="L327" s="82">
        <v>22790240</v>
      </c>
      <c r="M327" s="82">
        <v>5214441113827</v>
      </c>
      <c r="N327" t="str">
        <v>NUEVO MAYOR</v>
      </c>
      <c r="O327" s="89">
        <v>6262.86</v>
      </c>
      <c r="P327" s="89" t="str">
        <v/>
      </c>
      <c r="Q327" s="89">
        <v>1878.86</v>
      </c>
      <c r="R327" s="89">
        <v>1878.86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>
        <v>1</v>
      </c>
    </row>
    <row r="328" spans="1:24">
      <c r="A328" s="26" t="str">
        <v/>
      </c>
      <c r="B328" s="87" t="str">
        <v>18/07/2026 11:30</v>
      </c>
      <c r="C328" s="87">
        <v>46221.618750000001</v>
      </c>
      <c r="D328" t="str">
        <v>anónimo</v>
      </c>
      <c r="E328" t="str">
        <v/>
      </c>
      <c r="F328" s="68">
        <v>46221</v>
      </c>
      <c r="G328" s="88">
        <v>46119</v>
      </c>
      <c r="H328" t="str">
        <v>MARA HERNANDEZ SUR</v>
      </c>
      <c r="I328" t="str">
        <v/>
      </c>
      <c r="J328" s="82">
        <v>11775826297</v>
      </c>
      <c r="K328" t="str">
        <v/>
      </c>
      <c r="L328" s="82">
        <v>22288918</v>
      </c>
      <c r="M328" s="82">
        <v>5219843122690</v>
      </c>
      <c r="N328" t="str">
        <v>NUEVO MAYOR</v>
      </c>
      <c r="O328" s="89">
        <v>10905.17</v>
      </c>
      <c r="P328" s="89" t="str">
        <v/>
      </c>
      <c r="Q328" s="89">
        <v>3271.55</v>
      </c>
      <c r="R328" s="89">
        <v>3271.55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>
        <v>1</v>
      </c>
    </row>
    <row r="329" spans="1:24">
      <c r="A329" s="26" t="str">
        <v/>
      </c>
      <c r="B329" s="87" t="str">
        <v>18/07/2026 15:06</v>
      </c>
      <c r="C329" s="87">
        <v>46221.630555555559</v>
      </c>
      <c r="D329" t="str">
        <v>anónimo</v>
      </c>
      <c r="E329" t="str">
        <v/>
      </c>
      <c r="F329" s="68">
        <v>46221</v>
      </c>
      <c r="G329" s="88" t="str">
        <v>18/07/2026</v>
      </c>
      <c r="H329" t="str">
        <v>GIOVANNI MELGAR</v>
      </c>
      <c r="I329" t="str">
        <v>JOSE ANDRES BORREGO JUAREZ</v>
      </c>
      <c r="J329" s="82">
        <v>43806168720</v>
      </c>
      <c r="K329" t="str">
        <v>BOJA611127HTSRRN09</v>
      </c>
      <c r="L329" s="82">
        <v>22815404</v>
      </c>
      <c r="M329" s="82">
        <v>5218126434144</v>
      </c>
      <c r="N329" t="str">
        <v>COMPRA MENOR</v>
      </c>
      <c r="O329" s="89">
        <v>12220.53</v>
      </c>
      <c r="P329" s="89">
        <v>3392.85</v>
      </c>
      <c r="Q329" s="89">
        <v>3666.16</v>
      </c>
      <c r="R329" s="89">
        <v>273.31</v>
      </c>
      <c r="S329">
        <v>45302</v>
      </c>
      <c r="T329" t="str">
        <v/>
      </c>
      <c r="U329" t="str">
        <v/>
      </c>
      <c r="V329" t="str">
        <v/>
      </c>
      <c r="W329" t="str">
        <v/>
      </c>
      <c r="X329">
        <v>2</v>
      </c>
    </row>
    <row r="330" spans="1:24">
      <c r="A330" s="26" t="str">
        <v/>
      </c>
      <c r="B330" s="87" t="str">
        <v>18/07/2026 15:18</v>
      </c>
      <c r="C330" s="87">
        <v>46221.638194444444</v>
      </c>
      <c r="D330" t="str">
        <v>anónimo</v>
      </c>
      <c r="E330" t="str">
        <v/>
      </c>
      <c r="F330" s="68">
        <v>46221</v>
      </c>
      <c r="G330" s="88" t="str">
        <v>18/07/2026</v>
      </c>
      <c r="H330" t="str">
        <v>LITZY MARTINEZ C/C</v>
      </c>
      <c r="I330" t="str">
        <v xml:space="preserve">JOSE LUIS JIMENEZ </v>
      </c>
      <c r="J330" s="82">
        <v>11816122615</v>
      </c>
      <c r="K330" t="str">
        <v/>
      </c>
      <c r="L330" s="82">
        <v>22816620</v>
      </c>
      <c r="M330" s="82">
        <v>5219981668517</v>
      </c>
      <c r="N330" t="str">
        <v>COMPRA MAYOR</v>
      </c>
      <c r="O330" s="89">
        <v>7059.87</v>
      </c>
      <c r="P330" s="89">
        <v>2117.96</v>
      </c>
      <c r="Q330" s="89">
        <v>2117.96</v>
      </c>
      <c r="R330" s="89">
        <v>0</v>
      </c>
      <c r="S330">
        <v>46028</v>
      </c>
      <c r="T330" t="str">
        <v/>
      </c>
      <c r="U330" t="str">
        <v/>
      </c>
      <c r="V330" t="str">
        <v/>
      </c>
      <c r="W330" t="str">
        <v/>
      </c>
      <c r="X330">
        <v>2</v>
      </c>
    </row>
    <row r="331" spans="1:24">
      <c r="A331" s="26" t="str">
        <v/>
      </c>
      <c r="B331" s="87" t="str">
        <v>18/07/2026 15:41</v>
      </c>
      <c r="C331" s="87">
        <v>46221.654166666667</v>
      </c>
      <c r="D331" t="str">
        <v>anónimo</v>
      </c>
      <c r="E331" t="str">
        <v/>
      </c>
      <c r="F331" s="68">
        <v>46221</v>
      </c>
      <c r="G331" s="88" t="str">
        <v>18/07/2026</v>
      </c>
      <c r="H331" t="str">
        <v>GLORIA ORTIZ C/C</v>
      </c>
      <c r="I331" t="str">
        <v>FILOGONIO RAMIREZ HERNANDEZ</v>
      </c>
      <c r="J331" s="82" t="str">
        <v/>
      </c>
      <c r="K331" t="str">
        <v>RAHF611220HVZMRL07</v>
      </c>
      <c r="L331" s="82">
        <v>22817806</v>
      </c>
      <c r="M331" s="82">
        <v>5216861440714</v>
      </c>
      <c r="N331" t="str">
        <v>RESTRINGIDA</v>
      </c>
      <c r="O331" s="89">
        <v>6262.86</v>
      </c>
      <c r="P331" s="89">
        <v>1656.97</v>
      </c>
      <c r="Q331" s="89">
        <v>1878.86</v>
      </c>
      <c r="R331" s="89">
        <v>221.89</v>
      </c>
      <c r="S331">
        <v>45663</v>
      </c>
      <c r="T331" t="str">
        <v>CONSUBANCO</v>
      </c>
      <c r="U331" t="str">
        <v/>
      </c>
      <c r="V331" t="str">
        <v/>
      </c>
      <c r="W331" t="str">
        <v/>
      </c>
      <c r="X331">
        <v>2</v>
      </c>
    </row>
    <row r="332" spans="1:24">
      <c r="A332" s="26" t="str">
        <v/>
      </c>
      <c r="B332" s="87" t="str">
        <v>19/07/2026 08:07</v>
      </c>
      <c r="C332" s="87">
        <v>46222.356944444444</v>
      </c>
      <c r="D332" t="str">
        <v>anónimo</v>
      </c>
      <c r="E332" t="str">
        <v/>
      </c>
      <c r="F332" s="68">
        <v>46222</v>
      </c>
      <c r="G332" s="88" t="str">
        <v>18/07/2026</v>
      </c>
      <c r="H332" t="str">
        <v>GUADALUPE BECERRA C/C</v>
      </c>
      <c r="I332" t="str">
        <v>ARACELI JIMENEZ MIRANDA</v>
      </c>
      <c r="J332" s="82">
        <v>83886944525</v>
      </c>
      <c r="K332" t="str">
        <v>JIMA751109MTCMRR09</v>
      </c>
      <c r="L332" s="82">
        <v>22821306</v>
      </c>
      <c r="M332" s="82">
        <v>5219933980111</v>
      </c>
      <c r="N332" t="str">
        <v>NUEVO MAYOR</v>
      </c>
      <c r="O332" s="89">
        <v>9243.5300000000007</v>
      </c>
      <c r="P332" s="89" t="str">
        <v/>
      </c>
      <c r="Q332" s="89">
        <v>2773.06</v>
      </c>
      <c r="R332" s="89">
        <v>2773.06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>
        <v>1</v>
      </c>
    </row>
    <row r="333" spans="1:24">
      <c r="A333" s="26" t="str">
        <v/>
      </c>
      <c r="B333" s="87" t="str">
        <v>19/07/2026 07:59</v>
      </c>
      <c r="C333" s="87">
        <v>46222.366666666669</v>
      </c>
      <c r="D333" t="str">
        <v>anónimo</v>
      </c>
      <c r="E333" t="str">
        <v/>
      </c>
      <c r="F333" s="68">
        <v>46222</v>
      </c>
      <c r="G333" s="88" t="str">
        <v>18/07/2026</v>
      </c>
      <c r="H333" t="str">
        <v>LITZY MARTINEZ C/C</v>
      </c>
      <c r="I333" t="str">
        <v xml:space="preserve">FRANCISCO JAVIER OCHOA GARCIA </v>
      </c>
      <c r="J333" s="82" t="str">
        <v/>
      </c>
      <c r="K333" t="str">
        <v>OOGF640616HSPCRR07</v>
      </c>
      <c r="L333" s="82">
        <v>22820370</v>
      </c>
      <c r="M333" s="82">
        <v>5215656690153</v>
      </c>
      <c r="N333" t="str">
        <v>NUEVO MAYOR</v>
      </c>
      <c r="O333" s="89">
        <v>9760.32</v>
      </c>
      <c r="P333" s="89" t="str">
        <v/>
      </c>
      <c r="Q333" s="89">
        <v>2928.1</v>
      </c>
      <c r="R333" s="89">
        <v>2928.1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>
        <v>1</v>
      </c>
    </row>
    <row r="334" spans="1:24">
      <c r="A334" s="26" t="str">
        <v/>
      </c>
      <c r="B334" s="87" t="str">
        <v>19/07/2026 09:55</v>
      </c>
      <c r="C334" s="87">
        <v>46222.414583333331</v>
      </c>
      <c r="D334" t="str">
        <v>anónimo</v>
      </c>
      <c r="E334" t="str">
        <v/>
      </c>
      <c r="F334" s="68">
        <v>46222</v>
      </c>
      <c r="G334" s="88" t="str">
        <v>18/07/2026</v>
      </c>
      <c r="H334" t="str">
        <v>GUADALUPE BECERRA C/C</v>
      </c>
      <c r="I334" t="str">
        <v>MARIA AURORA MARTINEZ CARDONA</v>
      </c>
      <c r="J334" s="82" t="str">
        <v/>
      </c>
      <c r="K334" t="str">
        <v>MACA650712MNLRRR09</v>
      </c>
      <c r="L334" s="82">
        <v>22823870</v>
      </c>
      <c r="M334" s="82">
        <v>5218117154936</v>
      </c>
      <c r="N334" t="str">
        <v>NUEVO MAYOR</v>
      </c>
      <c r="O334" s="89">
        <v>10636.54</v>
      </c>
      <c r="P334" s="89" t="str">
        <v/>
      </c>
      <c r="Q334" s="89">
        <v>3190.96</v>
      </c>
      <c r="R334" s="89">
        <v>3190.96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>
        <v>1</v>
      </c>
    </row>
    <row r="335" spans="1:24">
      <c r="A335" s="26" t="str">
        <v/>
      </c>
      <c r="B335" s="87" t="str">
        <v>19/07/2026 10:33</v>
      </c>
      <c r="C335" s="87">
        <v>46222.440972222219</v>
      </c>
      <c r="D335" t="str">
        <v>anónimo</v>
      </c>
      <c r="E335" t="str">
        <v/>
      </c>
      <c r="F335" s="68">
        <v>46222</v>
      </c>
      <c r="G335" s="88" t="str">
        <v>19/07/2026</v>
      </c>
      <c r="H335" t="str">
        <v>GUADALUPE BECERRA C/C</v>
      </c>
      <c r="I335" t="str">
        <v>CRESENCIO GUTIERREZ</v>
      </c>
      <c r="J335" s="82">
        <v>32826372024</v>
      </c>
      <c r="K335" t="str">
        <v/>
      </c>
      <c r="L335" s="82">
        <v>22829318</v>
      </c>
      <c r="M335" s="82">
        <v>5214464953092</v>
      </c>
      <c r="N335" t="str">
        <v>COMPRA MAYOR</v>
      </c>
      <c r="O335" s="89">
        <v>9081.52</v>
      </c>
      <c r="P335" s="89">
        <v>2723.79</v>
      </c>
      <c r="Q335" s="89">
        <v>2724.46</v>
      </c>
      <c r="R335" s="89">
        <v>0.67</v>
      </c>
      <c r="S335">
        <v>46028</v>
      </c>
      <c r="T335" t="str">
        <v/>
      </c>
      <c r="U335" t="str">
        <v/>
      </c>
      <c r="V335" t="str">
        <v/>
      </c>
      <c r="W335" t="str">
        <v/>
      </c>
      <c r="X335">
        <v>2</v>
      </c>
    </row>
    <row r="336" spans="1:24">
      <c r="A336" s="26" t="str">
        <v/>
      </c>
      <c r="B336" s="87" t="str">
        <v>19/07/2026 14:18</v>
      </c>
      <c r="C336" s="87">
        <v>46222.597222222219</v>
      </c>
      <c r="D336" t="str">
        <v>anónimo</v>
      </c>
      <c r="E336" t="str">
        <v/>
      </c>
      <c r="F336" s="68">
        <v>46222</v>
      </c>
      <c r="G336" s="88" t="str">
        <v>19/07/2026</v>
      </c>
      <c r="H336" t="str">
        <v>GLORIA ORTIZ C/C</v>
      </c>
      <c r="I336" t="str">
        <v>GRACIELA GONZALEZ</v>
      </c>
      <c r="J336" s="82">
        <v>21846691109</v>
      </c>
      <c r="K336" t="str">
        <v/>
      </c>
      <c r="L336" s="82">
        <v>22832724</v>
      </c>
      <c r="M336" s="82">
        <v>5215532978550</v>
      </c>
      <c r="N336" t="str">
        <v>COMPRA MENOR</v>
      </c>
      <c r="O336" s="89">
        <v>5048.7299999999996</v>
      </c>
      <c r="P336" s="89">
        <v>771.32</v>
      </c>
      <c r="Q336" s="89">
        <v>1514.62</v>
      </c>
      <c r="R336" s="89">
        <v>104.43</v>
      </c>
      <c r="S336">
        <v>45663</v>
      </c>
      <c r="T336" t="str">
        <v/>
      </c>
      <c r="U336" t="str">
        <v/>
      </c>
      <c r="V336" t="str">
        <v/>
      </c>
      <c r="W336" t="str">
        <v/>
      </c>
      <c r="X336">
        <v>0</v>
      </c>
    </row>
    <row r="337" spans="1:24">
      <c r="A337" s="26" t="str">
        <v/>
      </c>
      <c r="B337" s="87" t="str">
        <v>19/07/2026 14:22</v>
      </c>
      <c r="C337" s="87">
        <v>46222.599305555559</v>
      </c>
      <c r="D337" t="str">
        <v>anónimo</v>
      </c>
      <c r="E337" t="str">
        <v/>
      </c>
      <c r="F337" s="68">
        <v>46222</v>
      </c>
      <c r="G337" s="88" t="str">
        <v>18/07/2026</v>
      </c>
      <c r="H337" t="str">
        <v>HANIA GARCIA</v>
      </c>
      <c r="I337" t="str">
        <v>Gustavo Hernandez Guzman</v>
      </c>
      <c r="J337" s="82" t="str">
        <v/>
      </c>
      <c r="K337" t="str">
        <v>HEGG430802HTLRZS06</v>
      </c>
      <c r="L337" s="82">
        <v>22823484</v>
      </c>
      <c r="M337" s="82">
        <v>7481079313</v>
      </c>
      <c r="N337" t="str">
        <v>NUEVO MAYOR</v>
      </c>
      <c r="O337" s="89">
        <v>8504.61</v>
      </c>
      <c r="P337" s="89" t="str">
        <v/>
      </c>
      <c r="Q337" s="89">
        <v>2551.38</v>
      </c>
      <c r="R337" s="89">
        <v>2551.38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>
        <v>1</v>
      </c>
    </row>
    <row r="338" spans="1:24">
      <c r="A338" s="26" t="str">
        <v/>
      </c>
      <c r="B338" s="87" t="str">
        <v>19/07/2026 16:29</v>
      </c>
      <c r="C338" s="87">
        <v>46222.6875</v>
      </c>
      <c r="D338" t="str">
        <v>anónimo</v>
      </c>
      <c r="E338" t="str">
        <v/>
      </c>
      <c r="F338" s="68">
        <v>46222</v>
      </c>
      <c r="G338" s="88" t="str">
        <v>18/07/2026</v>
      </c>
      <c r="H338" t="str">
        <v>LITZY MARTINEZ C/C</v>
      </c>
      <c r="I338" t="str">
        <v>Miguel angel Villela Toledo</v>
      </c>
      <c r="J338" s="82" t="str">
        <v/>
      </c>
      <c r="K338" t="str">
        <v>VITM580929HSRLLG00</v>
      </c>
      <c r="L338" s="82">
        <v>22820720</v>
      </c>
      <c r="M338" s="82">
        <v>5216228554709</v>
      </c>
      <c r="N338" t="str">
        <v>COMPRA MAYOR</v>
      </c>
      <c r="O338" s="89">
        <v>5617.63</v>
      </c>
      <c r="P338" s="89">
        <v>1335.16</v>
      </c>
      <c r="Q338" s="89">
        <v>1685.29</v>
      </c>
      <c r="R338" s="89">
        <v>109.49</v>
      </c>
      <c r="S338">
        <v>46029</v>
      </c>
      <c r="T338" t="str">
        <v/>
      </c>
      <c r="U338" t="str">
        <v/>
      </c>
      <c r="V338" t="str">
        <v/>
      </c>
      <c r="W338" t="str">
        <v/>
      </c>
      <c r="X338">
        <v>2</v>
      </c>
    </row>
    <row r="339" spans="1:24">
      <c r="A339" s="26" t="str">
        <v/>
      </c>
      <c r="B339" s="87" t="str">
        <v>19/07/2026 16:51</v>
      </c>
      <c r="C339" s="87">
        <v>46222.702777777777</v>
      </c>
      <c r="D339" t="str">
        <v>anónimo</v>
      </c>
      <c r="E339" t="str">
        <v/>
      </c>
      <c r="F339" s="68">
        <v>46222</v>
      </c>
      <c r="G339" s="88" t="str">
        <v>19/07/2026</v>
      </c>
      <c r="H339" t="str">
        <v>ANA VILLEGAS C/C</v>
      </c>
      <c r="I339" t="str">
        <v>Antonio</v>
      </c>
      <c r="J339" s="82">
        <v>54785946317</v>
      </c>
      <c r="K339" t="str">
        <v/>
      </c>
      <c r="L339" s="82">
        <v>22830770</v>
      </c>
      <c r="M339" s="82">
        <v>5213316791210</v>
      </c>
      <c r="N339" t="str">
        <v>COMPRA MAYOR</v>
      </c>
      <c r="O339" s="89">
        <v>7920.61</v>
      </c>
      <c r="P339" s="89">
        <v>2199.12</v>
      </c>
      <c r="Q339" s="89">
        <v>2376.1799999999998</v>
      </c>
      <c r="R339" s="89">
        <v>177.06</v>
      </c>
      <c r="S339">
        <v>46024</v>
      </c>
      <c r="T339" t="str">
        <v/>
      </c>
      <c r="U339" t="str">
        <v/>
      </c>
      <c r="V339" t="str">
        <v/>
      </c>
      <c r="W339" t="str">
        <v/>
      </c>
      <c r="X339">
        <v>2</v>
      </c>
    </row>
    <row r="340" spans="1:24">
      <c r="A340" s="26" t="str">
        <v/>
      </c>
      <c r="B340" s="87" t="str">
        <v>20/07/2026 09:37</v>
      </c>
      <c r="C340" s="87">
        <v>46223.401388888888</v>
      </c>
      <c r="D340" t="str">
        <v>anónimo</v>
      </c>
      <c r="E340" t="str">
        <v/>
      </c>
      <c r="F340" s="68">
        <v>46223</v>
      </c>
      <c r="G340" s="88" t="str">
        <v>20/07/2026</v>
      </c>
      <c r="H340" t="str">
        <v>YULIANA RODRIGUEZ C/C</v>
      </c>
      <c r="I340" t="str">
        <v/>
      </c>
      <c r="J340" s="82">
        <v>85724005914</v>
      </c>
      <c r="K340" t="str">
        <v/>
      </c>
      <c r="L340" s="82">
        <v>22850352</v>
      </c>
      <c r="M340" s="82">
        <v>5219995096565</v>
      </c>
      <c r="N340" t="str">
        <v>NUEVO MAYOR</v>
      </c>
      <c r="O340" s="89">
        <v>8173.37</v>
      </c>
      <c r="P340" s="89" t="str">
        <v/>
      </c>
      <c r="Q340" s="89">
        <v>2452.0100000000002</v>
      </c>
      <c r="R340" s="89">
        <v>2452.0100000000002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>
        <v>1</v>
      </c>
    </row>
    <row r="341" spans="1:24">
      <c r="A341" s="26" t="str">
        <v/>
      </c>
      <c r="B341" s="87" t="str">
        <v>20/07/2026 09:34</v>
      </c>
      <c r="C341" s="87">
        <v>46223.404166666667</v>
      </c>
      <c r="D341" t="str">
        <v>anónimo</v>
      </c>
      <c r="E341" t="str">
        <v/>
      </c>
      <c r="F341" s="68">
        <v>46223</v>
      </c>
      <c r="G341" s="88" t="str">
        <v>13/07/2026</v>
      </c>
      <c r="H341" t="str">
        <v>MARIA MARTINEZ SUR</v>
      </c>
      <c r="I341" t="str">
        <v>Miguel Hinojosa Alejo</v>
      </c>
      <c r="J341" s="82">
        <v>5487663235</v>
      </c>
      <c r="K341" t="str">
        <v>HIAM660425HJCNLG09</v>
      </c>
      <c r="L341" s="82">
        <v>22632496</v>
      </c>
      <c r="M341" s="82">
        <v>5213931079319</v>
      </c>
      <c r="N341" t="str">
        <v>NUEVO MAYOR</v>
      </c>
      <c r="O341" s="89">
        <v>10636.54</v>
      </c>
      <c r="P341" s="89" t="str">
        <v/>
      </c>
      <c r="Q341" s="89">
        <v>3190.96</v>
      </c>
      <c r="R341" s="89">
        <v>3190.96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>
        <v>1</v>
      </c>
    </row>
    <row r="342" spans="1:24">
      <c r="A342" s="26" t="str">
        <v/>
      </c>
      <c r="B342" s="87" t="str">
        <v>20/07/2026 09:47</v>
      </c>
      <c r="C342" s="87">
        <v>46223.408333333333</v>
      </c>
      <c r="D342" t="str">
        <v>anónimo</v>
      </c>
      <c r="E342" t="str">
        <v/>
      </c>
      <c r="F342" s="68">
        <v>46223</v>
      </c>
      <c r="G342" s="88" t="str">
        <v>19/07/2026</v>
      </c>
      <c r="H342" t="str">
        <v>YULIANA RODRIGUEZ C/C</v>
      </c>
      <c r="I342" t="str">
        <v xml:space="preserve">AGUSTIN DOMINGUEZ MORALES </v>
      </c>
      <c r="J342" s="82">
        <v>33816274352</v>
      </c>
      <c r="K342" t="str">
        <v/>
      </c>
      <c r="L342" s="82">
        <v>22835432</v>
      </c>
      <c r="M342" s="82">
        <v>5216141760553</v>
      </c>
      <c r="N342" t="str">
        <v>COMPRA MAYOR</v>
      </c>
      <c r="O342" s="89">
        <v>89588.87</v>
      </c>
      <c r="P342" s="89">
        <v>25590.77</v>
      </c>
      <c r="Q342" s="89">
        <v>26876.66</v>
      </c>
      <c r="R342" s="89">
        <v>1285.8900000000001</v>
      </c>
      <c r="S342">
        <v>46026</v>
      </c>
      <c r="T342" t="str">
        <v/>
      </c>
      <c r="U342" t="str">
        <v/>
      </c>
      <c r="V342" t="str">
        <v/>
      </c>
      <c r="W342" t="str">
        <v/>
      </c>
      <c r="X342">
        <v>2</v>
      </c>
    </row>
    <row r="343" spans="1:24">
      <c r="A343" s="26" t="str">
        <v/>
      </c>
      <c r="B343" s="87" t="str">
        <v>20/07/2026 10:37</v>
      </c>
      <c r="C343" s="87">
        <v>46223.443055555559</v>
      </c>
      <c r="D343" t="str">
        <v>anónimo</v>
      </c>
      <c r="E343" t="str">
        <v/>
      </c>
      <c r="F343" s="68">
        <v>46223</v>
      </c>
      <c r="G343" s="88" t="str">
        <v>20/07/2026</v>
      </c>
      <c r="H343" t="str">
        <v>GLORIA ORTIZ C/C</v>
      </c>
      <c r="I343" t="str">
        <v>NICOMEDES CHUC BAAS</v>
      </c>
      <c r="J343" s="82">
        <v>84796207854</v>
      </c>
      <c r="K343" t="str">
        <v>CUBN620215HYNHSC03</v>
      </c>
      <c r="L343" s="82">
        <v>22851188</v>
      </c>
      <c r="M343" s="82">
        <v>5219992049841</v>
      </c>
      <c r="N343" t="str">
        <v>COMPRA MAYOR</v>
      </c>
      <c r="O343" s="89">
        <v>7116.73</v>
      </c>
      <c r="P343" s="89">
        <v>1975.82</v>
      </c>
      <c r="Q343" s="89">
        <v>2135.02</v>
      </c>
      <c r="R343" s="89">
        <v>159.19999999999999</v>
      </c>
      <c r="S343">
        <v>45662</v>
      </c>
      <c r="T343" t="str">
        <v/>
      </c>
      <c r="U343" t="str">
        <v/>
      </c>
      <c r="V343" t="str">
        <v/>
      </c>
      <c r="W343" t="str">
        <v/>
      </c>
      <c r="X343">
        <v>2</v>
      </c>
    </row>
    <row r="344" spans="1:24">
      <c r="A344" s="26" t="str">
        <v/>
      </c>
      <c r="B344" s="87" t="str">
        <v>20/07/2026 11:10</v>
      </c>
      <c r="C344" s="87">
        <v>46223.46597222222</v>
      </c>
      <c r="D344" t="str">
        <v>anónimo</v>
      </c>
      <c r="E344" t="str">
        <v/>
      </c>
      <c r="F344" s="68">
        <v>46223</v>
      </c>
      <c r="G344" s="88" t="str">
        <v>20/07/2026</v>
      </c>
      <c r="H344" t="str">
        <v>MAGALI MARTINEZ EXT 2</v>
      </c>
      <c r="I344" t="str">
        <v>ANTONIO OLVERA TORRES</v>
      </c>
      <c r="J344" s="82">
        <v>11725389404</v>
      </c>
      <c r="K344" t="str">
        <v>OETA531218HDFLRN04</v>
      </c>
      <c r="L344" s="82">
        <v>2</v>
      </c>
      <c r="M344" s="82">
        <v>5510311711</v>
      </c>
      <c r="N344" t="str">
        <v>NUEVO MAYOR</v>
      </c>
      <c r="O344" s="89">
        <v>28673.66</v>
      </c>
      <c r="P344" s="89" t="str">
        <v/>
      </c>
      <c r="Q344" s="89">
        <v>8602.1</v>
      </c>
      <c r="R344" s="89">
        <v>8602.1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>
        <v>1</v>
      </c>
    </row>
    <row r="345" spans="1:24">
      <c r="A345" s="26" t="str">
        <v/>
      </c>
      <c r="B345" s="87" t="str">
        <v>20/07/2026 11:31</v>
      </c>
      <c r="C345" s="87">
        <v>46223.480555555558</v>
      </c>
      <c r="D345" t="str">
        <v>anónimo</v>
      </c>
      <c r="E345" t="str">
        <v/>
      </c>
      <c r="F345" s="68">
        <v>46223</v>
      </c>
      <c r="G345" s="88" t="str">
        <v>20/07/2026</v>
      </c>
      <c r="H345" t="str">
        <v>LITZY MARTINEZ C/C</v>
      </c>
      <c r="I345" t="str">
        <v>Amado Ramirez Torres</v>
      </c>
      <c r="J345" s="82">
        <v>12796320526</v>
      </c>
      <c r="K345" t="str">
        <v/>
      </c>
      <c r="L345" s="82">
        <v>22850876</v>
      </c>
      <c r="M345" s="82">
        <v>5214771907999</v>
      </c>
      <c r="N345" t="str">
        <v>NUEVO MAYOR</v>
      </c>
      <c r="O345" s="89">
        <v>9081.52</v>
      </c>
      <c r="P345" s="89">
        <v>879</v>
      </c>
      <c r="Q345" s="89">
        <v>2724.46</v>
      </c>
      <c r="R345" s="89">
        <v>1845.46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>
        <v>1</v>
      </c>
    </row>
    <row r="346" spans="1:24">
      <c r="A346" s="26" t="str">
        <v/>
      </c>
      <c r="B346" s="87" t="str">
        <v>20/07/2026 11:55</v>
      </c>
      <c r="C346" s="87">
        <v>46223.5</v>
      </c>
      <c r="D346" t="str">
        <v>anónimo</v>
      </c>
      <c r="E346" t="str">
        <v/>
      </c>
      <c r="F346" s="68">
        <v>46223</v>
      </c>
      <c r="G346" s="88" t="str">
        <v>17/07/2026</v>
      </c>
      <c r="H346" t="str">
        <v>JENNIFER AVENDAÑO SUR</v>
      </c>
      <c r="I346" t="str">
        <v>JESUS NICANDRO CUEVAS LOPEZ</v>
      </c>
      <c r="J346" s="82">
        <v>78866612316</v>
      </c>
      <c r="K346" t="str">
        <v>CULJ660617HOCVPS01</v>
      </c>
      <c r="L346" s="82">
        <v>22801232</v>
      </c>
      <c r="M346" s="82">
        <v>5219511924386</v>
      </c>
      <c r="N346" t="str">
        <v>NUEVO MAYOR</v>
      </c>
      <c r="O346" s="89">
        <v>28766.66</v>
      </c>
      <c r="P346" s="89" t="str">
        <v/>
      </c>
      <c r="Q346" s="89">
        <v>8630</v>
      </c>
      <c r="R346" s="89">
        <v>8630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>
        <v>1</v>
      </c>
    </row>
    <row r="347" spans="1:24">
      <c r="A347" s="26" t="str">
        <v/>
      </c>
      <c r="B347" s="87" t="str">
        <v>20/07/2026 12:10</v>
      </c>
      <c r="C347" s="87">
        <v>46223.507638888892</v>
      </c>
      <c r="D347" t="str">
        <v>anónimo</v>
      </c>
      <c r="E347" t="str">
        <v/>
      </c>
      <c r="F347" s="68">
        <v>46223</v>
      </c>
      <c r="G347" s="88" t="str">
        <v>20/07/2026</v>
      </c>
      <c r="H347" t="str">
        <v>HANIA GARCIA</v>
      </c>
      <c r="I347" t="str">
        <v>Jose Rafael Marquez Rivera</v>
      </c>
      <c r="J347" s="82">
        <v>41907263564</v>
      </c>
      <c r="K347" t="str">
        <v>MARR740805HSPRVF05</v>
      </c>
      <c r="L347" s="82">
        <v>22854362</v>
      </c>
      <c r="M347" s="82">
        <v>4445164923</v>
      </c>
      <c r="N347" t="str">
        <v>NUEVO MENOR</v>
      </c>
      <c r="O347" s="89">
        <v>21109.87</v>
      </c>
      <c r="P347" s="89">
        <v>5803.53</v>
      </c>
      <c r="Q347" s="89">
        <v>6332.96</v>
      </c>
      <c r="R347" s="89">
        <v>529.42999999999995</v>
      </c>
      <c r="S347">
        <v>46031</v>
      </c>
      <c r="T347" t="str">
        <v/>
      </c>
      <c r="U347" t="str">
        <v/>
      </c>
      <c r="V347" t="str">
        <v/>
      </c>
      <c r="W347" t="str">
        <v/>
      </c>
      <c r="X347">
        <v>2</v>
      </c>
    </row>
    <row r="348" spans="1:24">
      <c r="A348" s="26" t="str">
        <v/>
      </c>
      <c r="B348" s="87" t="str">
        <v>20/07/2026 12:27</v>
      </c>
      <c r="C348" s="87">
        <v>46223.519444444442</v>
      </c>
      <c r="D348" t="str">
        <v>anónimo</v>
      </c>
      <c r="E348" t="str">
        <v/>
      </c>
      <c r="F348" s="68">
        <v>46223</v>
      </c>
      <c r="G348" s="88" t="str">
        <v>20/07/2026</v>
      </c>
      <c r="H348" t="str">
        <v>YULIANA RODRIGUEZ C/C</v>
      </c>
      <c r="I348" t="str">
        <v>armando sosa desirena</v>
      </c>
      <c r="J348" s="82" t="str">
        <v/>
      </c>
      <c r="K348" t="str">
        <v>SODA700826HOCSSR07</v>
      </c>
      <c r="L348" s="82">
        <v>22854560</v>
      </c>
      <c r="M348" s="82">
        <v>5219721110973</v>
      </c>
      <c r="N348" t="str">
        <v>NUEVO MAYOR</v>
      </c>
      <c r="O348" s="89">
        <v>6928.52</v>
      </c>
      <c r="P348" s="89" t="str">
        <v/>
      </c>
      <c r="Q348" s="89">
        <v>2078.56</v>
      </c>
      <c r="R348" s="89">
        <v>2078.56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>
        <v>1</v>
      </c>
    </row>
    <row r="349" spans="1:24">
      <c r="A349" s="26" t="str">
        <v/>
      </c>
      <c r="B349" s="87" t="str">
        <v>20/07/2026 12:26</v>
      </c>
      <c r="C349" s="87">
        <v>46223.525694444441</v>
      </c>
      <c r="D349" t="str">
        <v>anónimo</v>
      </c>
      <c r="E349" t="str">
        <v/>
      </c>
      <c r="F349" s="68">
        <v>46223</v>
      </c>
      <c r="G349" s="88" t="str">
        <v>20/07/2026</v>
      </c>
      <c r="H349" t="str">
        <v>XIMENA RIVERA SUR</v>
      </c>
      <c r="I349" t="str">
        <v>ELOY RAMOS DELGADO</v>
      </c>
      <c r="J349" s="82" t="str">
        <v/>
      </c>
      <c r="K349" t="str">
        <v>RADE640221HVZMLL08</v>
      </c>
      <c r="L349" s="82">
        <v>22855208</v>
      </c>
      <c r="M349" s="82">
        <v>5212722248289</v>
      </c>
      <c r="N349" t="str">
        <v>NUEVO MAYOR</v>
      </c>
      <c r="O349" s="89">
        <v>10608.32</v>
      </c>
      <c r="P349" s="89">
        <v>848</v>
      </c>
      <c r="Q349" s="89">
        <v>3182.5</v>
      </c>
      <c r="R349" s="89">
        <v>2334.5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>
        <v>1</v>
      </c>
    </row>
    <row r="350" spans="1:24">
      <c r="A350" s="26" t="str">
        <v/>
      </c>
      <c r="B350" s="87" t="str">
        <v>20/07/2026 13:12</v>
      </c>
      <c r="C350" s="87">
        <v>46223.552083333336</v>
      </c>
      <c r="D350" t="str">
        <v>anónimo</v>
      </c>
      <c r="E350" t="str">
        <v/>
      </c>
      <c r="F350" s="68">
        <v>46223</v>
      </c>
      <c r="G350" s="88" t="str">
        <v>19/07/2026</v>
      </c>
      <c r="H350" t="str">
        <v>GUADALUPE BECERRA C/C</v>
      </c>
      <c r="I350" t="str">
        <v>CARLOS MANUEL AGUILAR PEREZ</v>
      </c>
      <c r="J350" s="82">
        <v>83846516546</v>
      </c>
      <c r="K350" t="str">
        <v/>
      </c>
      <c r="L350" s="82">
        <v>22835730</v>
      </c>
      <c r="M350" s="82">
        <v>16479171403</v>
      </c>
      <c r="N350" t="str">
        <v>NUEVO MENOR</v>
      </c>
      <c r="O350" s="89">
        <v>11029.03</v>
      </c>
      <c r="P350" s="89">
        <v>2976</v>
      </c>
      <c r="Q350" s="89">
        <v>3308.71</v>
      </c>
      <c r="R350" s="89">
        <v>332.71</v>
      </c>
      <c r="S350">
        <v>46759</v>
      </c>
      <c r="T350" t="str">
        <v>CONSUPAGO</v>
      </c>
      <c r="U350" t="str">
        <v/>
      </c>
      <c r="V350" t="str">
        <v/>
      </c>
      <c r="W350" t="str">
        <v/>
      </c>
      <c r="X350">
        <v>2</v>
      </c>
    </row>
    <row r="351" spans="1:24">
      <c r="A351" s="26" t="str">
        <v/>
      </c>
      <c r="B351" s="87" t="str">
        <v>20/07/2026 13:53</v>
      </c>
      <c r="C351" s="87">
        <v>46223.579861111109</v>
      </c>
      <c r="D351" t="str">
        <v>anónimo</v>
      </c>
      <c r="E351" t="str">
        <v/>
      </c>
      <c r="F351" s="68">
        <v>46223</v>
      </c>
      <c r="G351" s="88" t="str">
        <v>18/07/2026</v>
      </c>
      <c r="H351" t="str">
        <v>DULCE FRANCO</v>
      </c>
      <c r="I351" t="str">
        <v>JOSE LORENZO LOPEZ SALAZAR</v>
      </c>
      <c r="J351" s="82" t="str">
        <v/>
      </c>
      <c r="K351" t="str">
        <v>LOSL610920HYNPLR05</v>
      </c>
      <c r="L351" s="82">
        <v>22817598</v>
      </c>
      <c r="M351" s="82">
        <v>5219841678646</v>
      </c>
      <c r="N351" t="str">
        <v>RESTRINGIDA</v>
      </c>
      <c r="O351" s="89">
        <v>6262.86</v>
      </c>
      <c r="P351" s="89">
        <v>877.42</v>
      </c>
      <c r="Q351" s="89">
        <v>1878.86</v>
      </c>
      <c r="R351" s="89">
        <v>1001.44</v>
      </c>
      <c r="S351">
        <v>45665</v>
      </c>
      <c r="T351" t="str">
        <v>FISOFO</v>
      </c>
      <c r="U351" t="str">
        <v/>
      </c>
      <c r="V351" t="str">
        <v/>
      </c>
      <c r="W351" t="str">
        <v/>
      </c>
      <c r="X351">
        <v>2</v>
      </c>
    </row>
    <row r="352" spans="1:24">
      <c r="A352" s="26" t="str">
        <v/>
      </c>
      <c r="B352" s="87" t="str">
        <v>20/07/2026 14:01</v>
      </c>
      <c r="C352" s="87">
        <v>46223.586111111108</v>
      </c>
      <c r="D352" t="str">
        <v>anónimo</v>
      </c>
      <c r="E352" t="str">
        <v/>
      </c>
      <c r="F352" s="68">
        <v>46223</v>
      </c>
      <c r="G352" s="88" t="str">
        <v>20/07/2026</v>
      </c>
      <c r="H352" t="str">
        <v>DEYANIRA CORDOVA C/C</v>
      </c>
      <c r="I352" t="str">
        <v xml:space="preserve">Porfirio </v>
      </c>
      <c r="J352" s="82">
        <v>54806302268</v>
      </c>
      <c r="K352" t="str">
        <v/>
      </c>
      <c r="L352" s="82">
        <v>22840114</v>
      </c>
      <c r="M352" s="82">
        <v>3325985087</v>
      </c>
      <c r="N352" t="str">
        <v>COMPRA MAYOR</v>
      </c>
      <c r="O352" s="89">
        <v>7920.51</v>
      </c>
      <c r="P352" s="89">
        <v>2168.1</v>
      </c>
      <c r="Q352" s="89">
        <v>2376.15</v>
      </c>
      <c r="R352" s="89">
        <v>208.05</v>
      </c>
      <c r="S352">
        <v>46024</v>
      </c>
      <c r="T352" t="str">
        <v/>
      </c>
      <c r="U352" t="str">
        <v/>
      </c>
      <c r="V352" t="str">
        <v/>
      </c>
      <c r="W352" t="str">
        <v/>
      </c>
      <c r="X352">
        <v>2</v>
      </c>
    </row>
    <row r="353" spans="1:24">
      <c r="A353" s="26" t="str">
        <v/>
      </c>
      <c r="B353" s="87" t="str">
        <v>20/07/2026 14:15</v>
      </c>
      <c r="C353" s="87">
        <v>46223.595833333333</v>
      </c>
      <c r="D353" t="str">
        <v>anónimo</v>
      </c>
      <c r="E353" t="str">
        <v/>
      </c>
      <c r="F353" s="68">
        <v>46223</v>
      </c>
      <c r="G353" s="88" t="str">
        <v>17/07/2026</v>
      </c>
      <c r="H353" t="str">
        <v>GUADALUPE BECERRA C/C</v>
      </c>
      <c r="I353" t="str">
        <v>José Antonio Juárez Bonilla</v>
      </c>
      <c r="J353" s="82">
        <v>62896400280</v>
      </c>
      <c r="K353" t="str">
        <v/>
      </c>
      <c r="L353" s="82">
        <v>22796460</v>
      </c>
      <c r="M353" s="82">
        <v>5212215819449</v>
      </c>
      <c r="N353" t="str">
        <v>NUEVO MAYOR</v>
      </c>
      <c r="O353" s="89">
        <v>11438.97</v>
      </c>
      <c r="P353" s="89">
        <v>848</v>
      </c>
      <c r="Q353" s="89">
        <v>3431.69</v>
      </c>
      <c r="R353" s="89">
        <v>2583.69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>
        <v>1</v>
      </c>
    </row>
    <row r="354" spans="1:24">
      <c r="A354" s="26" t="str">
        <v/>
      </c>
      <c r="B354" s="87" t="str">
        <v>20/07/2026 15:16</v>
      </c>
      <c r="C354" s="87">
        <v>46223.637499999997</v>
      </c>
      <c r="D354" t="str">
        <v>anónimo</v>
      </c>
      <c r="E354" t="str">
        <v/>
      </c>
      <c r="F354" s="68">
        <v>46223</v>
      </c>
      <c r="G354" s="88" t="str">
        <v>20/07/2026</v>
      </c>
      <c r="H354" t="str">
        <v>DULCE FRANCO</v>
      </c>
      <c r="I354" t="str">
        <v>MARIA IRENE GUZMAN MARTINEZ</v>
      </c>
      <c r="J354" s="82">
        <v>1766018350</v>
      </c>
      <c r="K354" t="str">
        <v>GUMI600221MDFZRR05</v>
      </c>
      <c r="L354" s="82">
        <v>22841462</v>
      </c>
      <c r="M354" s="82">
        <v>5215618821685</v>
      </c>
      <c r="N354" t="str">
        <v>NUEVO MAYOR</v>
      </c>
      <c r="O354" s="89">
        <v>9225.4</v>
      </c>
      <c r="P354" s="89" t="str">
        <v/>
      </c>
      <c r="Q354" s="89">
        <v>2767.62</v>
      </c>
      <c r="R354" s="89">
        <v>2767.62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>
        <v>1</v>
      </c>
    </row>
    <row r="355" spans="1:24">
      <c r="A355" s="26" t="str">
        <v/>
      </c>
      <c r="B355" s="87" t="str">
        <v>20/07/2026 15:25</v>
      </c>
      <c r="C355" s="87">
        <v>46223.646527777775</v>
      </c>
      <c r="D355" t="str">
        <v>anónimo</v>
      </c>
      <c r="E355" t="str">
        <v/>
      </c>
      <c r="F355" s="68">
        <v>46223</v>
      </c>
      <c r="G355" s="88" t="str">
        <v>20/07/2026</v>
      </c>
      <c r="H355" t="str">
        <v>MARIA MARTINEZ SUR</v>
      </c>
      <c r="I355" t="str">
        <v>TERESA GABRIELA RANGEL TOVAR</v>
      </c>
      <c r="J355" s="82">
        <v>50917558558</v>
      </c>
      <c r="K355" t="str">
        <v>RATT760414MCHNVR01</v>
      </c>
      <c r="L355" s="82">
        <v>22859274</v>
      </c>
      <c r="M355" s="82">
        <v>5216143696836</v>
      </c>
      <c r="N355" t="str">
        <v>NUEVO MENOR</v>
      </c>
      <c r="O355" s="89">
        <v>5636.59</v>
      </c>
      <c r="P355" s="89">
        <v>919.44</v>
      </c>
      <c r="Q355" s="89">
        <v>1690.98</v>
      </c>
      <c r="R355" s="89">
        <v>544.16999999999996</v>
      </c>
      <c r="S355">
        <v>46758</v>
      </c>
      <c r="T355" t="str">
        <v/>
      </c>
      <c r="U355" t="str">
        <v/>
      </c>
      <c r="V355" t="str">
        <v/>
      </c>
      <c r="W355" t="str">
        <v/>
      </c>
      <c r="X355">
        <v>2</v>
      </c>
    </row>
    <row r="356" spans="1:24">
      <c r="A356" s="26" t="str">
        <v/>
      </c>
      <c r="B356" s="87" t="str">
        <v>20/07/2026 15:31</v>
      </c>
      <c r="C356" s="87">
        <v>46223.647916666669</v>
      </c>
      <c r="D356" t="str">
        <v>anónimo</v>
      </c>
      <c r="E356" t="str">
        <v/>
      </c>
      <c r="F356" s="68">
        <v>46223</v>
      </c>
      <c r="G356" s="88">
        <v>46210</v>
      </c>
      <c r="H356" t="str">
        <v>GUADALUPE BECERRA C/C</v>
      </c>
      <c r="I356" t="str">
        <v>María Olga Soto Rodriguez</v>
      </c>
      <c r="J356" s="82">
        <v>23856923273</v>
      </c>
      <c r="K356" t="str">
        <v/>
      </c>
      <c r="L356" s="82">
        <v>22444514</v>
      </c>
      <c r="M356" s="82">
        <v>5216692300558</v>
      </c>
      <c r="N356" t="str">
        <v>NUEVO MAYOR</v>
      </c>
      <c r="O356" s="89">
        <v>8793.09</v>
      </c>
      <c r="P356" s="89" t="str">
        <v/>
      </c>
      <c r="Q356" s="89">
        <v>2637.93</v>
      </c>
      <c r="R356" s="89">
        <v>2637.93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>
        <v>1</v>
      </c>
    </row>
    <row r="357" spans="1:24">
      <c r="A357" s="26" t="str">
        <v/>
      </c>
      <c r="B357" s="87" t="str">
        <v>20/07/2026 15:37</v>
      </c>
      <c r="C357" s="87">
        <v>46223.652777777781</v>
      </c>
      <c r="D357" t="str">
        <v>anónimo</v>
      </c>
      <c r="E357" t="str">
        <v/>
      </c>
      <c r="F357" s="68">
        <v>46223</v>
      </c>
      <c r="G357" s="88" t="str">
        <v>20/07/2026</v>
      </c>
      <c r="H357" t="str">
        <v>ALAN ALTAMIRANO EXT</v>
      </c>
      <c r="I357" t="str">
        <v xml:space="preserve">CLEMENTE VEGA GONZALEZ </v>
      </c>
      <c r="J357" s="82">
        <v>32816303559</v>
      </c>
      <c r="K357" t="str">
        <v/>
      </c>
      <c r="L357" s="82">
        <v>1</v>
      </c>
      <c r="M357" s="82">
        <v>8713949086</v>
      </c>
      <c r="N357" t="str">
        <v>NUEVO MAYOR</v>
      </c>
      <c r="O357" s="89">
        <v>9094.9599999999991</v>
      </c>
      <c r="P357" s="89" t="str">
        <v/>
      </c>
      <c r="Q357" s="89">
        <v>2728.49</v>
      </c>
      <c r="R357" s="89">
        <v>2728.49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>
        <v>1</v>
      </c>
    </row>
    <row r="358" spans="1:24">
      <c r="A358" s="26" t="str">
        <v/>
      </c>
      <c r="B358" s="87" t="str">
        <v>20/07/2026 15:33</v>
      </c>
      <c r="C358" s="87">
        <v>46223.65347222222</v>
      </c>
      <c r="D358" t="str">
        <v>anónimo</v>
      </c>
      <c r="E358" t="str">
        <v/>
      </c>
      <c r="F358" s="68">
        <v>46223</v>
      </c>
      <c r="G358" s="88" t="str">
        <v>20/07/2026</v>
      </c>
      <c r="H358" t="str">
        <v>XIMENA RIVERA SUR</v>
      </c>
      <c r="I358" t="str">
        <v>MIGUEL DOMINGUEZ FERNANDEZ</v>
      </c>
      <c r="J358" s="82" t="str">
        <v/>
      </c>
      <c r="K358" t="str">
        <v>DOFM600820HDFMRG02</v>
      </c>
      <c r="L358" s="82">
        <v>22857254</v>
      </c>
      <c r="M358" s="82">
        <v>5215539931611</v>
      </c>
      <c r="N358" t="str">
        <v>NUEVO MAYOR</v>
      </c>
      <c r="O358" s="89">
        <v>9760.32</v>
      </c>
      <c r="P358" s="89">
        <v>1619.44</v>
      </c>
      <c r="Q358" s="89">
        <v>2928.1</v>
      </c>
      <c r="R358" s="89">
        <v>1308.6600000000001</v>
      </c>
      <c r="S358">
        <v>46759</v>
      </c>
      <c r="T358" t="str">
        <v>CONSUPAGO</v>
      </c>
      <c r="U358" t="str">
        <v/>
      </c>
      <c r="V358" t="str">
        <v/>
      </c>
      <c r="W358" t="str">
        <v/>
      </c>
      <c r="X358">
        <v>2</v>
      </c>
    </row>
    <row r="359" spans="1:24">
      <c r="A359" s="26" t="str">
        <v/>
      </c>
      <c r="B359" s="87" t="str">
        <v>20/07/2026 15:42</v>
      </c>
      <c r="C359" s="87">
        <v>46223.664583333331</v>
      </c>
      <c r="D359" t="str">
        <v>anónimo</v>
      </c>
      <c r="E359" t="str">
        <v/>
      </c>
      <c r="F359" s="68">
        <v>46223</v>
      </c>
      <c r="G359" s="88" t="str">
        <v>20/07/2026</v>
      </c>
      <c r="H359" t="str">
        <v>XIMENA RIVERA SUR</v>
      </c>
      <c r="I359" t="str">
        <v>ISELA MATILDE BARRERA VARGAS</v>
      </c>
      <c r="J359" s="82" t="str">
        <v/>
      </c>
      <c r="K359" t="str">
        <v>BAVI650314MDFRRS06</v>
      </c>
      <c r="L359" s="82">
        <v>22857540</v>
      </c>
      <c r="M359" s="82">
        <v>5215529350491</v>
      </c>
      <c r="N359" t="str">
        <v>NUEVO MAYOR</v>
      </c>
      <c r="O359" s="89">
        <v>11029.03</v>
      </c>
      <c r="P359" s="89">
        <v>879</v>
      </c>
      <c r="Q359" s="89">
        <v>3308.71</v>
      </c>
      <c r="R359" s="89">
        <v>2429.71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>
        <v>1</v>
      </c>
    </row>
    <row r="360" spans="1:24">
      <c r="A360" s="26" t="str">
        <v/>
      </c>
      <c r="B360" s="87" t="str">
        <v>20/07/2026 16:06</v>
      </c>
      <c r="C360" s="87">
        <v>46223.7</v>
      </c>
      <c r="D360" t="str">
        <v>anónimo</v>
      </c>
      <c r="E360" t="str">
        <v/>
      </c>
      <c r="F360" s="68">
        <v>46223</v>
      </c>
      <c r="G360" s="88" t="str">
        <v>20/07/2026</v>
      </c>
      <c r="H360" t="str">
        <v>MARA HERNANDEZ SUR</v>
      </c>
      <c r="I360" t="str">
        <v>RUBEN FUENTES GALICIA</v>
      </c>
      <c r="J360" s="82">
        <v>92886658761</v>
      </c>
      <c r="K360" t="str">
        <v>FUGR730920HMCNLB07</v>
      </c>
      <c r="L360" s="82">
        <v>22857818</v>
      </c>
      <c r="M360" s="82">
        <v>5215645979858</v>
      </c>
      <c r="N360" t="str">
        <v>NUEVO MENOR</v>
      </c>
      <c r="O360" s="89">
        <v>4863.41</v>
      </c>
      <c r="P360" s="89" t="str">
        <v/>
      </c>
      <c r="Q360" s="89">
        <v>1459.02</v>
      </c>
      <c r="R360" s="89">
        <v>690.43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>
        <v>1</v>
      </c>
    </row>
    <row r="361" spans="1:24">
      <c r="A361" s="26" t="str">
        <v/>
      </c>
      <c r="B361" s="87" t="str">
        <v>20/07/2026 17:37</v>
      </c>
      <c r="C361" s="87">
        <v>46223.73541666667</v>
      </c>
      <c r="D361" t="str">
        <v>anónimo</v>
      </c>
      <c r="E361" t="str">
        <v/>
      </c>
      <c r="F361" s="68">
        <v>46223</v>
      </c>
      <c r="G361" s="88" t="str">
        <v>16/07/2026</v>
      </c>
      <c r="H361" t="str">
        <v>DEYANIRA CORDOVA C/C</v>
      </c>
      <c r="I361" t="str">
        <v xml:space="preserve">florencio </v>
      </c>
      <c r="J361" s="82" t="str">
        <v/>
      </c>
      <c r="K361" t="str">
        <v>GACF640707HSRRHL01</v>
      </c>
      <c r="L361" s="82">
        <v>22760156</v>
      </c>
      <c r="M361" s="82">
        <v>6621861630</v>
      </c>
      <c r="N361" t="str">
        <v>NUEVO MAYOR</v>
      </c>
      <c r="O361" s="89">
        <v>9267.0300000000007</v>
      </c>
      <c r="P361" s="89">
        <v>848</v>
      </c>
      <c r="Q361" s="89">
        <v>2780.11</v>
      </c>
      <c r="R361" s="89">
        <v>1932.11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>
        <v>1</v>
      </c>
    </row>
    <row r="362" spans="1:24">
      <c r="A362" s="26" t="str">
        <v/>
      </c>
      <c r="B362" s="87" t="str">
        <v>20/07/2026 17:42</v>
      </c>
      <c r="C362" s="87">
        <v>46223.740972222222</v>
      </c>
      <c r="D362" t="str">
        <v>anónimo</v>
      </c>
      <c r="E362" t="str">
        <v/>
      </c>
      <c r="F362" s="68">
        <v>46223</v>
      </c>
      <c r="G362" s="88" t="str">
        <v>20/07/2026</v>
      </c>
      <c r="H362" t="str">
        <v>MARIA MARTINEZ SUR</v>
      </c>
      <c r="I362" t="str">
        <v>JUAN PARRA CONTRERAS</v>
      </c>
      <c r="J362" s="82">
        <v>24886405836</v>
      </c>
      <c r="K362" t="str">
        <v>PACJ640312HBCRNN02</v>
      </c>
      <c r="L362" s="82">
        <v>22872792</v>
      </c>
      <c r="M362" s="82">
        <v>5216441081729</v>
      </c>
      <c r="N362" t="str">
        <v>NUEVO MAYOR</v>
      </c>
      <c r="O362" s="89">
        <v>39014.01</v>
      </c>
      <c r="P362" s="89">
        <v>1795.79</v>
      </c>
      <c r="Q362" s="89">
        <v>11704.2</v>
      </c>
      <c r="R362" s="89">
        <v>9908.41</v>
      </c>
      <c r="S362">
        <v>46755</v>
      </c>
      <c r="T362" t="str">
        <v/>
      </c>
      <c r="U362" t="str">
        <v/>
      </c>
      <c r="V362" t="str">
        <v/>
      </c>
      <c r="W362" t="str">
        <v/>
      </c>
      <c r="X362">
        <v>2</v>
      </c>
    </row>
    <row r="363" spans="1:24">
      <c r="A363" s="26" t="str">
        <v/>
      </c>
      <c r="B363" s="87" t="str">
        <v>20/07/2026 17:46</v>
      </c>
      <c r="C363" s="87">
        <v>46223.745138888888</v>
      </c>
      <c r="D363" t="str">
        <v>anónimo</v>
      </c>
      <c r="E363" t="str">
        <v/>
      </c>
      <c r="F363" s="68">
        <v>46223</v>
      </c>
      <c r="G363" s="88" t="str">
        <v>20/07/2026</v>
      </c>
      <c r="H363" t="str">
        <v>IRAN CASTILLO SUR</v>
      </c>
      <c r="I363" t="str">
        <v xml:space="preserve">FRANCISCO JAVIER SERVIN CANO </v>
      </c>
      <c r="J363" s="82">
        <v>53907262512</v>
      </c>
      <c r="K363" t="str">
        <v xml:space="preserve">SECF720901HMNRNR07 </v>
      </c>
      <c r="L363" s="82">
        <v>22873394</v>
      </c>
      <c r="M363" s="82">
        <v>5214433698522</v>
      </c>
      <c r="N363" t="str">
        <v>COMPRA MAYOR</v>
      </c>
      <c r="O363" s="89">
        <v>14606.95</v>
      </c>
      <c r="P363" s="89">
        <v>4382.09</v>
      </c>
      <c r="Q363" s="89">
        <v>4382.09</v>
      </c>
      <c r="R363" s="89">
        <v>-0.01</v>
      </c>
      <c r="S363">
        <v>46028</v>
      </c>
      <c r="T363" t="str">
        <v/>
      </c>
      <c r="U363" t="str">
        <v/>
      </c>
      <c r="V363" t="str">
        <v/>
      </c>
      <c r="W363" t="str">
        <v/>
      </c>
      <c r="X363">
        <v>2</v>
      </c>
    </row>
    <row r="364" spans="1:24">
      <c r="A364" s="26" t="str">
        <v/>
      </c>
      <c r="B364" s="87" t="str">
        <v>20/07/2026 18:02</v>
      </c>
      <c r="C364" s="87">
        <v>46223.752083333333</v>
      </c>
      <c r="D364" t="str">
        <v>anónimo</v>
      </c>
      <c r="E364" t="str">
        <v/>
      </c>
      <c r="F364" s="68">
        <v>46223</v>
      </c>
      <c r="G364" s="88" t="str">
        <v>18/07/2026</v>
      </c>
      <c r="H364" t="str">
        <v>LITZY MARTINEZ C/C</v>
      </c>
      <c r="I364" t="str">
        <v>CARLOS JAVIER PERAZA VELAZQUEZ</v>
      </c>
      <c r="J364" s="82" t="str">
        <v/>
      </c>
      <c r="K364" t="str">
        <v>PEVC621104HJCRLR04</v>
      </c>
      <c r="L364" s="82">
        <v>22817252</v>
      </c>
      <c r="M364" s="82">
        <v>5216692709287</v>
      </c>
      <c r="N364" t="str">
        <v>NUEVO MENOR</v>
      </c>
      <c r="O364" s="89">
        <v>38420.71</v>
      </c>
      <c r="P364" s="89">
        <v>10625.08</v>
      </c>
      <c r="Q364" s="89">
        <v>11526.21</v>
      </c>
      <c r="R364" s="89">
        <v>901.13</v>
      </c>
      <c r="S364">
        <v>46030</v>
      </c>
      <c r="T364" t="str">
        <v/>
      </c>
      <c r="U364" t="str">
        <v/>
      </c>
      <c r="V364" t="str">
        <v/>
      </c>
      <c r="W364" t="str">
        <v/>
      </c>
      <c r="X364">
        <v>2</v>
      </c>
    </row>
    <row r="365" spans="1:24">
      <c r="A365" s="26" t="str">
        <v/>
      </c>
      <c r="B365" s="87" t="str">
        <v>21/07/2026 09:06</v>
      </c>
      <c r="C365" s="87">
        <v>46224.379861111112</v>
      </c>
      <c r="D365" t="str">
        <v>anónimo</v>
      </c>
      <c r="E365" t="str">
        <v/>
      </c>
      <c r="F365" s="68">
        <v>46224</v>
      </c>
      <c r="G365" s="88" t="str">
        <v>21/07/2026</v>
      </c>
      <c r="H365" t="str">
        <v>MAGALI MARTINEZ EXT 2</v>
      </c>
      <c r="I365" t="str">
        <v>JOAQUIN ULLOA CORNEJO</v>
      </c>
      <c r="J365" s="82">
        <v>11806408446</v>
      </c>
      <c r="K365" t="str">
        <v>UOCJ640131HMNLRQ08</v>
      </c>
      <c r="L365" s="82">
        <v>2</v>
      </c>
      <c r="M365" s="82">
        <v>5559032046</v>
      </c>
      <c r="N365" t="str">
        <v>NUEVO MAYOR</v>
      </c>
      <c r="O365" s="89">
        <v>9504.7000000000007</v>
      </c>
      <c r="P365" s="89" t="str">
        <v/>
      </c>
      <c r="Q365" s="89">
        <v>2851.41</v>
      </c>
      <c r="R365" s="89">
        <v>2851.41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>
        <v>1</v>
      </c>
    </row>
    <row r="366" spans="1:24">
      <c r="A366" s="26" t="str">
        <v/>
      </c>
      <c r="B366" s="87" t="str">
        <v>21/07/2026 09:56</v>
      </c>
      <c r="C366" s="87">
        <v>46224.42083333333</v>
      </c>
      <c r="D366" t="str">
        <v>anónimo</v>
      </c>
      <c r="E366" t="str">
        <v/>
      </c>
      <c r="F366" s="68">
        <v>46224</v>
      </c>
      <c r="G366" s="88" t="str">
        <v>21/07/2026</v>
      </c>
      <c r="H366" t="str">
        <v>LUISA LARA SUR</v>
      </c>
      <c r="I366" t="str">
        <v>JOSE LUIS SALVADOR SANCHEZ</v>
      </c>
      <c r="J366" s="82">
        <v>89806339472</v>
      </c>
      <c r="K366" t="str">
        <v>SASL640829HDFLNS03</v>
      </c>
      <c r="L366" s="82">
        <v>22878674</v>
      </c>
      <c r="M366" s="82">
        <v>5215564239338</v>
      </c>
      <c r="N366" t="str">
        <v>NUEVO MAYOR</v>
      </c>
      <c r="O366" s="89">
        <v>15819.6</v>
      </c>
      <c r="P366" s="89">
        <v>848</v>
      </c>
      <c r="Q366" s="89">
        <v>4745.88</v>
      </c>
      <c r="R366" s="89">
        <v>3897.88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>
        <v>1</v>
      </c>
    </row>
    <row r="367" spans="1:24">
      <c r="A367" s="26" t="str">
        <v/>
      </c>
      <c r="B367" s="87" t="str">
        <v>21/07/2026 10:17</v>
      </c>
      <c r="C367" s="87">
        <v>46224.429166666669</v>
      </c>
      <c r="D367" t="str">
        <v>anónimo</v>
      </c>
      <c r="E367" t="str">
        <v/>
      </c>
      <c r="F367" s="68">
        <v>46224</v>
      </c>
      <c r="G367" s="88">
        <v>46332</v>
      </c>
      <c r="H367" t="str">
        <v>LITZY MARTINEZ C/C</v>
      </c>
      <c r="I367" t="str">
        <v>Felipe valenzuela solis</v>
      </c>
      <c r="J367" s="82">
        <v>12816501311</v>
      </c>
      <c r="K367" t="str">
        <v/>
      </c>
      <c r="L367" s="82">
        <v>21623360</v>
      </c>
      <c r="M367" s="82">
        <v>5214762467596</v>
      </c>
      <c r="N367" t="str">
        <v>NUEVO MAYOR</v>
      </c>
      <c r="O367" s="89">
        <v>12841.23</v>
      </c>
      <c r="P367" s="89" t="str">
        <v/>
      </c>
      <c r="Q367" s="89">
        <v>3852.37</v>
      </c>
      <c r="R367" s="89">
        <v>3852.37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>
        <v>1</v>
      </c>
    </row>
    <row r="368" spans="1:24">
      <c r="A368" s="26" t="str">
        <v/>
      </c>
      <c r="B368" s="87" t="str">
        <v>21/07/2026 09:49</v>
      </c>
      <c r="C368" s="87">
        <v>46224.44027777778</v>
      </c>
      <c r="D368" t="str">
        <v>anónimo</v>
      </c>
      <c r="E368" t="str">
        <v/>
      </c>
      <c r="F368" s="68">
        <v>46224</v>
      </c>
      <c r="G368" s="88" t="str">
        <v>21/07/2026</v>
      </c>
      <c r="H368" t="str">
        <v>ROSA CASTRO SUR</v>
      </c>
      <c r="I368" t="str">
        <v xml:space="preserve">JUAN MANUEL HERNANDEZ RAMIREZ </v>
      </c>
      <c r="J368" s="82">
        <v>42916609102</v>
      </c>
      <c r="K368" t="str">
        <v xml:space="preserve">HERJ660612HDFRMN03 </v>
      </c>
      <c r="L368" s="82">
        <v>22895902</v>
      </c>
      <c r="M368" s="82">
        <v>5215577938583</v>
      </c>
      <c r="N368" t="str">
        <v>NUEVO MAYOR</v>
      </c>
      <c r="O368" s="89">
        <v>10636.54</v>
      </c>
      <c r="P368" s="89" t="str">
        <v/>
      </c>
      <c r="Q368" s="89">
        <v>3190.96</v>
      </c>
      <c r="R368" s="89">
        <v>3190.96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>
        <v>1</v>
      </c>
    </row>
    <row r="369" spans="1:24">
      <c r="A369" s="26" t="str">
        <v/>
      </c>
      <c r="B369" s="87" t="str">
        <v>21/07/2026 10:20</v>
      </c>
      <c r="C369" s="87">
        <v>46224.440972222219</v>
      </c>
      <c r="D369" t="str">
        <v>anónimo</v>
      </c>
      <c r="E369" t="str">
        <v/>
      </c>
      <c r="F369" s="68">
        <v>46224</v>
      </c>
      <c r="G369" s="88" t="str">
        <v>21/07/2026</v>
      </c>
      <c r="H369" t="str">
        <v>IRAN CASTILLO SUR</v>
      </c>
      <c r="I369" t="str">
        <v>JOSE JAIME AGUERO ESPINOZA</v>
      </c>
      <c r="J369" s="82">
        <v>33826613276</v>
      </c>
      <c r="K369" t="str">
        <v>AUEJ660313HCHGSM08</v>
      </c>
      <c r="L369" s="82">
        <v>22873794</v>
      </c>
      <c r="M369" s="82">
        <v>5216251541810</v>
      </c>
      <c r="N369" t="str">
        <v>NUEVO MAYOR</v>
      </c>
      <c r="O369" s="89">
        <v>10636.54</v>
      </c>
      <c r="P369" s="89" t="str">
        <v/>
      </c>
      <c r="Q369" s="89">
        <v>3190.96</v>
      </c>
      <c r="R369" s="89">
        <v>3190.96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>
        <v>1</v>
      </c>
    </row>
    <row r="370" spans="1:24">
      <c r="A370" s="26" t="str">
        <v/>
      </c>
      <c r="B370" s="87" t="str">
        <v>21/07/2026 10:52</v>
      </c>
      <c r="C370" s="87">
        <v>46224.453472222223</v>
      </c>
      <c r="D370" t="str">
        <v>anónimo</v>
      </c>
      <c r="E370" t="str">
        <v/>
      </c>
      <c r="F370" s="68">
        <v>46224</v>
      </c>
      <c r="G370" s="88" t="str">
        <v>20/07/2026</v>
      </c>
      <c r="H370" t="str">
        <v>GLORIA ORTIZ C/C</v>
      </c>
      <c r="I370" t="str">
        <v>JORGE ZARATE LARA</v>
      </c>
      <c r="J370" s="82" t="str">
        <v/>
      </c>
      <c r="K370" t="str">
        <v>ZALJ620706HVZRRR08</v>
      </c>
      <c r="L370" s="82">
        <v>22847354</v>
      </c>
      <c r="M370" s="82">
        <v>5212351001041</v>
      </c>
      <c r="N370" t="str">
        <v>NUEVO MAYOR</v>
      </c>
      <c r="O370" s="89">
        <v>8539.89</v>
      </c>
      <c r="P370" s="89" t="str">
        <v/>
      </c>
      <c r="Q370" s="89">
        <v>2561.9699999999998</v>
      </c>
      <c r="R370" s="89">
        <v>2561.9699999999998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>
        <v>1</v>
      </c>
    </row>
    <row r="371" spans="1:24">
      <c r="A371" s="26" t="str">
        <v/>
      </c>
      <c r="B371" s="87" t="str">
        <v>21/07/2026 11:02</v>
      </c>
      <c r="C371" s="87">
        <v>46224.463888888888</v>
      </c>
      <c r="D371" t="str">
        <v>anónimo</v>
      </c>
      <c r="E371" t="str">
        <v/>
      </c>
      <c r="F371" s="68">
        <v>46224</v>
      </c>
      <c r="G371" s="88" t="str">
        <v>21/07/2026</v>
      </c>
      <c r="H371" t="str">
        <v>ALAN ALTAMIRANO EXT</v>
      </c>
      <c r="I371" t="str">
        <v xml:space="preserve">HUMBERTO FERNÁNDEZ LÓPEZ </v>
      </c>
      <c r="J371" s="82">
        <v>65835932560</v>
      </c>
      <c r="K371" t="str">
        <v/>
      </c>
      <c r="L371" s="82">
        <v>1</v>
      </c>
      <c r="M371" s="82">
        <v>2285917782</v>
      </c>
      <c r="N371" t="str">
        <v>COMPRA MENOR</v>
      </c>
      <c r="O371" s="89">
        <v>5547.14</v>
      </c>
      <c r="P371" s="89">
        <v>1374.15</v>
      </c>
      <c r="Q371" s="89">
        <v>1664.14</v>
      </c>
      <c r="R371" s="89">
        <v>0.01</v>
      </c>
      <c r="S371">
        <v>45302</v>
      </c>
      <c r="T371" t="str">
        <v/>
      </c>
      <c r="U371" t="str">
        <v/>
      </c>
      <c r="V371" t="str">
        <v/>
      </c>
      <c r="W371" t="str">
        <v/>
      </c>
      <c r="X371">
        <v>2</v>
      </c>
    </row>
    <row r="372" spans="1:24">
      <c r="A372" s="26" t="str">
        <v/>
      </c>
      <c r="B372" s="87" t="str">
        <v>21/07/2026 11:15</v>
      </c>
      <c r="C372" s="87">
        <v>46224.469444444447</v>
      </c>
      <c r="D372" t="str">
        <v>anónimo</v>
      </c>
      <c r="E372" t="str">
        <v/>
      </c>
      <c r="F372" s="68">
        <v>46224</v>
      </c>
      <c r="G372" s="88" t="str">
        <v>21/07/2026</v>
      </c>
      <c r="H372" t="str">
        <v>YAMILETH CARDONA EXT 2</v>
      </c>
      <c r="I372" t="str">
        <v>ARACELI RODRIGUEZ BARRAGAN</v>
      </c>
      <c r="J372" s="82">
        <v>54776019611</v>
      </c>
      <c r="K372" t="str">
        <v>RXBA611227MJCDRR06</v>
      </c>
      <c r="L372" s="82">
        <v>2</v>
      </c>
      <c r="M372" s="82" t="str">
        <v>33 2054 4460</v>
      </c>
      <c r="N372" t="str">
        <v>NUEVO MENOR</v>
      </c>
      <c r="O372" s="89">
        <v>17395.919999999998</v>
      </c>
      <c r="P372" s="89">
        <v>4827.99</v>
      </c>
      <c r="Q372" s="89">
        <v>5218.78</v>
      </c>
      <c r="R372" s="89">
        <v>390.79</v>
      </c>
      <c r="S372">
        <v>46030</v>
      </c>
      <c r="T372" t="str">
        <v/>
      </c>
      <c r="U372" t="str">
        <v/>
      </c>
      <c r="V372" t="str">
        <v/>
      </c>
      <c r="W372" t="str">
        <v/>
      </c>
      <c r="X372">
        <v>2</v>
      </c>
    </row>
    <row r="373" spans="1:24">
      <c r="A373" s="26" t="str">
        <v/>
      </c>
      <c r="B373" s="87" t="str">
        <v>21/07/2026 11:08</v>
      </c>
      <c r="C373" s="87">
        <v>46224.477083333331</v>
      </c>
      <c r="D373" t="str">
        <v>anónimo</v>
      </c>
      <c r="E373" t="str">
        <v/>
      </c>
      <c r="F373" s="68">
        <v>46224</v>
      </c>
      <c r="G373" s="88" t="str">
        <v>21/07/2026</v>
      </c>
      <c r="H373" t="str">
        <v>LUISA LARA SUR</v>
      </c>
      <c r="I373" t="str">
        <v>JAVIER BAEZ DIAZ</v>
      </c>
      <c r="J373" s="82">
        <v>11796152764</v>
      </c>
      <c r="K373" t="str">
        <v>BADJ610402HDFZZV03</v>
      </c>
      <c r="L373" s="82">
        <v>22878172</v>
      </c>
      <c r="M373" s="82">
        <v>5215541761146</v>
      </c>
      <c r="N373" t="str">
        <v>NUEVO MAYOR</v>
      </c>
      <c r="O373" s="89">
        <v>12051.13</v>
      </c>
      <c r="P373" s="89">
        <v>879</v>
      </c>
      <c r="Q373" s="89">
        <v>3615.34</v>
      </c>
      <c r="R373" s="89">
        <v>2736.34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>
        <v>1</v>
      </c>
    </row>
    <row r="374" spans="1:24">
      <c r="A374" s="26" t="str">
        <v/>
      </c>
      <c r="B374" s="87" t="str">
        <v>21/07/2026 11:22</v>
      </c>
      <c r="C374" s="87">
        <v>46224.48333333333</v>
      </c>
      <c r="D374" t="str">
        <v>anónimo</v>
      </c>
      <c r="E374" t="str">
        <v/>
      </c>
      <c r="F374" s="68">
        <v>46224</v>
      </c>
      <c r="G374" s="88" t="str">
        <v>21/07/2026</v>
      </c>
      <c r="H374" t="str">
        <v>MARA HERNANDEZ SUR</v>
      </c>
      <c r="I374" t="str">
        <v>JOSE MARCELINO ZAVALA ZUÑIGA</v>
      </c>
      <c r="J374" s="82">
        <v>1175577022</v>
      </c>
      <c r="K374" t="str">
        <v>ZAZM570602HDFVXR04</v>
      </c>
      <c r="L374" s="82">
        <v>22897040</v>
      </c>
      <c r="M374" s="82">
        <v>5215632570630</v>
      </c>
      <c r="N374" t="str">
        <v>NUEVO MENOR</v>
      </c>
      <c r="O374" s="89">
        <v>6262.86</v>
      </c>
      <c r="P374" s="89">
        <v>1185.45</v>
      </c>
      <c r="Q374" s="89">
        <v>1878.86</v>
      </c>
      <c r="R374" s="89">
        <v>693.41</v>
      </c>
      <c r="S374">
        <v>46392</v>
      </c>
      <c r="T374" t="str">
        <v/>
      </c>
      <c r="U374" t="str">
        <v/>
      </c>
      <c r="V374" t="str">
        <v/>
      </c>
      <c r="W374" t="str">
        <v/>
      </c>
      <c r="X374">
        <v>1</v>
      </c>
    </row>
    <row r="375" spans="1:24">
      <c r="A375" s="26" t="str">
        <v/>
      </c>
      <c r="B375" s="87" t="str">
        <v>21/07/2026 12:02</v>
      </c>
      <c r="C375" s="87">
        <v>46224.505555555559</v>
      </c>
      <c r="D375" t="str">
        <v>anónimo</v>
      </c>
      <c r="E375" t="str">
        <v/>
      </c>
      <c r="F375" s="68">
        <v>46224</v>
      </c>
      <c r="G375" s="88">
        <v>46363</v>
      </c>
      <c r="H375" t="str">
        <v>MAFER Z</v>
      </c>
      <c r="I375" t="str">
        <v>RENE MORALES GARCIA</v>
      </c>
      <c r="J375" s="82">
        <v>1745589323</v>
      </c>
      <c r="K375" t="str">
        <v>MOGR551126HDFRRN03</v>
      </c>
      <c r="L375" s="82">
        <v>22605092</v>
      </c>
      <c r="M375" s="82">
        <v>5215529120359</v>
      </c>
      <c r="N375" t="str">
        <v>COMPRA MENOR</v>
      </c>
      <c r="O375" s="89">
        <v>4813.6899999999996</v>
      </c>
      <c r="P375" s="89">
        <v>565.77</v>
      </c>
      <c r="Q375" s="89">
        <v>1444.11</v>
      </c>
      <c r="R375" s="89">
        <v>74.94</v>
      </c>
      <c r="S375">
        <v>45660</v>
      </c>
      <c r="T375" t="str">
        <v/>
      </c>
      <c r="U375" t="str">
        <v/>
      </c>
      <c r="V375" t="str">
        <v/>
      </c>
      <c r="W375" t="str">
        <v/>
      </c>
      <c r="X375">
        <v>2</v>
      </c>
    </row>
    <row r="376" spans="1:24">
      <c r="A376" s="26" t="str">
        <v/>
      </c>
      <c r="B376" s="87" t="str">
        <v>21/07/2026 12:18</v>
      </c>
      <c r="C376" s="87">
        <v>46224.515277777777</v>
      </c>
      <c r="D376" t="str">
        <v>anónimo</v>
      </c>
      <c r="E376" t="str">
        <v/>
      </c>
      <c r="F376" s="68">
        <v>46224</v>
      </c>
      <c r="G376" s="88" t="str">
        <v>21/07/2026</v>
      </c>
      <c r="H376" t="str">
        <v>LUISA LARA SUR</v>
      </c>
      <c r="I376" t="str">
        <v>JAIME TORRES VAZQUEZ</v>
      </c>
      <c r="J376" s="82">
        <v>53876011882</v>
      </c>
      <c r="K376" t="str">
        <v>TOVJ600809HMNRZM07</v>
      </c>
      <c r="L376" s="82">
        <v>22898790</v>
      </c>
      <c r="M376" s="82">
        <v>5214434155109</v>
      </c>
      <c r="N376" t="str">
        <v>COMPRA MAYOR</v>
      </c>
      <c r="O376" s="89">
        <v>5599.63</v>
      </c>
      <c r="P376" s="89">
        <v>1274.6400000000001</v>
      </c>
      <c r="Q376" s="89">
        <v>1679.89</v>
      </c>
      <c r="R376" s="89">
        <v>152.01</v>
      </c>
      <c r="S376">
        <v>45660</v>
      </c>
      <c r="T376" t="str">
        <v/>
      </c>
      <c r="U376" t="str">
        <v/>
      </c>
      <c r="V376" t="str">
        <v/>
      </c>
      <c r="W376" t="str">
        <v/>
      </c>
      <c r="X376">
        <v>2</v>
      </c>
    </row>
    <row r="377" spans="1:24">
      <c r="A377" s="26" t="str">
        <v/>
      </c>
      <c r="B377" s="87" t="str">
        <v>21/07/2026 12:46</v>
      </c>
      <c r="C377" s="87">
        <v>46224.532638888886</v>
      </c>
      <c r="D377" t="str">
        <v>anónimo</v>
      </c>
      <c r="E377" t="str">
        <v/>
      </c>
      <c r="F377" s="68">
        <v>46224</v>
      </c>
      <c r="G377" s="88" t="str">
        <v>21/07/2026</v>
      </c>
      <c r="H377" t="str">
        <v>YAMILETH CARDONA EXT 2</v>
      </c>
      <c r="I377" t="str">
        <v>JOSE JUAN CECILIO SORIANO ROSAS</v>
      </c>
      <c r="J377" s="82">
        <v>62816227151</v>
      </c>
      <c r="K377" t="str">
        <v>SORJ621122HPLRSN00</v>
      </c>
      <c r="L377" s="82">
        <v>2</v>
      </c>
      <c r="M377" s="82" t="str">
        <v>229 162 3334</v>
      </c>
      <c r="N377" t="str">
        <v>COMPRA MAYOR</v>
      </c>
      <c r="O377" s="89">
        <v>9081.52</v>
      </c>
      <c r="P377" s="89">
        <v>2724.46</v>
      </c>
      <c r="Q377" s="89">
        <v>2724.46</v>
      </c>
      <c r="R377" s="89">
        <v>0</v>
      </c>
      <c r="S377">
        <v>46029</v>
      </c>
      <c r="T377" t="str">
        <v/>
      </c>
      <c r="U377" t="str">
        <v/>
      </c>
      <c r="V377" t="str">
        <v/>
      </c>
      <c r="W377" t="str">
        <v/>
      </c>
      <c r="X377">
        <v>2</v>
      </c>
    </row>
    <row r="378" spans="1:24">
      <c r="A378" s="26" t="str">
        <v/>
      </c>
      <c r="B378" s="87" t="str">
        <v>21/07/2026 12:10</v>
      </c>
      <c r="C378" s="87">
        <v>46224.543055555558</v>
      </c>
      <c r="D378" t="str">
        <v>anónimo</v>
      </c>
      <c r="E378" t="str">
        <v/>
      </c>
      <c r="F378" s="68">
        <v>46224</v>
      </c>
      <c r="G378" s="88" t="str">
        <v>20/07/2026</v>
      </c>
      <c r="H378" t="str">
        <v>XIMENA RIVERA SUR</v>
      </c>
      <c r="I378" t="str">
        <v>Sergio Ruben Obeso Arias</v>
      </c>
      <c r="J378" s="82" t="str">
        <v/>
      </c>
      <c r="K378" t="str">
        <v>OEAS671114HSLBRR07</v>
      </c>
      <c r="L378" s="82">
        <v>22874186</v>
      </c>
      <c r="M378" s="82">
        <v>5216644850456</v>
      </c>
      <c r="N378" t="str">
        <v>NUEVO MENOR</v>
      </c>
      <c r="O378" s="89">
        <v>4963.49</v>
      </c>
      <c r="P378" s="89" t="str">
        <v/>
      </c>
      <c r="Q378" s="89">
        <v>1489.05</v>
      </c>
      <c r="R378" s="89">
        <v>790.51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>
        <v>1</v>
      </c>
    </row>
    <row r="379" spans="1:24">
      <c r="A379" s="26" t="str">
        <v/>
      </c>
      <c r="B379" s="87" t="str">
        <v>21/07/2026 13:06</v>
      </c>
      <c r="C379" s="87">
        <v>46224.55</v>
      </c>
      <c r="D379" t="str">
        <v>anónimo</v>
      </c>
      <c r="E379" t="str">
        <v/>
      </c>
      <c r="F379" s="68">
        <v>46224</v>
      </c>
      <c r="G379" s="88" t="str">
        <v>21/07/2026</v>
      </c>
      <c r="H379" t="str">
        <v>MELANIE CIBRIAN C/C</v>
      </c>
      <c r="I379" t="str">
        <v>VICTOR  ALEJANDRO MORENO SALES</v>
      </c>
      <c r="J379" s="82" t="str">
        <v/>
      </c>
      <c r="K379" t="str">
        <v>MOSV601223HPLRLC06</v>
      </c>
      <c r="L379" s="82">
        <v>22902194</v>
      </c>
      <c r="M379" s="82">
        <v>2481460234</v>
      </c>
      <c r="N379" t="str">
        <v>COMPRA MAYOR</v>
      </c>
      <c r="O379" s="89">
        <v>6460.14</v>
      </c>
      <c r="P379" s="89">
        <v>1793.57</v>
      </c>
      <c r="Q379" s="89">
        <v>1938.04</v>
      </c>
      <c r="R379" s="89">
        <v>144.47</v>
      </c>
      <c r="S379">
        <v>46027</v>
      </c>
      <c r="T379" t="str">
        <v/>
      </c>
      <c r="U379" t="str">
        <v/>
      </c>
      <c r="V379" t="str">
        <v/>
      </c>
      <c r="W379" t="str">
        <v/>
      </c>
      <c r="X379">
        <v>2</v>
      </c>
    </row>
    <row r="380" spans="1:24">
      <c r="A380" s="26" t="str">
        <v/>
      </c>
      <c r="B380" s="87" t="str">
        <v>21/07/2026 14:10</v>
      </c>
      <c r="C380" s="87">
        <v>46224.591666666667</v>
      </c>
      <c r="D380" t="str">
        <v>anónimo</v>
      </c>
      <c r="E380" t="str">
        <v/>
      </c>
      <c r="F380" s="68">
        <v>46224</v>
      </c>
      <c r="G380" s="88" t="str">
        <v>21/07/2026</v>
      </c>
      <c r="H380" t="str">
        <v>MELANIE CIBRIAN C/C</v>
      </c>
      <c r="I380" t="str">
        <v>REBECA TREVIÑO TORRES</v>
      </c>
      <c r="J380" s="82">
        <v>63826200212</v>
      </c>
      <c r="K380" t="str">
        <v xml:space="preserve"> TETR620503MDFRRB08</v>
      </c>
      <c r="L380" s="82">
        <v>22902892</v>
      </c>
      <c r="M380" s="82">
        <v>5656922159</v>
      </c>
      <c r="N380" t="str">
        <v>COMPRA MAYOR</v>
      </c>
      <c r="O380" s="89">
        <v>7116.36</v>
      </c>
      <c r="P380" s="89">
        <v>2058.77</v>
      </c>
      <c r="Q380" s="89">
        <v>2134.91</v>
      </c>
      <c r="R380" s="89">
        <v>76.14</v>
      </c>
      <c r="S380">
        <v>45665</v>
      </c>
      <c r="T380" t="str">
        <v/>
      </c>
      <c r="U380" t="str">
        <v/>
      </c>
      <c r="V380" t="str">
        <v/>
      </c>
      <c r="W380" t="str">
        <v/>
      </c>
      <c r="X380">
        <v>2</v>
      </c>
    </row>
    <row r="381" spans="1:24">
      <c r="A381" s="26" t="str">
        <v/>
      </c>
      <c r="B381" s="87" t="str">
        <v>21/07/2026 13:32</v>
      </c>
      <c r="C381" s="87">
        <v>46224.59375</v>
      </c>
      <c r="D381" t="str">
        <v>anónimo</v>
      </c>
      <c r="E381" t="str">
        <v/>
      </c>
      <c r="F381" s="68">
        <v>46224</v>
      </c>
      <c r="G381" s="88" t="str">
        <v>21/07/2026</v>
      </c>
      <c r="H381" t="str">
        <v>ROSA CASTRO SUR</v>
      </c>
      <c r="I381" t="str">
        <v xml:space="preserve">MA. FAUSTA CHABERO CAMACHO </v>
      </c>
      <c r="J381" s="82">
        <v>49784901016</v>
      </c>
      <c r="K381" t="str">
        <v>CACF491013MSPHMS00</v>
      </c>
      <c r="L381" s="82">
        <v>22895720</v>
      </c>
      <c r="M381" s="82">
        <v>22895720</v>
      </c>
      <c r="N381" t="str">
        <v>NUEVO MAYOR</v>
      </c>
      <c r="O381" s="89">
        <v>11029.03</v>
      </c>
      <c r="P381" s="89">
        <v>2693.06</v>
      </c>
      <c r="Q381" s="89">
        <v>3308.71</v>
      </c>
      <c r="R381" s="89">
        <v>3308.71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>
        <v>1</v>
      </c>
    </row>
    <row r="382" spans="1:24">
      <c r="A382" s="26" t="str">
        <v/>
      </c>
      <c r="B382" s="87" t="str">
        <v>21/07/2026 14:15</v>
      </c>
      <c r="C382" s="87">
        <v>46224.595138888886</v>
      </c>
      <c r="D382" t="str">
        <v>anónimo</v>
      </c>
      <c r="E382" t="str">
        <v/>
      </c>
      <c r="F382" s="68">
        <v>46224</v>
      </c>
      <c r="G382" s="88" t="str">
        <v>21/07/2026</v>
      </c>
      <c r="H382" t="str">
        <v>MARISOL HERNANDEZ C/C</v>
      </c>
      <c r="I382" t="str">
        <v>LEOBARDO LOZADA FERNANDEZ</v>
      </c>
      <c r="J382" s="82">
        <v>20945900858</v>
      </c>
      <c r="K382" t="str">
        <v>LOFL590118HVZZRB01</v>
      </c>
      <c r="L382" s="82">
        <v>22903636</v>
      </c>
      <c r="M382" s="82">
        <v>5611165144</v>
      </c>
      <c r="N382" t="str">
        <v>NUEVO MENOR</v>
      </c>
      <c r="O382" s="89">
        <v>9081.52</v>
      </c>
      <c r="P382" s="89">
        <v>2412.38</v>
      </c>
      <c r="Q382" s="89">
        <v>2724.46</v>
      </c>
      <c r="R382" s="89">
        <v>312.08</v>
      </c>
      <c r="S382">
        <v>46388</v>
      </c>
      <c r="T382" t="str">
        <v/>
      </c>
      <c r="U382" t="str">
        <v/>
      </c>
      <c r="V382" t="str">
        <v/>
      </c>
      <c r="W382" t="str">
        <v/>
      </c>
      <c r="X382">
        <v>2</v>
      </c>
    </row>
    <row r="383" spans="1:24">
      <c r="A383" s="26" t="str">
        <v/>
      </c>
      <c r="B383" s="87" t="str">
        <v>21/07/2026 13:10</v>
      </c>
      <c r="C383" s="87">
        <v>46224.595833333333</v>
      </c>
      <c r="D383" t="str">
        <v>anónimo</v>
      </c>
      <c r="E383" t="str">
        <v/>
      </c>
      <c r="F383" s="68">
        <v>46224</v>
      </c>
      <c r="G383" s="88" t="str">
        <v>21/07/2026</v>
      </c>
      <c r="H383" t="str">
        <v>XIMENA RIVERA SUR</v>
      </c>
      <c r="I383" t="str">
        <v>RICARDO VARGAS PONCE</v>
      </c>
      <c r="J383" s="82" t="str">
        <v/>
      </c>
      <c r="K383" t="str">
        <v>VAPR780405HGRRNC03</v>
      </c>
      <c r="L383" s="82">
        <v>22899086</v>
      </c>
      <c r="M383" s="82">
        <v>5216644553111</v>
      </c>
      <c r="N383" t="str">
        <v>NUEVO MAYOR</v>
      </c>
      <c r="O383" s="89">
        <v>8793.09</v>
      </c>
      <c r="P383" s="89" t="str">
        <v/>
      </c>
      <c r="Q383" s="89">
        <v>2637.93</v>
      </c>
      <c r="R383" s="89">
        <v>2637.93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>
        <v>1</v>
      </c>
    </row>
    <row r="384" spans="1:24">
      <c r="A384" s="26" t="str">
        <v/>
      </c>
      <c r="B384" s="87" t="str">
        <v>21/07/2026 14:32</v>
      </c>
      <c r="C384" s="87">
        <v>46224.606249999997</v>
      </c>
      <c r="D384" t="str">
        <v>anónimo</v>
      </c>
      <c r="E384" t="str">
        <v/>
      </c>
      <c r="F384" s="68">
        <v>46224</v>
      </c>
      <c r="G384" s="88" t="str">
        <v>21/07/2026</v>
      </c>
      <c r="H384" t="str">
        <v>GLORIA ORTIZ C/C</v>
      </c>
      <c r="I384" t="str">
        <v>OSCAR JACOME HERNANDEZ</v>
      </c>
      <c r="J384" s="82">
        <v>65876900963</v>
      </c>
      <c r="K384" t="str">
        <v>JAHO690309HVZCRS01</v>
      </c>
      <c r="L384" s="82">
        <v>22905658</v>
      </c>
      <c r="M384" s="82">
        <v>5212961130040</v>
      </c>
      <c r="N384" t="str">
        <v>COMPRA MENOR</v>
      </c>
      <c r="O384" s="89">
        <v>4759.2</v>
      </c>
      <c r="P384" s="89">
        <v>784.13</v>
      </c>
      <c r="Q384" s="89">
        <v>1427.76</v>
      </c>
      <c r="R384" s="89">
        <v>-197.91</v>
      </c>
      <c r="S384">
        <v>45658</v>
      </c>
      <c r="T384" t="str">
        <v/>
      </c>
      <c r="U384" t="str">
        <v/>
      </c>
      <c r="V384" t="str">
        <v/>
      </c>
      <c r="W384" t="str">
        <v/>
      </c>
      <c r="X384">
        <v>2</v>
      </c>
    </row>
    <row r="385" spans="1:24">
      <c r="A385" s="26" t="str">
        <v/>
      </c>
      <c r="B385" s="87" t="str">
        <v>21/07/2026 14:38</v>
      </c>
      <c r="C385" s="87">
        <v>46224.612500000003</v>
      </c>
      <c r="D385" t="str">
        <v>anónimo</v>
      </c>
      <c r="E385" t="str">
        <v/>
      </c>
      <c r="F385" s="68">
        <v>46224</v>
      </c>
      <c r="G385" s="88" t="str">
        <v>21/07/2026</v>
      </c>
      <c r="H385" t="str">
        <v>XIMENA RIVERA SUR</v>
      </c>
      <c r="I385" t="str">
        <v>GERARDO PADILLA ARTEAGA</v>
      </c>
      <c r="J385" s="82" t="str">
        <v/>
      </c>
      <c r="K385" t="str">
        <v>PAAG530924HMSDRR03</v>
      </c>
      <c r="L385" s="82">
        <v>22896170</v>
      </c>
      <c r="M385" s="82">
        <v>5218682003652</v>
      </c>
      <c r="N385" t="str">
        <v>NUEVO MENOR</v>
      </c>
      <c r="O385" s="89">
        <v>12258.14</v>
      </c>
      <c r="P385" s="89">
        <v>3150</v>
      </c>
      <c r="Q385" s="89">
        <v>3677.44</v>
      </c>
      <c r="R385" s="89">
        <v>527.44000000000005</v>
      </c>
      <c r="S385">
        <v>46389</v>
      </c>
      <c r="T385" t="str">
        <v/>
      </c>
      <c r="U385" t="str">
        <v/>
      </c>
      <c r="V385" t="str">
        <v/>
      </c>
      <c r="W385" t="str">
        <v/>
      </c>
      <c r="X385">
        <v>2</v>
      </c>
    </row>
    <row r="386" spans="1:24">
      <c r="A386" s="26" t="str">
        <v/>
      </c>
      <c r="B386" s="87" t="str">
        <v>21/07/2026 14:57</v>
      </c>
      <c r="C386" s="87">
        <v>46224.624305555553</v>
      </c>
      <c r="D386" t="str">
        <v>anónimo</v>
      </c>
      <c r="E386" t="str">
        <v/>
      </c>
      <c r="F386" s="68">
        <v>46224</v>
      </c>
      <c r="G386" s="88" t="str">
        <v>21/07/2026</v>
      </c>
      <c r="H386" t="str">
        <v>GLORIA ORTIZ C/C</v>
      </c>
      <c r="I386" t="str">
        <v>GUSTAVO GARCIA TREJO</v>
      </c>
      <c r="J386" s="82" t="str">
        <v/>
      </c>
      <c r="K386" t="str">
        <v>GATG710908HMCRRS09</v>
      </c>
      <c r="L386" s="82">
        <v>22903402</v>
      </c>
      <c r="M386" s="82">
        <v>5217717412056</v>
      </c>
      <c r="N386" t="str">
        <v>NUEVO MAYOR</v>
      </c>
      <c r="O386" s="89">
        <v>28690.84</v>
      </c>
      <c r="P386" s="89">
        <v>3762.83</v>
      </c>
      <c r="Q386" s="89">
        <v>8607.25</v>
      </c>
      <c r="R386" s="89">
        <v>4844.42</v>
      </c>
      <c r="S386">
        <v>46395</v>
      </c>
      <c r="T386" t="str">
        <v/>
      </c>
      <c r="U386" t="str">
        <v/>
      </c>
      <c r="V386" t="str">
        <v/>
      </c>
      <c r="W386" t="str">
        <v/>
      </c>
      <c r="X386">
        <v>2</v>
      </c>
    </row>
    <row r="387" spans="1:24">
      <c r="A387" s="26" t="str">
        <v/>
      </c>
      <c r="B387" s="87" t="str">
        <v>21/07/2026 14:59</v>
      </c>
      <c r="C387" s="87">
        <v>46224.625</v>
      </c>
      <c r="D387" t="str">
        <v>anónimo</v>
      </c>
      <c r="E387" t="str">
        <v/>
      </c>
      <c r="F387" s="68">
        <v>46224</v>
      </c>
      <c r="G387" s="88" t="str">
        <v>21/07/2026</v>
      </c>
      <c r="H387" t="str">
        <v>DULCE FRANCO</v>
      </c>
      <c r="I387" t="str">
        <v>Ma. Guadalupe Hernández Ramírez</v>
      </c>
      <c r="J387" s="82" t="str">
        <v/>
      </c>
      <c r="K387" t="str">
        <v>HERG660328MQTRMD09</v>
      </c>
      <c r="L387" s="82">
        <v>22906046</v>
      </c>
      <c r="M387" s="82">
        <v>5214425510031</v>
      </c>
      <c r="N387" t="str">
        <v>NUEVO MAYOR</v>
      </c>
      <c r="O387" s="89">
        <v>10636.54</v>
      </c>
      <c r="P387" s="89" t="str">
        <v/>
      </c>
      <c r="Q387" s="89">
        <v>3190.96</v>
      </c>
      <c r="R387" s="89">
        <v>3190.96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>
        <v>1</v>
      </c>
    </row>
    <row r="388" spans="1:24">
      <c r="A388" s="26" t="str">
        <v/>
      </c>
      <c r="B388" s="87" t="str">
        <v>21/07/2026 12:55</v>
      </c>
      <c r="C388" s="87">
        <v>46224.629166666666</v>
      </c>
      <c r="D388" t="str">
        <v>anónimo</v>
      </c>
      <c r="E388" t="str">
        <v/>
      </c>
      <c r="F388" s="68">
        <v>46224</v>
      </c>
      <c r="G388" s="88" t="str">
        <v>20/07/2026</v>
      </c>
      <c r="H388" t="str">
        <v>IRAN CASTILLO SUR</v>
      </c>
      <c r="I388" t="str">
        <v>FLOR ESTELA CORTEZ RODRIGUEZ</v>
      </c>
      <c r="J388" s="82">
        <v>32826434006</v>
      </c>
      <c r="K388" t="str">
        <v>CORF690829MCLRDL05</v>
      </c>
      <c r="L388" s="82">
        <v>22891956</v>
      </c>
      <c r="M388" s="82">
        <v>5218663867907</v>
      </c>
      <c r="N388" t="str">
        <v>RESTRINGIDA</v>
      </c>
      <c r="O388" s="89">
        <v>4634.6000000000004</v>
      </c>
      <c r="P388" s="89">
        <v>766.04</v>
      </c>
      <c r="Q388" s="89">
        <v>1390.38</v>
      </c>
      <c r="R388" s="89">
        <v>-304.42</v>
      </c>
      <c r="S388">
        <v>45660</v>
      </c>
      <c r="T388" t="str">
        <v>CONSUBANCO</v>
      </c>
      <c r="U388" t="str">
        <v/>
      </c>
      <c r="V388" t="str">
        <v/>
      </c>
      <c r="W388" t="str">
        <v/>
      </c>
      <c r="X388">
        <v>2</v>
      </c>
    </row>
    <row r="389" spans="1:24">
      <c r="A389" s="26" t="str">
        <v/>
      </c>
      <c r="B389" s="87" t="str">
        <v>21/07/2026 15:03</v>
      </c>
      <c r="C389" s="87">
        <v>46224.631944444445</v>
      </c>
      <c r="D389" t="str">
        <v>anónimo</v>
      </c>
      <c r="E389" t="str">
        <v/>
      </c>
      <c r="F389" s="68">
        <v>46224</v>
      </c>
      <c r="G389" s="88" t="str">
        <v>21/07/2026</v>
      </c>
      <c r="H389" t="str">
        <v>XIMENA RIVERA SUR</v>
      </c>
      <c r="I389" t="str">
        <v>Carlos Hernández Palomares</v>
      </c>
      <c r="J389" s="82">
        <v>43836300293</v>
      </c>
      <c r="K389" t="str">
        <v/>
      </c>
      <c r="L389" s="82">
        <v>22888800</v>
      </c>
      <c r="M389" s="82">
        <v>5218132757517</v>
      </c>
      <c r="N389" t="str">
        <v>COMPRA MAYOR</v>
      </c>
      <c r="O389" s="89">
        <v>18628.349999999999</v>
      </c>
      <c r="P389" s="89">
        <v>2526.5</v>
      </c>
      <c r="Q389" s="89">
        <v>5588.51</v>
      </c>
      <c r="R389" s="89">
        <v>3062.01</v>
      </c>
      <c r="S389">
        <v>45660</v>
      </c>
      <c r="T389" t="str">
        <v/>
      </c>
      <c r="U389" t="str">
        <v/>
      </c>
      <c r="V389" t="str">
        <v/>
      </c>
      <c r="W389" t="str">
        <v/>
      </c>
      <c r="X389">
        <v>2</v>
      </c>
    </row>
    <row r="390" spans="1:24">
      <c r="A390" s="26" t="str">
        <v/>
      </c>
      <c r="B390" s="87" t="str">
        <v>21/07/2026 14:15</v>
      </c>
      <c r="C390" s="87">
        <v>46224.634027777778</v>
      </c>
      <c r="D390" t="str">
        <v>anónimo</v>
      </c>
      <c r="E390" t="str">
        <v/>
      </c>
      <c r="F390" s="68">
        <v>46224</v>
      </c>
      <c r="G390" s="88" t="str">
        <v>21/07/2026</v>
      </c>
      <c r="H390" t="str">
        <v>ROSA CASTRO SUR</v>
      </c>
      <c r="I390" t="str">
        <v xml:space="preserve">JOSE VICTORINO ROJAS ROSALES </v>
      </c>
      <c r="J390" s="82">
        <v>43816052021</v>
      </c>
      <c r="K390" t="str">
        <v>RORV600329HNLJSC05</v>
      </c>
      <c r="L390" s="82">
        <v>22898208</v>
      </c>
      <c r="M390" s="82">
        <v>5218114975856</v>
      </c>
      <c r="N390" t="str">
        <v>NUEVO MAYOR</v>
      </c>
      <c r="O390" s="89">
        <v>9760.32</v>
      </c>
      <c r="P390" s="89" t="str">
        <v/>
      </c>
      <c r="Q390" s="89">
        <v>2928.1</v>
      </c>
      <c r="R390" s="89">
        <v>2928.1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>
        <v>1</v>
      </c>
    </row>
    <row r="391" spans="1:24">
      <c r="A391" s="26" t="str">
        <v/>
      </c>
      <c r="B391" s="87" t="str">
        <v>21/07/2026 15:01</v>
      </c>
      <c r="C391" s="87">
        <v>46224.63958333333</v>
      </c>
      <c r="D391" t="str">
        <v>anónimo</v>
      </c>
      <c r="E391" t="str">
        <v/>
      </c>
      <c r="F391" s="68">
        <v>46224</v>
      </c>
      <c r="G391" s="88" t="str">
        <v>21/07/2026</v>
      </c>
      <c r="H391" t="str">
        <v>MARA HERNANDEZ SUR</v>
      </c>
      <c r="I391" t="str">
        <v>JOSE DE JESUS ISLAS GOMEZ</v>
      </c>
      <c r="J391" s="82" t="str">
        <v/>
      </c>
      <c r="K391" t="str">
        <v>IAGJ620923HJCSMS08</v>
      </c>
      <c r="L391" s="82">
        <v>22872934</v>
      </c>
      <c r="M391" s="82">
        <v>5216311951480</v>
      </c>
      <c r="N391" t="str">
        <v>RESTRINGIDA</v>
      </c>
      <c r="O391" s="89">
        <v>7116.73</v>
      </c>
      <c r="P391" s="89">
        <v>1367.96</v>
      </c>
      <c r="Q391" s="89">
        <v>2135.02</v>
      </c>
      <c r="R391" s="89">
        <v>767.06</v>
      </c>
      <c r="S391">
        <v>45666</v>
      </c>
      <c r="T391" t="str">
        <v>CONSUBANCO</v>
      </c>
      <c r="U391" t="str">
        <v/>
      </c>
      <c r="V391" t="str">
        <v/>
      </c>
      <c r="W391" t="str">
        <v/>
      </c>
      <c r="X391">
        <v>2</v>
      </c>
    </row>
    <row r="392" spans="1:24">
      <c r="A392" s="26" t="str">
        <v/>
      </c>
      <c r="B392" s="87" t="str">
        <v>21/07/2026 15:29</v>
      </c>
      <c r="C392" s="87">
        <v>46224.647916666669</v>
      </c>
      <c r="D392" t="str">
        <v>anónimo</v>
      </c>
      <c r="E392" t="str">
        <v/>
      </c>
      <c r="F392" s="68">
        <v>46224</v>
      </c>
      <c r="G392" s="88" t="str">
        <v>21/07/2026</v>
      </c>
      <c r="H392" t="str">
        <v>CAROLINA RAMIREZ C/C</v>
      </c>
      <c r="I392" t="str">
        <v>HECTOR PEREZ FERNANDEZ</v>
      </c>
      <c r="J392" s="82" t="str">
        <v/>
      </c>
      <c r="K392" t="str">
        <v>PEFH630608HTSRRC00</v>
      </c>
      <c r="L392" s="82">
        <v>22903838</v>
      </c>
      <c r="M392" s="82">
        <v>5218311194566</v>
      </c>
      <c r="N392" t="str">
        <v>COMPRA MAYOR</v>
      </c>
      <c r="O392" s="89">
        <v>10259.67</v>
      </c>
      <c r="P392" s="89">
        <v>2848.45</v>
      </c>
      <c r="Q392" s="89">
        <v>3077.9</v>
      </c>
      <c r="R392" s="89">
        <v>229.45</v>
      </c>
      <c r="S392">
        <v>46029</v>
      </c>
      <c r="T392" t="str">
        <v/>
      </c>
      <c r="U392" t="str">
        <v/>
      </c>
      <c r="V392" t="str">
        <v/>
      </c>
      <c r="W392" t="str">
        <v/>
      </c>
      <c r="X392">
        <v>2</v>
      </c>
    </row>
    <row r="393" spans="1:24">
      <c r="A393" s="26" t="str">
        <v/>
      </c>
      <c r="B393" s="87" t="str">
        <v>21/07/2026 15:24</v>
      </c>
      <c r="C393" s="87">
        <v>46224.652777777781</v>
      </c>
      <c r="D393" t="str">
        <v>anónimo</v>
      </c>
      <c r="E393" t="str">
        <v/>
      </c>
      <c r="F393" s="68">
        <v>46224</v>
      </c>
      <c r="G393" s="88" t="str">
        <v>21/07/2026</v>
      </c>
      <c r="H393" t="str">
        <v>MARIA MARTINEZ SUR</v>
      </c>
      <c r="I393" t="str">
        <v>MARIO ALBERTO RUIZ BAZULTO</v>
      </c>
      <c r="J393" s="82">
        <v>4866671862</v>
      </c>
      <c r="K393" t="str">
        <v>RUBM660925HJCZZR08</v>
      </c>
      <c r="L393" s="82">
        <v>22885766</v>
      </c>
      <c r="M393" s="82">
        <v>5213351214558</v>
      </c>
      <c r="N393" t="str">
        <v>NUEVO MAYOR</v>
      </c>
      <c r="O393" s="89">
        <v>19583.25</v>
      </c>
      <c r="P393" s="89" t="str">
        <v/>
      </c>
      <c r="Q393" s="89">
        <v>5874.98</v>
      </c>
      <c r="R393" s="89">
        <v>5874.98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>
        <v>1</v>
      </c>
    </row>
    <row r="394" spans="1:24">
      <c r="A394" s="26" t="str">
        <v/>
      </c>
      <c r="B394" s="87" t="str">
        <v>21/07/2026 15:39</v>
      </c>
      <c r="C394" s="87">
        <v>46224.654861111114</v>
      </c>
      <c r="D394" t="str">
        <v>anónimo</v>
      </c>
      <c r="E394" t="str">
        <v/>
      </c>
      <c r="F394" s="68">
        <v>46224</v>
      </c>
      <c r="G394" s="88" t="str">
        <v>20/07/2026</v>
      </c>
      <c r="H394" t="str">
        <v>IRAN CASTILLO SUR</v>
      </c>
      <c r="I394" t="str">
        <v>JUAN DE LA CRUZ NAVARRO</v>
      </c>
      <c r="J394" s="82" t="str">
        <v/>
      </c>
      <c r="K394" t="str">
        <v>CUNJ650731HNLRVN09</v>
      </c>
      <c r="L394" s="82">
        <v>22878294</v>
      </c>
      <c r="M394" s="82">
        <v>5218132452570</v>
      </c>
      <c r="N394" t="str">
        <v>NUEVO MAYOR</v>
      </c>
      <c r="O394" s="89">
        <v>9760.32</v>
      </c>
      <c r="P394" s="89" t="str">
        <v/>
      </c>
      <c r="Q394" s="89">
        <v>2928.1</v>
      </c>
      <c r="R394" s="89">
        <v>2928.1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>
        <v>1</v>
      </c>
    </row>
    <row r="395" spans="1:24">
      <c r="A395" s="26" t="str">
        <v/>
      </c>
      <c r="B395" s="87" t="str">
        <v>21/07/2026 15:48</v>
      </c>
      <c r="C395" s="87">
        <v>46224.65902777778</v>
      </c>
      <c r="D395" t="str">
        <v>anónimo</v>
      </c>
      <c r="E395" t="str">
        <v/>
      </c>
      <c r="F395" s="68">
        <v>46224</v>
      </c>
      <c r="G395" s="88" t="str">
        <v>21/07/2026</v>
      </c>
      <c r="H395" t="str">
        <v>MARISOL HERNANDEZ C/C</v>
      </c>
      <c r="I395" t="str">
        <v>REYNALDA SANTIAGO LOPEZ</v>
      </c>
      <c r="J395" s="82" t="str">
        <v/>
      </c>
      <c r="K395" t="str">
        <v>SALR690207MGRNPY14</v>
      </c>
      <c r="L395" s="82">
        <v>22900998</v>
      </c>
      <c r="M395" s="82">
        <v>6861165227</v>
      </c>
      <c r="N395" t="str">
        <v>NUEVO MENOR</v>
      </c>
      <c r="O395" s="89">
        <v>6411.47</v>
      </c>
      <c r="P395" s="89">
        <v>1020.63</v>
      </c>
      <c r="Q395" s="89">
        <v>1923.44</v>
      </c>
      <c r="R395" s="89">
        <v>902.81</v>
      </c>
      <c r="S395">
        <v>46397</v>
      </c>
      <c r="T395" t="str">
        <v/>
      </c>
      <c r="U395" t="str">
        <v/>
      </c>
      <c r="V395" t="str">
        <v/>
      </c>
      <c r="W395" t="str">
        <v/>
      </c>
      <c r="X395">
        <v>2</v>
      </c>
    </row>
    <row r="396" spans="1:24">
      <c r="A396" s="26" t="str">
        <v/>
      </c>
      <c r="B396" s="87" t="str">
        <v>21/07/2026 15:51</v>
      </c>
      <c r="C396" s="87">
        <v>46224.661111111112</v>
      </c>
      <c r="D396" t="str">
        <v>anónimo</v>
      </c>
      <c r="E396" t="str">
        <v/>
      </c>
      <c r="F396" s="68">
        <v>46224</v>
      </c>
      <c r="G396" s="88" t="str">
        <v>21/07/2026</v>
      </c>
      <c r="H396" t="str">
        <v>DULCE FRANCO</v>
      </c>
      <c r="I396" t="str">
        <v>EDUARDO GOMEZ CISNEROS</v>
      </c>
      <c r="J396" s="82" t="str">
        <v/>
      </c>
      <c r="K396" t="str">
        <v>GOCE630730HDFMSD03</v>
      </c>
      <c r="L396" s="82">
        <v>22907260</v>
      </c>
      <c r="M396" s="82">
        <v>5216631051228</v>
      </c>
      <c r="N396" t="str">
        <v>NUEVO MAYOR</v>
      </c>
      <c r="O396" s="89">
        <v>11029.03</v>
      </c>
      <c r="P396" s="89" t="str">
        <v/>
      </c>
      <c r="Q396" s="89">
        <v>3308.71</v>
      </c>
      <c r="R396" s="89">
        <v>3308.71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>
        <v>1</v>
      </c>
    </row>
    <row r="397" spans="1:24">
      <c r="A397" s="26" t="str">
        <v/>
      </c>
      <c r="B397" s="87" t="str">
        <v>21/07/2026 16:10</v>
      </c>
      <c r="C397" s="87">
        <v>46224.674305555556</v>
      </c>
      <c r="D397" t="str">
        <v>anónimo</v>
      </c>
      <c r="E397" t="str">
        <v/>
      </c>
      <c r="F397" s="68">
        <v>46224</v>
      </c>
      <c r="G397" s="88" t="str">
        <v>21/07/2026</v>
      </c>
      <c r="H397" t="str">
        <v>MARISOL HERNANDEZ C/C</v>
      </c>
      <c r="I397" t="str">
        <v>GABRIEL RAMIREZ FUENTES</v>
      </c>
      <c r="J397" s="82">
        <v>4846693473</v>
      </c>
      <c r="K397" t="str">
        <v>RAFG660526HMNMNB02</v>
      </c>
      <c r="L397" s="82">
        <v>22908310</v>
      </c>
      <c r="M397" s="82">
        <v>7227817315</v>
      </c>
      <c r="N397" t="str">
        <v>NUEVO MAYOR</v>
      </c>
      <c r="O397" s="89">
        <v>10636.54</v>
      </c>
      <c r="P397" s="89" t="str">
        <v/>
      </c>
      <c r="Q397" s="89">
        <v>3190.96</v>
      </c>
      <c r="R397" s="89">
        <v>3190.96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>
        <v>1</v>
      </c>
    </row>
    <row r="398" spans="1:24">
      <c r="A398" s="26" t="str">
        <v/>
      </c>
      <c r="B398" s="87" t="str">
        <v>21/07/2026 16:14</v>
      </c>
      <c r="C398" s="87">
        <v>46224.676388888889</v>
      </c>
      <c r="D398" t="str">
        <v>anónimo</v>
      </c>
      <c r="E398" t="str">
        <v/>
      </c>
      <c r="F398" s="68">
        <v>46224</v>
      </c>
      <c r="G398" s="88" t="str">
        <v>21/07/2026</v>
      </c>
      <c r="H398" t="str">
        <v>YAMILETH CARDONA EXT 2</v>
      </c>
      <c r="I398" t="str">
        <v>MARCELINO COTA RUIZ</v>
      </c>
      <c r="J398" s="82">
        <v>65845605347</v>
      </c>
      <c r="K398" t="str">
        <v>CORM560602HSLTZR06</v>
      </c>
      <c r="L398" s="82">
        <v>2</v>
      </c>
      <c r="M398" s="82" t="str">
        <v>222 203 0925</v>
      </c>
      <c r="N398" t="str">
        <v>NUEVO MENOR</v>
      </c>
      <c r="O398" s="89">
        <v>65289.73</v>
      </c>
      <c r="P398" s="89">
        <v>18864.12</v>
      </c>
      <c r="Q398" s="89">
        <v>19586.919999999998</v>
      </c>
      <c r="R398" s="89">
        <v>722.8</v>
      </c>
      <c r="S398">
        <v>46392</v>
      </c>
      <c r="T398" t="str">
        <v/>
      </c>
      <c r="U398" t="str">
        <v/>
      </c>
      <c r="V398" t="str">
        <v/>
      </c>
      <c r="W398" t="str">
        <v/>
      </c>
      <c r="X398">
        <v>2</v>
      </c>
    </row>
    <row r="399" spans="1:24">
      <c r="A399" s="26" t="str">
        <v/>
      </c>
      <c r="B399" s="87" t="str">
        <v>21/07/2026 16:06</v>
      </c>
      <c r="C399" s="87">
        <v>46224.679166666669</v>
      </c>
      <c r="D399" t="str">
        <v>anónimo</v>
      </c>
      <c r="E399" t="str">
        <v/>
      </c>
      <c r="F399" s="68">
        <v>46224</v>
      </c>
      <c r="G399" s="88" t="str">
        <v>20/07/2026</v>
      </c>
      <c r="H399" t="str">
        <v>JENNIFER AVENDAÑO SUR</v>
      </c>
      <c r="I399" t="str">
        <v>MARIA DEL RAYO TERESA TELLEZ CRUZ</v>
      </c>
      <c r="J399" s="82">
        <v>62755825544</v>
      </c>
      <c r="K399" t="str">
        <v>TECR581014MPLLRY10</v>
      </c>
      <c r="L399" s="82">
        <v>22881580</v>
      </c>
      <c r="M399" s="82">
        <v>5212223008851</v>
      </c>
      <c r="N399" t="str">
        <v>NUEVO MENOR</v>
      </c>
      <c r="O399" s="89">
        <v>4907.05</v>
      </c>
      <c r="P399" s="89" t="str">
        <v/>
      </c>
      <c r="Q399" s="89">
        <v>1472.12</v>
      </c>
      <c r="R399" s="89">
        <v>734.07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>
        <v>1</v>
      </c>
    </row>
    <row r="400" spans="1:24">
      <c r="A400" s="26" t="str">
        <v/>
      </c>
      <c r="B400" s="87" t="str">
        <v>21/07/2026 16:21</v>
      </c>
      <c r="C400" s="87">
        <v>46224.682638888888</v>
      </c>
      <c r="D400" t="str">
        <v>anónimo</v>
      </c>
      <c r="E400" t="str">
        <v/>
      </c>
      <c r="F400" s="68">
        <v>46224</v>
      </c>
      <c r="G400" s="88" t="str">
        <v>21/07/2026</v>
      </c>
      <c r="H400" t="str">
        <v>ANA VILLEGAS C/C</v>
      </c>
      <c r="I400" t="str">
        <v>Jose Armando</v>
      </c>
      <c r="J400" s="82">
        <v>84916304359</v>
      </c>
      <c r="K400" t="str">
        <v/>
      </c>
      <c r="L400" s="82">
        <v>22907848</v>
      </c>
      <c r="M400" s="82">
        <v>5219817368366</v>
      </c>
      <c r="N400" t="str">
        <v>NUEVO MAYOR</v>
      </c>
      <c r="O400" s="89">
        <v>10636.54</v>
      </c>
      <c r="P400" s="89" t="str">
        <v/>
      </c>
      <c r="Q400" s="89">
        <v>3190.96</v>
      </c>
      <c r="R400" s="89">
        <v>3190.96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>
        <v>1</v>
      </c>
    </row>
    <row r="401" spans="1:24">
      <c r="A401" s="26" t="str">
        <v/>
      </c>
      <c r="B401" s="87" t="str">
        <v>21/07/2026 15:33</v>
      </c>
      <c r="C401" s="87">
        <v>46224.683333333334</v>
      </c>
      <c r="D401" t="str">
        <v>anónimo</v>
      </c>
      <c r="E401" t="str">
        <v/>
      </c>
      <c r="F401" s="68">
        <v>46224</v>
      </c>
      <c r="G401" s="88" t="str">
        <v>21/07/2026</v>
      </c>
      <c r="H401" t="str">
        <v>LITZY MARTINEZ C/C</v>
      </c>
      <c r="I401" t="str">
        <v>Elizabeth Valdez barrios</v>
      </c>
      <c r="J401" s="82" t="str">
        <v/>
      </c>
      <c r="K401" t="str">
        <v>VABE751025MSRLRL01</v>
      </c>
      <c r="L401" s="82">
        <v>22908414</v>
      </c>
      <c r="M401" s="82">
        <v>5216623383743</v>
      </c>
      <c r="N401" t="str">
        <v>NUEVO MENOR</v>
      </c>
      <c r="O401" s="89">
        <v>5154.3900000000003</v>
      </c>
      <c r="P401" s="89" t="str">
        <v/>
      </c>
      <c r="Q401" s="89">
        <v>1546.32</v>
      </c>
      <c r="R401" s="89">
        <v>981.41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>
        <v>1</v>
      </c>
    </row>
    <row r="402" spans="1:24">
      <c r="A402" s="26" t="str">
        <v/>
      </c>
      <c r="B402" s="87" t="str">
        <v>21/07/2026 16:42</v>
      </c>
      <c r="C402" s="87">
        <v>46224.698611111111</v>
      </c>
      <c r="D402" t="str">
        <v>anónimo</v>
      </c>
      <c r="E402" t="str">
        <v/>
      </c>
      <c r="F402" s="68">
        <v>46224</v>
      </c>
      <c r="G402" s="88" t="str">
        <v>21/07/2026</v>
      </c>
      <c r="H402" t="str">
        <v>GLORIA ORTIZ C/C</v>
      </c>
      <c r="I402" t="str">
        <v>NORMA EDELMIRA SANTIAGO ARRAZATE</v>
      </c>
      <c r="J402" s="82">
        <v>64805611361</v>
      </c>
      <c r="K402" t="str">
        <v>SAAN740920MCSNRR09</v>
      </c>
      <c r="L402" s="82">
        <v>22908642</v>
      </c>
      <c r="M402" s="82">
        <v>5219984771898</v>
      </c>
      <c r="N402" t="str">
        <v>COMPRA MENOR</v>
      </c>
      <c r="O402" s="89">
        <v>58139.91</v>
      </c>
      <c r="P402" s="89">
        <v>17440.099999999999</v>
      </c>
      <c r="Q402" s="89">
        <v>17441.97</v>
      </c>
      <c r="R402" s="89">
        <v>1.87</v>
      </c>
      <c r="S402">
        <v>46026</v>
      </c>
      <c r="T402" t="str">
        <v/>
      </c>
      <c r="U402" t="str">
        <v/>
      </c>
      <c r="V402" t="str">
        <v/>
      </c>
      <c r="W402" t="str">
        <v/>
      </c>
      <c r="X402">
        <v>2</v>
      </c>
    </row>
    <row r="403" spans="1:24">
      <c r="A403" s="26" t="str">
        <v/>
      </c>
      <c r="B403" s="87" t="str">
        <v>21/07/2026 17:25</v>
      </c>
      <c r="C403" s="87">
        <v>46224.726388888892</v>
      </c>
      <c r="D403" t="str">
        <v>anónimo</v>
      </c>
      <c r="E403" t="str">
        <v/>
      </c>
      <c r="F403" s="68">
        <v>46224</v>
      </c>
      <c r="G403" s="88" t="str">
        <v>21/07/2026</v>
      </c>
      <c r="H403" t="str">
        <v>DULCE FRANCO</v>
      </c>
      <c r="I403" t="str">
        <v>PATRICIA EPIGMENIA CARMONA PACHECO</v>
      </c>
      <c r="J403" s="82" t="str">
        <v/>
      </c>
      <c r="K403" t="str">
        <v>CAPP620309MDFRCT09</v>
      </c>
      <c r="L403" s="82">
        <v>22906616</v>
      </c>
      <c r="M403" s="82">
        <v>5215619408905</v>
      </c>
      <c r="N403" t="str">
        <v>RESTRINGIDA</v>
      </c>
      <c r="O403" s="89">
        <v>7116.73</v>
      </c>
      <c r="P403" s="89">
        <v>1871.82</v>
      </c>
      <c r="Q403" s="89">
        <v>2135.02</v>
      </c>
      <c r="R403" s="89">
        <v>263.2</v>
      </c>
      <c r="S403">
        <v>45662</v>
      </c>
      <c r="T403" t="str">
        <v>FISOFO</v>
      </c>
      <c r="U403" t="str">
        <v/>
      </c>
      <c r="V403" t="str">
        <v/>
      </c>
      <c r="W403" t="str">
        <v/>
      </c>
      <c r="X403">
        <v>2</v>
      </c>
    </row>
    <row r="404" spans="1:24">
      <c r="A404" s="26" t="str">
        <v/>
      </c>
      <c r="B404" s="87" t="str">
        <v>21/07/2026 17:39</v>
      </c>
      <c r="C404" s="87">
        <v>46224.746527777781</v>
      </c>
      <c r="D404" t="str">
        <v>anónimo</v>
      </c>
      <c r="E404" t="str">
        <v/>
      </c>
      <c r="F404" s="68">
        <v>46224</v>
      </c>
      <c r="G404" s="88" t="str">
        <v>20/07/2026</v>
      </c>
      <c r="H404" t="str">
        <v>MARA HERNANDEZ SUR</v>
      </c>
      <c r="I404" t="str">
        <v>MARTA ELENA REYES RAMIREZ</v>
      </c>
      <c r="J404" s="82">
        <v>12844703020</v>
      </c>
      <c r="K404" t="str">
        <v>RERM720315MGTYMR03</v>
      </c>
      <c r="L404" s="82">
        <v>22859206</v>
      </c>
      <c r="M404" s="82">
        <v>5214779169177</v>
      </c>
      <c r="N404" t="str">
        <v>NUEVO MAYOR</v>
      </c>
      <c r="O404" s="89">
        <v>7363.38</v>
      </c>
      <c r="P404" s="89">
        <v>848</v>
      </c>
      <c r="Q404" s="89">
        <v>2209.0100000000002</v>
      </c>
      <c r="R404" s="89">
        <v>1361.01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>
        <v>1</v>
      </c>
    </row>
    <row r="405" spans="1:24">
      <c r="A405" s="26" t="str">
        <v/>
      </c>
      <c r="B405" s="87" t="str">
        <v>21/07/2026 17:36</v>
      </c>
      <c r="C405" s="87">
        <v>46224.747916666667</v>
      </c>
      <c r="D405" t="str">
        <v>anónimo</v>
      </c>
      <c r="E405" t="str">
        <v/>
      </c>
      <c r="F405" s="68">
        <v>46224</v>
      </c>
      <c r="G405" s="88" t="str">
        <v>21/07/2026</v>
      </c>
      <c r="H405" t="str">
        <v>MARIA MARTINEZ SUR</v>
      </c>
      <c r="I405" t="str">
        <v>SILVIA ELENA SOTO CARRASCO</v>
      </c>
      <c r="J405" s="82">
        <v>23796100420</v>
      </c>
      <c r="K405" t="str">
        <v>SOCS670225MSLTRL12</v>
      </c>
      <c r="L405" s="82">
        <v>22895236</v>
      </c>
      <c r="M405" s="82">
        <v>5216671541997</v>
      </c>
      <c r="N405" t="str">
        <v>COMPRA MENOR</v>
      </c>
      <c r="O405" s="89">
        <v>4636.7299999999996</v>
      </c>
      <c r="P405" s="89">
        <v>763.86</v>
      </c>
      <c r="Q405" s="89">
        <v>1391.02</v>
      </c>
      <c r="R405" s="89">
        <v>-300.11</v>
      </c>
      <c r="S405">
        <v>45662</v>
      </c>
      <c r="T405" t="str">
        <v/>
      </c>
      <c r="U405" t="str">
        <v/>
      </c>
      <c r="V405" t="str">
        <v/>
      </c>
      <c r="W405" t="str">
        <v/>
      </c>
      <c r="X405">
        <v>2</v>
      </c>
    </row>
    <row r="406" spans="1:24">
      <c r="A406" s="26" t="str">
        <v/>
      </c>
      <c r="B406" s="87" t="str">
        <v>21/07/2026 17:36</v>
      </c>
      <c r="C406" s="87">
        <v>46224.748611111114</v>
      </c>
      <c r="D406" t="str">
        <v>anónimo</v>
      </c>
      <c r="E406" t="str">
        <v/>
      </c>
      <c r="F406" s="68">
        <v>46224</v>
      </c>
      <c r="G406" s="88" t="str">
        <v>21/07/2026</v>
      </c>
      <c r="H406" t="str">
        <v>MARIA MARTINEZ SUR</v>
      </c>
      <c r="I406" t="str">
        <v>RODOLFO CONTRERAS RUIZ</v>
      </c>
      <c r="J406" s="82">
        <v>62735423972</v>
      </c>
      <c r="K406" t="str">
        <v>CORR540418HPLNZD01</v>
      </c>
      <c r="L406" s="82">
        <v>22900264</v>
      </c>
      <c r="M406" s="82">
        <v>5212224567667</v>
      </c>
      <c r="N406" t="str">
        <v>COMPRA MENOR</v>
      </c>
      <c r="O406" s="89">
        <v>46565.64</v>
      </c>
      <c r="P406" s="89">
        <v>13969.69</v>
      </c>
      <c r="Q406" s="89">
        <v>13969.69</v>
      </c>
      <c r="R406" s="89">
        <v>0</v>
      </c>
      <c r="S406">
        <v>46024</v>
      </c>
      <c r="T406" t="str">
        <v/>
      </c>
      <c r="U406" t="str">
        <v/>
      </c>
      <c r="V406" t="str">
        <v/>
      </c>
      <c r="W406" t="str">
        <v/>
      </c>
      <c r="X406">
        <v>2</v>
      </c>
    </row>
    <row r="407" spans="1:24">
      <c r="A407" s="26" t="str">
        <v/>
      </c>
      <c r="B407" s="87" t="str">
        <v>21/07/2026 18:00</v>
      </c>
      <c r="C407" s="87">
        <v>46224.75</v>
      </c>
      <c r="D407" t="str">
        <v>anónimo</v>
      </c>
      <c r="E407" t="str">
        <v/>
      </c>
      <c r="F407" s="68">
        <v>46224</v>
      </c>
      <c r="G407" s="88" t="str">
        <v>21/07/2026</v>
      </c>
      <c r="H407" t="str">
        <v>CAROLINA RAMIREZ C/C</v>
      </c>
      <c r="I407" t="str">
        <v>MANUEL DE JESUS CHE PAN</v>
      </c>
      <c r="J407" s="82">
        <v>82008305946</v>
      </c>
      <c r="K407" t="str">
        <v>CEPM830629HYNHNN07</v>
      </c>
      <c r="L407" s="82">
        <v>22908836</v>
      </c>
      <c r="M407" s="82">
        <v>5215525126884</v>
      </c>
      <c r="N407" t="str">
        <v>NUEVO MAYOR</v>
      </c>
      <c r="O407" s="89">
        <v>5913.13</v>
      </c>
      <c r="P407" s="89" t="str">
        <v/>
      </c>
      <c r="Q407" s="89">
        <v>1773.94</v>
      </c>
      <c r="R407" s="89">
        <v>1740.15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>
        <v>1</v>
      </c>
    </row>
    <row r="408" spans="1:24">
      <c r="A408" s="26" t="str">
        <v/>
      </c>
      <c r="B408" s="87" t="str">
        <v>21/07/2026 16:57</v>
      </c>
      <c r="C408" s="87">
        <v>46224.752083333333</v>
      </c>
      <c r="D408" t="str">
        <v>anónimo</v>
      </c>
      <c r="E408" t="str">
        <v/>
      </c>
      <c r="F408" s="68">
        <v>46224</v>
      </c>
      <c r="G408" s="88" t="str">
        <v>21/07/2026</v>
      </c>
      <c r="H408" t="str">
        <v>MARISOL HERNANDEZ C/C</v>
      </c>
      <c r="I408" t="str">
        <v>JUAN MANUEL UGALDE</v>
      </c>
      <c r="J408" s="82">
        <v>89806320258</v>
      </c>
      <c r="K408" t="str">
        <v/>
      </c>
      <c r="L408" s="82">
        <v>22906624</v>
      </c>
      <c r="M408" s="82">
        <v>5535674978</v>
      </c>
      <c r="N408" t="str">
        <v>COMPRA MENOR</v>
      </c>
      <c r="O408" s="89">
        <v>30869.06</v>
      </c>
      <c r="P408" s="89">
        <v>8933.5300000000007</v>
      </c>
      <c r="Q408" s="89">
        <v>9260.7199999999993</v>
      </c>
      <c r="R408" s="89">
        <v>327.19</v>
      </c>
      <c r="S408">
        <v>45298</v>
      </c>
      <c r="T408" t="str">
        <v/>
      </c>
      <c r="U408" t="str">
        <v/>
      </c>
      <c r="V408" t="str">
        <v/>
      </c>
      <c r="W408" t="str">
        <v/>
      </c>
      <c r="X408">
        <v>2</v>
      </c>
    </row>
    <row r="409" spans="1:24">
      <c r="A409" s="26" t="str">
        <v/>
      </c>
      <c r="B409" s="87" t="str">
        <v>21/07/2026 18:07</v>
      </c>
      <c r="C409" s="87">
        <v>46224.754861111112</v>
      </c>
      <c r="D409" t="str">
        <v>anónimo</v>
      </c>
      <c r="E409" t="str">
        <v/>
      </c>
      <c r="F409" s="68">
        <v>46224</v>
      </c>
      <c r="G409" s="88" t="str">
        <v>21/07/2026</v>
      </c>
      <c r="H409" t="str">
        <v>GLORIA ORTIZ C/C</v>
      </c>
      <c r="I409" t="str">
        <v>MARIA ELENA ALVAREZ DOMINGUEZ</v>
      </c>
      <c r="J409" s="82">
        <v>15816321705</v>
      </c>
      <c r="K409" t="str">
        <v>AADE630505MMSLML09</v>
      </c>
      <c r="L409" s="82">
        <v>22909188</v>
      </c>
      <c r="M409" s="82">
        <v>5217778926044</v>
      </c>
      <c r="N409" t="str">
        <v>NUEVO MENOR</v>
      </c>
      <c r="O409" s="89">
        <v>11555.63</v>
      </c>
      <c r="P409" s="89">
        <v>3100.4</v>
      </c>
      <c r="Q409" s="89">
        <v>3466.69</v>
      </c>
      <c r="R409" s="89">
        <v>366.29</v>
      </c>
      <c r="S409">
        <v>46389</v>
      </c>
      <c r="T409" t="str">
        <v/>
      </c>
      <c r="U409" t="str">
        <v/>
      </c>
      <c r="V409" t="str">
        <v/>
      </c>
      <c r="W409" t="str">
        <v/>
      </c>
      <c r="X409">
        <v>2</v>
      </c>
    </row>
    <row r="410" spans="1:24">
      <c r="A410" s="26" t="str">
        <v/>
      </c>
      <c r="B410" s="87" t="str">
        <v>21/07/2026 18:45</v>
      </c>
      <c r="C410" s="87">
        <v>46224.78125</v>
      </c>
      <c r="D410" t="str">
        <v>anónimo</v>
      </c>
      <c r="E410" t="str">
        <v/>
      </c>
      <c r="F410" s="68">
        <v>46224</v>
      </c>
      <c r="G410" s="88" t="str">
        <v>21/07/2026</v>
      </c>
      <c r="H410" t="str">
        <v>GLORIA ORTIZ C/C</v>
      </c>
      <c r="I410" t="str">
        <v>ANGEL PULIDO</v>
      </c>
      <c r="J410" s="82">
        <v>49937633730</v>
      </c>
      <c r="K410" t="str">
        <v/>
      </c>
      <c r="L410" s="82">
        <v>22908874</v>
      </c>
      <c r="M410" s="82">
        <v>5218991495732</v>
      </c>
      <c r="N410" t="str">
        <v>NUEVO MAYOR</v>
      </c>
      <c r="O410" s="89">
        <v>7135.6</v>
      </c>
      <c r="P410" s="89" t="str">
        <v/>
      </c>
      <c r="Q410" s="89">
        <v>2140.6799999999998</v>
      </c>
      <c r="R410" s="89">
        <v>2140.6799999999998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>
        <v>1</v>
      </c>
    </row>
    <row r="411" spans="1:24">
      <c r="A411" s="26" t="str">
        <v/>
      </c>
      <c r="B411" s="87" t="str">
        <v>21/07/2026 19:08</v>
      </c>
      <c r="C411" s="87">
        <v>46224.799305555556</v>
      </c>
      <c r="D411" t="str">
        <v>anónimo</v>
      </c>
      <c r="E411" t="str">
        <v/>
      </c>
      <c r="F411" s="68">
        <v>46224</v>
      </c>
      <c r="G411" s="88" t="str">
        <v>21/07/2026</v>
      </c>
      <c r="H411" t="str">
        <v>CAROLINA RAMIREZ C/C</v>
      </c>
      <c r="I411" t="str">
        <v xml:space="preserve">ROQUE ANTONIO SALINAS GONZÁLEZ </v>
      </c>
      <c r="J411" s="82" t="str">
        <v/>
      </c>
      <c r="K411" t="str">
        <v>SAGR660204HNLLNQ01</v>
      </c>
      <c r="L411" s="82">
        <v>22903664</v>
      </c>
      <c r="M411" s="82">
        <v>5218180545514</v>
      </c>
      <c r="N411" t="str">
        <v>NUEVO MAYOR</v>
      </c>
      <c r="O411" s="89">
        <v>10636.54</v>
      </c>
      <c r="P411" s="89" t="str">
        <v/>
      </c>
      <c r="Q411" s="89">
        <v>3190.96</v>
      </c>
      <c r="R411" s="89">
        <v>3190.96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>
        <v>1</v>
      </c>
    </row>
    <row r="412" spans="1:24">
      <c r="A412" s="26" t="str">
        <v/>
      </c>
      <c r="B412" s="87" t="str">
        <v>22/07/2026 09:49</v>
      </c>
      <c r="C412" s="87">
        <v>46225.409722222219</v>
      </c>
      <c r="D412" t="str">
        <v>anónimo</v>
      </c>
      <c r="E412" t="str">
        <v/>
      </c>
      <c r="F412" s="68">
        <v>46225</v>
      </c>
      <c r="G412" s="88" t="str">
        <v>22/07/2026</v>
      </c>
      <c r="H412" t="str">
        <v>YAMILETH CARDONA EXT 2</v>
      </c>
      <c r="I412" t="str">
        <v>MARIA DE JESUS ZARATE MORENO</v>
      </c>
      <c r="J412" s="82">
        <v>1603413392</v>
      </c>
      <c r="K412" t="str">
        <v>ZAMJ410620MDFRRS04</v>
      </c>
      <c r="L412" s="82">
        <v>2</v>
      </c>
      <c r="M412" s="82" t="str">
        <v>55 1959 6145</v>
      </c>
      <c r="N412" t="str">
        <v>COMPRA MAYOR</v>
      </c>
      <c r="O412" s="89">
        <v>5636.59</v>
      </c>
      <c r="P412" s="89">
        <v>1564.91</v>
      </c>
      <c r="Q412" s="89">
        <v>1690.98</v>
      </c>
      <c r="R412" s="89">
        <v>-101.3</v>
      </c>
      <c r="S412">
        <v>46029</v>
      </c>
      <c r="T412" t="str">
        <v/>
      </c>
      <c r="U412" t="str">
        <v/>
      </c>
      <c r="V412" t="str">
        <v/>
      </c>
      <c r="W412" t="str">
        <v/>
      </c>
      <c r="X412">
        <v>2</v>
      </c>
    </row>
    <row r="413" spans="1:24">
      <c r="A413" s="26" t="str">
        <v/>
      </c>
      <c r="B413" s="87" t="str">
        <v>22/07/2026 10:21</v>
      </c>
      <c r="C413" s="87">
        <v>46225.447222222225</v>
      </c>
      <c r="D413" t="str">
        <v>anónimo</v>
      </c>
      <c r="E413" t="str">
        <v/>
      </c>
      <c r="F413" s="68">
        <v>46225</v>
      </c>
      <c r="G413" s="88" t="str">
        <v>21/07/2026</v>
      </c>
      <c r="H413" t="str">
        <v>ROSA CASTRO SUR</v>
      </c>
      <c r="I413" t="str">
        <v>MIGUEL SOTO CORONA</v>
      </c>
      <c r="J413" s="82">
        <v>56917226153</v>
      </c>
      <c r="K413" t="str">
        <v>SOCM720209HJCTRG03</v>
      </c>
      <c r="L413" s="82">
        <v>22913532</v>
      </c>
      <c r="M413" s="82">
        <v>5213316019601</v>
      </c>
      <c r="N413" t="str">
        <v>COMPRA MAYOR</v>
      </c>
      <c r="O413" s="89">
        <v>12042.88</v>
      </c>
      <c r="P413" s="89">
        <v>3333.97</v>
      </c>
      <c r="Q413" s="89">
        <v>3612.86</v>
      </c>
      <c r="R413" s="89">
        <v>278.89</v>
      </c>
      <c r="S413">
        <v>46024</v>
      </c>
      <c r="T413" t="str">
        <v/>
      </c>
      <c r="U413" t="str">
        <v/>
      </c>
      <c r="V413" t="str">
        <v/>
      </c>
      <c r="W413" t="str">
        <v/>
      </c>
      <c r="X413">
        <v>2</v>
      </c>
    </row>
    <row r="414" spans="1:24">
      <c r="A414" s="26" t="str">
        <v/>
      </c>
      <c r="B414" s="87" t="str">
        <v>22/07/2026 10:56</v>
      </c>
      <c r="C414" s="87">
        <v>46225.456250000003</v>
      </c>
      <c r="D414" t="str">
        <v>anónimo</v>
      </c>
      <c r="E414" t="str">
        <v/>
      </c>
      <c r="F414" s="68">
        <v>46225</v>
      </c>
      <c r="G414" s="88" t="str">
        <v>22/07/2026</v>
      </c>
      <c r="H414" t="str">
        <v>MELANIE CIBRIAN C/C</v>
      </c>
      <c r="I414" t="str">
        <v>JUAN FLORES</v>
      </c>
      <c r="J414" s="82">
        <v>43917446270</v>
      </c>
      <c r="K414" t="str">
        <v/>
      </c>
      <c r="L414" s="82">
        <v>22989752</v>
      </c>
      <c r="M414" s="82">
        <v>8184598427</v>
      </c>
      <c r="N414" t="str">
        <v>COMPRA MAYOR</v>
      </c>
      <c r="O414" s="89">
        <v>8845.49</v>
      </c>
      <c r="P414" s="89">
        <v>2354.46</v>
      </c>
      <c r="Q414" s="89">
        <v>2653.65</v>
      </c>
      <c r="R414" s="89">
        <v>299.19</v>
      </c>
      <c r="S414">
        <v>46028</v>
      </c>
      <c r="T414" t="str">
        <v/>
      </c>
      <c r="U414" t="str">
        <v/>
      </c>
      <c r="V414" t="str">
        <v/>
      </c>
      <c r="W414" t="str">
        <v/>
      </c>
      <c r="X414">
        <v>2</v>
      </c>
    </row>
    <row r="415" spans="1:24">
      <c r="A415" s="26" t="str">
        <v/>
      </c>
      <c r="B415" s="87" t="str">
        <v>22/07/2026 10:44</v>
      </c>
      <c r="C415" s="87">
        <v>46225.465277777781</v>
      </c>
      <c r="D415" t="str">
        <v>anónimo</v>
      </c>
      <c r="E415" t="str">
        <v/>
      </c>
      <c r="F415" s="68">
        <v>46225</v>
      </c>
      <c r="G415" s="88" t="str">
        <v>21/07/2026</v>
      </c>
      <c r="H415" t="str">
        <v>ROSA CASTRO SUR</v>
      </c>
      <c r="I415" t="str">
        <v>ROGELIO MARTINEZ LEOS</v>
      </c>
      <c r="J415" s="82">
        <v>33816084462</v>
      </c>
      <c r="K415" t="str">
        <v>MALR600113HCHRSG00</v>
      </c>
      <c r="L415" s="82">
        <v>22914430</v>
      </c>
      <c r="M415" s="82">
        <v>5216484696204</v>
      </c>
      <c r="N415" t="str">
        <v>NUEVO MAYOR</v>
      </c>
      <c r="O415" s="89">
        <v>6760.29</v>
      </c>
      <c r="P415" s="89" t="str">
        <v/>
      </c>
      <c r="Q415" s="89">
        <v>2028.09</v>
      </c>
      <c r="R415" s="89">
        <v>2028.09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>
        <v>1</v>
      </c>
    </row>
    <row r="416" spans="1:24">
      <c r="A416" s="26" t="str">
        <v/>
      </c>
      <c r="B416" s="87" t="str">
        <v>22/07/2026 11:33</v>
      </c>
      <c r="C416" s="87">
        <v>46225.481944444444</v>
      </c>
      <c r="D416" t="str">
        <v>anónimo</v>
      </c>
      <c r="E416" t="str">
        <v/>
      </c>
      <c r="F416" s="68">
        <v>46225</v>
      </c>
      <c r="G416" s="88" t="str">
        <v>17/07/2026</v>
      </c>
      <c r="H416" t="str">
        <v>DULCE FRANCO</v>
      </c>
      <c r="I416" t="str">
        <v>ELEAZAR DIAZ MAGAÑA</v>
      </c>
      <c r="J416" s="82" t="str">
        <v/>
      </c>
      <c r="K416" t="str">
        <v>DIME590823HSRZGL10</v>
      </c>
      <c r="L416" s="82">
        <v>22789878</v>
      </c>
      <c r="M416" s="82">
        <v>5216449972289</v>
      </c>
      <c r="N416" t="str">
        <v>NUEVO MENOR</v>
      </c>
      <c r="O416" s="89">
        <v>22774.76</v>
      </c>
      <c r="P416" s="89">
        <v>6290.82</v>
      </c>
      <c r="Q416" s="89">
        <v>6832.43</v>
      </c>
      <c r="R416" s="89">
        <v>541.61</v>
      </c>
      <c r="S416">
        <v>46032</v>
      </c>
      <c r="T416" t="str">
        <v/>
      </c>
      <c r="U416" t="str">
        <v/>
      </c>
      <c r="V416" t="str">
        <v/>
      </c>
      <c r="W416" t="str">
        <v/>
      </c>
      <c r="X416">
        <v>2</v>
      </c>
    </row>
    <row r="417" spans="1:24">
      <c r="A417" s="26" t="str">
        <v/>
      </c>
      <c r="B417" s="87" t="str">
        <v>22/07/2026 11:46</v>
      </c>
      <c r="C417" s="87">
        <v>46225.500694444447</v>
      </c>
      <c r="D417" t="str">
        <v>anónimo</v>
      </c>
      <c r="E417" t="str">
        <v/>
      </c>
      <c r="F417" s="68">
        <v>46225</v>
      </c>
      <c r="G417" s="88" t="str">
        <v>21/07/2026</v>
      </c>
      <c r="H417" t="str">
        <v>JENNIFER AVENDAÑO SUR</v>
      </c>
      <c r="I417" t="str">
        <v>JESUS MANUEL BOJORQUEZ BUSTAMANTE</v>
      </c>
      <c r="J417" s="82" t="str">
        <v/>
      </c>
      <c r="K417" t="str">
        <v>BOBJ650919HSRJSS02</v>
      </c>
      <c r="L417" s="82">
        <v>22890220</v>
      </c>
      <c r="M417" s="82">
        <v>5216671435765</v>
      </c>
      <c r="N417" t="str">
        <v>NUEVO MAYOR</v>
      </c>
      <c r="O417" s="89">
        <v>9760.32</v>
      </c>
      <c r="P417" s="89">
        <v>879</v>
      </c>
      <c r="Q417" s="89">
        <v>2928.1</v>
      </c>
      <c r="R417" s="89">
        <v>2049.1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>
        <v>1</v>
      </c>
    </row>
    <row r="418" spans="1:24">
      <c r="A418" s="26" t="str">
        <v/>
      </c>
      <c r="B418" s="87" t="str">
        <v>22/07/2026 12:17</v>
      </c>
      <c r="C418" s="87">
        <v>46225.513194444444</v>
      </c>
      <c r="D418" t="str">
        <v>anónimo</v>
      </c>
      <c r="E418" t="str">
        <v/>
      </c>
      <c r="F418" s="68">
        <v>46225</v>
      </c>
      <c r="G418" s="88" t="str">
        <v>22/07/2026</v>
      </c>
      <c r="H418" t="str">
        <v>XIMENA RIVERA SUR</v>
      </c>
      <c r="I418" t="str">
        <v>IVAN DE JESUS VILLAVICENCIO MEZA</v>
      </c>
      <c r="J418" s="82" t="str">
        <v/>
      </c>
      <c r="K418" t="str">
        <v>VIMI800802HBSLZV14</v>
      </c>
      <c r="L418" s="82">
        <v>22917596</v>
      </c>
      <c r="M418" s="82">
        <v>5216121560938</v>
      </c>
      <c r="N418" t="str">
        <v>COMPRA MAYOR</v>
      </c>
      <c r="O418" s="89">
        <v>10975.67</v>
      </c>
      <c r="P418" s="89">
        <v>3166.3</v>
      </c>
      <c r="Q418" s="89">
        <v>3292.7</v>
      </c>
      <c r="R418" s="89">
        <v>126.4</v>
      </c>
      <c r="S418">
        <v>45297</v>
      </c>
      <c r="T418" t="str">
        <v/>
      </c>
      <c r="U418" t="str">
        <v/>
      </c>
      <c r="V418" t="str">
        <v/>
      </c>
      <c r="W418" t="str">
        <v/>
      </c>
      <c r="X418">
        <v>2</v>
      </c>
    </row>
    <row r="419" spans="1:24">
      <c r="A419" s="26" t="str">
        <v/>
      </c>
      <c r="B419" s="87" t="str">
        <v>22/07/2026 12:23</v>
      </c>
      <c r="C419" s="87">
        <v>46225.515972222223</v>
      </c>
      <c r="D419" t="str">
        <v>anónimo</v>
      </c>
      <c r="E419" t="str">
        <v/>
      </c>
      <c r="F419" s="68">
        <v>46225</v>
      </c>
      <c r="G419" s="88" t="str">
        <v>18/07/2026</v>
      </c>
      <c r="H419" t="str">
        <v>GIOVANNI MELGAR</v>
      </c>
      <c r="I419" t="str">
        <v>MIGUEL AGUSTIN ALBA ROBLES</v>
      </c>
      <c r="J419" s="82">
        <v>33765712881</v>
      </c>
      <c r="K419" t="str">
        <v>AARM570707HCLLBG08</v>
      </c>
      <c r="L419" s="82">
        <v>22812616</v>
      </c>
      <c r="M419" s="82">
        <v>5216143237150</v>
      </c>
      <c r="N419" t="str">
        <v>NUEVO MAYOR</v>
      </c>
      <c r="O419" s="89">
        <v>5977.6</v>
      </c>
      <c r="P419" s="89" t="str">
        <v/>
      </c>
      <c r="Q419" s="89">
        <v>1793.28</v>
      </c>
      <c r="R419" s="89">
        <v>1793.28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>
        <v>1</v>
      </c>
    </row>
    <row r="420" spans="1:24">
      <c r="A420" s="26" t="str">
        <v/>
      </c>
      <c r="B420" s="87" t="str">
        <v>22/07/2026 12:29</v>
      </c>
      <c r="C420" s="87">
        <v>46225.523611111108</v>
      </c>
      <c r="D420" t="str">
        <v>anónimo</v>
      </c>
      <c r="E420" t="str">
        <v/>
      </c>
      <c r="F420" s="68">
        <v>46225</v>
      </c>
      <c r="G420" s="88" t="str">
        <v>21/07/2026</v>
      </c>
      <c r="H420" t="str">
        <v>JENNIFER AVENDAÑO SUR</v>
      </c>
      <c r="I420" t="str">
        <v>VICTOR MANUEL PEREZ CARBALLO</v>
      </c>
      <c r="J420" s="82">
        <v>67776010547</v>
      </c>
      <c r="K420" t="str">
        <v>PECV600128HVZRRC01</v>
      </c>
      <c r="L420" s="82">
        <v>22913774</v>
      </c>
      <c r="M420" s="82">
        <v>5216563373567</v>
      </c>
      <c r="N420" t="str">
        <v>COMPRA MAYOR</v>
      </c>
      <c r="O420" s="89">
        <v>7116.73</v>
      </c>
      <c r="P420" s="89">
        <v>1886.64</v>
      </c>
      <c r="Q420" s="89">
        <v>2135.02</v>
      </c>
      <c r="R420" s="89">
        <v>248.38</v>
      </c>
      <c r="S420">
        <v>45659</v>
      </c>
      <c r="T420" t="str">
        <v/>
      </c>
      <c r="U420" t="str">
        <v/>
      </c>
      <c r="V420" t="str">
        <v/>
      </c>
      <c r="W420" t="str">
        <v/>
      </c>
      <c r="X420">
        <v>2</v>
      </c>
    </row>
    <row r="421" spans="1:24">
      <c r="A421" s="26" t="str">
        <v/>
      </c>
      <c r="B421" s="87" t="str">
        <v>22/07/2026 12:36</v>
      </c>
      <c r="C421" s="87">
        <v>46225.525694444441</v>
      </c>
      <c r="D421" t="str">
        <v>anónimo</v>
      </c>
      <c r="E421" t="str">
        <v/>
      </c>
      <c r="F421" s="68">
        <v>46225</v>
      </c>
      <c r="G421" s="88" t="str">
        <v>22/07/2026</v>
      </c>
      <c r="H421" t="str">
        <v>MELANIE CIBRIAN C/C</v>
      </c>
      <c r="I421" t="str">
        <v>Enrique Aranda Ontiveros</v>
      </c>
      <c r="J421" s="82" t="str">
        <v/>
      </c>
      <c r="K421" t="str">
        <v>AAOE680725HGTRNN01</v>
      </c>
      <c r="L421" s="82">
        <v>22992166</v>
      </c>
      <c r="M421" s="82">
        <v>4773546661</v>
      </c>
      <c r="N421" t="str">
        <v>NUEVO MAYOR</v>
      </c>
      <c r="O421" s="89">
        <v>9936.06</v>
      </c>
      <c r="P421" s="89" t="str">
        <v/>
      </c>
      <c r="Q421" s="89">
        <v>2980.82</v>
      </c>
      <c r="R421" s="89">
        <v>2980.82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>
        <v>1</v>
      </c>
    </row>
    <row r="422" spans="1:24">
      <c r="A422" s="26" t="str">
        <v/>
      </c>
      <c r="B422" s="87" t="str">
        <v>22/07/2026 12:41</v>
      </c>
      <c r="C422" s="87">
        <v>46225.529861111114</v>
      </c>
      <c r="D422" t="str">
        <v>anónimo</v>
      </c>
      <c r="E422" t="str">
        <v/>
      </c>
      <c r="F422" s="68">
        <v>46225</v>
      </c>
      <c r="G422" s="88" t="str">
        <v>21/07/2026</v>
      </c>
      <c r="H422" t="str">
        <v>CAROLINA RAMIREZ C/C</v>
      </c>
      <c r="I422" t="str">
        <v>RODRIGO GUZMAN GARCIA</v>
      </c>
      <c r="J422" s="82" t="str">
        <v/>
      </c>
      <c r="K422" t="str">
        <v>GUGR641016HVZZRD00</v>
      </c>
      <c r="L422" s="82">
        <v>22907908</v>
      </c>
      <c r="M422" s="82">
        <v>5218331885922</v>
      </c>
      <c r="N422" t="str">
        <v>NUEVO MAYOR</v>
      </c>
      <c r="O422" s="89">
        <v>9081.52</v>
      </c>
      <c r="P422" s="89" t="str">
        <v/>
      </c>
      <c r="Q422" s="89">
        <v>2724.46</v>
      </c>
      <c r="R422" s="89">
        <v>2724.46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>
        <v>1</v>
      </c>
    </row>
    <row r="423" spans="1:24">
      <c r="A423" s="26" t="str">
        <v/>
      </c>
      <c r="B423" s="87" t="str">
        <v>22/07/2026 12:43</v>
      </c>
      <c r="C423" s="87">
        <v>46225.531944444447</v>
      </c>
      <c r="D423" t="str">
        <v>anónimo</v>
      </c>
      <c r="E423" t="str">
        <v/>
      </c>
      <c r="F423" s="68">
        <v>46225</v>
      </c>
      <c r="G423" s="88" t="str">
        <v>22/07/2026</v>
      </c>
      <c r="H423" t="str">
        <v>LILIANA MARTINEZ SUR</v>
      </c>
      <c r="I423" t="str">
        <v>JOSE SERGIO AVILA DE SANTIAGO</v>
      </c>
      <c r="J423" s="82">
        <v>31775503431</v>
      </c>
      <c r="K423" t="str">
        <v>AISS550215HDGVNR04</v>
      </c>
      <c r="L423" s="82">
        <v>22916582</v>
      </c>
      <c r="M423" s="82">
        <v>5218721255734</v>
      </c>
      <c r="N423" t="str">
        <v>NUEVO MAYOR</v>
      </c>
      <c r="O423" s="89">
        <v>9689.1</v>
      </c>
      <c r="P423" s="89" t="str">
        <v/>
      </c>
      <c r="Q423" s="89">
        <v>2906.73</v>
      </c>
      <c r="R423" s="89">
        <v>2906.73</v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>
        <v>1</v>
      </c>
    </row>
    <row r="424" spans="1:24">
      <c r="A424" s="26" t="str">
        <v/>
      </c>
      <c r="B424" s="87" t="str">
        <v>22/07/2026 12:53</v>
      </c>
      <c r="C424" s="87">
        <v>46225.537499999999</v>
      </c>
      <c r="D424" t="str">
        <v>anónimo</v>
      </c>
      <c r="E424" t="str">
        <v/>
      </c>
      <c r="F424" s="68">
        <v>46225</v>
      </c>
      <c r="G424" s="88" t="str">
        <v>22/07/2026</v>
      </c>
      <c r="H424" t="str">
        <v>YULIANA RODRIGUEZ C/C</v>
      </c>
      <c r="I424" t="str">
        <v>ADELA PEREZ MARTINEZ</v>
      </c>
      <c r="J424" s="82" t="str">
        <v/>
      </c>
      <c r="K424" t="str">
        <v>PEMA580921MTSRRD09</v>
      </c>
      <c r="L424" s="82">
        <v>22992844</v>
      </c>
      <c r="M424" s="82">
        <v>5218999593947</v>
      </c>
      <c r="N424" t="str">
        <v>NUEVO MENOR</v>
      </c>
      <c r="O424" s="89">
        <v>4624</v>
      </c>
      <c r="P424" s="89" t="str">
        <v/>
      </c>
      <c r="Q424" s="89">
        <v>1387.2</v>
      </c>
      <c r="R424" s="89">
        <v>451.02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>
        <v>1</v>
      </c>
    </row>
    <row r="425" spans="1:24">
      <c r="A425" s="26" t="str">
        <v/>
      </c>
      <c r="B425" s="87" t="str">
        <v>22/07/2026 13:11</v>
      </c>
      <c r="C425" s="87">
        <v>46225.55</v>
      </c>
      <c r="D425" t="str">
        <v>anónimo</v>
      </c>
      <c r="E425" t="str">
        <v/>
      </c>
      <c r="F425" s="68">
        <v>46225</v>
      </c>
      <c r="G425" s="88" t="str">
        <v>21/07/2026</v>
      </c>
      <c r="H425" t="str">
        <v>CAROLINA RAMIREZ C/C</v>
      </c>
      <c r="I425" t="str">
        <v>GERARDO CONTRERAS FLORES</v>
      </c>
      <c r="J425" s="82" t="str">
        <v/>
      </c>
      <c r="K425" t="str">
        <v>COLG610308HSPNPR03</v>
      </c>
      <c r="L425" s="82">
        <v>22901126</v>
      </c>
      <c r="M425" s="82">
        <v>5218443810860</v>
      </c>
      <c r="N425" t="str">
        <v>NUEVO MAYOR</v>
      </c>
      <c r="O425" s="89">
        <v>6262.86</v>
      </c>
      <c r="P425" s="89" t="str">
        <v/>
      </c>
      <c r="Q425" s="89">
        <v>1878.86</v>
      </c>
      <c r="R425" s="89">
        <v>1878.86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>
        <v>1</v>
      </c>
    </row>
    <row r="426" spans="1:24">
      <c r="A426" s="26" t="str">
        <v/>
      </c>
      <c r="B426" s="87" t="str">
        <v>22/07/2026 13:51</v>
      </c>
      <c r="C426" s="87">
        <v>46225.586111111108</v>
      </c>
      <c r="D426" t="str">
        <v>anónimo</v>
      </c>
      <c r="E426" t="str">
        <v/>
      </c>
      <c r="F426" s="68">
        <v>46225</v>
      </c>
      <c r="G426" s="88" t="str">
        <v>20/07/2026</v>
      </c>
      <c r="H426" t="str">
        <v>JENNIFER AVENDAÑO SUR</v>
      </c>
      <c r="I426" t="str">
        <v>ABRAHAM MEJIA BRAVO</v>
      </c>
      <c r="J426" s="82" t="str">
        <v/>
      </c>
      <c r="K426" t="str">
        <v>MEBA620428HDFJRB07</v>
      </c>
      <c r="L426" s="82">
        <v>22878326</v>
      </c>
      <c r="M426" s="82">
        <v>5216361177224</v>
      </c>
      <c r="N426" t="str">
        <v>NUEVO MAYOR</v>
      </c>
      <c r="O426" s="89">
        <v>49190.91</v>
      </c>
      <c r="P426" s="89">
        <v>4187.6499999999996</v>
      </c>
      <c r="Q426" s="89">
        <v>14757.27</v>
      </c>
      <c r="R426" s="89">
        <v>10569.62</v>
      </c>
      <c r="S426">
        <v>45299</v>
      </c>
      <c r="T426" t="str">
        <v/>
      </c>
      <c r="U426" t="str">
        <v/>
      </c>
      <c r="V426" t="str">
        <v/>
      </c>
      <c r="W426" t="str">
        <v/>
      </c>
      <c r="X426">
        <v>2</v>
      </c>
    </row>
    <row r="427" spans="1:24">
      <c r="A427" s="26" t="str">
        <v/>
      </c>
      <c r="B427" s="87" t="str">
        <v>22/07/2026 14:07</v>
      </c>
      <c r="C427" s="87">
        <v>46225.589583333334</v>
      </c>
      <c r="D427" t="str">
        <v>anónimo</v>
      </c>
      <c r="E427" t="str">
        <v/>
      </c>
      <c r="F427" s="68">
        <v>46225</v>
      </c>
      <c r="G427" s="88" t="str">
        <v>21/07/2026</v>
      </c>
      <c r="H427" t="str">
        <v>DULCE FRANCO</v>
      </c>
      <c r="I427" t="str">
        <v>CELIA JIMENEZ FLORES</v>
      </c>
      <c r="J427" s="82">
        <v>13796117557</v>
      </c>
      <c r="K427" t="str">
        <v/>
      </c>
      <c r="L427" s="82">
        <v>22910086</v>
      </c>
      <c r="M427" s="82">
        <v>5217717733802</v>
      </c>
      <c r="N427" t="str">
        <v>NUEVO MAYOR</v>
      </c>
      <c r="O427" s="89">
        <v>26898.17</v>
      </c>
      <c r="P427" s="89" t="str">
        <v/>
      </c>
      <c r="Q427" s="89">
        <v>8069.45</v>
      </c>
      <c r="R427" s="89">
        <v>8069.45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>
        <v>1</v>
      </c>
    </row>
    <row r="428" spans="1:24">
      <c r="A428" s="26" t="str">
        <v/>
      </c>
      <c r="B428" s="87" t="str">
        <v>22/07/2026 11:55</v>
      </c>
      <c r="C428" s="87">
        <v>46225.604861111111</v>
      </c>
      <c r="D428" t="str">
        <v>anónimo</v>
      </c>
      <c r="E428" t="str">
        <v/>
      </c>
      <c r="F428" s="68">
        <v>46225</v>
      </c>
      <c r="G428" s="88" t="str">
        <v>22/07/2026</v>
      </c>
      <c r="H428" t="str">
        <v>MARA HERNANDEZ SUR</v>
      </c>
      <c r="I428" t="str">
        <v xml:space="preserve">Emma Sandoval Labra </v>
      </c>
      <c r="J428" s="82">
        <v>11896826440</v>
      </c>
      <c r="K428" t="str">
        <v>SALE640417MDFNBM07</v>
      </c>
      <c r="L428" s="82">
        <v>22992746</v>
      </c>
      <c r="M428" s="82">
        <v>5215518226715</v>
      </c>
      <c r="N428" t="str">
        <v>COMPRA MENOR</v>
      </c>
      <c r="O428" s="89">
        <v>4385.66</v>
      </c>
      <c r="P428" s="89">
        <v>494.12</v>
      </c>
      <c r="Q428" s="89">
        <v>1315.7</v>
      </c>
      <c r="R428" s="89">
        <v>-281.44</v>
      </c>
      <c r="S428">
        <v>45295</v>
      </c>
      <c r="T428" t="str">
        <v/>
      </c>
      <c r="U428" t="str">
        <v/>
      </c>
      <c r="V428" t="str">
        <v/>
      </c>
      <c r="W428" t="str">
        <v/>
      </c>
      <c r="X428">
        <v>2</v>
      </c>
    </row>
    <row r="429" spans="1:24">
      <c r="A429" s="26" t="str">
        <v/>
      </c>
      <c r="B429" s="87" t="str">
        <v>22/07/2026 14:30</v>
      </c>
      <c r="C429" s="87">
        <v>46225.605555555558</v>
      </c>
      <c r="D429" t="str">
        <v>anónimo</v>
      </c>
      <c r="E429" t="str">
        <v/>
      </c>
      <c r="F429" s="68">
        <v>46225</v>
      </c>
      <c r="G429" s="88" t="str">
        <v>22/07/2026</v>
      </c>
      <c r="H429" t="str">
        <v>FERNANDA CASTILLO C/C</v>
      </c>
      <c r="I429" t="str">
        <v>JOSE LUIS HERRERA RUIZ</v>
      </c>
      <c r="J429" s="82">
        <v>32786114127</v>
      </c>
      <c r="K429" t="str">
        <v>HERL610621HCLRZS04</v>
      </c>
      <c r="L429" s="82">
        <v>22996982</v>
      </c>
      <c r="M429" s="82">
        <v>8621246725</v>
      </c>
      <c r="N429" t="str">
        <v>RESTRINGIDA</v>
      </c>
      <c r="O429" s="89">
        <v>7640.52</v>
      </c>
      <c r="P429" s="89">
        <v>2210.59</v>
      </c>
      <c r="Q429" s="89">
        <v>2292.16</v>
      </c>
      <c r="R429" s="89">
        <v>81.569999999999993</v>
      </c>
      <c r="S429">
        <v>45295</v>
      </c>
      <c r="T429" t="str">
        <v/>
      </c>
      <c r="U429" t="str">
        <v/>
      </c>
      <c r="V429" t="str">
        <v/>
      </c>
      <c r="W429" t="str">
        <v/>
      </c>
      <c r="X429">
        <v>2</v>
      </c>
    </row>
    <row r="430" spans="1:24">
      <c r="A430" s="26" t="str">
        <v/>
      </c>
      <c r="B430" s="87" t="str">
        <v>22/07/2026 14:50</v>
      </c>
      <c r="C430" s="87">
        <v>46225.621527777781</v>
      </c>
      <c r="D430" t="str">
        <v>anónimo</v>
      </c>
      <c r="E430" t="str">
        <v/>
      </c>
      <c r="F430" s="68">
        <v>46225</v>
      </c>
      <c r="G430" s="88" t="str">
        <v>21/07/2026</v>
      </c>
      <c r="H430" t="str">
        <v>MARIA MARTINEZ SUR</v>
      </c>
      <c r="I430" t="str">
        <v>CARLOS ALBERTO FIERRO GAYTAN</v>
      </c>
      <c r="J430" s="82">
        <v>23806024115</v>
      </c>
      <c r="K430" t="str">
        <v>FIGC601121HSLRYR03</v>
      </c>
      <c r="L430" s="82">
        <v>22913510</v>
      </c>
      <c r="M430" s="82">
        <v>5216682330384</v>
      </c>
      <c r="N430" t="str">
        <v>NUEVO MAYOR</v>
      </c>
      <c r="O430" s="89">
        <v>9129.5</v>
      </c>
      <c r="P430" s="89" t="str">
        <v/>
      </c>
      <c r="Q430" s="89">
        <v>2738.85</v>
      </c>
      <c r="R430" s="89">
        <v>2738.85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>
        <v>1</v>
      </c>
    </row>
    <row r="431" spans="1:24">
      <c r="A431" s="26" t="str">
        <v/>
      </c>
      <c r="B431" s="87" t="str">
        <v>22/07/2026 14:55</v>
      </c>
      <c r="C431" s="87">
        <v>46225.62222222222</v>
      </c>
      <c r="D431" t="str">
        <v>anónimo</v>
      </c>
      <c r="E431" t="str">
        <v/>
      </c>
      <c r="F431" s="68">
        <v>46225</v>
      </c>
      <c r="G431" s="88" t="str">
        <v>22/07/2026</v>
      </c>
      <c r="H431" t="str">
        <v>MARISOL HERNANDEZ C/C</v>
      </c>
      <c r="I431" t="str">
        <v>ROSA MARLENE VILLANUEVA SANTOS</v>
      </c>
      <c r="J431" s="82" t="str">
        <v/>
      </c>
      <c r="K431" t="str">
        <v>VISR610906MYNLNS01</v>
      </c>
      <c r="L431" s="82">
        <v>22998206</v>
      </c>
      <c r="M431" s="82">
        <v>5527231431</v>
      </c>
      <c r="N431" t="str">
        <v>NUEVO MAYOR</v>
      </c>
      <c r="O431" s="89">
        <v>12927.82</v>
      </c>
      <c r="P431" s="89" t="str">
        <v/>
      </c>
      <c r="Q431" s="89">
        <v>3878.35</v>
      </c>
      <c r="R431" s="89">
        <v>3878.35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>
        <v>1</v>
      </c>
    </row>
    <row r="432" spans="1:24">
      <c r="A432" s="26" t="str">
        <v/>
      </c>
      <c r="B432" s="87" t="str">
        <v>22/07/2026 15:01</v>
      </c>
      <c r="C432" s="87">
        <v>46225.626388888886</v>
      </c>
      <c r="D432" t="str">
        <v>anónimo</v>
      </c>
      <c r="E432" t="str">
        <v/>
      </c>
      <c r="F432" s="68">
        <v>46225</v>
      </c>
      <c r="G432" s="88" t="str">
        <v>22/07/2026</v>
      </c>
      <c r="H432" t="str">
        <v>FERNANDA CASTILLO C/C</v>
      </c>
      <c r="I432" t="str">
        <v>MARINA ISABEL ROMAN CARREÑO</v>
      </c>
      <c r="J432" s="82">
        <v>62816405072</v>
      </c>
      <c r="K432" t="str">
        <v>ROCM710805MPLMRR05</v>
      </c>
      <c r="L432" s="82">
        <v>22992836</v>
      </c>
      <c r="M432" s="82">
        <v>2383055020</v>
      </c>
      <c r="N432" t="str">
        <v>NUEVO MENOR</v>
      </c>
      <c r="O432" s="89">
        <v>4569.28</v>
      </c>
      <c r="P432" s="89" t="str">
        <v/>
      </c>
      <c r="Q432" s="89">
        <v>1370.78</v>
      </c>
      <c r="R432" s="89">
        <v>396.3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>
        <v>1</v>
      </c>
    </row>
    <row r="433" spans="1:24">
      <c r="A433" s="26" t="str">
        <v/>
      </c>
      <c r="B433" s="87" t="str">
        <v>22/07/2026 15:00</v>
      </c>
      <c r="C433" s="87">
        <v>46225.631249999999</v>
      </c>
      <c r="D433" t="str">
        <v>anónimo</v>
      </c>
      <c r="E433" t="str">
        <v/>
      </c>
      <c r="F433" s="68">
        <v>46225</v>
      </c>
      <c r="G433" s="88" t="str">
        <v>22/07/2026</v>
      </c>
      <c r="H433" t="str">
        <v>JENNIFER AVENDAÑO SUR</v>
      </c>
      <c r="I433" t="str">
        <v>JOSE MARTIN GONZALEZ CHOY</v>
      </c>
      <c r="J433" s="82">
        <v>1796334793</v>
      </c>
      <c r="K433" t="str">
        <v>GOCM630227HDFNHR03</v>
      </c>
      <c r="L433" s="82">
        <v>22981644</v>
      </c>
      <c r="M433" s="82">
        <v>5214611721784</v>
      </c>
      <c r="N433" t="str">
        <v>NUEVO MAYOR</v>
      </c>
      <c r="O433" s="89">
        <v>24861.02</v>
      </c>
      <c r="P433" s="89" t="str">
        <v/>
      </c>
      <c r="Q433" s="89">
        <v>7458.31</v>
      </c>
      <c r="R433" s="89">
        <v>7458.31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>
        <v>1</v>
      </c>
    </row>
    <row r="434" spans="1:24">
      <c r="A434" s="26" t="str">
        <v/>
      </c>
      <c r="B434" s="87" t="str">
        <v>22/07/2026 12:19</v>
      </c>
      <c r="C434" s="87">
        <v>46225.631249999999</v>
      </c>
      <c r="D434" t="str">
        <v>anónimo</v>
      </c>
      <c r="E434" t="str">
        <v/>
      </c>
      <c r="F434" s="68">
        <v>46225</v>
      </c>
      <c r="G434" s="88" t="str">
        <v>22/07/2026</v>
      </c>
      <c r="H434" t="str">
        <v>XIMENA RIVERA SUR</v>
      </c>
      <c r="I434" t="str">
        <v>LUZ ALBERTO MARTINEZ IBARRA</v>
      </c>
      <c r="J434" s="82" t="str">
        <v/>
      </c>
      <c r="K434" t="str">
        <v>MAIL750501HNLRBZ09</v>
      </c>
      <c r="L434" s="82">
        <v>22984046</v>
      </c>
      <c r="M434" s="82">
        <v>5218771181666</v>
      </c>
      <c r="N434" t="str">
        <v>COMPRA MENOR</v>
      </c>
      <c r="O434" s="89">
        <v>5642.22</v>
      </c>
      <c r="P434" s="89">
        <v>984.26</v>
      </c>
      <c r="Q434" s="89">
        <v>1692.67</v>
      </c>
      <c r="R434" s="89">
        <v>484.98</v>
      </c>
      <c r="S434">
        <v>46027</v>
      </c>
      <c r="T434" t="str">
        <v/>
      </c>
      <c r="U434" t="str">
        <v/>
      </c>
      <c r="V434" t="str">
        <v/>
      </c>
      <c r="W434" t="str">
        <v/>
      </c>
      <c r="X434">
        <v>2</v>
      </c>
    </row>
    <row r="435" spans="1:24">
      <c r="A435" s="26" t="str">
        <v/>
      </c>
      <c r="B435" s="87" t="str">
        <v>22/07/2026 15:11</v>
      </c>
      <c r="C435" s="87">
        <v>46225.636805555558</v>
      </c>
      <c r="D435" t="str">
        <v>anónimo</v>
      </c>
      <c r="E435" t="str">
        <v/>
      </c>
      <c r="F435" s="68">
        <v>46225</v>
      </c>
      <c r="G435" s="88" t="str">
        <v>22/07/2026</v>
      </c>
      <c r="H435" t="str">
        <v>JENNIFER AVENDAÑO SUR</v>
      </c>
      <c r="I435" t="str">
        <v>SALVADOR LARA RAMIREZ</v>
      </c>
      <c r="J435" s="82">
        <v>1604404366</v>
      </c>
      <c r="K435" t="str">
        <v>LARS440403HDFRML02</v>
      </c>
      <c r="L435" s="82">
        <v>22987918</v>
      </c>
      <c r="M435" s="82">
        <v>5215585706018</v>
      </c>
      <c r="N435" t="str">
        <v>NUEVO MAYOR</v>
      </c>
      <c r="O435" s="89">
        <v>33284.92</v>
      </c>
      <c r="P435" s="89">
        <v>7651</v>
      </c>
      <c r="Q435" s="89">
        <v>9985.48</v>
      </c>
      <c r="R435" s="89">
        <v>2334.48</v>
      </c>
      <c r="S435">
        <v>46759</v>
      </c>
      <c r="T435" t="str">
        <v/>
      </c>
      <c r="U435" t="str">
        <v/>
      </c>
      <c r="V435" t="str">
        <v/>
      </c>
      <c r="W435" t="str">
        <v/>
      </c>
      <c r="X435">
        <v>2</v>
      </c>
    </row>
    <row r="436" spans="1:24">
      <c r="A436" s="26" t="str">
        <v/>
      </c>
      <c r="B436" s="87" t="str">
        <v>22/07/2026 15:17</v>
      </c>
      <c r="C436" s="87">
        <v>46225.638194444444</v>
      </c>
      <c r="D436" t="str">
        <v>anónimo</v>
      </c>
      <c r="E436" t="str">
        <v/>
      </c>
      <c r="F436" s="68">
        <v>46225</v>
      </c>
      <c r="G436" s="88" t="str">
        <v>22/07/2026</v>
      </c>
      <c r="H436" t="str">
        <v>CAROLINA RAMIREZ C/C</v>
      </c>
      <c r="I436" t="str">
        <v>ANTONIO MONTIEL PARRA</v>
      </c>
      <c r="J436" s="82">
        <v>11765819971</v>
      </c>
      <c r="K436" t="str">
        <v/>
      </c>
      <c r="L436" s="82">
        <v>22998616</v>
      </c>
      <c r="M436" s="82">
        <v>5215625097276</v>
      </c>
      <c r="N436" t="str">
        <v>COMPRA MAYOR</v>
      </c>
      <c r="O436" s="89">
        <v>10354.11</v>
      </c>
      <c r="P436" s="89">
        <v>2993.11</v>
      </c>
      <c r="Q436" s="89">
        <v>3106.23</v>
      </c>
      <c r="R436" s="89">
        <v>113.12</v>
      </c>
      <c r="S436">
        <v>46025</v>
      </c>
      <c r="T436" t="str">
        <v/>
      </c>
      <c r="U436" t="str">
        <v/>
      </c>
      <c r="V436" t="str">
        <v/>
      </c>
      <c r="W436" t="str">
        <v/>
      </c>
      <c r="X436">
        <v>2</v>
      </c>
    </row>
    <row r="437" spans="1:24">
      <c r="A437" s="26" t="str">
        <v/>
      </c>
      <c r="B437" s="87" t="str">
        <v>22/07/2026 15:16</v>
      </c>
      <c r="C437" s="87">
        <v>46225.63958333333</v>
      </c>
      <c r="D437" t="str">
        <v>anónimo</v>
      </c>
      <c r="E437" t="str">
        <v/>
      </c>
      <c r="F437" s="68">
        <v>46225</v>
      </c>
      <c r="G437" s="88" t="str">
        <v>22/07/2026</v>
      </c>
      <c r="H437" t="str">
        <v>ROSA CASTRO SUR</v>
      </c>
      <c r="I437" t="str">
        <v>MANUEL HUIZAR FAJARDO</v>
      </c>
      <c r="J437" s="82">
        <v>34926570721</v>
      </c>
      <c r="K437" t="str">
        <v>HUFM650708HZSZJN02</v>
      </c>
      <c r="L437" s="82">
        <v>22992656</v>
      </c>
      <c r="M437" s="82">
        <v>5214931486709</v>
      </c>
      <c r="N437" t="str">
        <v>NUEVO MAYOR</v>
      </c>
      <c r="O437" s="89">
        <v>9760.32</v>
      </c>
      <c r="P437" s="89">
        <v>848</v>
      </c>
      <c r="Q437" s="89">
        <v>2928.1</v>
      </c>
      <c r="R437" s="89">
        <v>2080.1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>
        <v>1</v>
      </c>
    </row>
    <row r="438" spans="1:24">
      <c r="A438" s="26" t="str">
        <v/>
      </c>
      <c r="B438" s="87" t="str">
        <v>22/07/2026 15:18</v>
      </c>
      <c r="C438" s="87">
        <v>46225.640277777777</v>
      </c>
      <c r="D438" t="str">
        <v>anónimo</v>
      </c>
      <c r="E438" t="str">
        <v/>
      </c>
      <c r="F438" s="68">
        <v>46225</v>
      </c>
      <c r="G438" s="88" t="str">
        <v>22/07/2026</v>
      </c>
      <c r="H438" t="str">
        <v>JENNIFER AVENDAÑO SUR</v>
      </c>
      <c r="I438" t="str">
        <v>FRANCISCO RUBEN HERNANDEZ FELIX</v>
      </c>
      <c r="J438" s="82">
        <v>24836321406</v>
      </c>
      <c r="K438" t="str">
        <v>HEFF631116HSRRLR06</v>
      </c>
      <c r="L438" s="82">
        <v>22988866</v>
      </c>
      <c r="M438" s="82">
        <v>5216624255102</v>
      </c>
      <c r="N438" t="str">
        <v>NUEVO MAYOR</v>
      </c>
      <c r="O438" s="89">
        <v>9760.32</v>
      </c>
      <c r="P438" s="89" t="str">
        <v/>
      </c>
      <c r="Q438" s="89">
        <v>2928.1</v>
      </c>
      <c r="R438" s="89">
        <v>2928.1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>
        <v>1</v>
      </c>
    </row>
    <row r="439" spans="1:24">
      <c r="A439" s="26" t="str">
        <v/>
      </c>
      <c r="B439" s="87" t="str">
        <v>22/07/2026 15:23</v>
      </c>
      <c r="C439" s="87">
        <v>46225.64166666667</v>
      </c>
      <c r="D439" t="str">
        <v>anónimo</v>
      </c>
      <c r="E439" t="str">
        <v/>
      </c>
      <c r="F439" s="68">
        <v>46225</v>
      </c>
      <c r="G439" s="88" t="str">
        <v>22/07/2026</v>
      </c>
      <c r="H439" t="str">
        <v>HANIA GARCIA C/C</v>
      </c>
      <c r="I439" t="str">
        <v>Pedro Reyna Sandoval</v>
      </c>
      <c r="J439" s="82" t="str">
        <v/>
      </c>
      <c r="K439" t="str">
        <v>RESP640628HTSYND04</v>
      </c>
      <c r="L439" s="82">
        <v>22998012</v>
      </c>
      <c r="M439" s="82">
        <v>8281490308</v>
      </c>
      <c r="N439" t="str">
        <v>NUEVO MAYOR</v>
      </c>
      <c r="O439" s="89">
        <v>10636.54</v>
      </c>
      <c r="P439" s="89" t="str">
        <v/>
      </c>
      <c r="Q439" s="89">
        <v>3190.96</v>
      </c>
      <c r="R439" s="89">
        <v>3190.96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>
        <v>1</v>
      </c>
    </row>
    <row r="440" spans="1:24">
      <c r="A440" s="26" t="str">
        <v/>
      </c>
      <c r="B440" s="87" t="str">
        <v>22/07/2026 15:24</v>
      </c>
      <c r="C440" s="87">
        <v>46225.642361111109</v>
      </c>
      <c r="D440" t="str">
        <v>anónimo</v>
      </c>
      <c r="E440" t="str">
        <v/>
      </c>
      <c r="F440" s="68">
        <v>46225</v>
      </c>
      <c r="G440" s="88" t="str">
        <v>22/07/2026</v>
      </c>
      <c r="H440" t="str">
        <v>FERNANDA CASTILLO C/C</v>
      </c>
      <c r="I440" t="str">
        <v>ERNESTO LEON GONZALEZ</v>
      </c>
      <c r="J440" s="82" t="str">
        <v/>
      </c>
      <c r="K440" t="str">
        <v>LEGE640413HPLNNR06</v>
      </c>
      <c r="L440" s="82">
        <v>22992156</v>
      </c>
      <c r="M440" s="82">
        <v>2221529517</v>
      </c>
      <c r="N440" t="str">
        <v>NUEVO MENOR</v>
      </c>
      <c r="O440" s="89">
        <v>28528.28</v>
      </c>
      <c r="P440" s="89">
        <v>7913.67</v>
      </c>
      <c r="Q440" s="89">
        <v>8558.48</v>
      </c>
      <c r="R440" s="89">
        <v>644.80999999999995</v>
      </c>
      <c r="S440">
        <v>46032</v>
      </c>
      <c r="T440" t="str">
        <v>OPCIPRES</v>
      </c>
      <c r="U440" t="str">
        <v/>
      </c>
      <c r="V440" t="str">
        <v/>
      </c>
      <c r="W440" t="str">
        <v/>
      </c>
      <c r="X440">
        <v>2</v>
      </c>
    </row>
    <row r="441" spans="1:24">
      <c r="A441" s="26" t="str">
        <v/>
      </c>
      <c r="B441" s="87" t="str">
        <v>22/07/2026 15:31</v>
      </c>
      <c r="C441" s="87">
        <v>46225.647222222222</v>
      </c>
      <c r="D441" t="str">
        <v>anónimo</v>
      </c>
      <c r="E441" t="str">
        <v/>
      </c>
      <c r="F441" s="68">
        <v>46225</v>
      </c>
      <c r="G441" s="88" t="str">
        <v>22/07/2026</v>
      </c>
      <c r="H441" t="str">
        <v>HANIA GARCIA C/C</v>
      </c>
      <c r="I441" t="str">
        <v>Jesus Cobos Tovar</v>
      </c>
      <c r="J441" s="82" t="str">
        <v/>
      </c>
      <c r="K441" t="str">
        <v>COTJ570807HTSBVS02</v>
      </c>
      <c r="L441" s="82">
        <v>22997450</v>
      </c>
      <c r="M441" s="82">
        <v>22997450</v>
      </c>
      <c r="N441" t="str">
        <v>NUEVO MAYOR</v>
      </c>
      <c r="O441" s="89">
        <v>42991.51</v>
      </c>
      <c r="P441" s="89" t="str">
        <v/>
      </c>
      <c r="Q441" s="89">
        <v>12897.45</v>
      </c>
      <c r="R441" s="89">
        <v>12897.45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>
        <v>1</v>
      </c>
    </row>
    <row r="442" spans="1:24">
      <c r="A442" s="26" t="str">
        <v/>
      </c>
      <c r="B442" s="87" t="str">
        <v>22/07/2026 15:36</v>
      </c>
      <c r="C442" s="87">
        <v>46225.650694444441</v>
      </c>
      <c r="D442" t="str">
        <v>anónimo</v>
      </c>
      <c r="E442" t="str">
        <v/>
      </c>
      <c r="F442" s="68">
        <v>46225</v>
      </c>
      <c r="G442" s="88" t="str">
        <v>22/07/2026</v>
      </c>
      <c r="H442" t="str">
        <v>MAGALI MARTINEZ EXT 2</v>
      </c>
      <c r="I442" t="str">
        <v>HIGINIO GONZALO MOYEDA MORALES</v>
      </c>
      <c r="J442" s="82">
        <v>43846036085</v>
      </c>
      <c r="K442" t="str">
        <v>MOMH600111HNLYRG00</v>
      </c>
      <c r="L442" s="82">
        <v>2</v>
      </c>
      <c r="M442" s="82">
        <v>8731038875</v>
      </c>
      <c r="N442" t="str">
        <v>COMPRA MAYOR</v>
      </c>
      <c r="O442" s="89">
        <v>5776.61</v>
      </c>
      <c r="P442" s="89">
        <v>1417.87</v>
      </c>
      <c r="Q442" s="89">
        <v>1732.98</v>
      </c>
      <c r="R442" s="89">
        <v>185.76</v>
      </c>
      <c r="S442">
        <v>45666</v>
      </c>
      <c r="T442" t="str">
        <v/>
      </c>
      <c r="U442" t="str">
        <v/>
      </c>
      <c r="V442" t="str">
        <v/>
      </c>
      <c r="W442" t="str">
        <v/>
      </c>
      <c r="X442">
        <v>2</v>
      </c>
    </row>
    <row r="443" spans="1:24">
      <c r="A443" s="26" t="str">
        <v/>
      </c>
      <c r="B443" s="87" t="str">
        <v>22/07/2026 14:40</v>
      </c>
      <c r="C443" s="87">
        <v>46225.654861111114</v>
      </c>
      <c r="D443" t="str">
        <v>anónimo</v>
      </c>
      <c r="E443" t="str">
        <v/>
      </c>
      <c r="F443" s="68">
        <v>46225</v>
      </c>
      <c r="G443" s="88" t="str">
        <v>22/07/2026</v>
      </c>
      <c r="H443" t="str">
        <v>ANA VILLEGAS C/C</v>
      </c>
      <c r="I443" t="str">
        <v>MARIO</v>
      </c>
      <c r="J443" s="82">
        <v>43786242983</v>
      </c>
      <c r="K443" t="str">
        <v/>
      </c>
      <c r="L443" s="82">
        <v>22996844</v>
      </c>
      <c r="M443" s="82">
        <v>5218116151210</v>
      </c>
      <c r="N443" t="str">
        <v>NUEVO MAYOR</v>
      </c>
      <c r="O443" s="89">
        <v>23357.439999999999</v>
      </c>
      <c r="P443" s="89">
        <v>848</v>
      </c>
      <c r="Q443" s="89">
        <v>7007.23</v>
      </c>
      <c r="R443" s="89">
        <v>6159.23</v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>
        <v>1</v>
      </c>
    </row>
    <row r="444" spans="1:24">
      <c r="A444" s="26" t="str">
        <v/>
      </c>
      <c r="B444" s="87" t="str">
        <v>22/07/2026 15:45</v>
      </c>
      <c r="C444" s="87">
        <v>46225.657638888886</v>
      </c>
      <c r="D444" t="str">
        <v>anónimo</v>
      </c>
      <c r="E444" t="str">
        <v/>
      </c>
      <c r="F444" s="68">
        <v>46225</v>
      </c>
      <c r="G444" s="88" t="str">
        <v>22/07/2026</v>
      </c>
      <c r="H444" t="str">
        <v>HANIA GARCIA C/C</v>
      </c>
      <c r="I444" t="str">
        <v>Carlos Alberto Hammin del Alto</v>
      </c>
      <c r="J444" s="82" t="str">
        <v/>
      </c>
      <c r="K444" t="str">
        <v>HAAC510910HDFMLR07</v>
      </c>
      <c r="L444" s="82">
        <v>22998492</v>
      </c>
      <c r="M444" s="82">
        <v>5621910977</v>
      </c>
      <c r="N444" t="str">
        <v>NUEVO MAYOR</v>
      </c>
      <c r="O444" s="89">
        <v>9760.32</v>
      </c>
      <c r="P444" s="89" t="str">
        <v/>
      </c>
      <c r="Q444" s="89">
        <v>2928.1</v>
      </c>
      <c r="R444" s="89">
        <v>2928.1</v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>
        <v>1</v>
      </c>
    </row>
    <row r="445" spans="1:24">
      <c r="A445" s="26" t="str">
        <v/>
      </c>
      <c r="B445" s="87" t="str">
        <v>22/07/2026 16:16</v>
      </c>
      <c r="C445" s="87">
        <v>46225.682638888888</v>
      </c>
      <c r="D445" t="str">
        <v>anónimo</v>
      </c>
      <c r="E445" t="str">
        <v/>
      </c>
      <c r="F445" s="68">
        <v>46225</v>
      </c>
      <c r="G445" s="88" t="str">
        <v>22/07/2026</v>
      </c>
      <c r="H445" t="str">
        <v>LILIANA MARTINEZ SUR</v>
      </c>
      <c r="I445" t="str">
        <v>MANUEL ROMERO MENDEZ</v>
      </c>
      <c r="J445" s="82">
        <v>51826112339</v>
      </c>
      <c r="K445" t="str">
        <v>ROMM610522HASMNN08</v>
      </c>
      <c r="L445" s="82">
        <v>22991228</v>
      </c>
      <c r="M445" s="82">
        <v>5214491195676</v>
      </c>
      <c r="N445" t="str">
        <v>COMPRA MENOR</v>
      </c>
      <c r="O445" s="89">
        <v>6262.86</v>
      </c>
      <c r="P445" s="89">
        <v>1732.17</v>
      </c>
      <c r="Q445" s="89">
        <v>1878.86</v>
      </c>
      <c r="R445" s="89">
        <v>146.69</v>
      </c>
      <c r="S445">
        <v>45664</v>
      </c>
      <c r="T445" t="str">
        <v/>
      </c>
      <c r="U445" t="str">
        <v/>
      </c>
      <c r="V445" t="str">
        <v/>
      </c>
      <c r="W445" t="str">
        <v/>
      </c>
      <c r="X445">
        <v>2</v>
      </c>
    </row>
    <row r="446" spans="1:24">
      <c r="A446" s="26" t="str">
        <v/>
      </c>
      <c r="B446" s="87" t="str">
        <v>22/07/2026 16:36</v>
      </c>
      <c r="C446" s="87">
        <v>46225.692361111112</v>
      </c>
      <c r="D446" t="str">
        <v>anónimo</v>
      </c>
      <c r="E446" t="str">
        <v/>
      </c>
      <c r="F446" s="68">
        <v>46225</v>
      </c>
      <c r="G446" s="88" t="str">
        <v>22/07/2026</v>
      </c>
      <c r="H446" t="str">
        <v>ALAN ALTAMIRANO EXT</v>
      </c>
      <c r="I446" t="str">
        <v xml:space="preserve">OLIVIA ÁVILA MORENO </v>
      </c>
      <c r="J446" s="82">
        <v>32806306984</v>
      </c>
      <c r="K446" t="str">
        <v/>
      </c>
      <c r="L446" s="82">
        <v>1</v>
      </c>
      <c r="M446" s="82">
        <v>8711008810</v>
      </c>
      <c r="N446" t="str">
        <v>RESTRINGIDA</v>
      </c>
      <c r="O446" s="89">
        <v>18240.84</v>
      </c>
      <c r="P446" s="89">
        <v>5470.25</v>
      </c>
      <c r="Q446" s="89">
        <v>5472.25</v>
      </c>
      <c r="R446" s="89">
        <v>2</v>
      </c>
      <c r="S446">
        <v>46025</v>
      </c>
      <c r="T446" t="str">
        <v>FISOFO</v>
      </c>
      <c r="U446" t="str">
        <v/>
      </c>
      <c r="V446" t="str">
        <v/>
      </c>
      <c r="W446" t="str">
        <v/>
      </c>
      <c r="X446">
        <v>2</v>
      </c>
    </row>
    <row r="447" spans="1:24">
      <c r="A447" s="26" t="str">
        <v/>
      </c>
      <c r="B447" s="87" t="str">
        <v>22/07/2026 16:24</v>
      </c>
      <c r="C447" s="87">
        <v>46225.7</v>
      </c>
      <c r="D447" t="str">
        <v>anónimo</v>
      </c>
      <c r="E447" t="str">
        <v/>
      </c>
      <c r="F447" s="68">
        <v>46225</v>
      </c>
      <c r="G447" s="88" t="str">
        <v>22/07/2026</v>
      </c>
      <c r="H447" t="str">
        <v>JENNIFER AVENDAÑO SUR</v>
      </c>
      <c r="I447" t="str">
        <v>JUAN REYES LENDIZABAL</v>
      </c>
      <c r="J447" s="82">
        <v>16856443094</v>
      </c>
      <c r="K447" t="str">
        <v>RELJ640601HMCYNN08</v>
      </c>
      <c r="L447" s="82">
        <v>22991622</v>
      </c>
      <c r="M447" s="82">
        <v>5217131204737</v>
      </c>
      <c r="N447" t="str">
        <v>NUEVO MENOR</v>
      </c>
      <c r="O447" s="89">
        <v>38121.129999999997</v>
      </c>
      <c r="P447" s="89">
        <v>11029.35</v>
      </c>
      <c r="Q447" s="89">
        <v>11436.34</v>
      </c>
      <c r="R447" s="89">
        <v>406.99</v>
      </c>
      <c r="S447">
        <v>46034</v>
      </c>
      <c r="T447" t="str">
        <v/>
      </c>
      <c r="U447" t="str">
        <v/>
      </c>
      <c r="V447" t="str">
        <v/>
      </c>
      <c r="W447" t="str">
        <v/>
      </c>
      <c r="X447">
        <v>2</v>
      </c>
    </row>
    <row r="448" spans="1:24">
      <c r="A448" s="26" t="str">
        <v/>
      </c>
      <c r="B448" s="87" t="str">
        <v>22/07/2026 16:58</v>
      </c>
      <c r="C448" s="87">
        <v>46225.709722222222</v>
      </c>
      <c r="D448" t="str">
        <v>anónimo</v>
      </c>
      <c r="E448" t="str">
        <v/>
      </c>
      <c r="F448" s="68">
        <v>46225</v>
      </c>
      <c r="G448" s="88" t="str">
        <v>22/07/2026</v>
      </c>
      <c r="H448" t="str">
        <v>PAOLA RODRIGUEZ C/C</v>
      </c>
      <c r="I448" t="str">
        <v xml:space="preserve"> Filiberto Hernández Cervantes</v>
      </c>
      <c r="J448" s="82">
        <v>33885803958</v>
      </c>
      <c r="K448" t="str">
        <v/>
      </c>
      <c r="L448" s="82">
        <v>23000166</v>
      </c>
      <c r="M448" s="82">
        <v>5216568252857</v>
      </c>
      <c r="N448" t="str">
        <v>NUEVO MENOR</v>
      </c>
      <c r="O448" s="89">
        <v>7116.73</v>
      </c>
      <c r="P448" s="89">
        <v>1297.9100000000001</v>
      </c>
      <c r="Q448" s="89">
        <v>2135.02</v>
      </c>
      <c r="R448" s="89">
        <v>837.11</v>
      </c>
      <c r="S448">
        <v>46027</v>
      </c>
      <c r="T448" t="str">
        <v/>
      </c>
      <c r="U448" t="str">
        <v/>
      </c>
      <c r="V448" t="str">
        <v/>
      </c>
      <c r="W448" t="str">
        <v/>
      </c>
      <c r="X448">
        <v>2</v>
      </c>
    </row>
    <row r="449" spans="1:24">
      <c r="A449" s="26" t="str">
        <v/>
      </c>
      <c r="B449" s="87" t="str">
        <v>22/07/2026 17:29</v>
      </c>
      <c r="C449" s="87">
        <v>46225.729166666664</v>
      </c>
      <c r="D449" t="str">
        <v>anónimo</v>
      </c>
      <c r="E449" t="str">
        <v/>
      </c>
      <c r="F449" s="68">
        <v>46225</v>
      </c>
      <c r="G449" s="88" t="str">
        <v>22/07/2026</v>
      </c>
      <c r="H449" t="str">
        <v>DULCE FRANCO C/C</v>
      </c>
      <c r="I449" t="str">
        <v>VIRGINIA HERNANDEZ SANCHEZ</v>
      </c>
      <c r="J449" s="82">
        <v>42806140028</v>
      </c>
      <c r="K449" t="str">
        <v>HESV730414MSPRNR04</v>
      </c>
      <c r="L449" s="82">
        <v>22999762</v>
      </c>
      <c r="M449" s="82">
        <v>5213221329857</v>
      </c>
      <c r="N449" t="str">
        <v>RESTRINGIDA</v>
      </c>
      <c r="O449" s="89">
        <v>4483.92</v>
      </c>
      <c r="P449" s="89">
        <v>908.56</v>
      </c>
      <c r="Q449" s="89">
        <v>1345.18</v>
      </c>
      <c r="R449" s="89">
        <v>-597.62</v>
      </c>
      <c r="S449">
        <v>45659</v>
      </c>
      <c r="T449" t="str">
        <v/>
      </c>
      <c r="U449" t="str">
        <v/>
      </c>
      <c r="V449" t="str">
        <v/>
      </c>
      <c r="W449" t="str">
        <v/>
      </c>
      <c r="X449">
        <v>2</v>
      </c>
    </row>
    <row r="450" spans="1:24">
      <c r="A450" s="26" t="str">
        <v/>
      </c>
      <c r="B450" s="87" t="str">
        <v>22/07/2026 17:22</v>
      </c>
      <c r="C450" s="87">
        <v>46225.731944444444</v>
      </c>
      <c r="D450" t="str">
        <v>anónimo</v>
      </c>
      <c r="E450" t="str">
        <v/>
      </c>
      <c r="F450" s="68">
        <v>46225</v>
      </c>
      <c r="G450" s="88" t="str">
        <v>22/07/2026</v>
      </c>
      <c r="H450" t="str">
        <v>JENNIFER AVENDAÑO SUR</v>
      </c>
      <c r="I450" t="str">
        <v>GILBERTO AURELIO OCAMPO HERNANDEZ</v>
      </c>
      <c r="J450" s="82">
        <v>67846352606</v>
      </c>
      <c r="K450" t="str">
        <v>OAHG630925HVZCRL00</v>
      </c>
      <c r="L450" s="82">
        <v>22995356</v>
      </c>
      <c r="M450" s="82">
        <v>5219985560809</v>
      </c>
      <c r="N450" t="str">
        <v>NUEVO MAYOR</v>
      </c>
      <c r="O450" s="89">
        <v>36455.589999999997</v>
      </c>
      <c r="P450" s="89" t="str">
        <v/>
      </c>
      <c r="Q450" s="89">
        <v>10936.68</v>
      </c>
      <c r="R450" s="89">
        <v>10936.68</v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>
        <v>1</v>
      </c>
    </row>
    <row r="451" spans="1:24">
      <c r="A451" s="26" t="str">
        <v/>
      </c>
      <c r="B451" s="87" t="str">
        <v>22/07/2026 18:23</v>
      </c>
      <c r="C451" s="87">
        <v>46225.767361111109</v>
      </c>
      <c r="D451" t="str">
        <v>anónimo</v>
      </c>
      <c r="E451" t="str">
        <v/>
      </c>
      <c r="F451" s="68">
        <v>46225</v>
      </c>
      <c r="G451" s="88" t="str">
        <v>22/07/2026</v>
      </c>
      <c r="H451" t="str">
        <v>MELANIE CIBRIAN C/C</v>
      </c>
      <c r="I451" t="str">
        <v>ALICIA ALVAREZ COLIN</v>
      </c>
      <c r="J451" s="82" t="str">
        <v/>
      </c>
      <c r="K451" t="str">
        <v>AACA650616MMCLLL05</v>
      </c>
      <c r="L451" s="82">
        <v>22993102</v>
      </c>
      <c r="M451" s="82">
        <v>7222068190</v>
      </c>
      <c r="N451" t="str">
        <v>NUEVO MAYOR</v>
      </c>
      <c r="O451" s="89">
        <v>10636.54</v>
      </c>
      <c r="P451" s="89" t="str">
        <v/>
      </c>
      <c r="Q451" s="89">
        <v>3190.96</v>
      </c>
      <c r="R451" s="89">
        <v>3190.96</v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>
        <v>1</v>
      </c>
    </row>
    <row r="452" spans="1:24">
      <c r="A452" s="26" t="str">
        <v/>
      </c>
      <c r="B452" s="87" t="str">
        <v>23/07/2026 08:18</v>
      </c>
      <c r="C452" s="87">
        <v>46226.381249999999</v>
      </c>
      <c r="D452" t="str">
        <v>anónimo</v>
      </c>
      <c r="E452" t="str">
        <v/>
      </c>
      <c r="F452" s="68">
        <v>46226</v>
      </c>
      <c r="G452" s="88" t="str">
        <v>23/07/2026</v>
      </c>
      <c r="H452" t="str">
        <v>YAMILETH CARDONA EXT 2</v>
      </c>
      <c r="I452" t="str">
        <v>MARIA GUADALUPE AYALA GONZALEZ</v>
      </c>
      <c r="J452" s="82">
        <v>1765279805</v>
      </c>
      <c r="K452" t="str">
        <v>AAGG520405MDFYND06</v>
      </c>
      <c r="L452" s="82">
        <v>2</v>
      </c>
      <c r="M452" s="82" t="str">
        <v>55 3409 3662</v>
      </c>
      <c r="N452" t="str">
        <v>NUEVO MAYOR</v>
      </c>
      <c r="O452" s="89">
        <v>26936.15</v>
      </c>
      <c r="P452" s="89" t="str">
        <v/>
      </c>
      <c r="Q452" s="89">
        <v>8080.85</v>
      </c>
      <c r="R452" s="89">
        <v>8080.85</v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>
        <v>1</v>
      </c>
    </row>
    <row r="453" spans="1:24">
      <c r="A453" s="26" t="str">
        <v/>
      </c>
      <c r="B453" s="87" t="str">
        <v>23/07/2026 09:51</v>
      </c>
      <c r="C453" s="87">
        <v>46226.411111111112</v>
      </c>
      <c r="D453" t="str">
        <v>anónimo</v>
      </c>
      <c r="E453" t="str">
        <v/>
      </c>
      <c r="F453" s="68">
        <v>46226</v>
      </c>
      <c r="G453" s="88" t="str">
        <v>20/07/2026</v>
      </c>
      <c r="H453" t="str">
        <v>GLORIA ORTIZ C/C</v>
      </c>
      <c r="I453" t="str">
        <v xml:space="preserve">JOSE </v>
      </c>
      <c r="J453" s="82">
        <v>32755918557</v>
      </c>
      <c r="K453" t="str">
        <v/>
      </c>
      <c r="L453" s="82">
        <v>22853020</v>
      </c>
      <c r="M453" s="82">
        <v>5217221079880</v>
      </c>
      <c r="N453" t="str">
        <v>NUEVO MAYOR</v>
      </c>
      <c r="O453" s="89">
        <v>9322.61</v>
      </c>
      <c r="P453" s="89" t="str">
        <v/>
      </c>
      <c r="Q453" s="89">
        <v>2796.78</v>
      </c>
      <c r="R453" s="89">
        <v>2796.78</v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>
        <v>1</v>
      </c>
    </row>
    <row r="454" spans="1:24">
      <c r="A454" s="26" t="str">
        <v/>
      </c>
      <c r="B454" s="87" t="str">
        <v>23/07/2026 10:14</v>
      </c>
      <c r="C454" s="87">
        <v>46226.427777777775</v>
      </c>
      <c r="D454" t="str">
        <v>anónimo</v>
      </c>
      <c r="E454" t="str">
        <v/>
      </c>
      <c r="F454" s="68">
        <v>46226</v>
      </c>
      <c r="G454" s="88" t="str">
        <v>22/07/2026</v>
      </c>
      <c r="H454" t="str">
        <v>ANA VILLEGAS C/C</v>
      </c>
      <c r="I454" t="str">
        <v xml:space="preserve">María Isabel </v>
      </c>
      <c r="J454" s="82">
        <v>84866302841</v>
      </c>
      <c r="K454" t="str">
        <v>XOAI670820MYNLLS05</v>
      </c>
      <c r="L454" s="82">
        <v>23002190</v>
      </c>
      <c r="M454" s="82">
        <v>5219999601550</v>
      </c>
      <c r="N454" t="str">
        <v>NUEVO MENOR</v>
      </c>
      <c r="O454" s="89">
        <v>5055.87</v>
      </c>
      <c r="P454" s="89" t="str">
        <v/>
      </c>
      <c r="Q454" s="89">
        <v>1516.76</v>
      </c>
      <c r="R454" s="89">
        <v>882.89</v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>
        <v>1</v>
      </c>
    </row>
    <row r="455" spans="1:24">
      <c r="A455" s="26" t="str">
        <v/>
      </c>
      <c r="B455" s="87" t="str">
        <v>23/07/2026 10:26</v>
      </c>
      <c r="C455" s="87">
        <v>46226.44027777778</v>
      </c>
      <c r="D455" t="str">
        <v>anónimo</v>
      </c>
      <c r="E455" t="str">
        <v/>
      </c>
      <c r="F455" s="68">
        <v>46226</v>
      </c>
      <c r="G455" s="88" t="str">
        <v>22/07/2026</v>
      </c>
      <c r="H455" t="str">
        <v>LILIANA MARTINEZ SUR</v>
      </c>
      <c r="I455" t="str">
        <v>JUAN MANUEL VASQUEZ ESQUIVEL</v>
      </c>
      <c r="J455" s="82">
        <v>32906476596</v>
      </c>
      <c r="K455" t="str">
        <v>VAEJ620729HCLSSN01</v>
      </c>
      <c r="L455" s="82">
        <v>23005644</v>
      </c>
      <c r="M455" s="82">
        <v>5218443585167</v>
      </c>
      <c r="N455" t="str">
        <v>NUEVO MAYOR</v>
      </c>
      <c r="O455" s="89">
        <v>10535.19</v>
      </c>
      <c r="P455" s="89" t="str">
        <v/>
      </c>
      <c r="Q455" s="89">
        <v>3160.56</v>
      </c>
      <c r="R455" s="89">
        <v>3160.56</v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>
        <v>1</v>
      </c>
    </row>
    <row r="456" spans="1:24">
      <c r="A456" s="26" t="str">
        <v/>
      </c>
      <c r="B456" s="87" t="str">
        <v>23/07/2026 10:30</v>
      </c>
      <c r="C456" s="87">
        <v>46226.447222222225</v>
      </c>
      <c r="D456" t="str">
        <v>anónimo</v>
      </c>
      <c r="E456" t="str">
        <v/>
      </c>
      <c r="F456" s="68">
        <v>46226</v>
      </c>
      <c r="G456" s="88" t="str">
        <v>21/07/2026</v>
      </c>
      <c r="H456" t="str">
        <v>XIMENA RIVERA SUR</v>
      </c>
      <c r="I456" t="str">
        <v>MARTHA ELENA CASTILLO RAMIREZ</v>
      </c>
      <c r="J456" s="82" t="str">
        <v/>
      </c>
      <c r="K456" t="str">
        <v>CARM630917MNLSMR01</v>
      </c>
      <c r="L456" s="82">
        <v>22898686</v>
      </c>
      <c r="M456" s="82">
        <v>5214444300339</v>
      </c>
      <c r="N456" t="str">
        <v>NUEVO MAYOR</v>
      </c>
      <c r="O456" s="89">
        <v>10171.24</v>
      </c>
      <c r="P456" s="89" t="str">
        <v/>
      </c>
      <c r="Q456" s="89">
        <v>3051.37</v>
      </c>
      <c r="R456" s="89">
        <v>3051.37</v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>
        <v>1</v>
      </c>
    </row>
    <row r="457" spans="1:24">
      <c r="A457" s="26" t="str">
        <v/>
      </c>
      <c r="B457" s="87" t="str">
        <v>23/07/2026 10:58</v>
      </c>
      <c r="C457" s="87">
        <v>46226.457638888889</v>
      </c>
      <c r="D457" t="str">
        <v>anónimo</v>
      </c>
      <c r="E457" t="str">
        <v/>
      </c>
      <c r="F457" s="68">
        <v>46226</v>
      </c>
      <c r="G457" s="88" t="str">
        <v>22/07/2026</v>
      </c>
      <c r="H457" t="str">
        <v>FERNANDA CASTILLO C/C</v>
      </c>
      <c r="I457" t="str">
        <v>ZOILA GUADALUPE PERALTA RABELO</v>
      </c>
      <c r="J457" s="82" t="str">
        <v/>
      </c>
      <c r="K457" t="str">
        <v>PERZ641212MTCRBL03</v>
      </c>
      <c r="L457" s="82">
        <v>22997716</v>
      </c>
      <c r="M457" s="82">
        <v>9931340868</v>
      </c>
      <c r="N457" t="str">
        <v>NUEVO MAYOR</v>
      </c>
      <c r="O457" s="89">
        <v>11029.03</v>
      </c>
      <c r="P457" s="89" t="str">
        <v/>
      </c>
      <c r="Q457" s="89">
        <v>3308.71</v>
      </c>
      <c r="R457" s="89">
        <v>3308.71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>
        <v>1</v>
      </c>
    </row>
    <row r="458" spans="1:24">
      <c r="A458" s="26" t="str">
        <v/>
      </c>
      <c r="B458" s="87" t="str">
        <v>23/07/2026 10:43</v>
      </c>
      <c r="C458" s="87">
        <v>46226.459027777775</v>
      </c>
      <c r="D458" t="str">
        <v>anónimo</v>
      </c>
      <c r="E458" t="str">
        <v/>
      </c>
      <c r="F458" s="68">
        <v>46226</v>
      </c>
      <c r="G458" s="88" t="str">
        <v>23/07/2026</v>
      </c>
      <c r="H458" t="str">
        <v>JENNIFER AVENDAÑO SUR</v>
      </c>
      <c r="I458" t="str">
        <v>JOSE LUIS GARCIA TINTA</v>
      </c>
      <c r="J458" s="82">
        <v>4816347373</v>
      </c>
      <c r="K458" t="str">
        <v>GATL630904HJCRNS09</v>
      </c>
      <c r="L458" s="82">
        <v>23018708</v>
      </c>
      <c r="M458" s="82">
        <v>5213318318624</v>
      </c>
      <c r="N458" t="str">
        <v>NUEVO MAYOR</v>
      </c>
      <c r="O458" s="89">
        <v>9081.52</v>
      </c>
      <c r="P458" s="89">
        <v>848</v>
      </c>
      <c r="Q458" s="89">
        <v>2724.46</v>
      </c>
      <c r="R458" s="89">
        <v>1876.46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>
        <v>1</v>
      </c>
    </row>
    <row r="459" spans="1:24">
      <c r="A459" s="26" t="str">
        <v/>
      </c>
      <c r="B459" s="87" t="str">
        <v>23/07/2026 11:13</v>
      </c>
      <c r="C459" s="87">
        <v>46226.46875</v>
      </c>
      <c r="D459" t="str">
        <v>anónimo</v>
      </c>
      <c r="E459" t="str">
        <v/>
      </c>
      <c r="F459" s="68">
        <v>46226</v>
      </c>
      <c r="G459" s="88" t="str">
        <v>21/07/2026</v>
      </c>
      <c r="H459" t="str">
        <v>MARISOL HERNANDEZ C/C</v>
      </c>
      <c r="I459" t="str">
        <v>MARTHA MAGDALENA PEREZ JUAREZ</v>
      </c>
      <c r="J459" s="82">
        <v>1082640949</v>
      </c>
      <c r="K459" t="str">
        <v/>
      </c>
      <c r="L459" s="82">
        <v>22906074</v>
      </c>
      <c r="M459" s="82">
        <v>4427922039</v>
      </c>
      <c r="N459" t="str">
        <v>NUEVO MAYOR</v>
      </c>
      <c r="O459" s="89">
        <v>9760.32</v>
      </c>
      <c r="P459" s="89" t="str">
        <v/>
      </c>
      <c r="Q459" s="89">
        <v>2928.1</v>
      </c>
      <c r="R459" s="89">
        <v>2928.1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>
        <v>1</v>
      </c>
    </row>
    <row r="460" spans="1:24">
      <c r="A460" s="26" t="str">
        <v/>
      </c>
      <c r="B460" s="87" t="str">
        <v>23/07/2026 11:11</v>
      </c>
      <c r="C460" s="87">
        <v>46226.479166666664</v>
      </c>
      <c r="D460" t="str">
        <v>anónimo</v>
      </c>
      <c r="E460" t="str">
        <v/>
      </c>
      <c r="F460" s="68">
        <v>46226</v>
      </c>
      <c r="G460" s="88" t="str">
        <v>22/07/2026</v>
      </c>
      <c r="H460" t="str">
        <v>XIMENA RIVERA SUR</v>
      </c>
      <c r="I460" t="str">
        <v>JOSE DE JESUS GUEVARA GARCIA</v>
      </c>
      <c r="J460" s="82" t="str">
        <v/>
      </c>
      <c r="K460" t="str">
        <v>GUGJ610620HSPVRS07</v>
      </c>
      <c r="L460" s="82">
        <v>23007338</v>
      </c>
      <c r="M460" s="82">
        <v>5214401240960</v>
      </c>
      <c r="N460" t="str">
        <v>NUEVO MENOR</v>
      </c>
      <c r="O460" s="89">
        <v>9504.7000000000007</v>
      </c>
      <c r="P460" s="89">
        <v>2179.89</v>
      </c>
      <c r="Q460" s="89">
        <v>2851.41</v>
      </c>
      <c r="R460" s="89">
        <v>671.52</v>
      </c>
      <c r="S460">
        <v>46031</v>
      </c>
      <c r="T460" t="str">
        <v/>
      </c>
      <c r="U460" t="str">
        <v/>
      </c>
      <c r="V460" t="str">
        <v/>
      </c>
      <c r="W460" t="str">
        <v/>
      </c>
      <c r="X460">
        <v>2</v>
      </c>
    </row>
    <row r="461" spans="1:24">
      <c r="A461" s="26" t="str">
        <v/>
      </c>
      <c r="B461" s="87" t="str">
        <v>23/07/2026 10:46</v>
      </c>
      <c r="C461" s="87">
        <v>46226.484722222223</v>
      </c>
      <c r="D461" t="str">
        <v>anónimo</v>
      </c>
      <c r="E461" t="str">
        <v/>
      </c>
      <c r="F461" s="68">
        <v>46226</v>
      </c>
      <c r="G461" s="88" t="str">
        <v>23/07/2026</v>
      </c>
      <c r="H461" t="str">
        <v>IRAN CASTILLO SUR</v>
      </c>
      <c r="I461" t="str">
        <v>ERASMO PEREZ RUIZ</v>
      </c>
      <c r="J461" s="82">
        <v>65816500899</v>
      </c>
      <c r="K461" t="str">
        <v>PERE650602HVZRZR09</v>
      </c>
      <c r="L461" s="82">
        <v>23020172</v>
      </c>
      <c r="M461" s="82">
        <v>5212291771020</v>
      </c>
      <c r="N461" t="str">
        <v>NUEVO MENOR</v>
      </c>
      <c r="O461" s="89">
        <v>40027.949999999997</v>
      </c>
      <c r="P461" s="89">
        <v>11496.24</v>
      </c>
      <c r="Q461" s="89">
        <v>12008.39</v>
      </c>
      <c r="R461" s="89">
        <v>512.14</v>
      </c>
      <c r="S461">
        <v>46398</v>
      </c>
      <c r="T461" t="str">
        <v/>
      </c>
      <c r="U461" t="str">
        <v/>
      </c>
      <c r="V461" t="str">
        <v/>
      </c>
      <c r="W461" t="str">
        <v/>
      </c>
      <c r="X461">
        <v>2</v>
      </c>
    </row>
    <row r="462" spans="1:24">
      <c r="A462" s="26" t="str">
        <v/>
      </c>
      <c r="B462" s="87" t="str">
        <v>23/07/2026 11:35</v>
      </c>
      <c r="C462" s="87">
        <v>46226.488888888889</v>
      </c>
      <c r="D462" t="str">
        <v>anónimo</v>
      </c>
      <c r="E462" t="str">
        <v/>
      </c>
      <c r="F462" s="68">
        <v>46226</v>
      </c>
      <c r="G462" s="88" t="str">
        <v>22/07/2026</v>
      </c>
      <c r="H462" t="str">
        <v>XIMENA RIVERA SUR</v>
      </c>
      <c r="I462" t="str">
        <v>ISABEL PEREZ</v>
      </c>
      <c r="J462" s="82">
        <v>67937683323</v>
      </c>
      <c r="K462" t="str">
        <v/>
      </c>
      <c r="L462" s="82">
        <v>23005344</v>
      </c>
      <c r="M462" s="82">
        <v>5219841316581</v>
      </c>
      <c r="N462" t="str">
        <v>RESTRINGIDA</v>
      </c>
      <c r="O462" s="89">
        <v>5997.91</v>
      </c>
      <c r="P462" s="89">
        <v>1467.46</v>
      </c>
      <c r="Q462" s="89">
        <v>1799.37</v>
      </c>
      <c r="R462" s="89">
        <v>331.91</v>
      </c>
      <c r="S462">
        <v>45296</v>
      </c>
      <c r="T462" t="str">
        <v/>
      </c>
      <c r="U462" t="str">
        <v/>
      </c>
      <c r="V462" t="str">
        <v/>
      </c>
      <c r="W462" t="str">
        <v/>
      </c>
      <c r="X462">
        <v>2</v>
      </c>
    </row>
    <row r="463" spans="1:24">
      <c r="A463" s="26" t="str">
        <v/>
      </c>
      <c r="B463" s="87" t="str">
        <v>23/07/2026 11:49</v>
      </c>
      <c r="C463" s="87">
        <v>46226.493750000001</v>
      </c>
      <c r="D463" t="str">
        <v>anónimo</v>
      </c>
      <c r="E463" t="str">
        <v/>
      </c>
      <c r="F463" s="68">
        <v>46226</v>
      </c>
      <c r="G463" s="88" t="str">
        <v>23/07/2026</v>
      </c>
      <c r="H463" t="str">
        <v>MARISOL HERNANDEZ C/C</v>
      </c>
      <c r="I463" t="str">
        <v>DANIEL HALEY GARCIA</v>
      </c>
      <c r="J463" s="82">
        <v>53916314643</v>
      </c>
      <c r="K463" t="str">
        <v/>
      </c>
      <c r="L463" s="82">
        <v>23025066</v>
      </c>
      <c r="M463" s="82">
        <v>4251063191</v>
      </c>
      <c r="N463" t="str">
        <v>NUEVO MAYOR</v>
      </c>
      <c r="O463" s="89">
        <v>19749.240000000002</v>
      </c>
      <c r="P463" s="89" t="str">
        <v/>
      </c>
      <c r="Q463" s="89">
        <v>5924.77</v>
      </c>
      <c r="R463" s="89">
        <v>5924.77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>
        <v>1</v>
      </c>
    </row>
    <row r="464" spans="1:24">
      <c r="A464" s="26" t="str">
        <v/>
      </c>
      <c r="B464" s="87" t="str">
        <v>23/07/2026 12:24</v>
      </c>
      <c r="C464" s="87">
        <v>46226.517361111109</v>
      </c>
      <c r="D464" t="str">
        <v>anónimo</v>
      </c>
      <c r="E464" t="str">
        <v/>
      </c>
      <c r="F464" s="68">
        <v>46226</v>
      </c>
      <c r="G464" s="88" t="str">
        <v>19/07/2026</v>
      </c>
      <c r="H464" t="str">
        <v>LITZY MARTINEZ C/C</v>
      </c>
      <c r="I464" t="str">
        <v xml:space="preserve">RENE REFUGIO ARIAS OROZCO </v>
      </c>
      <c r="J464" s="82" t="str">
        <v/>
      </c>
      <c r="K464" t="str">
        <v>AIOR490719HJCRRN01</v>
      </c>
      <c r="L464" s="82">
        <v>22838506</v>
      </c>
      <c r="M464" s="82">
        <v>5219181510771</v>
      </c>
      <c r="N464" t="str">
        <v>RESTRINGIDA</v>
      </c>
      <c r="O464" s="89">
        <v>17430.04</v>
      </c>
      <c r="P464" s="89">
        <v>5228.3900000000003</v>
      </c>
      <c r="Q464" s="89">
        <v>5229.01</v>
      </c>
      <c r="R464" s="89">
        <v>0.62</v>
      </c>
      <c r="S464">
        <v>45663</v>
      </c>
      <c r="T464" t="str">
        <v>FISOFO</v>
      </c>
      <c r="U464" t="str">
        <v/>
      </c>
      <c r="V464" t="str">
        <v/>
      </c>
      <c r="W464" t="str">
        <v/>
      </c>
      <c r="X464">
        <v>2</v>
      </c>
    </row>
    <row r="465" spans="1:24">
      <c r="A465" s="26" t="str">
        <v/>
      </c>
      <c r="B465" s="87" t="str">
        <v>23/07/2026 12:32</v>
      </c>
      <c r="C465" s="87">
        <v>46226.522916666669</v>
      </c>
      <c r="D465" t="str">
        <v>anónimo</v>
      </c>
      <c r="E465" t="str">
        <v/>
      </c>
      <c r="F465" s="68">
        <v>46226</v>
      </c>
      <c r="G465" s="88" t="str">
        <v>21/07/2026</v>
      </c>
      <c r="H465" t="str">
        <v>CAROLINA RAMIREZ C/C</v>
      </c>
      <c r="I465" t="str">
        <v>VICENTE GUERRERO TEJEDA</v>
      </c>
      <c r="J465" s="82" t="str">
        <v/>
      </c>
      <c r="K465" t="str">
        <v>GUTV450414HPLRJC08</v>
      </c>
      <c r="L465" s="82">
        <v>22908120</v>
      </c>
      <c r="M465" s="82">
        <v>5215534471924</v>
      </c>
      <c r="N465" t="str">
        <v>NUEVO MAYOR</v>
      </c>
      <c r="O465" s="89">
        <v>25169.200000000001</v>
      </c>
      <c r="P465" s="89">
        <v>420.67</v>
      </c>
      <c r="Q465" s="89">
        <v>7550.76</v>
      </c>
      <c r="R465" s="89">
        <v>7130.09</v>
      </c>
      <c r="S465">
        <v>45303</v>
      </c>
      <c r="T465" t="str">
        <v/>
      </c>
      <c r="U465" t="str">
        <v/>
      </c>
      <c r="V465" t="str">
        <v/>
      </c>
      <c r="W465" t="str">
        <v/>
      </c>
      <c r="X465">
        <v>2</v>
      </c>
    </row>
    <row r="466" spans="1:24">
      <c r="A466" s="26" t="str">
        <v/>
      </c>
      <c r="B466" s="87" t="str">
        <v>23/07/2026 12:38</v>
      </c>
      <c r="C466" s="87">
        <v>46226.527083333334</v>
      </c>
      <c r="D466" t="str">
        <v>anónimo</v>
      </c>
      <c r="E466" t="str">
        <v/>
      </c>
      <c r="F466" s="68">
        <v>46226</v>
      </c>
      <c r="G466" s="88" t="str">
        <v>23/07/2026</v>
      </c>
      <c r="H466" t="str">
        <v>DULCE FRANCO C/C</v>
      </c>
      <c r="I466" t="str">
        <v>RAMIRO RANGEL SANTOS</v>
      </c>
      <c r="J466" s="82" t="str">
        <v/>
      </c>
      <c r="K466" t="str">
        <v>RASR541023HCLNNM02</v>
      </c>
      <c r="L466" s="82">
        <v>23026084</v>
      </c>
      <c r="M466" s="82">
        <v>5218621024147</v>
      </c>
      <c r="N466" t="str">
        <v>COMPRA MENOR</v>
      </c>
      <c r="O466" s="89">
        <v>4813.6899999999996</v>
      </c>
      <c r="P466" s="89">
        <v>562.86</v>
      </c>
      <c r="Q466" s="89">
        <v>1444.11</v>
      </c>
      <c r="R466" s="89">
        <v>77.849999999999994</v>
      </c>
      <c r="S466">
        <v>45660</v>
      </c>
      <c r="T466" t="str">
        <v/>
      </c>
      <c r="U466" t="str">
        <v/>
      </c>
      <c r="V466" t="str">
        <v/>
      </c>
      <c r="W466" t="str">
        <v/>
      </c>
      <c r="X466">
        <v>2</v>
      </c>
    </row>
    <row r="467" spans="1:24">
      <c r="A467" s="26" t="str">
        <v/>
      </c>
      <c r="B467" s="87" t="str">
        <v>23/07/2026 11:26</v>
      </c>
      <c r="C467" s="87">
        <v>46226.529166666667</v>
      </c>
      <c r="D467" t="str">
        <v>anónimo</v>
      </c>
      <c r="E467" t="str">
        <v/>
      </c>
      <c r="F467" s="68">
        <v>46226</v>
      </c>
      <c r="G467" s="88" t="str">
        <v>23/07/2026</v>
      </c>
      <c r="H467" t="str">
        <v>MARA HERNANDEZ SUR</v>
      </c>
      <c r="I467" t="str">
        <v>ELIZABETH MARTINEZ AGUILAR</v>
      </c>
      <c r="J467" s="82">
        <v>12796215023</v>
      </c>
      <c r="K467" t="str">
        <v>MAAE661004MCSRGL03</v>
      </c>
      <c r="L467" s="82">
        <v>23024702</v>
      </c>
      <c r="M467" s="82">
        <v>5219631566463</v>
      </c>
      <c r="N467" t="str">
        <v>NUEVO MAYOR</v>
      </c>
      <c r="O467" s="89">
        <v>7913.78</v>
      </c>
      <c r="P467" s="89" t="str">
        <v/>
      </c>
      <c r="Q467" s="89">
        <v>2374.13</v>
      </c>
      <c r="R467" s="89">
        <v>2374.13</v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>
        <v>1</v>
      </c>
    </row>
    <row r="468" spans="1:24">
      <c r="A468" s="26" t="str">
        <v/>
      </c>
      <c r="B468" s="87" t="str">
        <v>23/07/2026 12:49</v>
      </c>
      <c r="C468" s="87">
        <v>46226.546527777777</v>
      </c>
      <c r="D468" t="str">
        <v>anónimo</v>
      </c>
      <c r="E468" t="str">
        <v/>
      </c>
      <c r="F468" s="68">
        <v>46226</v>
      </c>
      <c r="G468" s="88" t="str">
        <v>23/07/2026</v>
      </c>
      <c r="H468" t="str">
        <v>LILIANA MARTINEZ SUR</v>
      </c>
      <c r="I468" t="str">
        <v>JOSE VENANCIO VILLAVICENCIO GONZALEZ</v>
      </c>
      <c r="J468" s="82">
        <v>51876303143</v>
      </c>
      <c r="K468" t="str">
        <v>VIGV630626HCHLNN01</v>
      </c>
      <c r="L468" s="82">
        <v>23013820</v>
      </c>
      <c r="M468" s="82">
        <v>5214151384086</v>
      </c>
      <c r="N468" t="str">
        <v>NUEVO MAYOR</v>
      </c>
      <c r="O468" s="89">
        <v>7920.51</v>
      </c>
      <c r="P468" s="89">
        <v>998.19</v>
      </c>
      <c r="Q468" s="89">
        <v>2376.15</v>
      </c>
      <c r="R468" s="89">
        <v>1377.96</v>
      </c>
      <c r="S468">
        <v>46031</v>
      </c>
      <c r="T468" t="str">
        <v/>
      </c>
      <c r="U468" t="str">
        <v/>
      </c>
      <c r="V468" t="str">
        <v/>
      </c>
      <c r="W468" t="str">
        <v/>
      </c>
      <c r="X468">
        <v>2</v>
      </c>
    </row>
    <row r="469" spans="1:24">
      <c r="A469" s="26" t="str">
        <v/>
      </c>
      <c r="B469" s="87" t="str">
        <v>23/07/2026 13:13</v>
      </c>
      <c r="C469" s="87">
        <v>46226.551388888889</v>
      </c>
      <c r="D469" t="str">
        <v>anónimo</v>
      </c>
      <c r="E469" t="str">
        <v/>
      </c>
      <c r="F469" s="68">
        <v>46226</v>
      </c>
      <c r="G469" s="88" t="str">
        <v>23/07/2026</v>
      </c>
      <c r="H469" t="str">
        <v>ALBERTO POZOS EXT</v>
      </c>
      <c r="I469" t="str">
        <v>MIRTHA LIZBETH JUAREZ CAMARILLO</v>
      </c>
      <c r="J469" s="82">
        <v>65937456229</v>
      </c>
      <c r="K469" t="str">
        <v/>
      </c>
      <c r="L469" s="82">
        <v>1</v>
      </c>
      <c r="M469" s="82" t="str">
        <v xml:space="preserve">S /N </v>
      </c>
      <c r="N469" t="str">
        <v>COMPRA MAYOR</v>
      </c>
      <c r="O469" s="89">
        <v>4707.6899999999996</v>
      </c>
      <c r="P469" s="89">
        <v>1300.9100000000001</v>
      </c>
      <c r="Q469" s="89">
        <v>1412.31</v>
      </c>
      <c r="R469" s="89">
        <v>-766.2</v>
      </c>
      <c r="S469">
        <v>45665</v>
      </c>
      <c r="T469" t="str">
        <v/>
      </c>
      <c r="U469" t="str">
        <v/>
      </c>
      <c r="V469" t="str">
        <v/>
      </c>
      <c r="W469" t="str">
        <v/>
      </c>
      <c r="X469">
        <v>2</v>
      </c>
    </row>
    <row r="470" spans="1:24">
      <c r="A470" s="26" t="str">
        <v/>
      </c>
      <c r="B470" s="87" t="str">
        <v>23/07/2026 12:39</v>
      </c>
      <c r="C470" s="87">
        <v>46226.597916666666</v>
      </c>
      <c r="D470" t="str">
        <v>anónimo</v>
      </c>
      <c r="E470" t="str">
        <v/>
      </c>
      <c r="F470" s="68">
        <v>46226</v>
      </c>
      <c r="G470" s="88" t="str">
        <v>23/07/2026</v>
      </c>
      <c r="H470" t="str">
        <v>ROSA CASTRO SUR</v>
      </c>
      <c r="I470" t="str">
        <v>VIRGINIA ALVAREZ ROJAS</v>
      </c>
      <c r="J470" s="82">
        <v>65806216316</v>
      </c>
      <c r="K470" t="str">
        <v>AARV620831MVZLJR04</v>
      </c>
      <c r="L470" s="82">
        <v>23007494</v>
      </c>
      <c r="M470" s="82">
        <v>5218461042445</v>
      </c>
      <c r="N470" t="str">
        <v>NUEVO MAYOR</v>
      </c>
      <c r="O470" s="89">
        <v>12846.42</v>
      </c>
      <c r="P470" s="89" t="str">
        <v/>
      </c>
      <c r="Q470" s="89">
        <v>3853.93</v>
      </c>
      <c r="R470" s="89">
        <v>3853.93</v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>
        <v>1</v>
      </c>
    </row>
    <row r="471" spans="1:24">
      <c r="A471" s="26" t="str">
        <v/>
      </c>
      <c r="B471" s="87" t="str">
        <v>23/07/2026 14:23</v>
      </c>
      <c r="C471" s="87">
        <v>46226.600694444445</v>
      </c>
      <c r="D471" t="str">
        <v>anónimo</v>
      </c>
      <c r="E471" t="str">
        <v/>
      </c>
      <c r="F471" s="68">
        <v>46226</v>
      </c>
      <c r="G471" s="88" t="str">
        <v>23/07/2026</v>
      </c>
      <c r="H471" t="str">
        <v>GLORIA ORTIZ C/C</v>
      </c>
      <c r="I471" t="str">
        <v>MARTIN CRUZ CAUDILLO</v>
      </c>
      <c r="J471" s="82">
        <v>54796089750</v>
      </c>
      <c r="K471" t="str">
        <v>CUCM600201HMNRDR06</v>
      </c>
      <c r="L471" s="82">
        <v>23028152</v>
      </c>
      <c r="M471" s="82">
        <v>5213314066019</v>
      </c>
      <c r="N471" t="str">
        <v>COMPRA MAYOR</v>
      </c>
      <c r="O471" s="89">
        <v>5617.63</v>
      </c>
      <c r="P471" s="89">
        <v>1209.83</v>
      </c>
      <c r="Q471" s="89">
        <v>1685.29</v>
      </c>
      <c r="R471" s="89">
        <v>234.82</v>
      </c>
      <c r="S471">
        <v>45662</v>
      </c>
      <c r="T471" t="str">
        <v/>
      </c>
      <c r="U471" t="str">
        <v/>
      </c>
      <c r="V471" t="str">
        <v/>
      </c>
      <c r="W471" t="str">
        <v/>
      </c>
      <c r="X471">
        <v>2</v>
      </c>
    </row>
    <row r="472" spans="1:24">
      <c r="A472" s="26" t="str">
        <v/>
      </c>
      <c r="B472" s="87" t="str">
        <v>23/07/2026 14:24</v>
      </c>
      <c r="C472" s="87">
        <v>46226.600694444445</v>
      </c>
      <c r="D472" t="str">
        <v>anónimo</v>
      </c>
      <c r="E472" t="str">
        <v/>
      </c>
      <c r="F472" s="68">
        <v>46226</v>
      </c>
      <c r="G472" s="88" t="str">
        <v>23/07/2026</v>
      </c>
      <c r="H472" t="str">
        <v>LITZY MARTINEZ C/C</v>
      </c>
      <c r="I472" t="str">
        <v>J.ENCARNACION OLGUIN CASTRO</v>
      </c>
      <c r="J472" s="82">
        <v>89826421474</v>
      </c>
      <c r="K472" t="str">
        <v>OUCE641025HDFLSN01</v>
      </c>
      <c r="L472" s="82">
        <v>23029224</v>
      </c>
      <c r="M472" s="82">
        <v>5215654417393</v>
      </c>
      <c r="N472" t="str">
        <v>NUEVO MENOR</v>
      </c>
      <c r="O472" s="89">
        <v>52854.52</v>
      </c>
      <c r="P472" s="89">
        <v>15124.36</v>
      </c>
      <c r="Q472" s="89">
        <v>15856.36</v>
      </c>
      <c r="R472" s="89">
        <v>732</v>
      </c>
      <c r="S472">
        <v>46390</v>
      </c>
      <c r="T472" t="str">
        <v/>
      </c>
      <c r="U472" t="str">
        <v/>
      </c>
      <c r="V472" t="str">
        <v/>
      </c>
      <c r="W472" t="str">
        <v/>
      </c>
      <c r="X472">
        <v>2</v>
      </c>
    </row>
    <row r="473" spans="1:24">
      <c r="A473" s="26" t="str">
        <v/>
      </c>
      <c r="B473" s="87" t="str">
        <v>23/07/2026 14:35</v>
      </c>
      <c r="C473" s="87">
        <v>46226.609027777777</v>
      </c>
      <c r="D473" t="str">
        <v>anónimo</v>
      </c>
      <c r="E473" t="str">
        <v/>
      </c>
      <c r="F473" s="68">
        <v>46226</v>
      </c>
      <c r="G473" s="88" t="str">
        <v>23/07/2026</v>
      </c>
      <c r="H473" t="str">
        <v>LITZY MARTINEZ C/C</v>
      </c>
      <c r="I473" t="str">
        <v xml:space="preserve">ARTURO VARGAS MATA </v>
      </c>
      <c r="J473" s="82">
        <v>43745421222</v>
      </c>
      <c r="K473" t="str">
        <v>VAMA540425HNLRTR04</v>
      </c>
      <c r="L473" s="82">
        <v>23027832</v>
      </c>
      <c r="M473" s="82">
        <v>5218117532347</v>
      </c>
      <c r="N473" t="str">
        <v>COMPRA MAYOR</v>
      </c>
      <c r="O473" s="89">
        <v>5617.63</v>
      </c>
      <c r="P473" s="89">
        <v>1334.29</v>
      </c>
      <c r="Q473" s="89">
        <v>1685.29</v>
      </c>
      <c r="R473" s="89">
        <v>110.36</v>
      </c>
      <c r="S473">
        <v>46028</v>
      </c>
      <c r="T473" t="str">
        <v/>
      </c>
      <c r="U473" t="str">
        <v/>
      </c>
      <c r="V473" t="str">
        <v/>
      </c>
      <c r="W473" t="str">
        <v/>
      </c>
      <c r="X473">
        <v>2</v>
      </c>
    </row>
    <row r="474" spans="1:24">
      <c r="A474" s="26" t="str">
        <v/>
      </c>
      <c r="B474" s="87" t="str">
        <v>23/07/2026 14:58</v>
      </c>
      <c r="C474" s="87">
        <v>46226.625</v>
      </c>
      <c r="D474" t="str">
        <v>anónimo</v>
      </c>
      <c r="E474" t="str">
        <v/>
      </c>
      <c r="F474" s="68">
        <v>46226</v>
      </c>
      <c r="G474" s="88" t="str">
        <v>18/07/2026</v>
      </c>
      <c r="H474" t="str">
        <v>YULIANA RODRIGUEZ C/C</v>
      </c>
      <c r="I474" t="str">
        <v xml:space="preserve">MA. LUISA ALVAREZ JUAREZ </v>
      </c>
      <c r="J474" s="82">
        <v>12815712448</v>
      </c>
      <c r="K474" t="str">
        <v/>
      </c>
      <c r="L474" s="82">
        <v>22818910</v>
      </c>
      <c r="M474" s="82">
        <v>5214624980603</v>
      </c>
      <c r="N474" t="str">
        <v>NUEVO MENOR</v>
      </c>
      <c r="O474" s="89">
        <v>4636.43</v>
      </c>
      <c r="P474" s="89" t="str">
        <v/>
      </c>
      <c r="Q474" s="89">
        <v>1390.93</v>
      </c>
      <c r="R474" s="89">
        <v>463.45</v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>
        <v>1</v>
      </c>
    </row>
    <row r="475" spans="1:24">
      <c r="A475" s="26" t="str">
        <v/>
      </c>
      <c r="B475" s="87" t="str">
        <v>23/07/2026 15:01</v>
      </c>
      <c r="C475" s="87">
        <v>46226.627083333333</v>
      </c>
      <c r="D475" t="str">
        <v>anónimo</v>
      </c>
      <c r="E475" t="str">
        <v/>
      </c>
      <c r="F475" s="68">
        <v>46226</v>
      </c>
      <c r="G475" s="88" t="str">
        <v>23/07/2026</v>
      </c>
      <c r="H475" t="str">
        <v>GLORIA ORTIZ C/C</v>
      </c>
      <c r="I475" t="str">
        <v>ENRIQUE ORTEGA SERRANO</v>
      </c>
      <c r="J475" s="82">
        <v>1796078614</v>
      </c>
      <c r="K475" t="str">
        <v>OESE601105HDFRRN08</v>
      </c>
      <c r="L475" s="82">
        <v>23030252</v>
      </c>
      <c r="M475" s="82">
        <v>5215640056142</v>
      </c>
      <c r="N475" t="str">
        <v>NUEVO MAYOR</v>
      </c>
      <c r="O475" s="89">
        <v>5948.13</v>
      </c>
      <c r="P475" s="89" t="str">
        <v/>
      </c>
      <c r="Q475" s="89">
        <v>1784.44</v>
      </c>
      <c r="R475" s="89">
        <v>1775.15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>
        <v>1</v>
      </c>
    </row>
    <row r="476" spans="1:24">
      <c r="A476" s="26" t="str">
        <v/>
      </c>
      <c r="B476" s="87" t="str">
        <v>23/07/2026 15:06</v>
      </c>
      <c r="C476" s="87">
        <v>46226.630555555559</v>
      </c>
      <c r="D476" t="str">
        <v>anónimo</v>
      </c>
      <c r="E476" t="str">
        <v/>
      </c>
      <c r="F476" s="68">
        <v>46226</v>
      </c>
      <c r="G476" s="88" t="str">
        <v>23/07/2026</v>
      </c>
      <c r="H476" t="str">
        <v>HANIA GARCIA C/C</v>
      </c>
      <c r="I476" t="str">
        <v>Maria Luisa Ortiz Juarez</v>
      </c>
      <c r="J476" s="82" t="str">
        <v/>
      </c>
      <c r="K476" t="str">
        <v>OIJL651217MMCRRS08</v>
      </c>
      <c r="L476" s="82">
        <v>23029704</v>
      </c>
      <c r="M476" s="82">
        <v>8715223535</v>
      </c>
      <c r="N476" t="str">
        <v>NUEVO MAYOR</v>
      </c>
      <c r="O476" s="89">
        <v>5407.25</v>
      </c>
      <c r="P476" s="89" t="str">
        <v/>
      </c>
      <c r="Q476" s="89">
        <v>1622.18</v>
      </c>
      <c r="R476" s="89">
        <v>1234.27</v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>
        <v>1</v>
      </c>
    </row>
    <row r="477" spans="1:24">
      <c r="A477" s="26" t="str">
        <v/>
      </c>
      <c r="B477" s="87" t="str">
        <v>23/07/2026 13:28</v>
      </c>
      <c r="C477" s="87">
        <v>46226.635416666664</v>
      </c>
      <c r="D477" t="str">
        <v>anónimo</v>
      </c>
      <c r="E477" t="str">
        <v/>
      </c>
      <c r="F477" s="68">
        <v>46226</v>
      </c>
      <c r="G477" s="88" t="str">
        <v>23/07/2026</v>
      </c>
      <c r="H477" t="str">
        <v>ROSA CASTRO SUR</v>
      </c>
      <c r="I477" t="str">
        <v xml:space="preserve">JESUS MANUEL BADILLO RODRIGUEZ </v>
      </c>
      <c r="J477" s="82">
        <v>33805928380</v>
      </c>
      <c r="K477" t="str">
        <v>BARJ591128HCHDDS01</v>
      </c>
      <c r="L477" s="82">
        <v>23021082</v>
      </c>
      <c r="M477" s="82">
        <v>5216391354004</v>
      </c>
      <c r="N477" t="str">
        <v>NUEVO MAYOR</v>
      </c>
      <c r="O477" s="89">
        <v>16839.48</v>
      </c>
      <c r="P477" s="89">
        <v>3067.34</v>
      </c>
      <c r="Q477" s="89">
        <v>5051.84</v>
      </c>
      <c r="R477" s="89">
        <v>1984.5</v>
      </c>
      <c r="S477">
        <v>46391</v>
      </c>
      <c r="T477" t="str">
        <v/>
      </c>
      <c r="U477" t="str">
        <v/>
      </c>
      <c r="V477" t="str">
        <v/>
      </c>
      <c r="W477" t="str">
        <v/>
      </c>
      <c r="X477">
        <v>2</v>
      </c>
    </row>
    <row r="478" spans="1:24">
      <c r="A478" s="26" t="str">
        <v/>
      </c>
      <c r="B478" s="87" t="str">
        <v>23/07/2026 14:36</v>
      </c>
      <c r="C478" s="87">
        <v>46226.636111111111</v>
      </c>
      <c r="D478" t="str">
        <v>anónimo</v>
      </c>
      <c r="E478" t="str">
        <v/>
      </c>
      <c r="F478" s="68">
        <v>46226</v>
      </c>
      <c r="G478" s="88" t="str">
        <v>23/07/2026</v>
      </c>
      <c r="H478" t="str">
        <v>JENNIFER AVENDAÑO SUR</v>
      </c>
      <c r="I478" t="str">
        <v>MARIA LUISA GARCIA QUINTERO</v>
      </c>
      <c r="J478" s="82">
        <v>49796219134</v>
      </c>
      <c r="K478" t="str">
        <v>GAQL640321MTSRNS08</v>
      </c>
      <c r="L478" s="82">
        <v>23020950</v>
      </c>
      <c r="M478" s="82">
        <v>5218681620416</v>
      </c>
      <c r="N478" t="str">
        <v>NUEVO MENOR</v>
      </c>
      <c r="O478" s="89">
        <v>9312.26</v>
      </c>
      <c r="P478" s="89">
        <v>1840.4</v>
      </c>
      <c r="Q478" s="89">
        <v>2793.68</v>
      </c>
      <c r="R478" s="89">
        <v>953.28</v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>
        <v>1</v>
      </c>
    </row>
    <row r="479" spans="1:24">
      <c r="A479" s="26" t="str">
        <v/>
      </c>
      <c r="B479" s="87" t="str">
        <v>23/07/2026 14:21</v>
      </c>
      <c r="C479" s="87">
        <v>46226.637499999997</v>
      </c>
      <c r="D479" t="str">
        <v>anónimo</v>
      </c>
      <c r="E479" t="str">
        <v/>
      </c>
      <c r="F479" s="68">
        <v>46226</v>
      </c>
      <c r="G479" s="88" t="str">
        <v>23/07/2026</v>
      </c>
      <c r="H479" t="str">
        <v>ROSA CASTRO SUR</v>
      </c>
      <c r="I479" t="str">
        <v xml:space="preserve">HILARIO ORTIZ RAMOS </v>
      </c>
      <c r="J479" s="82">
        <v>11654749305</v>
      </c>
      <c r="K479" t="str">
        <v>OIRH471103HSPRML08</v>
      </c>
      <c r="L479" s="82">
        <v>23018812</v>
      </c>
      <c r="M479" s="82">
        <v>5214441164605</v>
      </c>
      <c r="N479" t="str">
        <v>COMPRA MENOR</v>
      </c>
      <c r="O479" s="89">
        <v>12903.64</v>
      </c>
      <c r="P479" s="89">
        <v>3732.48</v>
      </c>
      <c r="Q479" s="89">
        <v>3871.09</v>
      </c>
      <c r="R479" s="89">
        <v>138.61000000000001</v>
      </c>
      <c r="S479">
        <v>45662</v>
      </c>
      <c r="T479" t="str">
        <v/>
      </c>
      <c r="U479" t="str">
        <v/>
      </c>
      <c r="V479" t="str">
        <v/>
      </c>
      <c r="W479" t="str">
        <v/>
      </c>
      <c r="X479">
        <v>2</v>
      </c>
    </row>
    <row r="480" spans="1:24">
      <c r="A480" s="26" t="str">
        <v/>
      </c>
      <c r="B480" s="87" t="str">
        <v>23/07/2026 15:17</v>
      </c>
      <c r="C480" s="87">
        <v>46226.638194444444</v>
      </c>
      <c r="D480" t="str">
        <v>anónimo</v>
      </c>
      <c r="E480" t="str">
        <v/>
      </c>
      <c r="F480" s="68">
        <v>46226</v>
      </c>
      <c r="G480" s="88" t="str">
        <v>23/07/2026</v>
      </c>
      <c r="H480" t="str">
        <v>DULCE FRANCO C/C</v>
      </c>
      <c r="I480" t="str">
        <v>Virginia Arroyo Arvizu</v>
      </c>
      <c r="J480" s="82" t="str">
        <v/>
      </c>
      <c r="K480" t="str">
        <v>AOAV650116MGTRRR07</v>
      </c>
      <c r="L480" s="82">
        <v>23027824</v>
      </c>
      <c r="M480" s="82">
        <v>5214613192765</v>
      </c>
      <c r="N480" t="str">
        <v>NUEVO MAYOR</v>
      </c>
      <c r="O480" s="89">
        <v>9760.32</v>
      </c>
      <c r="P480" s="89">
        <v>848</v>
      </c>
      <c r="Q480" s="89">
        <v>2928.1</v>
      </c>
      <c r="R480" s="89">
        <v>2080.1</v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>
        <v>1</v>
      </c>
    </row>
    <row r="481" spans="1:24">
      <c r="A481" s="26" t="str">
        <v/>
      </c>
      <c r="B481" s="87" t="str">
        <v>23/07/2026 14:25</v>
      </c>
      <c r="C481" s="87">
        <v>46226.638888888891</v>
      </c>
      <c r="D481" t="str">
        <v>anónimo</v>
      </c>
      <c r="E481" t="str">
        <v/>
      </c>
      <c r="F481" s="68">
        <v>46226</v>
      </c>
      <c r="G481" s="88" t="str">
        <v>21/07/2026</v>
      </c>
      <c r="H481" t="str">
        <v>MARA HERNANDEZ SUR</v>
      </c>
      <c r="I481" t="str">
        <v>VICENTE DE LA ROSA ROSAS</v>
      </c>
      <c r="J481" s="82" t="str">
        <v/>
      </c>
      <c r="K481" t="str">
        <v>RORV660405HVZSSC09</v>
      </c>
      <c r="L481" s="82">
        <v>22883546</v>
      </c>
      <c r="M481" s="82">
        <v>5212732286933</v>
      </c>
      <c r="N481" t="str">
        <v>NUEVO MAYOR</v>
      </c>
      <c r="O481" s="89">
        <v>10636.54</v>
      </c>
      <c r="P481" s="89" t="str">
        <v/>
      </c>
      <c r="Q481" s="89">
        <v>3190.962</v>
      </c>
      <c r="R481" s="89">
        <v>3190.962</v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>
        <v>1</v>
      </c>
    </row>
    <row r="482" spans="1:24">
      <c r="A482" s="26" t="str">
        <v/>
      </c>
      <c r="B482" s="87" t="str">
        <v>23/07/2026 15:27</v>
      </c>
      <c r="C482" s="87">
        <v>46226.644444444442</v>
      </c>
      <c r="D482" t="str">
        <v>anónimo</v>
      </c>
      <c r="E482" t="str">
        <v/>
      </c>
      <c r="F482" s="68">
        <v>46226</v>
      </c>
      <c r="G482" s="88" t="str">
        <v>23/07/2026</v>
      </c>
      <c r="H482" t="str">
        <v>HANIA GARCIA C/C</v>
      </c>
      <c r="I482" t="str">
        <v>Armando Morales Martinez</v>
      </c>
      <c r="J482" s="82" t="str">
        <v/>
      </c>
      <c r="K482" t="str">
        <v>MOMA621210HDFRRR00</v>
      </c>
      <c r="L482" s="82">
        <v>23030558</v>
      </c>
      <c r="M482" s="82">
        <v>5565224304</v>
      </c>
      <c r="N482" t="str">
        <v>NUEVO MAYOR</v>
      </c>
      <c r="O482" s="89">
        <v>23310.86</v>
      </c>
      <c r="P482" s="89" t="str">
        <v/>
      </c>
      <c r="Q482" s="89">
        <v>6993.2579999999998</v>
      </c>
      <c r="R482" s="89">
        <v>6993.2579999999998</v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>
        <v>1</v>
      </c>
    </row>
    <row r="483" spans="1:24">
      <c r="A483" s="26">
        <v>1</v>
      </c>
      <c r="B483" s="87">
        <v>46226.709537037037</v>
      </c>
      <c r="C483" s="87">
        <v>46226.711157407408</v>
      </c>
      <c r="D483" t="str">
        <v>anonymous</v>
      </c>
      <c r="E483" t="str">
        <v/>
      </c>
      <c r="F483" s="68">
        <v>46226</v>
      </c>
      <c r="G483" s="88">
        <v>46226</v>
      </c>
      <c r="H483" t="str">
        <v>ROSA CASTRO SUR</v>
      </c>
      <c r="I483" t="str">
        <v>RUTILIO GONZALEZ LOZA</v>
      </c>
      <c r="J483" s="82" t="str">
        <v/>
      </c>
      <c r="K483" t="str">
        <v>GOLR441113HJCNZT03</v>
      </c>
      <c r="L483" s="82">
        <v>23020314</v>
      </c>
      <c r="M483" s="82" t="str">
        <v>5213322037721</v>
      </c>
      <c r="N483" t="str">
        <v>COMPRA MAYOR</v>
      </c>
      <c r="O483" s="89">
        <v>8299.1</v>
      </c>
      <c r="P483" s="89">
        <v>2015.16</v>
      </c>
      <c r="Q483" s="89">
        <v>2489.73</v>
      </c>
      <c r="R483" s="89">
        <v>474.56999999999994</v>
      </c>
      <c r="S483">
        <v>45566</v>
      </c>
      <c r="T483" t="str">
        <v/>
      </c>
      <c r="U483" t="str">
        <v/>
      </c>
      <c r="V483" t="str">
        <v/>
      </c>
      <c r="W483" t="str">
        <v/>
      </c>
      <c r="X483">
        <v>2</v>
      </c>
    </row>
    <row r="484" spans="1:24">
      <c r="A484" s="26">
        <v>3</v>
      </c>
      <c r="B484" s="87">
        <v>46226.723425925898</v>
      </c>
      <c r="C484" s="87">
        <v>46226.724699074097</v>
      </c>
      <c r="D484" t="str">
        <v>anónimo</v>
      </c>
      <c r="E484" t="str">
        <v/>
      </c>
      <c r="F484" s="68">
        <v>46226</v>
      </c>
      <c r="G484" s="88">
        <v>46226</v>
      </c>
      <c r="H484" t="str">
        <v>CAROLINA RAMIREZ C/C</v>
      </c>
      <c r="I484" t="str">
        <v>JOSE OROZCO BARRERA</v>
      </c>
      <c r="J484" s="82" t="str">
        <v/>
      </c>
      <c r="K484" t="str">
        <v>OOBR611031HQRRRM00</v>
      </c>
      <c r="L484" s="82">
        <v>23032436</v>
      </c>
      <c r="M484" s="82">
        <v>5219841357497</v>
      </c>
      <c r="N484" t="str">
        <v>NUEVO MAYOR</v>
      </c>
      <c r="O484" s="89">
        <v>9760.32</v>
      </c>
      <c r="P484" s="89" t="str">
        <v/>
      </c>
      <c r="Q484" s="89">
        <v>2928.096</v>
      </c>
      <c r="R484" s="89">
        <v>2928.096</v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>
        <v>1</v>
      </c>
    </row>
    <row r="485" spans="1:24">
      <c r="A485" s="26">
        <v>6</v>
      </c>
      <c r="B485" s="87">
        <v>46226.725787037001</v>
      </c>
      <c r="C485" s="87">
        <v>46226.72625</v>
      </c>
      <c r="D485" t="str">
        <v>anónimo</v>
      </c>
      <c r="E485" t="str">
        <v/>
      </c>
      <c r="F485" s="68">
        <v>46226</v>
      </c>
      <c r="G485" s="88">
        <v>46226</v>
      </c>
      <c r="H485" t="str">
        <v>LITZY MARTINEZ C/C</v>
      </c>
      <c r="I485" t="str">
        <v>Jorge Enrique Manzo Moye</v>
      </c>
      <c r="J485" s="82" t="str">
        <v>15805705181</v>
      </c>
      <c r="K485" t="str">
        <v/>
      </c>
      <c r="L485" s="82">
        <v>23031796</v>
      </c>
      <c r="M485" s="82">
        <v>5217351020353</v>
      </c>
      <c r="N485" t="str">
        <v>NUEVO MAYOR</v>
      </c>
      <c r="O485" s="89">
        <v>9760.32</v>
      </c>
      <c r="P485" s="89" t="str">
        <v/>
      </c>
      <c r="Q485" s="89">
        <v>2928.096</v>
      </c>
      <c r="R485" s="89">
        <v>2928.096</v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>
        <v>1</v>
      </c>
    </row>
    <row r="486" spans="1:24">
      <c r="A486" s="26">
        <v>12</v>
      </c>
      <c r="B486" s="87">
        <v>46226.725092592598</v>
      </c>
      <c r="C486" s="87">
        <v>46226.7278240741</v>
      </c>
      <c r="D486" t="str">
        <v>anónimo</v>
      </c>
      <c r="E486" t="str">
        <v/>
      </c>
      <c r="F486" s="68">
        <v>46226</v>
      </c>
      <c r="G486" s="88">
        <v>46216</v>
      </c>
      <c r="H486" t="str">
        <v>GUADALUPE BECERRA C/C</v>
      </c>
      <c r="I486" t="str">
        <v>IRMA LAURA CENICEROS ORTEGA</v>
      </c>
      <c r="J486" s="82" t="str">
        <v>31846411382</v>
      </c>
      <c r="K486" t="str">
        <v/>
      </c>
      <c r="L486" s="82">
        <v>22673378</v>
      </c>
      <c r="M486" s="82">
        <v>5216141023371</v>
      </c>
      <c r="N486" t="str">
        <v>NUEVO MAYOR</v>
      </c>
      <c r="O486" s="89">
        <v>9081.52</v>
      </c>
      <c r="P486" s="89" t="str">
        <v/>
      </c>
      <c r="Q486" s="89">
        <v>2724.4560000000001</v>
      </c>
      <c r="R486" s="89">
        <v>2724.4560000000001</v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>
        <v>1</v>
      </c>
    </row>
    <row r="487" spans="1:24">
      <c r="A487" s="26">
        <v>14</v>
      </c>
      <c r="B487" s="87">
        <v>46226.725312499999</v>
      </c>
      <c r="C487" s="87">
        <v>46226.731493055602</v>
      </c>
      <c r="D487" t="str">
        <v>anónimo</v>
      </c>
      <c r="E487" t="str">
        <v/>
      </c>
      <c r="F487" s="68">
        <v>46226</v>
      </c>
      <c r="G487" s="88">
        <v>46226</v>
      </c>
      <c r="H487" t="str">
        <v>JENNIFER AVENDAÑO SUR</v>
      </c>
      <c r="I487" t="str">
        <v>MARIA DE JESUS VILLEGAS</v>
      </c>
      <c r="J487" s="82">
        <v>12856201426</v>
      </c>
      <c r="K487" t="str">
        <v>VIXJ620629MGTLXS14</v>
      </c>
      <c r="L487" s="82">
        <v>23009262</v>
      </c>
      <c r="M487" s="82">
        <v>5214772862358</v>
      </c>
      <c r="N487" t="str">
        <v>NUEVO MAYOR</v>
      </c>
      <c r="O487" s="89">
        <v>7116.73</v>
      </c>
      <c r="P487" s="89" t="str">
        <v/>
      </c>
      <c r="Q487" s="89">
        <v>2135.0189999999998</v>
      </c>
      <c r="R487" s="89">
        <v>2135.0189999999998</v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>
        <v>1</v>
      </c>
    </row>
    <row r="488" spans="1:24">
      <c r="A488" s="26">
        <v>20</v>
      </c>
      <c r="B488" s="87">
        <v>46226.736319444397</v>
      </c>
      <c r="C488" s="87">
        <v>46226.739374999997</v>
      </c>
      <c r="D488" t="str">
        <v>anónimo</v>
      </c>
      <c r="E488" t="str">
        <v/>
      </c>
      <c r="F488" s="68">
        <v>46226</v>
      </c>
      <c r="G488" s="88">
        <v>46226</v>
      </c>
      <c r="H488" t="str">
        <v>JENNIFER AVENDAÑO SUR</v>
      </c>
      <c r="I488" t="str">
        <v>MARTIN ROSAS PEREZ</v>
      </c>
      <c r="J488" s="82" t="str">
        <v>32896781864</v>
      </c>
      <c r="K488" t="str">
        <v>ROPM670313HPLSRR05</v>
      </c>
      <c r="L488" s="82">
        <v>23016342</v>
      </c>
      <c r="M488" s="82">
        <v>5218442924987</v>
      </c>
      <c r="N488" t="str">
        <v>NUEVO MAYOR</v>
      </c>
      <c r="O488" s="89">
        <v>21031.67</v>
      </c>
      <c r="P488" s="89" t="str">
        <v/>
      </c>
      <c r="Q488" s="89">
        <v>6309.5009999999993</v>
      </c>
      <c r="R488" s="89">
        <v>6309.5009999999993</v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>
        <v>1</v>
      </c>
    </row>
    <row r="489" spans="1:24">
      <c r="A489" s="26">
        <v>21</v>
      </c>
      <c r="B489" s="87">
        <v>46226.7246759259</v>
      </c>
      <c r="C489" s="87">
        <v>46226.742106481499</v>
      </c>
      <c r="D489" t="str">
        <v>anónimo</v>
      </c>
      <c r="E489" t="str">
        <v/>
      </c>
      <c r="F489" s="68">
        <v>46226</v>
      </c>
      <c r="G489" s="88">
        <v>46226</v>
      </c>
      <c r="H489" t="str">
        <v>IRAN CASTILLO SUR</v>
      </c>
      <c r="I489" t="str">
        <v>RICARDO OLAVARRIETA DE ALBA</v>
      </c>
      <c r="J489" s="82" t="str">
        <v/>
      </c>
      <c r="K489" t="str">
        <v xml:space="preserve">	OAAR561019HGTLLC06</v>
      </c>
      <c r="L489" s="82">
        <v>23014646</v>
      </c>
      <c r="M489" s="82">
        <v>5214747946258</v>
      </c>
      <c r="N489" t="str">
        <v>NUEVO MAYOR</v>
      </c>
      <c r="O489" s="89">
        <v>12721.06</v>
      </c>
      <c r="P489" s="89" t="str">
        <v/>
      </c>
      <c r="Q489" s="89">
        <v>3816.3179999999998</v>
      </c>
      <c r="R489" s="89">
        <v>3816.3179999999998</v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>
        <v>1</v>
      </c>
    </row>
    <row r="490" spans="1:24">
      <c r="A490" s="26">
        <v>23</v>
      </c>
      <c r="B490" s="87">
        <v>46226.743217592601</v>
      </c>
      <c r="C490" s="87">
        <v>46226.744456018503</v>
      </c>
      <c r="D490" t="str">
        <v>anónimo</v>
      </c>
      <c r="E490" t="str">
        <v/>
      </c>
      <c r="F490" s="68">
        <v>46226</v>
      </c>
      <c r="G490" s="88">
        <v>46226</v>
      </c>
      <c r="H490" t="str">
        <v>MARISOL HERNANDEZ C/C</v>
      </c>
      <c r="I490" t="str">
        <v>ALBERTO BARCENAS</v>
      </c>
      <c r="J490" s="82">
        <v>53704915510</v>
      </c>
      <c r="K490" t="str">
        <v/>
      </c>
      <c r="L490" s="82">
        <v>23028936</v>
      </c>
      <c r="M490" s="82">
        <v>4434903604</v>
      </c>
      <c r="N490" t="str">
        <v>NUEVO MAYOR</v>
      </c>
      <c r="O490" s="89">
        <v>14531.78</v>
      </c>
      <c r="P490" s="89" t="str">
        <v>879</v>
      </c>
      <c r="Q490" s="89">
        <v>4359.5339999999997</v>
      </c>
      <c r="R490" s="89">
        <v>3480.5339999999997</v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>
        <v>1</v>
      </c>
    </row>
    <row r="491" spans="1:24">
      <c r="A491" s="26">
        <v>26</v>
      </c>
      <c r="B491" s="87">
        <v>46226.744398148097</v>
      </c>
      <c r="C491" s="87">
        <v>46226.747164351902</v>
      </c>
      <c r="D491" t="str">
        <v>anónimo</v>
      </c>
      <c r="E491" t="str">
        <v/>
      </c>
      <c r="F491" s="68">
        <v>46226</v>
      </c>
      <c r="G491" s="88">
        <v>46226</v>
      </c>
      <c r="H491" t="str">
        <v>MARA HERNANDEZ SUR</v>
      </c>
      <c r="I491" t="str">
        <v>Armando Barrios Silva</v>
      </c>
      <c r="J491" s="82" t="str">
        <v>01775533217</v>
      </c>
      <c r="K491" t="str">
        <v>BASA550221HDFRLR07</v>
      </c>
      <c r="L491" s="82">
        <v>23007396</v>
      </c>
      <c r="M491" s="82">
        <v>5215542680943</v>
      </c>
      <c r="N491" t="str">
        <v>COMPRA MAYOR</v>
      </c>
      <c r="O491" s="89">
        <v>7920.51</v>
      </c>
      <c r="P491" s="89">
        <v>2091.52</v>
      </c>
      <c r="Q491" s="89">
        <v>2376.1529999999998</v>
      </c>
      <c r="R491" s="89">
        <v>284.63299999999981</v>
      </c>
      <c r="S491">
        <v>45962</v>
      </c>
      <c r="T491" t="str">
        <v/>
      </c>
      <c r="U491" t="str">
        <v/>
      </c>
      <c r="V491" t="str">
        <v/>
      </c>
      <c r="W491" t="str">
        <v/>
      </c>
      <c r="X491">
        <v>2</v>
      </c>
    </row>
    <row r="492" spans="1:24">
      <c r="A492" s="26">
        <v>50</v>
      </c>
      <c r="B492" s="87">
        <v>46227.459699074097</v>
      </c>
      <c r="C492" s="87">
        <v>46227.463865740698</v>
      </c>
      <c r="D492" t="str">
        <v>anónimo</v>
      </c>
      <c r="E492" t="str">
        <v/>
      </c>
      <c r="F492" s="68">
        <v>46227</v>
      </c>
      <c r="G492" s="88">
        <v>46226</v>
      </c>
      <c r="H492" t="str">
        <v>JENNIFER AVENDAÑO SUR</v>
      </c>
      <c r="I492" t="str">
        <v>GUILLERMO ISLAS ANAYA</v>
      </c>
      <c r="J492" s="82">
        <v>94937210972</v>
      </c>
      <c r="K492" t="str">
        <v>IAAG720210HMCSNL08</v>
      </c>
      <c r="L492" s="82">
        <v>23021358</v>
      </c>
      <c r="M492" s="82">
        <v>5215532675237</v>
      </c>
      <c r="N492" t="str">
        <v>NUEVO MAYOR</v>
      </c>
      <c r="O492" s="89">
        <v>7135.6</v>
      </c>
      <c r="P492" s="89">
        <v>879</v>
      </c>
      <c r="Q492" s="89">
        <v>2140.6799999999998</v>
      </c>
      <c r="R492" s="89">
        <v>1261.6799999999998</v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>
        <v>1</v>
      </c>
    </row>
    <row r="493" spans="1:24">
      <c r="A493" s="26">
        <v>52</v>
      </c>
      <c r="B493" s="87">
        <v>46227.464687500003</v>
      </c>
      <c r="C493" s="87">
        <v>46227.466041666703</v>
      </c>
      <c r="D493" t="str">
        <v>anónimo</v>
      </c>
      <c r="E493" t="str">
        <v/>
      </c>
      <c r="F493" s="68">
        <v>46227</v>
      </c>
      <c r="G493" s="88">
        <v>46227</v>
      </c>
      <c r="H493" t="str">
        <v>FERNANDA CASTILLO C/C</v>
      </c>
      <c r="I493" t="str">
        <v>VERONICA MARTINEZ ANTONIO</v>
      </c>
      <c r="J493" s="82" t="str">
        <v>07967702304</v>
      </c>
      <c r="K493" t="str">
        <v>MAAV790923MMCRNR05</v>
      </c>
      <c r="L493" s="82">
        <v>23049464</v>
      </c>
      <c r="M493" s="82">
        <v>5524350831</v>
      </c>
      <c r="N493" t="str">
        <v>COMPRA MAYOR</v>
      </c>
      <c r="O493" s="89">
        <v>6405.06</v>
      </c>
      <c r="P493" s="89">
        <v>1775.93</v>
      </c>
      <c r="Q493" s="89">
        <v>1921.518</v>
      </c>
      <c r="R493" s="89">
        <v>145.58799999999997</v>
      </c>
      <c r="S493">
        <v>46174</v>
      </c>
      <c r="T493" t="str">
        <v/>
      </c>
      <c r="U493" t="str">
        <v/>
      </c>
      <c r="V493" t="str">
        <v/>
      </c>
      <c r="W493" t="str">
        <v/>
      </c>
      <c r="X493">
        <v>2</v>
      </c>
    </row>
    <row r="494" spans="1:24">
      <c r="A494" s="26">
        <v>55</v>
      </c>
      <c r="B494" s="87">
        <v>46227.466064814798</v>
      </c>
      <c r="C494" s="87">
        <v>46227.479131944398</v>
      </c>
      <c r="D494" t="str">
        <v>anónimo</v>
      </c>
      <c r="E494" t="str">
        <v/>
      </c>
      <c r="F494" s="68">
        <v>46227</v>
      </c>
      <c r="G494" s="88">
        <v>46227</v>
      </c>
      <c r="H494" t="str">
        <v>FERNANDA CASTILLO C/C</v>
      </c>
      <c r="I494" t="str">
        <v>HECTOR MARTINEZ GUTIERREZ</v>
      </c>
      <c r="J494" s="82" t="str">
        <v>03695260186</v>
      </c>
      <c r="K494" t="str">
        <v>MAGH521220HSPRTC02</v>
      </c>
      <c r="L494" s="82">
        <v>23033636</v>
      </c>
      <c r="M494" s="82">
        <v>8120173066</v>
      </c>
      <c r="N494" t="str">
        <v>NUEVO MAYOR</v>
      </c>
      <c r="O494" s="89">
        <v>15727.43</v>
      </c>
      <c r="P494" s="89" t="str">
        <v/>
      </c>
      <c r="Q494" s="89">
        <v>4718.2290000000003</v>
      </c>
      <c r="R494" s="89">
        <v>4718.2290000000003</v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>
        <v>1</v>
      </c>
    </row>
    <row r="495" spans="1:24">
      <c r="A495" s="26">
        <v>62</v>
      </c>
      <c r="B495" s="87">
        <v>46227.458391203698</v>
      </c>
      <c r="C495" s="87">
        <v>46227.489293981504</v>
      </c>
      <c r="D495" t="str">
        <v>anónimo</v>
      </c>
      <c r="E495" t="str">
        <v/>
      </c>
      <c r="F495" s="68">
        <v>46227</v>
      </c>
      <c r="G495" s="88">
        <v>46227</v>
      </c>
      <c r="H495" t="str">
        <v>MARA HERNANDEZ SUR</v>
      </c>
      <c r="I495" t="str">
        <v>Miguel Enrique Molina López</v>
      </c>
      <c r="J495" s="82">
        <v>24866334543</v>
      </c>
      <c r="K495" t="str">
        <v>MOLM631124HSRLPG07</v>
      </c>
      <c r="L495" s="82">
        <v>23039364</v>
      </c>
      <c r="M495" s="82">
        <v>5216628470915</v>
      </c>
      <c r="N495" t="str">
        <v>NUEVO MENOR</v>
      </c>
      <c r="O495" s="89">
        <v>50082.26</v>
      </c>
      <c r="P495" s="89">
        <v>14489.99</v>
      </c>
      <c r="Q495" s="89">
        <v>15024.678</v>
      </c>
      <c r="R495" s="89">
        <v>534.6880000000001</v>
      </c>
      <c r="S495">
        <v>46235</v>
      </c>
      <c r="T495" t="str">
        <v>CONSUPAGO</v>
      </c>
      <c r="U495" t="str">
        <v/>
      </c>
      <c r="V495" t="str">
        <v/>
      </c>
      <c r="W495" t="str">
        <v/>
      </c>
      <c r="X495">
        <v>2</v>
      </c>
    </row>
    <row r="496" spans="1:24">
      <c r="A496" s="26">
        <v>65</v>
      </c>
      <c r="B496" s="87">
        <v>46227.489780092597</v>
      </c>
      <c r="C496" s="87">
        <v>46227.493425925903</v>
      </c>
      <c r="D496" t="str">
        <v>anónimo</v>
      </c>
      <c r="E496" t="str">
        <v/>
      </c>
      <c r="F496" s="68">
        <v>46227</v>
      </c>
      <c r="G496" s="88">
        <v>46226</v>
      </c>
      <c r="H496" t="str">
        <v>MARIA MARTINEZ SUR</v>
      </c>
      <c r="I496" t="str">
        <v>ROSA MA. SOTO BELTRAN</v>
      </c>
      <c r="J496" s="82">
        <v>32796313768</v>
      </c>
      <c r="K496" t="str">
        <v>SOBR630423MCLTLS22</v>
      </c>
      <c r="L496" s="82">
        <v>23007704</v>
      </c>
      <c r="M496" s="82">
        <v>5218782303546</v>
      </c>
      <c r="N496" t="str">
        <v>NUEVO MENOR</v>
      </c>
      <c r="O496" s="89">
        <v>7920.51</v>
      </c>
      <c r="P496" s="89">
        <v>1436.63</v>
      </c>
      <c r="Q496" s="89">
        <v>2376.1529999999998</v>
      </c>
      <c r="R496" s="89">
        <v>939.52299999999968</v>
      </c>
      <c r="S496">
        <v>46753</v>
      </c>
      <c r="T496" t="str">
        <v/>
      </c>
      <c r="U496" t="str">
        <v/>
      </c>
      <c r="V496" t="str">
        <v/>
      </c>
      <c r="W496" t="str">
        <v/>
      </c>
      <c r="X496">
        <v>2</v>
      </c>
    </row>
    <row r="497" spans="1:24">
      <c r="A497" s="26">
        <v>66</v>
      </c>
      <c r="B497" s="87">
        <v>46227.493460648097</v>
      </c>
      <c r="C497" s="87">
        <v>46227.504780092597</v>
      </c>
      <c r="D497" t="str">
        <v>anónimo</v>
      </c>
      <c r="E497" t="str">
        <v/>
      </c>
      <c r="F497" s="68">
        <v>46227</v>
      </c>
      <c r="G497" s="88">
        <v>46226</v>
      </c>
      <c r="H497" t="str">
        <v>MARIA MARTINEZ SUR</v>
      </c>
      <c r="I497" t="str">
        <v>Alicia</v>
      </c>
      <c r="J497" s="82" t="str">
        <v xml:space="preserve">16856409467 </v>
      </c>
      <c r="K497" t="str">
        <v/>
      </c>
      <c r="L497" s="82">
        <v>23027468</v>
      </c>
      <c r="M497" s="82">
        <v>5216632135477</v>
      </c>
      <c r="N497" t="str">
        <v>NUEVO MAYOR</v>
      </c>
      <c r="O497" s="89">
        <v>9081.52</v>
      </c>
      <c r="P497" s="89" t="str">
        <v/>
      </c>
      <c r="Q497" s="89">
        <v>2724.4560000000001</v>
      </c>
      <c r="R497" s="89">
        <v>2724.4560000000001</v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>
        <v>1</v>
      </c>
    </row>
    <row r="498" spans="1:24">
      <c r="A498" s="26">
        <v>73</v>
      </c>
      <c r="B498" s="87">
        <v>46227.513935185198</v>
      </c>
      <c r="C498" s="87">
        <v>46227.514687499999</v>
      </c>
      <c r="D498" t="str">
        <v>anónimo</v>
      </c>
      <c r="E498" t="str">
        <v/>
      </c>
      <c r="F498" s="68">
        <v>46227</v>
      </c>
      <c r="G498" s="88">
        <v>46227</v>
      </c>
      <c r="H498" t="str">
        <v>CAROLINA RAMIREZ C/C</v>
      </c>
      <c r="I498" t="str">
        <v>JOSE GONZALEZ CASTRO</v>
      </c>
      <c r="J498" s="82">
        <v>32786034911</v>
      </c>
      <c r="K498" t="str">
        <v>GOCM600426HCLNSR02</v>
      </c>
      <c r="L498" s="82">
        <v>23050904</v>
      </c>
      <c r="M498" s="82">
        <v>5218661396013</v>
      </c>
      <c r="N498" t="str">
        <v>NUEVO MENOR</v>
      </c>
      <c r="O498" s="89">
        <v>13902.91</v>
      </c>
      <c r="P498" s="89">
        <v>3642.77</v>
      </c>
      <c r="Q498" s="89">
        <v>4170.8729999999996</v>
      </c>
      <c r="R498" s="89">
        <v>528.10299999999961</v>
      </c>
      <c r="S498">
        <v>46235</v>
      </c>
      <c r="T498" t="str">
        <v/>
      </c>
      <c r="U498" t="str">
        <v/>
      </c>
      <c r="V498" t="str">
        <v/>
      </c>
      <c r="W498" t="str">
        <v/>
      </c>
      <c r="X498">
        <v>2</v>
      </c>
    </row>
    <row r="499" spans="1:24">
      <c r="A499" s="26">
        <v>74</v>
      </c>
      <c r="B499" s="87">
        <v>46227.512546296297</v>
      </c>
      <c r="C499" s="87">
        <v>46227.518310185202</v>
      </c>
      <c r="D499" t="str">
        <v>anónimo</v>
      </c>
      <c r="E499" t="str">
        <v/>
      </c>
      <c r="F499" s="68">
        <v>46227</v>
      </c>
      <c r="G499" s="88">
        <v>46227</v>
      </c>
      <c r="H499" t="str">
        <v>LILIANA MARTINEZ SUR</v>
      </c>
      <c r="I499" t="str">
        <v>LUIS ALEJANDRO BASTO ALCOCER</v>
      </c>
      <c r="J499" s="82">
        <v>84836416200</v>
      </c>
      <c r="K499" t="str">
        <v>BAAL640424HYNSLS06</v>
      </c>
      <c r="L499" s="82">
        <v>23051200</v>
      </c>
      <c r="M499" s="82">
        <v>5219981558086</v>
      </c>
      <c r="N499" t="str">
        <v>NUEVO MAYOR</v>
      </c>
      <c r="O499" s="89">
        <v>35855.53</v>
      </c>
      <c r="P499" s="89" t="str">
        <v/>
      </c>
      <c r="Q499" s="89">
        <v>10756.659</v>
      </c>
      <c r="R499" s="89">
        <v>10756.659</v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>
        <v>1</v>
      </c>
    </row>
    <row r="500" spans="1:24">
      <c r="A500" s="26">
        <v>76</v>
      </c>
      <c r="B500" s="87">
        <v>46227.516365740703</v>
      </c>
      <c r="C500" s="87">
        <v>46227.524131944403</v>
      </c>
      <c r="D500" t="str">
        <v>anónimo</v>
      </c>
      <c r="E500" t="str">
        <v/>
      </c>
      <c r="F500" s="68">
        <v>46227</v>
      </c>
      <c r="G500" s="88">
        <v>46226</v>
      </c>
      <c r="H500" t="str">
        <v>JENNIFER AVENDAÑO SUR</v>
      </c>
      <c r="I500" t="str">
        <v>ELDA RAMOS GOMEZ</v>
      </c>
      <c r="J500" s="82">
        <v>22976101182</v>
      </c>
      <c r="K500" t="str">
        <v>RAGE610808MGRMML06</v>
      </c>
      <c r="L500" s="82">
        <v>23019992</v>
      </c>
      <c r="M500" s="82">
        <v>5216243558847</v>
      </c>
      <c r="N500" t="str">
        <v>COMPRA MAYOR</v>
      </c>
      <c r="O500" s="89">
        <v>7920.51</v>
      </c>
      <c r="P500" s="89">
        <v>2193.15</v>
      </c>
      <c r="Q500" s="89">
        <v>2376.1529999999998</v>
      </c>
      <c r="R500" s="89">
        <v>183.0029999999997</v>
      </c>
      <c r="S500">
        <v>46174</v>
      </c>
      <c r="T500" t="str">
        <v/>
      </c>
      <c r="U500" t="str">
        <v/>
      </c>
      <c r="V500" t="str">
        <v/>
      </c>
      <c r="W500" t="str">
        <v/>
      </c>
      <c r="X500">
        <v>2</v>
      </c>
    </row>
    <row r="501" spans="1:24">
      <c r="A501" s="26">
        <v>79</v>
      </c>
      <c r="B501" s="87">
        <v>46227.5177430556</v>
      </c>
      <c r="C501" s="87">
        <v>46227.529571759304</v>
      </c>
      <c r="D501" t="str">
        <v>anónimo</v>
      </c>
      <c r="E501" t="str">
        <v/>
      </c>
      <c r="F501" s="68">
        <v>46227</v>
      </c>
      <c r="G501" s="88">
        <v>46227</v>
      </c>
      <c r="H501" t="str">
        <v>MARIA MARTINEZ SUR</v>
      </c>
      <c r="I501" t="str">
        <v>DANTE MARTINEZ GARCIA</v>
      </c>
      <c r="J501" s="82" t="str">
        <v>01705486494</v>
      </c>
      <c r="K501" t="str">
        <v>MAGD540131HDFRRN03</v>
      </c>
      <c r="L501" s="82">
        <v>23051158</v>
      </c>
      <c r="M501" s="82">
        <v>5215560392259</v>
      </c>
      <c r="N501" t="str">
        <v>NUEVO MAYOR</v>
      </c>
      <c r="O501" s="89">
        <v>5617.63</v>
      </c>
      <c r="P501" s="89" t="str">
        <v/>
      </c>
      <c r="Q501" s="89">
        <v>1685.289</v>
      </c>
      <c r="R501" s="89">
        <v>1444.6500000000005</v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>
        <v>1</v>
      </c>
    </row>
    <row r="502" spans="1:24">
      <c r="A502" s="26">
        <v>80</v>
      </c>
      <c r="B502" s="87">
        <v>46227.528437499997</v>
      </c>
      <c r="C502" s="87">
        <v>46227.531458333302</v>
      </c>
      <c r="D502" t="str">
        <v>anónimo</v>
      </c>
      <c r="E502" t="str">
        <v/>
      </c>
      <c r="F502" s="68">
        <v>46227</v>
      </c>
      <c r="G502" s="88">
        <v>46226</v>
      </c>
      <c r="H502" t="str">
        <v>JENNIFER AVENDAÑO SUR</v>
      </c>
      <c r="I502" t="str">
        <v>GABRIEL SANCHEZ MENDOZA</v>
      </c>
      <c r="J502" s="82">
        <v>62896611852</v>
      </c>
      <c r="K502" t="str">
        <v>SAMG660324HPLNNB01</v>
      </c>
      <c r="L502" s="82">
        <v>23017954</v>
      </c>
      <c r="M502" s="82">
        <v>5212213475134</v>
      </c>
      <c r="N502" t="str">
        <v>NUEVO MAYOR</v>
      </c>
      <c r="O502" s="89">
        <v>10636.54</v>
      </c>
      <c r="P502" s="89" t="str">
        <v/>
      </c>
      <c r="Q502" s="89">
        <v>3190.962</v>
      </c>
      <c r="R502" s="89">
        <v>3190.962</v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>
        <v>1</v>
      </c>
    </row>
    <row r="503" spans="1:24">
      <c r="A503" s="26">
        <v>89</v>
      </c>
      <c r="B503" s="87">
        <v>46227.550844907397</v>
      </c>
      <c r="C503" s="87">
        <v>46227.559745370403</v>
      </c>
      <c r="D503" t="str">
        <v>anónimo</v>
      </c>
      <c r="E503" t="str">
        <v/>
      </c>
      <c r="F503" s="68">
        <v>46227</v>
      </c>
      <c r="G503" s="88">
        <v>46226</v>
      </c>
      <c r="H503" t="str">
        <v>PAOLA RODRIGUEZ C/C</v>
      </c>
      <c r="I503" t="str">
        <v>Lorenzo huchin uc</v>
      </c>
      <c r="J503" s="82">
        <v>81856607775</v>
      </c>
      <c r="K503" t="str">
        <v>HUUL660707HCCCCR00</v>
      </c>
      <c r="L503" s="82">
        <v>23033164</v>
      </c>
      <c r="M503" s="82">
        <v>5219812100303</v>
      </c>
      <c r="N503" t="str">
        <v>NUEVO MENOR</v>
      </c>
      <c r="O503" s="89">
        <v>8548.4699999999993</v>
      </c>
      <c r="P503" s="89">
        <v>2140.66</v>
      </c>
      <c r="Q503" s="89">
        <v>2564.5409999999997</v>
      </c>
      <c r="R503" s="89">
        <v>423.88099999999986</v>
      </c>
      <c r="S503">
        <v>46905</v>
      </c>
      <c r="T503" t="str">
        <v>CONSUPAGO</v>
      </c>
      <c r="U503" t="str">
        <v/>
      </c>
      <c r="V503" t="str">
        <v/>
      </c>
      <c r="W503" t="str">
        <v/>
      </c>
      <c r="X503">
        <v>2</v>
      </c>
    </row>
    <row r="504" spans="1:24">
      <c r="A504" s="26">
        <v>91</v>
      </c>
      <c r="B504" s="87">
        <v>46227.582812499997</v>
      </c>
      <c r="C504" s="87">
        <v>46227.583368055602</v>
      </c>
      <c r="D504" t="str">
        <v>anónimo</v>
      </c>
      <c r="E504" t="str">
        <v/>
      </c>
      <c r="F504" s="68">
        <v>46227</v>
      </c>
      <c r="G504" s="88">
        <v>46226</v>
      </c>
      <c r="H504" t="str">
        <v>MARISOL HERNANDEZ C/C</v>
      </c>
      <c r="I504" t="str">
        <v>Ramon mejia zuñiga</v>
      </c>
      <c r="J504" s="82" t="str">
        <v/>
      </c>
      <c r="K504" t="str">
        <v>MEZR620831HDFJXM09</v>
      </c>
      <c r="L504" s="82">
        <v>23026316</v>
      </c>
      <c r="M504" s="82">
        <v>5616550058</v>
      </c>
      <c r="N504" t="str">
        <v>NUEVO MENOR</v>
      </c>
      <c r="O504" s="89">
        <v>9081.52</v>
      </c>
      <c r="P504" s="89">
        <v>1771.98</v>
      </c>
      <c r="Q504" s="89">
        <v>2724.4560000000001</v>
      </c>
      <c r="R504" s="89">
        <v>952.47600000000011</v>
      </c>
      <c r="S504">
        <v>46508</v>
      </c>
      <c r="T504" t="str">
        <v/>
      </c>
      <c r="U504" t="str">
        <v/>
      </c>
      <c r="V504" t="str">
        <v/>
      </c>
      <c r="W504" t="str">
        <v/>
      </c>
      <c r="X504">
        <v>2</v>
      </c>
    </row>
    <row r="505" spans="1:24">
      <c r="A505" s="26">
        <v>97</v>
      </c>
      <c r="B505" s="87">
        <v>46227.5448958333</v>
      </c>
      <c r="C505" s="87">
        <v>46227.591990740701</v>
      </c>
      <c r="D505" t="str">
        <v>anónimo</v>
      </c>
      <c r="E505" t="str">
        <v/>
      </c>
      <c r="F505" s="68">
        <v>46227</v>
      </c>
      <c r="G505" s="88">
        <v>46226</v>
      </c>
      <c r="H505" t="str">
        <v>MARA HERNANDEZ SUR</v>
      </c>
      <c r="I505" t="str">
        <v>FELIPE CARDONA CASTILLO</v>
      </c>
      <c r="J505" s="82">
        <v>49785811651</v>
      </c>
      <c r="K505" t="str">
        <v>CACF581008HCLRSL04</v>
      </c>
      <c r="L505" s="82">
        <v>23019720</v>
      </c>
      <c r="M505" s="82">
        <v>5218444286289</v>
      </c>
      <c r="N505" t="str">
        <v>COMPRA MAYOR</v>
      </c>
      <c r="O505" s="89">
        <v>15155.95</v>
      </c>
      <c r="P505" s="89">
        <v>4384.8999999999996</v>
      </c>
      <c r="Q505" s="89">
        <v>4546.7849999999999</v>
      </c>
      <c r="R505" s="89">
        <v>161.88500000000022</v>
      </c>
      <c r="S505">
        <v>45505</v>
      </c>
      <c r="T505" t="str">
        <v/>
      </c>
      <c r="U505" t="str">
        <v/>
      </c>
      <c r="V505" t="str">
        <v/>
      </c>
      <c r="W505" t="str">
        <v/>
      </c>
      <c r="X505">
        <v>2</v>
      </c>
    </row>
    <row r="506" spans="1:24">
      <c r="A506" s="26">
        <v>98</v>
      </c>
      <c r="B506" s="87">
        <v>46227.593912037002</v>
      </c>
      <c r="C506" s="87">
        <v>46227.597951388903</v>
      </c>
      <c r="D506" t="str">
        <v>anónimo</v>
      </c>
      <c r="E506" t="str">
        <v/>
      </c>
      <c r="F506" s="68">
        <v>46227</v>
      </c>
      <c r="G506" s="88">
        <v>46227</v>
      </c>
      <c r="H506" t="str">
        <v>JENNIFER AVENDAÑO SUR</v>
      </c>
      <c r="I506" t="str">
        <v>PABLO MARQUEZ MARTINEZ</v>
      </c>
      <c r="J506" s="82">
        <v>43857019723</v>
      </c>
      <c r="K506" t="str">
        <v>MAMP700626HNLRRB06</v>
      </c>
      <c r="L506" s="82">
        <v>23049560</v>
      </c>
      <c r="M506" s="82">
        <v>5218132367866</v>
      </c>
      <c r="N506" t="str">
        <v>NUEVO MENOR</v>
      </c>
      <c r="O506" s="89">
        <v>24949.72</v>
      </c>
      <c r="P506" s="89">
        <v>6762.23</v>
      </c>
      <c r="Q506" s="89">
        <v>7484.9160000000002</v>
      </c>
      <c r="R506" s="89">
        <v>722.6860000000006</v>
      </c>
      <c r="S506">
        <v>46419</v>
      </c>
      <c r="T506" t="str">
        <v/>
      </c>
      <c r="U506" t="str">
        <v/>
      </c>
      <c r="V506" t="str">
        <v/>
      </c>
      <c r="W506" t="str">
        <v/>
      </c>
      <c r="X506">
        <v>2</v>
      </c>
    </row>
    <row r="507" spans="1:24">
      <c r="A507" s="26">
        <v>100</v>
      </c>
      <c r="B507" s="87">
        <v>46227.593148148197</v>
      </c>
      <c r="C507" s="87">
        <v>46227.600358796299</v>
      </c>
      <c r="D507" t="str">
        <v>anónimo</v>
      </c>
      <c r="E507" t="str">
        <v/>
      </c>
      <c r="F507" s="68">
        <v>46227</v>
      </c>
      <c r="G507" s="88">
        <v>46227</v>
      </c>
      <c r="H507" t="str">
        <v>LILIANA MARTINEZ SUR</v>
      </c>
      <c r="I507" t="str">
        <v>ARMANDO REYES RODRIGUEZ</v>
      </c>
      <c r="J507" s="82">
        <v>32745912728</v>
      </c>
      <c r="K507" t="str">
        <v>RERA591215HCLYDR07</v>
      </c>
      <c r="L507" s="82">
        <v>23046406</v>
      </c>
      <c r="M507" s="82">
        <v>5218711613550</v>
      </c>
      <c r="N507" t="str">
        <v>NUEVO MAYOR</v>
      </c>
      <c r="O507" s="89">
        <v>28731.22</v>
      </c>
      <c r="P507" s="89" t="str">
        <v/>
      </c>
      <c r="Q507" s="89">
        <v>8619.366</v>
      </c>
      <c r="R507" s="89">
        <v>8619.366</v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>
        <v>1</v>
      </c>
    </row>
    <row r="508" spans="1:24">
      <c r="A508" s="26">
        <v>102</v>
      </c>
      <c r="B508" s="87">
        <v>46227.599976851903</v>
      </c>
      <c r="C508" s="87">
        <v>46227.600729166697</v>
      </c>
      <c r="D508" t="str">
        <v>anónimo</v>
      </c>
      <c r="E508" t="str">
        <v/>
      </c>
      <c r="F508" s="68">
        <v>46227</v>
      </c>
      <c r="G508" s="88">
        <v>46227</v>
      </c>
      <c r="H508" t="str">
        <v>GLORIA ORTIZ C/C</v>
      </c>
      <c r="I508" t="str">
        <v>PABLO LOPEZ GARCIA</v>
      </c>
      <c r="J508" s="82" t="str">
        <v>71755608792</v>
      </c>
      <c r="K508" t="str">
        <v>LOGP560102HCSPRB05</v>
      </c>
      <c r="L508" s="82">
        <v>23061008</v>
      </c>
      <c r="M508" s="82">
        <v>5219625886121</v>
      </c>
      <c r="N508" t="str">
        <v>RESTRINGIDA</v>
      </c>
      <c r="O508" s="89">
        <v>5617.63</v>
      </c>
      <c r="P508" s="89">
        <v>1390.03</v>
      </c>
      <c r="Q508" s="89">
        <v>1685.289</v>
      </c>
      <c r="R508" s="89">
        <v>54.620000000000573</v>
      </c>
      <c r="S508">
        <v>45717</v>
      </c>
      <c r="T508" t="str">
        <v/>
      </c>
      <c r="U508" t="str">
        <v/>
      </c>
      <c r="V508" t="str">
        <v/>
      </c>
      <c r="W508" t="str">
        <v/>
      </c>
      <c r="X508">
        <v>2</v>
      </c>
    </row>
    <row r="509" spans="1:24">
      <c r="A509" s="26">
        <v>108</v>
      </c>
      <c r="B509" s="87">
        <v>46227.543587963002</v>
      </c>
      <c r="C509" s="87">
        <v>46227.615590277797</v>
      </c>
      <c r="D509" t="str">
        <v>anónimo</v>
      </c>
      <c r="E509" t="str">
        <v/>
      </c>
      <c r="F509" s="68">
        <v>46227</v>
      </c>
      <c r="G509" s="88">
        <v>46227</v>
      </c>
      <c r="H509" t="str">
        <v>ROSA CASTRO SUR</v>
      </c>
      <c r="I509" t="str">
        <v>OMAR BAZALDUA SANDOVAL</v>
      </c>
      <c r="J509" s="82" t="str">
        <v>03664628454</v>
      </c>
      <c r="K509" t="str">
        <v>BASO460328HNLZNM03</v>
      </c>
      <c r="L509" s="82">
        <v>23049686</v>
      </c>
      <c r="M509" s="82">
        <v>5218134148183</v>
      </c>
      <c r="N509" t="str">
        <v>RESTRINGIDA</v>
      </c>
      <c r="O509" s="89">
        <v>10328.93</v>
      </c>
      <c r="P509" s="89">
        <v>2158.67</v>
      </c>
      <c r="Q509" s="89">
        <v>3098.6790000000001</v>
      </c>
      <c r="R509" s="89">
        <v>940.00900000000001</v>
      </c>
      <c r="S509">
        <v>45597</v>
      </c>
      <c r="T509" t="str">
        <v/>
      </c>
      <c r="U509" t="str">
        <v/>
      </c>
      <c r="V509" t="str">
        <v/>
      </c>
      <c r="W509" t="str">
        <v/>
      </c>
      <c r="X509">
        <v>2</v>
      </c>
    </row>
    <row r="510" spans="1:24">
      <c r="A510" s="26">
        <v>109</v>
      </c>
      <c r="B510" s="87">
        <v>46227.613148148099</v>
      </c>
      <c r="C510" s="87">
        <v>46227.620833333298</v>
      </c>
      <c r="D510" t="str">
        <v>anónimo</v>
      </c>
      <c r="E510" t="str">
        <v/>
      </c>
      <c r="F510" s="68">
        <v>46227</v>
      </c>
      <c r="G510" s="88">
        <v>46203</v>
      </c>
      <c r="H510" t="str">
        <v>DEYANIRA CORDOVA C/C</v>
      </c>
      <c r="I510" t="str">
        <v/>
      </c>
      <c r="J510" s="82">
        <v>33745315789</v>
      </c>
      <c r="K510" t="str">
        <v>RAGA690425MCHMYN09</v>
      </c>
      <c r="L510" s="82">
        <v>22128172</v>
      </c>
      <c r="M510" s="82">
        <v>5216391474469</v>
      </c>
      <c r="N510" t="str">
        <v>COMPRA MAYOR</v>
      </c>
      <c r="O510" s="89">
        <v>8173.37</v>
      </c>
      <c r="P510" s="89">
        <v>2451.0100000000002</v>
      </c>
      <c r="Q510" s="89">
        <v>2452.011</v>
      </c>
      <c r="R510" s="89">
        <v>1.000999999999749</v>
      </c>
      <c r="S510">
        <v>46204</v>
      </c>
      <c r="T510" t="str">
        <v/>
      </c>
      <c r="U510" t="str">
        <v/>
      </c>
      <c r="V510" t="str">
        <v/>
      </c>
      <c r="W510" t="str">
        <v/>
      </c>
      <c r="X510">
        <v>2</v>
      </c>
    </row>
    <row r="511" spans="1:24">
      <c r="A511" s="26">
        <v>115</v>
      </c>
      <c r="B511" s="87">
        <v>46227.642777777801</v>
      </c>
      <c r="C511" s="87">
        <v>46227.643784722197</v>
      </c>
      <c r="D511" t="str">
        <v>anónimo</v>
      </c>
      <c r="E511" t="str">
        <v/>
      </c>
      <c r="F511" s="68">
        <v>46227</v>
      </c>
      <c r="G511" s="88">
        <v>46227</v>
      </c>
      <c r="H511" t="str">
        <v>ANA VILLEGAS C/C</v>
      </c>
      <c r="I511" t="str">
        <v>Salvador</v>
      </c>
      <c r="J511" s="82" t="str">
        <v/>
      </c>
      <c r="K511" t="str">
        <v>MAPS611224HDFRCL08</v>
      </c>
      <c r="L511" s="82">
        <v>23064786</v>
      </c>
      <c r="M511" s="82">
        <v>5215615586581</v>
      </c>
      <c r="N511" t="str">
        <v>NUEVO MAYOR</v>
      </c>
      <c r="O511" s="89">
        <v>11526.67</v>
      </c>
      <c r="P511" s="89">
        <v>848</v>
      </c>
      <c r="Q511" s="89">
        <v>3458.0009999999997</v>
      </c>
      <c r="R511" s="89">
        <v>2610.0009999999997</v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>
        <v>1</v>
      </c>
    </row>
    <row r="512" spans="1:24">
      <c r="A512" s="26">
        <v>121</v>
      </c>
      <c r="B512" s="87">
        <v>46227.648402777799</v>
      </c>
      <c r="C512" s="87">
        <v>46227.654687499999</v>
      </c>
      <c r="D512" t="str">
        <v>anónimo</v>
      </c>
      <c r="E512" t="str">
        <v/>
      </c>
      <c r="F512" s="68">
        <v>46227</v>
      </c>
      <c r="G512" s="88">
        <v>46219</v>
      </c>
      <c r="H512" t="str">
        <v>JENNIFER AVENDAÑO SUR</v>
      </c>
      <c r="I512" t="str">
        <v>FIDEL JAVIER ALVARADO CORDERO</v>
      </c>
      <c r="J512" s="82" t="str">
        <v/>
      </c>
      <c r="K512" t="str">
        <v>AACF700323HMCLRD07</v>
      </c>
      <c r="L512" s="82">
        <v>22764638</v>
      </c>
      <c r="M512" s="82">
        <v>5215572888803</v>
      </c>
      <c r="N512" t="str">
        <v>NUEVO MAYOR</v>
      </c>
      <c r="O512" s="89">
        <v>7119.08</v>
      </c>
      <c r="P512" s="89">
        <v>848</v>
      </c>
      <c r="Q512" s="89">
        <v>2135.7239999999997</v>
      </c>
      <c r="R512" s="89">
        <v>1287.7239999999997</v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>
        <v>1</v>
      </c>
    </row>
    <row r="513" spans="1:24">
      <c r="A513" s="26">
        <v>122</v>
      </c>
      <c r="B513" s="87">
        <v>46227.647210648203</v>
      </c>
      <c r="C513" s="87">
        <v>46227.654976851903</v>
      </c>
      <c r="D513" t="str">
        <v>anónimo</v>
      </c>
      <c r="E513" t="str">
        <v/>
      </c>
      <c r="F513" s="68">
        <v>46227</v>
      </c>
      <c r="G513" s="88">
        <v>46227</v>
      </c>
      <c r="H513" t="str">
        <v>MARIA MARTINEZ SUR</v>
      </c>
      <c r="I513" t="str">
        <v>ROSA IZQUERDO ESPINOZA</v>
      </c>
      <c r="J513" s="82">
        <v>4986680902</v>
      </c>
      <c r="K513" t="str">
        <v>IUER680321MTSZSS02</v>
      </c>
      <c r="L513" s="82">
        <v>23049622</v>
      </c>
      <c r="M513" s="82">
        <v>5218671632682</v>
      </c>
      <c r="N513" t="str">
        <v>NUEVO MENOR</v>
      </c>
      <c r="O513" s="89">
        <v>13787.87</v>
      </c>
      <c r="P513" s="89">
        <v>3579.72</v>
      </c>
      <c r="Q513" s="89">
        <v>4136.3609999999999</v>
      </c>
      <c r="R513" s="89">
        <v>556.64100000000008</v>
      </c>
      <c r="S513">
        <v>46600</v>
      </c>
      <c r="T513" t="str">
        <v/>
      </c>
      <c r="U513" t="str">
        <v/>
      </c>
      <c r="V513" t="str">
        <v/>
      </c>
      <c r="W513" t="str">
        <v/>
      </c>
      <c r="X513">
        <v>2</v>
      </c>
    </row>
    <row r="514" spans="1:24">
      <c r="A514" s="26">
        <v>123</v>
      </c>
      <c r="B514" s="87">
        <v>46227.6471296296</v>
      </c>
      <c r="C514" s="87">
        <v>46227.655069444401</v>
      </c>
      <c r="D514" t="str">
        <v>anónimo</v>
      </c>
      <c r="E514" t="str">
        <v/>
      </c>
      <c r="F514" s="68">
        <v>46227</v>
      </c>
      <c r="G514" s="88">
        <v>46227</v>
      </c>
      <c r="H514" t="str">
        <v>MARIA MARTINEZ SUR</v>
      </c>
      <c r="I514" t="str">
        <v>ERNESTO DELGADO DAVALOS</v>
      </c>
      <c r="J514" s="82">
        <v>54946606511</v>
      </c>
      <c r="K514" t="str">
        <v>DEDE661107HJCLVR04</v>
      </c>
      <c r="L514" s="82">
        <v>23051976</v>
      </c>
      <c r="M514" s="82">
        <v>5214747386360</v>
      </c>
      <c r="N514" t="str">
        <v>NUEVO MAYOR</v>
      </c>
      <c r="O514" s="89">
        <v>13122.88</v>
      </c>
      <c r="P514" s="89" t="str">
        <v/>
      </c>
      <c r="Q514" s="89">
        <v>3936.8639999999996</v>
      </c>
      <c r="R514" s="89">
        <v>3936.8639999999996</v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>
        <v>1</v>
      </c>
    </row>
    <row r="515" spans="1:24">
      <c r="A515" s="26">
        <v>126</v>
      </c>
      <c r="B515" s="87">
        <v>46227.523692129602</v>
      </c>
      <c r="C515" s="87">
        <v>46227.663483796299</v>
      </c>
      <c r="D515" t="str">
        <v>anónimo</v>
      </c>
      <c r="E515" t="str">
        <v/>
      </c>
      <c r="F515" s="68">
        <v>46227</v>
      </c>
      <c r="G515" s="88">
        <v>46223</v>
      </c>
      <c r="H515" t="str">
        <v>XIMENA RIVERA SUR</v>
      </c>
      <c r="I515" t="str">
        <v>GUADALUPE ZUÑIGA IZQUIERDO</v>
      </c>
      <c r="J515" s="82" t="str">
        <v/>
      </c>
      <c r="K515" t="str">
        <v>ZUIG561013MTCXZD09</v>
      </c>
      <c r="L515" s="82">
        <v>22859498</v>
      </c>
      <c r="M515" s="82">
        <v>5219931578928</v>
      </c>
      <c r="N515" t="str">
        <v>NUEVO MENOR</v>
      </c>
      <c r="O515" s="89">
        <v>10282.92</v>
      </c>
      <c r="P515" s="89">
        <v>2571.44</v>
      </c>
      <c r="Q515" s="89">
        <v>3084.8759999999997</v>
      </c>
      <c r="R515" s="89">
        <v>513.43599999999969</v>
      </c>
      <c r="S515">
        <v>46813</v>
      </c>
      <c r="T515" t="str">
        <v/>
      </c>
      <c r="U515" t="str">
        <v/>
      </c>
      <c r="V515" t="str">
        <v/>
      </c>
      <c r="W515" t="str">
        <v/>
      </c>
      <c r="X515">
        <v>2</v>
      </c>
    </row>
    <row r="516" spans="1:24">
      <c r="A516" s="26">
        <v>127</v>
      </c>
      <c r="B516" s="87">
        <v>46227.663807870398</v>
      </c>
      <c r="C516" s="87">
        <v>46227.672916666699</v>
      </c>
      <c r="D516" t="str">
        <v>anónimo</v>
      </c>
      <c r="E516" t="str">
        <v/>
      </c>
      <c r="F516" s="68">
        <v>46227</v>
      </c>
      <c r="G516" s="88">
        <v>46227</v>
      </c>
      <c r="H516" t="str">
        <v>XIMENA RIVERA SUR</v>
      </c>
      <c r="I516" t="str">
        <v>PRIMO RAMIREZ LUCIANO</v>
      </c>
      <c r="J516" s="82">
        <v>28876101701</v>
      </c>
      <c r="K516" t="str">
        <v>RALP610609HMNMCR06</v>
      </c>
      <c r="L516" s="82">
        <v>23047422</v>
      </c>
      <c r="M516" s="82">
        <v>5215573640465</v>
      </c>
      <c r="N516" t="str">
        <v>NUEVO MAYOR</v>
      </c>
      <c r="O516" s="89">
        <v>9760.320000000007</v>
      </c>
      <c r="P516" s="89" t="str">
        <v/>
      </c>
      <c r="Q516" s="89">
        <v>2928.0960000000018</v>
      </c>
      <c r="R516" s="89">
        <v>2928.0960000000018</v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>
        <v>1</v>
      </c>
    </row>
    <row r="517" spans="1:24">
      <c r="A517" s="26">
        <v>129</v>
      </c>
      <c r="B517" s="87">
        <v>46227.672939814802</v>
      </c>
      <c r="C517" s="87">
        <v>46227.683749999997</v>
      </c>
      <c r="D517" t="str">
        <v>anónimo</v>
      </c>
      <c r="E517" t="str">
        <v/>
      </c>
      <c r="F517" s="68">
        <v>46227</v>
      </c>
      <c r="G517" s="88">
        <v>46223</v>
      </c>
      <c r="H517" t="str">
        <v>XIMENA RIVERA SUR</v>
      </c>
      <c r="I517" t="str">
        <v>Manuel Zapata Yerena</v>
      </c>
      <c r="J517" s="82">
        <v>43826574964</v>
      </c>
      <c r="K517" t="str">
        <v>ZAYM651009HNLPRN06</v>
      </c>
      <c r="L517" s="82">
        <v>22873266</v>
      </c>
      <c r="M517" s="82">
        <v>5218180103277</v>
      </c>
      <c r="N517" t="str">
        <v>NUEVO MAYOR</v>
      </c>
      <c r="O517" s="89">
        <v>21483.13</v>
      </c>
      <c r="P517" s="89" t="str">
        <v/>
      </c>
      <c r="Q517" s="89">
        <v>6444.9390000000003</v>
      </c>
      <c r="R517" s="89">
        <v>6444.9390000000003</v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>
        <v>1</v>
      </c>
    </row>
    <row r="518" spans="1:24">
      <c r="A518" s="26">
        <v>130</v>
      </c>
      <c r="B518" s="87">
        <v>46227.653530092597</v>
      </c>
      <c r="C518" s="87">
        <v>46227.684016203697</v>
      </c>
      <c r="D518" t="str">
        <v>anónimo</v>
      </c>
      <c r="E518" t="str">
        <v/>
      </c>
      <c r="F518" s="68">
        <v>46227</v>
      </c>
      <c r="G518" s="88">
        <v>46227</v>
      </c>
      <c r="H518" t="str">
        <v>IRAN CASTILLO SUR</v>
      </c>
      <c r="I518" t="str">
        <v>RICARDO LOERA BARRERAS</v>
      </c>
      <c r="J518" s="82" t="str">
        <v/>
      </c>
      <c r="K518" t="str">
        <v>LOBR530327HSRRRS00</v>
      </c>
      <c r="L518" s="82">
        <v>22856802</v>
      </c>
      <c r="M518" s="82">
        <v>5216688203620</v>
      </c>
      <c r="N518" t="str">
        <v>NUEVO MENOR</v>
      </c>
      <c r="O518" s="89">
        <v>5046.1899999999996</v>
      </c>
      <c r="P518" s="89" t="str">
        <v/>
      </c>
      <c r="Q518" s="89">
        <v>1513.8569999999997</v>
      </c>
      <c r="R518" s="89">
        <v>873.21</v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>
        <v>1</v>
      </c>
    </row>
    <row r="519" spans="1:24">
      <c r="A519" s="26">
        <v>131</v>
      </c>
      <c r="B519" s="87">
        <v>46227.684479166703</v>
      </c>
      <c r="C519" s="87">
        <v>46227.6884027778</v>
      </c>
      <c r="D519" t="str">
        <v>anónimo</v>
      </c>
      <c r="E519" t="str">
        <v/>
      </c>
      <c r="F519" s="68">
        <v>46227</v>
      </c>
      <c r="G519" s="88">
        <v>46225</v>
      </c>
      <c r="H519" t="str">
        <v>JENNIFER AVENDAÑO SUR</v>
      </c>
      <c r="I519" t="str">
        <v xml:space="preserve">MARCO ANTONIO SANCHEZ ESPINOSA  </v>
      </c>
      <c r="J519" s="82">
        <v>90907293584</v>
      </c>
      <c r="K519" t="str">
        <v>SAEM721221HDFNSR05</v>
      </c>
      <c r="L519" s="82">
        <v>23005816</v>
      </c>
      <c r="M519" s="82">
        <v>5215565793009</v>
      </c>
      <c r="N519" t="str">
        <v>NUEVO MENOR</v>
      </c>
      <c r="O519" s="89">
        <v>16971.349999999999</v>
      </c>
      <c r="P519" s="89">
        <v>4775.18</v>
      </c>
      <c r="Q519" s="89">
        <v>5091.4049999999997</v>
      </c>
      <c r="R519" s="89">
        <v>316.22499999999945</v>
      </c>
      <c r="S519">
        <v>46539</v>
      </c>
      <c r="T519" t="str">
        <v/>
      </c>
      <c r="U519" t="str">
        <v/>
      </c>
      <c r="V519" t="str">
        <v/>
      </c>
      <c r="W519" t="str">
        <v/>
      </c>
      <c r="X519">
        <v>2</v>
      </c>
    </row>
    <row r="520" spans="1:24">
      <c r="A520" s="26">
        <v>142</v>
      </c>
      <c r="B520" s="87">
        <v>46227.710358796299</v>
      </c>
      <c r="C520" s="87">
        <v>46227.722835648201</v>
      </c>
      <c r="D520" t="str">
        <v>anónimo</v>
      </c>
      <c r="E520" t="str">
        <v/>
      </c>
      <c r="F520" s="68">
        <v>46227</v>
      </c>
      <c r="G520" s="88">
        <v>46226</v>
      </c>
      <c r="H520" t="str">
        <v>ROSA CASTRO SUR</v>
      </c>
      <c r="I520" t="str">
        <v xml:space="preserve">JOSSE BENJAMIN GOMEZ BACILIO </v>
      </c>
      <c r="J520" s="82" t="str">
        <v>06775977397</v>
      </c>
      <c r="K520" t="str">
        <v>GOBB590331HMCMCN08</v>
      </c>
      <c r="L520" s="82">
        <v>23038056</v>
      </c>
      <c r="M520" s="82">
        <v>5215539046165</v>
      </c>
      <c r="N520" t="str">
        <v>NUEVO MAYOR</v>
      </c>
      <c r="O520" s="89">
        <v>8430.01</v>
      </c>
      <c r="P520" s="89" t="str">
        <v/>
      </c>
      <c r="Q520" s="89">
        <v>2529.0030000000002</v>
      </c>
      <c r="R520" s="89">
        <v>2529.0030000000002</v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>
        <v>1</v>
      </c>
    </row>
    <row r="521" spans="1:24">
      <c r="A521" s="26">
        <v>143</v>
      </c>
      <c r="B521" s="87">
        <v>46227.724050925899</v>
      </c>
      <c r="C521" s="87">
        <v>46227.726712962998</v>
      </c>
      <c r="D521" t="str">
        <v>anónimo</v>
      </c>
      <c r="E521" t="str">
        <v/>
      </c>
      <c r="F521" s="68">
        <v>46227</v>
      </c>
      <c r="G521" s="88">
        <v>46227</v>
      </c>
      <c r="H521" t="str">
        <v>HANIA GARCIA C/C</v>
      </c>
      <c r="I521" t="str">
        <v>Alberto Ortega Hernandez</v>
      </c>
      <c r="J521" s="82" t="str">
        <v/>
      </c>
      <c r="K521" t="str">
        <v>OEHA630228HTCRRL00</v>
      </c>
      <c r="L521" s="82">
        <v>23065988</v>
      </c>
      <c r="M521" s="82">
        <v>9931996664</v>
      </c>
      <c r="N521" t="str">
        <v>NUEVO MAYOR</v>
      </c>
      <c r="O521" s="89">
        <v>10571.66</v>
      </c>
      <c r="P521" s="89" t="str">
        <v/>
      </c>
      <c r="Q521" s="89">
        <v>3171.498</v>
      </c>
      <c r="R521" s="89">
        <v>3171.498</v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>
        <v>1</v>
      </c>
    </row>
    <row r="522" spans="1:24">
      <c r="A522" s="26">
        <v>147</v>
      </c>
      <c r="B522" s="87">
        <v>46227.701168981497</v>
      </c>
      <c r="C522" s="87">
        <v>46227.730891203697</v>
      </c>
      <c r="D522" t="str">
        <v>anónimo</v>
      </c>
      <c r="E522" t="str">
        <v/>
      </c>
      <c r="F522" s="68">
        <v>46227</v>
      </c>
      <c r="G522" s="88">
        <v>46226</v>
      </c>
      <c r="H522" t="str">
        <v>MARA HERNANDEZ SUR</v>
      </c>
      <c r="I522" t="str">
        <v>CARLOS SANCHEZ GONZALEZ</v>
      </c>
      <c r="J522" s="82" t="str">
        <v/>
      </c>
      <c r="K522" t="str">
        <v>SAGC571103HMNNNR02</v>
      </c>
      <c r="L522" s="82">
        <v>23038168</v>
      </c>
      <c r="M522" s="82">
        <v>5213515190433</v>
      </c>
      <c r="N522" t="str">
        <v>RESTRINGIDA</v>
      </c>
      <c r="O522" s="89">
        <v>9629.15</v>
      </c>
      <c r="P522" s="89">
        <v>2785.94</v>
      </c>
      <c r="Q522" s="89">
        <v>2888.7449999999999</v>
      </c>
      <c r="R522" s="89">
        <v>102.80499999999984</v>
      </c>
      <c r="S522">
        <v>46174</v>
      </c>
      <c r="T522" t="str">
        <v/>
      </c>
      <c r="U522" t="str">
        <v/>
      </c>
      <c r="V522" t="str">
        <v/>
      </c>
      <c r="W522" t="str">
        <v/>
      </c>
      <c r="X522">
        <v>2</v>
      </c>
    </row>
    <row r="523" spans="1:24">
      <c r="A523" s="26">
        <v>148</v>
      </c>
      <c r="B523" s="87">
        <v>46227.733981481499</v>
      </c>
      <c r="C523" s="87">
        <v>46227.734409722201</v>
      </c>
      <c r="D523" t="str">
        <v>anónimo</v>
      </c>
      <c r="E523" t="str">
        <v/>
      </c>
      <c r="F523" s="68">
        <v>46227</v>
      </c>
      <c r="G523" s="88">
        <v>46227</v>
      </c>
      <c r="H523" t="str">
        <v>LITZY MARTINEZ C/C</v>
      </c>
      <c r="I523" t="str">
        <v>Juan Antonio de la Cruz Aguilar</v>
      </c>
      <c r="J523" s="82" t="str">
        <v/>
      </c>
      <c r="K523" t="str">
        <v>CUAJ640427HCLRGN00</v>
      </c>
      <c r="L523" s="82">
        <v>23065722</v>
      </c>
      <c r="M523" s="82">
        <v>5218712514343</v>
      </c>
      <c r="N523" t="str">
        <v>NUEVO MAYOR</v>
      </c>
      <c r="O523" s="89">
        <v>10636.539999999999</v>
      </c>
      <c r="P523" s="89" t="str">
        <v/>
      </c>
      <c r="Q523" s="89">
        <v>3190.9619999999995</v>
      </c>
      <c r="R523" s="89">
        <v>3190.9619999999995</v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>
        <v>1</v>
      </c>
    </row>
    <row r="524" spans="1:24">
      <c r="A524" s="26">
        <v>150</v>
      </c>
      <c r="B524" s="87">
        <v>46227.740995370397</v>
      </c>
      <c r="C524" s="87">
        <v>46227.750891203701</v>
      </c>
      <c r="D524" t="str">
        <v>anónimo</v>
      </c>
      <c r="E524" t="str">
        <v/>
      </c>
      <c r="F524" s="68">
        <v>46227</v>
      </c>
      <c r="G524" s="88">
        <v>46227</v>
      </c>
      <c r="H524" t="str">
        <v>MARIA MARTINEZ SUR</v>
      </c>
      <c r="I524" t="str">
        <v>JOSE LUIS CALLES CHAN</v>
      </c>
      <c r="J524" s="82" t="str">
        <v/>
      </c>
      <c r="K524" t="str">
        <v>CACL530206HTCLHS12</v>
      </c>
      <c r="L524" s="82">
        <v>23047824</v>
      </c>
      <c r="M524" s="82">
        <v>5212295515828</v>
      </c>
      <c r="N524" t="str">
        <v>NUEVO MAYOR</v>
      </c>
      <c r="O524" s="89">
        <v>8608.4500000000007</v>
      </c>
      <c r="P524" s="89" t="str">
        <v>848</v>
      </c>
      <c r="Q524" s="89">
        <v>2582.5350000000003</v>
      </c>
      <c r="R524" s="89">
        <v>1734.5350000000003</v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>
        <v>1</v>
      </c>
    </row>
    <row r="525" spans="1:24">
      <c r="A525" s="26">
        <v>165</v>
      </c>
      <c r="B525" s="87">
        <v>46228.394687499997</v>
      </c>
      <c r="C525" s="87">
        <v>46228.397928240702</v>
      </c>
      <c r="D525" t="str">
        <v>anónimo</v>
      </c>
      <c r="E525" t="str">
        <v/>
      </c>
      <c r="F525" s="68">
        <v>46228</v>
      </c>
      <c r="G525" s="88">
        <v>46228</v>
      </c>
      <c r="H525" t="str">
        <v>JENNIFER AVENDAÑO SUR</v>
      </c>
      <c r="I525" t="str">
        <v>MA. DEL SOCORRO YAÑEZ PEREZ</v>
      </c>
      <c r="J525" s="82">
        <v>49966638121</v>
      </c>
      <c r="K525" t="str">
        <v>YAPS660510MTSXRC04</v>
      </c>
      <c r="L525" s="82">
        <v>23098592</v>
      </c>
      <c r="M525" s="82">
        <v>5218311181642</v>
      </c>
      <c r="N525" t="str">
        <v>NUEVO MAYOR</v>
      </c>
      <c r="O525" s="89">
        <v>10636.54</v>
      </c>
      <c r="P525" s="89" t="str">
        <v/>
      </c>
      <c r="Q525" s="89">
        <v>3190.962</v>
      </c>
      <c r="R525" s="89">
        <v>3190.962</v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>
        <v>1</v>
      </c>
    </row>
    <row r="526" spans="1:24">
      <c r="A526" s="26">
        <v>173</v>
      </c>
      <c r="B526" s="87">
        <v>46228.455138888901</v>
      </c>
      <c r="C526" s="87">
        <v>46228.4625115741</v>
      </c>
      <c r="D526" t="str">
        <v>anónimo</v>
      </c>
      <c r="E526" t="str">
        <v/>
      </c>
      <c r="F526" s="68">
        <v>46228</v>
      </c>
      <c r="G526" s="88">
        <v>46228</v>
      </c>
      <c r="H526" t="str">
        <v>ROSA CASTRO SUR</v>
      </c>
      <c r="I526" t="str">
        <v>JOSE MANUEL CORTEZ TORRES</v>
      </c>
      <c r="J526" s="82">
        <v>22806306613</v>
      </c>
      <c r="K526" t="str">
        <v>COTJ630624HBCRRN03</v>
      </c>
      <c r="L526" s="82">
        <v>23097674</v>
      </c>
      <c r="M526" s="82">
        <v>5216151000276</v>
      </c>
      <c r="N526" t="str">
        <v>COMPRA MAYOR</v>
      </c>
      <c r="O526" s="89">
        <v>7920.51</v>
      </c>
      <c r="P526" s="89">
        <v>1842.71</v>
      </c>
      <c r="Q526" s="89">
        <v>2376.1529999999998</v>
      </c>
      <c r="R526" s="89">
        <v>533.44299999999976</v>
      </c>
      <c r="S526">
        <v>46023</v>
      </c>
      <c r="T526" t="str">
        <v/>
      </c>
      <c r="U526" t="str">
        <v/>
      </c>
      <c r="V526" t="str">
        <v/>
      </c>
      <c r="W526" t="str">
        <v/>
      </c>
      <c r="X526">
        <v>2</v>
      </c>
    </row>
    <row r="527" spans="1:24">
      <c r="A527" s="26">
        <v>180</v>
      </c>
      <c r="B527" s="87">
        <v>46228.479895833298</v>
      </c>
      <c r="C527" s="87">
        <v>46228.481469907398</v>
      </c>
      <c r="D527" t="str">
        <v>anónimo</v>
      </c>
      <c r="E527" t="str">
        <v/>
      </c>
      <c r="F527" s="68">
        <v>46228</v>
      </c>
      <c r="G527" s="88">
        <v>46228</v>
      </c>
      <c r="H527" t="str">
        <v>FERNANDA CASTILLO C/C</v>
      </c>
      <c r="I527" t="str">
        <v>VICTOR ELOY JIMENEZ PARTIDA</v>
      </c>
      <c r="J527" s="82">
        <v>55755413576</v>
      </c>
      <c r="K527" t="str">
        <v>JIPV541202HNTMRC07</v>
      </c>
      <c r="L527" s="82">
        <v>23101092</v>
      </c>
      <c r="M527" s="82">
        <v>3891020042</v>
      </c>
      <c r="N527" t="str">
        <v>NUEVO MAYOR</v>
      </c>
      <c r="O527" s="89">
        <v>24824.3</v>
      </c>
      <c r="P527" s="89" t="str">
        <v/>
      </c>
      <c r="Q527" s="89">
        <v>7447.2899999999991</v>
      </c>
      <c r="R527" s="89">
        <v>7447.2899999999991</v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>
        <v>1</v>
      </c>
    </row>
    <row r="528" spans="1:24">
      <c r="A528" s="26">
        <v>181</v>
      </c>
      <c r="B528" s="87">
        <v>46228.483148148203</v>
      </c>
      <c r="C528" s="87">
        <v>46228.485937500001</v>
      </c>
      <c r="D528" t="str">
        <v>anónimo</v>
      </c>
      <c r="E528" t="str">
        <v/>
      </c>
      <c r="F528" s="68">
        <v>46228</v>
      </c>
      <c r="G528" s="88">
        <v>46226</v>
      </c>
      <c r="H528" t="str">
        <v>JENNIFER AVENDAÑO SUR</v>
      </c>
      <c r="I528" t="str">
        <v>RAMON ALBERTO ORTIZ RASCON</v>
      </c>
      <c r="J528" s="82">
        <v>35886621040</v>
      </c>
      <c r="K528" t="str">
        <v>OIRR660601HCHRSM05</v>
      </c>
      <c r="L528" s="82">
        <v>23027632</v>
      </c>
      <c r="M528" s="82">
        <v>5216871652733</v>
      </c>
      <c r="N528" t="str">
        <v>NUEVO MAYOR</v>
      </c>
      <c r="O528" s="89">
        <v>10636.54</v>
      </c>
      <c r="P528" s="89" t="str">
        <v/>
      </c>
      <c r="Q528" s="89">
        <v>3190.962</v>
      </c>
      <c r="R528" s="89">
        <v>3190.962</v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>
        <v>1</v>
      </c>
    </row>
    <row r="529" spans="1:24">
      <c r="A529" s="26">
        <v>182</v>
      </c>
      <c r="B529" s="87">
        <v>46228.481932870403</v>
      </c>
      <c r="C529" s="87">
        <v>46228.489629629599</v>
      </c>
      <c r="D529" t="str">
        <v>anónimo</v>
      </c>
      <c r="E529" t="str">
        <v/>
      </c>
      <c r="F529" s="68">
        <v>46228</v>
      </c>
      <c r="G529" s="88">
        <v>46228</v>
      </c>
      <c r="H529" t="str">
        <v>MARIA MARTINEZ SUR</v>
      </c>
      <c r="I529" t="str">
        <v>RAUL MEJIA GOMEZ</v>
      </c>
      <c r="J529" s="82">
        <v>54796407481</v>
      </c>
      <c r="K529" t="str">
        <v>MEGR631115HJCJML02</v>
      </c>
      <c r="L529" s="82">
        <v>23092834</v>
      </c>
      <c r="M529" s="82">
        <v>5213320469868</v>
      </c>
      <c r="N529" t="str">
        <v>NUEVO MAYOR</v>
      </c>
      <c r="O529" s="89">
        <v>22809.64</v>
      </c>
      <c r="P529" s="89" t="str">
        <v/>
      </c>
      <c r="Q529" s="89">
        <v>6842.8919999999998</v>
      </c>
      <c r="R529" s="89">
        <v>6842.8919999999998</v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>
        <v>1</v>
      </c>
    </row>
    <row r="530" spans="1:24">
      <c r="A530" s="26">
        <v>189</v>
      </c>
      <c r="B530" s="87">
        <v>46228.486423611103</v>
      </c>
      <c r="C530" s="87">
        <v>46228.522777777798</v>
      </c>
      <c r="D530" t="str">
        <v>anónimo</v>
      </c>
      <c r="E530" t="str">
        <v/>
      </c>
      <c r="F530" s="68">
        <v>46228</v>
      </c>
      <c r="G530" s="88">
        <v>46227</v>
      </c>
      <c r="H530" t="str">
        <v>PAOLA RODRIGUEZ C/C</v>
      </c>
      <c r="I530" t="str">
        <v>Felipe de Jesus Navarro Soto</v>
      </c>
      <c r="J530" s="82" t="str">
        <v/>
      </c>
      <c r="K530" t="str">
        <v>SONF540205HNLTVL07</v>
      </c>
      <c r="L530" s="82">
        <v>23088298</v>
      </c>
      <c r="M530" s="82">
        <v>5216633343841</v>
      </c>
      <c r="N530" t="str">
        <v>NUEVO MAYOR</v>
      </c>
      <c r="O530" s="89">
        <v>15526.18</v>
      </c>
      <c r="P530" s="89" t="str">
        <v/>
      </c>
      <c r="Q530" s="89">
        <v>4657.8540000000003</v>
      </c>
      <c r="R530" s="89">
        <v>4657.8540000000003</v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>
        <v>1</v>
      </c>
    </row>
    <row r="531" spans="1:24">
      <c r="A531" s="26">
        <v>194</v>
      </c>
      <c r="B531" s="87">
        <v>46228.538680555597</v>
      </c>
      <c r="C531" s="87">
        <v>46228.540208333303</v>
      </c>
      <c r="D531" t="str">
        <v>anónimo</v>
      </c>
      <c r="E531" t="str">
        <v/>
      </c>
      <c r="F531" s="68">
        <v>46228</v>
      </c>
      <c r="G531" s="88">
        <v>46211</v>
      </c>
      <c r="H531" t="str">
        <v>DEYANIRA CORDOVA C/C</v>
      </c>
      <c r="I531" t="str">
        <v/>
      </c>
      <c r="J531" s="82" t="str">
        <v/>
      </c>
      <c r="K531" t="str">
        <v>MEML641226HDFNRS04</v>
      </c>
      <c r="L531" s="82">
        <v>22458804</v>
      </c>
      <c r="M531" s="82">
        <v>5215535790361</v>
      </c>
      <c r="N531" t="str">
        <v>NUEVO MAYOR</v>
      </c>
      <c r="O531" s="89">
        <v>28044.81</v>
      </c>
      <c r="P531" s="89">
        <v>1698.81</v>
      </c>
      <c r="Q531" s="89">
        <v>8413.4429999999993</v>
      </c>
      <c r="R531" s="89">
        <v>6714.6329999999998</v>
      </c>
      <c r="S531">
        <v>46905</v>
      </c>
      <c r="T531" t="str">
        <v>FISOFO</v>
      </c>
      <c r="U531" t="str">
        <v/>
      </c>
      <c r="V531" t="str">
        <v/>
      </c>
      <c r="W531" t="str">
        <v/>
      </c>
      <c r="X531">
        <v>2</v>
      </c>
    </row>
    <row r="532" spans="1:24">
      <c r="A532" s="26">
        <v>195</v>
      </c>
      <c r="B532" s="87">
        <v>46228.509814814803</v>
      </c>
      <c r="C532" s="87">
        <v>46228.543865740699</v>
      </c>
      <c r="D532" t="str">
        <v>anónimo</v>
      </c>
      <c r="E532" t="str">
        <v/>
      </c>
      <c r="F532" s="68">
        <v>46228</v>
      </c>
      <c r="G532" s="88">
        <v>46227</v>
      </c>
      <c r="H532" t="str">
        <v>XIMENA RIVERA SUR</v>
      </c>
      <c r="I532" t="str">
        <v>ALVARO GUTIERRES AGUILAR</v>
      </c>
      <c r="J532" s="82" t="str">
        <v/>
      </c>
      <c r="K532" t="str">
        <v>GUAA660701HDFTGL03</v>
      </c>
      <c r="L532" s="82">
        <v>23047980</v>
      </c>
      <c r="M532" s="82">
        <v>5217772353510</v>
      </c>
      <c r="N532" t="str">
        <v>NUEVO MAYOR</v>
      </c>
      <c r="O532" s="89">
        <v>10740</v>
      </c>
      <c r="P532" s="89" t="str">
        <v/>
      </c>
      <c r="Q532" s="89">
        <v>3222</v>
      </c>
      <c r="R532" s="89">
        <v>3222</v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>
        <v>1</v>
      </c>
    </row>
    <row r="533" spans="1:24">
      <c r="A533" s="26">
        <v>198</v>
      </c>
      <c r="B533" s="87">
        <v>46228.563726851797</v>
      </c>
      <c r="C533" s="87">
        <v>46228.564444444397</v>
      </c>
      <c r="D533" t="str">
        <v>anónimo</v>
      </c>
      <c r="E533" t="str">
        <v/>
      </c>
      <c r="F533" s="68">
        <v>46228</v>
      </c>
      <c r="G533" s="88">
        <v>46228</v>
      </c>
      <c r="H533" t="str">
        <v>MARISOL HERNANDEZ C/C</v>
      </c>
      <c r="I533" t="str">
        <v>RAUL GOMEZ GONZALEZ</v>
      </c>
      <c r="J533" s="82" t="str">
        <v/>
      </c>
      <c r="K533" t="str">
        <v>GOGR640406HCLMNL14</v>
      </c>
      <c r="L533" s="82">
        <v>23102050</v>
      </c>
      <c r="M533" s="82">
        <v>8721392968</v>
      </c>
      <c r="N533" t="str">
        <v>NUEVO MAYOR</v>
      </c>
      <c r="O533" s="89">
        <v>10636.54</v>
      </c>
      <c r="P533" s="89" t="str">
        <v/>
      </c>
      <c r="Q533" s="89">
        <v>3190.962</v>
      </c>
      <c r="R533" s="89">
        <v>3190.962</v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>
        <v>1</v>
      </c>
    </row>
    <row r="534" spans="1:24">
      <c r="A534" s="26">
        <v>214</v>
      </c>
      <c r="B534" s="87">
        <v>46228.620844907397</v>
      </c>
      <c r="C534" s="87">
        <v>46228.623993055597</v>
      </c>
      <c r="D534" t="str">
        <v>anónimo</v>
      </c>
      <c r="E534" t="str">
        <v/>
      </c>
      <c r="F534" s="68">
        <v>46228</v>
      </c>
      <c r="G534" s="88">
        <v>46228</v>
      </c>
      <c r="H534" t="str">
        <v>LUISA LARA SUR</v>
      </c>
      <c r="I534" t="str">
        <v/>
      </c>
      <c r="J534" s="82" t="str">
        <v/>
      </c>
      <c r="K534" t="str">
        <v>CUCE601221MDFRRL06</v>
      </c>
      <c r="L534" s="82">
        <v>23092080</v>
      </c>
      <c r="M534" s="82">
        <v>5215610946088</v>
      </c>
      <c r="N534" t="str">
        <v>NUEVO MAYOR</v>
      </c>
      <c r="O534" s="89">
        <v>6460.14</v>
      </c>
      <c r="P534" s="89" t="str">
        <v/>
      </c>
      <c r="Q534" s="89">
        <v>1938.0419999999999</v>
      </c>
      <c r="R534" s="89">
        <v>1938.0419999999999</v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>
        <v>1</v>
      </c>
    </row>
    <row r="535" spans="1:24">
      <c r="A535" s="26">
        <v>218</v>
      </c>
      <c r="B535" s="87">
        <v>46228.632997685199</v>
      </c>
      <c r="C535" s="87">
        <v>46228.648402777799</v>
      </c>
      <c r="D535" t="str">
        <v>anónimo</v>
      </c>
      <c r="E535" t="str">
        <v/>
      </c>
      <c r="F535" s="68">
        <v>46228</v>
      </c>
      <c r="G535" s="88">
        <v>46228</v>
      </c>
      <c r="H535" t="str">
        <v>ROSA CASTRO SUR</v>
      </c>
      <c r="I535" t="str">
        <v>GUSTAVO AVILA ROMAN</v>
      </c>
      <c r="J535" s="82" t="str">
        <v>43745911099</v>
      </c>
      <c r="K535" t="str">
        <v>AIRG590108HSPVMS06</v>
      </c>
      <c r="L535" s="82">
        <v>23101924</v>
      </c>
      <c r="M535" s="82">
        <v>5218126390227</v>
      </c>
      <c r="N535" t="str">
        <v>NUEVO MAYOR</v>
      </c>
      <c r="O535" s="89">
        <v>5956.8</v>
      </c>
      <c r="P535" s="89" t="str">
        <v/>
      </c>
      <c r="Q535" s="89">
        <v>1787.04</v>
      </c>
      <c r="R535" s="89">
        <v>1783.8200000000006</v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>
        <v>1</v>
      </c>
    </row>
    <row r="536" spans="1:24">
      <c r="A536" s="26">
        <v>220</v>
      </c>
      <c r="B536" s="87">
        <v>46228.647303240701</v>
      </c>
      <c r="C536" s="87">
        <v>46228.649618055599</v>
      </c>
      <c r="D536" t="str">
        <v>anónimo</v>
      </c>
      <c r="E536" t="str">
        <v/>
      </c>
      <c r="F536" s="68">
        <v>46228</v>
      </c>
      <c r="G536" s="88">
        <v>46228</v>
      </c>
      <c r="H536" t="str">
        <v>GUADALUPE BECERRA C/C</v>
      </c>
      <c r="I536" t="str">
        <v>Fernando Moreno Garcia</v>
      </c>
      <c r="J536" s="82" t="str">
        <v/>
      </c>
      <c r="K536" t="str">
        <v>MOGF640718HDFRRR00</v>
      </c>
      <c r="L536" s="82">
        <v>23104908</v>
      </c>
      <c r="M536" s="82">
        <v>5215582484428</v>
      </c>
      <c r="N536" t="str">
        <v>NUEVO MAYOR</v>
      </c>
      <c r="O536" s="89">
        <v>10636.54</v>
      </c>
      <c r="P536" s="89" t="str">
        <v/>
      </c>
      <c r="Q536" s="89">
        <v>3190.962</v>
      </c>
      <c r="R536" s="89">
        <v>3190.962</v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>
        <v>1</v>
      </c>
    </row>
    <row r="537" spans="1:24">
      <c r="A537" s="26">
        <v>222</v>
      </c>
      <c r="B537" s="87">
        <v>46228.653749999998</v>
      </c>
      <c r="C537" s="87">
        <v>46228.654976851903</v>
      </c>
      <c r="D537" t="str">
        <v>anónimo</v>
      </c>
      <c r="E537" t="str">
        <v/>
      </c>
      <c r="F537" s="68">
        <v>46228</v>
      </c>
      <c r="G537" s="88">
        <v>46228</v>
      </c>
      <c r="H537" t="str">
        <v>LITZY MARTINEZ C/C</v>
      </c>
      <c r="I537" t="str">
        <v xml:space="preserve">JUAN JOSE BENITEZ PEREZ </v>
      </c>
      <c r="J537" s="82" t="str">
        <v/>
      </c>
      <c r="K537" t="str">
        <v>BEPJ640624HDFNRN02</v>
      </c>
      <c r="L537" s="82">
        <v>23105556</v>
      </c>
      <c r="M537" s="82">
        <v>5215529143477</v>
      </c>
      <c r="N537" t="str">
        <v>NUEVO MAYOR</v>
      </c>
      <c r="O537" s="89">
        <v>9081.52</v>
      </c>
      <c r="P537" s="89">
        <v>1453.76</v>
      </c>
      <c r="Q537" s="89">
        <v>2724.4560000000001</v>
      </c>
      <c r="R537" s="89">
        <v>1270.6960000000001</v>
      </c>
      <c r="S537">
        <v>46753</v>
      </c>
      <c r="T537" t="str">
        <v/>
      </c>
      <c r="U537" t="str">
        <v/>
      </c>
      <c r="V537" t="str">
        <v/>
      </c>
      <c r="W537" t="str">
        <v/>
      </c>
      <c r="X537">
        <v>2</v>
      </c>
    </row>
    <row r="538" spans="1:24">
      <c r="A538" s="26">
        <v>225</v>
      </c>
      <c r="B538" s="87">
        <v>46228.641365740703</v>
      </c>
      <c r="C538" s="87">
        <v>46228.661539351902</v>
      </c>
      <c r="D538" t="str">
        <v>anónimo</v>
      </c>
      <c r="E538" t="str">
        <v/>
      </c>
      <c r="F538" s="68">
        <v>46228</v>
      </c>
      <c r="G538" s="88">
        <v>46227</v>
      </c>
      <c r="H538" t="str">
        <v>FERNANDA CASTILLO C/C</v>
      </c>
      <c r="I538" t="str">
        <v>DANIEL ARELLANO ARGUELLES</v>
      </c>
      <c r="J538" s="82" t="str">
        <v/>
      </c>
      <c r="K538" t="str">
        <v>AEAD650322HVZRRN00</v>
      </c>
      <c r="L538" s="82">
        <v>23047446</v>
      </c>
      <c r="M538" s="82">
        <v>8331896905</v>
      </c>
      <c r="N538" t="str">
        <v>NUEVO MAYOR</v>
      </c>
      <c r="O538" s="89">
        <v>13861.31</v>
      </c>
      <c r="P538" s="89" t="str">
        <v/>
      </c>
      <c r="Q538" s="89">
        <v>4158.393</v>
      </c>
      <c r="R538" s="89">
        <v>4158.393</v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>
        <v>1</v>
      </c>
    </row>
    <row r="539" spans="1:24">
      <c r="A539" s="26">
        <v>226</v>
      </c>
      <c r="B539" s="87">
        <v>46228.647812499999</v>
      </c>
      <c r="C539" s="87">
        <v>46228.665960648097</v>
      </c>
      <c r="D539" t="str">
        <v>anónimo</v>
      </c>
      <c r="E539" t="str">
        <v/>
      </c>
      <c r="F539" s="68">
        <v>46228</v>
      </c>
      <c r="G539" s="88">
        <v>46228</v>
      </c>
      <c r="H539" t="str">
        <v>ROSA CASTRO SUR</v>
      </c>
      <c r="I539" t="str">
        <v xml:space="preserve">MA BERTHA VEGA ESTRADA </v>
      </c>
      <c r="J539" s="82" t="str">
        <v>01775815325</v>
      </c>
      <c r="K539" t="str">
        <v>VEEB580714MGTGSR02</v>
      </c>
      <c r="L539" s="82">
        <v>23104166</v>
      </c>
      <c r="M539" s="82">
        <v>5215580608688</v>
      </c>
      <c r="N539" t="str">
        <v>NUEVO MAYOR</v>
      </c>
      <c r="O539" s="89">
        <v>9760.32</v>
      </c>
      <c r="P539" s="89" t="str">
        <v/>
      </c>
      <c r="Q539" s="89">
        <v>2928.096</v>
      </c>
      <c r="R539" s="89">
        <v>2928.096</v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>
        <v>1</v>
      </c>
    </row>
    <row r="540" spans="1:24">
      <c r="A540" s="26">
        <v>231</v>
      </c>
      <c r="B540" s="87">
        <v>46228.680914351797</v>
      </c>
      <c r="C540" s="87">
        <v>46228.682303240697</v>
      </c>
      <c r="D540" t="str">
        <v>anónimo</v>
      </c>
      <c r="E540" t="str">
        <v/>
      </c>
      <c r="F540" s="68">
        <v>46228</v>
      </c>
      <c r="G540" s="88">
        <v>46228</v>
      </c>
      <c r="H540" t="str">
        <v>GUADALUPE BECERRA C/C</v>
      </c>
      <c r="I540" t="str">
        <v xml:space="preserve"> Arturo Alcazar Mendiola</v>
      </c>
      <c r="J540" s="82" t="str">
        <v/>
      </c>
      <c r="K540" t="str">
        <v>AAMA690923HDFLNR03</v>
      </c>
      <c r="L540" s="82">
        <v>23105696</v>
      </c>
      <c r="M540" s="82">
        <v>5215512706754</v>
      </c>
      <c r="N540" t="str">
        <v>NUEVO MAYOR</v>
      </c>
      <c r="O540" s="89">
        <v>10345.469999999999</v>
      </c>
      <c r="P540" s="89" t="str">
        <v/>
      </c>
      <c r="Q540" s="89">
        <v>3103.6409999999996</v>
      </c>
      <c r="R540" s="89">
        <v>3103.6409999999996</v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>
        <v>1</v>
      </c>
    </row>
    <row r="541" spans="1:24">
      <c r="A541" s="26">
        <v>233</v>
      </c>
      <c r="B541" s="87">
        <v>46228.6778009259</v>
      </c>
      <c r="C541" s="87">
        <v>46228.683935185203</v>
      </c>
      <c r="D541" t="str">
        <v>anónimo</v>
      </c>
      <c r="E541" t="str">
        <v/>
      </c>
      <c r="F541" s="68">
        <v>46228</v>
      </c>
      <c r="G541" s="88">
        <v>46228</v>
      </c>
      <c r="H541" t="str">
        <v>LILIANA MARTINEZ SUR</v>
      </c>
      <c r="I541" t="str">
        <v>SAMUEL TREJO TALLEDOS</v>
      </c>
      <c r="J541" s="82">
        <v>63846404083</v>
      </c>
      <c r="K541" t="str">
        <v>TETS680617HDFRLM03</v>
      </c>
      <c r="L541" s="82">
        <v>23105336</v>
      </c>
      <c r="M541" s="82">
        <v>5215574663595</v>
      </c>
      <c r="N541" t="str">
        <v>NUEVO MAYOR</v>
      </c>
      <c r="O541" s="89">
        <v>9417.83</v>
      </c>
      <c r="P541" s="89">
        <v>277.95</v>
      </c>
      <c r="Q541" s="89">
        <v>2825.3489999999997</v>
      </c>
      <c r="R541" s="89">
        <v>2547.3989999999999</v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>
        <v>1</v>
      </c>
    </row>
    <row r="542" spans="1:24">
      <c r="A542" s="26">
        <v>242</v>
      </c>
      <c r="B542" s="87">
        <v>46228.661562499998</v>
      </c>
      <c r="C542" s="87">
        <v>46228.700752314799</v>
      </c>
      <c r="D542" t="str">
        <v>anónimo</v>
      </c>
      <c r="E542" t="str">
        <v/>
      </c>
      <c r="F542" s="68">
        <v>46228</v>
      </c>
      <c r="G542" s="88">
        <v>46228</v>
      </c>
      <c r="H542" t="str">
        <v>FERNANDA CASTILLO C/C</v>
      </c>
      <c r="I542" t="str">
        <v>JOSE LUIS BARRERA SANTES</v>
      </c>
      <c r="J542" s="82" t="str">
        <v/>
      </c>
      <c r="K542" t="str">
        <v>BASL600621HVZRNS09</v>
      </c>
      <c r="L542" s="82">
        <v>23106220</v>
      </c>
      <c r="M542" s="82">
        <v>7841414260</v>
      </c>
      <c r="N542" t="str">
        <v>COMPRA MENOR</v>
      </c>
      <c r="O542" s="89">
        <v>6021.85</v>
      </c>
      <c r="P542" s="89">
        <v>1742.26</v>
      </c>
      <c r="Q542" s="89">
        <v>1806.5550000000001</v>
      </c>
      <c r="R542" s="89">
        <v>64.295000000000073</v>
      </c>
      <c r="S542">
        <v>45444</v>
      </c>
      <c r="T542" t="str">
        <v/>
      </c>
      <c r="U542" t="str">
        <v/>
      </c>
      <c r="V542" t="str">
        <v/>
      </c>
      <c r="W542" t="str">
        <v/>
      </c>
      <c r="X542">
        <v>2</v>
      </c>
    </row>
    <row r="543" spans="1:24">
      <c r="A543" s="26">
        <v>243</v>
      </c>
      <c r="B543" s="87">
        <v>46228.700462963003</v>
      </c>
      <c r="C543" s="87">
        <v>46228.701030092598</v>
      </c>
      <c r="D543" t="str">
        <v>anónimo</v>
      </c>
      <c r="E543" t="str">
        <v/>
      </c>
      <c r="F543" s="68">
        <v>46228</v>
      </c>
      <c r="G543" s="88">
        <v>46228</v>
      </c>
      <c r="H543" t="str">
        <v>LITZY MARTINEZ C/C</v>
      </c>
      <c r="I543" t="str">
        <v xml:space="preserve"> Juan José De La Cruz Pérez Reyes.</v>
      </c>
      <c r="J543" s="82" t="str">
        <v>43785930447</v>
      </c>
      <c r="K543" t="str">
        <v/>
      </c>
      <c r="L543" s="82">
        <v>23106358</v>
      </c>
      <c r="M543" s="82">
        <v>5218115646900</v>
      </c>
      <c r="N543" t="str">
        <v>NUEVO MENOR</v>
      </c>
      <c r="O543" s="89">
        <v>5564.45</v>
      </c>
      <c r="P543" s="89" t="str">
        <v>848</v>
      </c>
      <c r="Q543" s="89">
        <v>1669.3349999999998</v>
      </c>
      <c r="R543" s="89">
        <v>543.47000000000025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>
        <v>1</v>
      </c>
    </row>
    <row r="544" spans="1:24">
      <c r="A544" s="26">
        <v>245</v>
      </c>
      <c r="B544" s="87">
        <v>46228.692731481497</v>
      </c>
      <c r="C544" s="87">
        <v>46228.709247685198</v>
      </c>
      <c r="D544" t="str">
        <v>anónimo</v>
      </c>
      <c r="E544" t="str">
        <v/>
      </c>
      <c r="F544" s="68">
        <v>46228</v>
      </c>
      <c r="G544" s="88">
        <v>46228</v>
      </c>
      <c r="H544" t="str">
        <v>MARISOL HERNANDEZ C/C</v>
      </c>
      <c r="I544" t="str">
        <v>Jose arturo leyva arcos</v>
      </c>
      <c r="J544" s="82" t="str">
        <v/>
      </c>
      <c r="K544" t="str">
        <v>LEAA730223HDFYRR00</v>
      </c>
      <c r="L544" s="82">
        <v>23106282</v>
      </c>
      <c r="M544" s="82">
        <v>5647758447</v>
      </c>
      <c r="N544" t="str">
        <v>NUEVO MENOR</v>
      </c>
      <c r="O544" s="89">
        <v>9582.4699999999993</v>
      </c>
      <c r="P544" s="89">
        <v>2559.4299999999998</v>
      </c>
      <c r="Q544" s="89">
        <v>2874.7409999999995</v>
      </c>
      <c r="R544" s="89">
        <v>315.31099999999969</v>
      </c>
      <c r="S544">
        <v>46905</v>
      </c>
      <c r="T544" t="str">
        <v/>
      </c>
      <c r="U544" t="str">
        <v/>
      </c>
      <c r="V544" t="str">
        <v/>
      </c>
      <c r="W544" t="str">
        <v/>
      </c>
      <c r="X544">
        <v>2</v>
      </c>
    </row>
    <row r="545" spans="1:24">
      <c r="A545" s="26">
        <v>249</v>
      </c>
      <c r="B545" s="87">
        <v>46228.712141203701</v>
      </c>
      <c r="C545" s="87">
        <v>46228.714120370401</v>
      </c>
      <c r="D545" t="str">
        <v>anónimo</v>
      </c>
      <c r="E545" t="str">
        <v/>
      </c>
      <c r="F545" s="68">
        <v>46228</v>
      </c>
      <c r="G545" s="88">
        <v>46228</v>
      </c>
      <c r="H545" t="str">
        <v>JENNIFER AVENDAÑO SUR</v>
      </c>
      <c r="I545" t="str">
        <v>JOSE CARRASCO MORALES</v>
      </c>
      <c r="J545" s="82">
        <v>83795905872</v>
      </c>
      <c r="K545" t="str">
        <v>CAMJ591014HTCRRS05</v>
      </c>
      <c r="L545" s="82">
        <v>23103266</v>
      </c>
      <c r="M545" s="82">
        <v>5219931342395</v>
      </c>
      <c r="N545" t="str">
        <v>RESTRINGIDA</v>
      </c>
      <c r="O545" s="89">
        <v>4813.6899999999996</v>
      </c>
      <c r="P545" s="89">
        <v>523.36</v>
      </c>
      <c r="Q545" s="89">
        <v>1444.1069999999997</v>
      </c>
      <c r="R545" s="89">
        <v>117.35000000000002</v>
      </c>
      <c r="S545">
        <v>45566</v>
      </c>
      <c r="T545" t="str">
        <v/>
      </c>
      <c r="U545" t="str">
        <v/>
      </c>
      <c r="V545" t="str">
        <v/>
      </c>
      <c r="W545" t="str">
        <v/>
      </c>
      <c r="X545">
        <v>2</v>
      </c>
    </row>
    <row r="546" spans="1:24">
      <c r="A546" s="26">
        <v>255</v>
      </c>
      <c r="B546" s="87">
        <v>46228.740046296298</v>
      </c>
      <c r="C546" s="87">
        <v>46228.742511574099</v>
      </c>
      <c r="D546" t="str">
        <v>anónimo</v>
      </c>
      <c r="E546" t="str">
        <v/>
      </c>
      <c r="F546" s="68">
        <v>46228</v>
      </c>
      <c r="G546" s="88">
        <v>46228</v>
      </c>
      <c r="H546" t="str">
        <v>JENNIFER AVENDAÑO SUR</v>
      </c>
      <c r="I546" t="str">
        <v>ROGELIO OJEDA ESCOBEDO</v>
      </c>
      <c r="J546" s="82" t="str">
        <v>06815905887</v>
      </c>
      <c r="K546" t="str">
        <v>OEER590908HSPJSG06</v>
      </c>
      <c r="L546" s="82">
        <v>23104236</v>
      </c>
      <c r="M546" s="82">
        <v>5215521450837</v>
      </c>
      <c r="N546" t="str">
        <v>NUEVO MAYOR</v>
      </c>
      <c r="O546" s="89">
        <v>16326.66</v>
      </c>
      <c r="P546" s="89" t="str">
        <v/>
      </c>
      <c r="Q546" s="89">
        <v>4897.9979999999996</v>
      </c>
      <c r="R546" s="89">
        <v>4897.9979999999996</v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>
        <v>1</v>
      </c>
    </row>
    <row r="547" spans="1:24">
      <c r="A547" s="26">
        <v>257</v>
      </c>
      <c r="B547" s="87">
        <v>46228.754849536999</v>
      </c>
      <c r="C547" s="87">
        <v>46228.755659722199</v>
      </c>
      <c r="D547" t="str">
        <v>anónimo</v>
      </c>
      <c r="E547" t="str">
        <v/>
      </c>
      <c r="F547" s="68">
        <v>46228</v>
      </c>
      <c r="G547" s="88">
        <v>46228</v>
      </c>
      <c r="H547" t="str">
        <v>MELANIE CIBRIAN C/C</v>
      </c>
      <c r="I547" t="str">
        <v>Gerardo arrona Peralta</v>
      </c>
      <c r="J547" s="82" t="str">
        <v/>
      </c>
      <c r="K547" t="str">
        <v>AOPG591214HOCRRR03</v>
      </c>
      <c r="L547" s="82">
        <v>23106160</v>
      </c>
      <c r="M547" s="82">
        <v>9511968472</v>
      </c>
      <c r="N547" t="str">
        <v>NUEVO MAYOR</v>
      </c>
      <c r="O547" s="89">
        <v>9081.52</v>
      </c>
      <c r="P547" s="89" t="str">
        <v/>
      </c>
      <c r="Q547" s="89">
        <v>2724.4560000000001</v>
      </c>
      <c r="R547" s="89">
        <v>2724.4560000000001</v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>
        <v>1</v>
      </c>
    </row>
    <row r="548" spans="1:24">
      <c r="A548" s="26">
        <v>262</v>
      </c>
      <c r="B548" s="87">
        <v>46228.794861111099</v>
      </c>
      <c r="C548" s="87">
        <v>46228.795439814799</v>
      </c>
      <c r="D548" t="str">
        <v>anónimo</v>
      </c>
      <c r="E548" t="str">
        <v/>
      </c>
      <c r="F548" s="68">
        <v>46228</v>
      </c>
      <c r="G548" s="88">
        <v>46228</v>
      </c>
      <c r="H548" t="str">
        <v>MARISOL HERNANDEZ C/C</v>
      </c>
      <c r="I548" t="str">
        <v>Francisco rivas franco</v>
      </c>
      <c r="J548" s="82" t="str">
        <v/>
      </c>
      <c r="K548" t="str">
        <v>RIFF720512HSRVRR05</v>
      </c>
      <c r="L548" s="82">
        <v>23107506</v>
      </c>
      <c r="M548" s="82">
        <v>6442284741</v>
      </c>
      <c r="N548" t="str">
        <v>NUEVO MAYOR</v>
      </c>
      <c r="O548" s="89">
        <v>7915.08</v>
      </c>
      <c r="P548" s="89" t="str">
        <v>703</v>
      </c>
      <c r="Q548" s="89">
        <v>2374.5239999999999</v>
      </c>
      <c r="R548" s="89">
        <v>1671.5239999999999</v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>
        <v>1</v>
      </c>
    </row>
    <row r="549" spans="1:24">
      <c r="A549" s="26">
        <v>265</v>
      </c>
      <c r="B549" s="87">
        <v>46229.371469907397</v>
      </c>
      <c r="C549" s="87">
        <v>46229.3722106481</v>
      </c>
      <c r="D549" t="str">
        <v>anónimo</v>
      </c>
      <c r="E549" t="str">
        <v/>
      </c>
      <c r="F549" s="68">
        <v>46229</v>
      </c>
      <c r="G549" s="88">
        <v>46228</v>
      </c>
      <c r="H549" t="str">
        <v>DULCE FRANCO C/C</v>
      </c>
      <c r="I549" t="str">
        <v>ARNULFO CORTEZ FLORES</v>
      </c>
      <c r="J549" s="82">
        <v>31786102231</v>
      </c>
      <c r="K549" t="str">
        <v/>
      </c>
      <c r="L549" s="82">
        <v>23109270</v>
      </c>
      <c r="M549" s="82">
        <v>5216567738109</v>
      </c>
      <c r="N549" t="str">
        <v>COMPRA MENOR</v>
      </c>
      <c r="O549" s="89">
        <v>7920.51</v>
      </c>
      <c r="P549" s="89">
        <v>2290.34</v>
      </c>
      <c r="Q549" s="89">
        <v>2376.1529999999998</v>
      </c>
      <c r="R549" s="89">
        <v>85.812999999999647</v>
      </c>
      <c r="S549">
        <v>46082</v>
      </c>
      <c r="T549" t="str">
        <v/>
      </c>
      <c r="U549" t="str">
        <v/>
      </c>
      <c r="V549" t="str">
        <v/>
      </c>
      <c r="W549" t="str">
        <v/>
      </c>
      <c r="X549">
        <v>2</v>
      </c>
    </row>
    <row r="550" spans="1:24">
      <c r="A550" s="26">
        <v>268</v>
      </c>
      <c r="B550" s="87">
        <v>46229.381076388898</v>
      </c>
      <c r="C550" s="87">
        <v>46229.381898148102</v>
      </c>
      <c r="D550" t="str">
        <v>anónimo</v>
      </c>
      <c r="E550" t="str">
        <v/>
      </c>
      <c r="F550" s="68">
        <v>46229</v>
      </c>
      <c r="G550" s="88">
        <v>46228</v>
      </c>
      <c r="H550" t="str">
        <v>CAROLINA RAMIREZ C/C</v>
      </c>
      <c r="I550" t="str">
        <v>Irineo Alejandro Mercado Gómez</v>
      </c>
      <c r="J550" s="82" t="str">
        <v>06815804619</v>
      </c>
      <c r="K550" t="str">
        <v/>
      </c>
      <c r="L550" s="82">
        <v>23110172</v>
      </c>
      <c r="M550" s="82">
        <v>5215571769525</v>
      </c>
      <c r="N550" t="str">
        <v>RESTRINGIDA</v>
      </c>
      <c r="O550" s="89">
        <v>6488.7</v>
      </c>
      <c r="P550" s="89">
        <v>1945.35</v>
      </c>
      <c r="Q550" s="89">
        <v>1946.61</v>
      </c>
      <c r="R550" s="89">
        <v>1.2599999999999909</v>
      </c>
      <c r="S550">
        <v>45901</v>
      </c>
      <c r="T550" t="str">
        <v/>
      </c>
      <c r="U550" t="str">
        <v/>
      </c>
      <c r="V550" t="str">
        <v/>
      </c>
      <c r="W550" t="str">
        <v/>
      </c>
      <c r="X550">
        <v>2</v>
      </c>
    </row>
    <row r="551" spans="1:24">
      <c r="A551" s="26">
        <v>269</v>
      </c>
      <c r="B551" s="87">
        <v>46229.382627314801</v>
      </c>
      <c r="C551" s="87">
        <v>46229.3833101852</v>
      </c>
      <c r="D551" t="str">
        <v>anónimo</v>
      </c>
      <c r="E551" t="str">
        <v/>
      </c>
      <c r="F551" s="68">
        <v>46229</v>
      </c>
      <c r="G551" s="88">
        <v>46228</v>
      </c>
      <c r="H551" t="str">
        <v>GUADALUPE BECERRA C/C</v>
      </c>
      <c r="I551" t="str">
        <v>Gabriel Ramírez Morán</v>
      </c>
      <c r="J551" s="82" t="str">
        <v/>
      </c>
      <c r="K551" t="str">
        <v>RAMG650228HVZMRB00</v>
      </c>
      <c r="L551" s="82">
        <v>23105968</v>
      </c>
      <c r="M551" s="82">
        <v>5212711891200</v>
      </c>
      <c r="N551" t="str">
        <v>NUEVO MAYOR</v>
      </c>
      <c r="O551" s="89">
        <v>13214.93</v>
      </c>
      <c r="P551" s="89" t="str">
        <v>848</v>
      </c>
      <c r="Q551" s="89">
        <v>3964.4789999999998</v>
      </c>
      <c r="R551" s="89">
        <v>3116.4789999999998</v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>
        <v>1</v>
      </c>
    </row>
    <row r="552" spans="1:24">
      <c r="A552" s="26">
        <v>270</v>
      </c>
      <c r="B552" s="87">
        <v>46229.387685185196</v>
      </c>
      <c r="C552" s="87">
        <v>46229.388460648101</v>
      </c>
      <c r="D552" t="str">
        <v>anónimo</v>
      </c>
      <c r="E552" t="str">
        <v/>
      </c>
      <c r="F552" s="68">
        <v>46229</v>
      </c>
      <c r="G552" s="88">
        <v>46229</v>
      </c>
      <c r="H552" t="str">
        <v>CAROLINA RAMIREZ C/C</v>
      </c>
      <c r="I552" t="str">
        <v>JESUS ISABEL PRECIADO ROSALES</v>
      </c>
      <c r="J552" s="82" t="str">
        <v/>
      </c>
      <c r="K552" t="str">
        <v>PERJ650708HJCRSS09</v>
      </c>
      <c r="L552" s="82">
        <v>23113836</v>
      </c>
      <c r="M552" s="82">
        <v>5213121527712</v>
      </c>
      <c r="N552" t="str">
        <v>NUEVO MAYOR</v>
      </c>
      <c r="O552" s="89">
        <v>9760.32</v>
      </c>
      <c r="P552" s="89" t="str">
        <v/>
      </c>
      <c r="Q552" s="89">
        <v>2928.096</v>
      </c>
      <c r="R552" s="89">
        <v>2928.096</v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>
        <v>1</v>
      </c>
    </row>
    <row r="553" spans="1:24">
      <c r="A553" s="26">
        <v>278</v>
      </c>
      <c r="B553" s="87">
        <v>46229.427314814799</v>
      </c>
      <c r="C553" s="87">
        <v>46229.428101851903</v>
      </c>
      <c r="D553" t="str">
        <v>anónimo</v>
      </c>
      <c r="E553" t="str">
        <v/>
      </c>
      <c r="F553" s="68">
        <v>46229</v>
      </c>
      <c r="G553" s="88">
        <v>46228</v>
      </c>
      <c r="H553" t="str">
        <v>MELANIE CIBRIAN C/C</v>
      </c>
      <c r="I553" t="str">
        <v>Salvador Cabestany Ortiz</v>
      </c>
      <c r="J553" s="82" t="str">
        <v/>
      </c>
      <c r="K553" t="str">
        <v>CAOS560519HMNBRL07</v>
      </c>
      <c r="L553" s="82">
        <v>23107898</v>
      </c>
      <c r="M553" s="82">
        <v>9992501199</v>
      </c>
      <c r="N553" t="str">
        <v>NUEVO MAYOR</v>
      </c>
      <c r="O553" s="89">
        <v>29590.5</v>
      </c>
      <c r="P553" s="89" t="str">
        <v/>
      </c>
      <c r="Q553" s="89">
        <v>8877.15</v>
      </c>
      <c r="R553" s="89">
        <v>8877.15</v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>
        <v>1</v>
      </c>
    </row>
    <row r="554" spans="1:24">
      <c r="A554" s="26">
        <v>285</v>
      </c>
      <c r="B554" s="87">
        <v>46229.457187499997</v>
      </c>
      <c r="C554" s="87">
        <v>46229.458009259302</v>
      </c>
      <c r="D554" t="str">
        <v>anónimo</v>
      </c>
      <c r="E554" t="str">
        <v/>
      </c>
      <c r="F554" s="68">
        <v>46229</v>
      </c>
      <c r="G554" s="88">
        <v>46229</v>
      </c>
      <c r="H554" t="str">
        <v>CAROLINA RAMIREZ C/C</v>
      </c>
      <c r="I554" t="str">
        <v>ARMANDO JOSE RAMON RUIZ HERRRA</v>
      </c>
      <c r="J554" s="82" t="str">
        <v>01664640768</v>
      </c>
      <c r="K554" t="str">
        <v>RUHA460901HDFZRR02</v>
      </c>
      <c r="L554" s="82">
        <v>23116594</v>
      </c>
      <c r="M554" s="82">
        <v>5215538863186</v>
      </c>
      <c r="N554" t="str">
        <v>NUEVO MAYOR</v>
      </c>
      <c r="O554" s="89">
        <v>7920.53</v>
      </c>
      <c r="P554" s="89" t="str">
        <v/>
      </c>
      <c r="Q554" s="89">
        <v>2376.1589999999997</v>
      </c>
      <c r="R554" s="89">
        <v>2376.1589999999997</v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>
        <v>1</v>
      </c>
    </row>
    <row r="555" spans="1:24">
      <c r="A555" s="26">
        <v>290</v>
      </c>
      <c r="B555" s="87">
        <v>46229.405300925901</v>
      </c>
      <c r="C555" s="87">
        <v>46229.486770833297</v>
      </c>
      <c r="D555" t="str">
        <v>anónimo</v>
      </c>
      <c r="E555" t="str">
        <v/>
      </c>
      <c r="F555" s="68">
        <v>46229</v>
      </c>
      <c r="G555" s="88">
        <v>46229</v>
      </c>
      <c r="H555" t="str">
        <v>HANIA GARCIA C/C</v>
      </c>
      <c r="I555" t="str">
        <v>Otilia Oliva Lopez</v>
      </c>
      <c r="J555" s="82" t="str">
        <v/>
      </c>
      <c r="K555" t="str">
        <v>OILO510601MSPLPT01</v>
      </c>
      <c r="L555" s="82">
        <v>23117146</v>
      </c>
      <c r="M555" s="82">
        <v>7221471547</v>
      </c>
      <c r="N555" t="str">
        <v>COMPRA MENOR</v>
      </c>
      <c r="O555" s="89">
        <v>6708.48</v>
      </c>
      <c r="P555" s="89">
        <v>1938.71</v>
      </c>
      <c r="Q555" s="89">
        <v>2012.5439999999999</v>
      </c>
      <c r="R555" s="89">
        <v>73.833999999999833</v>
      </c>
      <c r="S555">
        <v>45717</v>
      </c>
      <c r="T555" t="str">
        <v/>
      </c>
      <c r="U555" t="str">
        <v/>
      </c>
      <c r="V555" t="str">
        <v/>
      </c>
      <c r="W555" t="str">
        <v/>
      </c>
      <c r="X555">
        <v>2</v>
      </c>
    </row>
    <row r="556" spans="1:24">
      <c r="A556" s="26">
        <v>291</v>
      </c>
      <c r="B556" s="87">
        <v>46229.486967592602</v>
      </c>
      <c r="C556" s="87">
        <v>46229.489594907398</v>
      </c>
      <c r="D556" t="str">
        <v>anónimo</v>
      </c>
      <c r="E556" t="str">
        <v/>
      </c>
      <c r="F556" s="68">
        <v>46229</v>
      </c>
      <c r="G556" s="88">
        <v>46229</v>
      </c>
      <c r="H556" t="str">
        <v>ANA VILLEGAS C/C</v>
      </c>
      <c r="I556" t="str">
        <v>yolanda</v>
      </c>
      <c r="J556" s="82">
        <v>33836623901</v>
      </c>
      <c r="K556" t="str">
        <v>RIEY660115MCHVSL02</v>
      </c>
      <c r="L556" s="82">
        <v>23117026</v>
      </c>
      <c r="M556" s="82">
        <v>5216563319066</v>
      </c>
      <c r="N556" t="str">
        <v>NUEVO MAYOR</v>
      </c>
      <c r="O556" s="89">
        <v>60440.11</v>
      </c>
      <c r="P556" s="89" t="str">
        <v/>
      </c>
      <c r="Q556" s="89">
        <v>18132.032999999999</v>
      </c>
      <c r="R556" s="89">
        <v>18132.032999999999</v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>
        <v>1</v>
      </c>
    </row>
    <row r="557" spans="1:24">
      <c r="A557" s="26">
        <v>295</v>
      </c>
      <c r="B557" s="87">
        <v>46229.502731481502</v>
      </c>
      <c r="C557" s="87">
        <v>46229.503784722197</v>
      </c>
      <c r="D557" t="str">
        <v>anónimo</v>
      </c>
      <c r="E557" t="str">
        <v/>
      </c>
      <c r="F557" s="68">
        <v>46229</v>
      </c>
      <c r="G557" s="88">
        <v>46228</v>
      </c>
      <c r="H557" t="str">
        <v>CAROLINA RAMIREZ C/C</v>
      </c>
      <c r="I557" t="str">
        <v>RAUL GONZALEZ SALINAS</v>
      </c>
      <c r="J557" s="82" t="str">
        <v/>
      </c>
      <c r="K557" t="str">
        <v>GOSR601021HDFNLL09</v>
      </c>
      <c r="L557" s="82">
        <v>23107430</v>
      </c>
      <c r="M557" s="82">
        <v>5215525112699</v>
      </c>
      <c r="N557" t="str">
        <v>NUEVO MAYOR</v>
      </c>
      <c r="O557" s="89">
        <v>7920.51</v>
      </c>
      <c r="P557" s="89" t="str">
        <v>848</v>
      </c>
      <c r="Q557" s="89">
        <v>2376.1529999999998</v>
      </c>
      <c r="R557" s="89">
        <v>1528.1529999999998</v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>
        <v>1</v>
      </c>
    </row>
    <row r="558" spans="1:24">
      <c r="A558" s="26">
        <v>297</v>
      </c>
      <c r="B558" s="87">
        <v>46229.540034722202</v>
      </c>
      <c r="C558" s="87">
        <v>46229.541250000002</v>
      </c>
      <c r="D558" t="str">
        <v>anónimo</v>
      </c>
      <c r="E558" t="str">
        <v/>
      </c>
      <c r="F558" s="68">
        <v>46229</v>
      </c>
      <c r="G558" s="88">
        <v>46229</v>
      </c>
      <c r="H558" t="str">
        <v>CAROLINA RAMIREZ C/C</v>
      </c>
      <c r="I558" t="str">
        <v>MOISES ANTONIO FELIX PULIDO</v>
      </c>
      <c r="J558" s="82" t="str">
        <v>06715255524</v>
      </c>
      <c r="K558" t="str">
        <v>FEPM520904HMNLLS01</v>
      </c>
      <c r="L558" s="82">
        <v>23117384</v>
      </c>
      <c r="M558" s="82">
        <v>5214495804427</v>
      </c>
      <c r="N558" t="str">
        <v>NUEVO MENOR</v>
      </c>
      <c r="O558" s="89">
        <v>5309.87</v>
      </c>
      <c r="P558" s="89">
        <v>238.13</v>
      </c>
      <c r="Q558" s="89">
        <v>1592.961</v>
      </c>
      <c r="R558" s="89">
        <v>898.76000000000033</v>
      </c>
      <c r="S558">
        <v>46296</v>
      </c>
      <c r="T558" t="str">
        <v/>
      </c>
      <c r="U558" t="str">
        <v/>
      </c>
      <c r="V558" t="str">
        <v/>
      </c>
      <c r="W558" t="str">
        <v/>
      </c>
      <c r="X558">
        <v>2</v>
      </c>
    </row>
    <row r="559" spans="1:24">
      <c r="A559" s="26">
        <v>298</v>
      </c>
      <c r="B559" s="87">
        <v>46229.498703703699</v>
      </c>
      <c r="C559" s="87">
        <v>46229.541990740698</v>
      </c>
      <c r="D559" t="str">
        <v>anónimo</v>
      </c>
      <c r="E559" t="str">
        <v/>
      </c>
      <c r="F559" s="68">
        <v>46229</v>
      </c>
      <c r="G559" s="88">
        <v>46229</v>
      </c>
      <c r="H559" t="str">
        <v>ANA VILLEGAS C/C</v>
      </c>
      <c r="I559" t="str">
        <v xml:space="preserve">John </v>
      </c>
      <c r="J559" s="82">
        <v>10705240009</v>
      </c>
      <c r="K559" t="str">
        <v/>
      </c>
      <c r="L559" s="82">
        <v>23118588</v>
      </c>
      <c r="M559" s="82">
        <v>5219613367097</v>
      </c>
      <c r="N559" t="str">
        <v>RESTRINGIDA</v>
      </c>
      <c r="O559" s="89">
        <v>8532.41</v>
      </c>
      <c r="P559" s="89">
        <v>2353.4299999999998</v>
      </c>
      <c r="Q559" s="89">
        <v>2559.723</v>
      </c>
      <c r="R559" s="89">
        <v>206.29300000000012</v>
      </c>
      <c r="S559">
        <v>46143</v>
      </c>
      <c r="T559" t="str">
        <v/>
      </c>
      <c r="U559" t="str">
        <v/>
      </c>
      <c r="V559" t="str">
        <v/>
      </c>
      <c r="W559" t="str">
        <v/>
      </c>
      <c r="X559">
        <v>2</v>
      </c>
    </row>
    <row r="560" spans="1:24">
      <c r="A560" s="26">
        <v>301</v>
      </c>
      <c r="B560" s="87">
        <v>46229.557835648098</v>
      </c>
      <c r="C560" s="87">
        <v>46229.558391203696</v>
      </c>
      <c r="D560" t="str">
        <v>anónimo</v>
      </c>
      <c r="E560" t="str">
        <v/>
      </c>
      <c r="F560" s="68">
        <v>46229</v>
      </c>
      <c r="G560" s="88">
        <v>46229</v>
      </c>
      <c r="H560" t="str">
        <v>MARISOL HERNANDEZ C/C</v>
      </c>
      <c r="I560" t="str">
        <v>Juan carlos jaramillo caballero</v>
      </c>
      <c r="J560" s="82" t="str">
        <v/>
      </c>
      <c r="K560" t="str">
        <v>JACJ611214HDFRBN04</v>
      </c>
      <c r="L560" s="82">
        <v>23118792</v>
      </c>
      <c r="M560" s="82">
        <v>3113939639</v>
      </c>
      <c r="N560" t="str">
        <v>NUEVO MENOR</v>
      </c>
      <c r="O560" s="89">
        <v>6262.86</v>
      </c>
      <c r="P560" s="89">
        <v>1525.08</v>
      </c>
      <c r="Q560" s="89">
        <v>1878.8579999999997</v>
      </c>
      <c r="R560" s="89">
        <v>353.77799999999979</v>
      </c>
      <c r="S560">
        <v>46753</v>
      </c>
      <c r="T560" t="str">
        <v/>
      </c>
      <c r="U560" t="str">
        <v/>
      </c>
      <c r="V560" t="str">
        <v/>
      </c>
      <c r="W560" t="str">
        <v/>
      </c>
      <c r="X560">
        <v>2</v>
      </c>
    </row>
    <row r="561" spans="1:24">
      <c r="A561" s="26">
        <v>302</v>
      </c>
      <c r="B561" s="87">
        <v>46229.565613425897</v>
      </c>
      <c r="C561" s="87">
        <v>46229.566493055601</v>
      </c>
      <c r="D561" t="str">
        <v>anónimo</v>
      </c>
      <c r="E561" t="str">
        <v/>
      </c>
      <c r="F561" s="68">
        <v>46229</v>
      </c>
      <c r="G561" s="88">
        <v>46229</v>
      </c>
      <c r="H561" t="str">
        <v>CAROLINA RAMIREZ C/C</v>
      </c>
      <c r="I561" t="str">
        <v>ROSARIO CRUZ GARCIA</v>
      </c>
      <c r="J561" s="82" t="str">
        <v/>
      </c>
      <c r="K561" t="str">
        <v>CUGR601013HVZRRS03</v>
      </c>
      <c r="L561" s="82">
        <v>23117636</v>
      </c>
      <c r="M561" s="82">
        <v>5219381707404</v>
      </c>
      <c r="N561" t="str">
        <v>NUEVO MAYOR</v>
      </c>
      <c r="O561" s="89">
        <v>7125.87</v>
      </c>
      <c r="P561" s="89" t="str">
        <v/>
      </c>
      <c r="Q561" s="89">
        <v>2137.761</v>
      </c>
      <c r="R561" s="89">
        <v>2137.761</v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>
        <v>1</v>
      </c>
    </row>
    <row r="562" spans="1:24">
      <c r="A562" s="26">
        <v>304</v>
      </c>
      <c r="B562" s="87">
        <v>46229.567141203697</v>
      </c>
      <c r="C562" s="87">
        <v>46229.568124999998</v>
      </c>
      <c r="D562" t="str">
        <v>anónimo</v>
      </c>
      <c r="E562" t="str">
        <v/>
      </c>
      <c r="F562" s="68">
        <v>46229</v>
      </c>
      <c r="G562" s="88">
        <v>46229</v>
      </c>
      <c r="H562" t="str">
        <v>MELANIE CIBRIAN C/C</v>
      </c>
      <c r="I562" t="str">
        <v>Alejandro Rosales Bretón</v>
      </c>
      <c r="J562" s="82" t="str">
        <v/>
      </c>
      <c r="K562" t="str">
        <v xml:space="preserve">	RXBA610524HPLSRL00</v>
      </c>
      <c r="L562" s="82">
        <v>23118814</v>
      </c>
      <c r="M562" s="82">
        <v>2224651747</v>
      </c>
      <c r="N562" t="str">
        <v>NUEVO MAYOR</v>
      </c>
      <c r="O562" s="89">
        <v>11029.03</v>
      </c>
      <c r="P562" s="89" t="str">
        <v/>
      </c>
      <c r="Q562" s="89">
        <v>3308.7090000000003</v>
      </c>
      <c r="R562" s="89">
        <v>3308.7090000000003</v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>
        <v>1</v>
      </c>
    </row>
    <row r="563" spans="1:24">
      <c r="A563" s="26">
        <v>316</v>
      </c>
      <c r="B563" s="87">
        <v>46229.631712962997</v>
      </c>
      <c r="C563" s="87">
        <v>46229.632569444402</v>
      </c>
      <c r="D563" t="str">
        <v>anónimo</v>
      </c>
      <c r="E563" t="str">
        <v/>
      </c>
      <c r="F563" s="68">
        <v>46229</v>
      </c>
      <c r="G563" s="88">
        <v>46229</v>
      </c>
      <c r="H563" t="str">
        <v>DULCE FRANCO C/C</v>
      </c>
      <c r="I563" t="str">
        <v>JUAN ZAMORA MORELOS</v>
      </c>
      <c r="J563" s="82" t="str">
        <v/>
      </c>
      <c r="K563" t="str">
        <v>ZAMJ630308HDFMRN09</v>
      </c>
      <c r="L563" s="82">
        <v>23115760</v>
      </c>
      <c r="M563" s="82">
        <v>5215518308804</v>
      </c>
      <c r="N563" t="str">
        <v>COMPRA MAYOR</v>
      </c>
      <c r="O563" s="89">
        <v>15932.2</v>
      </c>
      <c r="P563" s="89">
        <v>4197.28</v>
      </c>
      <c r="Q563" s="89">
        <v>4779.66</v>
      </c>
      <c r="R563" s="89">
        <v>582.38000000000011</v>
      </c>
      <c r="S563">
        <v>46023</v>
      </c>
      <c r="T563" t="str">
        <v/>
      </c>
      <c r="U563" t="str">
        <v/>
      </c>
      <c r="V563" t="str">
        <v/>
      </c>
      <c r="W563" t="str">
        <v/>
      </c>
      <c r="X563">
        <v>2</v>
      </c>
    </row>
    <row r="564" spans="1:24">
      <c r="A564" s="26">
        <v>320</v>
      </c>
      <c r="B564" s="87">
        <v>46229.652627314797</v>
      </c>
      <c r="C564" s="87">
        <v>46229.653159722198</v>
      </c>
      <c r="D564" t="str">
        <v>anónimo</v>
      </c>
      <c r="E564" t="str">
        <v/>
      </c>
      <c r="F564" s="68">
        <v>46229</v>
      </c>
      <c r="G564" s="88">
        <v>46229</v>
      </c>
      <c r="H564" t="str">
        <v>MARISOL HERNANDEZ C/C</v>
      </c>
      <c r="I564" t="str">
        <v>Efrain causor Lopez</v>
      </c>
      <c r="J564" s="82" t="str">
        <v/>
      </c>
      <c r="K564" t="str">
        <v>CALE620108HMNSPF03</v>
      </c>
      <c r="L564" s="82">
        <v>23117742</v>
      </c>
      <c r="M564" s="82">
        <v>3931808851</v>
      </c>
      <c r="N564" t="str">
        <v>COMPRA MAYOR</v>
      </c>
      <c r="O564" s="89">
        <v>7640.52</v>
      </c>
      <c r="P564" s="89">
        <v>2109.29</v>
      </c>
      <c r="Q564" s="89">
        <v>2292.1559999999999</v>
      </c>
      <c r="R564" s="89">
        <v>182.86599999999999</v>
      </c>
      <c r="S564">
        <v>45931</v>
      </c>
      <c r="T564" t="str">
        <v/>
      </c>
      <c r="U564" t="str">
        <v/>
      </c>
      <c r="V564" t="str">
        <v/>
      </c>
      <c r="W564" t="str">
        <v/>
      </c>
      <c r="X564">
        <v>2</v>
      </c>
    </row>
    <row r="565" spans="1:24">
      <c r="A565" s="26">
        <v>321</v>
      </c>
      <c r="B565" s="87">
        <v>46229.652534722198</v>
      </c>
      <c r="C565" s="87">
        <v>46229.654710648101</v>
      </c>
      <c r="D565" t="str">
        <v>anónimo</v>
      </c>
      <c r="E565" t="str">
        <v/>
      </c>
      <c r="F565" s="68">
        <v>46229</v>
      </c>
      <c r="G565" s="88">
        <v>46229</v>
      </c>
      <c r="H565" t="str">
        <v>GUADALUPE BECERRA C/C</v>
      </c>
      <c r="I565" t="str">
        <v xml:space="preserve"> Silvia Flores</v>
      </c>
      <c r="J565" s="82">
        <v>15796302881</v>
      </c>
      <c r="K565" t="str">
        <v/>
      </c>
      <c r="L565" s="82">
        <v>23120452</v>
      </c>
      <c r="M565" s="82">
        <v>5217779140822</v>
      </c>
      <c r="N565" t="str">
        <v>COMPRA MAYOR</v>
      </c>
      <c r="O565" s="89">
        <v>7920.51</v>
      </c>
      <c r="P565" s="89">
        <v>1384.04</v>
      </c>
      <c r="Q565" s="89">
        <v>2376.1529999999998</v>
      </c>
      <c r="R565" s="89">
        <v>992.11299999999983</v>
      </c>
      <c r="S565">
        <v>46174</v>
      </c>
      <c r="T565" t="str">
        <v/>
      </c>
      <c r="U565" t="str">
        <v/>
      </c>
      <c r="V565" t="str">
        <v/>
      </c>
      <c r="W565" t="str">
        <v/>
      </c>
      <c r="X565">
        <v>2</v>
      </c>
    </row>
    <row r="566" spans="1:24">
      <c r="A566" s="26">
        <v>326</v>
      </c>
      <c r="B566" s="87">
        <v>46229.696990740696</v>
      </c>
      <c r="C566" s="87">
        <v>46229.697592592602</v>
      </c>
      <c r="D566" t="str">
        <v>anónimo</v>
      </c>
      <c r="E566" t="str">
        <v/>
      </c>
      <c r="F566" s="68">
        <v>46229</v>
      </c>
      <c r="G566" s="88">
        <v>46229</v>
      </c>
      <c r="H566" t="str">
        <v>DULCE FRANCO C/C</v>
      </c>
      <c r="I566" t="str">
        <v>Marco Antonio Martín Aramburu Porras</v>
      </c>
      <c r="J566" s="82" t="str">
        <v/>
      </c>
      <c r="K566" t="str">
        <v>AAPM561106HDFRRR06</v>
      </c>
      <c r="L566" s="82">
        <v>23119706</v>
      </c>
      <c r="M566" s="82">
        <v>5215543515800</v>
      </c>
      <c r="N566" t="str">
        <v>NUEVO MAYOR</v>
      </c>
      <c r="O566" s="89">
        <v>43100.88</v>
      </c>
      <c r="P566" s="89">
        <v>3291.73</v>
      </c>
      <c r="Q566" s="89">
        <v>12930.263999999999</v>
      </c>
      <c r="R566" s="89">
        <v>9638.5339999999997</v>
      </c>
      <c r="S566">
        <v>46813</v>
      </c>
      <c r="T566" t="str">
        <v/>
      </c>
      <c r="U566" t="str">
        <v/>
      </c>
      <c r="V566" t="str">
        <v/>
      </c>
      <c r="W566" t="str">
        <v/>
      </c>
      <c r="X566">
        <v>2</v>
      </c>
    </row>
    <row r="567" spans="1:24">
      <c r="A567" s="26">
        <v>327</v>
      </c>
      <c r="B567" s="87">
        <v>46229.705578703702</v>
      </c>
      <c r="C567" s="87">
        <v>46229.706111111103</v>
      </c>
      <c r="D567" t="str">
        <v>anónimo</v>
      </c>
      <c r="E567" t="str">
        <v/>
      </c>
      <c r="F567" s="68">
        <v>46229</v>
      </c>
      <c r="G567" s="88">
        <v>46229</v>
      </c>
      <c r="H567" t="str">
        <v>MARISOL HERNANDEZ C/C</v>
      </c>
      <c r="I567" t="str">
        <v>Maria carmen</v>
      </c>
      <c r="J567" s="82">
        <v>92907005539</v>
      </c>
      <c r="K567" t="str">
        <v/>
      </c>
      <c r="L567" s="82">
        <v>23121188</v>
      </c>
      <c r="M567" s="82">
        <v>5579665495</v>
      </c>
      <c r="N567" t="str">
        <v>NUEVO MAYOR</v>
      </c>
      <c r="O567" s="89">
        <v>23122.76</v>
      </c>
      <c r="P567" s="89" t="str">
        <v/>
      </c>
      <c r="Q567" s="89">
        <v>6936.8279999999995</v>
      </c>
      <c r="R567" s="89">
        <v>6936.8279999999995</v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>
        <v>1</v>
      </c>
    </row>
    <row r="568" spans="1:24">
      <c r="A568" s="26">
        <v>328</v>
      </c>
      <c r="B568" s="87">
        <v>46229.709027777797</v>
      </c>
      <c r="C568" s="87">
        <v>46229.709780092599</v>
      </c>
      <c r="D568" t="str">
        <v>anónimo</v>
      </c>
      <c r="E568" t="str">
        <v/>
      </c>
      <c r="F568" s="68">
        <v>46229</v>
      </c>
      <c r="G568" s="88">
        <v>46229</v>
      </c>
      <c r="H568" t="str">
        <v>DULCE FRANCO C/C</v>
      </c>
      <c r="I568" t="str">
        <v>CLEOTILDE MARTINEZ VELASCO</v>
      </c>
      <c r="J568" s="82" t="str">
        <v xml:space="preserve"> 78694512068</v>
      </c>
      <c r="K568" t="str">
        <v>MAVC540603MOCRLL15</v>
      </c>
      <c r="L568" s="82">
        <v>23117348</v>
      </c>
      <c r="M568" s="82">
        <v>5219514741546</v>
      </c>
      <c r="N568" t="str">
        <v>NUEVO MAYOR</v>
      </c>
      <c r="O568" s="89">
        <v>11876.9</v>
      </c>
      <c r="P568" s="89" t="str">
        <v>879</v>
      </c>
      <c r="Q568" s="89">
        <v>3563.0699999999997</v>
      </c>
      <c r="R568" s="89">
        <v>2684.0699999999997</v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>
        <v>1</v>
      </c>
    </row>
    <row r="569" spans="1:24">
      <c r="A569" s="26">
        <v>332</v>
      </c>
      <c r="B569" s="87">
        <v>46229.733958333301</v>
      </c>
      <c r="C569" s="87">
        <v>46229.747118055602</v>
      </c>
      <c r="D569" t="str">
        <v>anónimo</v>
      </c>
      <c r="E569" t="str">
        <v/>
      </c>
      <c r="F569" s="68">
        <v>46229</v>
      </c>
      <c r="G569" s="88">
        <v>46229</v>
      </c>
      <c r="H569" t="str">
        <v>FERNANDA CASTILLO C/C</v>
      </c>
      <c r="I569" t="str">
        <v xml:space="preserve"> José Alfredo Siqueiros Díaz</v>
      </c>
      <c r="J569" s="82">
        <v>24796241305</v>
      </c>
      <c r="K569" t="str">
        <v/>
      </c>
      <c r="L569" s="82">
        <v>23123024</v>
      </c>
      <c r="M569" s="82">
        <v>6624155730</v>
      </c>
      <c r="N569" t="str">
        <v>NUEVO MENOR</v>
      </c>
      <c r="O569" s="89">
        <v>7920.51</v>
      </c>
      <c r="P569" s="89">
        <v>1477.6</v>
      </c>
      <c r="Q569" s="89">
        <v>2376.1529999999998</v>
      </c>
      <c r="R569" s="89">
        <v>898.55299999999988</v>
      </c>
      <c r="S569">
        <v>46569</v>
      </c>
      <c r="T569" t="str">
        <v/>
      </c>
      <c r="U569" t="str">
        <v/>
      </c>
      <c r="V569" t="str">
        <v/>
      </c>
      <c r="W569" t="str">
        <v/>
      </c>
      <c r="X569">
        <v>2</v>
      </c>
    </row>
    <row r="570" spans="1:24">
      <c r="A570" s="26">
        <v>333</v>
      </c>
      <c r="B570" s="87">
        <v>46230.320798611101</v>
      </c>
      <c r="C570" s="87">
        <v>46230.348090277803</v>
      </c>
      <c r="D570" t="str">
        <v>anónimo</v>
      </c>
      <c r="E570" t="str">
        <v/>
      </c>
      <c r="F570" s="68">
        <v>46230</v>
      </c>
      <c r="G570" s="88">
        <v>46230</v>
      </c>
      <c r="H570" t="str">
        <v>YAMILETH CARDONA EXT 2</v>
      </c>
      <c r="I570" t="str">
        <v>ELEUTERIO ROMAN ALEJANDRE</v>
      </c>
      <c r="J570" s="82">
        <v>49795812798</v>
      </c>
      <c r="K570" t="str">
        <v>ROAE580418HVZMLL08</v>
      </c>
      <c r="L570" s="82">
        <v>2</v>
      </c>
      <c r="M570" s="82">
        <v>8991233087</v>
      </c>
      <c r="N570" t="str">
        <v>NUEVO MENOR</v>
      </c>
      <c r="O570" s="89">
        <v>6090.77</v>
      </c>
      <c r="P570" s="89">
        <v>1313.26</v>
      </c>
      <c r="Q570" s="89">
        <v>1827.231</v>
      </c>
      <c r="R570" s="89">
        <v>513.971</v>
      </c>
      <c r="S570">
        <v>46447</v>
      </c>
      <c r="T570" t="str">
        <v/>
      </c>
      <c r="U570" t="str">
        <v/>
      </c>
      <c r="V570" t="str">
        <v/>
      </c>
      <c r="W570" t="str">
        <v/>
      </c>
      <c r="X570">
        <v>2</v>
      </c>
    </row>
    <row r="571" spans="1:24">
      <c r="A571" s="26">
        <v>335</v>
      </c>
      <c r="B571" s="87">
        <v>46230.348854166703</v>
      </c>
      <c r="C571" s="87">
        <v>46230.352696759299</v>
      </c>
      <c r="D571" t="str">
        <v>anónimo</v>
      </c>
      <c r="E571" t="str">
        <v/>
      </c>
      <c r="F571" s="68">
        <v>46230</v>
      </c>
      <c r="G571" s="88">
        <v>46230</v>
      </c>
      <c r="H571" t="str">
        <v>MAGALI MARTINEZ EXT 2</v>
      </c>
      <c r="I571" t="str">
        <v>DEMETRIO ESPINOSA RUIZ</v>
      </c>
      <c r="J571" s="82">
        <v>43816256101</v>
      </c>
      <c r="K571" t="str">
        <v>EIRD621222HNLSZM09</v>
      </c>
      <c r="L571" s="82">
        <v>2</v>
      </c>
      <c r="M571" s="82">
        <v>8112626305</v>
      </c>
      <c r="N571" t="str">
        <v>COMPRA MENOR</v>
      </c>
      <c r="O571" s="89">
        <v>7116.73</v>
      </c>
      <c r="P571" s="89">
        <v>2059.04</v>
      </c>
      <c r="Q571" s="89">
        <v>2135.0189999999998</v>
      </c>
      <c r="R571" s="89">
        <v>75.978999999999814</v>
      </c>
      <c r="S571">
        <v>46143</v>
      </c>
      <c r="T571" t="str">
        <v/>
      </c>
      <c r="U571" t="str">
        <v/>
      </c>
      <c r="V571" t="str">
        <v/>
      </c>
      <c r="W571" t="str">
        <v/>
      </c>
      <c r="X571">
        <v>2</v>
      </c>
    </row>
    <row r="572" spans="1:24">
      <c r="A572" s="26">
        <v>344</v>
      </c>
      <c r="B572" s="87">
        <v>46230.417743055601</v>
      </c>
      <c r="C572" s="87">
        <v>46230.427743055603</v>
      </c>
      <c r="D572" t="str">
        <v>anónimo</v>
      </c>
      <c r="E572" t="str">
        <v/>
      </c>
      <c r="F572" s="68">
        <v>46230</v>
      </c>
      <c r="G572" s="88">
        <v>46230</v>
      </c>
      <c r="H572" t="str">
        <v>LUISA LARA SUR</v>
      </c>
      <c r="I572" t="str">
        <v>RENE CARRILLO SILVA</v>
      </c>
      <c r="J572" s="82">
        <v>53815908131</v>
      </c>
      <c r="K572" t="str">
        <v>CASR591013HMNRLN03</v>
      </c>
      <c r="L572" s="82">
        <v>23135182</v>
      </c>
      <c r="M572" s="82">
        <v>5214432270268</v>
      </c>
      <c r="N572" t="str">
        <v>NUEVO MENOR</v>
      </c>
      <c r="O572" s="89">
        <v>37988.089999999997</v>
      </c>
      <c r="P572" s="89">
        <v>10520.97</v>
      </c>
      <c r="Q572" s="89">
        <v>11396.426999999998</v>
      </c>
      <c r="R572" s="89">
        <v>875.45699999999852</v>
      </c>
      <c r="S572">
        <v>46419</v>
      </c>
      <c r="T572" t="str">
        <v/>
      </c>
      <c r="U572" t="str">
        <v/>
      </c>
      <c r="V572" t="str">
        <v/>
      </c>
      <c r="W572" t="str">
        <v/>
      </c>
      <c r="X572">
        <v>2</v>
      </c>
    </row>
    <row r="573" spans="1:24">
      <c r="A573" s="26">
        <v>345</v>
      </c>
      <c r="B573" s="87">
        <v>46230.433611111097</v>
      </c>
      <c r="C573" s="87">
        <v>46230.434456018498</v>
      </c>
      <c r="D573" t="str">
        <v>anónimo</v>
      </c>
      <c r="E573" t="str">
        <v/>
      </c>
      <c r="F573" s="68">
        <v>46230</v>
      </c>
      <c r="G573" s="88">
        <v>46230</v>
      </c>
      <c r="H573" t="str">
        <v>MAGALI MARTINEZ EXT 2</v>
      </c>
      <c r="I573" t="str">
        <v>RENE RODRIGUEZ LIMONES</v>
      </c>
      <c r="J573" s="82" t="str">
        <v>32907104619</v>
      </c>
      <c r="K573" t="str">
        <v>ROLR710128HCLDMN03</v>
      </c>
      <c r="L573" s="82">
        <v>2</v>
      </c>
      <c r="M573" s="82">
        <v>8713487235</v>
      </c>
      <c r="N573" t="str">
        <v>NUEVO MAYOR</v>
      </c>
      <c r="O573" s="89">
        <v>9572.89</v>
      </c>
      <c r="P573" s="89" t="str">
        <v/>
      </c>
      <c r="Q573" s="89">
        <v>2871.8669999999997</v>
      </c>
      <c r="R573" s="89">
        <v>2871.8669999999997</v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>
        <v>1</v>
      </c>
    </row>
    <row r="574" spans="1:24">
      <c r="A574" s="26">
        <v>347</v>
      </c>
      <c r="B574" s="87">
        <v>46230.372094907398</v>
      </c>
      <c r="C574" s="87">
        <v>46230.4382638889</v>
      </c>
      <c r="D574" t="str">
        <v>anónimo</v>
      </c>
      <c r="E574" t="str">
        <v/>
      </c>
      <c r="F574" s="68">
        <v>46230</v>
      </c>
      <c r="G574" s="88">
        <v>46230</v>
      </c>
      <c r="H574" t="str">
        <v>YAMILETH CARDONA EXT 2</v>
      </c>
      <c r="I574" t="str">
        <v>ANTONIO DIAZ DOMINGUEZ</v>
      </c>
      <c r="J574" s="82">
        <v>10775915761</v>
      </c>
      <c r="K574" t="str">
        <v>DIDA590708HHGZMN08</v>
      </c>
      <c r="L574" s="82">
        <v>2</v>
      </c>
      <c r="M574" s="82">
        <v>9932780378</v>
      </c>
      <c r="N574" t="str">
        <v>RESTRINGIDA</v>
      </c>
      <c r="O574" s="89">
        <v>7928.07</v>
      </c>
      <c r="P574" s="89">
        <v>2181.2600000000002</v>
      </c>
      <c r="Q574" s="89">
        <v>2378.4209999999998</v>
      </c>
      <c r="R574" s="89">
        <v>197.1609999999996</v>
      </c>
      <c r="S574">
        <v>45323</v>
      </c>
      <c r="T574" t="str">
        <v/>
      </c>
      <c r="U574" t="str">
        <v/>
      </c>
      <c r="V574" t="str">
        <v/>
      </c>
      <c r="W574" t="str">
        <v/>
      </c>
      <c r="X574">
        <v>2</v>
      </c>
    </row>
    <row r="575" spans="1:24">
      <c r="A575" s="26">
        <v>349</v>
      </c>
      <c r="B575" s="87">
        <v>46230.445775462998</v>
      </c>
      <c r="C575" s="87">
        <v>46230.447719907403</v>
      </c>
      <c r="D575" t="str">
        <v>anónimo</v>
      </c>
      <c r="E575" t="str">
        <v/>
      </c>
      <c r="F575" s="68">
        <v>46230</v>
      </c>
      <c r="G575" s="88">
        <v>46229</v>
      </c>
      <c r="H575" t="str">
        <v>MELANIE CIBRIAN C/C</v>
      </c>
      <c r="I575" t="str">
        <v>José Emilio Díaz García</v>
      </c>
      <c r="J575" s="82" t="str">
        <v/>
      </c>
      <c r="K575" t="str">
        <v xml:space="preserve">	DIGE640821HMCZRM01</v>
      </c>
      <c r="L575" s="82">
        <v>23118294</v>
      </c>
      <c r="M575" s="82">
        <v>5584257438</v>
      </c>
      <c r="N575" t="str">
        <v>NUEVO MENOR</v>
      </c>
      <c r="O575" s="89">
        <v>9081.52</v>
      </c>
      <c r="P575" s="89">
        <v>1809.74</v>
      </c>
      <c r="Q575" s="89">
        <v>2724.4560000000001</v>
      </c>
      <c r="R575" s="89">
        <v>914.71600000000012</v>
      </c>
      <c r="S575">
        <v>46722</v>
      </c>
      <c r="T575" t="str">
        <v/>
      </c>
      <c r="U575" t="str">
        <v/>
      </c>
      <c r="V575" t="str">
        <v/>
      </c>
      <c r="W575" t="str">
        <v/>
      </c>
      <c r="X575">
        <v>2</v>
      </c>
    </row>
    <row r="576" spans="1:24">
      <c r="A576" s="26">
        <v>357</v>
      </c>
      <c r="B576" s="87">
        <v>46230.460648148102</v>
      </c>
      <c r="C576" s="87">
        <v>46230.4617939815</v>
      </c>
      <c r="D576" t="str">
        <v>anónimo</v>
      </c>
      <c r="E576" t="str">
        <v/>
      </c>
      <c r="F576" s="68">
        <v>46230</v>
      </c>
      <c r="G576" s="88">
        <v>46229</v>
      </c>
      <c r="H576" t="str">
        <v>HANIA GARCIA C/C</v>
      </c>
      <c r="I576" t="str">
        <v>Gerardo García Caballero</v>
      </c>
      <c r="J576" s="82" t="str">
        <v/>
      </c>
      <c r="K576" t="str">
        <v>GACG630522HCHRBR12</v>
      </c>
      <c r="L576" s="82">
        <v>23115770</v>
      </c>
      <c r="M576" s="82">
        <v>6142438889</v>
      </c>
      <c r="N576" t="str">
        <v>NUEVO MAYOR</v>
      </c>
      <c r="O576" s="89">
        <v>25173.29</v>
      </c>
      <c r="P576" s="89" t="str">
        <v/>
      </c>
      <c r="Q576" s="89">
        <v>7551.9870000000001</v>
      </c>
      <c r="R576" s="89">
        <v>7551.9870000000001</v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>
        <v>1</v>
      </c>
    </row>
    <row r="577" spans="1:24">
      <c r="A577" s="26">
        <v>360</v>
      </c>
      <c r="B577" s="87">
        <v>46230.467060185198</v>
      </c>
      <c r="C577" s="87">
        <v>46230.4676736111</v>
      </c>
      <c r="D577" t="str">
        <v>anónimo</v>
      </c>
      <c r="E577" t="str">
        <v/>
      </c>
      <c r="F577" s="68">
        <v>46230</v>
      </c>
      <c r="G577" s="88">
        <v>46230</v>
      </c>
      <c r="H577" t="str">
        <v>MAGALI MARTINEZ EXT 2</v>
      </c>
      <c r="I577" t="str">
        <v>FELIPE AGUIRRE CAMPOS</v>
      </c>
      <c r="J577" s="82" t="str">
        <v>62775818101</v>
      </c>
      <c r="K577" t="str">
        <v>AUCF580411HTLGML06</v>
      </c>
      <c r="L577" s="82">
        <v>2</v>
      </c>
      <c r="M577" s="82">
        <v>2214001141</v>
      </c>
      <c r="N577" t="str">
        <v>NUEVO MENOR</v>
      </c>
      <c r="O577" s="89">
        <v>4813.6899999999996</v>
      </c>
      <c r="P577" s="89" t="str">
        <v/>
      </c>
      <c r="Q577" s="89">
        <v>1444.1069999999997</v>
      </c>
      <c r="R577" s="89">
        <v>640.71</v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>
        <v>1</v>
      </c>
    </row>
    <row r="578" spans="1:24">
      <c r="A578" s="26">
        <v>364</v>
      </c>
      <c r="B578" s="87">
        <v>46230.474571759303</v>
      </c>
      <c r="C578" s="87">
        <v>46230.475740740701</v>
      </c>
      <c r="D578" t="str">
        <v>anónimo</v>
      </c>
      <c r="E578" t="str">
        <v/>
      </c>
      <c r="F578" s="68">
        <v>46230</v>
      </c>
      <c r="G578" s="88">
        <v>46230</v>
      </c>
      <c r="H578" t="str">
        <v>GIOVANNI MELGAR</v>
      </c>
      <c r="I578" t="str">
        <v>JUAN VALENCIA LEON</v>
      </c>
      <c r="J578" s="82" t="str">
        <v>62816507941</v>
      </c>
      <c r="K578" t="str">
        <v>VALJ650910HPLLNN05</v>
      </c>
      <c r="L578" s="82">
        <v>23136336</v>
      </c>
      <c r="M578" s="82">
        <v>5212211631150</v>
      </c>
      <c r="N578" t="str">
        <v>NUEVO MAYOR</v>
      </c>
      <c r="O578" s="89">
        <v>10636.54</v>
      </c>
      <c r="P578" s="89" t="str">
        <v/>
      </c>
      <c r="Q578" s="89">
        <v>3190.962</v>
      </c>
      <c r="R578" s="89">
        <v>3190.962</v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>
        <v>1</v>
      </c>
    </row>
    <row r="579" spans="1:24">
      <c r="A579" s="26">
        <v>367</v>
      </c>
      <c r="B579" s="87">
        <v>46230.455034722203</v>
      </c>
      <c r="C579" s="87">
        <v>46230.486180555599</v>
      </c>
      <c r="D579" t="str">
        <v>anónimo</v>
      </c>
      <c r="E579" t="str">
        <v/>
      </c>
      <c r="F579" s="68">
        <v>46230</v>
      </c>
      <c r="G579" s="88">
        <v>46230</v>
      </c>
      <c r="H579" t="str">
        <v>LUISA LARA SUR</v>
      </c>
      <c r="I579" t="str">
        <v>ROMAN RAMOS PINEDO</v>
      </c>
      <c r="J579" s="82">
        <v>33836202110</v>
      </c>
      <c r="K579" t="str">
        <v>RAPR620627HZSMNM01</v>
      </c>
      <c r="L579" s="82">
        <v>23140674</v>
      </c>
      <c r="M579" s="82">
        <v>5216141914478</v>
      </c>
      <c r="N579" t="str">
        <v>COMPRA MAYOR</v>
      </c>
      <c r="O579" s="89">
        <v>11495.7</v>
      </c>
      <c r="P579" s="89">
        <v>3049.51</v>
      </c>
      <c r="Q579" s="89">
        <v>3448.71</v>
      </c>
      <c r="R579" s="89">
        <v>399.19999999999982</v>
      </c>
      <c r="S579">
        <v>45809</v>
      </c>
      <c r="T579" t="str">
        <v/>
      </c>
      <c r="U579" t="str">
        <v/>
      </c>
      <c r="V579" t="str">
        <v/>
      </c>
      <c r="W579" t="str">
        <v/>
      </c>
      <c r="X579">
        <v>2</v>
      </c>
    </row>
    <row r="580" spans="1:24">
      <c r="A580" s="26">
        <v>368</v>
      </c>
      <c r="B580" s="87">
        <v>46230.459907407399</v>
      </c>
      <c r="C580" s="87">
        <v>46230.487199074101</v>
      </c>
      <c r="D580" t="str">
        <v>anónimo</v>
      </c>
      <c r="E580" t="str">
        <v/>
      </c>
      <c r="F580" s="68">
        <v>46230</v>
      </c>
      <c r="G580" s="88">
        <v>46228</v>
      </c>
      <c r="H580" t="str">
        <v>LILIANA MARTINEZ SUR</v>
      </c>
      <c r="I580" t="str">
        <v>ANGEL FLORES GARCIA</v>
      </c>
      <c r="J580" s="82">
        <v>64806325433</v>
      </c>
      <c r="K580" t="str">
        <v>FOGA631006HMCLRN02</v>
      </c>
      <c r="L580" s="82">
        <v>23102686</v>
      </c>
      <c r="M580" s="82">
        <v>5215612773637</v>
      </c>
      <c r="N580" t="str">
        <v>NUEVO MAYOR</v>
      </c>
      <c r="O580" s="89">
        <v>9081.52</v>
      </c>
      <c r="P580" s="89" t="str">
        <v>848</v>
      </c>
      <c r="Q580" s="89">
        <v>2724.4560000000001</v>
      </c>
      <c r="R580" s="89">
        <v>1876.4560000000001</v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>
        <v>1</v>
      </c>
    </row>
    <row r="581" spans="1:24">
      <c r="A581" s="26">
        <v>373</v>
      </c>
      <c r="B581" s="87">
        <v>46230.484386574099</v>
      </c>
      <c r="C581" s="87">
        <v>46230.4903009259</v>
      </c>
      <c r="D581" t="str">
        <v>anónimo</v>
      </c>
      <c r="E581" t="str">
        <v/>
      </c>
      <c r="F581" s="68">
        <v>46230</v>
      </c>
      <c r="G581" s="88">
        <v>46230</v>
      </c>
      <c r="H581" t="str">
        <v>XIMENA RIVERA SUR</v>
      </c>
      <c r="I581" t="str">
        <v>FRANCISCO VELA BASURTO</v>
      </c>
      <c r="J581" s="82" t="str">
        <v/>
      </c>
      <c r="K581" t="str">
        <v>VEBF600510HCHLSR09</v>
      </c>
      <c r="L581" s="82">
        <v>23135966</v>
      </c>
      <c r="M581" s="82">
        <v>5213311140890</v>
      </c>
      <c r="N581" t="str">
        <v>COMPRA MENOR</v>
      </c>
      <c r="O581" s="89">
        <v>5617.63</v>
      </c>
      <c r="P581" s="89">
        <v>1393.24</v>
      </c>
      <c r="Q581" s="89">
        <v>1685.289</v>
      </c>
      <c r="R581" s="89">
        <v>51.410000000000537</v>
      </c>
      <c r="S581">
        <v>46082</v>
      </c>
      <c r="T581" t="str">
        <v/>
      </c>
      <c r="U581" t="str">
        <v/>
      </c>
      <c r="V581" t="str">
        <v/>
      </c>
      <c r="W581" t="str">
        <v/>
      </c>
      <c r="X581">
        <v>2</v>
      </c>
    </row>
    <row r="582" spans="1:24">
      <c r="A582" s="26">
        <v>381</v>
      </c>
      <c r="B582" s="87">
        <v>46230.504166666702</v>
      </c>
      <c r="C582" s="87">
        <v>46230.504699074103</v>
      </c>
      <c r="D582" t="str">
        <v>anónimo</v>
      </c>
      <c r="E582" t="str">
        <v/>
      </c>
      <c r="F582" s="68">
        <v>46230</v>
      </c>
      <c r="G582" s="88">
        <v>46230</v>
      </c>
      <c r="H582" t="str">
        <v>GIOVANNI MELGAR</v>
      </c>
      <c r="I582" t="str">
        <v>FERNANDO FLORES</v>
      </c>
      <c r="J582" s="82" t="str">
        <v/>
      </c>
      <c r="K582" t="str">
        <v>FOCF610218HJCLRR05</v>
      </c>
      <c r="L582" s="82">
        <v>23127760</v>
      </c>
      <c r="M582" s="82">
        <v>5213222652047</v>
      </c>
      <c r="N582" t="str">
        <v>COMPRA MAYOR</v>
      </c>
      <c r="O582" s="89">
        <v>7675.8</v>
      </c>
      <c r="P582" s="89">
        <v>2035.38</v>
      </c>
      <c r="Q582" s="89">
        <v>2302.7399999999998</v>
      </c>
      <c r="R582" s="89">
        <v>267.35999999999967</v>
      </c>
      <c r="S582">
        <v>45200</v>
      </c>
      <c r="T582" t="str">
        <v/>
      </c>
      <c r="U582" t="str">
        <v/>
      </c>
      <c r="V582" t="str">
        <v/>
      </c>
      <c r="W582" t="str">
        <v/>
      </c>
      <c r="X582">
        <v>2</v>
      </c>
    </row>
    <row r="583" spans="1:24">
      <c r="A583" s="26">
        <v>383</v>
      </c>
      <c r="B583" s="87">
        <v>46230.500972222202</v>
      </c>
      <c r="C583" s="87">
        <v>46230.506562499999</v>
      </c>
      <c r="D583" t="str">
        <v>anónimo</v>
      </c>
      <c r="E583" t="str">
        <v/>
      </c>
      <c r="F583" s="68">
        <v>46230</v>
      </c>
      <c r="G583" s="88">
        <v>46230</v>
      </c>
      <c r="H583" t="str">
        <v>MARA HERNANDEZ SUR</v>
      </c>
      <c r="I583" t="str">
        <v>ALFREDO CABALLERO MORALES</v>
      </c>
      <c r="J583" s="82">
        <v>71865901830</v>
      </c>
      <c r="K583" t="str">
        <v>CAMA590722HCSBRL06</v>
      </c>
      <c r="L583" s="82">
        <v>23138070</v>
      </c>
      <c r="M583" s="82">
        <v>5219621260159</v>
      </c>
      <c r="N583" t="str">
        <v>NUEVO MENOR</v>
      </c>
      <c r="O583" s="89">
        <v>4813.6899999999996</v>
      </c>
      <c r="P583" s="89" t="str">
        <v/>
      </c>
      <c r="Q583" s="89">
        <v>1444.1069999999997</v>
      </c>
      <c r="R583" s="89">
        <v>640.71</v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>
        <v>1</v>
      </c>
    </row>
    <row r="584" spans="1:24">
      <c r="A584" s="26">
        <v>385</v>
      </c>
      <c r="B584" s="87">
        <v>46230.512210648099</v>
      </c>
      <c r="C584" s="87">
        <v>46230.513993055603</v>
      </c>
      <c r="D584" t="str">
        <v>anónimo</v>
      </c>
      <c r="E584" t="str">
        <v/>
      </c>
      <c r="F584" s="68">
        <v>46230</v>
      </c>
      <c r="G584" s="88">
        <v>46229</v>
      </c>
      <c r="H584" t="str">
        <v>LITZY MARTINEZ C/C</v>
      </c>
      <c r="I584" t="str">
        <v xml:space="preserve">Luz del alba hernandez zapata </v>
      </c>
      <c r="J584" s="82" t="str">
        <v>83846721443</v>
      </c>
      <c r="K584" t="str">
        <v/>
      </c>
      <c r="L584" s="82">
        <v>23122722</v>
      </c>
      <c r="M584" s="82">
        <v>5219932230399</v>
      </c>
      <c r="N584" t="str">
        <v>COMPRA MENOR</v>
      </c>
      <c r="O584" s="89">
        <v>21429.58</v>
      </c>
      <c r="P584" s="89">
        <v>5949.31</v>
      </c>
      <c r="Q584" s="89">
        <v>6428.8740000000007</v>
      </c>
      <c r="R584" s="89">
        <v>479.56400000000031</v>
      </c>
      <c r="S584">
        <v>46054</v>
      </c>
      <c r="T584" t="str">
        <v/>
      </c>
      <c r="U584" t="str">
        <v/>
      </c>
      <c r="V584" t="str">
        <v/>
      </c>
      <c r="W584" t="str">
        <v/>
      </c>
      <c r="X584">
        <v>2</v>
      </c>
    </row>
    <row r="585" spans="1:24">
      <c r="A585" s="26">
        <v>386</v>
      </c>
      <c r="B585" s="87">
        <v>46230.513391203698</v>
      </c>
      <c r="C585" s="87">
        <v>46230.514398148203</v>
      </c>
      <c r="D585" t="str">
        <v>anónimo</v>
      </c>
      <c r="E585" t="str">
        <v/>
      </c>
      <c r="F585" s="68">
        <v>46230</v>
      </c>
      <c r="G585" s="88">
        <v>46229</v>
      </c>
      <c r="H585" t="str">
        <v>GIOVANNI MELGAR</v>
      </c>
      <c r="I585" t="str">
        <v>JOSE ARTURO TORRES ZEPEDA</v>
      </c>
      <c r="J585" s="82" t="str">
        <v>54796096029</v>
      </c>
      <c r="K585" t="str">
        <v>TOZA600224HJCRPR08</v>
      </c>
      <c r="L585" s="82">
        <v>23138804</v>
      </c>
      <c r="M585" s="82">
        <v>5213315678172</v>
      </c>
      <c r="N585" t="str">
        <v>NUEVO MENOR</v>
      </c>
      <c r="O585" s="89">
        <v>29318.42</v>
      </c>
      <c r="P585" s="89">
        <v>8474.61</v>
      </c>
      <c r="Q585" s="89">
        <v>8795.5259999999998</v>
      </c>
      <c r="R585" s="89">
        <v>320.91599999999926</v>
      </c>
      <c r="S585">
        <v>46508</v>
      </c>
      <c r="T585" t="str">
        <v>OPCIPRES</v>
      </c>
      <c r="U585" t="str">
        <v/>
      </c>
      <c r="V585" t="str">
        <v/>
      </c>
      <c r="W585" t="str">
        <v/>
      </c>
      <c r="X585">
        <v>2</v>
      </c>
    </row>
    <row r="586" spans="1:24">
      <c r="A586" s="26">
        <v>389</v>
      </c>
      <c r="B586" s="87">
        <v>46230.506516203699</v>
      </c>
      <c r="C586" s="87">
        <v>46230.521238425899</v>
      </c>
      <c r="D586" t="str">
        <v>anónimo</v>
      </c>
      <c r="E586" t="str">
        <v/>
      </c>
      <c r="F586" s="68">
        <v>46230</v>
      </c>
      <c r="G586" s="88">
        <v>46230</v>
      </c>
      <c r="H586" t="str">
        <v>JENNIFER AVENDAÑO SUR</v>
      </c>
      <c r="I586" t="str">
        <v>JUAN FIDENCIO MAGAÑA SALAZAR</v>
      </c>
      <c r="J586" s="82">
        <v>65806203223</v>
      </c>
      <c r="K586" t="str">
        <v>MASJ621116HVZGLN09</v>
      </c>
      <c r="L586" s="82">
        <v>23131644</v>
      </c>
      <c r="M586" s="82">
        <v>5212291619678</v>
      </c>
      <c r="N586" t="str">
        <v>NUEVO MAYOR</v>
      </c>
      <c r="O586" s="89">
        <v>7116.73</v>
      </c>
      <c r="P586" s="89" t="str">
        <v/>
      </c>
      <c r="Q586" s="89">
        <v>2135.0189999999998</v>
      </c>
      <c r="R586" s="89">
        <v>2135.0189999999998</v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>
        <v>1</v>
      </c>
    </row>
    <row r="587" spans="1:24">
      <c r="A587" s="26">
        <v>393</v>
      </c>
      <c r="B587" s="87">
        <v>46230.533784722204</v>
      </c>
      <c r="C587" s="87">
        <v>46230.534456018497</v>
      </c>
      <c r="D587" t="str">
        <v>anónimo</v>
      </c>
      <c r="E587" t="str">
        <v/>
      </c>
      <c r="F587" s="68">
        <v>46230</v>
      </c>
      <c r="G587" s="88">
        <v>46230</v>
      </c>
      <c r="H587" t="str">
        <v>MAGALI MARTINEZ EXT 2</v>
      </c>
      <c r="I587" t="str">
        <v>PEDRO RAMIREZ HERNANDEZ</v>
      </c>
      <c r="J587" s="82">
        <v>43786231605</v>
      </c>
      <c r="K587" t="str">
        <v>RAHP620629HNLMRD03</v>
      </c>
      <c r="L587" s="82">
        <v>2</v>
      </c>
      <c r="M587" s="82">
        <v>8181203913</v>
      </c>
      <c r="N587" t="str">
        <v>RESTRINGIDA</v>
      </c>
      <c r="O587" s="89">
        <v>7116.73</v>
      </c>
      <c r="P587" s="89">
        <v>1974.86</v>
      </c>
      <c r="Q587" s="89">
        <v>2135.0189999999998</v>
      </c>
      <c r="R587" s="89">
        <v>160.15899999999988</v>
      </c>
      <c r="S587">
        <v>45658</v>
      </c>
      <c r="T587" t="str">
        <v>FISOFO</v>
      </c>
      <c r="U587" t="str">
        <v/>
      </c>
      <c r="V587" t="str">
        <v/>
      </c>
      <c r="W587" t="str">
        <v/>
      </c>
      <c r="X587">
        <v>2</v>
      </c>
    </row>
    <row r="588" spans="1:24">
      <c r="A588" s="26">
        <v>395</v>
      </c>
      <c r="B588" s="87">
        <v>46230.506585648203</v>
      </c>
      <c r="C588" s="87">
        <v>46230.541006944397</v>
      </c>
      <c r="D588" t="str">
        <v>anónimo</v>
      </c>
      <c r="E588" t="str">
        <v/>
      </c>
      <c r="F588" s="68">
        <v>46230</v>
      </c>
      <c r="G588" s="88">
        <v>46228</v>
      </c>
      <c r="H588" t="str">
        <v>MARA HERNANDEZ SUR</v>
      </c>
      <c r="I588" t="str">
        <v>JOAQUIN GUTIERREZ TELLEZ</v>
      </c>
      <c r="J588" s="82">
        <v>49977838504</v>
      </c>
      <c r="K588" t="str">
        <v>GUTJ540816HTSTLQ01</v>
      </c>
      <c r="L588" s="82">
        <v>23104000</v>
      </c>
      <c r="M588" s="82">
        <v>5218184986151</v>
      </c>
      <c r="N588" t="str">
        <v>NUEVO MAYOR</v>
      </c>
      <c r="O588" s="89">
        <v>6576.05</v>
      </c>
      <c r="P588" s="89" t="str">
        <v/>
      </c>
      <c r="Q588" s="89">
        <v>1972.8150000000001</v>
      </c>
      <c r="R588" s="89">
        <v>1972.8150000000001</v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>
        <v>1</v>
      </c>
    </row>
    <row r="589" spans="1:24">
      <c r="A589" s="26">
        <v>403</v>
      </c>
      <c r="B589" s="87">
        <v>46230.540868055599</v>
      </c>
      <c r="C589" s="87">
        <v>46230.603715277801</v>
      </c>
      <c r="D589" t="str">
        <v>anónimo</v>
      </c>
      <c r="E589" t="str">
        <v/>
      </c>
      <c r="F589" s="68">
        <v>46230</v>
      </c>
      <c r="G589" s="88">
        <v>46230</v>
      </c>
      <c r="H589" t="str">
        <v>XIMENA RIVERA SUR</v>
      </c>
      <c r="I589" t="str">
        <v xml:space="preserve">José Roberto Saldaña Sánchez </v>
      </c>
      <c r="J589" s="82" t="str">
        <v/>
      </c>
      <c r="K589" t="str">
        <v>SASR621121HSPLNB07</v>
      </c>
      <c r="L589" s="82">
        <v>23140210</v>
      </c>
      <c r="M589" s="82">
        <v>5214444328268</v>
      </c>
      <c r="N589" t="str">
        <v>NUEVO MAYOR</v>
      </c>
      <c r="O589" s="89">
        <v>7808.26</v>
      </c>
      <c r="P589" s="89" t="str">
        <v/>
      </c>
      <c r="Q589" s="89">
        <v>2342.4780000000001</v>
      </c>
      <c r="R589" s="89">
        <v>2342.4780000000001</v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>
        <v>1</v>
      </c>
    </row>
    <row r="590" spans="1:24">
      <c r="A590" s="26">
        <v>404</v>
      </c>
      <c r="B590" s="87">
        <v>46230.603738425903</v>
      </c>
      <c r="C590" s="87">
        <v>46230.605960648099</v>
      </c>
      <c r="D590" t="str">
        <v>anónimo</v>
      </c>
      <c r="E590" t="str">
        <v/>
      </c>
      <c r="F590" s="68">
        <v>46230</v>
      </c>
      <c r="G590" s="88">
        <v>46230</v>
      </c>
      <c r="H590" t="str">
        <v>XIMENA RIVERA SUR</v>
      </c>
      <c r="I590" t="str">
        <v>LEOPOLDO PULQUERO ROMERO</v>
      </c>
      <c r="J590" s="82" t="str">
        <v/>
      </c>
      <c r="K590" t="str">
        <v>PURL601115HDFLMP02</v>
      </c>
      <c r="L590" s="82">
        <v>23141418</v>
      </c>
      <c r="M590" s="82">
        <v>5214613025022</v>
      </c>
      <c r="N590" t="str">
        <v>RESTRINGIDA</v>
      </c>
      <c r="O590" s="89">
        <v>8404.07</v>
      </c>
      <c r="P590" s="89">
        <v>2247.81</v>
      </c>
      <c r="Q590" s="89">
        <v>2521.221</v>
      </c>
      <c r="R590" s="89">
        <v>273.41100000000006</v>
      </c>
      <c r="S590">
        <v>46204</v>
      </c>
      <c r="T590" t="str">
        <v>CONSUBANCO</v>
      </c>
      <c r="U590" t="str">
        <v/>
      </c>
      <c r="V590" t="str">
        <v/>
      </c>
      <c r="W590" t="str">
        <v/>
      </c>
      <c r="X590">
        <v>2</v>
      </c>
    </row>
    <row r="591" spans="1:24">
      <c r="A591" s="26">
        <v>406</v>
      </c>
      <c r="B591" s="87">
        <v>46230.605983796297</v>
      </c>
      <c r="C591" s="87">
        <v>46230.612962963001</v>
      </c>
      <c r="D591" t="str">
        <v>anónimo</v>
      </c>
      <c r="E591" t="str">
        <v/>
      </c>
      <c r="F591" s="68">
        <v>46230</v>
      </c>
      <c r="G591" s="88">
        <v>46230</v>
      </c>
      <c r="H591" t="str">
        <v>XIMENA RIVERA SUR</v>
      </c>
      <c r="I591" t="str">
        <v>ESMERALDA MACIAS PIÑA</v>
      </c>
      <c r="J591" s="82">
        <v>54836677192</v>
      </c>
      <c r="K591" t="str">
        <v>MAPE730928MJCCXS06</v>
      </c>
      <c r="L591" s="82">
        <v>23143162</v>
      </c>
      <c r="M591" s="82">
        <v>5213334624503</v>
      </c>
      <c r="N591" t="str">
        <v>RESTRINGIDA</v>
      </c>
      <c r="O591" s="89">
        <v>5636.59</v>
      </c>
      <c r="P591" s="89">
        <v>1519.81</v>
      </c>
      <c r="Q591" s="89">
        <v>1690.9770000000001</v>
      </c>
      <c r="R591" s="89">
        <v>-56.199999999999363</v>
      </c>
      <c r="S591">
        <v>46204</v>
      </c>
      <c r="T591" t="str">
        <v>CONSUBANCO</v>
      </c>
      <c r="U591" t="str">
        <v/>
      </c>
      <c r="V591" t="str">
        <v/>
      </c>
      <c r="W591" t="str">
        <v/>
      </c>
      <c r="X591">
        <v>2</v>
      </c>
    </row>
    <row r="592" spans="1:24">
      <c r="A592" s="26">
        <v>418</v>
      </c>
      <c r="B592" s="87">
        <v>46230.580127314803</v>
      </c>
      <c r="C592" s="87">
        <v>46230.622777777797</v>
      </c>
      <c r="D592" t="str">
        <v>anónimo</v>
      </c>
      <c r="E592" t="str">
        <v/>
      </c>
      <c r="F592" s="68">
        <v>46230</v>
      </c>
      <c r="G592" s="88">
        <v>46230</v>
      </c>
      <c r="H592" t="str">
        <v>MARA HERNANDEZ SUR</v>
      </c>
      <c r="I592" t="str">
        <v>Maria Fimbres Noriega</v>
      </c>
      <c r="J592" s="82">
        <v>24785925249</v>
      </c>
      <c r="K592" t="str">
        <v>FINM590324MSRMRR07</v>
      </c>
      <c r="L592" s="82">
        <v>23144142</v>
      </c>
      <c r="M592" s="82">
        <v>5216622964952</v>
      </c>
      <c r="N592" t="str">
        <v>RESTRINGIDA</v>
      </c>
      <c r="O592" s="89">
        <v>5865.17</v>
      </c>
      <c r="P592" s="89">
        <v>1432.1</v>
      </c>
      <c r="Q592" s="89">
        <v>1759.5509999999999</v>
      </c>
      <c r="R592" s="89">
        <v>260.0900000000006</v>
      </c>
      <c r="S592">
        <v>45323</v>
      </c>
      <c r="T592" t="str">
        <v/>
      </c>
      <c r="U592" t="str">
        <v/>
      </c>
      <c r="V592" t="str">
        <v/>
      </c>
      <c r="W592" t="str">
        <v/>
      </c>
      <c r="X592">
        <v>2</v>
      </c>
    </row>
    <row r="593" spans="1:24">
      <c r="A593" s="26">
        <v>419</v>
      </c>
      <c r="B593" s="87">
        <v>46230.596550925897</v>
      </c>
      <c r="C593" s="87">
        <v>46230.622974537</v>
      </c>
      <c r="D593" t="str">
        <v>anónimo</v>
      </c>
      <c r="E593" t="str">
        <v/>
      </c>
      <c r="F593" s="68">
        <v>46230</v>
      </c>
      <c r="G593" s="88">
        <v>46230</v>
      </c>
      <c r="H593" t="str">
        <v>MARA HERNANDEZ SUR</v>
      </c>
      <c r="I593" t="str">
        <v>Jose Solis Hernandez</v>
      </c>
      <c r="J593" s="82">
        <v>24755914710</v>
      </c>
      <c r="K593" t="str">
        <v>SOHJ590124HSRLRS01</v>
      </c>
      <c r="L593" s="82">
        <v>23144142</v>
      </c>
      <c r="M593" s="82">
        <v>5216622964952</v>
      </c>
      <c r="N593" t="str">
        <v>NUEVO MENOR</v>
      </c>
      <c r="O593" s="89">
        <v>5617.63</v>
      </c>
      <c r="P593" s="89" t="str">
        <v>848</v>
      </c>
      <c r="Q593" s="89">
        <v>1685.289</v>
      </c>
      <c r="R593" s="89">
        <v>596.65000000000055</v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>
        <v>1</v>
      </c>
    </row>
    <row r="594" spans="1:24">
      <c r="A594" s="26">
        <v>420</v>
      </c>
      <c r="B594" s="87">
        <v>46230.599918981497</v>
      </c>
      <c r="C594" s="87">
        <v>46230.623368055603</v>
      </c>
      <c r="D594" t="str">
        <v>anónimo</v>
      </c>
      <c r="E594" t="str">
        <v/>
      </c>
      <c r="F594" s="68">
        <v>46230</v>
      </c>
      <c r="G594" s="88">
        <v>46229</v>
      </c>
      <c r="H594" t="str">
        <v>MARA HERNANDEZ SUR</v>
      </c>
      <c r="I594" t="str">
        <v>ENRIQUE CORTEZ ALVARADO</v>
      </c>
      <c r="J594" s="82" t="str">
        <v/>
      </c>
      <c r="K594" t="str">
        <v>COAE610706HSPRLN03</v>
      </c>
      <c r="L594" s="82">
        <v>23125648</v>
      </c>
      <c r="M594" s="82">
        <v>5218115283633</v>
      </c>
      <c r="N594" t="str">
        <v>NUEVO MAYOR</v>
      </c>
      <c r="O594" s="89">
        <v>29399.15</v>
      </c>
      <c r="P594" s="89" t="str">
        <v/>
      </c>
      <c r="Q594" s="89">
        <v>8819.7450000000008</v>
      </c>
      <c r="R594" s="89">
        <v>8819.7450000000008</v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>
        <v>1</v>
      </c>
    </row>
    <row r="595" spans="1:24">
      <c r="A595" s="26">
        <v>426</v>
      </c>
      <c r="B595" s="87">
        <v>46230.624826388899</v>
      </c>
      <c r="C595" s="87">
        <v>46230.631354166697</v>
      </c>
      <c r="D595" t="str">
        <v>anónimo</v>
      </c>
      <c r="E595" t="str">
        <v/>
      </c>
      <c r="F595" s="68">
        <v>46230</v>
      </c>
      <c r="G595" s="88">
        <v>46229</v>
      </c>
      <c r="H595" t="str">
        <v>ANA VILLEGAS C/C</v>
      </c>
      <c r="I595" t="str">
        <v xml:space="preserve">AMADO </v>
      </c>
      <c r="J595" s="82">
        <v>67765904478</v>
      </c>
      <c r="K595" t="str">
        <v/>
      </c>
      <c r="L595" s="82">
        <v>23123030</v>
      </c>
      <c r="M595" s="82">
        <v>5218110287202</v>
      </c>
      <c r="N595" t="str">
        <v>NUEVO MAYOR</v>
      </c>
      <c r="O595" s="89">
        <v>7920.51</v>
      </c>
      <c r="P595" s="89" t="str">
        <v/>
      </c>
      <c r="Q595" s="89">
        <v>2376.1529999999998</v>
      </c>
      <c r="R595" s="89">
        <v>2376.1529999999998</v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>
        <v>1</v>
      </c>
    </row>
    <row r="596" spans="1:24">
      <c r="A596" s="26">
        <v>428</v>
      </c>
      <c r="B596" s="87">
        <v>46230.633298611101</v>
      </c>
      <c r="C596" s="87">
        <v>46230.638055555602</v>
      </c>
      <c r="D596" t="str">
        <v>anónimo</v>
      </c>
      <c r="E596" t="str">
        <v/>
      </c>
      <c r="F596" s="68">
        <v>46230</v>
      </c>
      <c r="G596" s="88">
        <v>46230</v>
      </c>
      <c r="H596" t="str">
        <v>JENNIFER AVENDAÑO SUR</v>
      </c>
      <c r="I596" t="str">
        <v>ALFREDO DROUAILLET RICO</v>
      </c>
      <c r="J596" s="82" t="str">
        <v/>
      </c>
      <c r="K596" t="str">
        <v>DORA611129HVZRCL05</v>
      </c>
      <c r="L596" s="82">
        <v>23146116</v>
      </c>
      <c r="M596" s="82">
        <v>5218123977802</v>
      </c>
      <c r="N596" t="str">
        <v>NUEVO MAYOR</v>
      </c>
      <c r="O596" s="89">
        <v>9081.52</v>
      </c>
      <c r="P596" s="89" t="str">
        <v/>
      </c>
      <c r="Q596" s="89">
        <v>2724.4560000000001</v>
      </c>
      <c r="R596" s="89">
        <v>2724.4560000000001</v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>
        <v>1</v>
      </c>
    </row>
    <row r="597" spans="1:24">
      <c r="A597" s="26">
        <v>432</v>
      </c>
      <c r="B597" s="87">
        <v>46230.642523148097</v>
      </c>
      <c r="C597" s="87">
        <v>46230.645636574103</v>
      </c>
      <c r="D597" t="str">
        <v>anónimo</v>
      </c>
      <c r="E597" t="str">
        <v/>
      </c>
      <c r="F597" s="68">
        <v>46230</v>
      </c>
      <c r="G597" s="88">
        <v>46230</v>
      </c>
      <c r="H597" t="str">
        <v>MAGALI MARTINEZ EXT 2</v>
      </c>
      <c r="I597" t="str">
        <v>LEONCIO AURELIANO VAZQUEZ RAMIREZ</v>
      </c>
      <c r="J597" s="82" t="str">
        <v>37966301154</v>
      </c>
      <c r="K597" t="str">
        <v>VARL630226HDFZMN08</v>
      </c>
      <c r="L597" s="82">
        <v>2</v>
      </c>
      <c r="M597" s="82">
        <v>5552989235</v>
      </c>
      <c r="N597" t="str">
        <v>COMPRA MAYOR</v>
      </c>
      <c r="O597" s="89">
        <v>9081.52</v>
      </c>
      <c r="P597" s="89">
        <v>2518.66</v>
      </c>
      <c r="Q597" s="89">
        <v>2724.4560000000001</v>
      </c>
      <c r="R597" s="89">
        <v>205.79600000000028</v>
      </c>
      <c r="S597">
        <v>46143</v>
      </c>
      <c r="T597" t="str">
        <v/>
      </c>
      <c r="U597" t="str">
        <v/>
      </c>
      <c r="V597" t="str">
        <v/>
      </c>
      <c r="W597" t="str">
        <v/>
      </c>
      <c r="X597">
        <v>2</v>
      </c>
    </row>
    <row r="598" spans="1:24">
      <c r="A598" s="26">
        <v>435</v>
      </c>
      <c r="B598" s="87">
        <v>46230.565520833297</v>
      </c>
      <c r="C598" s="87">
        <v>46230.653622685197</v>
      </c>
      <c r="D598" t="str">
        <v>anónimo</v>
      </c>
      <c r="E598" t="str">
        <v/>
      </c>
      <c r="F598" s="68">
        <v>46230</v>
      </c>
      <c r="G598" s="88">
        <v>46229</v>
      </c>
      <c r="H598" t="str">
        <v>FERNANDA CASTILLO C/C</v>
      </c>
      <c r="I598" t="str">
        <v>YOLANDA GONZALEZ GOMEZ</v>
      </c>
      <c r="J598" s="82">
        <v>65684213518</v>
      </c>
      <c r="K598" t="str">
        <v>GOGY670415MTCNML08</v>
      </c>
      <c r="L598" s="82">
        <v>23122648</v>
      </c>
      <c r="M598" s="82">
        <v>9141090525</v>
      </c>
      <c r="N598" t="str">
        <v>COMPRA MAYOR</v>
      </c>
      <c r="O598" s="89">
        <v>10640.23</v>
      </c>
      <c r="P598" s="89">
        <v>2540.4499999999998</v>
      </c>
      <c r="Q598" s="89">
        <v>3192.069</v>
      </c>
      <c r="R598" s="89">
        <v>651.61900000000014</v>
      </c>
      <c r="S598">
        <v>44256</v>
      </c>
      <c r="T598" t="str">
        <v/>
      </c>
      <c r="U598" t="str">
        <v/>
      </c>
      <c r="V598" t="str">
        <v/>
      </c>
      <c r="W598" t="str">
        <v/>
      </c>
      <c r="X598">
        <v>2</v>
      </c>
    </row>
    <row r="599" spans="1:24">
      <c r="A599" s="26">
        <v>436</v>
      </c>
      <c r="B599" s="87">
        <v>46230.615671296298</v>
      </c>
      <c r="C599" s="87">
        <v>46230.655740740702</v>
      </c>
      <c r="D599" t="str">
        <v>anónimo</v>
      </c>
      <c r="E599" t="str">
        <v/>
      </c>
      <c r="F599" s="68">
        <v>46230</v>
      </c>
      <c r="G599" s="88">
        <v>46230</v>
      </c>
      <c r="H599" t="str">
        <v>ROSA CASTRO SUR</v>
      </c>
      <c r="I599" t="str">
        <v xml:space="preserve">HUGO FLAVIO OLIVERIO GARCIA RUIZ </v>
      </c>
      <c r="J599" s="82">
        <v>53755825105</v>
      </c>
      <c r="K599" t="str">
        <v>GARH580326HMNRZG08</v>
      </c>
      <c r="L599" s="82">
        <v>23146286</v>
      </c>
      <c r="M599" s="82">
        <v>5214438430021</v>
      </c>
      <c r="N599" t="str">
        <v>NUEVO MAYOR</v>
      </c>
      <c r="O599" s="89">
        <v>6262.86</v>
      </c>
      <c r="P599" s="89" t="str">
        <v/>
      </c>
      <c r="Q599" s="89">
        <v>1878.8579999999997</v>
      </c>
      <c r="R599" s="89">
        <v>1878.8579999999997</v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>
        <v>1</v>
      </c>
    </row>
    <row r="600" spans="1:24">
      <c r="A600" s="26">
        <v>440</v>
      </c>
      <c r="B600" s="87">
        <v>46230.665439814802</v>
      </c>
      <c r="C600" s="87">
        <v>46230.668310185203</v>
      </c>
      <c r="D600" t="str">
        <v>anónimo</v>
      </c>
      <c r="E600" t="str">
        <v/>
      </c>
      <c r="F600" s="68">
        <v>46230</v>
      </c>
      <c r="G600" s="88">
        <v>46230</v>
      </c>
      <c r="H600" t="str">
        <v>XIMENA RIVERA SUR</v>
      </c>
      <c r="I600" t="str">
        <v>SAN JUANA CARREON URQUIETA</v>
      </c>
      <c r="J600" s="82">
        <v>32806322841</v>
      </c>
      <c r="K600" t="str">
        <v/>
      </c>
      <c r="L600" s="82">
        <v>23143752</v>
      </c>
      <c r="M600" s="82">
        <v>5218662531251</v>
      </c>
      <c r="N600" t="str">
        <v>COMPRA MENOR</v>
      </c>
      <c r="O600" s="89">
        <v>22238.35</v>
      </c>
      <c r="P600" s="89">
        <v>6671.01</v>
      </c>
      <c r="Q600" s="89">
        <v>6671.5049999999992</v>
      </c>
      <c r="R600" s="89">
        <v>0.49499999999898137</v>
      </c>
      <c r="S600">
        <v>46204</v>
      </c>
      <c r="T600" t="str">
        <v/>
      </c>
      <c r="U600" t="str">
        <v/>
      </c>
      <c r="V600" t="str">
        <v/>
      </c>
      <c r="W600" t="str">
        <v/>
      </c>
      <c r="X600">
        <v>2</v>
      </c>
    </row>
    <row r="601" spans="1:24">
      <c r="A601" s="26">
        <v>443</v>
      </c>
      <c r="B601" s="87">
        <v>46230.6710648148</v>
      </c>
      <c r="C601" s="87">
        <v>46230.672627314802</v>
      </c>
      <c r="D601" t="str">
        <v>anónimo</v>
      </c>
      <c r="E601" t="str">
        <v/>
      </c>
      <c r="F601" s="68">
        <v>46230</v>
      </c>
      <c r="G601" s="88">
        <v>46223</v>
      </c>
      <c r="H601" t="str">
        <v>LITZY MARTINEZ C/C</v>
      </c>
      <c r="I601" t="str">
        <v xml:space="preserve">maria patricia monroy gomez </v>
      </c>
      <c r="J601" s="82" t="str">
        <v/>
      </c>
      <c r="K601" t="str">
        <v>MOGP630107MDFNMT06</v>
      </c>
      <c r="L601" s="82">
        <v>22840062</v>
      </c>
      <c r="M601" s="82">
        <v>5215574094701</v>
      </c>
      <c r="N601" t="str">
        <v>NUEVO MAYOR</v>
      </c>
      <c r="O601" s="89">
        <v>8539.89</v>
      </c>
      <c r="P601" s="89" t="str">
        <v/>
      </c>
      <c r="Q601" s="89">
        <v>2561.9669999999996</v>
      </c>
      <c r="R601" s="89">
        <v>2561.9669999999996</v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>
        <v>1</v>
      </c>
    </row>
    <row r="602" spans="1:24">
      <c r="A602" s="26">
        <v>444</v>
      </c>
      <c r="B602" s="87">
        <v>46230.653645833299</v>
      </c>
      <c r="C602" s="87">
        <v>46230.673831018503</v>
      </c>
      <c r="D602" t="str">
        <v>anónimo</v>
      </c>
      <c r="E602" t="str">
        <v/>
      </c>
      <c r="F602" s="68">
        <v>46230</v>
      </c>
      <c r="G602" s="88">
        <v>46227</v>
      </c>
      <c r="H602" t="str">
        <v>FERNANDA CASTILLO C/C</v>
      </c>
      <c r="I602" t="str">
        <v>GAMALIEL LLANES OVALLE</v>
      </c>
      <c r="J602" s="82" t="str">
        <v/>
      </c>
      <c r="K602" t="str">
        <v>LAOG570613HCLLVM03</v>
      </c>
      <c r="L602" s="82">
        <v>23051568</v>
      </c>
      <c r="M602" s="82">
        <v>8184583932</v>
      </c>
      <c r="N602" t="str">
        <v>COMPRA MAYOR</v>
      </c>
      <c r="O602" s="89">
        <v>91170.94</v>
      </c>
      <c r="P602" s="89">
        <v>14416.49</v>
      </c>
      <c r="Q602" s="89">
        <v>27351.281999999999</v>
      </c>
      <c r="R602" s="89">
        <v>12934.791999999999</v>
      </c>
      <c r="S602">
        <v>45870</v>
      </c>
      <c r="T602" t="str">
        <v/>
      </c>
      <c r="U602" t="str">
        <v/>
      </c>
      <c r="V602" t="str">
        <v/>
      </c>
      <c r="W602" t="str">
        <v/>
      </c>
      <c r="X602">
        <v>2</v>
      </c>
    </row>
    <row r="603" spans="1:24">
      <c r="A603" s="26">
        <v>447</v>
      </c>
      <c r="B603" s="87">
        <v>46230.681192129603</v>
      </c>
      <c r="C603" s="87">
        <v>46230.685312499998</v>
      </c>
      <c r="D603" t="str">
        <v>anónimo</v>
      </c>
      <c r="E603" t="str">
        <v/>
      </c>
      <c r="F603" s="68">
        <v>46230</v>
      </c>
      <c r="G603" s="88">
        <v>46229</v>
      </c>
      <c r="H603" t="str">
        <v>LILIANA MARTINEZ SUR</v>
      </c>
      <c r="I603" t="str">
        <v>JOSE AVALOS HERRERA</v>
      </c>
      <c r="J603" s="82">
        <v>53745712025</v>
      </c>
      <c r="K603" t="str">
        <v>AAHJ571125HMNVRS07</v>
      </c>
      <c r="L603" s="82">
        <v>23123684</v>
      </c>
      <c r="M603" s="82">
        <v>5214443754226</v>
      </c>
      <c r="N603" t="str">
        <v>RESTRINGIDA</v>
      </c>
      <c r="O603" s="89">
        <v>14634.74</v>
      </c>
      <c r="P603" s="89">
        <v>4046.35</v>
      </c>
      <c r="Q603" s="89">
        <v>4390.4219999999996</v>
      </c>
      <c r="R603" s="89">
        <v>344.07199999999966</v>
      </c>
      <c r="S603">
        <v>46143</v>
      </c>
      <c r="T603" t="str">
        <v/>
      </c>
      <c r="U603" t="str">
        <v/>
      </c>
      <c r="V603" t="str">
        <v/>
      </c>
      <c r="W603" t="str">
        <v/>
      </c>
      <c r="X603">
        <v>2</v>
      </c>
    </row>
    <row r="604" spans="1:24">
      <c r="A604" s="26">
        <v>449</v>
      </c>
      <c r="B604" s="87">
        <v>46230.694039351903</v>
      </c>
      <c r="C604" s="87">
        <v>46230.6949074074</v>
      </c>
      <c r="D604" t="str">
        <v>anónimo</v>
      </c>
      <c r="E604" t="str">
        <v/>
      </c>
      <c r="F604" s="68">
        <v>46230</v>
      </c>
      <c r="G604" s="88">
        <v>46230</v>
      </c>
      <c r="H604" t="str">
        <v>DEYANIRA CORDOVA C/C</v>
      </c>
      <c r="I604" t="str">
        <v xml:space="preserve">JUAN ANTONIO </v>
      </c>
      <c r="J604" s="82">
        <v>23796211722</v>
      </c>
      <c r="K604" t="str">
        <v/>
      </c>
      <c r="L604" s="82">
        <v>23123074</v>
      </c>
      <c r="M604" s="82">
        <v>5216691972850</v>
      </c>
      <c r="N604" t="str">
        <v>RESTRINGIDA</v>
      </c>
      <c r="O604" s="89">
        <v>21328.46</v>
      </c>
      <c r="P604" s="89">
        <v>6398.05</v>
      </c>
      <c r="Q604" s="89">
        <v>6398.5379999999996</v>
      </c>
      <c r="R604" s="89">
        <v>0.48799999999937427</v>
      </c>
      <c r="S604">
        <v>46023</v>
      </c>
      <c r="T604" t="str">
        <v/>
      </c>
      <c r="U604" t="str">
        <v/>
      </c>
      <c r="V604" t="str">
        <v/>
      </c>
      <c r="W604" t="str">
        <v/>
      </c>
      <c r="X604">
        <v>2</v>
      </c>
    </row>
    <row r="605" spans="1:24">
      <c r="A605" s="26">
        <v>455</v>
      </c>
      <c r="B605" s="87">
        <v>46230.655763888899</v>
      </c>
      <c r="C605" s="87">
        <v>46230.716412037</v>
      </c>
      <c r="D605" t="str">
        <v>anónimo</v>
      </c>
      <c r="E605" t="str">
        <v/>
      </c>
      <c r="F605" s="68">
        <v>46230</v>
      </c>
      <c r="G605" s="88">
        <v>46230</v>
      </c>
      <c r="H605" t="str">
        <v>ROSA CASTRO SUR</v>
      </c>
      <c r="I605" t="str">
        <v xml:space="preserve">JESUS LOPEZ MARTINEZ </v>
      </c>
      <c r="J605" s="82">
        <v>43775949928</v>
      </c>
      <c r="K605" t="str">
        <v>LOMJ590817HNLPRS00</v>
      </c>
      <c r="L605" s="82">
        <v>23139420</v>
      </c>
      <c r="M605" s="82">
        <v>5218180120560</v>
      </c>
      <c r="N605" t="str">
        <v>NUEVO MAYOR</v>
      </c>
      <c r="O605" s="89">
        <v>13374.35</v>
      </c>
      <c r="P605" s="89">
        <v>608.92999999999995</v>
      </c>
      <c r="Q605" s="89">
        <v>4012.3049999999998</v>
      </c>
      <c r="R605" s="89">
        <v>3403.375</v>
      </c>
      <c r="S605">
        <v>46327</v>
      </c>
      <c r="T605" t="str">
        <v/>
      </c>
      <c r="U605" t="str">
        <v/>
      </c>
      <c r="V605" t="str">
        <v/>
      </c>
      <c r="W605" t="str">
        <v/>
      </c>
      <c r="X605">
        <v>2</v>
      </c>
    </row>
    <row r="606" spans="1:24">
      <c r="A606" s="26">
        <v>457</v>
      </c>
      <c r="B606" s="87">
        <v>46230.717928240701</v>
      </c>
      <c r="C606" s="87">
        <v>46230.718541666698</v>
      </c>
      <c r="D606" t="str">
        <v>anónimo</v>
      </c>
      <c r="E606" t="str">
        <v/>
      </c>
      <c r="F606" s="68">
        <v>46230</v>
      </c>
      <c r="G606" s="88">
        <v>46230</v>
      </c>
      <c r="H606" t="str">
        <v>DULCE FRANCO C/C</v>
      </c>
      <c r="I606" t="str">
        <v>JOSE LUIS MEZA PINEDA</v>
      </c>
      <c r="J606" s="82" t="str">
        <v/>
      </c>
      <c r="K606" t="str">
        <v>MEPL650621HCLZNS06</v>
      </c>
      <c r="L606" s="82">
        <v>23149528</v>
      </c>
      <c r="M606" s="82">
        <v>5216673000878</v>
      </c>
      <c r="N606" t="str">
        <v>NUEVO MENOR</v>
      </c>
      <c r="O606" s="89">
        <v>9760.32</v>
      </c>
      <c r="P606" s="89">
        <v>2475.87</v>
      </c>
      <c r="Q606" s="89">
        <v>2928.096</v>
      </c>
      <c r="R606" s="89">
        <v>452.22600000000011</v>
      </c>
      <c r="S606">
        <v>46784</v>
      </c>
      <c r="T606" t="str">
        <v/>
      </c>
      <c r="U606" t="str">
        <v/>
      </c>
      <c r="V606" t="str">
        <v/>
      </c>
      <c r="W606" t="str">
        <v/>
      </c>
      <c r="X606">
        <v>2</v>
      </c>
    </row>
    <row r="607" spans="1:24">
      <c r="A607" s="26">
        <v>463</v>
      </c>
      <c r="B607" s="87">
        <v>46230.719942129603</v>
      </c>
      <c r="C607" s="87">
        <v>46230.720347222203</v>
      </c>
      <c r="D607" t="str">
        <v>anónimo</v>
      </c>
      <c r="E607" t="str">
        <v/>
      </c>
      <c r="F607" s="68">
        <v>46230</v>
      </c>
      <c r="G607" s="88">
        <v>46230</v>
      </c>
      <c r="H607" t="str">
        <v>MARISOL HERNANDEZ C/C</v>
      </c>
      <c r="I607" t="str">
        <v>Ma. Del Carmen Carrillo Garcia</v>
      </c>
      <c r="J607" s="82" t="str">
        <v/>
      </c>
      <c r="K607" t="str">
        <v>CAGC641228MCMRRR08</v>
      </c>
      <c r="L607" s="82">
        <v>23151394</v>
      </c>
      <c r="M607" s="82">
        <v>3121035041</v>
      </c>
      <c r="N607" t="str">
        <v>NUEVO MAYOR</v>
      </c>
      <c r="O607" s="89">
        <v>9683.44</v>
      </c>
      <c r="P607" s="89" t="str">
        <v/>
      </c>
      <c r="Q607" s="89">
        <v>2905.0320000000002</v>
      </c>
      <c r="R607" s="89">
        <v>2905.0320000000002</v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>
        <v>1</v>
      </c>
    </row>
    <row r="608" spans="1:24">
      <c r="A608" s="26">
        <v>465</v>
      </c>
      <c r="B608" s="87">
        <v>46230.719004629602</v>
      </c>
      <c r="C608" s="87">
        <v>46230.725972222201</v>
      </c>
      <c r="D608" t="str">
        <v>anónimo</v>
      </c>
      <c r="E608" t="str">
        <v/>
      </c>
      <c r="F608" s="68">
        <v>46230</v>
      </c>
      <c r="G608" s="88">
        <v>46229</v>
      </c>
      <c r="H608" t="str">
        <v>LILIANA MARTINEZ SUR</v>
      </c>
      <c r="I608" t="str">
        <v>JESUS NUÑEZ GOMEZ</v>
      </c>
      <c r="J608" s="82" t="str">
        <v/>
      </c>
      <c r="K608" t="str">
        <v>NUGJ620912HCLXMS00</v>
      </c>
      <c r="L608" s="82">
        <v>23125602</v>
      </c>
      <c r="M608" s="82">
        <v>5218716111816</v>
      </c>
      <c r="N608" t="str">
        <v>COMPRA MENOR</v>
      </c>
      <c r="O608" s="89">
        <v>9187.48</v>
      </c>
      <c r="P608" s="89">
        <v>2644.78</v>
      </c>
      <c r="Q608" s="89">
        <v>2756.2439999999997</v>
      </c>
      <c r="R608" s="89">
        <v>111.46399999999949</v>
      </c>
      <c r="S608">
        <v>45839</v>
      </c>
      <c r="T608" t="str">
        <v/>
      </c>
      <c r="U608" t="str">
        <v/>
      </c>
      <c r="V608" t="str">
        <v/>
      </c>
      <c r="W608" t="str">
        <v/>
      </c>
      <c r="X608">
        <v>2</v>
      </c>
    </row>
    <row r="609" spans="1:24">
      <c r="A609" s="26">
        <v>468</v>
      </c>
      <c r="B609" s="87">
        <v>46230.729641203703</v>
      </c>
      <c r="C609" s="87">
        <v>46230.730439814797</v>
      </c>
      <c r="D609" t="str">
        <v>anónimo</v>
      </c>
      <c r="E609" t="str">
        <v/>
      </c>
      <c r="F609" s="68">
        <v>46230</v>
      </c>
      <c r="G609" s="88">
        <v>46230</v>
      </c>
      <c r="H609" t="str">
        <v>MAGALI MARTINEZ EXT 2</v>
      </c>
      <c r="I609" t="str">
        <v>ANDRES SALA RIVERA</v>
      </c>
      <c r="J609" s="82" t="str">
        <v>31846725773</v>
      </c>
      <c r="K609" t="str">
        <v>SARA671130HDGLVN07</v>
      </c>
      <c r="L609" s="82">
        <v>2</v>
      </c>
      <c r="M609" s="82">
        <v>8711641142</v>
      </c>
      <c r="N609" t="str">
        <v>COMPRA MAYOR</v>
      </c>
      <c r="O609" s="89">
        <v>9637.44</v>
      </c>
      <c r="P609" s="89">
        <v>2556.56</v>
      </c>
      <c r="Q609" s="89">
        <v>2891.232</v>
      </c>
      <c r="R609" s="89">
        <v>334.67200000000003</v>
      </c>
      <c r="S609">
        <v>46023</v>
      </c>
      <c r="T609" t="str">
        <v/>
      </c>
      <c r="U609" t="str">
        <v/>
      </c>
      <c r="V609" t="str">
        <v/>
      </c>
      <c r="W609" t="str">
        <v/>
      </c>
      <c r="X609">
        <v>2</v>
      </c>
    </row>
    <row r="610" spans="1:24">
      <c r="A610" s="26">
        <v>470</v>
      </c>
      <c r="B610" s="87">
        <v>46230.734502314801</v>
      </c>
      <c r="C610" s="87">
        <v>46230.738449074102</v>
      </c>
      <c r="D610" t="str">
        <v>anónimo</v>
      </c>
      <c r="E610" t="str">
        <v/>
      </c>
      <c r="F610" s="68">
        <v>46230</v>
      </c>
      <c r="G610" s="88">
        <v>46230</v>
      </c>
      <c r="H610" t="str">
        <v>LILIANA MARTINEZ SUR</v>
      </c>
      <c r="I610" t="str">
        <v>JAVIER MORENO MENDOZA</v>
      </c>
      <c r="J610" s="82" t="str">
        <v/>
      </c>
      <c r="K610" t="str">
        <v>MOMJ570307HVZRNV01</v>
      </c>
      <c r="L610" s="82">
        <v>23143120</v>
      </c>
      <c r="M610" s="82">
        <v>5215656886821</v>
      </c>
      <c r="N610" t="str">
        <v>COMPRA MAYOR</v>
      </c>
      <c r="O610" s="89">
        <v>10201.41</v>
      </c>
      <c r="P610" s="89">
        <v>2831.96</v>
      </c>
      <c r="Q610" s="89">
        <v>3060.4229999999998</v>
      </c>
      <c r="R610" s="89">
        <v>228.46299999999974</v>
      </c>
      <c r="S610">
        <v>46174</v>
      </c>
      <c r="T610" t="str">
        <v/>
      </c>
      <c r="U610" t="str">
        <v/>
      </c>
      <c r="V610" t="str">
        <v/>
      </c>
      <c r="W610" t="str">
        <v/>
      </c>
      <c r="X610">
        <v>2</v>
      </c>
    </row>
    <row r="611" spans="1:24">
      <c r="A611" s="26">
        <v>475</v>
      </c>
      <c r="B611" s="87">
        <v>46230.745949074102</v>
      </c>
      <c r="C611" s="87">
        <v>46230.756458333301</v>
      </c>
      <c r="D611" t="str">
        <v>anónimo</v>
      </c>
      <c r="E611" t="str">
        <v/>
      </c>
      <c r="F611" s="68">
        <v>46230</v>
      </c>
      <c r="G611" s="88">
        <v>46230</v>
      </c>
      <c r="H611" t="str">
        <v>HANIA GARCIA C/C</v>
      </c>
      <c r="I611" t="str">
        <v>Teofilo Rosas Rosas</v>
      </c>
      <c r="J611" s="82" t="str">
        <v/>
      </c>
      <c r="K611" t="str">
        <v>RORT530206HBSSSF05</v>
      </c>
      <c r="L611" s="82">
        <v>23150264</v>
      </c>
      <c r="M611" s="82">
        <v>6241758249</v>
      </c>
      <c r="N611" t="str">
        <v>COMPRA MENOR</v>
      </c>
      <c r="O611" s="89">
        <v>5257.5</v>
      </c>
      <c r="P611" s="89">
        <v>1002.12</v>
      </c>
      <c r="Q611" s="89">
        <v>1577.25</v>
      </c>
      <c r="R611" s="89">
        <v>82.400000000000432</v>
      </c>
      <c r="S611">
        <v>46204</v>
      </c>
      <c r="T611" t="str">
        <v/>
      </c>
      <c r="U611" t="str">
        <v/>
      </c>
      <c r="V611" t="str">
        <v/>
      </c>
      <c r="W611" t="str">
        <v/>
      </c>
      <c r="X611">
        <v>2</v>
      </c>
    </row>
    <row r="612" spans="1:24">
      <c r="A612" s="26">
        <v>478</v>
      </c>
      <c r="B612" s="87">
        <v>46230.752326388902</v>
      </c>
      <c r="C612" s="87">
        <v>46230.763159722199</v>
      </c>
      <c r="D612" t="str">
        <v>anónimo</v>
      </c>
      <c r="E612" t="str">
        <v/>
      </c>
      <c r="F612" s="68">
        <v>46230</v>
      </c>
      <c r="G612" s="88">
        <v>46230</v>
      </c>
      <c r="H612" t="str">
        <v>FERNANDA CASTILLO C/C</v>
      </c>
      <c r="I612" t="str">
        <v>JULIO CESAR MARQUEZ BOROSTIETA</v>
      </c>
      <c r="J612" s="82">
        <v>43816028237</v>
      </c>
      <c r="K612" t="str">
        <v/>
      </c>
      <c r="L612" s="82">
        <v>23152874</v>
      </c>
      <c r="M612" s="82">
        <v>8116379025</v>
      </c>
      <c r="N612" t="str">
        <v>COMPRA MAYOR</v>
      </c>
      <c r="O612" s="89">
        <v>12062.73</v>
      </c>
      <c r="P612" s="89">
        <v>3348.99</v>
      </c>
      <c r="Q612" s="89">
        <v>3618.819</v>
      </c>
      <c r="R612" s="89">
        <v>269.82900000000018</v>
      </c>
      <c r="S612">
        <v>46054</v>
      </c>
      <c r="T612" t="str">
        <v/>
      </c>
      <c r="U612" t="str">
        <v/>
      </c>
      <c r="V612" t="str">
        <v/>
      </c>
      <c r="W612" t="str">
        <v/>
      </c>
      <c r="X612">
        <v>2</v>
      </c>
    </row>
    <row r="613" spans="1:24">
      <c r="A613" s="26">
        <v>482</v>
      </c>
      <c r="B613" s="87">
        <v>46230.734606481499</v>
      </c>
      <c r="C613" s="87">
        <v>46230.786562499998</v>
      </c>
      <c r="D613" t="str">
        <v>anónimo</v>
      </c>
      <c r="E613" t="str">
        <v/>
      </c>
      <c r="F613" s="68">
        <v>46230</v>
      </c>
      <c r="G613" s="88">
        <v>46230</v>
      </c>
      <c r="H613" t="str">
        <v>MARISOL HERNANDEZ C/C</v>
      </c>
      <c r="I613" t="str">
        <v>ricardo de la o rodirguez</v>
      </c>
      <c r="J613" s="82" t="str">
        <v/>
      </c>
      <c r="K613" t="str">
        <v>OXRR540328HCHXDC07</v>
      </c>
      <c r="L613" s="82">
        <v>23152772</v>
      </c>
      <c r="M613" s="82">
        <v>6141026323</v>
      </c>
      <c r="N613" t="str">
        <v>NUEVO MAYOR</v>
      </c>
      <c r="O613" s="89">
        <v>33404.51</v>
      </c>
      <c r="P613" s="89" t="str">
        <v/>
      </c>
      <c r="Q613" s="89">
        <v>10021.353000000001</v>
      </c>
      <c r="R613" s="89">
        <v>10021.353000000001</v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>
        <v>1</v>
      </c>
    </row>
    <row r="614" spans="1:24">
      <c r="A614" s="26">
        <v>483</v>
      </c>
      <c r="B614" s="87">
        <v>46231.329618055599</v>
      </c>
      <c r="C614" s="87">
        <v>46231.330983796302</v>
      </c>
      <c r="D614" t="str">
        <v>anónimo</v>
      </c>
      <c r="E614" t="str">
        <v/>
      </c>
      <c r="F614" s="68">
        <v>46231</v>
      </c>
      <c r="G614" s="88">
        <v>46231</v>
      </c>
      <c r="H614" t="str">
        <v>MAGALI MARTINEZ EXT 2</v>
      </c>
      <c r="I614" t="str">
        <v>ROMAN MARIO MEDINA BAUTISTA</v>
      </c>
      <c r="J614" s="82">
        <v>10796119666</v>
      </c>
      <c r="K614" t="str">
        <v>MEBR610809HDFDTM06</v>
      </c>
      <c r="L614" s="82">
        <v>2</v>
      </c>
      <c r="M614" s="82">
        <v>5512327380</v>
      </c>
      <c r="N614" t="str">
        <v>COMPRA MENOR</v>
      </c>
      <c r="O614" s="89">
        <v>7882.89</v>
      </c>
      <c r="P614" s="89">
        <v>2353.0700000000002</v>
      </c>
      <c r="Q614" s="89">
        <v>2364.8670000000002</v>
      </c>
      <c r="R614" s="89">
        <v>11.797000000000025</v>
      </c>
      <c r="S614">
        <v>46174</v>
      </c>
      <c r="T614" t="str">
        <v/>
      </c>
      <c r="U614" t="str">
        <v/>
      </c>
      <c r="V614" t="str">
        <v/>
      </c>
      <c r="W614" t="str">
        <v/>
      </c>
      <c r="X614">
        <v>2</v>
      </c>
    </row>
    <row r="615" spans="1:24">
      <c r="A615" s="26">
        <v>485</v>
      </c>
      <c r="B615" s="87">
        <v>46231.323194444398</v>
      </c>
      <c r="C615" s="87">
        <v>46231.363032407397</v>
      </c>
      <c r="D615" t="str">
        <v>anónimo</v>
      </c>
      <c r="E615" t="str">
        <v/>
      </c>
      <c r="F615" s="68">
        <v>46231</v>
      </c>
      <c r="G615" s="88">
        <v>46231</v>
      </c>
      <c r="H615" t="str">
        <v>YAMILETH CARDONA EXT 2</v>
      </c>
      <c r="I615" t="str">
        <v>CANDELARIA TORRES GOMEZ</v>
      </c>
      <c r="J615" s="82">
        <v>54796366042</v>
      </c>
      <c r="K615" t="str">
        <v>TOGC630224MJCRMN00</v>
      </c>
      <c r="L615" s="82">
        <v>2</v>
      </c>
      <c r="M615" s="82">
        <v>3325768776</v>
      </c>
      <c r="N615" t="str">
        <v>COMPRA MAYOR</v>
      </c>
      <c r="O615" s="89">
        <v>9081.52</v>
      </c>
      <c r="P615" s="89">
        <v>2516.44</v>
      </c>
      <c r="Q615" s="89">
        <v>2724.4560000000001</v>
      </c>
      <c r="R615" s="89">
        <v>208.01600000000008</v>
      </c>
      <c r="S615">
        <v>46204</v>
      </c>
      <c r="T615" t="str">
        <v/>
      </c>
      <c r="U615" t="str">
        <v/>
      </c>
      <c r="V615" t="str">
        <v/>
      </c>
      <c r="W615" t="str">
        <v/>
      </c>
      <c r="X615">
        <v>2</v>
      </c>
    </row>
    <row r="616" spans="1:24">
      <c r="A616" s="26">
        <v>490</v>
      </c>
      <c r="B616" s="87">
        <v>46231.3833564815</v>
      </c>
      <c r="C616" s="87">
        <v>46231.385451388902</v>
      </c>
      <c r="D616" t="str">
        <v>anónimo</v>
      </c>
      <c r="E616" t="str">
        <v/>
      </c>
      <c r="F616" s="68">
        <v>46231</v>
      </c>
      <c r="G616" s="88">
        <v>46230</v>
      </c>
      <c r="H616" t="str">
        <v>CAROLINA RAMIREZ C/C</v>
      </c>
      <c r="I616" t="str">
        <v>VIOLETA AVENDAÑO ZAVALA</v>
      </c>
      <c r="J616" s="82" t="str">
        <v/>
      </c>
      <c r="K616" t="str">
        <v>AEZV690228MCSVVL06</v>
      </c>
      <c r="L616" s="82">
        <v>23155636</v>
      </c>
      <c r="M616" s="82">
        <v>5219211951030</v>
      </c>
      <c r="N616" t="str">
        <v>COMPRA MENOR</v>
      </c>
      <c r="O616" s="89">
        <v>5642.22</v>
      </c>
      <c r="P616" s="89">
        <v>1176.29</v>
      </c>
      <c r="Q616" s="89">
        <v>1692.6659999999999</v>
      </c>
      <c r="R616" s="89">
        <v>292.95000000000073</v>
      </c>
      <c r="S616">
        <v>45474</v>
      </c>
      <c r="T616" t="str">
        <v/>
      </c>
      <c r="U616" t="str">
        <v/>
      </c>
      <c r="V616" t="str">
        <v/>
      </c>
      <c r="W616" t="str">
        <v/>
      </c>
      <c r="X616">
        <v>2</v>
      </c>
    </row>
    <row r="617" spans="1:24">
      <c r="A617" s="26">
        <v>491</v>
      </c>
      <c r="B617" s="87">
        <v>46231.382708333302</v>
      </c>
      <c r="C617" s="87">
        <v>46231.390150462998</v>
      </c>
      <c r="D617" t="str">
        <v>anónimo</v>
      </c>
      <c r="E617" t="str">
        <v/>
      </c>
      <c r="F617" s="68">
        <v>46231</v>
      </c>
      <c r="G617" s="88">
        <v>46231</v>
      </c>
      <c r="H617" t="str">
        <v>LUISA LARA SUR</v>
      </c>
      <c r="I617" t="str">
        <v>FLOR AZUCENA ELIZONDO TORRES</v>
      </c>
      <c r="J617" s="82">
        <v>2195787040</v>
      </c>
      <c r="K617" t="str">
        <v>EITF800413MBCLRL09</v>
      </c>
      <c r="L617" s="82">
        <v>23136534</v>
      </c>
      <c r="M617" s="82">
        <v>5216861572115</v>
      </c>
      <c r="N617" t="str">
        <v>NUEVO MAYOR</v>
      </c>
      <c r="O617" s="89">
        <v>8035.74</v>
      </c>
      <c r="P617" s="89" t="str">
        <v/>
      </c>
      <c r="Q617" s="89">
        <v>2410.7219999999998</v>
      </c>
      <c r="R617" s="89">
        <v>2410.7219999999998</v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>
        <v>1</v>
      </c>
    </row>
    <row r="618" spans="1:24">
      <c r="A618" s="26">
        <v>492</v>
      </c>
      <c r="B618" s="87">
        <v>46231.388993055603</v>
      </c>
      <c r="C618" s="87">
        <v>46231.3915277778</v>
      </c>
      <c r="D618" t="str">
        <v>anónimo</v>
      </c>
      <c r="E618" t="str">
        <v/>
      </c>
      <c r="F618" s="68">
        <v>46231</v>
      </c>
      <c r="G618" s="88">
        <v>46230</v>
      </c>
      <c r="H618" t="str">
        <v>CAROLINA RAMIREZ C/C</v>
      </c>
      <c r="I618" t="str">
        <v>VICTOR HUGO GONZALEZ</v>
      </c>
      <c r="J618" s="82">
        <v>40927330924</v>
      </c>
      <c r="K618" t="str">
        <v/>
      </c>
      <c r="L618" s="82">
        <v>23157096</v>
      </c>
      <c r="M618" s="82">
        <v>5218146154936</v>
      </c>
      <c r="N618" t="str">
        <v>NUEVO MAYOR</v>
      </c>
      <c r="O618" s="89">
        <v>9582.4699999999993</v>
      </c>
      <c r="P618" s="89" t="str">
        <v/>
      </c>
      <c r="Q618" s="89">
        <v>2874.7409999999995</v>
      </c>
      <c r="R618" s="89">
        <v>2874.7409999999995</v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>
        <v>1</v>
      </c>
    </row>
    <row r="619" spans="1:24">
      <c r="A619" s="26">
        <v>510</v>
      </c>
      <c r="B619" s="87">
        <v>46231.455717592602</v>
      </c>
      <c r="C619" s="87">
        <v>46231.456620370402</v>
      </c>
      <c r="D619" t="str">
        <v>anónimo</v>
      </c>
      <c r="E619" t="str">
        <v/>
      </c>
      <c r="F619" s="68">
        <v>46231</v>
      </c>
      <c r="G619" s="88">
        <v>46230</v>
      </c>
      <c r="H619" t="str">
        <v>CAROLINA RAMIREZ C/C</v>
      </c>
      <c r="I619" t="str">
        <v>MANUEL</v>
      </c>
      <c r="J619" s="82">
        <v>20916204561</v>
      </c>
      <c r="K619" t="str">
        <v/>
      </c>
      <c r="L619" s="82">
        <v>23159870</v>
      </c>
      <c r="M619" s="82">
        <v>5217221091523</v>
      </c>
      <c r="N619" t="str">
        <v>NUEVO MAYOR</v>
      </c>
      <c r="O619" s="89">
        <v>9760.32</v>
      </c>
      <c r="P619" s="89" t="str">
        <v/>
      </c>
      <c r="Q619" s="89">
        <v>2928.096</v>
      </c>
      <c r="R619" s="89">
        <v>2928.096</v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>
        <v>1</v>
      </c>
    </row>
    <row r="620" spans="1:24">
      <c r="A620" s="26">
        <v>512</v>
      </c>
      <c r="B620" s="87">
        <v>46231.457557870403</v>
      </c>
      <c r="C620" s="87">
        <v>46231.4609837963</v>
      </c>
      <c r="D620" t="str">
        <v>anónimo</v>
      </c>
      <c r="E620" t="str">
        <v/>
      </c>
      <c r="F620" s="68">
        <v>46231</v>
      </c>
      <c r="G620" s="88">
        <v>46229</v>
      </c>
      <c r="H620" t="str">
        <v>IRAN CASTILLO SUR</v>
      </c>
      <c r="I620" t="str">
        <v>NAZARIA SANTILLAN ARELLANO</v>
      </c>
      <c r="J620" s="82">
        <v>41845100589</v>
      </c>
      <c r="K620" t="str">
        <v>SAAN510612MSPNRZ06</v>
      </c>
      <c r="L620" s="82">
        <v>23123912</v>
      </c>
      <c r="M620" s="82">
        <v>5214444339686</v>
      </c>
      <c r="N620" t="str">
        <v>NUEVO MAYOR</v>
      </c>
      <c r="O620" s="89">
        <v>6104.8</v>
      </c>
      <c r="P620" s="89" t="str">
        <v/>
      </c>
      <c r="Q620" s="89">
        <v>1831.44</v>
      </c>
      <c r="R620" s="89">
        <v>1831.44</v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>
        <v>1</v>
      </c>
    </row>
    <row r="621" spans="1:24">
      <c r="A621" s="26">
        <v>513</v>
      </c>
      <c r="B621" s="87">
        <v>46231.386446759301</v>
      </c>
      <c r="C621" s="87">
        <v>46231.462314814802</v>
      </c>
      <c r="D621" t="str">
        <v>anónimo</v>
      </c>
      <c r="E621" t="str">
        <v/>
      </c>
      <c r="F621" s="68">
        <v>46231</v>
      </c>
      <c r="G621" s="88">
        <v>46231</v>
      </c>
      <c r="H621" t="str">
        <v>YAMILETH CARDONA EXT 2</v>
      </c>
      <c r="I621" t="str">
        <v>JOSE SALVADOR ROMERO IBARRA</v>
      </c>
      <c r="J621" s="82" t="str">
        <v>318763OO158</v>
      </c>
      <c r="K621" t="str">
        <v>ROIS630712HDGMBL00</v>
      </c>
      <c r="L621" s="82">
        <v>2</v>
      </c>
      <c r="M621" s="82">
        <v>8714672828</v>
      </c>
      <c r="N621" t="str">
        <v>NUEVO MAYOR</v>
      </c>
      <c r="O621" s="89">
        <v>9081.52</v>
      </c>
      <c r="P621" s="89" t="str">
        <v>879</v>
      </c>
      <c r="Q621" s="89">
        <v>2724.4560000000001</v>
      </c>
      <c r="R621" s="89">
        <v>1845.4560000000001</v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>
        <v>1</v>
      </c>
    </row>
    <row r="622" spans="1:24">
      <c r="A622" s="26">
        <v>515</v>
      </c>
      <c r="B622" s="87">
        <v>46231.459687499999</v>
      </c>
      <c r="C622" s="87">
        <v>46231.468935185199</v>
      </c>
      <c r="D622" t="str">
        <v>anónimo</v>
      </c>
      <c r="E622" t="str">
        <v/>
      </c>
      <c r="F622" s="68">
        <v>46231</v>
      </c>
      <c r="G622" s="88">
        <v>46231</v>
      </c>
      <c r="H622" t="str">
        <v>LUISA LARA SUR</v>
      </c>
      <c r="I622" t="str">
        <v>MARCO ANTONIO DELGADO DELGADO</v>
      </c>
      <c r="J622" s="82" t="str">
        <v/>
      </c>
      <c r="K622" t="str">
        <v>DEDM560712HVZLLR08</v>
      </c>
      <c r="L622" s="82">
        <v>23172938</v>
      </c>
      <c r="M622" s="82">
        <v>5218332650307</v>
      </c>
      <c r="N622" t="str">
        <v>NUEVO MENOR</v>
      </c>
      <c r="O622" s="89">
        <v>4519.22</v>
      </c>
      <c r="P622" s="89" t="str">
        <v/>
      </c>
      <c r="Q622" s="89">
        <v>1355.7660000000001</v>
      </c>
      <c r="R622" s="89">
        <v>346.24000000000069</v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>
        <v>1</v>
      </c>
    </row>
    <row r="623" spans="1:24">
      <c r="A623" s="26">
        <v>516</v>
      </c>
      <c r="B623" s="87">
        <v>46231.462280092601</v>
      </c>
      <c r="C623" s="87">
        <v>46231.469398148103</v>
      </c>
      <c r="D623" t="str">
        <v>anónimo</v>
      </c>
      <c r="E623" t="str">
        <v/>
      </c>
      <c r="F623" s="68">
        <v>46231</v>
      </c>
      <c r="G623" s="88">
        <v>46231</v>
      </c>
      <c r="H623" t="str">
        <v>ROSA CASTRO SUR</v>
      </c>
      <c r="I623" t="str">
        <v xml:space="preserve">PROFETA LOPEZ RAMIREZ </v>
      </c>
      <c r="J623" s="82">
        <v>72806224894</v>
      </c>
      <c r="K623" t="str">
        <v>LORP620331HOCPMR02</v>
      </c>
      <c r="L623" s="82">
        <v>23170974</v>
      </c>
      <c r="M623" s="82">
        <v>5219981076071</v>
      </c>
      <c r="N623" t="str">
        <v>COMPRA MAYOR</v>
      </c>
      <c r="O623" s="89">
        <v>7116.73</v>
      </c>
      <c r="P623" s="89">
        <v>1887.88</v>
      </c>
      <c r="Q623" s="89">
        <v>2135.0189999999998</v>
      </c>
      <c r="R623" s="89">
        <v>247.13899999999967</v>
      </c>
      <c r="S623">
        <v>45962</v>
      </c>
      <c r="T623" t="str">
        <v/>
      </c>
      <c r="U623" t="str">
        <v/>
      </c>
      <c r="V623" t="str">
        <v/>
      </c>
      <c r="W623" t="str">
        <v/>
      </c>
      <c r="X623">
        <v>2</v>
      </c>
    </row>
    <row r="624" spans="1:24">
      <c r="A624" s="26">
        <v>517</v>
      </c>
      <c r="B624" s="87">
        <v>46231.447881944398</v>
      </c>
      <c r="C624" s="87">
        <v>46231.472488425898</v>
      </c>
      <c r="D624" t="str">
        <v>anónimo</v>
      </c>
      <c r="E624" t="str">
        <v/>
      </c>
      <c r="F624" s="68">
        <v>46231</v>
      </c>
      <c r="G624" s="88">
        <v>46231</v>
      </c>
      <c r="H624" t="str">
        <v>ROSA CASTRO SUR</v>
      </c>
      <c r="I624" t="str">
        <v>AURELIA QUIÑONES ALVARADO</v>
      </c>
      <c r="J624" s="82">
        <v>3294466003</v>
      </c>
      <c r="K624" t="str">
        <v>QUAA660508MDGXLR07</v>
      </c>
      <c r="L624" s="82">
        <v>23102450</v>
      </c>
      <c r="M624" s="82">
        <v>5218641007439</v>
      </c>
      <c r="N624" t="str">
        <v>NUEVO MENOR</v>
      </c>
      <c r="O624" s="89">
        <v>5055.88</v>
      </c>
      <c r="P624" s="89" t="str">
        <v/>
      </c>
      <c r="Q624" s="89">
        <v>1516.7639999999999</v>
      </c>
      <c r="R624" s="89">
        <v>882.90000000000055</v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>
        <v>1</v>
      </c>
    </row>
    <row r="625" spans="1:24">
      <c r="A625" s="26">
        <v>518</v>
      </c>
      <c r="B625" s="87">
        <v>46231.472071759301</v>
      </c>
      <c r="C625" s="87">
        <v>46231.472488425898</v>
      </c>
      <c r="D625" t="str">
        <v>anónimo</v>
      </c>
      <c r="E625" t="str">
        <v/>
      </c>
      <c r="F625" s="68">
        <v>46231</v>
      </c>
      <c r="G625" s="88">
        <v>46230</v>
      </c>
      <c r="H625" t="str">
        <v>MARISOL HERNANDEZ C/C</v>
      </c>
      <c r="I625" t="str">
        <v>MARTIN ESPINO CEBALLOS</v>
      </c>
      <c r="J625" s="82" t="str">
        <v/>
      </c>
      <c r="K625" t="str">
        <v>EICM601112HMNSBR04</v>
      </c>
      <c r="L625" s="82">
        <v>23151996</v>
      </c>
      <c r="M625" s="82">
        <v>5532839376</v>
      </c>
      <c r="N625" t="str">
        <v>NUEVO MAYOR</v>
      </c>
      <c r="O625" s="89">
        <v>22845.68</v>
      </c>
      <c r="P625" s="89">
        <v>3231.68</v>
      </c>
      <c r="Q625" s="89">
        <v>6853.7039999999997</v>
      </c>
      <c r="R625" s="89">
        <v>3622.0239999999999</v>
      </c>
      <c r="S625">
        <v>46784</v>
      </c>
      <c r="T625" t="str">
        <v/>
      </c>
      <c r="U625" t="str">
        <v/>
      </c>
      <c r="V625" t="str">
        <v/>
      </c>
      <c r="W625" t="str">
        <v/>
      </c>
      <c r="X625">
        <v>2</v>
      </c>
    </row>
    <row r="626" spans="1:24">
      <c r="A626" s="26">
        <v>522</v>
      </c>
      <c r="B626" s="87">
        <v>46231.476076388899</v>
      </c>
      <c r="C626" s="87">
        <v>46231.481087963002</v>
      </c>
      <c r="D626" t="str">
        <v>anónimo</v>
      </c>
      <c r="E626" t="str">
        <v/>
      </c>
      <c r="F626" s="68">
        <v>46231</v>
      </c>
      <c r="G626" s="88">
        <v>46231</v>
      </c>
      <c r="H626" t="str">
        <v>JENNIFER AVENDAÑO SUR</v>
      </c>
      <c r="I626" t="str">
        <v>MARTIN FLORES RAMIREZ</v>
      </c>
      <c r="J626" s="82">
        <v>62806106308</v>
      </c>
      <c r="K626" t="str">
        <v xml:space="preserve">FORM610118HPLLMR06 </v>
      </c>
      <c r="L626" s="82">
        <v>23173190</v>
      </c>
      <c r="M626" s="82">
        <v>5212227122973</v>
      </c>
      <c r="N626" t="str">
        <v>NUEVO MAYOR</v>
      </c>
      <c r="O626" s="89">
        <v>12956.25</v>
      </c>
      <c r="P626" s="89" t="str">
        <v/>
      </c>
      <c r="Q626" s="89">
        <v>3886.875</v>
      </c>
      <c r="R626" s="89">
        <v>3886.875</v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>
        <v>1</v>
      </c>
    </row>
    <row r="627" spans="1:24">
      <c r="A627" s="26">
        <v>527</v>
      </c>
      <c r="B627" s="87">
        <v>46231.481296296297</v>
      </c>
      <c r="C627" s="87">
        <v>46231.485659722202</v>
      </c>
      <c r="D627" t="str">
        <v>anónimo</v>
      </c>
      <c r="E627" t="str">
        <v/>
      </c>
      <c r="F627" s="68">
        <v>46231</v>
      </c>
      <c r="G627" s="88">
        <v>46231</v>
      </c>
      <c r="H627" t="str">
        <v>XIMENA RIVERA SUR</v>
      </c>
      <c r="I627" t="str">
        <v>MANUEL DE JESUS ENRIQUEZ FLORES</v>
      </c>
      <c r="J627" s="82">
        <v>24947636924</v>
      </c>
      <c r="K627" t="str">
        <v>EIFM760919HSRNLN01</v>
      </c>
      <c r="L627" s="82">
        <v>23162690</v>
      </c>
      <c r="M627" s="82">
        <v>5216421577912</v>
      </c>
      <c r="N627" t="str">
        <v>NUEVO MAYOR</v>
      </c>
      <c r="O627" s="89">
        <v>9582.4699999999993</v>
      </c>
      <c r="P627" s="89" t="str">
        <v/>
      </c>
      <c r="Q627" s="89">
        <v>2874.7409999999995</v>
      </c>
      <c r="R627" s="89">
        <v>2874.7409999999995</v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>
        <v>1</v>
      </c>
    </row>
    <row r="628" spans="1:24">
      <c r="A628" s="26">
        <v>528</v>
      </c>
      <c r="B628" s="87">
        <v>46231.485833333303</v>
      </c>
      <c r="C628" s="87">
        <v>46231.486724536997</v>
      </c>
      <c r="D628" t="str">
        <v>anónimo</v>
      </c>
      <c r="E628" t="str">
        <v/>
      </c>
      <c r="F628" s="68">
        <v>46231</v>
      </c>
      <c r="G628" s="88">
        <v>46229</v>
      </c>
      <c r="H628" t="str">
        <v>GLORIA ORTIZ C/C</v>
      </c>
      <c r="I628" t="str">
        <v>GUSTAVO DE JESUS BAHENA</v>
      </c>
      <c r="J628" s="82">
        <v>96906914328</v>
      </c>
      <c r="K628" t="str">
        <v>JEBG690416HGRSHS09</v>
      </c>
      <c r="L628" s="82">
        <v>23123188</v>
      </c>
      <c r="M628" s="82">
        <v>5215581468250</v>
      </c>
      <c r="N628" t="str">
        <v>NUEVO MAYOR</v>
      </c>
      <c r="O628" s="89">
        <v>8782.6</v>
      </c>
      <c r="P628" s="89" t="str">
        <v/>
      </c>
      <c r="Q628" s="89">
        <v>2634.78</v>
      </c>
      <c r="R628" s="89">
        <v>2634.78</v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>
        <v>1</v>
      </c>
    </row>
    <row r="629" spans="1:24">
      <c r="A629" s="26">
        <v>531</v>
      </c>
      <c r="B629" s="87">
        <v>46231.474687499998</v>
      </c>
      <c r="C629" s="87">
        <v>46231.492210648197</v>
      </c>
      <c r="D629" t="str">
        <v>anónimo</v>
      </c>
      <c r="E629" t="str">
        <v/>
      </c>
      <c r="F629" s="68">
        <v>46231</v>
      </c>
      <c r="G629" s="88">
        <v>46226</v>
      </c>
      <c r="H629" t="str">
        <v>ROSA CASTRO SUR</v>
      </c>
      <c r="I629" t="str">
        <v>ROSA TREVIÑO RIVAS</v>
      </c>
      <c r="J629" s="82">
        <v>35957965912</v>
      </c>
      <c r="K629" t="str">
        <v>TERR810831MZSRVS05</v>
      </c>
      <c r="L629" s="82">
        <v>23024810</v>
      </c>
      <c r="M629" s="82">
        <v>5216568629540</v>
      </c>
      <c r="N629" t="str">
        <v>COMPRA MAYOR</v>
      </c>
      <c r="O629" s="89">
        <v>5970.22</v>
      </c>
      <c r="P629" s="89">
        <v>1640.62</v>
      </c>
      <c r="Q629" s="89">
        <v>1791.066</v>
      </c>
      <c r="R629" s="89">
        <v>150.44600000000014</v>
      </c>
      <c r="S629">
        <v>46113</v>
      </c>
      <c r="T629" t="str">
        <v/>
      </c>
      <c r="U629" t="str">
        <v/>
      </c>
      <c r="V629" t="str">
        <v/>
      </c>
      <c r="W629" t="str">
        <v/>
      </c>
      <c r="X629">
        <v>2</v>
      </c>
    </row>
    <row r="630" spans="1:24">
      <c r="A630" s="26">
        <v>536</v>
      </c>
      <c r="B630" s="87">
        <v>46231.4856828704</v>
      </c>
      <c r="C630" s="87">
        <v>46231.505243055602</v>
      </c>
      <c r="D630" t="str">
        <v>anónimo</v>
      </c>
      <c r="E630" t="str">
        <v/>
      </c>
      <c r="F630" s="68">
        <v>46231</v>
      </c>
      <c r="G630" s="88">
        <v>46231</v>
      </c>
      <c r="H630" t="str">
        <v>XIMENA RIVERA SUR</v>
      </c>
      <c r="I630" t="str">
        <v>FERNANDO FERNANDEZ GARCIA</v>
      </c>
      <c r="J630" s="82" t="str">
        <v/>
      </c>
      <c r="K630" t="str">
        <v>FEGF650527HZSRRR06</v>
      </c>
      <c r="L630" s="82">
        <v>23172936</v>
      </c>
      <c r="M630" s="82">
        <v>5213338506917</v>
      </c>
      <c r="N630" t="str">
        <v>NUEVO MAYOR</v>
      </c>
      <c r="O630" s="89">
        <v>9760.32</v>
      </c>
      <c r="P630" s="89" t="str">
        <v/>
      </c>
      <c r="Q630" s="89">
        <v>2928.096</v>
      </c>
      <c r="R630" s="89">
        <v>2928.096</v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>
        <v>1</v>
      </c>
    </row>
    <row r="631" spans="1:24">
      <c r="A631" s="26">
        <v>538</v>
      </c>
      <c r="B631" s="87">
        <v>46231.509016203701</v>
      </c>
      <c r="C631" s="87">
        <v>46231.5106018519</v>
      </c>
      <c r="D631" t="str">
        <v>anónimo</v>
      </c>
      <c r="E631" t="str">
        <v/>
      </c>
      <c r="F631" s="68">
        <v>46231</v>
      </c>
      <c r="G631" s="88">
        <v>46231</v>
      </c>
      <c r="H631" t="str">
        <v>LILIANA MARTINEZ SUR</v>
      </c>
      <c r="I631" t="str">
        <v>SERGIO MARTINEZ SOLARES</v>
      </c>
      <c r="J631" s="82">
        <v>45896203911</v>
      </c>
      <c r="K631" t="str">
        <v>MASS621007HDFRLR05</v>
      </c>
      <c r="L631" s="82">
        <v>23170800</v>
      </c>
      <c r="M631" s="82">
        <v>5215538652227</v>
      </c>
      <c r="N631" t="str">
        <v>NUEVO MAYOR</v>
      </c>
      <c r="O631" s="89">
        <v>9081.52</v>
      </c>
      <c r="P631" s="89" t="str">
        <v/>
      </c>
      <c r="Q631" s="89">
        <v>2724.4560000000001</v>
      </c>
      <c r="R631" s="89">
        <v>2724.4560000000001</v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>
        <v>1</v>
      </c>
    </row>
    <row r="632" spans="1:24">
      <c r="A632" s="26">
        <v>540</v>
      </c>
      <c r="B632" s="87">
        <v>46231.514745370398</v>
      </c>
      <c r="C632" s="87">
        <v>46231.515960648103</v>
      </c>
      <c r="D632" t="str">
        <v>anónimo</v>
      </c>
      <c r="E632" t="str">
        <v/>
      </c>
      <c r="F632" s="68">
        <v>46231</v>
      </c>
      <c r="G632" s="88">
        <v>46231</v>
      </c>
      <c r="H632" t="str">
        <v>DULCE FRANCO C/C</v>
      </c>
      <c r="I632" t="str">
        <v>ROSA ELENA GONZALEZ ALMAZAN</v>
      </c>
      <c r="J632" s="82" t="str">
        <v/>
      </c>
      <c r="K632" t="str">
        <v>GOAR531230MTSNLS08</v>
      </c>
      <c r="L632" s="82">
        <v>23176704</v>
      </c>
      <c r="M632" s="82">
        <v>5218333389325</v>
      </c>
      <c r="N632" t="str">
        <v>NUEVO MENOR</v>
      </c>
      <c r="O632" s="89">
        <v>8556.52</v>
      </c>
      <c r="P632" s="89">
        <v>2030.32</v>
      </c>
      <c r="Q632" s="89">
        <v>2566.9560000000001</v>
      </c>
      <c r="R632" s="89">
        <v>536.63600000000019</v>
      </c>
      <c r="S632">
        <v>46508</v>
      </c>
      <c r="T632" t="str">
        <v/>
      </c>
      <c r="U632" t="str">
        <v/>
      </c>
      <c r="V632" t="str">
        <v/>
      </c>
      <c r="W632" t="str">
        <v/>
      </c>
      <c r="X632">
        <v>2</v>
      </c>
    </row>
    <row r="633" spans="1:24">
      <c r="A633" s="26">
        <v>543</v>
      </c>
      <c r="B633" s="87">
        <v>46231.518958333298</v>
      </c>
      <c r="C633" s="87">
        <v>46231.519722222198</v>
      </c>
      <c r="D633" t="str">
        <v>anónimo</v>
      </c>
      <c r="E633" t="str">
        <v/>
      </c>
      <c r="F633" s="68">
        <v>46231</v>
      </c>
      <c r="G633" s="88">
        <v>46231</v>
      </c>
      <c r="H633" t="str">
        <v>HANIA GARCIA C/C</v>
      </c>
      <c r="I633" t="str">
        <v>Alvaro Muñoz Montes</v>
      </c>
      <c r="J633" s="82" t="str">
        <v/>
      </c>
      <c r="K633" t="str">
        <v>MUMA630831HDFXNL03</v>
      </c>
      <c r="L633" s="82">
        <v>23176760</v>
      </c>
      <c r="M633" s="82">
        <v>5611507783</v>
      </c>
      <c r="N633" t="str">
        <v>RESTRINGIDA</v>
      </c>
      <c r="O633" s="89">
        <v>9081.52</v>
      </c>
      <c r="P633" s="89">
        <v>2514.25</v>
      </c>
      <c r="Q633" s="89">
        <v>2724.4560000000001</v>
      </c>
      <c r="R633" s="89">
        <v>210.20600000000013</v>
      </c>
      <c r="S633">
        <v>46174</v>
      </c>
      <c r="T633" t="str">
        <v>CONSUBANCO</v>
      </c>
      <c r="U633" t="str">
        <v/>
      </c>
      <c r="V633" t="str">
        <v/>
      </c>
      <c r="W633" t="str">
        <v/>
      </c>
      <c r="X633">
        <v>2</v>
      </c>
    </row>
    <row r="634" spans="1:24">
      <c r="A634" s="26">
        <v>547</v>
      </c>
      <c r="B634" s="87">
        <v>46231.564560185201</v>
      </c>
      <c r="C634" s="87">
        <v>46231.565451388902</v>
      </c>
      <c r="D634" t="str">
        <v>anónimo</v>
      </c>
      <c r="E634" t="str">
        <v/>
      </c>
      <c r="F634" s="68">
        <v>46231</v>
      </c>
      <c r="G634" s="88">
        <v>46230</v>
      </c>
      <c r="H634" t="str">
        <v>MELANIE CIBRIAN C/C</v>
      </c>
      <c r="I634" t="str">
        <v xml:space="preserve">Genaro Hernández parra </v>
      </c>
      <c r="J634" s="82" t="str">
        <v/>
      </c>
      <c r="K634" t="str">
        <v>HEPG721211HBCRRN07</v>
      </c>
      <c r="L634" s="82">
        <v>23158668</v>
      </c>
      <c r="M634" s="82">
        <v>6642051137</v>
      </c>
      <c r="N634" t="str">
        <v>NUEVO MAYOR</v>
      </c>
      <c r="O634" s="89">
        <v>7135.6</v>
      </c>
      <c r="P634" s="89" t="str">
        <v/>
      </c>
      <c r="Q634" s="89">
        <v>2140.6799999999998</v>
      </c>
      <c r="R634" s="89">
        <v>2140.6799999999998</v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>
        <v>1</v>
      </c>
    </row>
    <row r="635" spans="1:24">
      <c r="A635" s="26">
        <v>548</v>
      </c>
      <c r="B635" s="87">
        <v>46231.569178240701</v>
      </c>
      <c r="C635" s="87">
        <v>46231.5704513889</v>
      </c>
      <c r="D635" t="str">
        <v>anónimo</v>
      </c>
      <c r="E635" t="str">
        <v/>
      </c>
      <c r="F635" s="68">
        <v>46231</v>
      </c>
      <c r="G635" s="88">
        <v>46231</v>
      </c>
      <c r="H635" t="str">
        <v>MELANIE CIBRIAN C/C</v>
      </c>
      <c r="I635" t="str">
        <v>Alfredo Díaz robles</v>
      </c>
      <c r="J635" s="82" t="str">
        <v/>
      </c>
      <c r="K635" t="str">
        <v>DIRA561016HCHZBL09</v>
      </c>
      <c r="L635" s="82">
        <v>23177562</v>
      </c>
      <c r="M635" s="82">
        <v>6561641910</v>
      </c>
      <c r="N635" t="str">
        <v>RESTRINGIDA</v>
      </c>
      <c r="O635" s="89">
        <v>7998.53</v>
      </c>
      <c r="P635" s="89">
        <v>2220.12</v>
      </c>
      <c r="Q635" s="89">
        <v>2399.5589999999997</v>
      </c>
      <c r="R635" s="89">
        <v>179.43899999999985</v>
      </c>
      <c r="S635">
        <v>46174</v>
      </c>
      <c r="T635" t="str">
        <v>OPCIPRES</v>
      </c>
      <c r="U635" t="str">
        <v/>
      </c>
      <c r="V635" t="str">
        <v/>
      </c>
      <c r="W635" t="str">
        <v/>
      </c>
      <c r="X635">
        <v>2</v>
      </c>
    </row>
    <row r="636" spans="1:24">
      <c r="A636" s="26">
        <v>553</v>
      </c>
      <c r="B636" s="87">
        <v>46231.577303240701</v>
      </c>
      <c r="C636" s="87">
        <v>46231.578009259298</v>
      </c>
      <c r="D636" t="str">
        <v>anónimo</v>
      </c>
      <c r="E636" t="str">
        <v/>
      </c>
      <c r="F636" s="68">
        <v>46231</v>
      </c>
      <c r="G636" s="88">
        <v>46230</v>
      </c>
      <c r="H636" t="str">
        <v>MARISOL HERNANDEZ C/C</v>
      </c>
      <c r="I636" t="str">
        <v>rene favela</v>
      </c>
      <c r="J636" s="82">
        <v>4386631718</v>
      </c>
      <c r="K636" t="str">
        <v/>
      </c>
      <c r="L636" s="82">
        <v>23157082</v>
      </c>
      <c r="M636" s="82">
        <v>8112450740</v>
      </c>
      <c r="N636" t="str">
        <v>NUEVO MAYOR</v>
      </c>
      <c r="O636" s="89">
        <v>19740.849999999999</v>
      </c>
      <c r="P636" s="89" t="str">
        <v/>
      </c>
      <c r="Q636" s="89">
        <v>5922.2549999999992</v>
      </c>
      <c r="R636" s="89">
        <v>5922.2549999999992</v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>
        <v>1</v>
      </c>
    </row>
    <row r="637" spans="1:24">
      <c r="A637" s="26">
        <v>558</v>
      </c>
      <c r="B637" s="87">
        <v>46231.594884259299</v>
      </c>
      <c r="C637" s="87">
        <v>46231.601388888899</v>
      </c>
      <c r="D637" t="str">
        <v>anónimo</v>
      </c>
      <c r="E637" t="str">
        <v/>
      </c>
      <c r="F637" s="68">
        <v>46231</v>
      </c>
      <c r="G637" s="88">
        <v>46231</v>
      </c>
      <c r="H637" t="str">
        <v>HANIA GARCIA C/C</v>
      </c>
      <c r="I637" t="str">
        <v>Marcelino Martín Tuyub Medina</v>
      </c>
      <c r="J637" s="82" t="str">
        <v/>
      </c>
      <c r="K637" t="str">
        <v>TUMM641230HYNYDR01</v>
      </c>
      <c r="L637" s="82">
        <v>23177282</v>
      </c>
      <c r="M637" s="82">
        <v>9995717213</v>
      </c>
      <c r="N637" t="str">
        <v>NUEVO MAYOR</v>
      </c>
      <c r="O637" s="89">
        <v>10636.54</v>
      </c>
      <c r="P637" s="89" t="str">
        <v/>
      </c>
      <c r="Q637" s="89">
        <v>3190.962</v>
      </c>
      <c r="R637" s="89">
        <v>3190.962</v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>
        <v>1</v>
      </c>
    </row>
    <row r="638" spans="1:24">
      <c r="A638" s="26">
        <v>560</v>
      </c>
      <c r="B638" s="87">
        <v>46231.595486111102</v>
      </c>
      <c r="C638" s="87">
        <v>46231.604594907403</v>
      </c>
      <c r="D638" t="str">
        <v>anónimo</v>
      </c>
      <c r="E638" t="str">
        <v/>
      </c>
      <c r="F638" s="68">
        <v>46231</v>
      </c>
      <c r="G638" s="88">
        <v>46231</v>
      </c>
      <c r="H638" t="str">
        <v>LUISA LARA SUR</v>
      </c>
      <c r="I638" t="str">
        <v>AGUSTIN ARECHIGA GARCIA</v>
      </c>
      <c r="J638" s="82" t="str">
        <v/>
      </c>
      <c r="K638" t="str">
        <v>AEGA540213HDFRRG08</v>
      </c>
      <c r="L638" s="82">
        <v>23171802</v>
      </c>
      <c r="M638" s="82">
        <v>5218116655552</v>
      </c>
      <c r="N638" t="str">
        <v>NUEVO MAYOR</v>
      </c>
      <c r="O638" s="89">
        <v>32725.46</v>
      </c>
      <c r="P638" s="89" t="str">
        <v/>
      </c>
      <c r="Q638" s="89">
        <v>9817.637999999999</v>
      </c>
      <c r="R638" s="89">
        <v>9817.637999999999</v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>
        <v>1</v>
      </c>
    </row>
    <row r="639" spans="1:24">
      <c r="A639" s="26">
        <v>567</v>
      </c>
      <c r="B639" s="87">
        <v>46231.634444444397</v>
      </c>
      <c r="C639" s="87">
        <v>46231.638055555602</v>
      </c>
      <c r="D639" t="str">
        <v>anónimo</v>
      </c>
      <c r="E639" t="str">
        <v/>
      </c>
      <c r="F639" s="68">
        <v>46231</v>
      </c>
      <c r="G639" s="88">
        <v>46231</v>
      </c>
      <c r="H639" t="str">
        <v>LUISA LARA SUR</v>
      </c>
      <c r="I639" t="str">
        <v>MARIA DE LA LUZ ESPERANZA TELLEZ</v>
      </c>
      <c r="J639" s="82" t="str">
        <v/>
      </c>
      <c r="K639" t="str">
        <v>EATL611204MDFSLZ02</v>
      </c>
      <c r="L639" s="82">
        <v>23160358</v>
      </c>
      <c r="M639" s="82">
        <v>5215564513129</v>
      </c>
      <c r="N639" t="str">
        <v>NUEVO MAYOR</v>
      </c>
      <c r="O639" s="89">
        <v>10970.9</v>
      </c>
      <c r="P639" s="89" t="str">
        <v>848</v>
      </c>
      <c r="Q639" s="89">
        <v>3291.27</v>
      </c>
      <c r="R639" s="89">
        <v>2443.27</v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>
        <v>1</v>
      </c>
    </row>
    <row r="640" spans="1:24">
      <c r="A640" s="26">
        <v>569</v>
      </c>
      <c r="B640" s="87">
        <v>46231.505277777796</v>
      </c>
      <c r="C640" s="87">
        <v>46231.645185185203</v>
      </c>
      <c r="D640" t="str">
        <v>anónimo</v>
      </c>
      <c r="E640" t="str">
        <v/>
      </c>
      <c r="F640" s="68">
        <v>46231</v>
      </c>
      <c r="G640" s="88">
        <v>46220</v>
      </c>
      <c r="H640" t="str">
        <v>XIMENA RIVERA SUR</v>
      </c>
      <c r="I640" t="str">
        <v>MARIA DE LOS ANGELES GONZALEZ BERUMEN</v>
      </c>
      <c r="J640" s="82" t="str">
        <v/>
      </c>
      <c r="K640" t="str">
        <v>GOBA600110MNLNRN07</v>
      </c>
      <c r="L640" s="82">
        <v>22802356</v>
      </c>
      <c r="M640" s="82">
        <v>5216641991697</v>
      </c>
      <c r="N640" t="str">
        <v>COMPRA MAYOR</v>
      </c>
      <c r="O640" s="89">
        <v>6623.3</v>
      </c>
      <c r="P640" s="89">
        <v>1558.02</v>
      </c>
      <c r="Q640" s="89">
        <v>1986.99</v>
      </c>
      <c r="R640" s="89">
        <v>428.97</v>
      </c>
      <c r="S640">
        <v>45474</v>
      </c>
      <c r="T640" t="str">
        <v/>
      </c>
      <c r="U640" t="str">
        <v/>
      </c>
      <c r="V640" t="str">
        <v/>
      </c>
      <c r="W640" t="str">
        <v/>
      </c>
      <c r="X640">
        <v>2</v>
      </c>
    </row>
    <row r="641" spans="1:24">
      <c r="A641" s="26">
        <v>576</v>
      </c>
      <c r="B641" s="87">
        <v>46231.668587963002</v>
      </c>
      <c r="C641" s="87">
        <v>46231.6698958333</v>
      </c>
      <c r="D641" t="str">
        <v>anónimo</v>
      </c>
      <c r="E641" t="str">
        <v/>
      </c>
      <c r="F641" s="68">
        <v>46231</v>
      </c>
      <c r="G641" s="88">
        <v>46231</v>
      </c>
      <c r="H641" t="str">
        <v>MELANIE CIBRIAN C/C</v>
      </c>
      <c r="I641" t="str">
        <v xml:space="preserve">Gayosso angeles jose alfonso </v>
      </c>
      <c r="J641" s="82" t="str">
        <v/>
      </c>
      <c r="K641" t="str">
        <v xml:space="preserve">	GAAA620319HHGYNL07</v>
      </c>
      <c r="L641" s="82">
        <v>23179146</v>
      </c>
      <c r="M641" s="82">
        <v>6699186165</v>
      </c>
      <c r="N641" t="str">
        <v>COMPRA MAYOR</v>
      </c>
      <c r="O641" s="89">
        <v>7116.73</v>
      </c>
      <c r="P641" s="89">
        <v>1747.63</v>
      </c>
      <c r="Q641" s="89">
        <v>2135.0189999999998</v>
      </c>
      <c r="R641" s="89">
        <v>387.38899999999967</v>
      </c>
      <c r="S641">
        <v>45413</v>
      </c>
      <c r="T641" t="str">
        <v/>
      </c>
      <c r="U641" t="str">
        <v/>
      </c>
      <c r="V641" t="str">
        <v/>
      </c>
      <c r="W641" t="str">
        <v/>
      </c>
      <c r="X641">
        <v>2</v>
      </c>
    </row>
    <row r="642" spans="1:24">
      <c r="A642" s="26">
        <v>577</v>
      </c>
      <c r="B642" s="87">
        <v>46231.668969907398</v>
      </c>
      <c r="C642" s="87">
        <v>46231.6703472222</v>
      </c>
      <c r="D642" t="str">
        <v>anónimo</v>
      </c>
      <c r="E642" t="str">
        <v/>
      </c>
      <c r="F642" s="68">
        <v>46231</v>
      </c>
      <c r="G642" s="88">
        <v>46229</v>
      </c>
      <c r="H642" t="str">
        <v>ANA VILLEGAS C/C</v>
      </c>
      <c r="I642" t="str">
        <v>DOMITILIO</v>
      </c>
      <c r="J642" s="82">
        <v>33745700683</v>
      </c>
      <c r="K642" t="str">
        <v/>
      </c>
      <c r="L642" s="82">
        <v>23120844</v>
      </c>
      <c r="M642" s="82">
        <v>5216393989352</v>
      </c>
      <c r="N642" t="str">
        <v>NUEVO MAYOR</v>
      </c>
      <c r="O642" s="89">
        <v>7363.38</v>
      </c>
      <c r="P642" s="89" t="str">
        <v/>
      </c>
      <c r="Q642" s="89">
        <v>2209.0140000000001</v>
      </c>
      <c r="R642" s="89">
        <v>2209.0140000000001</v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>
        <v>1</v>
      </c>
    </row>
    <row r="643" spans="1:24">
      <c r="A643" s="26">
        <v>579</v>
      </c>
      <c r="B643" s="87">
        <v>46231.667268518497</v>
      </c>
      <c r="C643" s="87">
        <v>46231.6719675926</v>
      </c>
      <c r="D643" t="str">
        <v>anónimo</v>
      </c>
      <c r="E643" t="str">
        <v/>
      </c>
      <c r="F643" s="68">
        <v>46231</v>
      </c>
      <c r="G643" s="88">
        <v>46231</v>
      </c>
      <c r="H643" t="str">
        <v>LILIANA MARTINEZ SUR</v>
      </c>
      <c r="I643" t="str">
        <v>JORGE AGUSTIN MEJIA MORALES</v>
      </c>
      <c r="J643" s="82">
        <v>41846304891</v>
      </c>
      <c r="K643" t="str">
        <v>MEMJ630828HSPJRR00</v>
      </c>
      <c r="L643" s="82">
        <v>23172874</v>
      </c>
      <c r="M643" s="82">
        <v>5214446421962</v>
      </c>
      <c r="N643" t="str">
        <v>RESTRINGIDA</v>
      </c>
      <c r="O643" s="89">
        <v>7920.51</v>
      </c>
      <c r="P643" s="89">
        <v>2289.19</v>
      </c>
      <c r="Q643" s="89">
        <v>2376.1529999999998</v>
      </c>
      <c r="R643" s="89">
        <v>86.962999999999738</v>
      </c>
      <c r="S643">
        <v>46113</v>
      </c>
      <c r="T643" t="str">
        <v>FISOFO</v>
      </c>
      <c r="U643" t="str">
        <v/>
      </c>
      <c r="V643" t="str">
        <v/>
      </c>
      <c r="W643" t="str">
        <v/>
      </c>
      <c r="X643">
        <v>2</v>
      </c>
    </row>
    <row r="644" spans="1:24">
      <c r="A644" s="26">
        <v>580</v>
      </c>
      <c r="B644" s="87">
        <v>46231.674594907403</v>
      </c>
      <c r="C644" s="87">
        <v>46231.676527777803</v>
      </c>
      <c r="D644" t="str">
        <v>anónimo</v>
      </c>
      <c r="E644" t="str">
        <v/>
      </c>
      <c r="F644" s="68">
        <v>46231</v>
      </c>
      <c r="G644" s="88">
        <v>46194</v>
      </c>
      <c r="H644" t="str">
        <v>LITZY MARTINEZ C/C</v>
      </c>
      <c r="I644" t="str">
        <v xml:space="preserve">julia perez garcia </v>
      </c>
      <c r="J644" s="82">
        <v>32783800686</v>
      </c>
      <c r="K644" t="str">
        <v>PEGJ490423MCLRRL08</v>
      </c>
      <c r="L644" s="82">
        <v>21881424</v>
      </c>
      <c r="M644" s="82">
        <v>5218443274846</v>
      </c>
      <c r="N644" t="str">
        <v>COMPRA MENOR</v>
      </c>
      <c r="O644" s="89">
        <v>4554.84</v>
      </c>
      <c r="P644" s="89">
        <v>654.4</v>
      </c>
      <c r="Q644" s="89">
        <v>1366.452</v>
      </c>
      <c r="R644" s="89">
        <v>-272.5399999999994</v>
      </c>
      <c r="S644">
        <v>45658</v>
      </c>
      <c r="T644" t="str">
        <v/>
      </c>
      <c r="U644" t="str">
        <v/>
      </c>
      <c r="V644" t="str">
        <v/>
      </c>
      <c r="W644" t="str">
        <v/>
      </c>
      <c r="X644">
        <v>2</v>
      </c>
    </row>
    <row r="645" spans="1:24">
      <c r="A645" s="26">
        <v>583</v>
      </c>
      <c r="B645" s="87">
        <v>46231.670509259297</v>
      </c>
      <c r="C645" s="87">
        <v>46231.683564814797</v>
      </c>
      <c r="D645" t="str">
        <v>anónimo</v>
      </c>
      <c r="E645" t="str">
        <v/>
      </c>
      <c r="F645" s="68">
        <v>46231</v>
      </c>
      <c r="G645" s="88">
        <v>46231</v>
      </c>
      <c r="H645" t="str">
        <v>ROSA CASTRO SUR</v>
      </c>
      <c r="I645" t="str">
        <v>ERNESTO GREGORIO HUMMEL RAMIREZ</v>
      </c>
      <c r="J645" s="82" t="str">
        <v xml:space="preserve"> 1080634989</v>
      </c>
      <c r="K645" t="str">
        <v>HURE630509HDFMMR01</v>
      </c>
      <c r="L645" s="82">
        <v>23142436</v>
      </c>
      <c r="M645" s="82">
        <v>5219991605267</v>
      </c>
      <c r="N645" t="str">
        <v>NUEVO MAYOR</v>
      </c>
      <c r="O645" s="89">
        <v>7920.51</v>
      </c>
      <c r="P645" s="89" t="str">
        <v/>
      </c>
      <c r="Q645" s="89">
        <v>2376.1529999999998</v>
      </c>
      <c r="R645" s="89">
        <v>2376.1529999999998</v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>
        <v>1</v>
      </c>
    </row>
    <row r="646" spans="1:24">
      <c r="A646" s="26">
        <v>591</v>
      </c>
      <c r="B646" s="87">
        <v>46231.692812499998</v>
      </c>
      <c r="C646" s="87">
        <v>46231.695486111101</v>
      </c>
      <c r="D646" t="str">
        <v>anónimo</v>
      </c>
      <c r="E646" t="str">
        <v/>
      </c>
      <c r="F646" s="68">
        <v>46231</v>
      </c>
      <c r="G646" s="88">
        <v>46229</v>
      </c>
      <c r="H646" t="str">
        <v>MARA HERNANDEZ SUR</v>
      </c>
      <c r="I646" t="str">
        <v>SERGIO ARMANDO BUENROSTRO CARDENAS</v>
      </c>
      <c r="J646" s="82" t="str">
        <v/>
      </c>
      <c r="K646" t="str">
        <v>BUCS621020HMNNRR07</v>
      </c>
      <c r="L646" s="82">
        <v>23126884</v>
      </c>
      <c r="M646" s="82">
        <v>5213541018184</v>
      </c>
      <c r="N646" t="str">
        <v>NUEVO MAYOR</v>
      </c>
      <c r="O646" s="89">
        <v>10636.54</v>
      </c>
      <c r="P646" s="89" t="str">
        <v/>
      </c>
      <c r="Q646" s="89">
        <v>3190.962</v>
      </c>
      <c r="R646" s="89">
        <v>3190.962</v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>
        <v>1</v>
      </c>
    </row>
    <row r="647" spans="1:24">
      <c r="A647" s="26">
        <v>592</v>
      </c>
      <c r="B647" s="87">
        <v>46231.701562499999</v>
      </c>
      <c r="C647" s="87">
        <v>46231.7024074074</v>
      </c>
      <c r="D647" t="str">
        <v>anónimo</v>
      </c>
      <c r="E647" t="str">
        <v/>
      </c>
      <c r="F647" s="68">
        <v>46231</v>
      </c>
      <c r="G647" s="88">
        <v>46224</v>
      </c>
      <c r="H647" t="str">
        <v>DULCE FRANCO C/C</v>
      </c>
      <c r="I647" t="str">
        <v>MARIO VALENTE MORENO APOLONIO</v>
      </c>
      <c r="J647" s="82" t="str">
        <v/>
      </c>
      <c r="K647" t="str">
        <v>MOAM601123HDFRPR00</v>
      </c>
      <c r="L647" s="82">
        <v>23178830</v>
      </c>
      <c r="M647" s="82">
        <v>5215514357856</v>
      </c>
      <c r="N647" t="str">
        <v>NUEVO MAYOR</v>
      </c>
      <c r="O647" s="89">
        <v>10636.54</v>
      </c>
      <c r="P647" s="89" t="str">
        <v/>
      </c>
      <c r="Q647" s="89">
        <v>3190.962</v>
      </c>
      <c r="R647" s="89">
        <v>3190.962</v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>
        <v>1</v>
      </c>
    </row>
    <row r="648" spans="1:24">
      <c r="A648" s="26">
        <v>594</v>
      </c>
      <c r="B648" s="87">
        <v>46231.670405092598</v>
      </c>
      <c r="C648" s="87">
        <v>46231.709444444401</v>
      </c>
      <c r="D648" t="str">
        <v>anónimo</v>
      </c>
      <c r="E648" t="str">
        <v/>
      </c>
      <c r="F648" s="68">
        <v>46231</v>
      </c>
      <c r="G648" s="88">
        <v>46230</v>
      </c>
      <c r="H648" t="str">
        <v>FERNANDA CASTILLO C/C</v>
      </c>
      <c r="I648" t="str">
        <v>NIDIA ANGELICA GARZA AVILA</v>
      </c>
      <c r="J648" s="82" t="str">
        <v/>
      </c>
      <c r="K648" t="str">
        <v>GAAN630604MNLRVD02</v>
      </c>
      <c r="L648" s="82">
        <v>23154770</v>
      </c>
      <c r="M648" s="82">
        <v>8120014390</v>
      </c>
      <c r="N648" t="str">
        <v>NUEVO MENOR</v>
      </c>
      <c r="O648" s="89">
        <v>30268.36</v>
      </c>
      <c r="P648" s="89">
        <v>8757</v>
      </c>
      <c r="Q648" s="89">
        <v>9080.5079999999998</v>
      </c>
      <c r="R648" s="89">
        <v>323.50799999999981</v>
      </c>
      <c r="S648">
        <v>46569</v>
      </c>
      <c r="T648" t="str">
        <v/>
      </c>
      <c r="U648" t="str">
        <v/>
      </c>
      <c r="V648" t="str">
        <v/>
      </c>
      <c r="W648" t="str">
        <v/>
      </c>
      <c r="X648">
        <v>2</v>
      </c>
    </row>
    <row r="649" spans="1:24">
      <c r="A649" s="26">
        <v>600</v>
      </c>
      <c r="B649" s="87">
        <v>46231.733275462997</v>
      </c>
      <c r="C649" s="87">
        <v>46231.736296296302</v>
      </c>
      <c r="D649" t="str">
        <v>anónimo</v>
      </c>
      <c r="E649" t="str">
        <v/>
      </c>
      <c r="F649" s="68">
        <v>46231</v>
      </c>
      <c r="G649" s="88">
        <v>46226</v>
      </c>
      <c r="H649" t="str">
        <v>LILIANA MARTINEZ SUR</v>
      </c>
      <c r="I649" t="str">
        <v>IGNACIO SOLANO CARDONA</v>
      </c>
      <c r="J649" s="82">
        <v>53927136597</v>
      </c>
      <c r="K649" t="str">
        <v>SOCI710801HMNLRG00</v>
      </c>
      <c r="L649" s="82">
        <v>23025746</v>
      </c>
      <c r="M649" s="82">
        <v>5216621429639</v>
      </c>
      <c r="N649" t="str">
        <v>NUEVO MAYOR</v>
      </c>
      <c r="O649" s="89">
        <v>8181.5500000000029</v>
      </c>
      <c r="P649" s="89" t="str">
        <v/>
      </c>
      <c r="Q649" s="89">
        <v>2454.4650000000006</v>
      </c>
      <c r="R649" s="89">
        <v>2454.4650000000006</v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>
        <v>1</v>
      </c>
    </row>
    <row r="650" spans="1:24">
      <c r="A650" s="26">
        <v>604</v>
      </c>
      <c r="B650" s="87">
        <v>46231.7246296296</v>
      </c>
      <c r="C650" s="87">
        <v>46231.742557870399</v>
      </c>
      <c r="D650" t="str">
        <v>anónimo</v>
      </c>
      <c r="E650" t="str">
        <v/>
      </c>
      <c r="F650" s="68">
        <v>46231</v>
      </c>
      <c r="G650" s="88">
        <v>46231</v>
      </c>
      <c r="H650" t="str">
        <v>FERNANDA CASTILLO C/C</v>
      </c>
      <c r="I650" t="str">
        <v>MARTINA ELENA ARRAS</v>
      </c>
      <c r="J650" s="82" t="str">
        <v/>
      </c>
      <c r="K650" t="str">
        <v>AAXM650422MCHRXR03</v>
      </c>
      <c r="L650" s="82">
        <v>23185134</v>
      </c>
      <c r="M650" s="82">
        <v>6141910790</v>
      </c>
      <c r="N650" t="str">
        <v>NUEVO MAYOR</v>
      </c>
      <c r="O650" s="89">
        <v>11029.03</v>
      </c>
      <c r="P650" s="89" t="str">
        <v/>
      </c>
      <c r="Q650" s="89">
        <v>3308.7090000000003</v>
      </c>
      <c r="R650" s="89">
        <v>3308.7090000000003</v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>
        <v>1</v>
      </c>
    </row>
    <row r="651" spans="1:24">
      <c r="A651" s="26">
        <v>608</v>
      </c>
      <c r="B651" s="87">
        <v>46231.757928240702</v>
      </c>
      <c r="C651" s="87">
        <v>46231.758645833303</v>
      </c>
      <c r="D651" t="str">
        <v>anónimo</v>
      </c>
      <c r="E651" t="str">
        <v/>
      </c>
      <c r="F651" s="68">
        <v>46231</v>
      </c>
      <c r="G651" s="88">
        <v>46231</v>
      </c>
      <c r="H651" t="str">
        <v>HANIA GARCIA C/C</v>
      </c>
      <c r="I651" t="str">
        <v>Higinio Alejandro Gonzalez Ortega</v>
      </c>
      <c r="J651" s="82" t="str">
        <v/>
      </c>
      <c r="K651" t="str">
        <v>GOOH640111HHGNRG00</v>
      </c>
      <c r="L651" s="82">
        <v>23178062</v>
      </c>
      <c r="M651" s="82">
        <v>7761470722</v>
      </c>
      <c r="N651" t="str">
        <v>COMPRA MAYOR</v>
      </c>
      <c r="O651" s="89">
        <v>9081.52</v>
      </c>
      <c r="P651" s="89">
        <v>2515.2199999999998</v>
      </c>
      <c r="Q651" s="89">
        <v>2724.4560000000001</v>
      </c>
      <c r="R651" s="89">
        <v>209.23600000000033</v>
      </c>
      <c r="S651">
        <v>46174</v>
      </c>
      <c r="T651" t="str">
        <v/>
      </c>
      <c r="U651" t="str">
        <v/>
      </c>
      <c r="V651" t="str">
        <v/>
      </c>
      <c r="W651" t="str">
        <v/>
      </c>
      <c r="X651">
        <v>2</v>
      </c>
    </row>
    <row r="652" spans="1:24">
      <c r="A652" s="26">
        <v>610</v>
      </c>
      <c r="B652" s="87">
        <v>46231.742581018501</v>
      </c>
      <c r="C652" s="87">
        <v>46231.780162037001</v>
      </c>
      <c r="D652" t="str">
        <v>anónimo</v>
      </c>
      <c r="E652" t="str">
        <v/>
      </c>
      <c r="F652" s="68">
        <v>46231</v>
      </c>
      <c r="G652" s="88">
        <v>46230</v>
      </c>
      <c r="H652" t="str">
        <v>FERNANDA CASTILLO C/C</v>
      </c>
      <c r="I652" t="str">
        <v>JUAN MAR CARDENAS</v>
      </c>
      <c r="J652" s="82">
        <v>65856828226</v>
      </c>
      <c r="K652" t="str">
        <v>MACJ680524HVZRRN01</v>
      </c>
      <c r="L652" s="82">
        <v>23156216</v>
      </c>
      <c r="M652" s="82">
        <v>3334648517</v>
      </c>
      <c r="N652" t="str">
        <v>NUEVO MENOR</v>
      </c>
      <c r="O652" s="89">
        <v>6213.17</v>
      </c>
      <c r="P652" s="89">
        <v>744.61</v>
      </c>
      <c r="Q652" s="89">
        <v>1863.951</v>
      </c>
      <c r="R652" s="89">
        <v>1119.3409999999999</v>
      </c>
      <c r="S652">
        <v>45748</v>
      </c>
      <c r="T652" t="str">
        <v/>
      </c>
      <c r="U652" t="str">
        <v/>
      </c>
      <c r="V652" t="str">
        <v/>
      </c>
      <c r="W652" t="str">
        <v/>
      </c>
      <c r="X652">
        <v>2</v>
      </c>
    </row>
    <row r="653" spans="1:24">
      <c r="A653" s="26">
        <v>613</v>
      </c>
      <c r="B653" s="87">
        <v>46231.789143518501</v>
      </c>
      <c r="C653" s="87">
        <v>46231.790879629603</v>
      </c>
      <c r="D653" t="str">
        <v>anónimo</v>
      </c>
      <c r="E653" t="str">
        <v/>
      </c>
      <c r="F653" s="68">
        <v>46231</v>
      </c>
      <c r="G653" s="88">
        <v>46231</v>
      </c>
      <c r="H653" t="str">
        <v>GUADALUPE BECERRA C/C</v>
      </c>
      <c r="I653" t="str">
        <v>MARIA DEL ROCIO CUAUTLI CASTILLO</v>
      </c>
      <c r="J653" s="82" t="str">
        <v>37897206258</v>
      </c>
      <c r="K653" t="str">
        <v>CUCR700315MPLTSC03</v>
      </c>
      <c r="L653" s="82">
        <v>23186372</v>
      </c>
      <c r="M653" s="82">
        <v>5212223495483</v>
      </c>
      <c r="N653" t="str">
        <v>RESTRINGIDA</v>
      </c>
      <c r="O653" s="89">
        <v>15044.79</v>
      </c>
      <c r="P653" s="89">
        <v>3939.54</v>
      </c>
      <c r="Q653" s="89">
        <v>4513.4369999999999</v>
      </c>
      <c r="R653" s="89">
        <v>573.89699999999993</v>
      </c>
      <c r="S653">
        <v>46143</v>
      </c>
      <c r="T653" t="str">
        <v>CONSUBANCO</v>
      </c>
      <c r="U653" t="str">
        <v/>
      </c>
      <c r="V653" t="str">
        <v/>
      </c>
      <c r="W653" t="str">
        <v/>
      </c>
      <c r="X653">
        <v>1</v>
      </c>
    </row>
    <row r="654" spans="1:24">
      <c r="A654" s="26">
        <v>614</v>
      </c>
      <c r="B654" s="87">
        <v>46231.789074074099</v>
      </c>
      <c r="C654" s="87">
        <v>46231.791770833297</v>
      </c>
      <c r="D654" t="str">
        <v>anónimo</v>
      </c>
      <c r="E654" t="str">
        <v/>
      </c>
      <c r="F654" s="68">
        <v>46231</v>
      </c>
      <c r="G654" s="88">
        <v>46231</v>
      </c>
      <c r="H654" t="str">
        <v>ANA VILLEGAS C/C</v>
      </c>
      <c r="I654" t="str">
        <v>Rosa Elia Robledo Ramos</v>
      </c>
      <c r="J654" s="82">
        <v>43796064111</v>
      </c>
      <c r="K654" t="str">
        <v>RORR601027MNLBMS01</v>
      </c>
      <c r="L654" s="82">
        <v>23186308</v>
      </c>
      <c r="M654" s="82">
        <v>5218113201485</v>
      </c>
      <c r="N654" t="str">
        <v>NUEVO MENOR</v>
      </c>
      <c r="O654" s="89">
        <v>7920.51</v>
      </c>
      <c r="P654" s="89">
        <v>1351.32</v>
      </c>
      <c r="Q654" s="89">
        <v>2376.1529999999998</v>
      </c>
      <c r="R654" s="89">
        <v>1024.8329999999999</v>
      </c>
      <c r="S654">
        <v>46327</v>
      </c>
      <c r="T654" t="str">
        <v/>
      </c>
      <c r="U654" t="str">
        <v/>
      </c>
      <c r="V654" t="str">
        <v/>
      </c>
      <c r="W654" t="str">
        <v/>
      </c>
      <c r="X654">
        <v>2</v>
      </c>
    </row>
    <row r="655" spans="1:24">
      <c r="A655" s="26">
        <v>615</v>
      </c>
      <c r="B655" s="87">
        <v>46231.791319444397</v>
      </c>
      <c r="C655" s="87">
        <v>46231.793067129598</v>
      </c>
      <c r="D655" t="str">
        <v>anónimo</v>
      </c>
      <c r="E655" t="str">
        <v/>
      </c>
      <c r="F655" s="68">
        <v>46231</v>
      </c>
      <c r="G655" s="88">
        <v>46231</v>
      </c>
      <c r="H655" t="str">
        <v>MELANIE CIBRIAN C/C</v>
      </c>
      <c r="I655" t="str">
        <v>LEONARDO CEJA RINCON</v>
      </c>
      <c r="J655" s="82" t="str">
        <v/>
      </c>
      <c r="K655" t="str">
        <v>CERL630104HBCJNN02</v>
      </c>
      <c r="L655" s="82">
        <v>23184346</v>
      </c>
      <c r="M655" s="82">
        <v>4531204258</v>
      </c>
      <c r="N655" t="str">
        <v>NUEVO MAYOR</v>
      </c>
      <c r="O655" s="89">
        <v>8539.89</v>
      </c>
      <c r="P655" s="89" t="str">
        <v/>
      </c>
      <c r="Q655" s="89">
        <v>2561.9669999999996</v>
      </c>
      <c r="R655" s="89">
        <v>2561.9669999999996</v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>
        <v>1</v>
      </c>
    </row>
    <row r="656" spans="1:24">
      <c r="A656" s="26">
        <v>625</v>
      </c>
      <c r="B656" s="87">
        <v>46232.411400463003</v>
      </c>
      <c r="C656" s="87">
        <v>46232.412951388898</v>
      </c>
      <c r="D656" t="str">
        <v>anónimo</v>
      </c>
      <c r="E656" t="str">
        <v/>
      </c>
      <c r="F656" s="68">
        <v>46232</v>
      </c>
      <c r="G656" s="88">
        <v>46232</v>
      </c>
      <c r="H656" t="str">
        <v>YESSENIA ESPINO</v>
      </c>
      <c r="I656" t="str">
        <v/>
      </c>
      <c r="J656" s="82" t="str">
        <v>24806157772</v>
      </c>
      <c r="K656" t="str">
        <v/>
      </c>
      <c r="L656" s="82">
        <v>23188834</v>
      </c>
      <c r="M656" s="82">
        <v>5216622915154</v>
      </c>
      <c r="N656" t="str">
        <v>NUEVO MENOR</v>
      </c>
      <c r="O656" s="89">
        <v>6262.86</v>
      </c>
      <c r="P656" s="89" t="str">
        <v>848</v>
      </c>
      <c r="Q656" s="89">
        <v>1878.8579999999997</v>
      </c>
      <c r="R656" s="89">
        <v>1030.8579999999997</v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>
        <v>1</v>
      </c>
    </row>
    <row r="657" spans="1:24">
      <c r="A657" s="26">
        <v>626</v>
      </c>
      <c r="B657" s="87">
        <v>46232.390856481499</v>
      </c>
      <c r="C657" s="87">
        <v>46232.421689814801</v>
      </c>
      <c r="D657" t="str">
        <v>anónimo</v>
      </c>
      <c r="E657" t="str">
        <v/>
      </c>
      <c r="F657" s="68">
        <v>46232</v>
      </c>
      <c r="G657" s="88">
        <v>46231</v>
      </c>
      <c r="H657" t="str">
        <v>MARISOL HERNANDEZ C/C</v>
      </c>
      <c r="I657" t="str">
        <v>Adriana Guadalupe callejas Araujo</v>
      </c>
      <c r="J657" s="82" t="str">
        <v/>
      </c>
      <c r="K657" t="str">
        <v>CAAA640305MSRLRD07</v>
      </c>
      <c r="L657" s="82">
        <v>23185400</v>
      </c>
      <c r="M657" s="82">
        <v>6861226787</v>
      </c>
      <c r="N657" t="str">
        <v>NUEVO MAYOR</v>
      </c>
      <c r="O657" s="89">
        <v>9760.32</v>
      </c>
      <c r="P657" s="89" t="str">
        <v/>
      </c>
      <c r="Q657" s="89">
        <v>2928.096</v>
      </c>
      <c r="R657" s="89">
        <v>2928.096</v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>
        <v>1</v>
      </c>
    </row>
    <row r="658" spans="1:24">
      <c r="A658" s="26">
        <v>628</v>
      </c>
      <c r="B658" s="87">
        <v>46232.424745370401</v>
      </c>
      <c r="C658" s="87">
        <v>46232.426284722198</v>
      </c>
      <c r="D658" t="str">
        <v>anónimo</v>
      </c>
      <c r="E658" t="str">
        <v/>
      </c>
      <c r="F658" s="68">
        <v>46232</v>
      </c>
      <c r="G658" s="88">
        <v>46232</v>
      </c>
      <c r="H658" t="str">
        <v>YESSENIA ESPINO</v>
      </c>
      <c r="I658" t="str">
        <v>Antonio Ruvalcaba Becerra</v>
      </c>
      <c r="J658" s="82" t="str">
        <v>04826480438</v>
      </c>
      <c r="K658" t="str">
        <v>RUBA641223HZSVCN15</v>
      </c>
      <c r="L658" s="82">
        <v>23187502</v>
      </c>
      <c r="M658" s="82">
        <v>5213314405547</v>
      </c>
      <c r="N658" t="str">
        <v>NUEVO MAYOR</v>
      </c>
      <c r="O658" s="89">
        <v>39034.29</v>
      </c>
      <c r="P658" s="89" t="str">
        <v>10292.00</v>
      </c>
      <c r="Q658" s="89">
        <v>11710.287</v>
      </c>
      <c r="R658" s="89">
        <v>1418.2870000000003</v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>
        <v>1</v>
      </c>
    </row>
    <row r="659" spans="1:24">
      <c r="A659" s="26">
        <v>630</v>
      </c>
      <c r="B659" s="87">
        <v>46232.427129629599</v>
      </c>
      <c r="C659" s="87">
        <v>46232.428634259297</v>
      </c>
      <c r="D659" t="str">
        <v>anónimo</v>
      </c>
      <c r="E659" t="str">
        <v/>
      </c>
      <c r="F659" s="68">
        <v>46232</v>
      </c>
      <c r="G659" s="88">
        <v>46232</v>
      </c>
      <c r="H659" t="str">
        <v>YESSENIA ESPINO</v>
      </c>
      <c r="I659" t="str">
        <v>Martin Arnoldo Rodríguez Nuñez</v>
      </c>
      <c r="J659" s="82" t="str">
        <v/>
      </c>
      <c r="K659" t="str">
        <v>RONM630110HMNDXR06</v>
      </c>
      <c r="L659" s="82">
        <v>23186960</v>
      </c>
      <c r="M659" s="82">
        <v>5214431284127</v>
      </c>
      <c r="N659" t="str">
        <v>RESTRINGIDA</v>
      </c>
      <c r="O659" s="89">
        <v>7920.51</v>
      </c>
      <c r="P659" s="89">
        <v>2195.2800000000002</v>
      </c>
      <c r="Q659" s="89">
        <v>2376.1529999999998</v>
      </c>
      <c r="R659" s="89">
        <v>180.87299999999959</v>
      </c>
      <c r="S659">
        <v>46174</v>
      </c>
      <c r="T659" t="str">
        <v/>
      </c>
      <c r="U659" t="str">
        <v/>
      </c>
      <c r="V659" t="str">
        <v/>
      </c>
      <c r="W659" t="str">
        <v/>
      </c>
      <c r="X659">
        <v>2</v>
      </c>
    </row>
    <row r="660" spans="1:24">
      <c r="A660" s="26">
        <v>634</v>
      </c>
      <c r="B660" s="87">
        <v>46232.433391203696</v>
      </c>
      <c r="C660" s="87">
        <v>46232.449212963002</v>
      </c>
      <c r="D660" t="str">
        <v>anónimo</v>
      </c>
      <c r="E660" t="str">
        <v/>
      </c>
      <c r="F660" s="68">
        <v>46232</v>
      </c>
      <c r="G660" s="88">
        <v>46225</v>
      </c>
      <c r="H660" t="str">
        <v>XIMENA RIVERA SUR</v>
      </c>
      <c r="I660" t="str">
        <v>JOSE LUIS CIBRIAN VERGARA</v>
      </c>
      <c r="J660" s="82" t="str">
        <v/>
      </c>
      <c r="K660" t="str">
        <v>CIVL571119HCMBRS00</v>
      </c>
      <c r="L660" s="82">
        <v>23006970</v>
      </c>
      <c r="M660" s="82">
        <v>5213123002291</v>
      </c>
      <c r="N660" t="str">
        <v>RESTRINGIDA</v>
      </c>
      <c r="O660" s="89">
        <v>6578.4</v>
      </c>
      <c r="P660" s="89" t="str">
        <v>1825.08</v>
      </c>
      <c r="Q660" s="89">
        <v>1973.5199999999998</v>
      </c>
      <c r="R660" s="89">
        <v>148.43999999999983</v>
      </c>
      <c r="S660">
        <v>46113</v>
      </c>
      <c r="T660" t="str">
        <v/>
      </c>
      <c r="U660" t="str">
        <v/>
      </c>
      <c r="V660" t="str">
        <v/>
      </c>
      <c r="W660" t="str">
        <v/>
      </c>
      <c r="X660">
        <v>2</v>
      </c>
    </row>
    <row r="661" spans="1:24">
      <c r="A661" s="26">
        <v>636</v>
      </c>
      <c r="B661" s="87">
        <v>46232.437685185199</v>
      </c>
      <c r="C661" s="87">
        <v>46232.452337962997</v>
      </c>
      <c r="D661" t="str">
        <v>anónimo</v>
      </c>
      <c r="E661" t="str">
        <v/>
      </c>
      <c r="F661" s="68">
        <v>46232</v>
      </c>
      <c r="G661" s="88">
        <v>46229</v>
      </c>
      <c r="H661" t="str">
        <v>MARA HERNANDEZ SUR</v>
      </c>
      <c r="I661" t="str">
        <v>JERONIMO LUNA MEJIA</v>
      </c>
      <c r="J661" s="82" t="str">
        <v>53846414190</v>
      </c>
      <c r="K661" t="str">
        <v>LUMJ641211HMNNJR06</v>
      </c>
      <c r="L661" s="82">
        <v>23123768</v>
      </c>
      <c r="M661" s="82">
        <v>5214432586289</v>
      </c>
      <c r="N661" t="str">
        <v>NUEVO MAYOR</v>
      </c>
      <c r="O661" s="89">
        <v>11328.369999999999</v>
      </c>
      <c r="P661" s="89" t="str">
        <v>848</v>
      </c>
      <c r="Q661" s="89">
        <v>3398.5109999999995</v>
      </c>
      <c r="R661" s="89">
        <v>2550.5109999999995</v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>
        <v>1</v>
      </c>
    </row>
    <row r="662" spans="1:24">
      <c r="A662" s="26">
        <v>640</v>
      </c>
      <c r="B662" s="87">
        <v>46232.455706018503</v>
      </c>
      <c r="C662" s="87">
        <v>46232.458009259302</v>
      </c>
      <c r="D662" t="str">
        <v>anónimo</v>
      </c>
      <c r="E662" t="str">
        <v/>
      </c>
      <c r="F662" s="68">
        <v>46232</v>
      </c>
      <c r="G662" s="88">
        <v>46224</v>
      </c>
      <c r="H662" t="str">
        <v>ANA VILLEGAS C/C</v>
      </c>
      <c r="I662" t="str">
        <v>alberto</v>
      </c>
      <c r="J662" s="82" t="str">
        <v/>
      </c>
      <c r="K662" t="str">
        <v>FAGA600415HJCRRL05</v>
      </c>
      <c r="L662" s="82">
        <v>22908876</v>
      </c>
      <c r="M662" s="82">
        <v>5213311834200</v>
      </c>
      <c r="N662" t="str">
        <v>RESTRINGIDA</v>
      </c>
      <c r="O662" s="89">
        <v>11693.55</v>
      </c>
      <c r="P662" s="89" t="str">
        <v>2468.54</v>
      </c>
      <c r="Q662" s="89">
        <v>3508.0649999999996</v>
      </c>
      <c r="R662" s="89">
        <v>1039.5249999999996</v>
      </c>
      <c r="S662">
        <v>46174</v>
      </c>
      <c r="T662" t="str">
        <v/>
      </c>
      <c r="U662" t="str">
        <v/>
      </c>
      <c r="V662" t="str">
        <v/>
      </c>
      <c r="W662" t="str">
        <v/>
      </c>
      <c r="X662">
        <v>2</v>
      </c>
    </row>
    <row r="663" spans="1:24">
      <c r="A663" s="26">
        <v>641</v>
      </c>
      <c r="B663" s="87">
        <v>46232.4612962963</v>
      </c>
      <c r="C663" s="87">
        <v>46232.4620138889</v>
      </c>
      <c r="D663" t="str">
        <v>anónimo</v>
      </c>
      <c r="E663" t="str">
        <v/>
      </c>
      <c r="F663" s="68">
        <v>46232</v>
      </c>
      <c r="G663" s="88">
        <v>46232</v>
      </c>
      <c r="H663" t="str">
        <v>DEYANIRA CORDOVA C/C</v>
      </c>
      <c r="I663" t="str">
        <v xml:space="preserve">JOSE ARTURO </v>
      </c>
      <c r="J663" s="82" t="str">
        <v/>
      </c>
      <c r="K663" t="str">
        <v>RERA650305HDFYMR09</v>
      </c>
      <c r="L663" s="82">
        <v>23117706</v>
      </c>
      <c r="M663" s="82">
        <v>5215561642836</v>
      </c>
      <c r="N663" t="str">
        <v>NUEVO MAYOR</v>
      </c>
      <c r="O663" s="89">
        <v>9760.32</v>
      </c>
      <c r="P663" s="89" t="str">
        <v/>
      </c>
      <c r="Q663" s="89">
        <v>2928.096</v>
      </c>
      <c r="R663" s="89">
        <v>2928.096</v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>
        <v>1</v>
      </c>
    </row>
    <row r="664" spans="1:24">
      <c r="A664" s="26">
        <v>648</v>
      </c>
      <c r="B664" s="87">
        <v>46232.4523611111</v>
      </c>
      <c r="C664" s="87">
        <v>46232.483541666697</v>
      </c>
      <c r="D664" t="str">
        <v>anónimo</v>
      </c>
      <c r="E664" t="str">
        <v/>
      </c>
      <c r="F664" s="68">
        <v>46232</v>
      </c>
      <c r="G664" s="88">
        <v>46232</v>
      </c>
      <c r="H664" t="str">
        <v>MARA HERNANDEZ SUR</v>
      </c>
      <c r="I664" t="str">
        <v>JOSE JERONIMO DE LOS ANGELES</v>
      </c>
      <c r="J664" s="82" t="str">
        <v/>
      </c>
      <c r="K664" t="str">
        <v>CACJ651205HYNNRR09</v>
      </c>
      <c r="L664" s="82">
        <v>23195180</v>
      </c>
      <c r="M664" s="82">
        <v>5219992444960</v>
      </c>
      <c r="N664" t="str">
        <v>NUEVO MAYOR</v>
      </c>
      <c r="O664" s="89">
        <v>9760.32</v>
      </c>
      <c r="P664" s="89" t="str">
        <v/>
      </c>
      <c r="Q664" s="89">
        <v>2928.096</v>
      </c>
      <c r="R664" s="89">
        <v>2928.096</v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>
        <v>1</v>
      </c>
    </row>
    <row r="665" spans="1:24">
      <c r="A665" s="26">
        <v>650</v>
      </c>
      <c r="B665" s="87">
        <v>46232.476388888899</v>
      </c>
      <c r="C665" s="87">
        <v>46232.485347222202</v>
      </c>
      <c r="D665" t="str">
        <v>anónimo</v>
      </c>
      <c r="E665" t="str">
        <v/>
      </c>
      <c r="F665" s="68">
        <v>46232</v>
      </c>
      <c r="G665" s="88">
        <v>46232</v>
      </c>
      <c r="H665" t="str">
        <v>ROSA CASTRO SUR</v>
      </c>
      <c r="I665" t="str">
        <v>VICTOR MANUEL GODOY FRANCO</v>
      </c>
      <c r="J665" s="82">
        <v>41896200510</v>
      </c>
      <c r="K665" t="str">
        <v>GOFV620421HSPDRC06</v>
      </c>
      <c r="L665" s="82">
        <v>23197102</v>
      </c>
      <c r="M665" s="82">
        <v>5214448492558</v>
      </c>
      <c r="N665" t="str">
        <v>NUEVO MAYOR</v>
      </c>
      <c r="O665" s="89">
        <v>26353.22</v>
      </c>
      <c r="P665" s="89" t="str">
        <v/>
      </c>
      <c r="Q665" s="89">
        <v>7905.9660000000003</v>
      </c>
      <c r="R665" s="89">
        <v>7905.9660000000003</v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>
        <v>1</v>
      </c>
    </row>
    <row r="666" spans="1:24">
      <c r="A666" s="26">
        <v>653</v>
      </c>
      <c r="B666" s="87">
        <v>46232.493912037004</v>
      </c>
      <c r="C666" s="87">
        <v>46232.494386574101</v>
      </c>
      <c r="D666" t="str">
        <v>anónimo</v>
      </c>
      <c r="E666" t="str">
        <v/>
      </c>
      <c r="F666" s="68">
        <v>46232</v>
      </c>
      <c r="G666" s="88">
        <v>46229</v>
      </c>
      <c r="H666" t="str">
        <v>GLORIA ORTIZ C/C</v>
      </c>
      <c r="I666" t="str">
        <v>ADOLFO MARQUEZ PULIDO</v>
      </c>
      <c r="J666" s="82">
        <v>83816209452</v>
      </c>
      <c r="K666" t="str">
        <v/>
      </c>
      <c r="L666" s="82">
        <v>23119094</v>
      </c>
      <c r="M666" s="82">
        <v>5219932227357</v>
      </c>
      <c r="N666" t="str">
        <v>NUEVO MENOR</v>
      </c>
      <c r="O666" s="89">
        <v>24760.05</v>
      </c>
      <c r="P666" s="89">
        <v>6750.93</v>
      </c>
      <c r="Q666" s="89">
        <v>7428.0149999999994</v>
      </c>
      <c r="R666" s="89">
        <v>677.08499999999913</v>
      </c>
      <c r="S666">
        <v>46266</v>
      </c>
      <c r="T666" t="str">
        <v/>
      </c>
      <c r="U666" t="str">
        <v/>
      </c>
      <c r="V666" t="str">
        <v/>
      </c>
      <c r="W666" t="str">
        <v/>
      </c>
      <c r="X666">
        <v>2</v>
      </c>
    </row>
    <row r="667" spans="1:24">
      <c r="A667" s="26">
        <v>655</v>
      </c>
      <c r="B667" s="87">
        <v>46232.500462962998</v>
      </c>
      <c r="C667" s="87">
        <v>46232.506018518499</v>
      </c>
      <c r="D667" t="str">
        <v>anónimo</v>
      </c>
      <c r="E667" t="str">
        <v/>
      </c>
      <c r="F667" s="68">
        <v>46232</v>
      </c>
      <c r="G667" s="88">
        <v>46232</v>
      </c>
      <c r="H667" t="str">
        <v>LUISA LARA SUR</v>
      </c>
      <c r="I667" t="str">
        <v>MARCO ANTONIO ISLAS RODRIGUEZ</v>
      </c>
      <c r="J667" s="82">
        <v>13786400187</v>
      </c>
      <c r="K667" t="str">
        <v>IARM570613HHGSDR02</v>
      </c>
      <c r="L667" s="82">
        <v>23203462</v>
      </c>
      <c r="M667" s="82">
        <v>5216863957803</v>
      </c>
      <c r="N667" t="str">
        <v>NUEVO MAYOR</v>
      </c>
      <c r="O667" s="89">
        <v>7363.38</v>
      </c>
      <c r="P667" s="89" t="str">
        <v/>
      </c>
      <c r="Q667" s="89">
        <v>2209.0140000000001</v>
      </c>
      <c r="R667" s="89">
        <v>2209.0140000000001</v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>
        <v>1</v>
      </c>
    </row>
    <row r="668" spans="1:24">
      <c r="A668" s="26">
        <v>656</v>
      </c>
      <c r="B668" s="87">
        <v>46232.4938541667</v>
      </c>
      <c r="C668" s="87">
        <v>46232.506365740701</v>
      </c>
      <c r="D668" t="str">
        <v>anónimo</v>
      </c>
      <c r="E668" t="str">
        <v/>
      </c>
      <c r="F668" s="68">
        <v>46232</v>
      </c>
      <c r="G668" s="88">
        <v>46232</v>
      </c>
      <c r="H668" t="str">
        <v>JENNIFER AVENDAÑO SUR</v>
      </c>
      <c r="I668" t="str">
        <v>OSCAR RIEBELING BARAJAS</v>
      </c>
      <c r="J668" s="82" t="str">
        <v>04856229481</v>
      </c>
      <c r="K668" t="str">
        <v>RIBO620722HJCBRS09</v>
      </c>
      <c r="L668" s="82">
        <v>23202954</v>
      </c>
      <c r="M668" s="82">
        <v>5216421301379</v>
      </c>
      <c r="N668" t="str">
        <v>NUEVO MAYOR</v>
      </c>
      <c r="O668" s="89">
        <v>9760.32</v>
      </c>
      <c r="P668" s="89" t="str">
        <v/>
      </c>
      <c r="Q668" s="89">
        <v>2928.096</v>
      </c>
      <c r="R668" s="89">
        <v>2928.096</v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>
        <v>1</v>
      </c>
    </row>
    <row r="669" spans="1:24">
      <c r="A669" s="26">
        <v>658</v>
      </c>
      <c r="B669" s="87">
        <v>46232.510092592602</v>
      </c>
      <c r="C669" s="87">
        <v>46232.515810185199</v>
      </c>
      <c r="D669" t="str">
        <v>anónimo</v>
      </c>
      <c r="E669" t="str">
        <v/>
      </c>
      <c r="F669" s="68">
        <v>46232</v>
      </c>
      <c r="G669" s="88">
        <v>46231</v>
      </c>
      <c r="H669" t="str">
        <v>YESSENIA ESPINO</v>
      </c>
      <c r="I669" t="str">
        <v>Jorge Quintana Grijalva.</v>
      </c>
      <c r="J669" s="82" t="str">
        <v>21846307573</v>
      </c>
      <c r="K669" t="str">
        <v/>
      </c>
      <c r="L669" s="82">
        <v>23187034</v>
      </c>
      <c r="M669" s="82">
        <v>5216621404327</v>
      </c>
      <c r="N669" t="str">
        <v>NUEVO MAYOR</v>
      </c>
      <c r="O669" s="89">
        <v>21760.99</v>
      </c>
      <c r="P669" s="89" t="str">
        <v/>
      </c>
      <c r="Q669" s="89">
        <v>6528.2970000000005</v>
      </c>
      <c r="R669" s="89">
        <v>6528.2970000000005</v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>
        <v>1</v>
      </c>
    </row>
    <row r="670" spans="1:24">
      <c r="A670" s="26">
        <v>659</v>
      </c>
      <c r="B670" s="87">
        <v>46232.5088888889</v>
      </c>
      <c r="C670" s="87">
        <v>46232.518668981502</v>
      </c>
      <c r="D670" t="str">
        <v>anónimo</v>
      </c>
      <c r="E670" t="str">
        <v/>
      </c>
      <c r="F670" s="68">
        <v>46232</v>
      </c>
      <c r="G670" s="88">
        <v>46232</v>
      </c>
      <c r="H670" t="str">
        <v>LILIANA MARTINEZ SUR</v>
      </c>
      <c r="I670" t="str">
        <v>RODOLFO FABIAN ACOSTA CASAS</v>
      </c>
      <c r="J670" s="82">
        <v>92926612547</v>
      </c>
      <c r="K670" t="str">
        <v>AOCR660120HCLCSD09</v>
      </c>
      <c r="L670" s="82">
        <v>23195434</v>
      </c>
      <c r="M670" s="82">
        <v>5218444680847</v>
      </c>
      <c r="N670" t="str">
        <v>NUEVO MAYOR</v>
      </c>
      <c r="O670" s="89">
        <v>10636.54</v>
      </c>
      <c r="P670" s="89" t="str">
        <v/>
      </c>
      <c r="Q670" s="89">
        <v>3190.962</v>
      </c>
      <c r="R670" s="89">
        <v>3190.962</v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>
        <v>1</v>
      </c>
    </row>
    <row r="671" spans="1:24">
      <c r="A671" s="26">
        <v>661</v>
      </c>
      <c r="B671" s="87">
        <v>46232.512905092597</v>
      </c>
      <c r="C671" s="87">
        <v>46232.525763888902</v>
      </c>
      <c r="D671" t="str">
        <v>anónimo</v>
      </c>
      <c r="E671" t="str">
        <v/>
      </c>
      <c r="F671" s="68">
        <v>46232</v>
      </c>
      <c r="G671" s="88">
        <v>46232</v>
      </c>
      <c r="H671" t="str">
        <v>ROSA CASTRO SUR</v>
      </c>
      <c r="I671" t="str">
        <v xml:space="preserve">ROSALIO JESUS HERRERA REYES </v>
      </c>
      <c r="J671" s="82">
        <v>11755622567</v>
      </c>
      <c r="K671" t="str">
        <v>HERR560904HDFRYS01</v>
      </c>
      <c r="L671" s="82">
        <v>23202700</v>
      </c>
      <c r="M671" s="82">
        <v>5215655425173</v>
      </c>
      <c r="N671" t="str">
        <v>NUEVO MAYOR</v>
      </c>
      <c r="O671" s="89">
        <v>6262.86</v>
      </c>
      <c r="P671" s="89" t="str">
        <v/>
      </c>
      <c r="Q671" s="89">
        <v>1878.8579999999997</v>
      </c>
      <c r="R671" s="89">
        <v>1878.8579999999997</v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>
        <v>1</v>
      </c>
    </row>
    <row r="672" spans="1:24">
      <c r="A672" s="26">
        <v>669</v>
      </c>
      <c r="B672" s="87">
        <v>46232.539814814802</v>
      </c>
      <c r="C672" s="87">
        <v>46232.542326388902</v>
      </c>
      <c r="D672" t="str">
        <v>anónimo</v>
      </c>
      <c r="E672" t="str">
        <v/>
      </c>
      <c r="F672" s="68">
        <v>46232</v>
      </c>
      <c r="G672" s="88">
        <v>46232</v>
      </c>
      <c r="H672" t="str">
        <v>XIMENA RIVERA SUR</v>
      </c>
      <c r="I672" t="str">
        <v>JOSE LUIS VICENCIO ROJAS</v>
      </c>
      <c r="J672" s="82">
        <v>49815507485</v>
      </c>
      <c r="K672" t="str">
        <v>VIRL551102HVZCJS00</v>
      </c>
      <c r="L672" s="82">
        <v>23205416</v>
      </c>
      <c r="M672" s="82">
        <v>5219932180560</v>
      </c>
      <c r="N672" t="str">
        <v>RESTRINGIDA</v>
      </c>
      <c r="O672" s="89">
        <v>24419.33</v>
      </c>
      <c r="P672" s="89">
        <v>7323.1</v>
      </c>
      <c r="Q672" s="89">
        <v>7325.799</v>
      </c>
      <c r="R672" s="89">
        <v>2.6989999999996144</v>
      </c>
      <c r="S672">
        <v>46874</v>
      </c>
      <c r="T672" t="str">
        <v>CONSUBANCO</v>
      </c>
      <c r="U672" t="str">
        <v/>
      </c>
      <c r="V672" t="str">
        <v/>
      </c>
      <c r="W672" t="str">
        <v/>
      </c>
      <c r="X672">
        <v>2</v>
      </c>
    </row>
    <row r="673" spans="1:24">
      <c r="A673" s="26">
        <v>670</v>
      </c>
      <c r="B673" s="87">
        <v>46232.544016203698</v>
      </c>
      <c r="C673" s="87">
        <v>46232.544664351903</v>
      </c>
      <c r="D673" t="str">
        <v>anónimo</v>
      </c>
      <c r="E673" t="str">
        <v/>
      </c>
      <c r="F673" s="68">
        <v>46232</v>
      </c>
      <c r="G673" s="88">
        <v>46231</v>
      </c>
      <c r="H673" t="str">
        <v>HANIA GARCIA C/C</v>
      </c>
      <c r="I673" t="str">
        <v>Salome Velazquez Celaya</v>
      </c>
      <c r="J673" s="82" t="str">
        <v/>
      </c>
      <c r="K673" t="str">
        <v>VECS541022HDGLLL02</v>
      </c>
      <c r="L673" s="82">
        <v>23184518</v>
      </c>
      <c r="M673" s="82">
        <v>6181641189</v>
      </c>
      <c r="N673" t="str">
        <v>RESTRINGIDA</v>
      </c>
      <c r="O673" s="89">
        <v>7132.13</v>
      </c>
      <c r="P673" s="89">
        <v>1977.9</v>
      </c>
      <c r="Q673" s="89">
        <v>2139.6390000000001</v>
      </c>
      <c r="R673" s="89">
        <v>161.73900000000003</v>
      </c>
      <c r="S673">
        <v>45200</v>
      </c>
      <c r="T673" t="str">
        <v>FISOFO</v>
      </c>
      <c r="U673" t="str">
        <v/>
      </c>
      <c r="V673" t="str">
        <v/>
      </c>
      <c r="W673" t="str">
        <v/>
      </c>
      <c r="X673">
        <v>2</v>
      </c>
    </row>
    <row r="674" spans="1:24">
      <c r="A674" s="26">
        <v>671</v>
      </c>
      <c r="B674" s="87">
        <v>46232.483587962997</v>
      </c>
      <c r="C674" s="87">
        <v>46232.545358796298</v>
      </c>
      <c r="D674" t="str">
        <v>anónimo</v>
      </c>
      <c r="E674" t="str">
        <v/>
      </c>
      <c r="F674" s="68">
        <v>46232</v>
      </c>
      <c r="G674" s="88">
        <v>46232</v>
      </c>
      <c r="H674" t="str">
        <v>MARA HERNANDEZ SUR</v>
      </c>
      <c r="I674" t="str">
        <v>MARIO CAMACHO</v>
      </c>
      <c r="J674" s="82">
        <v>53806016936</v>
      </c>
      <c r="K674" t="str">
        <v>CAXM600815HMNMXR05</v>
      </c>
      <c r="L674" s="82">
        <v>23205328</v>
      </c>
      <c r="M674" s="82">
        <v>5214431011747</v>
      </c>
      <c r="N674" t="str">
        <v>COMPRA MENOR</v>
      </c>
      <c r="O674" s="89">
        <v>4954.7299999999996</v>
      </c>
      <c r="P674" s="89">
        <v>589.27</v>
      </c>
      <c r="Q674" s="89">
        <v>1486.4189999999999</v>
      </c>
      <c r="R674" s="89">
        <v>192.48000000000002</v>
      </c>
      <c r="S674">
        <v>45809</v>
      </c>
      <c r="T674" t="str">
        <v/>
      </c>
      <c r="U674" t="str">
        <v/>
      </c>
      <c r="V674" t="str">
        <v/>
      </c>
      <c r="W674" t="str">
        <v/>
      </c>
      <c r="X674">
        <v>2</v>
      </c>
    </row>
    <row r="675" spans="1:24">
      <c r="A675" s="26">
        <v>672</v>
      </c>
      <c r="B675" s="87">
        <v>46232.561527777798</v>
      </c>
      <c r="C675" s="87">
        <v>46232.562442129602</v>
      </c>
      <c r="D675" t="str">
        <v>anónimo</v>
      </c>
      <c r="E675" t="str">
        <v/>
      </c>
      <c r="F675" s="68">
        <v>46232</v>
      </c>
      <c r="G675" s="88">
        <v>46231</v>
      </c>
      <c r="H675" t="str">
        <v>HANIA GARCIA C/C</v>
      </c>
      <c r="I675" t="str">
        <v>Ernesto Mauro Nuñez</v>
      </c>
      <c r="J675" s="82" t="str">
        <v/>
      </c>
      <c r="K675" t="str">
        <v>NUXE600211HDGXXR07</v>
      </c>
      <c r="L675" s="82">
        <v>23179920</v>
      </c>
      <c r="M675" s="82">
        <v>6121312297</v>
      </c>
      <c r="N675" t="str">
        <v>COMPRA MENOR</v>
      </c>
      <c r="O675" s="89">
        <v>5617.63</v>
      </c>
      <c r="P675" s="89">
        <v>1376.55</v>
      </c>
      <c r="Q675" s="89">
        <v>1685.289</v>
      </c>
      <c r="R675" s="89">
        <v>68.100000000000591</v>
      </c>
      <c r="S675">
        <v>45413</v>
      </c>
      <c r="T675" t="str">
        <v/>
      </c>
      <c r="U675" t="str">
        <v/>
      </c>
      <c r="V675" t="str">
        <v/>
      </c>
      <c r="W675" t="str">
        <v/>
      </c>
      <c r="X675">
        <v>2</v>
      </c>
    </row>
    <row r="676" spans="1:24">
      <c r="A676" s="26">
        <v>673</v>
      </c>
      <c r="B676" s="87">
        <v>46232.567337963003</v>
      </c>
      <c r="C676" s="87">
        <v>46232.567731481497</v>
      </c>
      <c r="D676" t="str">
        <v>anónimo</v>
      </c>
      <c r="E676" t="str">
        <v/>
      </c>
      <c r="F676" s="68">
        <v>46232</v>
      </c>
      <c r="G676" s="88">
        <v>46232</v>
      </c>
      <c r="H676" t="str">
        <v>MARISOL HERNANDEZ C/C</v>
      </c>
      <c r="I676" t="str">
        <v>Celestina Vega Gómez</v>
      </c>
      <c r="J676" s="82" t="str">
        <v>21784502854</v>
      </c>
      <c r="K676" t="str">
        <v>VEGC551125MJCGML05</v>
      </c>
      <c r="L676" s="82">
        <v>23206810</v>
      </c>
      <c r="M676" s="82">
        <v>6862395452</v>
      </c>
      <c r="N676" t="str">
        <v>NUEVO MAYOR</v>
      </c>
      <c r="O676" s="89">
        <v>8173.37</v>
      </c>
      <c r="P676" s="89">
        <v>879</v>
      </c>
      <c r="Q676" s="89">
        <v>2452.011</v>
      </c>
      <c r="R676" s="89">
        <v>1573.011</v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>
        <v>1</v>
      </c>
    </row>
    <row r="677" spans="1:24">
      <c r="A677" s="26">
        <v>675</v>
      </c>
      <c r="B677" s="87">
        <v>46232.525775463</v>
      </c>
      <c r="C677" s="87">
        <v>46232.590300925898</v>
      </c>
      <c r="D677" t="str">
        <v>anónimo</v>
      </c>
      <c r="E677" t="str">
        <v/>
      </c>
      <c r="F677" s="68">
        <v>46232</v>
      </c>
      <c r="G677" s="88">
        <v>46232</v>
      </c>
      <c r="H677" t="str">
        <v>ROSA CASTRO SUR</v>
      </c>
      <c r="I677" t="str">
        <v xml:space="preserve">JACOBO GALVEZ FAVELA </v>
      </c>
      <c r="J677" s="82">
        <v>23695013096</v>
      </c>
      <c r="K677" t="str">
        <v>GAFJ501115HSLLVC05</v>
      </c>
      <c r="L677" s="82">
        <v>23205100</v>
      </c>
      <c r="M677" s="82">
        <v>5216871390401</v>
      </c>
      <c r="N677" t="str">
        <v>NUEVO MAYOR</v>
      </c>
      <c r="O677" s="89">
        <v>23748.62</v>
      </c>
      <c r="P677" s="89" t="str">
        <v/>
      </c>
      <c r="Q677" s="89">
        <v>7124.5859999999993</v>
      </c>
      <c r="R677" s="89">
        <v>7124.5859999999993</v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>
        <v>1</v>
      </c>
    </row>
    <row r="678" spans="1:24">
      <c r="A678" s="26">
        <v>679</v>
      </c>
      <c r="B678" s="87">
        <v>46232.605624999997</v>
      </c>
      <c r="C678" s="87">
        <v>46232.6078472222</v>
      </c>
      <c r="D678" t="str">
        <v>anónimo</v>
      </c>
      <c r="E678" t="str">
        <v/>
      </c>
      <c r="F678" s="68">
        <v>46232</v>
      </c>
      <c r="G678" s="88">
        <v>46232</v>
      </c>
      <c r="H678" t="str">
        <v>JENNIFER AVENDAÑO SUR</v>
      </c>
      <c r="I678" t="str">
        <v xml:space="preserve">ROSA ISELA RODRIGUEZ LEON </v>
      </c>
      <c r="J678" s="82">
        <v>23856464344</v>
      </c>
      <c r="K678" t="str">
        <v>ROLR640721MSLDNS04</v>
      </c>
      <c r="L678" s="82">
        <v>23205318</v>
      </c>
      <c r="M678" s="82">
        <v>5216693195012</v>
      </c>
      <c r="N678" t="str">
        <v>NUEVO MENOR</v>
      </c>
      <c r="O678" s="89">
        <v>33401</v>
      </c>
      <c r="P678" s="89">
        <v>9270.65</v>
      </c>
      <c r="Q678" s="89">
        <v>10020.299999999999</v>
      </c>
      <c r="R678" s="89">
        <v>749.64999999999964</v>
      </c>
      <c r="S678">
        <v>46388</v>
      </c>
      <c r="T678" t="str">
        <v/>
      </c>
      <c r="U678" t="str">
        <v/>
      </c>
      <c r="V678" t="str">
        <v/>
      </c>
      <c r="W678" t="str">
        <v/>
      </c>
      <c r="X678">
        <v>2</v>
      </c>
    </row>
    <row r="679" spans="1:24">
      <c r="A679" s="26">
        <v>680</v>
      </c>
      <c r="B679" s="87">
        <v>46232.611678240697</v>
      </c>
      <c r="C679" s="87">
        <v>46232.613298611097</v>
      </c>
      <c r="D679" t="str">
        <v>anónimo</v>
      </c>
      <c r="E679" t="str">
        <v/>
      </c>
      <c r="F679" s="68">
        <v>46232</v>
      </c>
      <c r="G679" s="88">
        <v>46232</v>
      </c>
      <c r="H679" t="str">
        <v>MARA HERNANDEZ SUR</v>
      </c>
      <c r="I679" t="str">
        <v>Francisco Javier Lopez Medran</v>
      </c>
      <c r="J679" s="82" t="str">
        <v/>
      </c>
      <c r="K679" t="str">
        <v>LOMF591115HPLPDR05</v>
      </c>
      <c r="L679" s="82">
        <v>23203084</v>
      </c>
      <c r="M679" s="82">
        <v>5212214260095</v>
      </c>
      <c r="N679" t="str">
        <v>NUEVO MAYOR</v>
      </c>
      <c r="O679" s="89">
        <v>7159.39</v>
      </c>
      <c r="P679" s="89" t="str">
        <v/>
      </c>
      <c r="Q679" s="89">
        <v>2147.817</v>
      </c>
      <c r="R679" s="89">
        <v>2147.817</v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>
        <v>2</v>
      </c>
    </row>
    <row r="680" spans="1:24">
      <c r="A680" s="26">
        <v>682</v>
      </c>
      <c r="B680" s="87">
        <v>46232.624849537002</v>
      </c>
      <c r="C680" s="87">
        <v>46232.6258564815</v>
      </c>
      <c r="D680" t="str">
        <v>anónimo</v>
      </c>
      <c r="E680" t="str">
        <v/>
      </c>
      <c r="F680" s="68">
        <v>46232</v>
      </c>
      <c r="G680" s="88">
        <v>46231</v>
      </c>
      <c r="H680" t="str">
        <v>YESSENIA ESPINO</v>
      </c>
      <c r="I680" t="str">
        <v>Isidro López Flores</v>
      </c>
      <c r="J680" s="82" t="str">
        <v>54836450806</v>
      </c>
      <c r="K680" t="str">
        <v/>
      </c>
      <c r="L680" s="82">
        <v>23189168</v>
      </c>
      <c r="M680" s="82">
        <v>5213921294826</v>
      </c>
      <c r="N680" t="str">
        <v>NUEVO MAYOR</v>
      </c>
      <c r="O680" s="89">
        <v>9760.32</v>
      </c>
      <c r="P680" s="89" t="str">
        <v/>
      </c>
      <c r="Q680" s="89">
        <v>2928.096</v>
      </c>
      <c r="R680" s="89">
        <v>2928.096</v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>
        <v>1</v>
      </c>
    </row>
    <row r="681" spans="1:24">
      <c r="A681" s="26">
        <v>686</v>
      </c>
      <c r="B681" s="87">
        <v>46232.6316435185</v>
      </c>
      <c r="C681" s="87">
        <v>46232.635173611103</v>
      </c>
      <c r="D681" t="str">
        <v>anónimo</v>
      </c>
      <c r="E681" t="str">
        <v/>
      </c>
      <c r="F681" s="68">
        <v>46232</v>
      </c>
      <c r="G681" s="88">
        <v>46232</v>
      </c>
      <c r="H681" t="str">
        <v>LILIANA MARTINEZ SUR</v>
      </c>
      <c r="I681" t="str">
        <v>SILVIA VELAZQUEZ TELLEZ</v>
      </c>
      <c r="J681" s="82" t="str">
        <v/>
      </c>
      <c r="K681" t="str">
        <v>VETS640329MDFLLL02</v>
      </c>
      <c r="L681" s="82">
        <v>23203426</v>
      </c>
      <c r="M681" s="82">
        <v>5215510059254</v>
      </c>
      <c r="N681" t="str">
        <v>NUEVO MENOR</v>
      </c>
      <c r="O681" s="89">
        <v>26857.08</v>
      </c>
      <c r="P681" s="89">
        <v>7455.07</v>
      </c>
      <c r="Q681" s="89">
        <v>8057.1239999999998</v>
      </c>
      <c r="R681" s="89">
        <v>602.05400000000009</v>
      </c>
      <c r="S681">
        <v>46235</v>
      </c>
      <c r="T681" t="str">
        <v/>
      </c>
      <c r="U681" t="str">
        <v/>
      </c>
      <c r="V681" t="str">
        <v/>
      </c>
      <c r="W681" t="str">
        <v/>
      </c>
      <c r="X681">
        <v>2</v>
      </c>
    </row>
    <row r="682" spans="1:24">
      <c r="A682" s="26">
        <v>690</v>
      </c>
      <c r="B682" s="87">
        <v>46232.642905092602</v>
      </c>
      <c r="C682" s="87">
        <v>46232.643483796302</v>
      </c>
      <c r="D682" t="str">
        <v>anónimo</v>
      </c>
      <c r="E682" t="str">
        <v/>
      </c>
      <c r="F682" s="68">
        <v>46232</v>
      </c>
      <c r="G682" s="88">
        <v>46226</v>
      </c>
      <c r="H682" t="str">
        <v>LITZY MARTINEZ C/C</v>
      </c>
      <c r="I682" t="str">
        <v xml:space="preserve">ALEJANDRO JIMENEZ GUILLEN </v>
      </c>
      <c r="J682" s="82" t="str">
        <v/>
      </c>
      <c r="K682" t="str">
        <v>JIGA640111HDFMLL06</v>
      </c>
      <c r="L682" s="82">
        <v>23035142</v>
      </c>
      <c r="M682" s="82">
        <v>5215523512030</v>
      </c>
      <c r="N682" t="str">
        <v>NUEVO MAYOR</v>
      </c>
      <c r="O682" s="89">
        <v>10171.24</v>
      </c>
      <c r="P682" s="89" t="str">
        <v/>
      </c>
      <c r="Q682" s="89">
        <v>3051.3719999999998</v>
      </c>
      <c r="R682" s="89">
        <v>3051.3719999999998</v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>
        <v>1</v>
      </c>
    </row>
    <row r="683" spans="1:24">
      <c r="A683" s="26">
        <v>693</v>
      </c>
      <c r="B683" s="87">
        <v>46232.652488425898</v>
      </c>
      <c r="C683" s="87">
        <v>46232.653888888897</v>
      </c>
      <c r="D683" t="str">
        <v>anónimo</v>
      </c>
      <c r="E683" t="str">
        <v/>
      </c>
      <c r="F683" s="68">
        <v>46232</v>
      </c>
      <c r="G683" s="88">
        <v>46232</v>
      </c>
      <c r="H683" t="str">
        <v>DULCE FRANCO C/C</v>
      </c>
      <c r="I683" t="str">
        <v>FRANCISCO JAVIER NAVARRO</v>
      </c>
      <c r="J683" s="82" t="str">
        <v/>
      </c>
      <c r="K683" t="str">
        <v>NAXF601115HSLVXR00</v>
      </c>
      <c r="L683" s="82">
        <v>23209990</v>
      </c>
      <c r="M683" s="82">
        <v>5216632031321</v>
      </c>
      <c r="N683" t="str">
        <v>RESTRINGIDA</v>
      </c>
      <c r="O683" s="89">
        <v>6262.86</v>
      </c>
      <c r="P683" s="89">
        <v>1736.71</v>
      </c>
      <c r="Q683" s="89">
        <v>1878.8579999999997</v>
      </c>
      <c r="R683" s="89">
        <v>142.14799999999968</v>
      </c>
      <c r="S683">
        <v>46204</v>
      </c>
      <c r="T683" t="str">
        <v>OPCIPRES</v>
      </c>
      <c r="U683" t="str">
        <v/>
      </c>
      <c r="V683" t="str">
        <v/>
      </c>
      <c r="W683" t="str">
        <v/>
      </c>
      <c r="X683">
        <v>2</v>
      </c>
    </row>
    <row r="684" spans="1:24">
      <c r="A684" s="26">
        <v>695</v>
      </c>
      <c r="B684" s="87">
        <v>46232.615601851903</v>
      </c>
      <c r="C684" s="87">
        <v>46232.664687500001</v>
      </c>
      <c r="D684" t="str">
        <v>anónimo</v>
      </c>
      <c r="E684" t="str">
        <v/>
      </c>
      <c r="F684" s="68">
        <v>46232</v>
      </c>
      <c r="G684" s="88">
        <v>46232</v>
      </c>
      <c r="H684" t="str">
        <v>GUADALUPE BECERRA C/C</v>
      </c>
      <c r="I684" t="str">
        <v>Valente Elizondo flores</v>
      </c>
      <c r="J684" s="82" t="str">
        <v>03816476398</v>
      </c>
      <c r="K684" t="str">
        <v/>
      </c>
      <c r="L684" s="82">
        <v>23210224</v>
      </c>
      <c r="M684" s="82">
        <v>5218147063220</v>
      </c>
      <c r="N684" t="str">
        <v>COMPRA MAYOR</v>
      </c>
      <c r="O684" s="89">
        <v>9081.52</v>
      </c>
      <c r="P684" s="89">
        <v>2520.12</v>
      </c>
      <c r="Q684" s="89">
        <v>2724.4560000000001</v>
      </c>
      <c r="R684" s="89">
        <v>204.33600000000024</v>
      </c>
      <c r="S684">
        <v>46204</v>
      </c>
      <c r="T684" t="str">
        <v/>
      </c>
      <c r="U684" t="str">
        <v/>
      </c>
      <c r="V684" t="str">
        <v/>
      </c>
      <c r="W684" t="str">
        <v/>
      </c>
      <c r="X684">
        <v>2</v>
      </c>
    </row>
    <row r="685" spans="1:24">
      <c r="A685" s="26">
        <v>696</v>
      </c>
      <c r="B685" s="87">
        <v>46232.660208333298</v>
      </c>
      <c r="C685" s="87">
        <v>46232.665601851899</v>
      </c>
      <c r="D685" t="str">
        <v>anónimo</v>
      </c>
      <c r="E685" t="str">
        <v/>
      </c>
      <c r="F685" s="68">
        <v>46232</v>
      </c>
      <c r="G685" s="88">
        <v>46232</v>
      </c>
      <c r="H685" t="str">
        <v>LILIANA MARTINEZ SUR</v>
      </c>
      <c r="I685" t="str">
        <v xml:space="preserve">EDIEL BENITEZ OCHOA </v>
      </c>
      <c r="J685" s="82">
        <v>49846016027</v>
      </c>
      <c r="K685" t="str">
        <v>BEOE600609HVZNCD05</v>
      </c>
      <c r="L685" s="82">
        <v>23193178</v>
      </c>
      <c r="M685" s="82">
        <v>5219631456686</v>
      </c>
      <c r="N685" t="str">
        <v>NUEVO MAYOR</v>
      </c>
      <c r="O685" s="89">
        <v>32675.89</v>
      </c>
      <c r="P685" s="89" t="str">
        <v/>
      </c>
      <c r="Q685" s="89">
        <v>9802.7669999999998</v>
      </c>
      <c r="R685" s="89">
        <v>9802.7669999999998</v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>
        <v>1</v>
      </c>
    </row>
    <row r="686" spans="1:24">
      <c r="A686" s="26">
        <v>697</v>
      </c>
      <c r="B686" s="87">
        <v>46232.662349537</v>
      </c>
      <c r="C686" s="87">
        <v>46232.6688194444</v>
      </c>
      <c r="D686" t="str">
        <v>anónimo</v>
      </c>
      <c r="E686" t="str">
        <v/>
      </c>
      <c r="F686" s="68">
        <v>46232</v>
      </c>
      <c r="G686" s="88">
        <v>46232</v>
      </c>
      <c r="H686" t="str">
        <v>JENNIFER AVENDAÑO SUR</v>
      </c>
      <c r="I686" t="str">
        <v>ELISA GONZALEZ GODINES</v>
      </c>
      <c r="J686" s="82" t="str">
        <v>04725534954</v>
      </c>
      <c r="K686" t="str">
        <v>GOGE550530MVZNDL13</v>
      </c>
      <c r="L686" s="82">
        <v>23203814</v>
      </c>
      <c r="M686" s="82">
        <v>5216562155906</v>
      </c>
      <c r="N686" t="str">
        <v>COMPRA MAYOR</v>
      </c>
      <c r="O686" s="89">
        <v>6262.94</v>
      </c>
      <c r="P686" s="89">
        <v>1726.76</v>
      </c>
      <c r="Q686" s="89">
        <v>1878.8819999999998</v>
      </c>
      <c r="R686" s="89">
        <v>152.12199999999984</v>
      </c>
      <c r="S686">
        <v>46143</v>
      </c>
      <c r="T686" t="str">
        <v/>
      </c>
      <c r="U686" t="str">
        <v/>
      </c>
      <c r="V686" t="str">
        <v/>
      </c>
      <c r="W686" t="str">
        <v/>
      </c>
      <c r="X686">
        <v>2</v>
      </c>
    </row>
    <row r="687" spans="1:24">
      <c r="A687" s="26">
        <v>702</v>
      </c>
      <c r="B687" s="87">
        <v>46232.6855208333</v>
      </c>
      <c r="C687" s="87">
        <v>46232.689560185201</v>
      </c>
      <c r="D687" t="str">
        <v>anónimo</v>
      </c>
      <c r="E687" t="str">
        <v/>
      </c>
      <c r="F687" s="68">
        <v>46232</v>
      </c>
      <c r="G687" s="88">
        <v>46232</v>
      </c>
      <c r="H687" t="str">
        <v>JENNIFER AVENDAÑO SUR</v>
      </c>
      <c r="I687" t="str">
        <v xml:space="preserve">CARLOS HERNANDEZ APODACA </v>
      </c>
      <c r="J687" s="82">
        <v>65826200407</v>
      </c>
      <c r="K687" t="str">
        <v>HEAC621129HVZRPR08</v>
      </c>
      <c r="L687" s="82">
        <v>23193878</v>
      </c>
      <c r="M687" s="82">
        <v>5212294636276</v>
      </c>
      <c r="N687" t="str">
        <v>NUEVO MAYOR</v>
      </c>
      <c r="O687" s="89">
        <v>7116.73</v>
      </c>
      <c r="P687" s="89">
        <v>848</v>
      </c>
      <c r="Q687" s="89">
        <v>2135.0189999999998</v>
      </c>
      <c r="R687" s="89">
        <v>1287.0189999999998</v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>
        <v>1</v>
      </c>
    </row>
    <row r="688" spans="1:24">
      <c r="A688" s="26">
        <v>709</v>
      </c>
      <c r="B688" s="87">
        <v>46232.710740740702</v>
      </c>
      <c r="C688" s="87">
        <v>46232.711631944403</v>
      </c>
      <c r="D688" t="str">
        <v>anónimo</v>
      </c>
      <c r="E688" t="str">
        <v/>
      </c>
      <c r="F688" s="68">
        <v>46232</v>
      </c>
      <c r="G688" s="88">
        <v>46232</v>
      </c>
      <c r="H688" t="str">
        <v>DULCE FRANCO C/C</v>
      </c>
      <c r="I688" t="str">
        <v>ARTURO QUIROZ MANCILLA</v>
      </c>
      <c r="J688" s="82" t="str">
        <v/>
      </c>
      <c r="K688" t="str">
        <v>QUMA641117HMCRNR05</v>
      </c>
      <c r="L688" s="82">
        <v>23211302</v>
      </c>
      <c r="M688" s="82">
        <v>5217223567575</v>
      </c>
      <c r="N688" t="str">
        <v>NUEVO MENOR</v>
      </c>
      <c r="O688" s="89">
        <v>9990.66</v>
      </c>
      <c r="P688" s="89">
        <v>2653.8</v>
      </c>
      <c r="Q688" s="89">
        <v>2997.1979999999999</v>
      </c>
      <c r="R688" s="89">
        <v>343.39799999999968</v>
      </c>
      <c r="S688">
        <v>46539</v>
      </c>
      <c r="T688" t="str">
        <v/>
      </c>
      <c r="U688" t="str">
        <v/>
      </c>
      <c r="V688" t="str">
        <v/>
      </c>
      <c r="W688" t="str">
        <v/>
      </c>
      <c r="X688">
        <v>2</v>
      </c>
    </row>
    <row r="689" spans="1:24">
      <c r="A689" s="26">
        <v>712</v>
      </c>
      <c r="B689" s="87">
        <v>46232.712314814802</v>
      </c>
      <c r="C689" s="87">
        <v>46232.715046296304</v>
      </c>
      <c r="D689" t="str">
        <v>anónimo</v>
      </c>
      <c r="E689" t="str">
        <v/>
      </c>
      <c r="F689" s="68">
        <v>46232</v>
      </c>
      <c r="G689" s="88">
        <v>46232</v>
      </c>
      <c r="H689" t="str">
        <v>MARISOL HERNANDEZ C/C</v>
      </c>
      <c r="I689" t="str">
        <v>asuncion vicente lopez</v>
      </c>
      <c r="J689" s="82">
        <v>88805300253</v>
      </c>
      <c r="K689" t="str">
        <v>VILA531208MOCCPS03</v>
      </c>
      <c r="L689" s="82">
        <v>23211548</v>
      </c>
      <c r="M689" s="82">
        <v>5563028771</v>
      </c>
      <c r="N689" t="str">
        <v>NUEVO MENOR</v>
      </c>
      <c r="O689" s="89">
        <v>7997.11</v>
      </c>
      <c r="P689" s="89">
        <v>1797.68</v>
      </c>
      <c r="Q689" s="89">
        <v>2399.1329999999998</v>
      </c>
      <c r="R689" s="89">
        <v>601.45299999999975</v>
      </c>
      <c r="S689">
        <v>46753</v>
      </c>
      <c r="T689" t="str">
        <v>FISOFO</v>
      </c>
      <c r="U689" t="str">
        <v/>
      </c>
      <c r="V689" t="str">
        <v/>
      </c>
      <c r="W689" t="str">
        <v/>
      </c>
      <c r="X689">
        <v>2</v>
      </c>
    </row>
    <row r="690" spans="1:24">
      <c r="A690" s="26">
        <v>721</v>
      </c>
      <c r="B690" s="87">
        <v>46232.734363425901</v>
      </c>
      <c r="C690" s="87">
        <v>46232.737696759301</v>
      </c>
      <c r="D690" t="str">
        <v>anónimo</v>
      </c>
      <c r="E690" t="str">
        <v/>
      </c>
      <c r="F690" s="68">
        <v>46232</v>
      </c>
      <c r="G690" s="88">
        <v>46232</v>
      </c>
      <c r="H690" t="str">
        <v>FERNANDA CASTILLO C/C</v>
      </c>
      <c r="I690" t="str">
        <v>MA. DEL SOCORRO DE LA CRUZ JIMENEZ</v>
      </c>
      <c r="J690" s="82" t="str">
        <v/>
      </c>
      <c r="K690" t="str">
        <v>CUJS630513MGRRMC03</v>
      </c>
      <c r="L690" s="82">
        <v>23211258</v>
      </c>
      <c r="M690" s="82">
        <v>5637824107</v>
      </c>
      <c r="N690" t="str">
        <v>NUEVO MAYOR</v>
      </c>
      <c r="O690" s="89">
        <v>31053.08</v>
      </c>
      <c r="P690" s="89" t="str">
        <v/>
      </c>
      <c r="Q690" s="89">
        <v>9315.9240000000009</v>
      </c>
      <c r="R690" s="89">
        <v>9315.9240000000009</v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>
        <v>1</v>
      </c>
    </row>
    <row r="691" spans="1:24">
      <c r="A691" s="26">
        <v>724</v>
      </c>
      <c r="B691" s="87">
        <v>46232.742719907401</v>
      </c>
      <c r="C691" s="87">
        <v>46232.743831018503</v>
      </c>
      <c r="D691" t="str">
        <v>anónimo</v>
      </c>
      <c r="E691" t="str">
        <v/>
      </c>
      <c r="F691" s="68">
        <v>46232</v>
      </c>
      <c r="G691" s="88">
        <v>46231</v>
      </c>
      <c r="H691" t="str">
        <v>MELANIE CIBRIAN C/C</v>
      </c>
      <c r="I691" t="str">
        <v xml:space="preserve">	ROBERTO	 MARISCAL BARBERENA</v>
      </c>
      <c r="J691" s="82" t="str">
        <v>06735403088</v>
      </c>
      <c r="K691" t="str">
        <v>MABR540116HTSRRB06</v>
      </c>
      <c r="L691" s="82">
        <v>23185394</v>
      </c>
      <c r="M691" s="82">
        <v>8113931505</v>
      </c>
      <c r="N691" t="str">
        <v>COMPRA MENOR</v>
      </c>
      <c r="O691" s="89">
        <v>4459.79</v>
      </c>
      <c r="P691" s="89">
        <v>467.43</v>
      </c>
      <c r="Q691" s="89">
        <v>1337.9369999999999</v>
      </c>
      <c r="R691" s="89">
        <v>-180.61999999999961</v>
      </c>
      <c r="S691">
        <v>45323</v>
      </c>
      <c r="T691" t="str">
        <v/>
      </c>
      <c r="U691" t="str">
        <v/>
      </c>
      <c r="V691" t="str">
        <v/>
      </c>
      <c r="W691" t="str">
        <v/>
      </c>
      <c r="X691">
        <v>2</v>
      </c>
    </row>
    <row r="692" spans="1:24">
      <c r="A692" s="26">
        <v>726</v>
      </c>
      <c r="B692" s="87">
        <v>46232.753425925897</v>
      </c>
      <c r="C692" s="87">
        <v>46232.754016203697</v>
      </c>
      <c r="D692" t="str">
        <v>anónimo</v>
      </c>
      <c r="E692" t="str">
        <v/>
      </c>
      <c r="F692" s="68">
        <v>46232</v>
      </c>
      <c r="G692" s="88">
        <v>46232</v>
      </c>
      <c r="H692" t="str">
        <v>GLORIA ORTIZ C/C</v>
      </c>
      <c r="I692" t="str">
        <v>REYES MENDEZ</v>
      </c>
      <c r="J692" s="82">
        <v>49806504681</v>
      </c>
      <c r="K692" t="str">
        <v/>
      </c>
      <c r="L692" s="82">
        <v>23213268</v>
      </c>
      <c r="M692" s="82">
        <v>5218332396530</v>
      </c>
      <c r="N692" t="str">
        <v>NUEVO MENOR</v>
      </c>
      <c r="O692" s="89">
        <v>9760.32</v>
      </c>
      <c r="P692" s="89">
        <v>2563.67</v>
      </c>
      <c r="Q692" s="89">
        <v>2928.096</v>
      </c>
      <c r="R692" s="89">
        <v>364.42599999999993</v>
      </c>
      <c r="S692">
        <v>46661</v>
      </c>
      <c r="T692" t="str">
        <v/>
      </c>
      <c r="U692" t="str">
        <v/>
      </c>
      <c r="V692" t="str">
        <v/>
      </c>
      <c r="W692" t="str">
        <v/>
      </c>
      <c r="X692">
        <v>2</v>
      </c>
    </row>
    <row r="693" spans="1:24">
      <c r="A693" s="26">
        <v>727</v>
      </c>
      <c r="B693" s="87">
        <v>46232.758958333303</v>
      </c>
      <c r="C693" s="87">
        <v>46232.760844907403</v>
      </c>
      <c r="D693" t="str">
        <v>anónimo</v>
      </c>
      <c r="E693" t="str">
        <v/>
      </c>
      <c r="F693" s="68">
        <v>46232</v>
      </c>
      <c r="G693" s="88">
        <v>46232</v>
      </c>
      <c r="H693" t="str">
        <v>HANIA GARCIA C/C</v>
      </c>
      <c r="I693" t="str">
        <v>Ramiro Portales Castillo</v>
      </c>
      <c r="J693" s="82" t="str">
        <v/>
      </c>
      <c r="K693" t="str">
        <v>POCR600704HCLRSM00</v>
      </c>
      <c r="L693" s="82">
        <v>23209444</v>
      </c>
      <c r="M693" s="82">
        <v>8241770239</v>
      </c>
      <c r="N693" t="str">
        <v>COMPRA MAYOR</v>
      </c>
      <c r="O693" s="89">
        <v>12068.65</v>
      </c>
      <c r="P693" s="89">
        <v>3201.46</v>
      </c>
      <c r="Q693" s="89">
        <v>3620.5949999999998</v>
      </c>
      <c r="R693" s="89">
        <v>419.13499999999976</v>
      </c>
      <c r="S693">
        <v>45778</v>
      </c>
      <c r="T693" t="str">
        <v/>
      </c>
      <c r="U693" t="str">
        <v/>
      </c>
      <c r="V693" t="str">
        <v/>
      </c>
      <c r="W693" t="str">
        <v/>
      </c>
      <c r="X693">
        <v>2</v>
      </c>
    </row>
    <row r="694" spans="1:24">
      <c r="A694" s="26">
        <v>728</v>
      </c>
      <c r="B694" s="87">
        <v>46232.761122685202</v>
      </c>
      <c r="C694" s="87">
        <v>46232.762025463002</v>
      </c>
      <c r="D694" t="str">
        <v>anónimo</v>
      </c>
      <c r="E694" t="str">
        <v/>
      </c>
      <c r="F694" s="68">
        <v>46232</v>
      </c>
      <c r="G694" s="88">
        <v>46232</v>
      </c>
      <c r="H694" t="str">
        <v>ANA VILLEGAS C/C</v>
      </c>
      <c r="I694" t="str">
        <v>carlos</v>
      </c>
      <c r="J694" s="82" t="str">
        <v>43846659738</v>
      </c>
      <c r="K694" t="str">
        <v>ESGC661010HNLSDPR04</v>
      </c>
      <c r="L694" s="82">
        <v>23211118</v>
      </c>
      <c r="M694" s="82">
        <v>5218119817368</v>
      </c>
      <c r="N694" t="str">
        <v>NUEVO MENOR</v>
      </c>
      <c r="O694" s="89">
        <v>6188.26</v>
      </c>
      <c r="P694" s="89">
        <v>1115.55</v>
      </c>
      <c r="Q694" s="89">
        <v>1856.4780000000001</v>
      </c>
      <c r="R694" s="89">
        <v>740.92800000000011</v>
      </c>
      <c r="S694">
        <v>46539</v>
      </c>
      <c r="T694" t="str">
        <v/>
      </c>
      <c r="U694" t="str">
        <v/>
      </c>
      <c r="V694" t="str">
        <v/>
      </c>
      <c r="W694" t="str">
        <v/>
      </c>
      <c r="X694">
        <v>2</v>
      </c>
    </row>
    <row r="695" spans="1:24">
      <c r="A695" s="26">
        <v>729</v>
      </c>
      <c r="B695" s="87">
        <v>46232.777523148201</v>
      </c>
      <c r="C695" s="87">
        <v>46232.778657407398</v>
      </c>
      <c r="D695" t="str">
        <v>anónimo</v>
      </c>
      <c r="E695" t="str">
        <v/>
      </c>
      <c r="F695" s="68">
        <v>46232</v>
      </c>
      <c r="G695" s="88">
        <v>46227</v>
      </c>
      <c r="H695" t="str">
        <v>HANIA GARCIA C/C</v>
      </c>
      <c r="I695" t="str">
        <v>Gonzalo Trejo Gil</v>
      </c>
      <c r="J695" s="82" t="str">
        <v/>
      </c>
      <c r="K695" t="str">
        <v>TEGG590721HDFRLN03</v>
      </c>
      <c r="L695" s="82">
        <v>23066214</v>
      </c>
      <c r="M695" s="82">
        <v>2227573093</v>
      </c>
      <c r="N695" t="str">
        <v>RESTRINGIDA</v>
      </c>
      <c r="O695" s="89">
        <v>26869.34</v>
      </c>
      <c r="P695" s="89">
        <v>8051.65</v>
      </c>
      <c r="Q695" s="89">
        <v>8060.8019999999997</v>
      </c>
      <c r="R695" s="89">
        <v>9.1520000000000437</v>
      </c>
      <c r="S695">
        <v>46054</v>
      </c>
      <c r="T695" t="str">
        <v/>
      </c>
      <c r="U695" t="str">
        <v/>
      </c>
      <c r="V695" t="str">
        <v/>
      </c>
      <c r="W695" t="str">
        <v/>
      </c>
      <c r="X695">
        <v>2</v>
      </c>
    </row>
    <row r="696" spans="1:24">
      <c r="A696" s="26">
        <v>730</v>
      </c>
      <c r="B696" s="87">
        <v>46232.782303240703</v>
      </c>
      <c r="C696" s="87">
        <v>46232.782928240696</v>
      </c>
      <c r="D696" t="str">
        <v>anónimo</v>
      </c>
      <c r="E696" t="str">
        <v/>
      </c>
      <c r="F696" s="68">
        <v>46232</v>
      </c>
      <c r="G696" s="88">
        <v>46230</v>
      </c>
      <c r="H696" t="str">
        <v>FERNANDA CASTILLO C/C</v>
      </c>
      <c r="I696" t="str">
        <v>GUILLERMINA ROJAS GARCIA</v>
      </c>
      <c r="J696" s="82">
        <v>53816119837</v>
      </c>
      <c r="K696" t="str">
        <v>ROGG610914MMNJRL05</v>
      </c>
      <c r="L696" s="82">
        <v>23152004</v>
      </c>
      <c r="M696" s="82">
        <v>3222294798</v>
      </c>
      <c r="N696" t="str">
        <v>NUEVO MAYOR</v>
      </c>
      <c r="O696" s="89">
        <v>7688.7</v>
      </c>
      <c r="P696" s="89" t="str">
        <v/>
      </c>
      <c r="Q696" s="89">
        <v>2306.6099999999997</v>
      </c>
      <c r="R696" s="89">
        <v>2306.6099999999997</v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>
        <v>1</v>
      </c>
    </row>
    <row r="697" spans="1:24">
      <c r="A697" s="26">
        <v>736</v>
      </c>
      <c r="B697" s="87">
        <v>46233.345185185201</v>
      </c>
      <c r="C697" s="87">
        <v>46233.385312500002</v>
      </c>
      <c r="D697" t="str">
        <v>anónimo</v>
      </c>
      <c r="E697" t="str">
        <v/>
      </c>
      <c r="F697" s="68">
        <v>46233</v>
      </c>
      <c r="G697" s="88">
        <v>46233</v>
      </c>
      <c r="H697" t="str">
        <v>YAMILETH CARDONA EXT 2</v>
      </c>
      <c r="I697" t="str">
        <v>MARIA DEL CARMEN JAIME SIERRA</v>
      </c>
      <c r="J697" s="82">
        <v>43745912410</v>
      </c>
      <c r="K697" t="str">
        <v>JASC590704MNLMRR05</v>
      </c>
      <c r="L697" s="82">
        <v>2</v>
      </c>
      <c r="M697" s="82" t="str">
        <v>81 1324 3344</v>
      </c>
      <c r="N697" t="str">
        <v>NUEVO MAYOR</v>
      </c>
      <c r="O697" s="89">
        <v>28637.15</v>
      </c>
      <c r="P697" s="89" t="str">
        <v/>
      </c>
      <c r="Q697" s="89">
        <v>8591.1450000000004</v>
      </c>
      <c r="R697" s="89">
        <v>8591.1450000000004</v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>
        <v>1</v>
      </c>
    </row>
    <row r="698" spans="1:24">
      <c r="A698" s="26">
        <v>743</v>
      </c>
      <c r="B698" s="87">
        <v>46233.439722222203</v>
      </c>
      <c r="C698" s="87">
        <v>46233.440451388902</v>
      </c>
      <c r="D698" t="str">
        <v>anónimo</v>
      </c>
      <c r="E698" t="str">
        <v/>
      </c>
      <c r="F698" s="68">
        <v>46233</v>
      </c>
      <c r="G698" s="88">
        <v>46233</v>
      </c>
      <c r="H698" t="str">
        <v>GIOVANNI MELGAR</v>
      </c>
      <c r="I698" t="str">
        <v>FELIX GARCIA MEJIA</v>
      </c>
      <c r="J698" s="82" t="str">
        <v>14806422920</v>
      </c>
      <c r="K698" t="str">
        <v xml:space="preserve"> GAMF640114HQTRJL08</v>
      </c>
      <c r="L698" s="82">
        <v>23228088</v>
      </c>
      <c r="M698" s="82">
        <v>5214272455698</v>
      </c>
      <c r="N698" t="str">
        <v>NUEVO MENOR</v>
      </c>
      <c r="O698" s="89">
        <v>30697.26</v>
      </c>
      <c r="P698" s="89">
        <v>8881.4500000000007</v>
      </c>
      <c r="Q698" s="89">
        <v>9209.1779999999999</v>
      </c>
      <c r="R698" s="89">
        <v>327.72799999999916</v>
      </c>
      <c r="S698">
        <v>46600</v>
      </c>
      <c r="T698" t="str">
        <v/>
      </c>
      <c r="U698" t="str">
        <v/>
      </c>
      <c r="V698" t="str">
        <v/>
      </c>
      <c r="W698" t="str">
        <v/>
      </c>
      <c r="X698">
        <v>2</v>
      </c>
    </row>
    <row r="699" spans="1:24">
      <c r="A699" s="26">
        <v>747</v>
      </c>
      <c r="B699" s="87">
        <v>46233.426238425898</v>
      </c>
      <c r="C699" s="87">
        <v>46233.451666666697</v>
      </c>
      <c r="D699" t="str">
        <v>anónimo</v>
      </c>
      <c r="E699" t="str">
        <v/>
      </c>
      <c r="F699" s="68">
        <v>46233</v>
      </c>
      <c r="G699" s="88">
        <v>46231</v>
      </c>
      <c r="H699" t="str">
        <v>MARA HERNANDEZ SUR</v>
      </c>
      <c r="I699" t="str">
        <v>Jesus Ramírez Alvarez</v>
      </c>
      <c r="J699" s="82" t="str">
        <v>06855906779</v>
      </c>
      <c r="K699" t="str">
        <v>RAAJ590301HDFMLS04</v>
      </c>
      <c r="L699" s="82">
        <v>23160148</v>
      </c>
      <c r="M699" s="82">
        <v>5215541276811</v>
      </c>
      <c r="N699" t="str">
        <v>NUEVO MENOR</v>
      </c>
      <c r="O699" s="89">
        <v>4813.6899999999996</v>
      </c>
      <c r="P699" s="89" t="str">
        <v/>
      </c>
      <c r="Q699" s="89">
        <v>1444.1069999999997</v>
      </c>
      <c r="R699" s="89">
        <v>640.71</v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>
        <v>1</v>
      </c>
    </row>
    <row r="700" spans="1:24">
      <c r="A700" s="26">
        <v>749</v>
      </c>
      <c r="B700" s="87">
        <v>46233.445995370399</v>
      </c>
      <c r="C700" s="87">
        <v>46233.465347222198</v>
      </c>
      <c r="D700" t="str">
        <v>anónimo</v>
      </c>
      <c r="E700" t="str">
        <v/>
      </c>
      <c r="F700" s="68">
        <v>46233</v>
      </c>
      <c r="G700" s="88">
        <v>46233</v>
      </c>
      <c r="H700" t="str">
        <v>ROSA CASTRO SUR</v>
      </c>
      <c r="I700" t="str">
        <v>JOSE ELESAR ESTRADA VERDIN</v>
      </c>
      <c r="J700" s="82">
        <v>24806404653</v>
      </c>
      <c r="K700" t="str">
        <v>EAVE640823HJCSRL04</v>
      </c>
      <c r="L700" s="82">
        <v>23228006</v>
      </c>
      <c r="M700" s="82">
        <v>5213132625645</v>
      </c>
      <c r="N700" t="str">
        <v>NUEVO MENOR</v>
      </c>
      <c r="O700" s="89">
        <v>14100.71</v>
      </c>
      <c r="P700" s="89">
        <v>3889.08</v>
      </c>
      <c r="Q700" s="89">
        <v>4230.2129999999997</v>
      </c>
      <c r="R700" s="89">
        <v>341.13299999999981</v>
      </c>
      <c r="S700">
        <v>46661</v>
      </c>
      <c r="T700" t="str">
        <v>CONSUBANCO</v>
      </c>
      <c r="U700" t="str">
        <v/>
      </c>
      <c r="V700" t="str">
        <v/>
      </c>
      <c r="W700" t="str">
        <v/>
      </c>
      <c r="X700">
        <v>2</v>
      </c>
    </row>
    <row r="701" spans="1:24">
      <c r="A701" s="26">
        <v>750</v>
      </c>
      <c r="B701" s="87">
        <v>46233.46875</v>
      </c>
      <c r="C701" s="87">
        <v>46233.472152777802</v>
      </c>
      <c r="D701" t="str">
        <v>anónimo</v>
      </c>
      <c r="E701" t="str">
        <v/>
      </c>
      <c r="F701" s="68">
        <v>46233</v>
      </c>
      <c r="G701" s="88">
        <v>46233</v>
      </c>
      <c r="H701" t="str">
        <v>ROSA CASTRO SUR</v>
      </c>
      <c r="I701" t="str">
        <v xml:space="preserve">RITO CRUZ GUTIERREZ </v>
      </c>
      <c r="J701" s="82" t="str">
        <v>24695410563</v>
      </c>
      <c r="K701" t="str">
        <v>CUGR540203HSRRTT03</v>
      </c>
      <c r="L701" s="82">
        <v>23198064</v>
      </c>
      <c r="M701" s="82">
        <v>5216441026482</v>
      </c>
      <c r="N701" t="str">
        <v>COMPRA MENOR</v>
      </c>
      <c r="O701" s="89">
        <v>4905.43</v>
      </c>
      <c r="P701" s="89">
        <v>642.64</v>
      </c>
      <c r="Q701" s="89">
        <v>1471.6290000000001</v>
      </c>
      <c r="R701" s="89">
        <v>89.810000000000741</v>
      </c>
      <c r="S701">
        <v>45474</v>
      </c>
      <c r="T701" t="str">
        <v/>
      </c>
      <c r="U701" t="str">
        <v/>
      </c>
      <c r="V701" t="str">
        <v/>
      </c>
      <c r="W701" t="str">
        <v/>
      </c>
      <c r="X701">
        <v>2</v>
      </c>
    </row>
    <row r="702" spans="1:24">
      <c r="A702" s="26">
        <v>751</v>
      </c>
      <c r="B702" s="87">
        <v>46233.4687037037</v>
      </c>
      <c r="C702" s="87">
        <v>46233.472233796303</v>
      </c>
      <c r="D702" t="str">
        <v>anónimo</v>
      </c>
      <c r="E702" t="str">
        <v/>
      </c>
      <c r="F702" s="68">
        <v>46233</v>
      </c>
      <c r="G702" s="88">
        <v>46233</v>
      </c>
      <c r="H702" t="str">
        <v>ROSA CASTRO SUR</v>
      </c>
      <c r="I702" t="str">
        <v>MARIA BAUTISTA ALCANTARA</v>
      </c>
      <c r="J702" s="82">
        <v>72937253150</v>
      </c>
      <c r="K702" t="str">
        <v>BAAM801124MGRTLR07</v>
      </c>
      <c r="L702" s="82">
        <v>23228280</v>
      </c>
      <c r="M702" s="82">
        <v>5217411048718</v>
      </c>
      <c r="N702" t="str">
        <v>COMPRA MENOR</v>
      </c>
      <c r="O702" s="89">
        <v>5480.3</v>
      </c>
      <c r="P702" s="89">
        <v>1574.92</v>
      </c>
      <c r="Q702" s="89">
        <v>1644.09</v>
      </c>
      <c r="R702" s="89">
        <v>-267.59999999999945</v>
      </c>
      <c r="S702">
        <v>45839</v>
      </c>
      <c r="T702" t="str">
        <v/>
      </c>
      <c r="U702" t="str">
        <v/>
      </c>
      <c r="V702" t="str">
        <v/>
      </c>
      <c r="W702" t="str">
        <v/>
      </c>
      <c r="X702">
        <v>2</v>
      </c>
    </row>
    <row r="703" spans="1:24">
      <c r="A703" s="26">
        <v>754</v>
      </c>
      <c r="B703" s="87">
        <v>46233.425254629597</v>
      </c>
      <c r="C703" s="87">
        <v>46233.485011574099</v>
      </c>
      <c r="D703" t="str">
        <v>anónimo</v>
      </c>
      <c r="E703" t="str">
        <v/>
      </c>
      <c r="F703" s="68">
        <v>46233</v>
      </c>
      <c r="G703" s="88">
        <v>46233</v>
      </c>
      <c r="H703" t="str">
        <v>XIMENA RIVERA SUR</v>
      </c>
      <c r="I703" t="str">
        <v>JESUS MANUEL LOPEZ VEGA</v>
      </c>
      <c r="J703" s="82" t="str">
        <v/>
      </c>
      <c r="K703" t="str">
        <v>LOVJ570814HSLPGS09</v>
      </c>
      <c r="L703" s="82">
        <v>23218376</v>
      </c>
      <c r="M703" s="82">
        <v>5216691516807</v>
      </c>
      <c r="N703" t="str">
        <v>COMPRA MAYOR</v>
      </c>
      <c r="O703" s="89">
        <v>26685.14</v>
      </c>
      <c r="P703" s="89">
        <v>7406.25</v>
      </c>
      <c r="Q703" s="89">
        <v>8005.5419999999995</v>
      </c>
      <c r="R703" s="89">
        <v>599.29199999999946</v>
      </c>
      <c r="S703">
        <v>46174</v>
      </c>
      <c r="T703" t="str">
        <v/>
      </c>
      <c r="U703" t="str">
        <v/>
      </c>
      <c r="V703" t="str">
        <v/>
      </c>
      <c r="W703" t="str">
        <v/>
      </c>
      <c r="X703">
        <v>2</v>
      </c>
    </row>
    <row r="704" spans="1:24">
      <c r="A704" s="26">
        <v>759</v>
      </c>
      <c r="B704" s="87">
        <v>46233.495405092603</v>
      </c>
      <c r="C704" s="87">
        <v>46233.496041666702</v>
      </c>
      <c r="D704" t="str">
        <v>anónimo</v>
      </c>
      <c r="E704" t="str">
        <v/>
      </c>
      <c r="F704" s="68">
        <v>46233</v>
      </c>
      <c r="G704" s="88">
        <v>46232</v>
      </c>
      <c r="H704" t="str">
        <v>DULCE FRANCO C/C</v>
      </c>
      <c r="I704" t="str">
        <v>Juan Manuel Andazola Medina</v>
      </c>
      <c r="J704" s="82" t="str">
        <v/>
      </c>
      <c r="K704" t="str">
        <v>AAMJ560127HCHNDN03</v>
      </c>
      <c r="L704" s="82">
        <v>23213822</v>
      </c>
      <c r="M704" s="82">
        <v>5216141762152</v>
      </c>
      <c r="N704" t="str">
        <v>NUEVO MAYOR</v>
      </c>
      <c r="O704" s="89">
        <v>25523.54</v>
      </c>
      <c r="P704" s="89" t="str">
        <v/>
      </c>
      <c r="Q704" s="89">
        <v>7657.0619999999999</v>
      </c>
      <c r="R704" s="89">
        <v>7657.0619999999999</v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>
        <v>1</v>
      </c>
    </row>
    <row r="705" spans="1:24">
      <c r="A705" s="26">
        <v>765</v>
      </c>
      <c r="B705" s="87">
        <v>46233.508587962999</v>
      </c>
      <c r="C705" s="87">
        <v>46233.509942129604</v>
      </c>
      <c r="D705" t="str">
        <v>anónimo</v>
      </c>
      <c r="E705" t="str">
        <v/>
      </c>
      <c r="F705" s="68">
        <v>46233</v>
      </c>
      <c r="G705" s="88">
        <v>46233</v>
      </c>
      <c r="H705" t="str">
        <v>XIMENA RIVERA SUR</v>
      </c>
      <c r="I705" t="str">
        <v>MANUEL SOLIS SOLIS</v>
      </c>
      <c r="J705" s="82" t="str">
        <v/>
      </c>
      <c r="K705" t="str">
        <v>SOSM571216HZSLLN00</v>
      </c>
      <c r="L705" s="82">
        <v>23225756</v>
      </c>
      <c r="M705" s="82">
        <v>5218281018214</v>
      </c>
      <c r="N705" t="str">
        <v>COMPRA MAYOR</v>
      </c>
      <c r="O705" s="89">
        <v>9432.9500000000007</v>
      </c>
      <c r="P705" s="89">
        <v>2610</v>
      </c>
      <c r="Q705" s="89">
        <v>2829.8850000000002</v>
      </c>
      <c r="R705" s="89">
        <v>219.88500000000022</v>
      </c>
      <c r="S705">
        <v>46204</v>
      </c>
      <c r="T705" t="str">
        <v/>
      </c>
      <c r="U705" t="str">
        <v/>
      </c>
      <c r="V705" t="str">
        <v/>
      </c>
      <c r="W705" t="str">
        <v/>
      </c>
      <c r="X705">
        <v>2</v>
      </c>
    </row>
    <row r="706" spans="1:24">
      <c r="A706" s="26">
        <v>768</v>
      </c>
      <c r="B706" s="87">
        <v>46233.511458333298</v>
      </c>
      <c r="C706" s="87">
        <v>46233.514178240701</v>
      </c>
      <c r="D706" t="str">
        <v>anónimo</v>
      </c>
      <c r="E706" t="str">
        <v/>
      </c>
      <c r="F706" s="68">
        <v>46233</v>
      </c>
      <c r="G706" s="88">
        <v>46233</v>
      </c>
      <c r="H706" t="str">
        <v>LUISA LARA SUR</v>
      </c>
      <c r="I706" t="str">
        <v>ROBERTO MARTIN CERECER DUARTE</v>
      </c>
      <c r="J706" s="82">
        <v>24816418164</v>
      </c>
      <c r="K706" t="str">
        <v>CEDR640508HSRRRB03</v>
      </c>
      <c r="L706" s="82">
        <v>22916794</v>
      </c>
      <c r="M706" s="82">
        <v>5216622211042</v>
      </c>
      <c r="N706" t="str">
        <v>NUEVO MAYOR</v>
      </c>
      <c r="O706" s="89">
        <v>37742.629999999997</v>
      </c>
      <c r="P706" s="89" t="str">
        <v/>
      </c>
      <c r="Q706" s="89">
        <v>11322.788999999999</v>
      </c>
      <c r="R706" s="89">
        <v>11322.788999999999</v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>
        <v>1</v>
      </c>
    </row>
    <row r="707" spans="1:24">
      <c r="A707" s="26">
        <v>770</v>
      </c>
      <c r="B707" s="87">
        <v>46233.516585648104</v>
      </c>
      <c r="C707" s="87">
        <v>46233.523900462998</v>
      </c>
      <c r="D707" t="str">
        <v>anónimo</v>
      </c>
      <c r="E707" t="str">
        <v/>
      </c>
      <c r="F707" s="68">
        <v>46233</v>
      </c>
      <c r="G707" s="88">
        <v>46233</v>
      </c>
      <c r="H707" t="str">
        <v>ROSA CASTRO SUR</v>
      </c>
      <c r="I707" t="str">
        <v xml:space="preserve">GILBERTO DE LOS REYES REYES </v>
      </c>
      <c r="J707" s="82">
        <v>71966600513</v>
      </c>
      <c r="K707" t="str">
        <v>RERG660507HCSYYL08</v>
      </c>
      <c r="L707" s="82">
        <v>23232244</v>
      </c>
      <c r="M707" s="82">
        <v>5219642053281</v>
      </c>
      <c r="N707" t="str">
        <v>NUEVO MAYOR</v>
      </c>
      <c r="O707" s="89">
        <v>10636.53</v>
      </c>
      <c r="P707" s="89" t="str">
        <v/>
      </c>
      <c r="Q707" s="89">
        <v>3190.9590000000003</v>
      </c>
      <c r="R707" s="89">
        <v>3190.9590000000003</v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>
        <v>1</v>
      </c>
    </row>
    <row r="708" spans="1:24">
      <c r="A708" s="26">
        <v>777</v>
      </c>
      <c r="B708" s="87">
        <v>46233.538425925901</v>
      </c>
      <c r="C708" s="87">
        <v>46233.539097222201</v>
      </c>
      <c r="D708" t="str">
        <v>anónimo</v>
      </c>
      <c r="E708" t="str">
        <v/>
      </c>
      <c r="F708" s="68">
        <v>46233</v>
      </c>
      <c r="G708" s="88">
        <v>46232</v>
      </c>
      <c r="H708" t="str">
        <v>CAROLINA RAMIREZ C/C</v>
      </c>
      <c r="I708" t="str">
        <v>PEDRO VARELA RAMIREZ</v>
      </c>
      <c r="J708" s="82" t="str">
        <v>07846300981</v>
      </c>
      <c r="K708" t="str">
        <v/>
      </c>
      <c r="L708" s="82">
        <v>23232876</v>
      </c>
      <c r="M708" s="82">
        <v>5214776718047</v>
      </c>
      <c r="N708" t="str">
        <v>RESTRINGIDA</v>
      </c>
      <c r="O708" s="89">
        <v>8078.05</v>
      </c>
      <c r="P708" s="89">
        <v>2208.21</v>
      </c>
      <c r="Q708" s="89">
        <v>2423.415</v>
      </c>
      <c r="R708" s="89">
        <v>215.20499999999993</v>
      </c>
      <c r="S708">
        <v>43221</v>
      </c>
      <c r="T708" t="str">
        <v>CONSUBANCO</v>
      </c>
      <c r="U708" t="str">
        <v/>
      </c>
      <c r="V708" t="str">
        <v/>
      </c>
      <c r="W708" t="str">
        <v/>
      </c>
      <c r="X708">
        <v>2</v>
      </c>
    </row>
    <row r="709" spans="1:24">
      <c r="A709" s="26">
        <v>780</v>
      </c>
      <c r="B709" s="87">
        <v>46233.523912037002</v>
      </c>
      <c r="C709" s="87">
        <v>46233.5850810185</v>
      </c>
      <c r="D709" t="str">
        <v>anónimo</v>
      </c>
      <c r="E709" t="str">
        <v/>
      </c>
      <c r="F709" s="68">
        <v>46233</v>
      </c>
      <c r="G709" s="88">
        <v>46233</v>
      </c>
      <c r="H709" t="str">
        <v>ROSA CASTRO SUR</v>
      </c>
      <c r="I709" t="str">
        <v xml:space="preserve">ALEJANDRO MONDRAGON ESPANTA </v>
      </c>
      <c r="J709" s="82">
        <v>54806187511</v>
      </c>
      <c r="K709" t="str">
        <v>MOEA620313HJCNSL00</v>
      </c>
      <c r="L709" s="82">
        <v>23231480</v>
      </c>
      <c r="M709" s="82">
        <v>5213321698264</v>
      </c>
      <c r="N709" t="str">
        <v>NUEVO MAYOR</v>
      </c>
      <c r="O709" s="89">
        <v>10636.54</v>
      </c>
      <c r="P709" s="89" t="str">
        <v/>
      </c>
      <c r="Q709" s="89">
        <v>3190.962</v>
      </c>
      <c r="R709" s="89">
        <v>3190.962</v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>
        <v>1</v>
      </c>
    </row>
    <row r="710" spans="1:24">
      <c r="A710" s="26">
        <v>786</v>
      </c>
      <c r="B710" s="87">
        <v>46233.598240740699</v>
      </c>
      <c r="C710" s="87">
        <v>46233.598692129599</v>
      </c>
      <c r="D710" t="str">
        <v>anónimo</v>
      </c>
      <c r="E710" t="str">
        <v/>
      </c>
      <c r="F710" s="68">
        <v>46233</v>
      </c>
      <c r="G710" s="88">
        <v>46233</v>
      </c>
      <c r="H710" t="str">
        <v>ANA VILLEGAS C/C</v>
      </c>
      <c r="I710" t="str">
        <v>Joel</v>
      </c>
      <c r="J710" s="82" t="str">
        <v/>
      </c>
      <c r="K710" t="str">
        <v>DEBJ590513HDFLSL07</v>
      </c>
      <c r="L710" s="82">
        <v>23235078</v>
      </c>
      <c r="M710" s="82">
        <v>52215521723330</v>
      </c>
      <c r="N710" t="str">
        <v>RESTRINGIDA</v>
      </c>
      <c r="O710" s="89">
        <v>6702.98</v>
      </c>
      <c r="P710" s="89">
        <v>1766.16</v>
      </c>
      <c r="Q710" s="89">
        <v>2010.8939999999998</v>
      </c>
      <c r="R710" s="89">
        <v>244.7339999999997</v>
      </c>
      <c r="S710">
        <v>45689</v>
      </c>
      <c r="T710" t="str">
        <v xml:space="preserve">FISOFO </v>
      </c>
      <c r="U710" t="str">
        <v/>
      </c>
      <c r="V710" t="str">
        <v/>
      </c>
      <c r="W710" t="str">
        <v/>
      </c>
      <c r="X710">
        <v>2</v>
      </c>
    </row>
    <row r="711" spans="1:24">
      <c r="A711" s="26">
        <v>787</v>
      </c>
      <c r="B711" s="87">
        <v>46233.598321759302</v>
      </c>
      <c r="C711" s="87">
        <v>46233.598946759303</v>
      </c>
      <c r="D711" t="str">
        <v>anónimo</v>
      </c>
      <c r="E711" t="str">
        <v/>
      </c>
      <c r="F711" s="68">
        <v>46233</v>
      </c>
      <c r="G711" s="88">
        <v>46233</v>
      </c>
      <c r="H711" t="str">
        <v>DULCE FRANCO C/C</v>
      </c>
      <c r="I711" t="str">
        <v>SERGIO CAMACHO NUÑEZ</v>
      </c>
      <c r="J711" s="82" t="str">
        <v/>
      </c>
      <c r="K711" t="str">
        <v>CANS641016HNTMXR02</v>
      </c>
      <c r="L711" s="82">
        <v>23235344</v>
      </c>
      <c r="M711" s="82">
        <v>5216691545078</v>
      </c>
      <c r="N711" t="str">
        <v>NUEVO MAYOR</v>
      </c>
      <c r="O711" s="89">
        <v>13317.03</v>
      </c>
      <c r="P711" s="89" t="str">
        <v/>
      </c>
      <c r="Q711" s="89">
        <v>3995.1089999999999</v>
      </c>
      <c r="R711" s="89">
        <v>3995.1089999999999</v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>
        <v>1</v>
      </c>
    </row>
    <row r="712" spans="1:24">
      <c r="A712" s="26">
        <v>790</v>
      </c>
      <c r="B712" s="87">
        <v>46233.607719907399</v>
      </c>
      <c r="C712" s="87">
        <v>46233.610069444403</v>
      </c>
      <c r="D712" t="str">
        <v>anónimo</v>
      </c>
      <c r="E712" t="str">
        <v/>
      </c>
      <c r="F712" s="68">
        <v>46233</v>
      </c>
      <c r="G712" s="88">
        <v>46226</v>
      </c>
      <c r="H712" t="str">
        <v>MARA HERNANDEZ SUR</v>
      </c>
      <c r="I712" t="str">
        <v>MARTIN GUAJARDO VILLA</v>
      </c>
      <c r="J712" s="82">
        <v>43956535256</v>
      </c>
      <c r="K712" t="str">
        <v>GUVM650928HDGJLR07</v>
      </c>
      <c r="L712" s="82">
        <v>23007674</v>
      </c>
      <c r="M712" s="82">
        <v>5218131313024</v>
      </c>
      <c r="N712" t="str">
        <v>NUEVO MAYOR</v>
      </c>
      <c r="O712" s="89">
        <v>10636.54</v>
      </c>
      <c r="P712" s="89" t="str">
        <v/>
      </c>
      <c r="Q712" s="89">
        <v>3190.962</v>
      </c>
      <c r="R712" s="89">
        <v>3190.962</v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>
        <v>1</v>
      </c>
    </row>
    <row r="713" spans="1:24">
      <c r="A713" s="26">
        <v>791</v>
      </c>
      <c r="B713" s="87">
        <v>46233.608749999999</v>
      </c>
      <c r="C713" s="87">
        <v>46233.613703703697</v>
      </c>
      <c r="D713" t="str">
        <v>anónimo</v>
      </c>
      <c r="E713" t="str">
        <v/>
      </c>
      <c r="F713" s="68">
        <v>46233</v>
      </c>
      <c r="G713" s="88">
        <v>46231</v>
      </c>
      <c r="H713" t="str">
        <v>YESSENIA ESPINO</v>
      </c>
      <c r="I713" t="str">
        <v>Isaías González Solís</v>
      </c>
      <c r="J713" s="82" t="str">
        <v/>
      </c>
      <c r="K713" t="str">
        <v>GOSI620706HVZNLS00</v>
      </c>
      <c r="L713" s="82">
        <v>23188394</v>
      </c>
      <c r="M713" s="82">
        <v>5212711530004</v>
      </c>
      <c r="N713" t="str">
        <v>NUEVO MENOR</v>
      </c>
      <c r="O713" s="89">
        <v>9956.7900000000009</v>
      </c>
      <c r="P713" s="89">
        <v>2669.6</v>
      </c>
      <c r="Q713" s="89">
        <v>2987.0370000000003</v>
      </c>
      <c r="R713" s="89">
        <v>317.43700000000035</v>
      </c>
      <c r="S713">
        <v>46844</v>
      </c>
      <c r="T713" t="str">
        <v/>
      </c>
      <c r="U713" t="str">
        <v/>
      </c>
      <c r="V713" t="str">
        <v/>
      </c>
      <c r="W713" t="str">
        <v/>
      </c>
      <c r="X713">
        <v>2</v>
      </c>
    </row>
    <row r="714" spans="1:24">
      <c r="A714" s="26">
        <v>792</v>
      </c>
      <c r="B714" s="87">
        <v>46233.621134259301</v>
      </c>
      <c r="C714" s="87">
        <v>46233.621527777803</v>
      </c>
      <c r="D714" t="str">
        <v>anónimo</v>
      </c>
      <c r="E714" t="str">
        <v/>
      </c>
      <c r="F714" s="68">
        <v>46233</v>
      </c>
      <c r="G714" s="88">
        <v>46233</v>
      </c>
      <c r="H714" t="str">
        <v>GLORIA ORTIZ C/C</v>
      </c>
      <c r="I714" t="str">
        <v>JAIME IBARRA DEL RIO</v>
      </c>
      <c r="J714" s="82" t="str">
        <v>34796203031</v>
      </c>
      <c r="K714" t="str">
        <v/>
      </c>
      <c r="L714" s="82">
        <v>23234404</v>
      </c>
      <c r="M714" s="82">
        <v>5214921304111</v>
      </c>
      <c r="N714" t="str">
        <v>NUEVO MAYOR</v>
      </c>
      <c r="O714" s="89">
        <v>10636.54</v>
      </c>
      <c r="P714" s="89" t="str">
        <v/>
      </c>
      <c r="Q714" s="89">
        <v>3190.962</v>
      </c>
      <c r="R714" s="89">
        <v>3190.962</v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>
        <v>1</v>
      </c>
    </row>
    <row r="715" spans="1:24">
      <c r="A715" s="26">
        <v>794</v>
      </c>
      <c r="B715" s="87">
        <v>46233.623460648101</v>
      </c>
      <c r="C715" s="87">
        <v>46233.626655092601</v>
      </c>
      <c r="D715" t="str">
        <v>anónimo</v>
      </c>
      <c r="E715" t="str">
        <v/>
      </c>
      <c r="F715" s="68">
        <v>46233</v>
      </c>
      <c r="G715" s="88">
        <v>46232</v>
      </c>
      <c r="H715" t="str">
        <v>JENNIFER AVENDAÑO SUR</v>
      </c>
      <c r="I715" t="str">
        <v>MARISEL APIZAÑA HERNANDEZ</v>
      </c>
      <c r="J715" s="82">
        <v>31906840264</v>
      </c>
      <c r="K715" t="str">
        <v>PIHM710105MDGZRR08</v>
      </c>
      <c r="L715" s="82">
        <v>23215604</v>
      </c>
      <c r="M715" s="82">
        <v>5216644433638</v>
      </c>
      <c r="N715" t="str">
        <v>RESTRINGIDA</v>
      </c>
      <c r="O715" s="89">
        <v>6405.06</v>
      </c>
      <c r="P715" s="89">
        <v>1169.8900000000001</v>
      </c>
      <c r="Q715" s="89">
        <v>1921.518</v>
      </c>
      <c r="R715" s="89">
        <v>751.62799999999993</v>
      </c>
      <c r="S715">
        <v>45839</v>
      </c>
      <c r="T715" t="str">
        <v xml:space="preserve">FISOFO </v>
      </c>
      <c r="U715" t="str">
        <v/>
      </c>
      <c r="V715" t="str">
        <v/>
      </c>
      <c r="W715" t="str">
        <v/>
      </c>
      <c r="X715">
        <v>2</v>
      </c>
    </row>
    <row r="716" spans="1:24">
      <c r="A716" s="26">
        <v>799</v>
      </c>
      <c r="B716" s="87">
        <v>46233.619444444397</v>
      </c>
      <c r="C716" s="87">
        <v>46233.635810185202</v>
      </c>
      <c r="D716" t="str">
        <v>anónimo</v>
      </c>
      <c r="E716" t="str">
        <v/>
      </c>
      <c r="F716" s="68">
        <v>46233</v>
      </c>
      <c r="G716" s="88">
        <v>46233</v>
      </c>
      <c r="H716" t="str">
        <v>GUADALUPE BECERRA C/C</v>
      </c>
      <c r="I716" t="str">
        <v>Irma esther guajardo Uribe</v>
      </c>
      <c r="J716" s="82">
        <v>32786121362</v>
      </c>
      <c r="K716" t="str">
        <v/>
      </c>
      <c r="L716" s="82">
        <v>23234104</v>
      </c>
      <c r="M716" s="82">
        <v>5218787889191</v>
      </c>
      <c r="N716" t="str">
        <v>NUEVO MAYOR</v>
      </c>
      <c r="O716" s="89">
        <v>59177.45</v>
      </c>
      <c r="P716" s="89">
        <v>3896</v>
      </c>
      <c r="Q716" s="89">
        <v>17753.234999999997</v>
      </c>
      <c r="R716" s="89">
        <v>13857.234999999997</v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>
        <v>1</v>
      </c>
    </row>
    <row r="717" spans="1:24">
      <c r="A717" s="26">
        <v>806</v>
      </c>
      <c r="B717" s="87">
        <v>46233.656504629602</v>
      </c>
      <c r="C717" s="87">
        <v>46233.660428240699</v>
      </c>
      <c r="D717" t="str">
        <v>anónimo</v>
      </c>
      <c r="E717" t="str">
        <v/>
      </c>
      <c r="F717" s="68">
        <v>46233</v>
      </c>
      <c r="G717" s="88">
        <v>46232</v>
      </c>
      <c r="H717" t="str">
        <v>MARA HERNANDEZ SUR</v>
      </c>
      <c r="I717" t="str">
        <v>GABRIEL RODRIGUEZ ROMERO</v>
      </c>
      <c r="J717" s="82" t="str">
        <v/>
      </c>
      <c r="K717" t="str">
        <v>RORG630331HSRDMB05</v>
      </c>
      <c r="L717" s="82">
        <v>23205976</v>
      </c>
      <c r="M717" s="82">
        <v>5216453408990</v>
      </c>
      <c r="N717" t="str">
        <v>NUEVO MAYOR</v>
      </c>
      <c r="O717" s="89">
        <v>9081.52</v>
      </c>
      <c r="P717" s="89" t="str">
        <v/>
      </c>
      <c r="Q717" s="89">
        <v>2724.4560000000001</v>
      </c>
      <c r="R717" s="89">
        <v>2724.4560000000001</v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>
        <v>1</v>
      </c>
    </row>
    <row r="718" spans="1:24">
      <c r="A718" s="26">
        <v>808</v>
      </c>
      <c r="B718" s="87">
        <v>46233.661203703698</v>
      </c>
      <c r="C718" s="87">
        <v>46233.662094907399</v>
      </c>
      <c r="D718" t="str">
        <v>anónimo</v>
      </c>
      <c r="E718" t="str">
        <v/>
      </c>
      <c r="F718" s="68">
        <v>46233</v>
      </c>
      <c r="G718" s="88">
        <v>46233</v>
      </c>
      <c r="H718" t="str">
        <v>LITZY MARTINEZ C/C</v>
      </c>
      <c r="I718" t="str">
        <v xml:space="preserve">PABLO COMUNIDAD TORAL </v>
      </c>
      <c r="J718" s="82" t="str">
        <v/>
      </c>
      <c r="K718" t="str">
        <v>COTP610607HPLMRB04</v>
      </c>
      <c r="L718" s="82">
        <v>23237308</v>
      </c>
      <c r="M718" s="82">
        <v>5215534932343</v>
      </c>
      <c r="N718" t="str">
        <v>RESTRINGIDA</v>
      </c>
      <c r="O718" s="89">
        <v>14165.37</v>
      </c>
      <c r="P718" s="89">
        <v>4080.13</v>
      </c>
      <c r="Q718" s="89">
        <v>4249.6109999999999</v>
      </c>
      <c r="R718" s="89">
        <v>169.48099999999977</v>
      </c>
      <c r="S718">
        <v>46082</v>
      </c>
      <c r="T718" t="str">
        <v xml:space="preserve">FISOFO </v>
      </c>
      <c r="U718" t="str">
        <v/>
      </c>
      <c r="V718" t="str">
        <v/>
      </c>
      <c r="W718" t="str">
        <v/>
      </c>
      <c r="X718">
        <v>2</v>
      </c>
    </row>
    <row r="719" spans="1:24">
      <c r="A719" s="26">
        <v>812</v>
      </c>
      <c r="B719" s="87">
        <v>46233.672314814801</v>
      </c>
      <c r="C719" s="87">
        <v>46233.672662037003</v>
      </c>
      <c r="D719" t="str">
        <v>anónimo</v>
      </c>
      <c r="E719" t="str">
        <v/>
      </c>
      <c r="F719" s="68">
        <v>46233</v>
      </c>
      <c r="G719" s="88">
        <v>46233</v>
      </c>
      <c r="H719" t="str">
        <v>MARISOL HERNANDEZ C/C</v>
      </c>
      <c r="I719" t="str">
        <v>Francisco valencia cruz</v>
      </c>
      <c r="J719" s="82" t="str">
        <v/>
      </c>
      <c r="K719" t="str">
        <v>VACF551004HMCLRR01</v>
      </c>
      <c r="L719" s="82">
        <v>23238214</v>
      </c>
      <c r="M719" s="82">
        <v>5648875388</v>
      </c>
      <c r="N719" t="str">
        <v>NUEVO MENOR</v>
      </c>
      <c r="O719" s="89">
        <v>4959.26</v>
      </c>
      <c r="P719" s="89" t="str">
        <v/>
      </c>
      <c r="Q719" s="89">
        <v>1487.778</v>
      </c>
      <c r="R719" s="89">
        <v>786.28000000000065</v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>
        <v>1</v>
      </c>
    </row>
    <row r="720" spans="1:24">
      <c r="A720" s="26">
        <v>816</v>
      </c>
      <c r="B720" s="87">
        <v>46233.692152777803</v>
      </c>
      <c r="C720" s="87">
        <v>46233.692789351902</v>
      </c>
      <c r="D720" t="str">
        <v>anónimo</v>
      </c>
      <c r="E720" t="str">
        <v/>
      </c>
      <c r="F720" s="68">
        <v>46233</v>
      </c>
      <c r="G720" s="88">
        <v>46233</v>
      </c>
      <c r="H720" t="str">
        <v>CAROLINA RAMIREZ C/C</v>
      </c>
      <c r="I720" t="str">
        <v>EUSEBIA LEMUS FRANCO</v>
      </c>
      <c r="J720" s="82">
        <v>65937051988</v>
      </c>
      <c r="K720" t="str">
        <v>LEFE690304MPLMRS01</v>
      </c>
      <c r="L720" s="82">
        <v>23235582</v>
      </c>
      <c r="M720" s="82">
        <v>5217641139500</v>
      </c>
      <c r="N720" t="str">
        <v>COMPRA MAYOR</v>
      </c>
      <c r="O720" s="89">
        <v>6714.95</v>
      </c>
      <c r="P720" s="89">
        <v>1650.35</v>
      </c>
      <c r="Q720" s="89">
        <v>2014.4849999999999</v>
      </c>
      <c r="R720" s="89">
        <v>364.13499999999999</v>
      </c>
      <c r="S720">
        <v>45444</v>
      </c>
      <c r="T720" t="str">
        <v/>
      </c>
      <c r="U720" t="str">
        <v/>
      </c>
      <c r="V720" t="str">
        <v/>
      </c>
      <c r="W720" t="str">
        <v/>
      </c>
      <c r="X720">
        <v>2</v>
      </c>
    </row>
    <row r="721" spans="1:24">
      <c r="A721" s="26">
        <v>817</v>
      </c>
      <c r="B721" s="87">
        <v>46233.6930208333</v>
      </c>
      <c r="C721" s="87">
        <v>46233.694386574098</v>
      </c>
      <c r="D721" t="str">
        <v>anónimo</v>
      </c>
      <c r="E721" t="str">
        <v/>
      </c>
      <c r="F721" s="68">
        <v>46233</v>
      </c>
      <c r="G721" s="88">
        <v>46233</v>
      </c>
      <c r="H721" t="str">
        <v>MAGALI HERNANDEZ C/C</v>
      </c>
      <c r="I721" t="str">
        <v>SAMUEL 	RESENDIZ GARCIA</v>
      </c>
      <c r="J721" s="82" t="str">
        <v/>
      </c>
      <c r="K721" t="str">
        <v>REGS630604HSPSRM04</v>
      </c>
      <c r="L721" s="82">
        <v>23237462</v>
      </c>
      <c r="M721" s="82">
        <v>5532298728</v>
      </c>
      <c r="N721" t="str">
        <v>NUEVO MAYOR</v>
      </c>
      <c r="O721" s="89">
        <v>9760.32</v>
      </c>
      <c r="P721" s="89" t="str">
        <v/>
      </c>
      <c r="Q721" s="89">
        <v>2928.096</v>
      </c>
      <c r="R721" s="89">
        <v>2928.096</v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>
        <v>1</v>
      </c>
    </row>
    <row r="722" spans="1:24">
      <c r="A722" s="26">
        <v>818</v>
      </c>
      <c r="B722" s="87">
        <v>46233.697129629603</v>
      </c>
      <c r="C722" s="87">
        <v>46233.697407407402</v>
      </c>
      <c r="D722" t="str">
        <v>anónimo</v>
      </c>
      <c r="E722" t="str">
        <v/>
      </c>
      <c r="F722" s="68">
        <v>46233</v>
      </c>
      <c r="G722" s="88">
        <v>46233</v>
      </c>
      <c r="H722" t="str">
        <v>GLORIA ORTIZ C/C</v>
      </c>
      <c r="I722" t="str">
        <v>JESUS</v>
      </c>
      <c r="J722" s="82">
        <v>32856305399</v>
      </c>
      <c r="K722" t="str">
        <v/>
      </c>
      <c r="L722" s="82">
        <v>23239230</v>
      </c>
      <c r="M722" s="82">
        <v>5218712319455</v>
      </c>
      <c r="N722" t="str">
        <v>NUEVO MAYOR</v>
      </c>
      <c r="O722" s="89">
        <v>40497.39</v>
      </c>
      <c r="P722" s="89" t="str">
        <v/>
      </c>
      <c r="Q722" s="89">
        <v>12149.216999999999</v>
      </c>
      <c r="R722" s="89">
        <v>12149.216999999999</v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>
        <v>1</v>
      </c>
    </row>
    <row r="723" spans="1:24">
      <c r="A723" s="26">
        <v>819</v>
      </c>
      <c r="B723" s="87">
        <v>46233.692951388897</v>
      </c>
      <c r="C723" s="87">
        <v>46233.698194444398</v>
      </c>
      <c r="D723" t="str">
        <v>anónimo</v>
      </c>
      <c r="E723" t="str">
        <v/>
      </c>
      <c r="F723" s="68">
        <v>46233</v>
      </c>
      <c r="G723" s="88">
        <v>46233</v>
      </c>
      <c r="H723" t="str">
        <v>GUADALUPE BECERRA C/C</v>
      </c>
      <c r="I723" t="str">
        <v>JORGE AGUILAR AGUILAR HUERTA</v>
      </c>
      <c r="J723" s="82" t="str">
        <v/>
      </c>
      <c r="K723" t="str">
        <v>AUHJ550220HGTGRR05</v>
      </c>
      <c r="L723" s="82">
        <v>23237138</v>
      </c>
      <c r="M723" s="82">
        <v>5214731626176</v>
      </c>
      <c r="N723" t="str">
        <v>NUEVO MENOR</v>
      </c>
      <c r="O723" s="89">
        <v>5260.8</v>
      </c>
      <c r="P723" s="89" t="str">
        <v/>
      </c>
      <c r="Q723" s="89">
        <v>1578.24</v>
      </c>
      <c r="R723" s="89">
        <v>1087.8200000000006</v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>
        <v>1</v>
      </c>
    </row>
    <row r="724" spans="1:24">
      <c r="A724" s="26">
        <v>821</v>
      </c>
      <c r="B724" s="87">
        <v>46233.703553240703</v>
      </c>
      <c r="C724" s="87">
        <v>46233.705613425896</v>
      </c>
      <c r="D724" t="str">
        <v>anónimo</v>
      </c>
      <c r="E724" t="str">
        <v/>
      </c>
      <c r="F724" s="68">
        <v>46233</v>
      </c>
      <c r="G724" s="88">
        <v>46233</v>
      </c>
      <c r="H724" t="str">
        <v>GUADALUPE BECERRA C/C</v>
      </c>
      <c r="I724" t="str">
        <v>EDILBERTO LUNA SANTOS</v>
      </c>
      <c r="J724" s="82" t="str">
        <v/>
      </c>
      <c r="K724" t="str">
        <v>LUSE660303HZSNND01</v>
      </c>
      <c r="L724" s="82">
        <v>23233530</v>
      </c>
      <c r="M724" s="82">
        <v>5214931553029</v>
      </c>
      <c r="N724" t="str">
        <v>NUEVO MAYOR</v>
      </c>
      <c r="O724" s="89">
        <v>32941.550000000003</v>
      </c>
      <c r="P724" s="89" t="str">
        <v/>
      </c>
      <c r="Q724" s="89">
        <v>9882.4650000000001</v>
      </c>
      <c r="R724" s="89">
        <v>9882.4650000000001</v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>
        <v>1</v>
      </c>
    </row>
    <row r="725" spans="1:24">
      <c r="A725" s="26">
        <v>824</v>
      </c>
      <c r="B725" s="87">
        <v>46233.713483796302</v>
      </c>
      <c r="C725" s="87">
        <v>46233.716354166703</v>
      </c>
      <c r="D725" t="str">
        <v>anónimo</v>
      </c>
      <c r="E725" t="str">
        <v/>
      </c>
      <c r="F725" s="68">
        <v>46233</v>
      </c>
      <c r="G725" s="88">
        <v>46233</v>
      </c>
      <c r="H725" t="str">
        <v>LUISA LARA SUR</v>
      </c>
      <c r="I725" t="str">
        <v>VICTOR DELINO OCHOA</v>
      </c>
      <c r="J725" s="82" t="str">
        <v/>
      </c>
      <c r="K725" t="str">
        <v>DEOV550226HCMLCC06</v>
      </c>
      <c r="L725" s="82">
        <v>22916368</v>
      </c>
      <c r="M725" s="82">
        <v>5213132623403</v>
      </c>
      <c r="N725" t="str">
        <v>NUEVO MENOR</v>
      </c>
      <c r="O725" s="89">
        <v>5639.07</v>
      </c>
      <c r="P725" s="89">
        <v>848</v>
      </c>
      <c r="Q725" s="89">
        <v>1691.7209999999998</v>
      </c>
      <c r="R725" s="89">
        <v>618.09000000000015</v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>
        <v>1</v>
      </c>
    </row>
    <row r="726" spans="1:24">
      <c r="A726" s="26">
        <v>830</v>
      </c>
      <c r="B726" s="87">
        <v>46233.654467592598</v>
      </c>
      <c r="C726" s="87">
        <v>46233.729872685202</v>
      </c>
      <c r="D726" t="str">
        <v>anónimo</v>
      </c>
      <c r="E726" t="str">
        <v/>
      </c>
      <c r="F726" s="68">
        <v>46233</v>
      </c>
      <c r="G726" s="88">
        <v>46233</v>
      </c>
      <c r="H726" t="str">
        <v>FERNANDA CASTILLO C/C</v>
      </c>
      <c r="I726" t="str">
        <v>EULOGIO POBLANO HERNANDEZ</v>
      </c>
      <c r="J726" s="82" t="str">
        <v/>
      </c>
      <c r="K726" t="str">
        <v>POHE620318HZSBRL08</v>
      </c>
      <c r="L726" s="82">
        <v>23239170</v>
      </c>
      <c r="M726" s="82">
        <v>6144634763</v>
      </c>
      <c r="N726" t="str">
        <v>RESTRINGIDA</v>
      </c>
      <c r="O726" s="89">
        <v>7920.51</v>
      </c>
      <c r="P726" s="89">
        <v>2195.2800000000002</v>
      </c>
      <c r="Q726" s="89">
        <v>2376.1529999999998</v>
      </c>
      <c r="R726" s="89">
        <v>180.87299999999959</v>
      </c>
      <c r="S726">
        <v>46204</v>
      </c>
      <c r="T726" t="str">
        <v>CONSUBANCO</v>
      </c>
      <c r="U726" t="str">
        <v/>
      </c>
      <c r="V726" t="str">
        <v/>
      </c>
      <c r="W726" t="str">
        <v/>
      </c>
      <c r="X726">
        <v>2</v>
      </c>
    </row>
    <row r="727" spans="1:24">
      <c r="A727" s="26">
        <v>832</v>
      </c>
      <c r="B727" s="87">
        <v>46233.654143518499</v>
      </c>
      <c r="C727" s="87">
        <v>46233.737013888902</v>
      </c>
      <c r="D727" t="str">
        <v>anónimo</v>
      </c>
      <c r="E727" t="str">
        <v/>
      </c>
      <c r="F727" s="68">
        <v>46233</v>
      </c>
      <c r="G727" s="88">
        <v>46233</v>
      </c>
      <c r="H727" t="str">
        <v>ROSA CASTRO SUR</v>
      </c>
      <c r="I727" t="str">
        <v xml:space="preserve">MARIA ELIZABETH GARCIA MARTINEZ </v>
      </c>
      <c r="J727" s="82">
        <v>32856575371</v>
      </c>
      <c r="K727" t="str">
        <v>GAME650413MCLRRL09</v>
      </c>
      <c r="L727" s="82">
        <v>23229200</v>
      </c>
      <c r="M727" s="82">
        <v>5218446684595</v>
      </c>
      <c r="N727" t="str">
        <v>NUEVO MAYOR</v>
      </c>
      <c r="O727" s="89">
        <v>9760.32</v>
      </c>
      <c r="P727" s="89" t="str">
        <v/>
      </c>
      <c r="Q727" s="89">
        <v>2928.096</v>
      </c>
      <c r="R727" s="89">
        <v>2928.096</v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>
        <v>1</v>
      </c>
    </row>
    <row r="728" spans="1:24">
      <c r="A728" s="26">
        <v>839</v>
      </c>
      <c r="B728" s="87">
        <v>46234.342800925901</v>
      </c>
      <c r="C728" s="87">
        <v>46234.346597222197</v>
      </c>
      <c r="D728" t="str">
        <v>anónimo</v>
      </c>
      <c r="E728" t="str">
        <v/>
      </c>
      <c r="F728" s="68">
        <v>46234</v>
      </c>
      <c r="G728" s="88">
        <v>46233</v>
      </c>
      <c r="H728" t="str">
        <v>CAROLINA RAMIREZ C/C</v>
      </c>
      <c r="I728" t="str">
        <v>JOSE AGUILAR GARCIA</v>
      </c>
      <c r="J728" s="82">
        <v>39956201972</v>
      </c>
      <c r="K728" t="str">
        <v>AUGJ601020HGTGRS09</v>
      </c>
      <c r="L728" s="82">
        <v>23238918</v>
      </c>
      <c r="M728" s="82">
        <v>5215545749654</v>
      </c>
      <c r="N728" t="str">
        <v>NUEVO MENOR</v>
      </c>
      <c r="O728" s="89">
        <v>4554.84</v>
      </c>
      <c r="P728" s="89" t="str">
        <v/>
      </c>
      <c r="Q728" s="89">
        <v>1366.452</v>
      </c>
      <c r="R728" s="89">
        <v>381.86000000000058</v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>
        <v>1</v>
      </c>
    </row>
    <row r="729" spans="1:24">
      <c r="A729" s="26">
        <v>840</v>
      </c>
      <c r="B729" s="87">
        <v>46234.3440625</v>
      </c>
      <c r="C729" s="87">
        <v>46234.358229166697</v>
      </c>
      <c r="D729" t="str">
        <v>anónimo</v>
      </c>
      <c r="E729" t="str">
        <v/>
      </c>
      <c r="F729" s="68">
        <v>46234</v>
      </c>
      <c r="G729" s="88">
        <v>46234</v>
      </c>
      <c r="H729" t="str">
        <v>YAMILETH CARDONA EXT 2</v>
      </c>
      <c r="I729" t="str">
        <v>MA. DE LA LUZ ENRIQUEZ BUSTAMANTE</v>
      </c>
      <c r="J729" s="82">
        <v>32826404645</v>
      </c>
      <c r="K729" t="str">
        <v>EIBL640108MDGNSZ18</v>
      </c>
      <c r="L729" s="82">
        <v>2</v>
      </c>
      <c r="M729" s="82" t="str">
        <v>871 336 5291</v>
      </c>
      <c r="N729" t="str">
        <v>COMPRA MAYOR</v>
      </c>
      <c r="O729" s="89">
        <v>9081.52</v>
      </c>
      <c r="P729" s="89">
        <v>2515.4699999999998</v>
      </c>
      <c r="Q729" s="89">
        <v>2724.4560000000001</v>
      </c>
      <c r="R729" s="89">
        <v>208.98600000000033</v>
      </c>
      <c r="S729">
        <v>46235</v>
      </c>
      <c r="T729" t="str">
        <v/>
      </c>
      <c r="U729" t="str">
        <v/>
      </c>
      <c r="V729" t="str">
        <v/>
      </c>
      <c r="W729" t="str">
        <v/>
      </c>
      <c r="X729">
        <v>2</v>
      </c>
    </row>
    <row r="730" spans="1:24">
      <c r="A730" s="26">
        <v>842</v>
      </c>
      <c r="B730" s="87">
        <v>46234.366875</v>
      </c>
      <c r="C730" s="87">
        <v>46234.3679513889</v>
      </c>
      <c r="D730" t="str">
        <v>anónimo</v>
      </c>
      <c r="E730" t="str">
        <v/>
      </c>
      <c r="F730" s="68">
        <v>46234</v>
      </c>
      <c r="G730" s="88">
        <v>46234</v>
      </c>
      <c r="H730" t="str">
        <v>MAGALI MARTINEZ EXT 2</v>
      </c>
      <c r="I730" t="str">
        <v>ELSA MIREYA HERNANDEZ ZAPATA</v>
      </c>
      <c r="J730" s="82">
        <v>43776013864</v>
      </c>
      <c r="K730" t="str">
        <v>HEZE600725MNLRPL04</v>
      </c>
      <c r="L730" s="82">
        <v>2</v>
      </c>
      <c r="M730" s="82" t="str">
        <v xml:space="preserve"> 81 2368 2395</v>
      </c>
      <c r="N730" t="str">
        <v>COMPRA MENOR</v>
      </c>
      <c r="O730" s="89">
        <v>7116.73</v>
      </c>
      <c r="P730" s="89">
        <v>2058.8200000000002</v>
      </c>
      <c r="Q730" s="89">
        <v>2135.0189999999998</v>
      </c>
      <c r="R730" s="89">
        <v>76.198999999999614</v>
      </c>
      <c r="S730">
        <v>46113</v>
      </c>
      <c r="T730" t="str">
        <v/>
      </c>
      <c r="U730" t="str">
        <v/>
      </c>
      <c r="V730" t="str">
        <v/>
      </c>
      <c r="W730" t="str">
        <v/>
      </c>
      <c r="X730">
        <v>2</v>
      </c>
    </row>
    <row r="731" spans="1:24">
      <c r="A731" s="26">
        <v>847</v>
      </c>
      <c r="B731" s="87">
        <v>46233.73</v>
      </c>
      <c r="C731" s="87">
        <v>46234.377453703702</v>
      </c>
      <c r="D731" t="str">
        <v>anónimo</v>
      </c>
      <c r="E731" t="str">
        <v/>
      </c>
      <c r="F731" s="68">
        <v>46234</v>
      </c>
      <c r="G731" s="88">
        <v>46233</v>
      </c>
      <c r="H731" t="str">
        <v>FERNANDA CASTILLO C/C</v>
      </c>
      <c r="I731" t="str">
        <v>MA. CONCEPCION PEREZ GONZALEZ</v>
      </c>
      <c r="J731" s="82" t="str">
        <v/>
      </c>
      <c r="K731" t="str">
        <v>PEGC591115MCLRNN14</v>
      </c>
      <c r="L731" s="82">
        <v>23240234</v>
      </c>
      <c r="M731" s="82">
        <v>8122127031</v>
      </c>
      <c r="N731" t="str">
        <v>COMPRA MAYOR</v>
      </c>
      <c r="O731" s="89">
        <v>11583.73</v>
      </c>
      <c r="P731" s="89">
        <v>2147.14</v>
      </c>
      <c r="Q731" s="89">
        <v>3475.1189999999997</v>
      </c>
      <c r="R731" s="89">
        <v>1327.9789999999998</v>
      </c>
      <c r="S731">
        <v>45931</v>
      </c>
      <c r="T731" t="str">
        <v/>
      </c>
      <c r="U731" t="str">
        <v/>
      </c>
      <c r="V731" t="str">
        <v/>
      </c>
      <c r="W731" t="str">
        <v/>
      </c>
      <c r="X731">
        <v>2</v>
      </c>
    </row>
    <row r="732" spans="1:24">
      <c r="A732" s="26">
        <v>849</v>
      </c>
      <c r="B732" s="87">
        <v>46234.392777777801</v>
      </c>
      <c r="C732" s="87">
        <v>46234.395324074103</v>
      </c>
      <c r="D732" t="str">
        <v>anónimo</v>
      </c>
      <c r="E732" t="str">
        <v/>
      </c>
      <c r="F732" s="68">
        <v>46234</v>
      </c>
      <c r="G732" s="88">
        <v>46233</v>
      </c>
      <c r="H732" t="str">
        <v>KARINA MATA C/C</v>
      </c>
      <c r="I732" t="str">
        <v>Humberto Arias Lopez</v>
      </c>
      <c r="J732" s="82" t="str">
        <v/>
      </c>
      <c r="K732" t="str">
        <v>AILH620423HTCRPM04</v>
      </c>
      <c r="L732" s="82">
        <v>23236642</v>
      </c>
      <c r="M732" s="82">
        <v>5219932137178</v>
      </c>
      <c r="N732" t="str">
        <v>COMPRA MAYOR</v>
      </c>
      <c r="O732" s="89">
        <v>7116.73</v>
      </c>
      <c r="P732" s="89">
        <v>1975.86</v>
      </c>
      <c r="Q732" s="89">
        <v>2135.0189999999998</v>
      </c>
      <c r="R732" s="89">
        <v>159.15899999999988</v>
      </c>
      <c r="S732">
        <v>46235</v>
      </c>
      <c r="T732" t="str">
        <v/>
      </c>
      <c r="U732" t="str">
        <v/>
      </c>
      <c r="V732" t="str">
        <v/>
      </c>
      <c r="W732" t="str">
        <v/>
      </c>
      <c r="X732">
        <v>2</v>
      </c>
    </row>
    <row r="733" spans="1:24">
      <c r="A733" s="26">
        <v>850</v>
      </c>
      <c r="B733" s="87">
        <v>46234.400300925903</v>
      </c>
      <c r="C733" s="87">
        <v>46234.401423611103</v>
      </c>
      <c r="D733" t="str">
        <v>anónimo</v>
      </c>
      <c r="E733" t="str">
        <v/>
      </c>
      <c r="F733" s="68">
        <v>46234</v>
      </c>
      <c r="G733" s="88">
        <v>46233</v>
      </c>
      <c r="H733" t="str">
        <v>MAGALI HERNANDEZ C/C</v>
      </c>
      <c r="I733" t="str">
        <v>J JOSE DE LIRA MIRELES</v>
      </c>
      <c r="J733" s="82" t="str">
        <v/>
      </c>
      <c r="K733" t="str">
        <v>LIMJ600915HZSRRS00</v>
      </c>
      <c r="L733" s="82">
        <v>23241572</v>
      </c>
      <c r="M733" s="82">
        <v>5214442677303</v>
      </c>
      <c r="N733" t="str">
        <v>NUEVO MAYOR</v>
      </c>
      <c r="O733" s="89">
        <v>7920.51</v>
      </c>
      <c r="P733" s="89" t="str">
        <v/>
      </c>
      <c r="Q733" s="89">
        <v>2376.1529999999998</v>
      </c>
      <c r="R733" s="89">
        <v>2376.1529999999998</v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>
        <v>1</v>
      </c>
    </row>
    <row r="734" spans="1:24">
      <c r="A734" s="26">
        <v>851</v>
      </c>
      <c r="B734" s="87">
        <v>46234.4043634259</v>
      </c>
      <c r="C734" s="87">
        <v>46234.404861111099</v>
      </c>
      <c r="D734" t="str">
        <v>anónimo</v>
      </c>
      <c r="E734" t="str">
        <v/>
      </c>
      <c r="F734" s="68">
        <v>46234</v>
      </c>
      <c r="G734" s="88">
        <v>46233</v>
      </c>
      <c r="H734" t="str">
        <v>MARISOL HERNANDEZ C/C</v>
      </c>
      <c r="I734" t="str">
        <v>IRMA</v>
      </c>
      <c r="J734" s="82">
        <v>4745643447</v>
      </c>
      <c r="K734" t="str">
        <v>TOSI570112MJCRTR06</v>
      </c>
      <c r="L734" s="82">
        <v>23236024</v>
      </c>
      <c r="M734" s="82">
        <v>3334735045</v>
      </c>
      <c r="N734" t="str">
        <v>NUEVO MAYOR</v>
      </c>
      <c r="O734" s="89">
        <v>18040.689999999999</v>
      </c>
      <c r="P734" s="89" t="str">
        <v/>
      </c>
      <c r="Q734" s="89">
        <v>5412.2069999999994</v>
      </c>
      <c r="R734" s="89">
        <v>5412.2069999999994</v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>
        <v>1</v>
      </c>
    </row>
    <row r="735" spans="1:24">
      <c r="A735" s="26">
        <v>852</v>
      </c>
      <c r="B735" s="87">
        <v>46234.408067129603</v>
      </c>
      <c r="C735" s="87">
        <v>46234.4119444444</v>
      </c>
      <c r="D735" t="str">
        <v>anónimo</v>
      </c>
      <c r="E735" t="str">
        <v/>
      </c>
      <c r="F735" s="68">
        <v>46234</v>
      </c>
      <c r="G735" s="88">
        <v>46231</v>
      </c>
      <c r="H735" t="str">
        <v>LILIANA MARTINEZ SUR</v>
      </c>
      <c r="I735" t="str">
        <v>FERNANDO VALERIO HERNANDEZ</v>
      </c>
      <c r="J735" s="82">
        <v>65735603188</v>
      </c>
      <c r="K735" t="str">
        <v>VAHF561212HVZLRR00</v>
      </c>
      <c r="L735" s="82">
        <v>23171100</v>
      </c>
      <c r="M735" s="82">
        <v>5212299161274</v>
      </c>
      <c r="N735" t="str">
        <v>RESTRINGIDA</v>
      </c>
      <c r="O735" s="89">
        <v>7920.51</v>
      </c>
      <c r="P735" s="89">
        <v>2081.56</v>
      </c>
      <c r="Q735" s="89">
        <v>2376.1529999999998</v>
      </c>
      <c r="R735" s="89">
        <v>294.59299999999985</v>
      </c>
      <c r="S735">
        <v>45870</v>
      </c>
      <c r="T735" t="str">
        <v>FISOFO</v>
      </c>
      <c r="U735" t="str">
        <v/>
      </c>
      <c r="V735" t="str">
        <v/>
      </c>
      <c r="W735" t="str">
        <v/>
      </c>
      <c r="X735">
        <v>2</v>
      </c>
    </row>
    <row r="736" spans="1:24">
      <c r="A736" s="26">
        <v>853</v>
      </c>
      <c r="B736" s="87">
        <v>46234.418472222198</v>
      </c>
      <c r="C736" s="87">
        <v>46234.419560185197</v>
      </c>
      <c r="D736" t="str">
        <v>anónimo</v>
      </c>
      <c r="E736" t="str">
        <v/>
      </c>
      <c r="F736" s="68">
        <v>46234</v>
      </c>
      <c r="G736" s="88">
        <v>46233</v>
      </c>
      <c r="H736" t="str">
        <v>LITZY MARTINEZ C/C</v>
      </c>
      <c r="I736" t="str">
        <v xml:space="preserve">martin bolañoz gonzalez </v>
      </c>
      <c r="J736" s="82" t="str">
        <v>9947655004</v>
      </c>
      <c r="K736" t="str">
        <v>BOGM751210HTSLNR03</v>
      </c>
      <c r="L736" s="82">
        <v>23235900</v>
      </c>
      <c r="M736" s="82">
        <v>5218333323220</v>
      </c>
      <c r="N736" t="str">
        <v>COMPRA MENOR</v>
      </c>
      <c r="O736" s="89">
        <v>4336.66</v>
      </c>
      <c r="P736" s="89">
        <v>355</v>
      </c>
      <c r="Q736" s="89">
        <v>1300.9979999999998</v>
      </c>
      <c r="R736" s="89">
        <v>-191.31999999999971</v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>
        <v>1</v>
      </c>
    </row>
    <row r="737" spans="1:24">
      <c r="A737" s="26">
        <v>854</v>
      </c>
      <c r="B737" s="87">
        <v>46234.431319444397</v>
      </c>
      <c r="C737" s="87">
        <v>46234.436932870398</v>
      </c>
      <c r="D737" t="str">
        <v>anónimo</v>
      </c>
      <c r="E737" t="str">
        <v/>
      </c>
      <c r="F737" s="68">
        <v>46234</v>
      </c>
      <c r="G737" s="88">
        <v>46234</v>
      </c>
      <c r="H737" t="str">
        <v>XIMENA RIVERA SUR</v>
      </c>
      <c r="I737" t="str">
        <v>FERNANDO JARQUIN ORTIZ</v>
      </c>
      <c r="J737" s="82" t="str">
        <v/>
      </c>
      <c r="K737" t="str">
        <v>JAOF491221HOCRRR08</v>
      </c>
      <c r="L737" s="82">
        <v>23252788</v>
      </c>
      <c r="M737" s="82">
        <v>5215537002106</v>
      </c>
      <c r="N737" t="str">
        <v>RESTRINGIDA</v>
      </c>
      <c r="O737" s="89">
        <v>16609.87</v>
      </c>
      <c r="P737" s="89">
        <v>4611.4799999999996</v>
      </c>
      <c r="Q737" s="89">
        <v>4982.9609999999993</v>
      </c>
      <c r="R737" s="89">
        <v>371.48099999999977</v>
      </c>
      <c r="S737">
        <v>46113</v>
      </c>
      <c r="T737" t="str">
        <v>CONSUBANCO</v>
      </c>
      <c r="U737" t="str">
        <v/>
      </c>
      <c r="V737" t="str">
        <v/>
      </c>
      <c r="W737" t="str">
        <v/>
      </c>
      <c r="X737">
        <v>2</v>
      </c>
    </row>
    <row r="738" spans="1:24">
      <c r="A738" s="26">
        <v>856</v>
      </c>
      <c r="B738" s="87">
        <v>46233.737025463</v>
      </c>
      <c r="C738" s="87">
        <v>46234.438831018502</v>
      </c>
      <c r="D738" t="str">
        <v>anónimo</v>
      </c>
      <c r="E738" t="str">
        <v/>
      </c>
      <c r="F738" s="68">
        <v>46234</v>
      </c>
      <c r="G738" s="88">
        <v>46234</v>
      </c>
      <c r="H738" t="str">
        <v>ROSA CASTRO SUR</v>
      </c>
      <c r="I738" t="str">
        <v>EDUARDO YAÑEZ MOYA</v>
      </c>
      <c r="J738" s="82">
        <v>43806124202</v>
      </c>
      <c r="K738" t="str">
        <v>NUME610622HNLXYD04</v>
      </c>
      <c r="L738" s="82">
        <v>23253386</v>
      </c>
      <c r="M738" s="82">
        <v>5218143391629</v>
      </c>
      <c r="N738" t="str">
        <v>COMPRA MENOR</v>
      </c>
      <c r="O738" s="89">
        <v>6262.86</v>
      </c>
      <c r="P738" s="89">
        <v>1659.99</v>
      </c>
      <c r="Q738" s="89">
        <v>1878.8579999999997</v>
      </c>
      <c r="R738" s="89">
        <v>218.86799999999971</v>
      </c>
      <c r="S738">
        <v>45689</v>
      </c>
      <c r="T738" t="str">
        <v/>
      </c>
      <c r="U738" t="str">
        <v/>
      </c>
      <c r="V738" t="str">
        <v/>
      </c>
      <c r="W738" t="str">
        <v/>
      </c>
      <c r="X738">
        <v>2</v>
      </c>
    </row>
    <row r="739" spans="1:24">
      <c r="A739" s="26">
        <v>857</v>
      </c>
      <c r="B739" s="87">
        <v>46234.451134259303</v>
      </c>
      <c r="C739" s="87">
        <v>46234.459791666697</v>
      </c>
      <c r="D739" t="str">
        <v>anónimo</v>
      </c>
      <c r="E739" t="str">
        <v/>
      </c>
      <c r="F739" s="68">
        <v>46234</v>
      </c>
      <c r="G739" s="88">
        <v>46234</v>
      </c>
      <c r="H739" t="str">
        <v>JENNIFER AVENDAÑO SUR</v>
      </c>
      <c r="I739" t="str">
        <v>ALEJANDRO MUÑOZ ORTEGA</v>
      </c>
      <c r="J739" s="82">
        <v>1373551148</v>
      </c>
      <c r="K739" t="str">
        <v>MUOA551126HDFXRL03</v>
      </c>
      <c r="L739" s="82">
        <v>23255718</v>
      </c>
      <c r="M739" s="82">
        <v>5217717763222</v>
      </c>
      <c r="N739" t="str">
        <v>NUEVO MAYOR</v>
      </c>
      <c r="O739" s="89">
        <v>24674.82</v>
      </c>
      <c r="P739" s="89" t="str">
        <v/>
      </c>
      <c r="Q739" s="89">
        <v>7402.4459999999999</v>
      </c>
      <c r="R739" s="89">
        <v>7402.4459999999999</v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>
        <v>1</v>
      </c>
    </row>
    <row r="740" spans="1:24">
      <c r="A740" s="26">
        <v>860</v>
      </c>
      <c r="B740" s="87">
        <v>46234.464351851901</v>
      </c>
      <c r="C740" s="87">
        <v>46234.468761574099</v>
      </c>
      <c r="D740" t="str">
        <v>anónimo</v>
      </c>
      <c r="E740" t="str">
        <v/>
      </c>
      <c r="F740" s="68">
        <v>46234</v>
      </c>
      <c r="G740" s="88">
        <v>46234</v>
      </c>
      <c r="H740" t="str">
        <v>ROSA CASTRO SUR</v>
      </c>
      <c r="I740" t="str">
        <v xml:space="preserve">ARTURO ALDRETE MORA </v>
      </c>
      <c r="J740" s="82">
        <v>54796365739</v>
      </c>
      <c r="K740" t="str">
        <v>AEMA630821HJCLRR08</v>
      </c>
      <c r="L740" s="82">
        <v>23253632</v>
      </c>
      <c r="M740" s="82">
        <v>5213313294337</v>
      </c>
      <c r="N740" t="str">
        <v>NUEVO MAYOR</v>
      </c>
      <c r="O740" s="89">
        <v>28060.38</v>
      </c>
      <c r="P740" s="89">
        <v>3807.48</v>
      </c>
      <c r="Q740" s="89">
        <v>8418.1139999999996</v>
      </c>
      <c r="R740" s="89">
        <v>4610.634</v>
      </c>
      <c r="S740">
        <v>46357</v>
      </c>
      <c r="T740" t="str">
        <v/>
      </c>
      <c r="U740" t="str">
        <v/>
      </c>
      <c r="V740" t="str">
        <v/>
      </c>
      <c r="W740" t="str">
        <v/>
      </c>
      <c r="X740">
        <v>2</v>
      </c>
    </row>
    <row r="741" spans="1:24">
      <c r="A741" s="26">
        <v>862</v>
      </c>
      <c r="B741" s="87">
        <v>46234.472314814797</v>
      </c>
      <c r="C741" s="87">
        <v>46234.477141203701</v>
      </c>
      <c r="D741" t="str">
        <v>anónimo</v>
      </c>
      <c r="E741" t="str">
        <v/>
      </c>
      <c r="F741" s="68">
        <v>46234</v>
      </c>
      <c r="G741" s="88">
        <v>46234</v>
      </c>
      <c r="H741" t="str">
        <v>JENNIFER AVENDAÑO SUR</v>
      </c>
      <c r="I741" t="str">
        <v>GUSTAVO ALFONSO GARCIA GONZALEZ</v>
      </c>
      <c r="J741" s="82">
        <v>43886026020</v>
      </c>
      <c r="K741" t="str">
        <v>GAGG600712HCLRNS02</v>
      </c>
      <c r="L741" s="82">
        <v>23253848</v>
      </c>
      <c r="M741" s="82">
        <v>5218180223088</v>
      </c>
      <c r="N741" t="str">
        <v>RESTRINGIDA</v>
      </c>
      <c r="O741" s="89">
        <v>7116.73</v>
      </c>
      <c r="P741" s="89">
        <v>1975.67</v>
      </c>
      <c r="Q741" s="89">
        <v>2135.0189999999998</v>
      </c>
      <c r="R741" s="89">
        <v>159.34899999999971</v>
      </c>
      <c r="S741">
        <v>46113</v>
      </c>
      <c r="T741" t="str">
        <v>FISOFO</v>
      </c>
      <c r="U741" t="str">
        <v/>
      </c>
      <c r="V741" t="str">
        <v/>
      </c>
      <c r="W741" t="str">
        <v/>
      </c>
      <c r="X741">
        <v>2</v>
      </c>
    </row>
    <row r="742" spans="1:24">
      <c r="A742" s="26">
        <v>867</v>
      </c>
      <c r="B742" s="87">
        <v>46234.483993055597</v>
      </c>
      <c r="C742" s="87">
        <v>46234.484942129602</v>
      </c>
      <c r="D742" t="str">
        <v>anónimo</v>
      </c>
      <c r="E742" t="str">
        <v/>
      </c>
      <c r="F742" s="68">
        <v>46234</v>
      </c>
      <c r="G742" s="88">
        <v>46234</v>
      </c>
      <c r="H742" t="str">
        <v>MAGALI MARTINEZ EXT 2</v>
      </c>
      <c r="I742" t="str">
        <v>ARTURO ALEJANDRO VELAZQUEZ DELGADO</v>
      </c>
      <c r="J742" s="82" t="str">
        <v>41816330371</v>
      </c>
      <c r="K742" t="str">
        <v>VEDA630923HSPLLR01</v>
      </c>
      <c r="L742" s="82">
        <v>2</v>
      </c>
      <c r="M742" s="82">
        <v>4443058784</v>
      </c>
      <c r="N742" t="str">
        <v>COMPRA MAYOR</v>
      </c>
      <c r="O742" s="89">
        <v>8631</v>
      </c>
      <c r="P742" s="89">
        <v>2396.48</v>
      </c>
      <c r="Q742" s="89">
        <v>2589.2999999999997</v>
      </c>
      <c r="R742" s="89">
        <v>192.81999999999971</v>
      </c>
      <c r="S742">
        <v>46054</v>
      </c>
      <c r="T742" t="str">
        <v/>
      </c>
      <c r="U742" t="str">
        <v/>
      </c>
      <c r="V742" t="str">
        <v/>
      </c>
      <c r="W742" t="str">
        <v/>
      </c>
      <c r="X742">
        <v>2</v>
      </c>
    </row>
    <row r="743" spans="1:24">
      <c r="A743" s="26">
        <v>869</v>
      </c>
      <c r="B743" s="87">
        <v>46234.468773148197</v>
      </c>
      <c r="C743" s="87">
        <v>46234.491909722201</v>
      </c>
      <c r="D743" t="str">
        <v>anónimo</v>
      </c>
      <c r="E743" t="str">
        <v/>
      </c>
      <c r="F743" s="68">
        <v>46234</v>
      </c>
      <c r="G743" s="88">
        <v>46232</v>
      </c>
      <c r="H743" t="str">
        <v>ROSA CASTRO SUR</v>
      </c>
      <c r="I743" t="str">
        <v xml:space="preserve">HILDER PEREGRINO HERNANDEZ </v>
      </c>
      <c r="J743" s="82">
        <v>83846602783</v>
      </c>
      <c r="K743" t="str">
        <v>PEHH660316HTCRRL05</v>
      </c>
      <c r="L743" s="82">
        <v>23215170</v>
      </c>
      <c r="M743" s="82">
        <v>5219141000113</v>
      </c>
      <c r="N743" t="str">
        <v>NUEVO MAYOR</v>
      </c>
      <c r="O743" s="89">
        <v>10636.54</v>
      </c>
      <c r="P743" s="89" t="str">
        <v/>
      </c>
      <c r="Q743" s="89">
        <v>3190.962</v>
      </c>
      <c r="R743" s="89">
        <v>3190.962</v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>
        <v>1</v>
      </c>
    </row>
    <row r="744" spans="1:24">
      <c r="A744" s="26">
        <v>870</v>
      </c>
      <c r="B744" s="87">
        <v>46234.484907407401</v>
      </c>
      <c r="C744" s="87">
        <v>46234.494583333297</v>
      </c>
      <c r="D744" t="str">
        <v>anónimo</v>
      </c>
      <c r="E744" t="str">
        <v/>
      </c>
      <c r="F744" s="68">
        <v>46234</v>
      </c>
      <c r="G744" s="88">
        <v>46234</v>
      </c>
      <c r="H744" t="str">
        <v>XIMENA RIVERA SUR</v>
      </c>
      <c r="I744" t="str">
        <v>FELIPE DE JESUS PANIAGUA DIAZ</v>
      </c>
      <c r="J744" s="82" t="str">
        <v/>
      </c>
      <c r="K744" t="str">
        <v>PADF650205HDFNZL04</v>
      </c>
      <c r="L744" s="82">
        <v>23247814</v>
      </c>
      <c r="M744" s="82">
        <v>5215565297169</v>
      </c>
      <c r="N744" t="str">
        <v>NUEVO MENOR</v>
      </c>
      <c r="O744" s="89">
        <v>9760.32</v>
      </c>
      <c r="P744" s="89">
        <v>2240.41</v>
      </c>
      <c r="Q744" s="89">
        <v>2928.096</v>
      </c>
      <c r="R744" s="89">
        <v>687.68600000000015</v>
      </c>
      <c r="S744">
        <v>46692</v>
      </c>
      <c r="T744" t="str">
        <v/>
      </c>
      <c r="U744" t="str">
        <v/>
      </c>
      <c r="V744" t="str">
        <v/>
      </c>
      <c r="W744" t="str">
        <v/>
      </c>
      <c r="X744">
        <v>2</v>
      </c>
    </row>
    <row r="745" spans="1:24">
      <c r="A745" s="26">
        <v>872</v>
      </c>
      <c r="B745" s="87">
        <v>46234.4919212963</v>
      </c>
      <c r="C745" s="87">
        <v>46234.51</v>
      </c>
      <c r="D745" t="str">
        <v>anónimo</v>
      </c>
      <c r="E745" t="str">
        <v/>
      </c>
      <c r="F745" s="68">
        <v>46234</v>
      </c>
      <c r="G745" s="88">
        <v>46234</v>
      </c>
      <c r="H745" t="str">
        <v>ROSA CASTRO SUR</v>
      </c>
      <c r="I745" t="str">
        <v xml:space="preserve">JUAN GERARDO HAGELSIEB OLIVARRIA </v>
      </c>
      <c r="J745" s="82">
        <v>24756002283</v>
      </c>
      <c r="K745" t="str">
        <v>HAOJ600919HSRGLN05</v>
      </c>
      <c r="L745" s="82">
        <v>23245310</v>
      </c>
      <c r="M745" s="82">
        <v>5216462684881</v>
      </c>
      <c r="N745" t="str">
        <v>NUEVO MAYOR</v>
      </c>
      <c r="O745" s="89">
        <v>11111.93</v>
      </c>
      <c r="P745" s="89" t="str">
        <v/>
      </c>
      <c r="Q745" s="89">
        <v>3333.5790000000002</v>
      </c>
      <c r="R745" s="89">
        <v>3333.5790000000002</v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>
        <v>1</v>
      </c>
    </row>
    <row r="746" spans="1:24">
      <c r="A746" s="26">
        <v>878</v>
      </c>
      <c r="B746" s="87">
        <v>46234.5167476852</v>
      </c>
      <c r="C746" s="87">
        <v>46234.529039351903</v>
      </c>
      <c r="D746" t="str">
        <v>anónimo</v>
      </c>
      <c r="E746" t="str">
        <v/>
      </c>
      <c r="F746" s="68">
        <v>46234</v>
      </c>
      <c r="G746" s="88">
        <v>46234</v>
      </c>
      <c r="H746" t="str">
        <v>LILIANA MARTINEZ SUR</v>
      </c>
      <c r="I746" t="str">
        <v>ALMA NEREIDA MEDINA GUICOZA</v>
      </c>
      <c r="J746" s="82">
        <v>24915923007</v>
      </c>
      <c r="K746" t="str">
        <v>MEGA840310MSRDCL00</v>
      </c>
      <c r="L746" s="82">
        <v>23257448</v>
      </c>
      <c r="M746" s="82">
        <v>5216471208629</v>
      </c>
      <c r="N746" t="str">
        <v>COMPRA MAYOR</v>
      </c>
      <c r="O746" s="89">
        <v>5617.64</v>
      </c>
      <c r="P746" s="89">
        <v>1558</v>
      </c>
      <c r="Q746" s="89">
        <v>1685.2920000000001</v>
      </c>
      <c r="R746" s="89">
        <v>-113.33999999999924</v>
      </c>
      <c r="S746">
        <v>46235</v>
      </c>
      <c r="T746" t="str">
        <v/>
      </c>
      <c r="U746" t="str">
        <v/>
      </c>
      <c r="V746" t="str">
        <v/>
      </c>
      <c r="W746" t="str">
        <v/>
      </c>
      <c r="X746">
        <v>2</v>
      </c>
    </row>
    <row r="747" spans="1:24">
      <c r="A747" s="26">
        <v>880</v>
      </c>
      <c r="B747" s="87">
        <v>46234.4946180556</v>
      </c>
      <c r="C747" s="87">
        <v>46234.542557870402</v>
      </c>
      <c r="D747" t="str">
        <v>anónimo</v>
      </c>
      <c r="E747" t="str">
        <v/>
      </c>
      <c r="F747" s="68">
        <v>46234</v>
      </c>
      <c r="G747" s="88">
        <v>46234</v>
      </c>
      <c r="H747" t="str">
        <v>XIMENA RIVERA SUR</v>
      </c>
      <c r="I747" t="str">
        <v>SERGIO VARELA PIMENTEL</v>
      </c>
      <c r="J747" s="82" t="str">
        <v/>
      </c>
      <c r="K747" t="str">
        <v>VAPS621005HCHRMR02</v>
      </c>
      <c r="L747" s="82">
        <v>23257688</v>
      </c>
      <c r="M747" s="82">
        <v>5216142187565</v>
      </c>
      <c r="N747" t="str">
        <v>NUEVO MAYOR</v>
      </c>
      <c r="O747" s="89">
        <v>9760.32</v>
      </c>
      <c r="P747" s="89" t="str">
        <v/>
      </c>
      <c r="Q747" s="89">
        <v>2928.096</v>
      </c>
      <c r="R747" s="89">
        <v>2928.096</v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>
        <v>1</v>
      </c>
    </row>
    <row r="748" spans="1:24">
      <c r="A748" s="26">
        <v>886</v>
      </c>
      <c r="B748" s="87">
        <v>46234.576944444401</v>
      </c>
      <c r="C748" s="87">
        <v>46234.577835648102</v>
      </c>
      <c r="D748" t="str">
        <v>anónimo</v>
      </c>
      <c r="E748" t="str">
        <v/>
      </c>
      <c r="F748" s="68">
        <v>46234</v>
      </c>
      <c r="G748" s="88">
        <v>46228</v>
      </c>
      <c r="H748" t="str">
        <v>CAROLINA RAMIREZ C/C</v>
      </c>
      <c r="I748" t="str">
        <v>SILVIA RAMIREZ DEL VALLE</v>
      </c>
      <c r="J748" s="82" t="str">
        <v>06745032026</v>
      </c>
      <c r="K748" t="str">
        <v>RAVS540208MDFMLL09</v>
      </c>
      <c r="L748" s="82">
        <v>23108134</v>
      </c>
      <c r="M748" s="82">
        <v>5215532503070</v>
      </c>
      <c r="N748" t="str">
        <v>COMPRA MAYOR</v>
      </c>
      <c r="O748" s="89">
        <v>7128.48</v>
      </c>
      <c r="P748" s="89">
        <v>1978.25</v>
      </c>
      <c r="Q748" s="89">
        <v>2138.5439999999999</v>
      </c>
      <c r="R748" s="89">
        <v>160.29399999999987</v>
      </c>
      <c r="S748">
        <v>46204</v>
      </c>
      <c r="T748" t="str">
        <v/>
      </c>
      <c r="U748" t="str">
        <v/>
      </c>
      <c r="V748" t="str">
        <v/>
      </c>
      <c r="W748" t="str">
        <v/>
      </c>
      <c r="X748">
        <v>2</v>
      </c>
    </row>
    <row r="749" spans="1:24">
      <c r="A749" s="26">
        <v>887</v>
      </c>
      <c r="B749" s="87">
        <v>46234.582280092603</v>
      </c>
      <c r="C749" s="87">
        <v>46234.583124999997</v>
      </c>
      <c r="D749" t="str">
        <v>anónimo</v>
      </c>
      <c r="E749" t="str">
        <v/>
      </c>
      <c r="F749" s="68">
        <v>46234</v>
      </c>
      <c r="G749" s="88">
        <v>46223</v>
      </c>
      <c r="H749" t="str">
        <v>GLORIA ORTIZ C/C</v>
      </c>
      <c r="I749" t="str">
        <v>ALBERTO CANSECO REYES</v>
      </c>
      <c r="J749" s="82" t="str">
        <v>67795805703</v>
      </c>
      <c r="K749" t="str">
        <v/>
      </c>
      <c r="L749" s="82">
        <v>22850812</v>
      </c>
      <c r="M749" s="82">
        <v>5212831303643</v>
      </c>
      <c r="N749" t="str">
        <v>COMPRA MAYOR</v>
      </c>
      <c r="O749" s="89">
        <v>5923.14</v>
      </c>
      <c r="P749" s="89">
        <v>1546.12</v>
      </c>
      <c r="Q749" s="89">
        <v>1776.942</v>
      </c>
      <c r="R749" s="89">
        <v>204.04000000000087</v>
      </c>
      <c r="S749">
        <v>45748</v>
      </c>
      <c r="T749" t="str">
        <v/>
      </c>
      <c r="U749" t="str">
        <v/>
      </c>
      <c r="V749" t="str">
        <v/>
      </c>
      <c r="W749" t="str">
        <v/>
      </c>
      <c r="X749">
        <v>2</v>
      </c>
    </row>
    <row r="750" spans="1:24">
      <c r="A750" s="26">
        <v>888</v>
      </c>
      <c r="B750" s="87">
        <v>46234.542615740698</v>
      </c>
      <c r="C750" s="87">
        <v>46234.604398148098</v>
      </c>
      <c r="D750" t="str">
        <v>anónimo</v>
      </c>
      <c r="E750" t="str">
        <v/>
      </c>
      <c r="F750" s="68">
        <v>46234</v>
      </c>
      <c r="G750" s="88">
        <v>46234</v>
      </c>
      <c r="H750" t="str">
        <v>ROSA CASTRO SUR</v>
      </c>
      <c r="I750" t="str">
        <v xml:space="preserve">MARCELO EDUARDO RUANA HUERTA </v>
      </c>
      <c r="J750" s="82">
        <v>28944900373</v>
      </c>
      <c r="K750" t="str">
        <v>RUHM491027HMNNRR00</v>
      </c>
      <c r="L750" s="82">
        <v>23258696</v>
      </c>
      <c r="M750" s="82">
        <v>5219991270867</v>
      </c>
      <c r="N750" t="str">
        <v>NUEVO MAYOR</v>
      </c>
      <c r="O750" s="89">
        <v>35009.19</v>
      </c>
      <c r="P750" s="89">
        <v>1615.84</v>
      </c>
      <c r="Q750" s="89">
        <v>10502.757</v>
      </c>
      <c r="R750" s="89">
        <v>8886.9169999999995</v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>
        <v>1</v>
      </c>
    </row>
    <row r="751" spans="1:24">
      <c r="A751" s="26">
        <v>889</v>
      </c>
      <c r="B751" s="87">
        <v>46234.6166898148</v>
      </c>
      <c r="C751" s="87">
        <v>46234.618657407402</v>
      </c>
      <c r="D751" t="str">
        <v>anónimo</v>
      </c>
      <c r="E751" t="str">
        <v/>
      </c>
      <c r="F751" s="68">
        <v>46234</v>
      </c>
      <c r="G751" s="88">
        <v>46234</v>
      </c>
      <c r="H751" t="str">
        <v>CARRANZA SARDINA C/C</v>
      </c>
      <c r="I751" t="str">
        <v>Julio Cesar Rendon Galaviz</v>
      </c>
      <c r="J751" s="82" t="str">
        <v/>
      </c>
      <c r="K751" t="str">
        <v>REGJ671222HDFNLL01</v>
      </c>
      <c r="L751" s="82">
        <v>23260528</v>
      </c>
      <c r="M751" s="82">
        <v>8180185080</v>
      </c>
      <c r="N751" t="str">
        <v>NUEVO MAYOR</v>
      </c>
      <c r="O751" s="89">
        <v>9491</v>
      </c>
      <c r="P751" s="89" t="str">
        <v/>
      </c>
      <c r="Q751" s="89">
        <v>2847.2999999999997</v>
      </c>
      <c r="R751" s="89">
        <v>2847.2999999999997</v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>
        <v>1</v>
      </c>
    </row>
    <row r="752" spans="1:24">
      <c r="A752" s="26">
        <v>895</v>
      </c>
      <c r="B752" s="87">
        <v>46234.341018518498</v>
      </c>
      <c r="C752" s="87">
        <v>46234.634641203702</v>
      </c>
      <c r="D752" t="str">
        <v>anónimo</v>
      </c>
      <c r="E752" t="str">
        <v/>
      </c>
      <c r="F752" s="68">
        <v>46234</v>
      </c>
      <c r="G752" s="88">
        <v>46228</v>
      </c>
      <c r="H752" t="str">
        <v>PAOLA RODRIGUEZ C/C</v>
      </c>
      <c r="I752" t="str">
        <v>JUAN MANUEL RAMIREZ RUIZ</v>
      </c>
      <c r="J752" s="82" t="str">
        <v/>
      </c>
      <c r="K752" t="str">
        <v>RARJ620823HDFMZN08</v>
      </c>
      <c r="L752" s="82">
        <v>23106494</v>
      </c>
      <c r="M752" s="82">
        <v>5215576162975</v>
      </c>
      <c r="N752" t="str">
        <v>COMPRA MAYOR</v>
      </c>
      <c r="O752" s="89">
        <v>7920.51</v>
      </c>
      <c r="P752" s="89">
        <v>2199.0100000000002</v>
      </c>
      <c r="Q752" s="89">
        <v>2376.1529999999998</v>
      </c>
      <c r="R752" s="89">
        <v>177.14299999999957</v>
      </c>
      <c r="S752">
        <v>46082</v>
      </c>
      <c r="T752" t="str">
        <v/>
      </c>
      <c r="U752" t="str">
        <v/>
      </c>
      <c r="V752" t="str">
        <v/>
      </c>
      <c r="W752" t="str">
        <v/>
      </c>
      <c r="X752">
        <v>2</v>
      </c>
    </row>
    <row r="753" spans="1:24">
      <c r="A753" s="26">
        <v>898</v>
      </c>
      <c r="B753" s="87">
        <v>46234.404907407399</v>
      </c>
      <c r="C753" s="87">
        <v>46234.647002314799</v>
      </c>
      <c r="D753" t="str">
        <v>anónimo</v>
      </c>
      <c r="E753" t="str">
        <v/>
      </c>
      <c r="F753" s="68">
        <v>46234</v>
      </c>
      <c r="G753" s="88">
        <v>46234</v>
      </c>
      <c r="H753" t="str">
        <v>MARISOL HERNANDEZ C/C</v>
      </c>
      <c r="I753" t="str">
        <v>Félix de Hoyos Castro</v>
      </c>
      <c r="J753" s="82" t="str">
        <v/>
      </c>
      <c r="K753" t="str">
        <v>HOCF620429HCLYSL15</v>
      </c>
      <c r="L753" s="82">
        <v>23262774</v>
      </c>
      <c r="M753" s="82">
        <v>8616178431</v>
      </c>
      <c r="N753" t="str">
        <v>COMPRA MAYOR</v>
      </c>
      <c r="O753" s="89">
        <v>19051.189999999999</v>
      </c>
      <c r="P753" s="89">
        <v>5275.82</v>
      </c>
      <c r="Q753" s="89">
        <v>5715.3569999999991</v>
      </c>
      <c r="R753" s="89">
        <v>439.53699999999935</v>
      </c>
      <c r="S753">
        <v>46235</v>
      </c>
      <c r="T753" t="str">
        <v/>
      </c>
      <c r="U753" t="str">
        <v/>
      </c>
      <c r="V753" t="str">
        <v/>
      </c>
      <c r="W753" t="str">
        <v/>
      </c>
      <c r="X753">
        <v>2</v>
      </c>
    </row>
    <row r="754" spans="1:24">
      <c r="A754" s="26">
        <v>900</v>
      </c>
      <c r="B754" s="87">
        <v>46234.6479398148</v>
      </c>
      <c r="C754" s="87">
        <v>46234.648495370398</v>
      </c>
      <c r="D754" t="str">
        <v>anónimo</v>
      </c>
      <c r="E754" t="str">
        <v/>
      </c>
      <c r="F754" s="68">
        <v>46234</v>
      </c>
      <c r="G754" s="88">
        <v>46234</v>
      </c>
      <c r="H754" t="str">
        <v>DULCE FRANCO C/C</v>
      </c>
      <c r="I754" t="str">
        <v>JOSE SANTOS JIMENEZ RAMIREZ</v>
      </c>
      <c r="J754" s="82" t="str">
        <v/>
      </c>
      <c r="K754" t="str">
        <v>JIRS630411HASMMN06</v>
      </c>
      <c r="L754" s="82">
        <v>23263336</v>
      </c>
      <c r="M754" s="82">
        <v>5214498168349</v>
      </c>
      <c r="N754" t="str">
        <v>NUEVO MAYOR</v>
      </c>
      <c r="O754" s="89">
        <v>10636.54</v>
      </c>
      <c r="P754" s="89" t="str">
        <v/>
      </c>
      <c r="Q754" s="89">
        <v>3190.962</v>
      </c>
      <c r="R754" s="89">
        <v>3190.962</v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>
        <v>1</v>
      </c>
    </row>
    <row r="755" spans="1:24">
      <c r="A755" s="26">
        <v>905</v>
      </c>
      <c r="B755" s="87">
        <v>46234.651620370401</v>
      </c>
      <c r="C755" s="87">
        <v>46234.652615740699</v>
      </c>
      <c r="D755" t="str">
        <v>anónimo</v>
      </c>
      <c r="E755" t="str">
        <v/>
      </c>
      <c r="F755" s="68">
        <v>46234</v>
      </c>
      <c r="G755" s="88">
        <v>46234</v>
      </c>
      <c r="H755" t="str">
        <v>PAOLA RODRIGUEZ C/C</v>
      </c>
      <c r="I755" t="str">
        <v>Cristina Escoto</v>
      </c>
      <c r="J755" s="82">
        <v>12886912182</v>
      </c>
      <c r="K755" t="str">
        <v/>
      </c>
      <c r="L755" s="82">
        <v>23263250</v>
      </c>
      <c r="M755" s="82">
        <v>5216643557270</v>
      </c>
      <c r="N755" t="str">
        <v>COMPRA MAYOR</v>
      </c>
      <c r="O755" s="89">
        <v>9151.15</v>
      </c>
      <c r="P755" s="89">
        <v>2425.14</v>
      </c>
      <c r="Q755" s="89">
        <v>2745.3449999999998</v>
      </c>
      <c r="R755" s="89">
        <v>320.20499999999993</v>
      </c>
      <c r="S755">
        <v>45748</v>
      </c>
      <c r="T755" t="str">
        <v/>
      </c>
      <c r="U755" t="str">
        <v/>
      </c>
      <c r="V755" t="str">
        <v/>
      </c>
      <c r="W755" t="str">
        <v/>
      </c>
      <c r="X755">
        <v>2</v>
      </c>
    </row>
    <row r="756" spans="1:24">
      <c r="A756" s="26">
        <v>908</v>
      </c>
      <c r="B756" s="87">
        <v>46234.663449074098</v>
      </c>
      <c r="C756" s="87">
        <v>46234.664236111101</v>
      </c>
      <c r="D756" t="str">
        <v>anónimo</v>
      </c>
      <c r="E756" t="str">
        <v/>
      </c>
      <c r="F756" s="68">
        <v>46234</v>
      </c>
      <c r="G756" s="88">
        <v>46225</v>
      </c>
      <c r="H756" t="str">
        <v>GIOVANNI MELGAR</v>
      </c>
      <c r="I756" t="str">
        <v>MA. REFUGIO LUNA NERI</v>
      </c>
      <c r="J756" s="82" t="str">
        <v>55816006252</v>
      </c>
      <c r="K756" t="str">
        <v>LUNR6006619MNTNRF07</v>
      </c>
      <c r="L756" s="82">
        <v>22982000</v>
      </c>
      <c r="M756" s="82">
        <v>5213113431454</v>
      </c>
      <c r="N756" t="str">
        <v>NUEVO MENOR</v>
      </c>
      <c r="O756" s="89">
        <v>4632.01</v>
      </c>
      <c r="P756" s="89" t="str">
        <v/>
      </c>
      <c r="Q756" s="89">
        <v>1389.6030000000001</v>
      </c>
      <c r="R756" s="89">
        <v>459.03000000000065</v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>
        <v>1</v>
      </c>
    </row>
    <row r="757" spans="1:24">
      <c r="A757" s="26">
        <v>909</v>
      </c>
      <c r="B757" s="87">
        <v>46234.664097222201</v>
      </c>
      <c r="C757" s="87">
        <v>46234.665532407402</v>
      </c>
      <c r="D757" t="str">
        <v>anónimo</v>
      </c>
      <c r="E757" t="str">
        <v/>
      </c>
      <c r="F757" s="68">
        <v>46234</v>
      </c>
      <c r="G757" s="88">
        <v>46234</v>
      </c>
      <c r="H757" t="str">
        <v>GLORIA ORTIZ C/C</v>
      </c>
      <c r="I757" t="str">
        <v>ELADIO TREVIÑO TORRES</v>
      </c>
      <c r="J757" s="82">
        <v>43796366169</v>
      </c>
      <c r="K757" t="str">
        <v/>
      </c>
      <c r="L757" s="82">
        <v>23261448</v>
      </c>
      <c r="M757" s="82">
        <v>5218110151180</v>
      </c>
      <c r="N757" t="str">
        <v>NUEVO MAYOR</v>
      </c>
      <c r="O757" s="89">
        <v>35251.01</v>
      </c>
      <c r="P757" s="89">
        <v>8543.5499999999993</v>
      </c>
      <c r="Q757" s="89">
        <v>10575.303</v>
      </c>
      <c r="R757" s="89">
        <v>2031.7530000000006</v>
      </c>
      <c r="S757">
        <v>46388</v>
      </c>
      <c r="T757" t="str">
        <v/>
      </c>
      <c r="U757" t="str">
        <v/>
      </c>
      <c r="V757" t="str">
        <v/>
      </c>
      <c r="W757" t="str">
        <v/>
      </c>
      <c r="X757">
        <v>2</v>
      </c>
    </row>
    <row r="758" spans="1:24">
      <c r="A758" s="26">
        <v>914</v>
      </c>
      <c r="B758" s="87">
        <v>46234.676747685196</v>
      </c>
      <c r="C758" s="87">
        <v>46234.677627314799</v>
      </c>
      <c r="D758" t="str">
        <v>anónimo</v>
      </c>
      <c r="E758" t="str">
        <v/>
      </c>
      <c r="F758" s="68">
        <v>46234</v>
      </c>
      <c r="G758" s="88">
        <v>46234</v>
      </c>
      <c r="H758" t="str">
        <v>DULCE FRANCO C/C</v>
      </c>
      <c r="I758" t="str">
        <v>MIGUEL ANGEL AGUILAR SANCHEZ</v>
      </c>
      <c r="J758" s="82" t="str">
        <v/>
      </c>
      <c r="K758" t="str">
        <v>AUSM600922HDFGNG01</v>
      </c>
      <c r="L758" s="82">
        <v>23262514</v>
      </c>
      <c r="M758" s="82">
        <v>5215668599199</v>
      </c>
      <c r="N758" t="str">
        <v>RESTRINGIDA</v>
      </c>
      <c r="O758" s="89">
        <v>5617.64</v>
      </c>
      <c r="P758" s="89">
        <v>1271.28</v>
      </c>
      <c r="Q758" s="89">
        <v>1685.2920000000001</v>
      </c>
      <c r="R758" s="89">
        <v>173.38000000000079</v>
      </c>
      <c r="S758">
        <v>45809</v>
      </c>
      <c r="T758" t="str">
        <v>CONSUBANCO</v>
      </c>
      <c r="U758" t="str">
        <v/>
      </c>
      <c r="V758" t="str">
        <v/>
      </c>
      <c r="W758" t="str">
        <v/>
      </c>
      <c r="X758">
        <v>2</v>
      </c>
    </row>
    <row r="759" spans="1:24">
      <c r="A759" s="26">
        <v>915</v>
      </c>
      <c r="B759" s="87">
        <v>46234.563587962999</v>
      </c>
      <c r="C759" s="87">
        <v>46234.684687499997</v>
      </c>
      <c r="D759" t="str">
        <v>anónimo</v>
      </c>
      <c r="E759" t="str">
        <v/>
      </c>
      <c r="F759" s="68">
        <v>46234</v>
      </c>
      <c r="G759" s="88">
        <v>46234</v>
      </c>
      <c r="H759" t="str">
        <v>YAMILETH CARDONA EXT 2</v>
      </c>
      <c r="I759" t="str">
        <v>RUBEN GUZMAN LOPEZ</v>
      </c>
      <c r="J759" s="82" t="str">
        <v>04856905114</v>
      </c>
      <c r="K759" t="str">
        <v>GULR690805HJCZPB07</v>
      </c>
      <c r="L759" s="82">
        <v>2</v>
      </c>
      <c r="M759" s="82">
        <v>3311552258</v>
      </c>
      <c r="N759" t="str">
        <v>NUEVO MAYOR</v>
      </c>
      <c r="O759" s="89">
        <v>8793.09</v>
      </c>
      <c r="P759" s="89" t="str">
        <v/>
      </c>
      <c r="Q759" s="89">
        <v>2637.9270000000001</v>
      </c>
      <c r="R759" s="89">
        <v>2637.9270000000001</v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>
        <v>1</v>
      </c>
    </row>
    <row r="760" spans="1:24">
      <c r="A760" s="26">
        <v>916</v>
      </c>
      <c r="B760" s="87">
        <v>46234.686539351896</v>
      </c>
      <c r="C760" s="87">
        <v>46234.688587962999</v>
      </c>
      <c r="D760" t="str">
        <v>anónimo</v>
      </c>
      <c r="E760" t="str">
        <v/>
      </c>
      <c r="F760" s="68">
        <v>46234</v>
      </c>
      <c r="G760" s="88">
        <v>46234</v>
      </c>
      <c r="H760" t="str">
        <v>GIOVANNI MELGAR</v>
      </c>
      <c r="I760" t="str">
        <v>MARGARITA PONCE QUEZADA</v>
      </c>
      <c r="J760" s="82" t="str">
        <v>3367511109</v>
      </c>
      <c r="K760" t="str">
        <v>POQM510125MCHNZR01</v>
      </c>
      <c r="L760" s="82">
        <v>23226436</v>
      </c>
      <c r="M760" s="82">
        <v>5215548590450</v>
      </c>
      <c r="N760" t="str">
        <v>NUEVO MENOR</v>
      </c>
      <c r="O760" s="89">
        <v>4886.68</v>
      </c>
      <c r="P760" s="89" t="str">
        <v/>
      </c>
      <c r="Q760" s="89">
        <v>1466.0040000000001</v>
      </c>
      <c r="R760" s="89">
        <v>713.70000000000073</v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>
        <v>1</v>
      </c>
    </row>
    <row r="761" spans="1:24">
      <c r="A761" s="26">
        <v>917</v>
      </c>
      <c r="B761" s="87">
        <v>46234.686111111099</v>
      </c>
      <c r="C761" s="87">
        <v>46234.689664351899</v>
      </c>
      <c r="D761" t="str">
        <v>anónimo</v>
      </c>
      <c r="E761" t="str">
        <v/>
      </c>
      <c r="F761" s="68">
        <v>46234</v>
      </c>
      <c r="G761" s="88">
        <v>46234</v>
      </c>
      <c r="H761" t="str">
        <v>KARINA MATA C/C</v>
      </c>
      <c r="I761" t="str">
        <v>Julia Maria Guadalupe avendaño</v>
      </c>
      <c r="J761" s="82" t="str">
        <v/>
      </c>
      <c r="K761" t="str">
        <v xml:space="preserve">AEGJ600412MDGVNL07 </v>
      </c>
      <c r="L761" s="82">
        <v>23263274</v>
      </c>
      <c r="M761" s="82">
        <v>6862451666</v>
      </c>
      <c r="N761" t="str">
        <v>NUEVO MENOR</v>
      </c>
      <c r="O761" s="89">
        <v>6262.86</v>
      </c>
      <c r="P761" s="89">
        <v>864.83</v>
      </c>
      <c r="Q761" s="89">
        <v>1878.8579999999997</v>
      </c>
      <c r="R761" s="89">
        <v>1014.0279999999997</v>
      </c>
      <c r="S761">
        <v>45658</v>
      </c>
      <c r="T761" t="str">
        <v/>
      </c>
      <c r="U761" t="str">
        <v/>
      </c>
      <c r="V761" t="str">
        <v/>
      </c>
      <c r="W761" t="str">
        <v/>
      </c>
      <c r="X761">
        <v>2</v>
      </c>
    </row>
    <row r="762" spans="1:24">
      <c r="A762" s="26">
        <v>922</v>
      </c>
      <c r="B762" s="87">
        <v>46234.674907407403</v>
      </c>
      <c r="C762" s="87">
        <v>46234.712754629603</v>
      </c>
      <c r="D762" t="str">
        <v>anónimo</v>
      </c>
      <c r="E762" t="str">
        <v/>
      </c>
      <c r="F762" s="68">
        <v>46234</v>
      </c>
      <c r="G762" s="88">
        <v>46234</v>
      </c>
      <c r="H762" t="str">
        <v>ROSA CASTRO SUR</v>
      </c>
      <c r="I762" t="str">
        <v>JORGE GONZALEZ LARA</v>
      </c>
      <c r="J762" s="82" t="str">
        <v>23886205089</v>
      </c>
      <c r="K762" t="str">
        <v>GOLJ621118HSLNRR05</v>
      </c>
      <c r="L762" s="82">
        <v>23245592</v>
      </c>
      <c r="M762" s="82">
        <v>5216673560023</v>
      </c>
      <c r="N762" t="str">
        <v>COMPRA MENOR</v>
      </c>
      <c r="O762" s="89">
        <v>7116.13</v>
      </c>
      <c r="P762" s="89">
        <v>2118.96</v>
      </c>
      <c r="Q762" s="89">
        <v>2134.8389999999999</v>
      </c>
      <c r="R762" s="89">
        <v>15.878999999999905</v>
      </c>
      <c r="S762">
        <v>46143</v>
      </c>
      <c r="T762" t="str">
        <v/>
      </c>
      <c r="U762" t="str">
        <v/>
      </c>
      <c r="V762" t="str">
        <v/>
      </c>
      <c r="W762" t="str">
        <v/>
      </c>
      <c r="X762">
        <v>2</v>
      </c>
    </row>
    <row r="763" spans="1:24">
      <c r="A763" s="26">
        <v>927</v>
      </c>
      <c r="B763" s="87">
        <v>46234.741909722201</v>
      </c>
      <c r="C763" s="87">
        <v>46234.743020833303</v>
      </c>
      <c r="D763" t="str">
        <v>anónimo</v>
      </c>
      <c r="E763" t="str">
        <v/>
      </c>
      <c r="F763" s="68">
        <v>46234</v>
      </c>
      <c r="G763" s="88">
        <v>46234</v>
      </c>
      <c r="H763" t="str">
        <v>ANA VILLEGAS C/C</v>
      </c>
      <c r="I763" t="str">
        <v>JORGE PEREZ</v>
      </c>
      <c r="J763" s="82">
        <v>62816407696</v>
      </c>
      <c r="K763" t="str">
        <v/>
      </c>
      <c r="L763" s="82">
        <v>23211748</v>
      </c>
      <c r="M763" s="82">
        <v>5212214368786</v>
      </c>
      <c r="N763" t="str">
        <v>NUEVO MAYOR</v>
      </c>
      <c r="O763" s="89">
        <v>7364.65</v>
      </c>
      <c r="P763" s="89" t="str">
        <v/>
      </c>
      <c r="Q763" s="89">
        <v>2209.395</v>
      </c>
      <c r="R763" s="89">
        <v>2209.395</v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>
        <v>1</v>
      </c>
    </row>
    <row r="764" spans="1:24">
      <c r="A764" s="26">
        <v>932</v>
      </c>
      <c r="B764" s="87">
        <v>46234.751342592601</v>
      </c>
      <c r="C764" s="87">
        <v>46234.751990740697</v>
      </c>
      <c r="D764" t="str">
        <v>anónimo</v>
      </c>
      <c r="E764" t="str">
        <v/>
      </c>
      <c r="F764" s="68">
        <v>46234</v>
      </c>
      <c r="G764" s="88">
        <v>46234</v>
      </c>
      <c r="H764" t="str">
        <v>CAROLINA RAMIREZ C/C</v>
      </c>
      <c r="I764" t="str">
        <v>YOLANDA</v>
      </c>
      <c r="J764" s="82" t="str">
        <v>12816505957</v>
      </c>
      <c r="K764" t="str">
        <v/>
      </c>
      <c r="L764" s="82">
        <v>23265242</v>
      </c>
      <c r="M764" s="82">
        <v>5214792553450</v>
      </c>
      <c r="N764" t="str">
        <v>NUEVO MAYOR</v>
      </c>
      <c r="O764" s="89">
        <v>9760.32</v>
      </c>
      <c r="P764" s="89" t="str">
        <v/>
      </c>
      <c r="Q764" s="89">
        <v>2928.096</v>
      </c>
      <c r="R764" s="89">
        <v>2928.096</v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>
        <v>1</v>
      </c>
    </row>
    <row r="765" spans="1:24">
      <c r="A765" s="26">
        <v>937</v>
      </c>
      <c r="B765" s="87">
        <v>46234.797384259298</v>
      </c>
      <c r="C765" s="87">
        <v>46234.798159722202</v>
      </c>
      <c r="D765" t="str">
        <v>anónimo</v>
      </c>
      <c r="E765" t="str">
        <v/>
      </c>
      <c r="F765" s="68">
        <v>46234</v>
      </c>
      <c r="G765" s="88">
        <v>46234</v>
      </c>
      <c r="H765" t="str">
        <v>DEYANIRA CORDOVA C/C</v>
      </c>
      <c r="I765" t="str">
        <v>JUSTINA</v>
      </c>
      <c r="J765" s="82">
        <v>16705013395</v>
      </c>
      <c r="K765" t="str">
        <v>ROSJ690719MMCDSS03</v>
      </c>
      <c r="L765" s="82">
        <v>23260568</v>
      </c>
      <c r="M765" s="82">
        <v>7291604504</v>
      </c>
      <c r="N765" t="str">
        <v>NUEVO MAYOR</v>
      </c>
      <c r="O765" s="89">
        <v>13873.76</v>
      </c>
      <c r="P765" s="89" t="str">
        <v/>
      </c>
      <c r="Q765" s="89">
        <v>4162.1279999999997</v>
      </c>
      <c r="R765" s="89">
        <v>4162.1279999999997</v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>
        <v>1</v>
      </c>
    </row>
    <row r="766" spans="1:24">
      <c r="A766" s="26">
        <v>940</v>
      </c>
      <c r="B766" s="87">
        <v>46235.409629629597</v>
      </c>
      <c r="C766" s="87">
        <v>46235.410254629598</v>
      </c>
      <c r="D766" t="str">
        <v>anónimo</v>
      </c>
      <c r="E766" t="str">
        <v/>
      </c>
      <c r="F766" s="68">
        <v>46235</v>
      </c>
      <c r="G766" s="88">
        <v>46234</v>
      </c>
      <c r="H766" t="str">
        <v>GIOVANNI MELGAR</v>
      </c>
      <c r="I766" t="str">
        <v>HECTOR ORTIZ PIÑON</v>
      </c>
      <c r="J766" s="82" t="str">
        <v xml:space="preserve">43816555015
</v>
      </c>
      <c r="K766" t="str">
        <v>OIPH650114HNLRXC02</v>
      </c>
      <c r="L766" s="82">
        <v>23267404</v>
      </c>
      <c r="M766" s="82">
        <v>5218116874445</v>
      </c>
      <c r="N766" t="str">
        <v>NUEVO MENOR</v>
      </c>
      <c r="O766" s="89">
        <v>56051.25</v>
      </c>
      <c r="P766" s="89">
        <v>15950.15</v>
      </c>
      <c r="Q766" s="89">
        <v>16815.375</v>
      </c>
      <c r="R766" s="89">
        <v>865.22500000000036</v>
      </c>
      <c r="S766">
        <v>46508</v>
      </c>
      <c r="T766" t="str">
        <v/>
      </c>
      <c r="U766" t="str">
        <v/>
      </c>
      <c r="V766" t="str">
        <v/>
      </c>
      <c r="W766" t="str">
        <v/>
      </c>
      <c r="X766">
        <v>2</v>
      </c>
    </row>
    <row r="767" spans="1:24">
      <c r="A767" s="26">
        <v>942</v>
      </c>
      <c r="B767" s="87">
        <v>46235.412476851903</v>
      </c>
      <c r="C767" s="87">
        <v>46235.413032407399</v>
      </c>
      <c r="D767" t="str">
        <v>anónimo</v>
      </c>
      <c r="E767" t="str">
        <v/>
      </c>
      <c r="F767" s="68">
        <v>46235</v>
      </c>
      <c r="G767" s="88">
        <v>46235</v>
      </c>
      <c r="H767" t="str">
        <v>GIOVANNI MELGAR</v>
      </c>
      <c r="I767" t="str">
        <v>JAIME MOCTEZUMA CASTILLO</v>
      </c>
      <c r="J767" s="82" t="str">
        <v xml:space="preserve">61816309787
</v>
      </c>
      <c r="K767" t="str">
        <v>MOCJ630120HTLCSM04</v>
      </c>
      <c r="L767" s="82">
        <v>23271946</v>
      </c>
      <c r="M767" s="82">
        <v>5212482278039</v>
      </c>
      <c r="N767" t="str">
        <v>COMPRA MENOR</v>
      </c>
      <c r="O767" s="89">
        <v>9081.52</v>
      </c>
      <c r="P767" s="89">
        <v>2627.32</v>
      </c>
      <c r="Q767" s="89">
        <v>2724.4560000000001</v>
      </c>
      <c r="R767" s="89">
        <v>97.135999999999967</v>
      </c>
      <c r="S767">
        <v>46235</v>
      </c>
      <c r="T767" t="str">
        <v/>
      </c>
      <c r="U767" t="str">
        <v/>
      </c>
      <c r="V767" t="str">
        <v/>
      </c>
      <c r="W767" t="str">
        <v/>
      </c>
      <c r="X767">
        <v>2</v>
      </c>
    </row>
    <row r="768" spans="1:24">
      <c r="A768" s="26">
        <v>944</v>
      </c>
      <c r="B768" s="87">
        <v>46234.712766203702</v>
      </c>
      <c r="C768" s="87">
        <v>46235.425162036998</v>
      </c>
      <c r="D768" t="str">
        <v>anónimo</v>
      </c>
      <c r="E768" t="str">
        <v/>
      </c>
      <c r="F768" s="68">
        <v>46235</v>
      </c>
      <c r="G768" s="88">
        <v>46233</v>
      </c>
      <c r="H768" t="str">
        <v>ROSA CASTRO SUR</v>
      </c>
      <c r="I768" t="str">
        <v xml:space="preserve">MARTIN RAMIREZ MARTINEZ </v>
      </c>
      <c r="J768" s="82">
        <v>5179631130</v>
      </c>
      <c r="K768" t="str">
        <v>RAMM630930HASMRR06</v>
      </c>
      <c r="L768" s="82">
        <v>23269194</v>
      </c>
      <c r="M768" s="82">
        <v>5214495410644</v>
      </c>
      <c r="N768" t="str">
        <v>NUEVO MAYOR</v>
      </c>
      <c r="O768" s="89">
        <v>7920.51</v>
      </c>
      <c r="P768" s="89">
        <v>879</v>
      </c>
      <c r="Q768" s="89">
        <v>2376.1529999999998</v>
      </c>
      <c r="R768" s="89">
        <v>1497.1529999999998</v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>
        <v>1</v>
      </c>
    </row>
    <row r="769" spans="1:24">
      <c r="A769" s="26">
        <v>946</v>
      </c>
      <c r="B769" s="87">
        <v>46235.441018518497</v>
      </c>
      <c r="C769" s="87">
        <v>46235.443819444401</v>
      </c>
      <c r="D769" t="str">
        <v>anónimo</v>
      </c>
      <c r="E769" t="str">
        <v/>
      </c>
      <c r="F769" s="68">
        <v>46235</v>
      </c>
      <c r="G769" s="88">
        <v>46234</v>
      </c>
      <c r="H769" t="str">
        <v>ANA VILLEGAS C/C</v>
      </c>
      <c r="I769" t="str">
        <v xml:space="preserve">ELISEO NUÑEZ </v>
      </c>
      <c r="J769" s="82">
        <v>54765801433</v>
      </c>
      <c r="K769" t="str">
        <v>NUJE590106HJCXRL07</v>
      </c>
      <c r="L769" s="82">
        <v>23266582</v>
      </c>
      <c r="M769" s="82">
        <v>5213333804410</v>
      </c>
      <c r="N769" t="str">
        <v>COMPRA MAYOR</v>
      </c>
      <c r="O769" s="89">
        <v>5891.74</v>
      </c>
      <c r="P769" s="89">
        <v>1519.79</v>
      </c>
      <c r="Q769" s="89">
        <v>1767.5219999999999</v>
      </c>
      <c r="R769" s="89">
        <v>198.97000000000025</v>
      </c>
      <c r="S769">
        <v>45992</v>
      </c>
      <c r="T769" t="str">
        <v/>
      </c>
      <c r="U769" t="str">
        <v/>
      </c>
      <c r="V769" t="str">
        <v/>
      </c>
      <c r="W769" t="str">
        <v/>
      </c>
      <c r="X769">
        <v>2</v>
      </c>
    </row>
    <row r="770" spans="1:24">
      <c r="A770" s="26">
        <v>952</v>
      </c>
      <c r="B770" s="87">
        <v>46235.462997685201</v>
      </c>
      <c r="C770" s="87">
        <v>46235.463449074101</v>
      </c>
      <c r="D770" t="str">
        <v>anónimo</v>
      </c>
      <c r="E770" t="str">
        <v/>
      </c>
      <c r="F770" s="68">
        <v>46235</v>
      </c>
      <c r="G770" s="88">
        <v>46235</v>
      </c>
      <c r="H770" t="str">
        <v>GIOVANNI MELGAR</v>
      </c>
      <c r="I770" t="str">
        <v>JORGE EDUARDO CANCHE PECH</v>
      </c>
      <c r="J770" s="82" t="str">
        <v/>
      </c>
      <c r="K770" t="str">
        <v>CAPJ600926HCCNCR07</v>
      </c>
      <c r="L770" s="82">
        <v>23273222</v>
      </c>
      <c r="M770" s="82">
        <v>5219811704988</v>
      </c>
      <c r="N770" t="str">
        <v>NUEVO MAYOR</v>
      </c>
      <c r="O770" s="89">
        <v>6842.24</v>
      </c>
      <c r="P770" s="89">
        <v>500.13</v>
      </c>
      <c r="Q770" s="89">
        <v>2052.672</v>
      </c>
      <c r="R770" s="89">
        <v>1552.5419999999999</v>
      </c>
      <c r="S770">
        <v>46539</v>
      </c>
      <c r="T770" t="str">
        <v/>
      </c>
      <c r="U770" t="str">
        <v/>
      </c>
      <c r="V770" t="str">
        <v/>
      </c>
      <c r="W770" t="str">
        <v/>
      </c>
      <c r="X770">
        <v>2</v>
      </c>
    </row>
    <row r="771" spans="1:24">
      <c r="A771" s="26">
        <v>954</v>
      </c>
      <c r="B771" s="87">
        <v>46235.453900462999</v>
      </c>
      <c r="C771" s="87">
        <v>46235.472002314797</v>
      </c>
      <c r="D771" t="str">
        <v>anónimo</v>
      </c>
      <c r="E771" t="str">
        <v/>
      </c>
      <c r="F771" s="68">
        <v>46235</v>
      </c>
      <c r="G771" s="88">
        <v>46234</v>
      </c>
      <c r="H771" t="str">
        <v>JENNIFER AVENDAÑO SUR</v>
      </c>
      <c r="I771" t="str">
        <v>JOSE NICOLAS VILLA MOLINA</v>
      </c>
      <c r="J771" s="82" t="str">
        <v xml:space="preserve">24806108759    </v>
      </c>
      <c r="K771" t="str">
        <v>VIMN610910HSRLLC03</v>
      </c>
      <c r="L771" s="82">
        <v>23269146</v>
      </c>
      <c r="M771" s="82">
        <v>5216311070745</v>
      </c>
      <c r="N771" t="str">
        <v>RESTRINGIDA</v>
      </c>
      <c r="O771" s="89">
        <v>20400.07</v>
      </c>
      <c r="P771" s="89">
        <v>4295.26</v>
      </c>
      <c r="Q771" s="89">
        <v>6120.0209999999997</v>
      </c>
      <c r="R771" s="89">
        <v>1824.7609999999995</v>
      </c>
      <c r="S771">
        <v>45689</v>
      </c>
      <c r="T771" t="str">
        <v>CONSUBANCO</v>
      </c>
      <c r="U771" t="str">
        <v/>
      </c>
      <c r="V771" t="str">
        <v/>
      </c>
      <c r="W771" t="str">
        <v/>
      </c>
      <c r="X771">
        <v>2</v>
      </c>
    </row>
    <row r="772" spans="1:24">
      <c r="A772" s="26">
        <v>956</v>
      </c>
      <c r="B772" s="87">
        <v>46235.485439814802</v>
      </c>
      <c r="C772" s="87">
        <v>46235.486469907402</v>
      </c>
      <c r="D772" t="str">
        <v>anónimo</v>
      </c>
      <c r="E772" t="str">
        <v/>
      </c>
      <c r="F772" s="68">
        <v>46235</v>
      </c>
      <c r="G772" s="88">
        <v>46234</v>
      </c>
      <c r="H772" t="str">
        <v>CAROLINA RAMIREZ C/C</v>
      </c>
      <c r="I772" t="str">
        <v>ELENA OJEDA</v>
      </c>
      <c r="J772" s="82">
        <v>21826509396</v>
      </c>
      <c r="K772" t="str">
        <v/>
      </c>
      <c r="L772" s="82">
        <v>23266420</v>
      </c>
      <c r="M772" s="82">
        <v>5216462578378</v>
      </c>
      <c r="N772" t="str">
        <v>NUEVO MAYOR</v>
      </c>
      <c r="O772" s="89">
        <v>11029.03</v>
      </c>
      <c r="P772" s="89" t="str">
        <v/>
      </c>
      <c r="Q772" s="89">
        <v>3308.7090000000003</v>
      </c>
      <c r="R772" s="89">
        <v>3308.7090000000003</v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>
        <v>1</v>
      </c>
    </row>
    <row r="773" spans="1:24">
      <c r="A773" s="26">
        <v>958</v>
      </c>
      <c r="B773" s="87">
        <v>46235.496724536999</v>
      </c>
      <c r="C773" s="87">
        <v>46235.497442129599</v>
      </c>
      <c r="D773" t="str">
        <v>anónimo</v>
      </c>
      <c r="E773" t="str">
        <v/>
      </c>
      <c r="F773" s="68">
        <v>46235</v>
      </c>
      <c r="G773" s="88">
        <v>46235</v>
      </c>
      <c r="H773" t="str">
        <v>GIOVANNI MELGAR</v>
      </c>
      <c r="I773" t="str">
        <v>JOSE DE JESUS DURAN HERNANDEZ</v>
      </c>
      <c r="J773" s="82" t="str">
        <v>5479607662</v>
      </c>
      <c r="K773" t="str">
        <v>DUHJ600811HJCRRS01</v>
      </c>
      <c r="L773" s="82">
        <v>23278674</v>
      </c>
      <c r="M773" s="82">
        <v>5213318922962</v>
      </c>
      <c r="N773" t="str">
        <v>NUEVO MAYOR</v>
      </c>
      <c r="O773" s="89">
        <v>23514.47</v>
      </c>
      <c r="P773" s="89" t="str">
        <v/>
      </c>
      <c r="Q773" s="89">
        <v>7054.3410000000003</v>
      </c>
      <c r="R773" s="89">
        <v>7054.3410000000003</v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>
        <v>1</v>
      </c>
    </row>
    <row r="774" spans="1:24">
      <c r="A774" s="26">
        <v>959</v>
      </c>
      <c r="B774" s="87">
        <v>46235.472245370402</v>
      </c>
      <c r="C774" s="87">
        <v>46235.502210648097</v>
      </c>
      <c r="D774" t="str">
        <v>anónimo</v>
      </c>
      <c r="E774" t="str">
        <v/>
      </c>
      <c r="F774" s="68">
        <v>46235</v>
      </c>
      <c r="G774" s="88">
        <v>46235</v>
      </c>
      <c r="H774" t="str">
        <v>XIMENA RIVERA SUR</v>
      </c>
      <c r="I774" t="str">
        <v>MA. GLORIA INOCENCIA PIÑA SÁNCHEZ</v>
      </c>
      <c r="J774" s="82">
        <v>41584111581</v>
      </c>
      <c r="K774" t="str">
        <v/>
      </c>
      <c r="L774" s="82">
        <v>23279050</v>
      </c>
      <c r="M774" s="82">
        <v>5214441761198</v>
      </c>
      <c r="N774" t="str">
        <v>NUEVO MENOR</v>
      </c>
      <c r="O774" s="89">
        <v>6658.01</v>
      </c>
      <c r="P774" s="89">
        <v>1515.36</v>
      </c>
      <c r="Q774" s="89">
        <v>1997.403</v>
      </c>
      <c r="R774" s="89">
        <v>482.04300000000012</v>
      </c>
      <c r="S774">
        <v>46357</v>
      </c>
      <c r="T774" t="str">
        <v>CONSUPAGO</v>
      </c>
      <c r="U774" t="str">
        <v/>
      </c>
      <c r="V774" t="str">
        <v/>
      </c>
      <c r="W774" t="str">
        <v/>
      </c>
      <c r="X774">
        <v>2</v>
      </c>
    </row>
    <row r="775" spans="1:24">
      <c r="A775" s="26">
        <v>963</v>
      </c>
      <c r="B775" s="87">
        <v>46235.5096990741</v>
      </c>
      <c r="C775" s="87">
        <v>46235.510763888902</v>
      </c>
      <c r="D775" t="str">
        <v>anónimo</v>
      </c>
      <c r="E775" t="str">
        <v/>
      </c>
      <c r="F775" s="68">
        <v>46235</v>
      </c>
      <c r="G775" s="88">
        <v>46234</v>
      </c>
      <c r="H775" t="str">
        <v>ANA VILLEGAS C/C</v>
      </c>
      <c r="I775" t="str">
        <v xml:space="preserve">ANTONIO </v>
      </c>
      <c r="J775" s="82">
        <v>13796500224</v>
      </c>
      <c r="K775" t="str">
        <v>MAAA650520HTLRRN07</v>
      </c>
      <c r="L775" s="82">
        <v>23265016</v>
      </c>
      <c r="M775" s="82">
        <v>5217841004130</v>
      </c>
      <c r="N775" t="str">
        <v>NUEVO MAYOR</v>
      </c>
      <c r="O775" s="89">
        <v>11029.03</v>
      </c>
      <c r="P775" s="89" t="str">
        <v/>
      </c>
      <c r="Q775" s="89">
        <v>3308.7090000000003</v>
      </c>
      <c r="R775" s="89">
        <v>3308.7090000000003</v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>
        <v>1</v>
      </c>
    </row>
    <row r="776" spans="1:24">
      <c r="A776" s="26">
        <v>964</v>
      </c>
      <c r="B776" s="87">
        <v>46235.513402777797</v>
      </c>
      <c r="C776" s="87">
        <v>46235.514062499999</v>
      </c>
      <c r="D776" t="str">
        <v>anónimo</v>
      </c>
      <c r="E776" t="str">
        <v/>
      </c>
      <c r="F776" s="68">
        <v>46235</v>
      </c>
      <c r="G776" s="88">
        <v>46235</v>
      </c>
      <c r="H776" t="str">
        <v>MARISOL HERNANDEZ C/C</v>
      </c>
      <c r="I776" t="str">
        <v>Armando alcantara mayen</v>
      </c>
      <c r="J776" s="82" t="str">
        <v/>
      </c>
      <c r="K776" t="str">
        <v>AAMA620714HDFLYR09</v>
      </c>
      <c r="L776" s="82">
        <v>23280190</v>
      </c>
      <c r="M776" s="82">
        <v>5551940746</v>
      </c>
      <c r="N776" t="str">
        <v>COMPRA MAYOR</v>
      </c>
      <c r="O776" s="89">
        <v>7116.73</v>
      </c>
      <c r="P776" s="89">
        <v>1746.84</v>
      </c>
      <c r="Q776" s="89">
        <v>2135.0189999999998</v>
      </c>
      <c r="R776" s="89">
        <v>388.17899999999986</v>
      </c>
      <c r="S776">
        <v>45566</v>
      </c>
      <c r="T776" t="str">
        <v/>
      </c>
      <c r="U776" t="str">
        <v/>
      </c>
      <c r="V776" t="str">
        <v/>
      </c>
      <c r="W776" t="str">
        <v/>
      </c>
      <c r="X776">
        <v>2</v>
      </c>
    </row>
    <row r="777" spans="1:24">
      <c r="A777" s="26">
        <v>966</v>
      </c>
      <c r="B777" s="87">
        <v>46235.505810185197</v>
      </c>
      <c r="C777" s="87">
        <v>46235.518171296302</v>
      </c>
      <c r="D777" t="str">
        <v>anónimo</v>
      </c>
      <c r="E777" t="str">
        <v/>
      </c>
      <c r="F777" s="68">
        <v>46235</v>
      </c>
      <c r="G777" s="88">
        <v>46235</v>
      </c>
      <c r="H777" t="str">
        <v>LILIANA MARTINEZ SUR</v>
      </c>
      <c r="I777" t="str">
        <v>J. GUADALUPE GARCIA SANCHEZ</v>
      </c>
      <c r="J777" s="82">
        <v>41664611120</v>
      </c>
      <c r="K777" t="str">
        <v>GASG461009HSPRND13</v>
      </c>
      <c r="L777" s="82">
        <v>23272004</v>
      </c>
      <c r="M777" s="82">
        <v>5213320504511</v>
      </c>
      <c r="N777" t="str">
        <v>NUEVO MAYOR</v>
      </c>
      <c r="O777" s="89">
        <v>11051.1</v>
      </c>
      <c r="P777" s="89" t="str">
        <v/>
      </c>
      <c r="Q777" s="89">
        <v>3315.33</v>
      </c>
      <c r="R777" s="89">
        <v>3315.33</v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>
        <v>1</v>
      </c>
    </row>
    <row r="778" spans="1:24">
      <c r="A778" s="26">
        <v>967</v>
      </c>
      <c r="B778" s="87">
        <v>46235.505856481497</v>
      </c>
      <c r="C778" s="87">
        <v>46235.518703703703</v>
      </c>
      <c r="D778" t="str">
        <v>anónimo</v>
      </c>
      <c r="E778" t="str">
        <v/>
      </c>
      <c r="F778" s="68">
        <v>46235</v>
      </c>
      <c r="G778" s="88">
        <v>46234</v>
      </c>
      <c r="H778" t="str">
        <v>LILIANA MARTINEZ SUR</v>
      </c>
      <c r="I778" t="str">
        <v>MANUEL MARTINEZ CADENA</v>
      </c>
      <c r="J778" s="82">
        <v>24886635895</v>
      </c>
      <c r="K778" t="str">
        <v>MACM660128HSRRDN09</v>
      </c>
      <c r="L778" s="82">
        <v>23268912</v>
      </c>
      <c r="M778" s="82">
        <v>5216621078299</v>
      </c>
      <c r="N778" t="str">
        <v>NUEVO MAYOR</v>
      </c>
      <c r="O778" s="89">
        <v>11029.03</v>
      </c>
      <c r="P778" s="89" t="str">
        <v/>
      </c>
      <c r="Q778" s="89">
        <v>3308.7090000000003</v>
      </c>
      <c r="R778" s="89">
        <v>3308.7090000000003</v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>
        <v>1</v>
      </c>
    </row>
    <row r="779" spans="1:24">
      <c r="A779" s="26">
        <v>968</v>
      </c>
      <c r="B779" s="87">
        <v>46235.491527777798</v>
      </c>
      <c r="C779" s="87">
        <v>46235.519780092603</v>
      </c>
      <c r="D779" t="str">
        <v>anónimo</v>
      </c>
      <c r="E779" t="str">
        <v/>
      </c>
      <c r="F779" s="68">
        <v>46235</v>
      </c>
      <c r="G779" s="88">
        <v>46235</v>
      </c>
      <c r="H779" t="str">
        <v>ROSA CASTRO SUR</v>
      </c>
      <c r="I779" t="str">
        <v xml:space="preserve">JULIO FRANCISCO MARQUEZ FERNANDEZ </v>
      </c>
      <c r="J779" s="82" t="str">
        <v/>
      </c>
      <c r="K779" t="str">
        <v>MAFJ610616HVZRRL01</v>
      </c>
      <c r="L779" s="82">
        <v>23279090</v>
      </c>
      <c r="M779" s="82">
        <v>5219211609298</v>
      </c>
      <c r="N779" t="str">
        <v>NUEVO MAYOR</v>
      </c>
      <c r="O779" s="89">
        <v>7116.73</v>
      </c>
      <c r="P779" s="89" t="str">
        <v/>
      </c>
      <c r="Q779" s="89">
        <v>2135.0189999999998</v>
      </c>
      <c r="R779" s="89">
        <v>2135.0189999999998</v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>
        <v>1</v>
      </c>
    </row>
    <row r="780" spans="1:24">
      <c r="A780" s="26">
        <v>974</v>
      </c>
      <c r="B780" s="87">
        <v>46235.5319675926</v>
      </c>
      <c r="C780" s="87">
        <v>46235.538090277798</v>
      </c>
      <c r="D780" t="str">
        <v>anónimo</v>
      </c>
      <c r="E780" t="str">
        <v/>
      </c>
      <c r="F780" s="68">
        <v>46235</v>
      </c>
      <c r="G780" s="88">
        <v>46235</v>
      </c>
      <c r="H780" t="str">
        <v>JENNIFER AVENDAÑO SUR</v>
      </c>
      <c r="I780" t="str">
        <v>FRANCISCO ABARCA LOPEZ</v>
      </c>
      <c r="J780" s="82">
        <v>72855901426</v>
      </c>
      <c r="K780" t="str">
        <v>AALF590709HGRBPR05</v>
      </c>
      <c r="L780" s="82">
        <v>23278208</v>
      </c>
      <c r="M780" s="82">
        <v>5217531633649</v>
      </c>
      <c r="N780" t="str">
        <v>NUEVO MAYOR</v>
      </c>
      <c r="O780" s="89">
        <v>10536.35</v>
      </c>
      <c r="P780" s="89">
        <v>1637.96</v>
      </c>
      <c r="Q780" s="89">
        <v>3160.9050000000002</v>
      </c>
      <c r="R780" s="89">
        <v>1522.9450000000002</v>
      </c>
      <c r="S780">
        <v>46266</v>
      </c>
      <c r="T780" t="str">
        <v/>
      </c>
      <c r="U780" t="str">
        <v/>
      </c>
      <c r="V780" t="str">
        <v/>
      </c>
      <c r="W780" t="str">
        <v/>
      </c>
      <c r="X780">
        <v>2</v>
      </c>
    </row>
    <row r="781" spans="1:24">
      <c r="A781" s="26">
        <v>977</v>
      </c>
      <c r="B781" s="87">
        <v>46235.5547800926</v>
      </c>
      <c r="C781" s="87">
        <v>46235.555381944403</v>
      </c>
      <c r="D781" t="str">
        <v>anónimo</v>
      </c>
      <c r="E781" t="str">
        <v/>
      </c>
      <c r="F781" s="68">
        <v>46235</v>
      </c>
      <c r="G781" s="88">
        <v>46235</v>
      </c>
      <c r="H781" t="str">
        <v>CAROLINA RAMIREZ C/C</v>
      </c>
      <c r="I781" t="str">
        <v>LILIA DEL CARMEN TORRES TAMAYO</v>
      </c>
      <c r="J781" s="82">
        <v>82836604767</v>
      </c>
      <c r="K781" t="str">
        <v>TOTL660805MYNRML05</v>
      </c>
      <c r="L781" s="82">
        <v>23281462</v>
      </c>
      <c r="M781" s="82">
        <v>5219912170555</v>
      </c>
      <c r="N781" t="str">
        <v>NUEVO MENOR</v>
      </c>
      <c r="O781" s="89">
        <v>4541.58</v>
      </c>
      <c r="P781" s="89" t="str">
        <v/>
      </c>
      <c r="Q781" s="89">
        <v>1362.4739999999999</v>
      </c>
      <c r="R781" s="89">
        <v>368.60000000000036</v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>
        <v>1</v>
      </c>
    </row>
    <row r="782" spans="1:24">
      <c r="A782" s="26">
        <v>980</v>
      </c>
      <c r="B782" s="87">
        <v>46235.569305555597</v>
      </c>
      <c r="C782" s="87">
        <v>46235.570335648197</v>
      </c>
      <c r="D782" t="str">
        <v>anónimo</v>
      </c>
      <c r="E782" t="str">
        <v/>
      </c>
      <c r="F782" s="68">
        <v>46235</v>
      </c>
      <c r="G782" s="88">
        <v>46235</v>
      </c>
      <c r="H782" t="str">
        <v>MAGALI HERNANDEZ C/C</v>
      </c>
      <c r="I782" t="str">
        <v xml:space="preserve">JAVIER MARTINEZ OLGUIN </v>
      </c>
      <c r="J782" s="82">
        <v>10815911556</v>
      </c>
      <c r="K782" t="str">
        <v/>
      </c>
      <c r="L782" s="82">
        <v>23282022</v>
      </c>
      <c r="M782" s="82">
        <v>5219982015487</v>
      </c>
      <c r="N782" t="str">
        <v>NUEVO MAYOR</v>
      </c>
      <c r="O782" s="89">
        <v>16742.91</v>
      </c>
      <c r="P782" s="89" t="str">
        <v/>
      </c>
      <c r="Q782" s="89">
        <v>5022.8729999999996</v>
      </c>
      <c r="R782" s="89">
        <v>5022.8729999999996</v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>
        <v>1</v>
      </c>
    </row>
    <row r="783" spans="1:24">
      <c r="A783" s="26">
        <v>981</v>
      </c>
      <c r="B783" s="87">
        <v>46235.572407407402</v>
      </c>
      <c r="C783" s="87">
        <v>46235.574224536998</v>
      </c>
      <c r="D783" t="str">
        <v>anónimo</v>
      </c>
      <c r="E783" t="str">
        <v/>
      </c>
      <c r="F783" s="68">
        <v>46235</v>
      </c>
      <c r="G783" s="88">
        <v>46235</v>
      </c>
      <c r="H783" t="str">
        <v>CARRANZA SARDINA C/C</v>
      </c>
      <c r="I783" t="str">
        <v/>
      </c>
      <c r="J783" s="82">
        <v>32866580841</v>
      </c>
      <c r="K783" t="str">
        <v/>
      </c>
      <c r="L783" s="82">
        <v>23281854</v>
      </c>
      <c r="M783" s="82">
        <v>8441032767</v>
      </c>
      <c r="N783" t="str">
        <v>NUEVO MAYOR</v>
      </c>
      <c r="O783" s="89">
        <v>9760.32</v>
      </c>
      <c r="P783" s="89">
        <v>848</v>
      </c>
      <c r="Q783" s="89">
        <v>2928.096</v>
      </c>
      <c r="R783" s="89">
        <v>2080.096</v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>
        <v>1</v>
      </c>
    </row>
    <row r="784" spans="1:24">
      <c r="A784" s="26">
        <v>984</v>
      </c>
      <c r="B784" s="87">
        <v>46235.589108796303</v>
      </c>
      <c r="C784" s="87">
        <v>46235.589733796303</v>
      </c>
      <c r="D784" t="str">
        <v>anónimo</v>
      </c>
      <c r="E784" t="str">
        <v/>
      </c>
      <c r="F784" s="68">
        <v>46235</v>
      </c>
      <c r="G784" s="88">
        <v>46235</v>
      </c>
      <c r="H784" t="str">
        <v>GIOVANNI MELGAR</v>
      </c>
      <c r="I784" t="str">
        <v>JOSE SIMON SAUCEDO REYES</v>
      </c>
      <c r="J784" s="82" t="str">
        <v>3181590913</v>
      </c>
      <c r="K784" t="str">
        <v>SARS590930HZSCYM01</v>
      </c>
      <c r="L784" s="82">
        <v>23277374</v>
      </c>
      <c r="M784" s="82">
        <v>5214921368960</v>
      </c>
      <c r="N784" t="str">
        <v>COMPRA MAYOR</v>
      </c>
      <c r="O784" s="89">
        <v>6543.63</v>
      </c>
      <c r="P784" s="89">
        <v>1815.94</v>
      </c>
      <c r="Q784" s="89">
        <v>1963.0889999999999</v>
      </c>
      <c r="R784" s="89">
        <v>147.14899999999989</v>
      </c>
      <c r="S784">
        <v>46143</v>
      </c>
      <c r="T784" t="str">
        <v/>
      </c>
      <c r="U784" t="str">
        <v/>
      </c>
      <c r="V784" t="str">
        <v/>
      </c>
      <c r="W784" t="str">
        <v/>
      </c>
      <c r="X784">
        <v>2</v>
      </c>
    </row>
    <row r="785" spans="1:24">
      <c r="A785" s="26">
        <v>988</v>
      </c>
      <c r="B785" s="87">
        <v>46235.519791666702</v>
      </c>
      <c r="C785" s="87">
        <v>46235.611701388902</v>
      </c>
      <c r="D785" t="str">
        <v>anónimo</v>
      </c>
      <c r="E785" t="str">
        <v/>
      </c>
      <c r="F785" s="68">
        <v>46235</v>
      </c>
      <c r="G785" s="88">
        <v>46216</v>
      </c>
      <c r="H785" t="str">
        <v>ROSA CASTRO SUR</v>
      </c>
      <c r="I785" t="str">
        <v xml:space="preserve">VICTOR DE LA O MARTINEZ </v>
      </c>
      <c r="J785" s="82">
        <v>20926909209</v>
      </c>
      <c r="K785" t="str">
        <v>OXMV690707HDFXRC04</v>
      </c>
      <c r="L785" s="82">
        <v>22665472</v>
      </c>
      <c r="M785" s="82">
        <v>5215561587638</v>
      </c>
      <c r="N785" t="str">
        <v>RESTRINGIDA</v>
      </c>
      <c r="O785" s="89">
        <v>34716.49</v>
      </c>
      <c r="P785" s="89">
        <v>9671.43</v>
      </c>
      <c r="Q785" s="89">
        <v>10414.946999999998</v>
      </c>
      <c r="R785" s="89">
        <v>743.51699999999801</v>
      </c>
      <c r="S785">
        <v>46082</v>
      </c>
      <c r="T785" t="str">
        <v/>
      </c>
      <c r="U785" t="str">
        <v/>
      </c>
      <c r="V785" t="str">
        <v/>
      </c>
      <c r="W785" t="str">
        <v/>
      </c>
      <c r="X785">
        <v>2</v>
      </c>
    </row>
    <row r="786" spans="1:24">
      <c r="A786" s="26">
        <v>993</v>
      </c>
      <c r="B786" s="87">
        <v>46235.623055555603</v>
      </c>
      <c r="C786" s="87">
        <v>46235.623668981498</v>
      </c>
      <c r="D786" t="str">
        <v>anónimo</v>
      </c>
      <c r="E786" t="str">
        <v/>
      </c>
      <c r="F786" s="68">
        <v>46235</v>
      </c>
      <c r="G786" s="88">
        <v>46235</v>
      </c>
      <c r="H786" t="str">
        <v>CAROLINA RAMIREZ C/C</v>
      </c>
      <c r="I786" t="str">
        <v>HILDA ESTRADA</v>
      </c>
      <c r="J786" s="82">
        <v>43946212123</v>
      </c>
      <c r="K786" t="str">
        <v/>
      </c>
      <c r="L786" s="82">
        <v>23282000</v>
      </c>
      <c r="M786" s="82">
        <v>5218186848274</v>
      </c>
      <c r="N786" t="str">
        <v>COMPRA MAYOR</v>
      </c>
      <c r="O786" s="89">
        <v>7116.73</v>
      </c>
      <c r="P786" s="89">
        <v>1894.66</v>
      </c>
      <c r="Q786" s="89">
        <v>2135.0189999999998</v>
      </c>
      <c r="R786" s="89">
        <v>240.3589999999997</v>
      </c>
      <c r="S786">
        <v>46235</v>
      </c>
      <c r="T786" t="str">
        <v/>
      </c>
      <c r="U786" t="str">
        <v/>
      </c>
      <c r="V786" t="str">
        <v/>
      </c>
      <c r="W786" t="str">
        <v/>
      </c>
      <c r="X786">
        <v>2</v>
      </c>
    </row>
    <row r="787" spans="1:24">
      <c r="A787" s="26">
        <v>995</v>
      </c>
      <c r="B787" s="87">
        <v>46235.611724536997</v>
      </c>
      <c r="C787" s="87">
        <v>46235.626736111102</v>
      </c>
      <c r="D787" t="str">
        <v>anónimo</v>
      </c>
      <c r="E787" t="str">
        <v/>
      </c>
      <c r="F787" s="68">
        <v>46235</v>
      </c>
      <c r="G787" s="88">
        <v>46234</v>
      </c>
      <c r="H787" t="str">
        <v>ROSA CASTRO SUR</v>
      </c>
      <c r="I787" t="str">
        <v xml:space="preserve">MARCOS JESUS CRUZ CARRANZA </v>
      </c>
      <c r="J787" s="82" t="str">
        <v/>
      </c>
      <c r="K787" t="str">
        <v>CUCM590308HVZRRR01</v>
      </c>
      <c r="L787" s="82">
        <v>23254644</v>
      </c>
      <c r="M787" s="82">
        <v>5219613291778</v>
      </c>
      <c r="N787" t="str">
        <v>NUEVO MAYOR</v>
      </c>
      <c r="O787" s="89">
        <v>5671.51</v>
      </c>
      <c r="P787" s="89" t="str">
        <v/>
      </c>
      <c r="Q787" s="89">
        <v>1701.453</v>
      </c>
      <c r="R787" s="89">
        <v>1498.5300000000007</v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>
        <v>1</v>
      </c>
    </row>
    <row r="788" spans="1:24">
      <c r="A788" s="26">
        <v>996</v>
      </c>
      <c r="B788" s="87">
        <v>46235.623275462996</v>
      </c>
      <c r="C788" s="87">
        <v>46235.6277430556</v>
      </c>
      <c r="D788" t="str">
        <v>anónimo</v>
      </c>
      <c r="E788" t="str">
        <v/>
      </c>
      <c r="F788" s="68">
        <v>46235</v>
      </c>
      <c r="G788" s="88">
        <v>46234</v>
      </c>
      <c r="H788" t="str">
        <v>LILIANA MARTINEZ SUR</v>
      </c>
      <c r="I788" t="str">
        <v>JOSE LUIS PANIAGUA CARRILLO</v>
      </c>
      <c r="J788" s="82">
        <v>53806100508</v>
      </c>
      <c r="K788" t="str">
        <v>PACL610927HMNNRS04</v>
      </c>
      <c r="L788" s="82">
        <v>23269072</v>
      </c>
      <c r="M788" s="82">
        <v>5214591230115</v>
      </c>
      <c r="N788" t="str">
        <v>NUEVO MAYOR</v>
      </c>
      <c r="O788" s="89">
        <v>6262.86</v>
      </c>
      <c r="P788" s="89" t="str">
        <v/>
      </c>
      <c r="Q788" s="89">
        <v>1878.8579999999997</v>
      </c>
      <c r="R788" s="89">
        <v>1878.8579999999997</v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>
        <v>1</v>
      </c>
    </row>
    <row r="789" spans="1:24">
      <c r="A789" s="26">
        <v>1008</v>
      </c>
      <c r="B789" s="87">
        <v>46235.664537037002</v>
      </c>
      <c r="C789" s="87">
        <v>46235.671412037002</v>
      </c>
      <c r="D789" t="str">
        <v>anónimo</v>
      </c>
      <c r="E789" t="str">
        <v/>
      </c>
      <c r="F789" s="68">
        <v>46235</v>
      </c>
      <c r="G789" s="88">
        <v>46235</v>
      </c>
      <c r="H789" t="str">
        <v>JENNIFER AVENDAÑO SUR</v>
      </c>
      <c r="I789" t="str">
        <v>FRANCISCO LOPEZ CASTAÑEDA</v>
      </c>
      <c r="J789" s="82">
        <v>43826901340</v>
      </c>
      <c r="K789" t="str">
        <v>LOCF691201HNLPSR03</v>
      </c>
      <c r="L789" s="82">
        <v>23278408</v>
      </c>
      <c r="M789" s="82">
        <v>5218121920606</v>
      </c>
      <c r="N789" t="str">
        <v>RESTRINGIDA</v>
      </c>
      <c r="O789" s="89">
        <v>10866.89</v>
      </c>
      <c r="P789" s="89">
        <v>1127.74</v>
      </c>
      <c r="Q789" s="89">
        <v>3260.0669999999996</v>
      </c>
      <c r="R789" s="89">
        <v>2132.3269999999993</v>
      </c>
      <c r="S789">
        <v>45323</v>
      </c>
      <c r="T789" t="str">
        <v/>
      </c>
      <c r="U789" t="str">
        <v/>
      </c>
      <c r="V789" t="str">
        <v/>
      </c>
      <c r="W789" t="str">
        <v/>
      </c>
      <c r="X789">
        <v>2</v>
      </c>
    </row>
    <row r="790" spans="1:24">
      <c r="A790" s="26">
        <v>1013</v>
      </c>
      <c r="B790" s="87">
        <v>46235.671365740702</v>
      </c>
      <c r="C790" s="87">
        <v>46235.680740740703</v>
      </c>
      <c r="D790" t="str">
        <v>anónimo</v>
      </c>
      <c r="E790" t="str">
        <v/>
      </c>
      <c r="F790" s="68">
        <v>46235</v>
      </c>
      <c r="G790" s="88">
        <v>46235</v>
      </c>
      <c r="H790" t="str">
        <v>CARRANZA SARDINA C/C</v>
      </c>
      <c r="I790" t="str">
        <v>Juan Armando Berdon Alva</v>
      </c>
      <c r="J790" s="82" t="str">
        <v/>
      </c>
      <c r="K790" t="str">
        <v>BEAJ640808HVZRLN04</v>
      </c>
      <c r="L790" s="82">
        <v>23284228</v>
      </c>
      <c r="M790" s="82">
        <v>2941292964</v>
      </c>
      <c r="N790" t="str">
        <v>NUEVO MAYOR</v>
      </c>
      <c r="O790" s="89">
        <v>16215.72</v>
      </c>
      <c r="P790" s="89" t="str">
        <v/>
      </c>
      <c r="Q790" s="89">
        <v>4864.7159999999994</v>
      </c>
      <c r="R790" s="89">
        <v>4864.7159999999994</v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>
        <v>1</v>
      </c>
    </row>
    <row r="791" spans="1:24">
      <c r="A791" s="26">
        <v>1014</v>
      </c>
      <c r="B791" s="87">
        <v>46235.683888888903</v>
      </c>
      <c r="C791" s="87">
        <v>46235.684421296297</v>
      </c>
      <c r="D791" t="str">
        <v>anónimo</v>
      </c>
      <c r="E791" t="str">
        <v/>
      </c>
      <c r="F791" s="68">
        <v>46235</v>
      </c>
      <c r="G791" s="88">
        <v>46235</v>
      </c>
      <c r="H791" t="str">
        <v>GLORIA ORTIZ C/C</v>
      </c>
      <c r="I791" t="str">
        <v>JOSE JOAQUIN PASCUAL DAZA CERVANTES</v>
      </c>
      <c r="J791" s="82" t="str">
        <v/>
      </c>
      <c r="K791" t="str">
        <v>DACJ490816HDFZRQ04</v>
      </c>
      <c r="L791" s="82">
        <v>23280176</v>
      </c>
      <c r="M791" s="82">
        <v>5215549684822</v>
      </c>
      <c r="N791" t="str">
        <v>NUEVO MAYOR</v>
      </c>
      <c r="O791" s="89">
        <v>11127.99</v>
      </c>
      <c r="P791" s="89" t="str">
        <v/>
      </c>
      <c r="Q791" s="89">
        <v>3338.3969999999999</v>
      </c>
      <c r="R791" s="89">
        <v>3338.3969999999999</v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>
        <v>1</v>
      </c>
    </row>
    <row r="792" spans="1:24">
      <c r="A792" s="26">
        <v>1015</v>
      </c>
      <c r="B792" s="87">
        <v>46235.690706018497</v>
      </c>
      <c r="C792" s="87">
        <v>46235.692662037</v>
      </c>
      <c r="D792" t="str">
        <v>anónimo</v>
      </c>
      <c r="E792" t="str">
        <v/>
      </c>
      <c r="F792" s="68">
        <v>46235</v>
      </c>
      <c r="G792" s="88">
        <v>46230</v>
      </c>
      <c r="H792" t="str">
        <v>JENNIFER AVENDAÑO SUR</v>
      </c>
      <c r="I792" t="str">
        <v>ALEJANDRO PEREZ ESCOBAR</v>
      </c>
      <c r="J792" s="82">
        <v>71796114123</v>
      </c>
      <c r="K792" t="str">
        <v>PEEA600717HCSRSL11</v>
      </c>
      <c r="L792" s="82">
        <v>23135578</v>
      </c>
      <c r="M792" s="82">
        <v>5219622585426</v>
      </c>
      <c r="N792" t="str">
        <v>NUEVO MENOR</v>
      </c>
      <c r="O792" s="89">
        <v>6262.88</v>
      </c>
      <c r="P792" s="89">
        <v>1485.93</v>
      </c>
      <c r="Q792" s="89">
        <v>1878.864</v>
      </c>
      <c r="R792" s="89">
        <v>392.93399999999997</v>
      </c>
      <c r="S792">
        <v>46508</v>
      </c>
      <c r="T792" t="str">
        <v/>
      </c>
      <c r="U792" t="str">
        <v/>
      </c>
      <c r="V792" t="str">
        <v/>
      </c>
      <c r="W792" t="str">
        <v/>
      </c>
      <c r="X792">
        <v>2</v>
      </c>
    </row>
    <row r="793" spans="1:24">
      <c r="A793" s="26">
        <v>1016</v>
      </c>
      <c r="B793" s="87">
        <v>46235.696909722203</v>
      </c>
      <c r="C793" s="87">
        <v>46235.6977430556</v>
      </c>
      <c r="D793" t="str">
        <v>anónimo</v>
      </c>
      <c r="E793" t="str">
        <v/>
      </c>
      <c r="F793" s="68">
        <v>46235</v>
      </c>
      <c r="G793" s="88">
        <v>46235</v>
      </c>
      <c r="H793" t="str">
        <v>MAGALI HERNANDEZ C/C</v>
      </c>
      <c r="I793" t="str">
        <v>RUBEN HERNANDEZ BENITEZ</v>
      </c>
      <c r="J793" s="82" t="str">
        <v/>
      </c>
      <c r="K793" t="str">
        <v xml:space="preserve">	HEBR520815HMCRNB04</v>
      </c>
      <c r="L793" s="82">
        <v>23285944</v>
      </c>
      <c r="M793" s="82">
        <v>5214611382926</v>
      </c>
      <c r="N793" t="str">
        <v>NUEVO MAYOR</v>
      </c>
      <c r="O793" s="89">
        <v>7116.73</v>
      </c>
      <c r="P793" s="89" t="str">
        <v/>
      </c>
      <c r="Q793" s="89">
        <v>2135.0189999999998</v>
      </c>
      <c r="R793" s="89">
        <v>2135.0189999999998</v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>
        <v>1</v>
      </c>
    </row>
    <row r="794" spans="1:24">
      <c r="A794" s="26">
        <v>1018</v>
      </c>
      <c r="B794" s="87">
        <v>46235.715034722198</v>
      </c>
      <c r="C794" s="87">
        <v>46235.715659722198</v>
      </c>
      <c r="D794" t="str">
        <v>anónimo</v>
      </c>
      <c r="E794" t="str">
        <v/>
      </c>
      <c r="F794" s="68">
        <v>46235</v>
      </c>
      <c r="G794" s="88">
        <v>46235</v>
      </c>
      <c r="H794" t="str">
        <v>DEYANIRA CORDOVA C/C</v>
      </c>
      <c r="I794" t="str">
        <v/>
      </c>
      <c r="J794" s="82">
        <v>33876667404</v>
      </c>
      <c r="K794" t="str">
        <v/>
      </c>
      <c r="L794" s="82">
        <v>23285670</v>
      </c>
      <c r="M794" s="82">
        <v>6142100839</v>
      </c>
      <c r="N794" t="str">
        <v>NUEVO MAYOR</v>
      </c>
      <c r="O794" s="89">
        <v>10636.54</v>
      </c>
      <c r="P794" s="89" t="str">
        <v/>
      </c>
      <c r="Q794" s="89">
        <v>3190.962</v>
      </c>
      <c r="R794" s="89">
        <v>3190.962</v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>
        <v>1</v>
      </c>
    </row>
    <row r="795" spans="1:24">
      <c r="A795" s="26">
        <v>1019</v>
      </c>
      <c r="B795" s="87">
        <v>46235.7190625</v>
      </c>
      <c r="C795" s="87">
        <v>46235.719548611101</v>
      </c>
      <c r="D795" t="str">
        <v>anónimo</v>
      </c>
      <c r="E795" t="str">
        <v/>
      </c>
      <c r="F795" s="68">
        <v>46235</v>
      </c>
      <c r="G795" s="88">
        <v>46235</v>
      </c>
      <c r="H795" t="str">
        <v>GLORIA ORTIZ C/C</v>
      </c>
      <c r="I795" t="str">
        <v>HECTOR RAUL MARTINEZ GARZA</v>
      </c>
      <c r="J795" s="82" t="str">
        <v/>
      </c>
      <c r="K795" t="str">
        <v>MAGH620319HNLRRC08</v>
      </c>
      <c r="L795" s="82">
        <v>23284280</v>
      </c>
      <c r="M795" s="82">
        <v>5218711526273</v>
      </c>
      <c r="N795" t="str">
        <v>NUEVO MAYOR</v>
      </c>
      <c r="O795" s="89">
        <v>49661.65</v>
      </c>
      <c r="P795" s="89" t="str">
        <v/>
      </c>
      <c r="Q795" s="89">
        <v>14898.494999999999</v>
      </c>
      <c r="R795" s="89">
        <v>14898.494999999999</v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>
        <v>1</v>
      </c>
    </row>
    <row r="796" spans="1:24">
      <c r="A796" s="26">
        <v>1020</v>
      </c>
      <c r="B796" s="87">
        <v>46235.735196759299</v>
      </c>
      <c r="C796" s="87">
        <v>46235.735833333303</v>
      </c>
      <c r="D796" t="str">
        <v>anónimo</v>
      </c>
      <c r="E796" t="str">
        <v/>
      </c>
      <c r="F796" s="68">
        <v>46235</v>
      </c>
      <c r="G796" s="88">
        <v>46232</v>
      </c>
      <c r="H796" t="str">
        <v>GIOVANNI MELGAR</v>
      </c>
      <c r="I796" t="str">
        <v>JOSE MARTIN MACIAS ESPINOZA</v>
      </c>
      <c r="J796" s="82" t="str">
        <v>21816258475</v>
      </c>
      <c r="K796" t="str">
        <v>MAEM620205HBCCSR08</v>
      </c>
      <c r="L796" s="82">
        <v>23201360</v>
      </c>
      <c r="M796" s="82">
        <v>5216651084099</v>
      </c>
      <c r="N796" t="str">
        <v>NUEVO MAYOR</v>
      </c>
      <c r="O796" s="89">
        <v>9760.32</v>
      </c>
      <c r="P796" s="89" t="str">
        <v/>
      </c>
      <c r="Q796" s="89">
        <v>2928.096</v>
      </c>
      <c r="R796" s="89">
        <v>2928.096</v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>
        <v>1</v>
      </c>
    </row>
    <row r="797" spans="1:24">
      <c r="A797" s="26">
        <v>1021</v>
      </c>
      <c r="B797" s="87">
        <v>46235.749537037002</v>
      </c>
      <c r="C797" s="87">
        <v>46235.750057870398</v>
      </c>
      <c r="D797" t="str">
        <v>anónimo</v>
      </c>
      <c r="E797" t="str">
        <v/>
      </c>
      <c r="F797" s="68">
        <v>46235</v>
      </c>
      <c r="G797" s="88">
        <v>46235</v>
      </c>
      <c r="H797" t="str">
        <v>GLORIA ORTIZ C/C</v>
      </c>
      <c r="I797" t="str">
        <v>MARCO ANTONIO CRUZ SEVILLA</v>
      </c>
      <c r="J797" s="82" t="str">
        <v/>
      </c>
      <c r="K797" t="str">
        <v>CUSM610523HDFRVR05</v>
      </c>
      <c r="L797" s="82">
        <v>23286704</v>
      </c>
      <c r="M797" s="82">
        <v>5219221383247</v>
      </c>
      <c r="N797" t="str">
        <v>NUEVO MENOR</v>
      </c>
      <c r="O797" s="89">
        <v>15672.75</v>
      </c>
      <c r="P797" s="89">
        <v>4268.13</v>
      </c>
      <c r="Q797" s="89">
        <v>4701.8249999999998</v>
      </c>
      <c r="R797" s="89">
        <v>433.69499999999971</v>
      </c>
      <c r="S797">
        <v>46631</v>
      </c>
      <c r="T797" t="str">
        <v/>
      </c>
      <c r="U797" t="str">
        <v/>
      </c>
      <c r="V797" t="str">
        <v/>
      </c>
      <c r="W797" t="str">
        <v/>
      </c>
      <c r="X797">
        <v>2</v>
      </c>
    </row>
    <row r="798" spans="1:24">
      <c r="A798" s="26">
        <v>1027</v>
      </c>
      <c r="B798" s="87">
        <v>46235.779039351903</v>
      </c>
      <c r="C798" s="87">
        <v>46235.779652777797</v>
      </c>
      <c r="D798" t="str">
        <v>anónimo</v>
      </c>
      <c r="E798" t="str">
        <v/>
      </c>
      <c r="F798" s="68">
        <v>46235</v>
      </c>
      <c r="G798" s="88">
        <v>46235</v>
      </c>
      <c r="H798" t="str">
        <v>MARISOL HERNANDEZ C/C</v>
      </c>
      <c r="I798" t="str">
        <v>Renato Martinez ibarra</v>
      </c>
      <c r="J798" s="82" t="str">
        <v/>
      </c>
      <c r="K798" t="str">
        <v>MAIR620405HJCRBN03</v>
      </c>
      <c r="L798" s="82">
        <v>23285808</v>
      </c>
      <c r="M798" s="82">
        <v>3320285042</v>
      </c>
      <c r="N798" t="str">
        <v>COMPRA MAYOR</v>
      </c>
      <c r="O798" s="89">
        <v>7116.73</v>
      </c>
      <c r="P798" s="89">
        <v>1747.63</v>
      </c>
      <c r="Q798" s="89">
        <v>2135.0189999999998</v>
      </c>
      <c r="R798" s="89">
        <v>387.38899999999967</v>
      </c>
      <c r="S798">
        <v>45658</v>
      </c>
      <c r="T798" t="str">
        <v/>
      </c>
      <c r="U798" t="str">
        <v/>
      </c>
      <c r="V798" t="str">
        <v/>
      </c>
      <c r="W798" t="str">
        <v/>
      </c>
      <c r="X798">
        <v>2</v>
      </c>
    </row>
    <row r="799" spans="1:24">
      <c r="A799" s="26">
        <v>1042</v>
      </c>
      <c r="B799" s="87">
        <v>46236.540659722203</v>
      </c>
      <c r="C799" s="87">
        <v>46236.564872685201</v>
      </c>
      <c r="D799" t="str">
        <v>anónimo</v>
      </c>
      <c r="E799" t="str">
        <v/>
      </c>
      <c r="F799" s="68">
        <v>46236</v>
      </c>
      <c r="G799" s="88">
        <v>46236</v>
      </c>
      <c r="H799" t="str">
        <v>GUADALUPE BECERRA C/C</v>
      </c>
      <c r="I799" t="str">
        <v>Juan huerta arambula</v>
      </c>
      <c r="J799" s="82">
        <v>32927241250</v>
      </c>
      <c r="K799" t="str">
        <v/>
      </c>
      <c r="L799" s="82">
        <v>23297562</v>
      </c>
      <c r="M799" s="82">
        <v>5216682173212</v>
      </c>
      <c r="N799" t="str">
        <v>NUEVO MAYOR</v>
      </c>
      <c r="O799" s="89">
        <v>6755.26</v>
      </c>
      <c r="P799" s="89">
        <v>758.75</v>
      </c>
      <c r="Q799" s="89">
        <v>2026.578</v>
      </c>
      <c r="R799" s="89">
        <v>1267.828</v>
      </c>
      <c r="S799">
        <v>46296</v>
      </c>
      <c r="T799" t="str">
        <v/>
      </c>
      <c r="U799" t="str">
        <v/>
      </c>
      <c r="V799" t="str">
        <v/>
      </c>
      <c r="W799" t="str">
        <v/>
      </c>
      <c r="X799">
        <v>2</v>
      </c>
    </row>
    <row r="800" spans="1:24">
      <c r="A800" s="26">
        <v>1043</v>
      </c>
      <c r="B800" s="87">
        <v>46236.591828703698</v>
      </c>
      <c r="C800" s="87">
        <v>46236.592569444401</v>
      </c>
      <c r="D800" t="str">
        <v>anónimo</v>
      </c>
      <c r="E800" t="str">
        <v/>
      </c>
      <c r="F800" s="68">
        <v>46236</v>
      </c>
      <c r="G800" s="88">
        <v>46236</v>
      </c>
      <c r="H800" t="str">
        <v>LITZY MARTINEZ C/C</v>
      </c>
      <c r="I800" t="str">
        <v xml:space="preserve">PEDRO HERNANDEZ PEREZ </v>
      </c>
      <c r="J800" s="82" t="str">
        <v/>
      </c>
      <c r="K800" t="str">
        <v>HEPP621025HSPRRD07</v>
      </c>
      <c r="L800" s="82">
        <v>23298264</v>
      </c>
      <c r="M800" s="82">
        <v>5214891105268</v>
      </c>
      <c r="N800" t="str">
        <v>NUEVO MAYOR</v>
      </c>
      <c r="O800" s="89">
        <v>7116.73</v>
      </c>
      <c r="P800" s="89">
        <v>695.59</v>
      </c>
      <c r="Q800" s="89">
        <v>2135.0189999999998</v>
      </c>
      <c r="R800" s="89">
        <v>1439.4289999999996</v>
      </c>
      <c r="S800">
        <v>46935</v>
      </c>
      <c r="T800" t="str">
        <v/>
      </c>
      <c r="U800" t="str">
        <v/>
      </c>
      <c r="V800" t="str">
        <v/>
      </c>
      <c r="W800" t="str">
        <v/>
      </c>
      <c r="X800">
        <v>2</v>
      </c>
    </row>
    <row r="801" spans="1:24">
      <c r="A801" s="26">
        <v>1057</v>
      </c>
      <c r="B801" s="87">
        <v>46237.371666666702</v>
      </c>
      <c r="C801" s="87">
        <v>46237.373032407399</v>
      </c>
      <c r="D801" t="str">
        <v>anónimo</v>
      </c>
      <c r="E801" t="str">
        <v/>
      </c>
      <c r="F801" s="68">
        <v>46237</v>
      </c>
      <c r="G801" s="88">
        <v>46236</v>
      </c>
      <c r="H801" t="str">
        <v>PAOLA RODRIGUEZ C/C</v>
      </c>
      <c r="I801" t="str">
        <v xml:space="preserve">Mario Morales Guillen </v>
      </c>
      <c r="J801" s="82">
        <v>53906510408</v>
      </c>
      <c r="K801" t="str">
        <v/>
      </c>
      <c r="L801" s="82">
        <v>23293998</v>
      </c>
      <c r="M801" s="82">
        <v>5217121332645</v>
      </c>
      <c r="N801" t="str">
        <v>NUEVO MAYOR</v>
      </c>
      <c r="O801" s="89">
        <v>42341.38</v>
      </c>
      <c r="P801" s="89" t="str">
        <v/>
      </c>
      <c r="Q801" s="89">
        <v>12702.413999999999</v>
      </c>
      <c r="R801" s="89">
        <v>12702.413999999999</v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>
        <v>1</v>
      </c>
    </row>
    <row r="802" spans="1:24">
      <c r="A802" s="26">
        <v>1060</v>
      </c>
      <c r="B802" s="87">
        <v>46237.4131597222</v>
      </c>
      <c r="C802" s="87">
        <v>46237.419386574104</v>
      </c>
      <c r="D802" t="str">
        <v>anónimo</v>
      </c>
      <c r="E802" t="str">
        <v/>
      </c>
      <c r="F802" s="68">
        <v>46237</v>
      </c>
      <c r="G802" s="88">
        <v>46237</v>
      </c>
      <c r="H802" t="str">
        <v>JENNIFER AVENDAÑO SUR</v>
      </c>
      <c r="I802" t="str">
        <v>VICENTE CONTRERAS MOLINA</v>
      </c>
      <c r="J802" s="82">
        <v>52845702142</v>
      </c>
      <c r="K802" t="str">
        <v>COMV570406HCMNLC01</v>
      </c>
      <c r="L802" s="82">
        <v>23313672</v>
      </c>
      <c r="M802" s="82">
        <v>5213121140810</v>
      </c>
      <c r="N802" t="str">
        <v>NUEVO MAYOR</v>
      </c>
      <c r="O802" s="89">
        <v>9760.32</v>
      </c>
      <c r="P802" s="89" t="str">
        <v/>
      </c>
      <c r="Q802" s="89">
        <v>2928.096</v>
      </c>
      <c r="R802" s="89">
        <v>2928.096</v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>
        <v>1</v>
      </c>
    </row>
    <row r="803" spans="1:24">
      <c r="A803" s="26">
        <v>1062</v>
      </c>
      <c r="B803" s="87">
        <v>46237.416006944397</v>
      </c>
      <c r="C803" s="87">
        <v>46237.4230439815</v>
      </c>
      <c r="D803" t="str">
        <v>anónimo</v>
      </c>
      <c r="E803" t="str">
        <v/>
      </c>
      <c r="F803" s="68">
        <v>46237</v>
      </c>
      <c r="G803" s="88">
        <v>46236</v>
      </c>
      <c r="H803" t="str">
        <v>LITZY MARTINEZ C/C</v>
      </c>
      <c r="I803" t="str">
        <v xml:space="preserve">roberto lopez hernandez </v>
      </c>
      <c r="J803" s="82" t="str">
        <v/>
      </c>
      <c r="K803" t="str">
        <v>LOHR650621HDFPRB09</v>
      </c>
      <c r="L803" s="82">
        <v>23293672</v>
      </c>
      <c r="M803" s="82">
        <v>5215517806146</v>
      </c>
      <c r="N803" t="str">
        <v>NUEVO MAYOR</v>
      </c>
      <c r="O803" s="89">
        <v>11029.030000000002</v>
      </c>
      <c r="P803" s="89" t="str">
        <v/>
      </c>
      <c r="Q803" s="89">
        <v>3308.7090000000007</v>
      </c>
      <c r="R803" s="89">
        <v>3308.7090000000007</v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>
        <v>1</v>
      </c>
    </row>
    <row r="804" spans="1:24">
      <c r="A804" s="26">
        <v>1063</v>
      </c>
      <c r="B804" s="87">
        <v>46237.423159722202</v>
      </c>
      <c r="C804" s="87">
        <v>46237.423888888901</v>
      </c>
      <c r="D804" t="str">
        <v>anónimo</v>
      </c>
      <c r="E804" t="str">
        <v/>
      </c>
      <c r="F804" s="68">
        <v>46237</v>
      </c>
      <c r="G804" s="88">
        <v>46233</v>
      </c>
      <c r="H804" t="str">
        <v>FERNANDA CASTILLO C/C</v>
      </c>
      <c r="I804" t="str">
        <v>FELIPE DE JESUS RODRIGUEZ GUERRERO</v>
      </c>
      <c r="J804" s="82">
        <v>31806321753</v>
      </c>
      <c r="K804" t="str">
        <v>ROGF640205HCLDRL01</v>
      </c>
      <c r="L804" s="82">
        <v>23241518</v>
      </c>
      <c r="M804" s="82">
        <v>8717363344</v>
      </c>
      <c r="N804" t="str">
        <v>NUEVO MAYOR</v>
      </c>
      <c r="O804" s="89">
        <v>11029.03</v>
      </c>
      <c r="P804" s="89" t="str">
        <v/>
      </c>
      <c r="Q804" s="89">
        <v>3308.7090000000003</v>
      </c>
      <c r="R804" s="89">
        <v>3308.7090000000003</v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>
        <v>1</v>
      </c>
    </row>
    <row r="805" spans="1:24">
      <c r="A805" s="26">
        <v>1064</v>
      </c>
      <c r="B805" s="87">
        <v>46237.431122685201</v>
      </c>
      <c r="C805" s="87">
        <v>46237.434999999998</v>
      </c>
      <c r="D805" t="str">
        <v>anónimo</v>
      </c>
      <c r="E805" t="str">
        <v/>
      </c>
      <c r="F805" s="68">
        <v>46237</v>
      </c>
      <c r="G805" s="88">
        <v>46237</v>
      </c>
      <c r="H805" t="str">
        <v>GUADALUPE BECERRA C/C</v>
      </c>
      <c r="I805" t="str">
        <v>francisco javier rincon de la cruz</v>
      </c>
      <c r="J805" s="82" t="str">
        <v/>
      </c>
      <c r="K805" t="str">
        <v>RICF671022HJCNRR06</v>
      </c>
      <c r="L805" s="82">
        <v>23297446</v>
      </c>
      <c r="M805" s="82">
        <v>5213318834951</v>
      </c>
      <c r="N805" t="str">
        <v>NUEVO MAYOR</v>
      </c>
      <c r="O805" s="89">
        <v>9582.4699999999993</v>
      </c>
      <c r="P805" s="89" t="str">
        <v/>
      </c>
      <c r="Q805" s="89">
        <v>2874.7409999999995</v>
      </c>
      <c r="R805" s="89">
        <v>2874.7409999999995</v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>
        <v>1</v>
      </c>
    </row>
    <row r="806" spans="1:24">
      <c r="A806" s="26">
        <v>1075</v>
      </c>
      <c r="B806" s="87">
        <v>46237.524259259299</v>
      </c>
      <c r="C806" s="87">
        <v>46237.524814814802</v>
      </c>
      <c r="D806" t="str">
        <v>anónimo</v>
      </c>
      <c r="E806" t="str">
        <v/>
      </c>
      <c r="F806" s="68">
        <v>46237</v>
      </c>
      <c r="G806" s="88">
        <v>46236</v>
      </c>
      <c r="H806" t="str">
        <v>GIOVANNI MELGAR</v>
      </c>
      <c r="I806" t="str">
        <v>JORGE OCTAVIO CALIXTO VIEYRA</v>
      </c>
      <c r="J806" s="82" t="str">
        <v>10816012073</v>
      </c>
      <c r="K806" t="str">
        <v>CAVJ600709HDFLYR09</v>
      </c>
      <c r="L806" s="82">
        <v>23304464</v>
      </c>
      <c r="M806" s="82">
        <v>5213330510552</v>
      </c>
      <c r="N806" t="str">
        <v>NUEVO MAYOR</v>
      </c>
      <c r="O806" s="89">
        <v>25410.720000000001</v>
      </c>
      <c r="P806" s="89" t="str">
        <v/>
      </c>
      <c r="Q806" s="89">
        <v>7623.2160000000003</v>
      </c>
      <c r="R806" s="89">
        <v>7623.2160000000003</v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>
        <v>1</v>
      </c>
    </row>
    <row r="807" spans="1:24">
      <c r="A807" s="26">
        <v>1076</v>
      </c>
      <c r="B807" s="87">
        <v>46237.539212962998</v>
      </c>
      <c r="C807" s="87">
        <v>46237.539803240703</v>
      </c>
      <c r="D807" t="str">
        <v>anónimo</v>
      </c>
      <c r="E807" t="str">
        <v/>
      </c>
      <c r="F807" s="68">
        <v>46237</v>
      </c>
      <c r="G807" s="88">
        <v>46236</v>
      </c>
      <c r="H807" t="str">
        <v>GIOVANNI MELGAR</v>
      </c>
      <c r="I807" t="str">
        <v>JUAN MARCELO FUENTES ROJAS</v>
      </c>
      <c r="J807" s="82" t="str">
        <v>12895908213</v>
      </c>
      <c r="K807" t="str">
        <v>FURJ590116HGTNJN00</v>
      </c>
      <c r="L807" s="82">
        <v>23304596</v>
      </c>
      <c r="M807" s="82">
        <v>5214111130859</v>
      </c>
      <c r="N807" t="str">
        <v>NUEVO MENOR</v>
      </c>
      <c r="O807" s="89">
        <v>7920.51</v>
      </c>
      <c r="P807" s="89">
        <v>2017.67</v>
      </c>
      <c r="Q807" s="89">
        <v>2376.1529999999998</v>
      </c>
      <c r="R807" s="89">
        <v>358.48299999999972</v>
      </c>
      <c r="S807">
        <v>46569</v>
      </c>
      <c r="T807" t="str">
        <v/>
      </c>
      <c r="U807" t="str">
        <v/>
      </c>
      <c r="V807" t="str">
        <v/>
      </c>
      <c r="W807" t="str">
        <v/>
      </c>
      <c r="X807">
        <v>2</v>
      </c>
    </row>
    <row r="808" spans="1:24">
      <c r="A808" s="26">
        <v>1077</v>
      </c>
      <c r="B808" s="87">
        <v>46237.441851851901</v>
      </c>
      <c r="C808" s="87">
        <v>46237.542569444398</v>
      </c>
      <c r="D808" t="str">
        <v>anónimo</v>
      </c>
      <c r="E808" t="str">
        <v/>
      </c>
      <c r="F808" s="68">
        <v>46237</v>
      </c>
      <c r="G808" s="88">
        <v>46235</v>
      </c>
      <c r="H808" t="str">
        <v>LILIANA MARTINEZ SUR</v>
      </c>
      <c r="I808" t="str">
        <v>ALFONSO ORTINEZ ESCORZA</v>
      </c>
      <c r="J808" s="82">
        <v>20816201006</v>
      </c>
      <c r="K808" t="str">
        <v>OIEA620628HDFRSL06</v>
      </c>
      <c r="L808" s="82">
        <v>23275110</v>
      </c>
      <c r="M808" s="82">
        <v>5214131114519</v>
      </c>
      <c r="N808" t="str">
        <v>NUEVO MAYOR</v>
      </c>
      <c r="O808" s="89">
        <v>46098.93</v>
      </c>
      <c r="P808" s="89">
        <v>848</v>
      </c>
      <c r="Q808" s="89">
        <v>13829.679</v>
      </c>
      <c r="R808" s="89">
        <v>12981.679</v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>
        <v>1</v>
      </c>
    </row>
    <row r="809" spans="1:24">
      <c r="A809" s="26">
        <v>1078</v>
      </c>
      <c r="B809" s="87">
        <v>46237.505486111098</v>
      </c>
      <c r="C809" s="87">
        <v>46237.542627314797</v>
      </c>
      <c r="D809" t="str">
        <v>anónimo</v>
      </c>
      <c r="E809" t="str">
        <v/>
      </c>
      <c r="F809" s="68">
        <v>46237</v>
      </c>
      <c r="G809" s="88">
        <v>46236</v>
      </c>
      <c r="H809" t="str">
        <v>LILIANA MARTINEZ SUR</v>
      </c>
      <c r="I809" t="str">
        <v>OSCAR ALMARAZ DE LA CRUZ</v>
      </c>
      <c r="J809" s="82">
        <v>62916507288</v>
      </c>
      <c r="K809" t="str">
        <v>AACO650415HPLLRS07</v>
      </c>
      <c r="L809" s="82">
        <v>23300984</v>
      </c>
      <c r="M809" s="82">
        <v>5212227280007</v>
      </c>
      <c r="N809" t="str">
        <v>NUEVO MAYOR</v>
      </c>
      <c r="O809" s="89">
        <v>9760.32</v>
      </c>
      <c r="P809" s="89" t="str">
        <v/>
      </c>
      <c r="Q809" s="89">
        <v>2928.096</v>
      </c>
      <c r="R809" s="89">
        <v>2928.096</v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>
        <v>1</v>
      </c>
    </row>
    <row r="810" spans="1:24">
      <c r="A810" s="26">
        <v>1079</v>
      </c>
      <c r="B810" s="87">
        <v>46237.5339467593</v>
      </c>
      <c r="C810" s="87">
        <v>46237.543043981503</v>
      </c>
      <c r="D810" t="str">
        <v>anónimo</v>
      </c>
      <c r="E810" t="str">
        <v/>
      </c>
      <c r="F810" s="68">
        <v>46237</v>
      </c>
      <c r="G810" s="88">
        <v>46237</v>
      </c>
      <c r="H810" t="str">
        <v>LILIANA MARTINEZ SUR</v>
      </c>
      <c r="I810" t="str">
        <v>GABINO RUBEN MARTINEZ MONTELLANO</v>
      </c>
      <c r="J810" s="82">
        <v>78865902866</v>
      </c>
      <c r="K810" t="str">
        <v>MAMG591021HOCRNB06</v>
      </c>
      <c r="L810" s="82">
        <v>23315276</v>
      </c>
      <c r="M810" s="82">
        <v>5219511135410</v>
      </c>
      <c r="N810" t="str">
        <v>NUEVO MAYOR</v>
      </c>
      <c r="O810" s="89">
        <v>27620.83</v>
      </c>
      <c r="P810" s="89">
        <v>3515.24</v>
      </c>
      <c r="Q810" s="89">
        <v>8286.2489999999998</v>
      </c>
      <c r="R810" s="89">
        <v>4771.009</v>
      </c>
      <c r="S810">
        <v>46204</v>
      </c>
      <c r="T810" t="str">
        <v/>
      </c>
      <c r="U810" t="str">
        <v/>
      </c>
      <c r="V810" t="str">
        <v/>
      </c>
      <c r="W810" t="str">
        <v/>
      </c>
      <c r="X810">
        <v>2</v>
      </c>
    </row>
    <row r="811" spans="1:24">
      <c r="A811" s="26">
        <v>1080</v>
      </c>
      <c r="B811" s="87">
        <v>46237.402685185203</v>
      </c>
      <c r="C811" s="87">
        <v>46237.554340277798</v>
      </c>
      <c r="D811" t="str">
        <v>anónimo</v>
      </c>
      <c r="E811" t="str">
        <v/>
      </c>
      <c r="F811" s="68">
        <v>46237</v>
      </c>
      <c r="G811" s="88">
        <v>46237</v>
      </c>
      <c r="H811" t="str">
        <v>YAMILETH CARDONA EXT 2</v>
      </c>
      <c r="I811" t="str">
        <v>LUNA ESPINOSA JUAN CARLOS</v>
      </c>
      <c r="J811" s="82" t="str">
        <v>06786025129</v>
      </c>
      <c r="K811" t="str">
        <v>LUEJ620306HMCNSN07</v>
      </c>
      <c r="L811" s="82">
        <v>2</v>
      </c>
      <c r="M811" s="82">
        <v>7772337102</v>
      </c>
      <c r="N811" t="str">
        <v>NUEVO MENOR</v>
      </c>
      <c r="O811" s="89">
        <v>28153.54</v>
      </c>
      <c r="P811" s="89">
        <v>8145.49</v>
      </c>
      <c r="Q811" s="89">
        <v>8446.0619999999999</v>
      </c>
      <c r="R811" s="89">
        <v>300.57200000000012</v>
      </c>
      <c r="S811">
        <v>46753</v>
      </c>
      <c r="T811" t="str">
        <v/>
      </c>
      <c r="U811" t="str">
        <v/>
      </c>
      <c r="V811" t="str">
        <v/>
      </c>
      <c r="W811" t="str">
        <v/>
      </c>
      <c r="X811">
        <v>2</v>
      </c>
    </row>
    <row r="812" spans="1:24">
      <c r="A812" s="26">
        <v>1084</v>
      </c>
      <c r="B812" s="87">
        <v>46237.559930555602</v>
      </c>
      <c r="C812" s="87">
        <v>46237.562314814801</v>
      </c>
      <c r="D812" t="str">
        <v>anónimo</v>
      </c>
      <c r="E812" t="str">
        <v/>
      </c>
      <c r="F812" s="68">
        <v>46237</v>
      </c>
      <c r="G812" s="88">
        <v>46216</v>
      </c>
      <c r="H812" t="str">
        <v>HANIA GARCIA C/C</v>
      </c>
      <c r="I812" t="str">
        <v>Juan Rene Martinez Huitron</v>
      </c>
      <c r="J812" s="82" t="str">
        <v/>
      </c>
      <c r="K812" t="str">
        <v>MAHJ660122HCHRTN05</v>
      </c>
      <c r="L812" s="82">
        <v>22639886</v>
      </c>
      <c r="M812" s="82">
        <v>6561572554</v>
      </c>
      <c r="N812" t="str">
        <v>NUEVO MAYOR</v>
      </c>
      <c r="O812" s="89">
        <v>33506.800000000017</v>
      </c>
      <c r="P812" s="89" t="str">
        <v/>
      </c>
      <c r="Q812" s="89">
        <v>10052.040000000005</v>
      </c>
      <c r="R812" s="89">
        <v>10052.040000000005</v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>
        <v>1</v>
      </c>
    </row>
    <row r="813" spans="1:24">
      <c r="A813" s="26">
        <v>1088</v>
      </c>
      <c r="B813" s="87">
        <v>46237.4830671296</v>
      </c>
      <c r="C813" s="87">
        <v>46237.597615740699</v>
      </c>
      <c r="D813" t="str">
        <v>anónimo</v>
      </c>
      <c r="E813" t="str">
        <v/>
      </c>
      <c r="F813" s="68">
        <v>46237</v>
      </c>
      <c r="G813" s="88">
        <v>46234</v>
      </c>
      <c r="H813" t="str">
        <v>XIMENA RIVERA SUR</v>
      </c>
      <c r="I813" t="str">
        <v>ANTONIO GALLEGOS PORRAS</v>
      </c>
      <c r="J813" s="82" t="str">
        <v/>
      </c>
      <c r="K813" t="str">
        <v>GAPA651116HTSLRN04</v>
      </c>
      <c r="L813" s="82">
        <v>23258702</v>
      </c>
      <c r="M813" s="82">
        <v>5218351042121</v>
      </c>
      <c r="N813" t="str">
        <v>NUEVO MAYOR</v>
      </c>
      <c r="O813" s="89">
        <v>10636.54</v>
      </c>
      <c r="P813" s="89" t="str">
        <v/>
      </c>
      <c r="Q813" s="89">
        <v>3190.962</v>
      </c>
      <c r="R813" s="89">
        <v>3190.962</v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>
        <v>1</v>
      </c>
    </row>
    <row r="814" spans="1:24">
      <c r="A814" s="26">
        <v>1090</v>
      </c>
      <c r="B814" s="87">
        <v>46237.605532407397</v>
      </c>
      <c r="C814" s="87">
        <v>46237.608460648102</v>
      </c>
      <c r="D814" t="str">
        <v>anónimo</v>
      </c>
      <c r="E814" t="str">
        <v/>
      </c>
      <c r="F814" s="68">
        <v>46237</v>
      </c>
      <c r="G814" s="88">
        <v>46236</v>
      </c>
      <c r="H814" t="str">
        <v>JENNIFER AVENDAÑO SUR</v>
      </c>
      <c r="I814" t="str">
        <v>BERTHA PEREZ JIMENEZ</v>
      </c>
      <c r="J814" s="82" t="str">
        <v>01776063552</v>
      </c>
      <c r="K814" t="str">
        <v>PEJB610408MDFRMR03</v>
      </c>
      <c r="L814" s="82">
        <v>23299820</v>
      </c>
      <c r="M814" s="82">
        <v>5214371020145</v>
      </c>
      <c r="N814" t="str">
        <v>RESTRINGIDA</v>
      </c>
      <c r="O814" s="89">
        <v>6262.86</v>
      </c>
      <c r="P814" s="89">
        <v>1651.41</v>
      </c>
      <c r="Q814" s="89">
        <v>1878.8579999999997</v>
      </c>
      <c r="R814" s="89">
        <v>227.44799999999964</v>
      </c>
      <c r="S814">
        <v>45839</v>
      </c>
      <c r="T814" t="str">
        <v>CONSUBANCO</v>
      </c>
      <c r="U814" t="str">
        <v/>
      </c>
      <c r="V814" t="str">
        <v/>
      </c>
      <c r="W814" t="str">
        <v/>
      </c>
      <c r="X814">
        <v>2</v>
      </c>
    </row>
    <row r="815" spans="1:24">
      <c r="A815" s="26">
        <v>1091</v>
      </c>
      <c r="B815" s="87">
        <v>46237.597638888903</v>
      </c>
      <c r="C815" s="87">
        <v>46237.610763888901</v>
      </c>
      <c r="D815" t="str">
        <v>anónimo</v>
      </c>
      <c r="E815" t="str">
        <v/>
      </c>
      <c r="F815" s="68">
        <v>46237</v>
      </c>
      <c r="G815" s="88">
        <v>46237</v>
      </c>
      <c r="H815" t="str">
        <v>XIMENA RIVERA SUR</v>
      </c>
      <c r="I815" t="str">
        <v>ROSSANA MENA SANCHEZ</v>
      </c>
      <c r="J815" s="82">
        <v>43816026207</v>
      </c>
      <c r="K815" t="str">
        <v>MESR600219MMSNNS07</v>
      </c>
      <c r="L815" s="82">
        <v>23312858</v>
      </c>
      <c r="M815" s="82">
        <v>5218118917317</v>
      </c>
      <c r="N815" t="str">
        <v>COMPRA MENOR</v>
      </c>
      <c r="O815" s="89">
        <v>9504.7000000000007</v>
      </c>
      <c r="P815" s="89">
        <v>2739.48</v>
      </c>
      <c r="Q815" s="89">
        <v>2851.4100000000003</v>
      </c>
      <c r="R815" s="89">
        <v>111.93000000000029</v>
      </c>
      <c r="S815">
        <v>46235</v>
      </c>
      <c r="T815" t="str">
        <v/>
      </c>
      <c r="U815" t="str">
        <v/>
      </c>
      <c r="V815" t="str">
        <v/>
      </c>
      <c r="W815" t="str">
        <v/>
      </c>
      <c r="X815">
        <v>2</v>
      </c>
    </row>
    <row r="816" spans="1:24">
      <c r="A816" s="26">
        <v>1099</v>
      </c>
      <c r="B816" s="87">
        <v>46237.6558449074</v>
      </c>
      <c r="C816" s="87">
        <v>46237.661898148101</v>
      </c>
      <c r="D816" t="str">
        <v>anónimo</v>
      </c>
      <c r="E816" t="str">
        <v/>
      </c>
      <c r="F816" s="68">
        <v>46237</v>
      </c>
      <c r="G816" s="88">
        <v>46236</v>
      </c>
      <c r="H816" t="str">
        <v>JENNIFER AVENDAÑO SUR</v>
      </c>
      <c r="I816" t="str">
        <v>CESAR GARCIA JACOBO</v>
      </c>
      <c r="J816" s="82">
        <v>54796400056</v>
      </c>
      <c r="K816" t="str">
        <v>GAJC640709HJCRCS08</v>
      </c>
      <c r="L816" s="82">
        <v>23299902</v>
      </c>
      <c r="M816" s="82">
        <v>5213331814654</v>
      </c>
      <c r="N816" t="str">
        <v>NUEVO MAYOR</v>
      </c>
      <c r="O816" s="89">
        <v>10636.54</v>
      </c>
      <c r="P816" s="89" t="str">
        <v/>
      </c>
      <c r="Q816" s="89">
        <v>3190.962</v>
      </c>
      <c r="R816" s="89">
        <v>3190.962</v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>
        <v>1</v>
      </c>
    </row>
    <row r="817" spans="1:24">
      <c r="A817" s="26">
        <v>1102</v>
      </c>
      <c r="B817" s="87">
        <v>46237.600856481498</v>
      </c>
      <c r="C817" s="87">
        <v>46237.667407407404</v>
      </c>
      <c r="D817" t="str">
        <v>anónimo</v>
      </c>
      <c r="E817" t="str">
        <v/>
      </c>
      <c r="F817" s="68">
        <v>46237</v>
      </c>
      <c r="G817" s="88">
        <v>46236</v>
      </c>
      <c r="H817" t="str">
        <v>ROSA CASTRO SUR</v>
      </c>
      <c r="I817" t="str">
        <v xml:space="preserve">FELIX LIBORIO BARRITA LOPEZ </v>
      </c>
      <c r="J817" s="82" t="str">
        <v/>
      </c>
      <c r="K817" t="str">
        <v>BALF610710HOCRPL07</v>
      </c>
      <c r="L817" s="82">
        <v>23302566</v>
      </c>
      <c r="M817" s="82">
        <v>5215659444562</v>
      </c>
      <c r="N817" t="str">
        <v>COMPRA MAYOR</v>
      </c>
      <c r="O817" s="89">
        <v>7920.51</v>
      </c>
      <c r="P817" s="89">
        <v>2101</v>
      </c>
      <c r="Q817" s="89">
        <v>2376.1529999999998</v>
      </c>
      <c r="R817" s="89">
        <v>275.15299999999979</v>
      </c>
      <c r="S817">
        <v>45901</v>
      </c>
      <c r="T817" t="str">
        <v/>
      </c>
      <c r="U817" t="str">
        <v/>
      </c>
      <c r="V817" t="str">
        <v/>
      </c>
      <c r="W817" t="str">
        <v/>
      </c>
      <c r="X817">
        <v>2</v>
      </c>
    </row>
    <row r="818" spans="1:24">
      <c r="A818" s="26">
        <v>1105</v>
      </c>
      <c r="B818" s="87">
        <v>46237.674363425896</v>
      </c>
      <c r="C818" s="87">
        <v>46237.675601851799</v>
      </c>
      <c r="D818" t="str">
        <v>anónimo</v>
      </c>
      <c r="E818" t="str">
        <v/>
      </c>
      <c r="F818" s="68">
        <v>46237</v>
      </c>
      <c r="G818" s="88">
        <v>46237</v>
      </c>
      <c r="H818" t="str">
        <v>CARRANZA SARDINA C/C</v>
      </c>
      <c r="I818" t="str">
        <v/>
      </c>
      <c r="J818" s="82">
        <v>49866502401</v>
      </c>
      <c r="K818" t="str">
        <v/>
      </c>
      <c r="L818" s="82">
        <v>23321468</v>
      </c>
      <c r="M818" s="82">
        <v>8318983411</v>
      </c>
      <c r="N818" t="str">
        <v>NUEVO MAYOR</v>
      </c>
      <c r="O818" s="89">
        <v>17051.88</v>
      </c>
      <c r="P818" s="89">
        <v>3598.56</v>
      </c>
      <c r="Q818" s="89">
        <v>5115.5640000000003</v>
      </c>
      <c r="R818" s="89">
        <v>1517.0040000000004</v>
      </c>
      <c r="S818">
        <v>46813</v>
      </c>
      <c r="T818" t="str">
        <v>OPCIPRES</v>
      </c>
      <c r="U818" t="str">
        <v/>
      </c>
      <c r="V818" t="str">
        <v/>
      </c>
      <c r="W818" t="str">
        <v/>
      </c>
      <c r="X818">
        <v>2</v>
      </c>
    </row>
    <row r="819" spans="1:24">
      <c r="A819" s="26">
        <v>1107</v>
      </c>
      <c r="B819" s="87">
        <v>46237.672129629602</v>
      </c>
      <c r="C819" s="87">
        <v>46237.6798263889</v>
      </c>
      <c r="D819" t="str">
        <v>anónimo</v>
      </c>
      <c r="E819" t="str">
        <v/>
      </c>
      <c r="F819" s="68">
        <v>46237</v>
      </c>
      <c r="G819" s="88">
        <v>46237</v>
      </c>
      <c r="H819" t="str">
        <v>ANA VILLEGAS C/C</v>
      </c>
      <c r="I819" t="str">
        <v xml:space="preserve">Angel Eduardo </v>
      </c>
      <c r="J819" s="82">
        <v>24897401543</v>
      </c>
      <c r="K819" t="str">
        <v/>
      </c>
      <c r="L819" s="82">
        <v>23327766</v>
      </c>
      <c r="M819" s="82">
        <v>5216331156803</v>
      </c>
      <c r="N819" t="str">
        <v>NUEVO MAYOR</v>
      </c>
      <c r="O819" s="89">
        <v>9163.2800000000007</v>
      </c>
      <c r="P819" s="89" t="str">
        <v/>
      </c>
      <c r="Q819" s="89">
        <v>2748.9839999999999</v>
      </c>
      <c r="R819" s="89">
        <v>2748.9839999999999</v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>
        <v>1</v>
      </c>
    </row>
    <row r="820" spans="1:24">
      <c r="A820" s="26">
        <v>1108</v>
      </c>
      <c r="B820" s="87">
        <v>46237.669571759303</v>
      </c>
      <c r="C820" s="87">
        <v>46237.682638888902</v>
      </c>
      <c r="D820" t="str">
        <v>anónimo</v>
      </c>
      <c r="E820" t="str">
        <v/>
      </c>
      <c r="F820" s="68">
        <v>46237</v>
      </c>
      <c r="G820" s="88">
        <v>46235</v>
      </c>
      <c r="H820" t="str">
        <v>XIMENA RIVERA SUR</v>
      </c>
      <c r="I820" t="str">
        <v>Romelia Hernández Linares</v>
      </c>
      <c r="J820" s="82" t="str">
        <v xml:space="preserve">32806320209
</v>
      </c>
      <c r="K820" t="str">
        <v/>
      </c>
      <c r="L820" s="82">
        <v>23276084</v>
      </c>
      <c r="M820" s="82">
        <v>5218661157605</v>
      </c>
      <c r="N820" t="str">
        <v>NUEVO MAYOR</v>
      </c>
      <c r="O820" s="89">
        <v>8784.2900000000009</v>
      </c>
      <c r="P820" s="89" t="str">
        <v/>
      </c>
      <c r="Q820" s="89">
        <v>2635.2870000000003</v>
      </c>
      <c r="R820" s="89">
        <v>2635.2870000000003</v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>
        <v>2</v>
      </c>
    </row>
    <row r="821" spans="1:24">
      <c r="A821" s="26">
        <v>1112</v>
      </c>
      <c r="B821" s="87">
        <v>46237.695555555598</v>
      </c>
      <c r="C821" s="87">
        <v>46237.696192129602</v>
      </c>
      <c r="D821" t="str">
        <v>anónimo</v>
      </c>
      <c r="E821" t="str">
        <v/>
      </c>
      <c r="F821" s="68">
        <v>46237</v>
      </c>
      <c r="G821" s="88">
        <v>46237</v>
      </c>
      <c r="H821" t="str">
        <v>GLORIA ORTIZ C/C</v>
      </c>
      <c r="I821" t="str">
        <v>ARIEL FERNANDO MAYORGA HERNANDEZ</v>
      </c>
      <c r="J821" s="82" t="str">
        <v/>
      </c>
      <c r="K821" t="str">
        <v>MAHA600215HTSYRR00</v>
      </c>
      <c r="L821" s="82">
        <v>23315882</v>
      </c>
      <c r="M821" s="82">
        <v>5218116928701</v>
      </c>
      <c r="N821" t="str">
        <v>NUEVO MAYOR</v>
      </c>
      <c r="O821" s="89">
        <v>31796.959999999999</v>
      </c>
      <c r="P821" s="89" t="str">
        <v/>
      </c>
      <c r="Q821" s="89">
        <v>9539.0879999999997</v>
      </c>
      <c r="R821" s="89">
        <v>9539.0879999999997</v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>
        <v>1</v>
      </c>
    </row>
    <row r="822" spans="1:24">
      <c r="A822" s="26">
        <v>1114</v>
      </c>
      <c r="B822" s="87">
        <v>46237.692083333299</v>
      </c>
      <c r="C822" s="87">
        <v>46237.710358796299</v>
      </c>
      <c r="D822" t="str">
        <v>anónimo</v>
      </c>
      <c r="E822" t="str">
        <v/>
      </c>
      <c r="F822" s="68">
        <v>46237</v>
      </c>
      <c r="G822" s="88">
        <v>46236</v>
      </c>
      <c r="H822" t="str">
        <v>GIOVANNI MELGAR</v>
      </c>
      <c r="I822" t="str">
        <v>HANZ GERARDO HERNANDEZ GUEVARA</v>
      </c>
      <c r="J822" s="82" t="str">
        <v xml:space="preserve">51826106968
</v>
      </c>
      <c r="K822" t="str">
        <v>HEGH610811HASRVN04</v>
      </c>
      <c r="L822" s="82">
        <v>23305596</v>
      </c>
      <c r="M822" s="82">
        <v>5214491255072</v>
      </c>
      <c r="N822" t="str">
        <v>COMPRA MAYOR</v>
      </c>
      <c r="O822" s="89">
        <v>38455.32</v>
      </c>
      <c r="P822" s="89">
        <v>11124.42</v>
      </c>
      <c r="Q822" s="89">
        <v>11536.596</v>
      </c>
      <c r="R822" s="89">
        <v>412.17599999999948</v>
      </c>
      <c r="S822">
        <v>46113</v>
      </c>
      <c r="T822" t="str">
        <v/>
      </c>
      <c r="U822" t="str">
        <v/>
      </c>
      <c r="V822" t="str">
        <v/>
      </c>
      <c r="W822" t="str">
        <v/>
      </c>
      <c r="X822">
        <v>2</v>
      </c>
    </row>
    <row r="823" spans="1:24">
      <c r="A823" s="26">
        <v>1116</v>
      </c>
      <c r="B823" s="87">
        <v>46237.713819444398</v>
      </c>
      <c r="C823" s="87">
        <v>46237.714560185203</v>
      </c>
      <c r="D823" t="str">
        <v>anónimo</v>
      </c>
      <c r="E823" t="str">
        <v/>
      </c>
      <c r="F823" s="68">
        <v>46237</v>
      </c>
      <c r="G823" s="88">
        <v>46237</v>
      </c>
      <c r="H823" t="str">
        <v>DEYANIRA CORDOVA C/C</v>
      </c>
      <c r="I823" t="str">
        <v xml:space="preserve">JORGE </v>
      </c>
      <c r="J823" s="82" t="str">
        <v/>
      </c>
      <c r="K823" t="str">
        <v>OECJ670116HDFRTR04</v>
      </c>
      <c r="L823" s="82">
        <v>23322804</v>
      </c>
      <c r="M823" s="82">
        <v>5533341440</v>
      </c>
      <c r="N823" t="str">
        <v>COMPRA MAYOR</v>
      </c>
      <c r="O823" s="89">
        <v>32158.2</v>
      </c>
      <c r="P823" s="89">
        <v>7028.39</v>
      </c>
      <c r="Q823" s="89">
        <v>9647.4599999999991</v>
      </c>
      <c r="R823" s="89">
        <v>2619.0699999999988</v>
      </c>
      <c r="S823">
        <v>45413</v>
      </c>
      <c r="T823" t="str">
        <v/>
      </c>
      <c r="U823" t="str">
        <v/>
      </c>
      <c r="V823" t="str">
        <v/>
      </c>
      <c r="W823" t="str">
        <v/>
      </c>
      <c r="X823">
        <v>2</v>
      </c>
    </row>
    <row r="824" spans="1:24">
      <c r="A824" s="26">
        <v>1118</v>
      </c>
      <c r="B824" s="87">
        <v>46237.7174421296</v>
      </c>
      <c r="C824" s="87">
        <v>46237.718668981499</v>
      </c>
      <c r="D824" t="str">
        <v>anónimo</v>
      </c>
      <c r="E824" t="str">
        <v/>
      </c>
      <c r="F824" s="68">
        <v>46237</v>
      </c>
      <c r="G824" s="88">
        <v>46237</v>
      </c>
      <c r="H824" t="str">
        <v>CARRANZA SARDINA C/C</v>
      </c>
      <c r="I824" t="str">
        <v/>
      </c>
      <c r="J824" s="82">
        <v>51795909541</v>
      </c>
      <c r="K824" t="str">
        <v/>
      </c>
      <c r="L824" s="82">
        <v>23330586</v>
      </c>
      <c r="M824" s="82">
        <v>7751984304</v>
      </c>
      <c r="N824" t="str">
        <v>COMPRA MAYOR</v>
      </c>
      <c r="O824" s="89">
        <v>12448.6</v>
      </c>
      <c r="P824" s="89">
        <v>3302.29</v>
      </c>
      <c r="Q824" s="89">
        <v>3734.58</v>
      </c>
      <c r="R824" s="89">
        <v>432.28999999999996</v>
      </c>
      <c r="S824">
        <v>46023</v>
      </c>
      <c r="T824" t="str">
        <v/>
      </c>
      <c r="U824" t="str">
        <v/>
      </c>
      <c r="V824" t="str">
        <v/>
      </c>
      <c r="W824" t="str">
        <v/>
      </c>
      <c r="X824">
        <v>2</v>
      </c>
    </row>
    <row r="825" spans="1:24">
      <c r="A825" s="26">
        <v>1122</v>
      </c>
      <c r="B825" s="87">
        <v>46237.721006944397</v>
      </c>
      <c r="C825" s="87">
        <v>46237.726481481499</v>
      </c>
      <c r="D825" t="str">
        <v>anónimo</v>
      </c>
      <c r="E825" t="str">
        <v/>
      </c>
      <c r="F825" s="68">
        <v>46237</v>
      </c>
      <c r="G825" s="88">
        <v>46237</v>
      </c>
      <c r="H825" t="str">
        <v>ALAN ALTAMIRANO EXT</v>
      </c>
      <c r="I825" t="str">
        <v/>
      </c>
      <c r="J825" s="82" t="str">
        <v>33815636635</v>
      </c>
      <c r="K825" t="str">
        <v/>
      </c>
      <c r="L825" s="82">
        <v>1</v>
      </c>
      <c r="M825" s="82">
        <v>6391293595</v>
      </c>
      <c r="N825" t="str">
        <v>COMPRA MENOR</v>
      </c>
      <c r="O825" s="89">
        <v>4813.6899999999996</v>
      </c>
      <c r="P825" s="89">
        <v>1019.36</v>
      </c>
      <c r="Q825" s="89">
        <v>1444.1069999999997</v>
      </c>
      <c r="R825" s="89">
        <v>-378.65</v>
      </c>
      <c r="S825">
        <v>46478</v>
      </c>
      <c r="T825" t="str">
        <v/>
      </c>
      <c r="U825" t="str">
        <v/>
      </c>
      <c r="V825" t="str">
        <v/>
      </c>
      <c r="W825" t="str">
        <v/>
      </c>
      <c r="X825">
        <v>2</v>
      </c>
    </row>
    <row r="826" spans="1:24">
      <c r="A826" s="26">
        <v>1127</v>
      </c>
      <c r="B826" s="87">
        <v>46237.733935185199</v>
      </c>
      <c r="C826" s="87">
        <v>46237.734375</v>
      </c>
      <c r="D826" t="str">
        <v>anónimo</v>
      </c>
      <c r="E826" t="str">
        <v/>
      </c>
      <c r="F826" s="68">
        <v>46237</v>
      </c>
      <c r="G826" s="88">
        <v>46237</v>
      </c>
      <c r="H826" t="str">
        <v>YAMILETH CARDONA EXT 2</v>
      </c>
      <c r="I826" t="str">
        <v>DIONICIO HERNANDEZ BARRETO</v>
      </c>
      <c r="J826" s="82">
        <v>53887002698</v>
      </c>
      <c r="K826" t="str">
        <v>HEBD701012HZSRRN04</v>
      </c>
      <c r="L826" s="82">
        <v>2</v>
      </c>
      <c r="M826" s="82">
        <v>4581295663</v>
      </c>
      <c r="N826" t="str">
        <v>COMPRA MAYOR</v>
      </c>
      <c r="O826" s="89">
        <v>6941.78</v>
      </c>
      <c r="P826" s="89">
        <v>1926.9</v>
      </c>
      <c r="Q826" s="89">
        <v>2082.5339999999997</v>
      </c>
      <c r="R826" s="89">
        <v>155.63399999999956</v>
      </c>
      <c r="S826">
        <v>46235</v>
      </c>
      <c r="T826" t="str">
        <v/>
      </c>
      <c r="U826" t="str">
        <v/>
      </c>
      <c r="V826" t="str">
        <v/>
      </c>
      <c r="W826" t="str">
        <v/>
      </c>
      <c r="X826">
        <v>2</v>
      </c>
    </row>
    <row r="827" spans="1:24">
      <c r="A827" s="26">
        <v>1128</v>
      </c>
      <c r="B827" s="87">
        <v>46237.734386574099</v>
      </c>
      <c r="C827" s="87">
        <v>46237.735104166699</v>
      </c>
      <c r="D827" t="str">
        <v>anónimo</v>
      </c>
      <c r="E827" t="str">
        <v/>
      </c>
      <c r="F827" s="68">
        <v>46237</v>
      </c>
      <c r="G827" s="88">
        <v>46237</v>
      </c>
      <c r="H827" t="str">
        <v>YAMILETH CARDONA EXT 2</v>
      </c>
      <c r="I827" t="str">
        <v>CARLOS ADOLFO RAMIREZ ROMERO</v>
      </c>
      <c r="J827" s="82" t="str">
        <v/>
      </c>
      <c r="K827" t="str">
        <v>RARC640401HJCMMR06</v>
      </c>
      <c r="L827" s="82">
        <v>2</v>
      </c>
      <c r="M827" s="82">
        <v>3316604720</v>
      </c>
      <c r="N827" t="str">
        <v>NUEVO MAYOR</v>
      </c>
      <c r="O827" s="89">
        <v>32476.77</v>
      </c>
      <c r="P827" s="89" t="str">
        <v/>
      </c>
      <c r="Q827" s="89">
        <v>9743.030999999999</v>
      </c>
      <c r="R827" s="89">
        <v>9743.030999999999</v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>
        <v>1</v>
      </c>
    </row>
    <row r="828" spans="1:24">
      <c r="A828" s="26">
        <v>1129</v>
      </c>
      <c r="B828" s="87">
        <v>46237.740868055596</v>
      </c>
      <c r="C828" s="87">
        <v>46237.741817129601</v>
      </c>
      <c r="D828" t="str">
        <v>anónimo</v>
      </c>
      <c r="E828" t="str">
        <v/>
      </c>
      <c r="F828" s="68">
        <v>46237</v>
      </c>
      <c r="G828" s="88">
        <v>46236</v>
      </c>
      <c r="H828" t="str">
        <v>LITZY MARTINEZ C/C</v>
      </c>
      <c r="I828" t="str">
        <v xml:space="preserve">MIGUEL CAÑEDO </v>
      </c>
      <c r="J828" s="82" t="str">
        <v>24755704939</v>
      </c>
      <c r="K828" t="str">
        <v/>
      </c>
      <c r="L828" s="82">
        <v>23292318</v>
      </c>
      <c r="M828" s="82">
        <v>5216624182152</v>
      </c>
      <c r="N828" t="str">
        <v>NUEVO MAYOR</v>
      </c>
      <c r="O828" s="89">
        <v>7920.51</v>
      </c>
      <c r="P828" s="89">
        <v>591.59</v>
      </c>
      <c r="Q828" s="89">
        <v>2376.1529999999998</v>
      </c>
      <c r="R828" s="89">
        <v>1784.5629999999996</v>
      </c>
      <c r="S828">
        <v>45870</v>
      </c>
      <c r="T828" t="str">
        <v>CONSUBANCO</v>
      </c>
      <c r="U828" t="str">
        <v/>
      </c>
      <c r="V828" t="str">
        <v/>
      </c>
      <c r="W828" t="str">
        <v/>
      </c>
      <c r="X828">
        <v>2</v>
      </c>
    </row>
    <row r="829" spans="1:24">
      <c r="A829" s="26">
        <v>1132</v>
      </c>
      <c r="B829" s="87">
        <v>46237.695567129602</v>
      </c>
      <c r="C829" s="87">
        <v>46237.743703703702</v>
      </c>
      <c r="D829" t="str">
        <v>anónimo</v>
      </c>
      <c r="E829" t="str">
        <v/>
      </c>
      <c r="F829" s="68">
        <v>46237</v>
      </c>
      <c r="G829" s="88">
        <v>46237</v>
      </c>
      <c r="H829" t="str">
        <v>ROSA CASTRO SUR</v>
      </c>
      <c r="I829" t="str">
        <v xml:space="preserve">JUAN BENJAMIN SUAREZ CERVANTES </v>
      </c>
      <c r="J829" s="82" t="str">
        <v>01765771173</v>
      </c>
      <c r="K829" t="str">
        <v>SUCJ580310HMCRRN04</v>
      </c>
      <c r="L829" s="82">
        <v>23303452</v>
      </c>
      <c r="M829" s="82">
        <v>5214152787324</v>
      </c>
      <c r="N829" t="str">
        <v>COMPRA MENOR</v>
      </c>
      <c r="O829" s="89">
        <v>4813.6899999999996</v>
      </c>
      <c r="P829" s="89">
        <v>565.79999999999995</v>
      </c>
      <c r="Q829" s="89">
        <v>1444.1069999999997</v>
      </c>
      <c r="R829" s="89">
        <v>74.910000000000082</v>
      </c>
      <c r="S829">
        <v>45870</v>
      </c>
      <c r="T829" t="str">
        <v/>
      </c>
      <c r="U829" t="str">
        <v/>
      </c>
      <c r="V829" t="str">
        <v/>
      </c>
      <c r="W829" t="str">
        <v/>
      </c>
      <c r="X829">
        <v>2</v>
      </c>
    </row>
    <row r="830" spans="1:24">
      <c r="A830" s="26">
        <v>1133</v>
      </c>
      <c r="B830" s="87">
        <v>46237.737812500003</v>
      </c>
      <c r="C830" s="87">
        <v>46237.744351851899</v>
      </c>
      <c r="D830" t="str">
        <v>anónimo</v>
      </c>
      <c r="E830" t="str">
        <v/>
      </c>
      <c r="F830" s="68">
        <v>46237</v>
      </c>
      <c r="G830" s="88">
        <v>46236</v>
      </c>
      <c r="H830" t="str">
        <v>LILIANA MARTINEZ SUR</v>
      </c>
      <c r="I830" t="str">
        <v>LUCILA MONREAL RODRIGUEZ</v>
      </c>
      <c r="J830" s="82">
        <v>4180580738</v>
      </c>
      <c r="K830" t="str">
        <v>MORL570430MSPNDC03</v>
      </c>
      <c r="L830" s="82">
        <v>23301508</v>
      </c>
      <c r="M830" s="82">
        <v>5214442040700</v>
      </c>
      <c r="N830" t="str">
        <v>RESTRINGIDA</v>
      </c>
      <c r="O830" s="89">
        <v>33509.56</v>
      </c>
      <c r="P830" s="89">
        <v>10038.200000000001</v>
      </c>
      <c r="Q830" s="89">
        <v>10052.867999999999</v>
      </c>
      <c r="R830" s="89">
        <v>14.667999999997846</v>
      </c>
      <c r="S830">
        <v>46054</v>
      </c>
      <c r="T830" t="str">
        <v>CONSUBANCO</v>
      </c>
      <c r="U830" t="str">
        <v/>
      </c>
      <c r="V830" t="str">
        <v/>
      </c>
      <c r="W830" t="str">
        <v/>
      </c>
      <c r="X830">
        <v>2</v>
      </c>
    </row>
    <row r="831" spans="1:24">
      <c r="A831" s="26">
        <v>1138</v>
      </c>
      <c r="B831" s="87">
        <v>46237.7730324074</v>
      </c>
      <c r="C831" s="87">
        <v>46237.776446759301</v>
      </c>
      <c r="D831" t="str">
        <v>anónimo</v>
      </c>
      <c r="E831" t="str">
        <v/>
      </c>
      <c r="F831" s="68">
        <v>46237</v>
      </c>
      <c r="G831" s="88">
        <v>46237</v>
      </c>
      <c r="H831" t="str">
        <v>ANA VILLEGAS C/C</v>
      </c>
      <c r="I831" t="str">
        <v>MANUEL</v>
      </c>
      <c r="J831" s="82">
        <v>52816100847</v>
      </c>
      <c r="K831" t="str">
        <v>BECM610705HMNRRN04</v>
      </c>
      <c r="L831" s="82">
        <v>23334168</v>
      </c>
      <c r="M831" s="82">
        <v>5216462900800</v>
      </c>
      <c r="N831" t="str">
        <v>COMPRA MAYOR</v>
      </c>
      <c r="O831" s="89">
        <v>5642.22</v>
      </c>
      <c r="P831" s="89">
        <v>1354.16</v>
      </c>
      <c r="Q831" s="89">
        <v>1692.6659999999999</v>
      </c>
      <c r="R831" s="89">
        <v>115.08000000000061</v>
      </c>
      <c r="S831">
        <v>46174</v>
      </c>
      <c r="T831" t="str">
        <v/>
      </c>
      <c r="U831" t="str">
        <v/>
      </c>
      <c r="V831" t="str">
        <v/>
      </c>
      <c r="W831" t="str">
        <v/>
      </c>
      <c r="X831">
        <v>2</v>
      </c>
    </row>
    <row r="832" spans="1:24">
      <c r="A832" s="26">
        <v>1140</v>
      </c>
      <c r="B832" s="87">
        <v>46237.8433449074</v>
      </c>
      <c r="C832" s="87">
        <v>46237.847118055601</v>
      </c>
      <c r="D832" t="str">
        <v>anónimo</v>
      </c>
      <c r="E832" t="str">
        <v/>
      </c>
      <c r="F832" s="68">
        <v>46237</v>
      </c>
      <c r="G832" s="88">
        <v>46237</v>
      </c>
      <c r="H832" t="str">
        <v>KARINA MATA C/C</v>
      </c>
      <c r="I832" t="str">
        <v>Maria Guadalupe cervantes martinez</v>
      </c>
      <c r="J832" s="82" t="str">
        <v/>
      </c>
      <c r="K832" t="str">
        <v>CEMG610108MDGRRD00</v>
      </c>
      <c r="L832" s="82">
        <v>23317846</v>
      </c>
      <c r="M832" s="82">
        <v>6182933057</v>
      </c>
      <c r="N832" t="str">
        <v>NUEVO MENOR</v>
      </c>
      <c r="O832" s="89">
        <v>10171.24</v>
      </c>
      <c r="P832" s="89">
        <v>2718.48</v>
      </c>
      <c r="Q832" s="89">
        <v>3051.3719999999998</v>
      </c>
      <c r="R832" s="89">
        <v>332.89199999999983</v>
      </c>
      <c r="S832">
        <v>46692</v>
      </c>
      <c r="T832" t="str">
        <v/>
      </c>
      <c r="U832" t="str">
        <v/>
      </c>
      <c r="V832" t="str">
        <v/>
      </c>
      <c r="W832" t="str">
        <v/>
      </c>
      <c r="X832">
        <v>2</v>
      </c>
    </row>
    <row r="833" spans="1:24">
      <c r="A833" s="26">
        <v>1143</v>
      </c>
      <c r="B833" s="87">
        <v>46238.3899074074</v>
      </c>
      <c r="C833" s="87">
        <v>46238.395555555602</v>
      </c>
      <c r="D833" t="str">
        <v>anónimo</v>
      </c>
      <c r="E833" t="str">
        <v/>
      </c>
      <c r="F833" s="68">
        <v>46238</v>
      </c>
      <c r="G833" s="88">
        <v>46238</v>
      </c>
      <c r="H833" t="str">
        <v>ROSA CASTRO SUR</v>
      </c>
      <c r="I833" t="str">
        <v xml:space="preserve">ERASMO RAFAEL SAUZA BALDENEGRO </v>
      </c>
      <c r="J833" s="82">
        <v>16725401741</v>
      </c>
      <c r="K833" t="str">
        <v>SABE541125HGTZLR06</v>
      </c>
      <c r="L833" s="82">
        <v>23315288</v>
      </c>
      <c r="M833" s="82">
        <v>5217222335238</v>
      </c>
      <c r="N833" t="str">
        <v>NUEVO MENOR</v>
      </c>
      <c r="O833" s="89">
        <v>4636.43</v>
      </c>
      <c r="P833" s="89" t="str">
        <v/>
      </c>
      <c r="Q833" s="89">
        <v>1390.9290000000001</v>
      </c>
      <c r="R833" s="89">
        <v>463.45000000000073</v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>
        <v>1</v>
      </c>
    </row>
    <row r="834" spans="1:24">
      <c r="A834" s="26">
        <v>1145</v>
      </c>
      <c r="B834" s="87">
        <v>46238.401550925897</v>
      </c>
      <c r="C834" s="87">
        <v>46238.402164351799</v>
      </c>
      <c r="D834" t="str">
        <v>anónimo</v>
      </c>
      <c r="E834" t="str">
        <v/>
      </c>
      <c r="F834" s="68">
        <v>46238</v>
      </c>
      <c r="G834" s="88">
        <v>46237</v>
      </c>
      <c r="H834" t="str">
        <v>GIOVANNI MELGAR</v>
      </c>
      <c r="I834" t="str">
        <v>ROGELIO DE LA CRUZ MACHIN</v>
      </c>
      <c r="J834" s="82" t="str">
        <v>65695118805</v>
      </c>
      <c r="K834" t="str">
        <v>CUMR510310HTCRCG05</v>
      </c>
      <c r="L834" s="82">
        <v>23339898</v>
      </c>
      <c r="M834" s="82">
        <v>5219821025747</v>
      </c>
      <c r="N834" t="str">
        <v>NUEVO MAYOR</v>
      </c>
      <c r="O834" s="89">
        <v>15823</v>
      </c>
      <c r="P834" s="89" t="str">
        <v/>
      </c>
      <c r="Q834" s="89">
        <v>4746.8999999999996</v>
      </c>
      <c r="R834" s="89">
        <v>4746.8999999999996</v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>
        <v>1</v>
      </c>
    </row>
    <row r="835" spans="1:24">
      <c r="A835" s="26">
        <v>1146</v>
      </c>
      <c r="B835" s="87">
        <v>46238.404293981497</v>
      </c>
      <c r="C835" s="87">
        <v>46238.4049884259</v>
      </c>
      <c r="D835" t="str">
        <v>anónimo</v>
      </c>
      <c r="E835" t="str">
        <v/>
      </c>
      <c r="F835" s="68">
        <v>46238</v>
      </c>
      <c r="G835" s="88">
        <v>46235</v>
      </c>
      <c r="H835" t="str">
        <v>MARISOL HERNANDEZ C/C</v>
      </c>
      <c r="I835" t="str">
        <v>GUADALUPE MEJIA PATIÑO</v>
      </c>
      <c r="J835" s="82">
        <v>10825700387</v>
      </c>
      <c r="K835" t="str">
        <v>MEPG570927MDFJTD06</v>
      </c>
      <c r="L835" s="82">
        <v>23287182</v>
      </c>
      <c r="M835" s="82">
        <v>5519354012</v>
      </c>
      <c r="N835" t="str">
        <v>NUEVO MENOR</v>
      </c>
      <c r="O835" s="89">
        <v>4813.6899999999996</v>
      </c>
      <c r="P835" s="89" t="str">
        <v/>
      </c>
      <c r="Q835" s="89">
        <v>1444.1069999999997</v>
      </c>
      <c r="R835" s="89">
        <v>640.71</v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>
        <v>1</v>
      </c>
    </row>
    <row r="836" spans="1:24">
      <c r="A836" s="26">
        <v>1148</v>
      </c>
      <c r="B836" s="87">
        <v>46238.409027777801</v>
      </c>
      <c r="C836" s="87">
        <v>46238.409537036998</v>
      </c>
      <c r="D836" t="str">
        <v>anónimo</v>
      </c>
      <c r="E836" t="str">
        <v/>
      </c>
      <c r="F836" s="68">
        <v>46238</v>
      </c>
      <c r="G836" s="88">
        <v>46238</v>
      </c>
      <c r="H836" t="str">
        <v>GIOVANNI MELGAR</v>
      </c>
      <c r="I836" t="str">
        <v>MARCO ANTONIO FLORES ROJAS</v>
      </c>
      <c r="J836" s="82" t="str">
        <v>15796104188</v>
      </c>
      <c r="K836" t="str">
        <v xml:space="preserve"> FORM611114HDFLJR09</v>
      </c>
      <c r="L836" s="82">
        <v>23350712</v>
      </c>
      <c r="M836" s="82">
        <v>5219984989644</v>
      </c>
      <c r="N836" t="str">
        <v>RESTRINGIDA</v>
      </c>
      <c r="O836" s="89">
        <v>11256.72</v>
      </c>
      <c r="P836" s="89">
        <v>2986.11</v>
      </c>
      <c r="Q836" s="89">
        <v>3377.0159999999996</v>
      </c>
      <c r="R836" s="89">
        <v>390.90599999999949</v>
      </c>
      <c r="S836">
        <v>45931</v>
      </c>
      <c r="T836" t="str">
        <v/>
      </c>
      <c r="U836" t="str">
        <v/>
      </c>
      <c r="V836" t="str">
        <v/>
      </c>
      <c r="W836" t="str">
        <v/>
      </c>
      <c r="X836">
        <v>2</v>
      </c>
    </row>
    <row r="837" spans="1:24">
      <c r="A837" s="26">
        <v>1150</v>
      </c>
      <c r="B837" s="87">
        <v>46238.416597222204</v>
      </c>
      <c r="C837" s="87">
        <v>46238.417037036997</v>
      </c>
      <c r="D837" t="str">
        <v>anónimo</v>
      </c>
      <c r="E837" t="str">
        <v/>
      </c>
      <c r="F837" s="68">
        <v>46238</v>
      </c>
      <c r="G837" s="88">
        <v>46238</v>
      </c>
      <c r="H837" t="str">
        <v>GIOVANNI MELGAR</v>
      </c>
      <c r="I837" t="str">
        <v>CONRADO CASTRO BRAVO</v>
      </c>
      <c r="J837" s="82" t="str">
        <v>62805804580</v>
      </c>
      <c r="K837" t="str">
        <v xml:space="preserve"> CABC580512HPLSRN01</v>
      </c>
      <c r="L837" s="82">
        <v>23340464</v>
      </c>
      <c r="M837" s="82">
        <v>5212434350415</v>
      </c>
      <c r="N837" t="str">
        <v>NUEVO MAYOR</v>
      </c>
      <c r="O837" s="89">
        <v>9081.52</v>
      </c>
      <c r="P837" s="89" t="str">
        <v/>
      </c>
      <c r="Q837" s="89">
        <v>2724.4560000000001</v>
      </c>
      <c r="R837" s="89">
        <v>2724.4560000000001</v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>
        <v>1</v>
      </c>
    </row>
    <row r="838" spans="1:24">
      <c r="A838" s="26">
        <v>1151</v>
      </c>
      <c r="B838" s="87">
        <v>46238.4210648148</v>
      </c>
      <c r="C838" s="87">
        <v>46238.4219675926</v>
      </c>
      <c r="D838" t="str">
        <v>anónimo</v>
      </c>
      <c r="E838" t="str">
        <v/>
      </c>
      <c r="F838" s="68">
        <v>46238</v>
      </c>
      <c r="G838" s="88">
        <v>46238</v>
      </c>
      <c r="H838" t="str">
        <v>GIOVANNI MELGAR</v>
      </c>
      <c r="I838" t="str">
        <v>CLARA ELENA BAUTISTA VENEGAS</v>
      </c>
      <c r="J838" s="82" t="str">
        <v>43816490809</v>
      </c>
      <c r="K838" t="str">
        <v xml:space="preserve"> BAVC640206MNLTNL00</v>
      </c>
      <c r="L838" s="82">
        <v>23345646</v>
      </c>
      <c r="M838" s="82">
        <v>5214423431363</v>
      </c>
      <c r="N838" t="str">
        <v>NUEVO MAYOR</v>
      </c>
      <c r="O838" s="89">
        <v>39873.57</v>
      </c>
      <c r="P838" s="89" t="str">
        <v/>
      </c>
      <c r="Q838" s="89">
        <v>11962.071</v>
      </c>
      <c r="R838" s="89">
        <v>11962.071</v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>
        <v>1</v>
      </c>
    </row>
    <row r="839" spans="1:24">
      <c r="A839" s="26">
        <v>1155</v>
      </c>
      <c r="B839" s="87">
        <v>46238.437928240703</v>
      </c>
      <c r="C839" s="87">
        <v>46238.438414351898</v>
      </c>
      <c r="D839" t="str">
        <v>anónimo</v>
      </c>
      <c r="E839" t="str">
        <v/>
      </c>
      <c r="F839" s="68">
        <v>46238</v>
      </c>
      <c r="G839" s="88">
        <v>46238</v>
      </c>
      <c r="H839" t="str">
        <v>GIOVANNI MELGAR</v>
      </c>
      <c r="I839" t="str">
        <v>CARLOS EDUARDO SALAVARRIA VELAZQUEZ</v>
      </c>
      <c r="J839" s="82" t="str">
        <v>81875903411</v>
      </c>
      <c r="K839" t="str">
        <v xml:space="preserve"> SAVC590620HCCLLR08</v>
      </c>
      <c r="L839" s="82">
        <v>23349492</v>
      </c>
      <c r="M839" s="82">
        <v>5219811050649</v>
      </c>
      <c r="N839" t="str">
        <v>NUEVO MAYOR</v>
      </c>
      <c r="O839" s="89">
        <v>10388.35</v>
      </c>
      <c r="P839" s="89">
        <v>879</v>
      </c>
      <c r="Q839" s="89">
        <v>3116.5050000000001</v>
      </c>
      <c r="R839" s="89">
        <v>2237.5050000000001</v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>
        <v>1</v>
      </c>
    </row>
    <row r="840" spans="1:24">
      <c r="A840" s="26">
        <v>1158</v>
      </c>
      <c r="B840" s="87">
        <v>46238.440636574102</v>
      </c>
      <c r="C840" s="87">
        <v>46238.443553240701</v>
      </c>
      <c r="D840" t="str">
        <v>anónimo</v>
      </c>
      <c r="E840" t="str">
        <v/>
      </c>
      <c r="F840" s="68">
        <v>46238</v>
      </c>
      <c r="G840" s="88">
        <v>46237</v>
      </c>
      <c r="H840" t="str">
        <v>XIMENA RIVERA SUR</v>
      </c>
      <c r="I840" t="str">
        <v>GABRIEL AGUILAR GARCIA</v>
      </c>
      <c r="J840" s="82" t="str">
        <v/>
      </c>
      <c r="K840" t="str">
        <v>AUGG630725HDFGRB00</v>
      </c>
      <c r="L840" s="82">
        <v>23319600</v>
      </c>
      <c r="M840" s="82">
        <v>5214441100974</v>
      </c>
      <c r="N840" t="str">
        <v>NUEVO MENOR</v>
      </c>
      <c r="O840" s="89">
        <v>12560.16</v>
      </c>
      <c r="P840" s="89">
        <v>2819</v>
      </c>
      <c r="Q840" s="89">
        <v>3768.0479999999998</v>
      </c>
      <c r="R840" s="89">
        <v>949.04799999999977</v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>
        <v>1</v>
      </c>
    </row>
    <row r="841" spans="1:24">
      <c r="A841" s="26">
        <v>1162</v>
      </c>
      <c r="B841" s="87">
        <v>46238.443576388898</v>
      </c>
      <c r="C841" s="87">
        <v>46238.447974536997</v>
      </c>
      <c r="D841" t="str">
        <v>anónimo</v>
      </c>
      <c r="E841" t="str">
        <v/>
      </c>
      <c r="F841" s="68">
        <v>46238</v>
      </c>
      <c r="G841" s="88">
        <v>46238</v>
      </c>
      <c r="H841" t="str">
        <v>XIMENA RIVERA SUR</v>
      </c>
      <c r="I841" t="str">
        <v>JOSE ADOLFO ARELLANO MARTINEZ</v>
      </c>
      <c r="J841" s="82">
        <v>33806224896</v>
      </c>
      <c r="K841" t="str">
        <v>AEMA640314HCHRRD02</v>
      </c>
      <c r="L841" s="82">
        <v>23345774</v>
      </c>
      <c r="M841" s="82">
        <v>5216562149832</v>
      </c>
      <c r="N841" t="str">
        <v>NUEVO MAYOR</v>
      </c>
      <c r="O841" s="89">
        <v>9081.52</v>
      </c>
      <c r="P841" s="89">
        <v>879</v>
      </c>
      <c r="Q841" s="89">
        <v>2724.4560000000001</v>
      </c>
      <c r="R841" s="89">
        <v>1845.4560000000001</v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>
        <v>1</v>
      </c>
    </row>
    <row r="842" spans="1:24">
      <c r="A842" s="26">
        <v>1165</v>
      </c>
      <c r="B842" s="87">
        <v>46238.413553240702</v>
      </c>
      <c r="C842" s="87">
        <v>46238.459328703699</v>
      </c>
      <c r="D842" t="str">
        <v>anónimo</v>
      </c>
      <c r="E842" t="str">
        <v/>
      </c>
      <c r="F842" s="68">
        <v>46238</v>
      </c>
      <c r="G842" s="88">
        <v>46236</v>
      </c>
      <c r="H842" t="str">
        <v>ROSA CASTRO SUR</v>
      </c>
      <c r="I842" t="str">
        <v>ROSA NELLY HERNANDEZ MURILLO</v>
      </c>
      <c r="J842" s="82">
        <v>43705516367</v>
      </c>
      <c r="K842" t="str">
        <v>HEMR550626MNLRRS07</v>
      </c>
      <c r="L842" s="82">
        <v>23304004</v>
      </c>
      <c r="M842" s="82">
        <v>5218180958247</v>
      </c>
      <c r="N842" t="str">
        <v>NUEVO MAYOR</v>
      </c>
      <c r="O842" s="89">
        <v>35632.93</v>
      </c>
      <c r="P842" s="89" t="str">
        <v/>
      </c>
      <c r="Q842" s="89">
        <v>10689.878999999999</v>
      </c>
      <c r="R842" s="89">
        <v>10689.878999999999</v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>
        <v>1</v>
      </c>
    </row>
    <row r="843" spans="1:24">
      <c r="A843" s="26">
        <v>1166</v>
      </c>
      <c r="B843" s="87">
        <v>46238.4590046296</v>
      </c>
      <c r="C843" s="87">
        <v>46238.459918981498</v>
      </c>
      <c r="D843" t="str">
        <v>anónimo</v>
      </c>
      <c r="E843" t="str">
        <v/>
      </c>
      <c r="F843" s="68">
        <v>46238</v>
      </c>
      <c r="G843" s="88">
        <v>46234</v>
      </c>
      <c r="H843" t="str">
        <v>DULCE FRANCO C/C</v>
      </c>
      <c r="I843" t="str">
        <v>MA. MAGDALENA VALLE TORRES</v>
      </c>
      <c r="J843" s="82" t="str">
        <v/>
      </c>
      <c r="K843" t="str">
        <v>VATM670923MNLLRG05</v>
      </c>
      <c r="L843" s="82">
        <v>23265752</v>
      </c>
      <c r="M843" s="82">
        <v>5218145487606</v>
      </c>
      <c r="N843" t="str">
        <v>NUEVO MAYOR</v>
      </c>
      <c r="O843" s="89">
        <v>8181.55</v>
      </c>
      <c r="P843" s="89" t="str">
        <v/>
      </c>
      <c r="Q843" s="89">
        <v>2454.4650000000001</v>
      </c>
      <c r="R843" s="89">
        <v>2454.4650000000001</v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>
        <v>1</v>
      </c>
    </row>
    <row r="844" spans="1:24">
      <c r="A844" s="26">
        <v>1167</v>
      </c>
      <c r="B844" s="87">
        <v>46238.459351851903</v>
      </c>
      <c r="C844" s="87">
        <v>46238.465601851902</v>
      </c>
      <c r="D844" t="str">
        <v>anónimo</v>
      </c>
      <c r="E844" t="str">
        <v/>
      </c>
      <c r="F844" s="68">
        <v>46238</v>
      </c>
      <c r="G844" s="88">
        <v>46237</v>
      </c>
      <c r="H844" t="str">
        <v>ROSA CASTRO SUR</v>
      </c>
      <c r="I844" t="str">
        <v>JOSE LORENZO NAJERA</v>
      </c>
      <c r="J844" s="82">
        <v>33725412663</v>
      </c>
      <c r="K844" t="str">
        <v>NAXL540102HCHJXR09</v>
      </c>
      <c r="L844" s="82">
        <v>23339714</v>
      </c>
      <c r="M844" s="82">
        <v>23339714</v>
      </c>
      <c r="N844" t="str">
        <v>COMPRA MENOR</v>
      </c>
      <c r="O844" s="89">
        <v>5318.91</v>
      </c>
      <c r="P844" s="89">
        <v>936.35</v>
      </c>
      <c r="Q844" s="89">
        <v>1595.673</v>
      </c>
      <c r="R844" s="89">
        <v>209.58000000000027</v>
      </c>
      <c r="S844">
        <v>45536</v>
      </c>
      <c r="T844" t="str">
        <v/>
      </c>
      <c r="U844" t="str">
        <v/>
      </c>
      <c r="V844" t="str">
        <v/>
      </c>
      <c r="W844" t="str">
        <v/>
      </c>
      <c r="X844">
        <v>2</v>
      </c>
    </row>
    <row r="845" spans="1:24">
      <c r="A845" s="26">
        <v>1169</v>
      </c>
      <c r="B845" s="87">
        <v>46238.471331018503</v>
      </c>
      <c r="C845" s="87">
        <v>46238.473379629599</v>
      </c>
      <c r="D845" t="str">
        <v>anónimo</v>
      </c>
      <c r="E845" t="str">
        <v/>
      </c>
      <c r="F845" s="68">
        <v>46238</v>
      </c>
      <c r="G845" s="88">
        <v>46236</v>
      </c>
      <c r="H845" t="str">
        <v>JENNIFER AVENDAÑO SUR</v>
      </c>
      <c r="I845" t="str">
        <v>JUAN CRUZ REYES</v>
      </c>
      <c r="J845" s="82">
        <v>19806254777</v>
      </c>
      <c r="K845" t="str">
        <v>CUBJ620624HPLRLN07</v>
      </c>
      <c r="L845" s="82">
        <v>23299524</v>
      </c>
      <c r="M845" s="82">
        <v>5216121032629</v>
      </c>
      <c r="N845" t="str">
        <v>NUEVO MAYOR</v>
      </c>
      <c r="O845" s="89">
        <v>10636.54</v>
      </c>
      <c r="P845" s="89" t="str">
        <v/>
      </c>
      <c r="Q845" s="89">
        <v>3190.962</v>
      </c>
      <c r="R845" s="89">
        <v>3190.962</v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>
        <v>1</v>
      </c>
    </row>
    <row r="846" spans="1:24">
      <c r="A846" s="26">
        <v>1175</v>
      </c>
      <c r="B846" s="87">
        <v>46238.4920949074</v>
      </c>
      <c r="C846" s="87">
        <v>46238.493009259299</v>
      </c>
      <c r="D846" t="str">
        <v>anónimo</v>
      </c>
      <c r="E846" t="str">
        <v/>
      </c>
      <c r="F846" s="68">
        <v>46238</v>
      </c>
      <c r="G846" s="88">
        <v>46234</v>
      </c>
      <c r="H846" t="str">
        <v>CAROLINA RAMIREZ C/C</v>
      </c>
      <c r="I846" t="str">
        <v>VICTOR MANUEL ROBLES GOMEZ</v>
      </c>
      <c r="J846" s="82">
        <v>64866113463</v>
      </c>
      <c r="K846" t="str">
        <v/>
      </c>
      <c r="L846" s="82">
        <v>23266162</v>
      </c>
      <c r="M846" s="82">
        <v>5214461000935</v>
      </c>
      <c r="N846" t="str">
        <v>COMPRA MAYOR</v>
      </c>
      <c r="O846" s="89">
        <v>9569.2999999999993</v>
      </c>
      <c r="P846" s="89">
        <v>2354.35</v>
      </c>
      <c r="Q846" s="89">
        <v>2870.7899999999995</v>
      </c>
      <c r="R846" s="89">
        <v>516.4399999999996</v>
      </c>
      <c r="S846">
        <v>45505</v>
      </c>
      <c r="T846" t="str">
        <v/>
      </c>
      <c r="U846" t="str">
        <v/>
      </c>
      <c r="V846" t="str">
        <v/>
      </c>
      <c r="W846" t="str">
        <v/>
      </c>
      <c r="X846">
        <v>2</v>
      </c>
    </row>
    <row r="847" spans="1:24">
      <c r="A847" s="26">
        <v>1176</v>
      </c>
      <c r="B847" s="87">
        <v>46238.489629629599</v>
      </c>
      <c r="C847" s="87">
        <v>46238.496365740699</v>
      </c>
      <c r="D847" t="str">
        <v>anónimo</v>
      </c>
      <c r="E847" t="str">
        <v/>
      </c>
      <c r="F847" s="68">
        <v>46238</v>
      </c>
      <c r="G847" s="88">
        <v>46238</v>
      </c>
      <c r="H847" t="str">
        <v>JENNIFER AVENDAÑO SUR</v>
      </c>
      <c r="I847" t="str">
        <v>GABRIEL JUAREZ REYES</v>
      </c>
      <c r="J847" s="82">
        <v>49846634167</v>
      </c>
      <c r="K847" t="str">
        <v>JURG660307HVZRYB06</v>
      </c>
      <c r="L847" s="82">
        <v>23351366</v>
      </c>
      <c r="M847" s="82">
        <v>5218683493711</v>
      </c>
      <c r="N847" t="str">
        <v>NUEVO MAYOR</v>
      </c>
      <c r="O847" s="89">
        <v>10636.54</v>
      </c>
      <c r="P847" s="89" t="str">
        <v/>
      </c>
      <c r="Q847" s="89">
        <v>3190.962</v>
      </c>
      <c r="R847" s="89">
        <v>3190.962</v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>
        <v>1</v>
      </c>
    </row>
    <row r="848" spans="1:24">
      <c r="A848" s="26">
        <v>1181</v>
      </c>
      <c r="B848" s="87">
        <v>46238.510636574101</v>
      </c>
      <c r="C848" s="87">
        <v>46238.515636574099</v>
      </c>
      <c r="D848" t="str">
        <v>anónimo</v>
      </c>
      <c r="E848" t="str">
        <v/>
      </c>
      <c r="F848" s="68">
        <v>46238</v>
      </c>
      <c r="G848" s="88">
        <v>46238</v>
      </c>
      <c r="H848" t="str">
        <v>JENNIFER AVENDAÑO SUR</v>
      </c>
      <c r="I848" t="str">
        <v>MIGUEL JIMENEZ PALAGOT</v>
      </c>
      <c r="J848" s="82">
        <v>62755818630</v>
      </c>
      <c r="K848" t="str">
        <v>JIPM580928HVZMLG03</v>
      </c>
      <c r="L848" s="82">
        <v>23349030</v>
      </c>
      <c r="M848" s="82">
        <v>5212297522582</v>
      </c>
      <c r="N848" t="str">
        <v>RESTRINGIDA</v>
      </c>
      <c r="O848" s="89">
        <v>7116.73</v>
      </c>
      <c r="P848" s="89">
        <v>2058.6</v>
      </c>
      <c r="Q848" s="89">
        <v>2135.0189999999998</v>
      </c>
      <c r="R848" s="89">
        <v>76.418999999999869</v>
      </c>
      <c r="S848">
        <v>46113</v>
      </c>
      <c r="T848" t="str">
        <v>CONSUBANCO</v>
      </c>
      <c r="U848" t="str">
        <v/>
      </c>
      <c r="V848" t="str">
        <v/>
      </c>
      <c r="W848" t="str">
        <v/>
      </c>
      <c r="X848">
        <v>2</v>
      </c>
    </row>
    <row r="849" spans="1:24">
      <c r="A849" s="26">
        <v>1185</v>
      </c>
      <c r="B849" s="87">
        <v>46238.524571759299</v>
      </c>
      <c r="C849" s="87">
        <v>46238.5297222222</v>
      </c>
      <c r="D849" t="str">
        <v>anónimo</v>
      </c>
      <c r="E849" t="str">
        <v/>
      </c>
      <c r="F849" s="68">
        <v>46238</v>
      </c>
      <c r="G849" s="88">
        <v>46238</v>
      </c>
      <c r="H849" t="str">
        <v>LILIANA MARTINEZ SUR</v>
      </c>
      <c r="I849" t="str">
        <v>JOSE HECTOR FLORES TAPIA</v>
      </c>
      <c r="J849" s="82">
        <v>41796112799</v>
      </c>
      <c r="K849" t="str">
        <v>FOTH620622HSPLPC06</v>
      </c>
      <c r="L849" s="82">
        <v>23354818</v>
      </c>
      <c r="M849" s="82">
        <v>5214443302458</v>
      </c>
      <c r="N849" t="str">
        <v>NUEVO MAYOR</v>
      </c>
      <c r="O849" s="89">
        <v>8346.34</v>
      </c>
      <c r="P849" s="89" t="str">
        <v/>
      </c>
      <c r="Q849" s="89">
        <v>2503.902</v>
      </c>
      <c r="R849" s="89">
        <v>2503.902</v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>
        <v>1</v>
      </c>
    </row>
    <row r="850" spans="1:24">
      <c r="A850" s="26">
        <v>1197</v>
      </c>
      <c r="B850" s="87">
        <v>46238.652268518497</v>
      </c>
      <c r="C850" s="87">
        <v>46238.653263888897</v>
      </c>
      <c r="D850" t="str">
        <v>anónimo</v>
      </c>
      <c r="E850" t="str">
        <v/>
      </c>
      <c r="F850" s="68">
        <v>46238</v>
      </c>
      <c r="G850" s="88">
        <v>46238</v>
      </c>
      <c r="H850" t="str">
        <v>LITZY MARTINEZ C/C</v>
      </c>
      <c r="I850" t="str">
        <v>Silvia Sandoval Lopez</v>
      </c>
      <c r="J850" s="82" t="str">
        <v xml:space="preserve">32966825062
</v>
      </c>
      <c r="K850" t="str">
        <v xml:space="preserve">SALS700206MCLNPL05 </v>
      </c>
      <c r="L850" s="82">
        <v>23370026</v>
      </c>
      <c r="M850" s="82">
        <v>5218666529180</v>
      </c>
      <c r="N850" t="str">
        <v>COMPRA MENOR</v>
      </c>
      <c r="O850" s="89">
        <v>8554.23</v>
      </c>
      <c r="P850" s="89">
        <v>2371.66</v>
      </c>
      <c r="Q850" s="89">
        <v>2566.2689999999998</v>
      </c>
      <c r="R850" s="89">
        <v>194.60899999999992</v>
      </c>
      <c r="S850">
        <v>46174</v>
      </c>
      <c r="T850" t="str">
        <v/>
      </c>
      <c r="U850" t="str">
        <v/>
      </c>
      <c r="V850" t="str">
        <v/>
      </c>
      <c r="W850" t="str">
        <v/>
      </c>
      <c r="X850">
        <v>2</v>
      </c>
    </row>
    <row r="851" spans="1:24">
      <c r="A851" s="26">
        <v>1199</v>
      </c>
      <c r="B851" s="87">
        <v>46238.663113425901</v>
      </c>
      <c r="C851" s="87">
        <v>46238.664004629602</v>
      </c>
      <c r="D851" t="str">
        <v>anónimo</v>
      </c>
      <c r="E851" t="str">
        <v/>
      </c>
      <c r="F851" s="68">
        <v>46238</v>
      </c>
      <c r="G851" s="88">
        <v>46238</v>
      </c>
      <c r="H851" t="str">
        <v>DEYANIRA CORDOVA C/C</v>
      </c>
      <c r="I851" t="str">
        <v/>
      </c>
      <c r="J851" s="82">
        <v>53907210065</v>
      </c>
      <c r="K851" t="str">
        <v/>
      </c>
      <c r="L851" s="82">
        <v>23370592</v>
      </c>
      <c r="M851" s="82">
        <v>4361123666</v>
      </c>
      <c r="N851" t="str">
        <v>COMPRA MENOR</v>
      </c>
      <c r="O851" s="89">
        <v>4645.7700000000004</v>
      </c>
      <c r="P851" s="89">
        <v>432.51</v>
      </c>
      <c r="Q851" s="89">
        <v>1393.731</v>
      </c>
      <c r="R851" s="89">
        <v>40.280000000000882</v>
      </c>
      <c r="S851">
        <v>46174</v>
      </c>
      <c r="T851" t="str">
        <v/>
      </c>
      <c r="U851" t="str">
        <v/>
      </c>
      <c r="V851" t="str">
        <v/>
      </c>
      <c r="W851" t="str">
        <v/>
      </c>
      <c r="X851">
        <v>2</v>
      </c>
    </row>
    <row r="852" spans="1:24">
      <c r="A852" s="26">
        <v>1203</v>
      </c>
      <c r="B852" s="87">
        <v>46238.633182870399</v>
      </c>
      <c r="C852" s="87">
        <v>46238.677418981497</v>
      </c>
      <c r="D852" t="str">
        <v>anónimo</v>
      </c>
      <c r="E852" t="str">
        <v/>
      </c>
      <c r="F852" s="68">
        <v>46238</v>
      </c>
      <c r="G852" s="88">
        <v>46238</v>
      </c>
      <c r="H852" t="str">
        <v>ROSA CASTRO SUR</v>
      </c>
      <c r="I852" t="str">
        <v>MARIA DE LOURDES CEREZO PAYAN</v>
      </c>
      <c r="J852" s="82">
        <v>67816216575</v>
      </c>
      <c r="K852" t="str">
        <v>CEPL631024MVZRYR04</v>
      </c>
      <c r="L852" s="82">
        <v>23353906</v>
      </c>
      <c r="M852" s="82">
        <v>5212221915677</v>
      </c>
      <c r="N852" t="str">
        <v>NUEVO MENOR</v>
      </c>
      <c r="O852" s="89">
        <v>31347.38</v>
      </c>
      <c r="P852" s="89">
        <v>9063.16</v>
      </c>
      <c r="Q852" s="89">
        <v>9404.2139999999999</v>
      </c>
      <c r="R852" s="89">
        <v>341.05400000000009</v>
      </c>
      <c r="S852">
        <v>46600</v>
      </c>
      <c r="T852" t="str">
        <v/>
      </c>
      <c r="U852" t="str">
        <v/>
      </c>
      <c r="V852" t="str">
        <v/>
      </c>
      <c r="W852" t="str">
        <v/>
      </c>
      <c r="X852">
        <v>2</v>
      </c>
    </row>
    <row r="853" spans="1:24">
      <c r="A853" s="26">
        <v>1205</v>
      </c>
      <c r="B853" s="87">
        <v>46238.640277777798</v>
      </c>
      <c r="C853" s="87">
        <v>46238.684270833299</v>
      </c>
      <c r="D853" t="str">
        <v>anónimo</v>
      </c>
      <c r="E853" t="str">
        <v/>
      </c>
      <c r="F853" s="68">
        <v>46238</v>
      </c>
      <c r="G853" s="88">
        <v>46235</v>
      </c>
      <c r="H853" t="str">
        <v>XIMENA RIVERA SUR</v>
      </c>
      <c r="I853" t="str">
        <v>IGNACIO PARRA MONTES</v>
      </c>
      <c r="J853" s="82" t="str">
        <v/>
      </c>
      <c r="K853" t="str">
        <v>PAMI570104HCHRNG00</v>
      </c>
      <c r="L853" s="82">
        <v>23278084</v>
      </c>
      <c r="M853" s="82">
        <v>5216143286711</v>
      </c>
      <c r="N853" t="str">
        <v>RESTRINGIDA</v>
      </c>
      <c r="O853" s="89">
        <v>4813.6899999999996</v>
      </c>
      <c r="P853" s="89">
        <v>520.23</v>
      </c>
      <c r="Q853" s="89">
        <v>1444.1069999999997</v>
      </c>
      <c r="R853" s="89">
        <v>120.48000000000002</v>
      </c>
      <c r="S853">
        <v>46054</v>
      </c>
      <c r="T853" t="str">
        <v>cONSUBANCO</v>
      </c>
      <c r="U853" t="str">
        <v/>
      </c>
      <c r="V853" t="str">
        <v/>
      </c>
      <c r="W853" t="str">
        <v/>
      </c>
      <c r="X853">
        <v>2</v>
      </c>
    </row>
    <row r="854" spans="1:24">
      <c r="A854" s="26">
        <v>1207</v>
      </c>
      <c r="B854" s="87">
        <v>46238.688252314802</v>
      </c>
      <c r="C854" s="87">
        <v>46238.688611111102</v>
      </c>
      <c r="D854" t="str">
        <v>anónimo</v>
      </c>
      <c r="E854" t="str">
        <v/>
      </c>
      <c r="F854" s="68">
        <v>46238</v>
      </c>
      <c r="G854" s="88">
        <v>46238</v>
      </c>
      <c r="H854" t="str">
        <v>GIOVANNI MELGAR</v>
      </c>
      <c r="I854" t="str">
        <v>MIGUEL BARRERA RAMIREZ</v>
      </c>
      <c r="J854" s="82" t="str">
        <v xml:space="preserve">53826238080
</v>
      </c>
      <c r="K854" t="str">
        <v>BARM620929HMNRMG00</v>
      </c>
      <c r="L854" s="82">
        <v>23367318</v>
      </c>
      <c r="M854" s="82">
        <v>23367318</v>
      </c>
      <c r="N854" t="str">
        <v>COMPRA MAYOR</v>
      </c>
      <c r="O854" s="89">
        <v>9081.52</v>
      </c>
      <c r="P854" s="89">
        <v>2598.66</v>
      </c>
      <c r="Q854" s="89">
        <v>2724.4560000000001</v>
      </c>
      <c r="R854" s="89">
        <v>125.79600000000028</v>
      </c>
      <c r="S854">
        <v>46143</v>
      </c>
      <c r="T854" t="str">
        <v/>
      </c>
      <c r="U854" t="str">
        <v/>
      </c>
      <c r="V854" t="str">
        <v/>
      </c>
      <c r="W854" t="str">
        <v/>
      </c>
      <c r="X854">
        <v>2</v>
      </c>
    </row>
    <row r="855" spans="1:24">
      <c r="A855" s="26">
        <v>1212</v>
      </c>
      <c r="B855" s="87">
        <v>46238.699004629598</v>
      </c>
      <c r="C855" s="87">
        <v>46238.699502314797</v>
      </c>
      <c r="D855" t="str">
        <v>anónimo</v>
      </c>
      <c r="E855" t="str">
        <v/>
      </c>
      <c r="F855" s="68">
        <v>46238</v>
      </c>
      <c r="G855" s="88">
        <v>46238</v>
      </c>
      <c r="H855" t="str">
        <v>GIOVANNI MELGAR</v>
      </c>
      <c r="I855" t="str">
        <v>ISIDRO CALZADA TORRES</v>
      </c>
      <c r="J855" s="82" t="str">
        <v xml:space="preserve">23745305138
</v>
      </c>
      <c r="K855" t="str">
        <v>CATI530407HDGLRS01</v>
      </c>
      <c r="L855" s="82">
        <v>23367052</v>
      </c>
      <c r="M855" s="82">
        <v>23367052</v>
      </c>
      <c r="N855" t="str">
        <v>COMPRA MENOR</v>
      </c>
      <c r="O855" s="89">
        <v>4827.43</v>
      </c>
      <c r="P855" s="89">
        <v>535.05999999999995</v>
      </c>
      <c r="Q855" s="89">
        <v>1448.229</v>
      </c>
      <c r="R855" s="89">
        <v>119.39000000000078</v>
      </c>
      <c r="S855">
        <v>45597</v>
      </c>
      <c r="T855" t="str">
        <v/>
      </c>
      <c r="U855" t="str">
        <v/>
      </c>
      <c r="V855" t="str">
        <v/>
      </c>
      <c r="W855" t="str">
        <v/>
      </c>
      <c r="X855">
        <v>2</v>
      </c>
    </row>
    <row r="856" spans="1:24">
      <c r="A856" s="26">
        <v>1215</v>
      </c>
      <c r="B856" s="87">
        <v>46238.704004629602</v>
      </c>
      <c r="C856" s="87">
        <v>46238.708425925899</v>
      </c>
      <c r="D856" t="str">
        <v>anónimo</v>
      </c>
      <c r="E856" t="str">
        <v/>
      </c>
      <c r="F856" s="68">
        <v>46238</v>
      </c>
      <c r="G856" s="88">
        <v>46238</v>
      </c>
      <c r="H856" t="str">
        <v>GLORIA ORTIZ C/C</v>
      </c>
      <c r="I856" t="str">
        <v>HILDA REYES CABRERA</v>
      </c>
      <c r="J856" s="82">
        <v>62825807753</v>
      </c>
      <c r="K856" t="str">
        <v>RECH601213MPLYBL00</v>
      </c>
      <c r="L856" s="82">
        <v>23373026</v>
      </c>
      <c r="M856" s="82">
        <v>5212223348405</v>
      </c>
      <c r="N856" t="str">
        <v>COMPRA MAYOR</v>
      </c>
      <c r="O856" s="89">
        <v>16513.98</v>
      </c>
      <c r="P856" s="89">
        <v>4063</v>
      </c>
      <c r="Q856" s="89">
        <v>4954.1939999999995</v>
      </c>
      <c r="R856" s="89">
        <v>891.19399999999951</v>
      </c>
      <c r="S856">
        <v>45323</v>
      </c>
      <c r="T856" t="str">
        <v/>
      </c>
      <c r="U856" t="str">
        <v/>
      </c>
      <c r="V856" t="str">
        <v/>
      </c>
      <c r="W856" t="str">
        <v/>
      </c>
      <c r="X856">
        <v>2</v>
      </c>
    </row>
    <row r="857" spans="1:24">
      <c r="A857" s="26">
        <v>1216</v>
      </c>
      <c r="B857" s="87">
        <v>46238.708437499998</v>
      </c>
      <c r="C857" s="87">
        <v>46238.709560185198</v>
      </c>
      <c r="D857" t="str">
        <v>anónimo</v>
      </c>
      <c r="E857" t="str">
        <v/>
      </c>
      <c r="F857" s="68">
        <v>46238</v>
      </c>
      <c r="G857" s="88">
        <v>46238</v>
      </c>
      <c r="H857" t="str">
        <v>MAGALI MARTINEZ EXT 2</v>
      </c>
      <c r="I857" t="str">
        <v>HECTOR TRUJILLO DE LA CRUZ</v>
      </c>
      <c r="J857" s="82">
        <v>62846300861</v>
      </c>
      <c r="K857" t="str">
        <v>TUCH630330HPLRRC08</v>
      </c>
      <c r="L857" s="82">
        <v>2</v>
      </c>
      <c r="M857" s="82" t="str">
        <v>444 800 2526</v>
      </c>
      <c r="N857" t="str">
        <v>COMPRA MAYOR</v>
      </c>
      <c r="O857" s="89">
        <v>15542.02</v>
      </c>
      <c r="P857" s="89">
        <v>4108.67</v>
      </c>
      <c r="Q857" s="89">
        <v>4662.6059999999998</v>
      </c>
      <c r="R857" s="89">
        <v>553.93599999999969</v>
      </c>
      <c r="S857">
        <v>45778</v>
      </c>
      <c r="T857" t="str">
        <v>CONSUBCANCO</v>
      </c>
      <c r="U857" t="str">
        <v/>
      </c>
      <c r="V857" t="str">
        <v/>
      </c>
      <c r="W857" t="str">
        <v/>
      </c>
      <c r="X857">
        <v>2</v>
      </c>
    </row>
    <row r="858" spans="1:24">
      <c r="A858" s="26">
        <v>1217</v>
      </c>
      <c r="B858" s="87">
        <v>46238.694965277798</v>
      </c>
      <c r="C858" s="87">
        <v>46238.713842592602</v>
      </c>
      <c r="D858" t="str">
        <v>anónimo</v>
      </c>
      <c r="E858" t="str">
        <v/>
      </c>
      <c r="F858" s="68">
        <v>46238</v>
      </c>
      <c r="G858" s="88">
        <v>46238</v>
      </c>
      <c r="H858" t="str">
        <v>ROSA CASTRO SUR</v>
      </c>
      <c r="I858" t="str">
        <v xml:space="preserve">HOMERO MONTOYA CARRERA </v>
      </c>
      <c r="J858" s="82" t="str">
        <v/>
      </c>
      <c r="K858" t="str">
        <v>MOCH650312HCLNRM03</v>
      </c>
      <c r="L858" s="82">
        <v>23367600</v>
      </c>
      <c r="M858" s="82">
        <v>15128035947</v>
      </c>
      <c r="N858" t="str">
        <v>NUEVO MAYOR</v>
      </c>
      <c r="O858" s="89">
        <v>9760.32</v>
      </c>
      <c r="P858" s="89">
        <v>879</v>
      </c>
      <c r="Q858" s="89">
        <v>2928.096</v>
      </c>
      <c r="R858" s="89">
        <v>2049.096</v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>
        <v>1</v>
      </c>
    </row>
    <row r="859" spans="1:24">
      <c r="A859" s="26">
        <v>1223</v>
      </c>
      <c r="B859" s="87">
        <v>46238.725092592598</v>
      </c>
      <c r="C859" s="87">
        <v>46238.738587963002</v>
      </c>
      <c r="D859" t="str">
        <v>anónimo</v>
      </c>
      <c r="E859" t="str">
        <v/>
      </c>
      <c r="F859" s="68">
        <v>46238</v>
      </c>
      <c r="G859" s="88">
        <v>46238</v>
      </c>
      <c r="H859" t="str">
        <v>ROSA CASTRO SUR</v>
      </c>
      <c r="I859" t="str">
        <v>FELIX RAMOS CAMPA</v>
      </c>
      <c r="J859" s="82">
        <v>32806038082</v>
      </c>
      <c r="K859" t="str">
        <v>RACF600107HCLMML04</v>
      </c>
      <c r="L859" s="82">
        <v>23368952</v>
      </c>
      <c r="M859" s="82">
        <v>23368952</v>
      </c>
      <c r="N859" t="str">
        <v>NUEVO MAYOR</v>
      </c>
      <c r="O859" s="89">
        <v>7116.73</v>
      </c>
      <c r="P859" s="89" t="str">
        <v/>
      </c>
      <c r="Q859" s="89">
        <v>2135.0189999999998</v>
      </c>
      <c r="R859" s="89">
        <v>2135.0189999999998</v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>
        <v>1</v>
      </c>
    </row>
    <row r="860" spans="1:24">
      <c r="A860" s="26">
        <v>1224</v>
      </c>
      <c r="B860" s="87">
        <v>46238.738877314798</v>
      </c>
      <c r="C860" s="87">
        <v>46238.739386574103</v>
      </c>
      <c r="D860" t="str">
        <v>anónimo</v>
      </c>
      <c r="E860" t="str">
        <v/>
      </c>
      <c r="F860" s="68">
        <v>46238</v>
      </c>
      <c r="G860" s="88">
        <v>46238</v>
      </c>
      <c r="H860" t="str">
        <v>GIOVANNI MELGAR</v>
      </c>
      <c r="I860" t="str">
        <v>FEDEBERTO VILLA GONZALEZ</v>
      </c>
      <c r="J860" s="82" t="str">
        <v xml:space="preserve">24825810401
</v>
      </c>
      <c r="K860" t="str">
        <v>VIGF580817HSRLNR04</v>
      </c>
      <c r="L860" s="82">
        <v>23368834</v>
      </c>
      <c r="M860" s="82">
        <v>5216323240163</v>
      </c>
      <c r="N860" t="str">
        <v>COMPRA MENOR</v>
      </c>
      <c r="O860" s="89">
        <v>5239.09</v>
      </c>
      <c r="P860" s="89">
        <v>1108.26</v>
      </c>
      <c r="Q860" s="89">
        <v>1571.7270000000001</v>
      </c>
      <c r="R860" s="89">
        <v>-42.149999999999409</v>
      </c>
      <c r="S860">
        <v>45352</v>
      </c>
      <c r="T860" t="str">
        <v/>
      </c>
      <c r="U860" t="str">
        <v/>
      </c>
      <c r="V860" t="str">
        <v/>
      </c>
      <c r="W860" t="str">
        <v/>
      </c>
      <c r="X860">
        <v>2</v>
      </c>
    </row>
    <row r="861" spans="1:24">
      <c r="A861" s="26">
        <v>1225</v>
      </c>
      <c r="B861" s="87">
        <v>46238.737824074102</v>
      </c>
      <c r="C861" s="87">
        <v>46238.740023148101</v>
      </c>
      <c r="D861" t="str">
        <v>anónimo</v>
      </c>
      <c r="E861" t="str">
        <v/>
      </c>
      <c r="F861" s="68">
        <v>46238</v>
      </c>
      <c r="G861" s="88">
        <v>46238</v>
      </c>
      <c r="H861" t="str">
        <v>HANIA GARCIA C/C</v>
      </c>
      <c r="I861" t="str">
        <v>Jaime Velazco Santiago</v>
      </c>
      <c r="J861" s="82">
        <v>21846450365</v>
      </c>
      <c r="K861" t="str">
        <v>VESJ640414HBSLNM01</v>
      </c>
      <c r="L861" s="82">
        <v>23372588</v>
      </c>
      <c r="M861" s="82">
        <v>6151591111</v>
      </c>
      <c r="N861" t="str">
        <v>NUEVO MAYOR</v>
      </c>
      <c r="O861" s="89">
        <v>78794.48</v>
      </c>
      <c r="P861" s="89">
        <v>17633.55</v>
      </c>
      <c r="Q861" s="89">
        <v>23638.343999999997</v>
      </c>
      <c r="R861" s="89">
        <v>6004.7939999999981</v>
      </c>
      <c r="S861">
        <v>46419</v>
      </c>
      <c r="T861" t="str">
        <v/>
      </c>
      <c r="U861" t="str">
        <v/>
      </c>
      <c r="V861" t="str">
        <v/>
      </c>
      <c r="W861" t="str">
        <v/>
      </c>
      <c r="X861">
        <v>2</v>
      </c>
    </row>
    <row r="862" spans="1:24">
      <c r="A862" s="26">
        <v>1228</v>
      </c>
      <c r="B862" s="87">
        <v>46238.752187500002</v>
      </c>
      <c r="C862" s="87">
        <v>46238.752719907403</v>
      </c>
      <c r="D862" t="str">
        <v>anónimo</v>
      </c>
      <c r="E862" t="str">
        <v/>
      </c>
      <c r="F862" s="68">
        <v>46238</v>
      </c>
      <c r="G862" s="88">
        <v>46235</v>
      </c>
      <c r="H862" t="str">
        <v>CAROLINA RAMIREZ C/C</v>
      </c>
      <c r="I862" t="str">
        <v>MARTIN ORTIZ</v>
      </c>
      <c r="J862" s="82">
        <v>32846319393</v>
      </c>
      <c r="K862" t="str">
        <v/>
      </c>
      <c r="L862" s="82">
        <v>23287686</v>
      </c>
      <c r="M862" s="82">
        <v>5218442959612</v>
      </c>
      <c r="N862" t="str">
        <v>RESTRINGIDA</v>
      </c>
      <c r="O862" s="89">
        <v>7920.51</v>
      </c>
      <c r="P862" s="89">
        <v>2099.48</v>
      </c>
      <c r="Q862" s="89">
        <v>2376.1529999999998</v>
      </c>
      <c r="R862" s="89">
        <v>276.67299999999977</v>
      </c>
      <c r="S862">
        <v>46023</v>
      </c>
      <c r="T862" t="str">
        <v>CONSUBANCO</v>
      </c>
      <c r="U862" t="str">
        <v/>
      </c>
      <c r="V862" t="str">
        <v/>
      </c>
      <c r="W862" t="str">
        <v/>
      </c>
      <c r="X862">
        <v>2</v>
      </c>
    </row>
    <row r="863" spans="1:24">
      <c r="A863" s="26">
        <v>1229</v>
      </c>
      <c r="B863" s="87">
        <v>46238.753310185202</v>
      </c>
      <c r="C863" s="87">
        <v>46238.753680555601</v>
      </c>
      <c r="D863" t="str">
        <v>anónimo</v>
      </c>
      <c r="E863" t="str">
        <v/>
      </c>
      <c r="F863" s="68">
        <v>46238</v>
      </c>
      <c r="G863" s="88">
        <v>46238</v>
      </c>
      <c r="H863" t="str">
        <v>GIOVANNI MELGAR</v>
      </c>
      <c r="I863" t="str">
        <v>SALVADOR RODRIGUEZ GARCIA</v>
      </c>
      <c r="J863" s="82" t="str">
        <v/>
      </c>
      <c r="K863" t="str">
        <v xml:space="preserve"> ROGS660313HJCDRL07</v>
      </c>
      <c r="L863" s="82">
        <v>23353636</v>
      </c>
      <c r="M863" s="82">
        <v>5213331074067</v>
      </c>
      <c r="N863" t="str">
        <v>NUEVO MAYOR</v>
      </c>
      <c r="O863" s="89">
        <v>10636.54</v>
      </c>
      <c r="P863" s="89" t="str">
        <v/>
      </c>
      <c r="Q863" s="89">
        <v>3190.962</v>
      </c>
      <c r="R863" s="89">
        <v>3190.962</v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>
        <v>1</v>
      </c>
    </row>
    <row r="864" spans="1:24">
      <c r="A864" s="26">
        <v>1230</v>
      </c>
      <c r="B864" s="87">
        <v>46238.702800925901</v>
      </c>
      <c r="C864" s="87">
        <v>46238.760775463001</v>
      </c>
      <c r="D864" t="str">
        <v>anónimo</v>
      </c>
      <c r="E864" t="str">
        <v/>
      </c>
      <c r="F864" s="68">
        <v>46238</v>
      </c>
      <c r="G864" s="88">
        <v>46239</v>
      </c>
      <c r="H864" t="str">
        <v>LITZY MARTINEZ C/C</v>
      </c>
      <c r="I864" t="str">
        <v xml:space="preserve">RODOLFO </v>
      </c>
      <c r="J864" s="82" t="str">
        <v xml:space="preserve">65836370051
</v>
      </c>
      <c r="K864" t="str">
        <v>RONR630809HVZDJD05</v>
      </c>
      <c r="L864" s="82">
        <v>23372986</v>
      </c>
      <c r="M864" s="82">
        <v>5212292085395</v>
      </c>
      <c r="N864" t="str">
        <v>COMPRA MAYOR</v>
      </c>
      <c r="O864" s="89">
        <v>16023.87</v>
      </c>
      <c r="P864" s="89">
        <v>4807.16</v>
      </c>
      <c r="Q864" s="89">
        <v>4807.1610000000001</v>
      </c>
      <c r="R864" s="89">
        <v>1.0000000002037268E-3</v>
      </c>
      <c r="S864">
        <v>46082</v>
      </c>
      <c r="T864" t="str">
        <v/>
      </c>
      <c r="U864" t="str">
        <v/>
      </c>
      <c r="V864" t="str">
        <v/>
      </c>
      <c r="W864" t="str">
        <v/>
      </c>
      <c r="X864">
        <v>2</v>
      </c>
    </row>
    <row r="865" spans="1:24">
      <c r="A865" s="26">
        <v>1237</v>
      </c>
      <c r="B865" s="87">
        <v>46238.756585648203</v>
      </c>
      <c r="C865" s="87">
        <v>46238.915648148097</v>
      </c>
      <c r="D865" t="str">
        <v>anónimo</v>
      </c>
      <c r="E865" t="str">
        <v/>
      </c>
      <c r="F865" s="68">
        <v>46238</v>
      </c>
      <c r="G865" s="88">
        <v>46238</v>
      </c>
      <c r="H865" t="str">
        <v>PAOLA RODRIGUEZ C/C</v>
      </c>
      <c r="I865" t="str">
        <v>Alejandro Betancourt Hernandez</v>
      </c>
      <c r="J865" s="82">
        <v>43927775239</v>
      </c>
      <c r="K865" t="str">
        <v/>
      </c>
      <c r="L865" s="82">
        <v>23288402</v>
      </c>
      <c r="M865" s="82">
        <v>5218124669902</v>
      </c>
      <c r="N865" t="str">
        <v>COMPRA MENOR</v>
      </c>
      <c r="O865" s="89">
        <v>5742.01</v>
      </c>
      <c r="P865" s="89">
        <v>638.04999999999995</v>
      </c>
      <c r="Q865" s="89">
        <v>1722.6030000000001</v>
      </c>
      <c r="R865" s="89">
        <v>930.9800000000007</v>
      </c>
      <c r="S865">
        <v>46204</v>
      </c>
      <c r="T865" t="str">
        <v/>
      </c>
      <c r="U865" t="str">
        <v/>
      </c>
      <c r="V865" t="str">
        <v/>
      </c>
      <c r="W865" t="str">
        <v/>
      </c>
      <c r="X865">
        <v>2</v>
      </c>
    </row>
    <row r="866" spans="1:24">
      <c r="A866" s="26">
        <v>1242</v>
      </c>
      <c r="B866" s="87">
        <v>46239.399884259299</v>
      </c>
      <c r="C866" s="87">
        <v>46239.403530092597</v>
      </c>
      <c r="D866" t="str">
        <v>anónimo</v>
      </c>
      <c r="E866" t="str">
        <v/>
      </c>
      <c r="F866" s="68">
        <v>46239</v>
      </c>
      <c r="G866" s="88">
        <v>46239</v>
      </c>
      <c r="H866" t="str">
        <v>ROSA CASTRO SUR</v>
      </c>
      <c r="I866" t="str">
        <v xml:space="preserve">CARMEN ALICIA PEREZ LARIOS </v>
      </c>
      <c r="J866" s="82" t="str">
        <v>52774900733</v>
      </c>
      <c r="K866" t="str">
        <v>PELC530108MCMRRR08</v>
      </c>
      <c r="L866" s="82">
        <v>23390948</v>
      </c>
      <c r="M866" s="82">
        <v>23390948</v>
      </c>
      <c r="N866" t="str">
        <v>NUEVO MAYOR</v>
      </c>
      <c r="O866" s="89">
        <v>6405.06</v>
      </c>
      <c r="P866" s="89" t="str">
        <v/>
      </c>
      <c r="Q866" s="89">
        <v>1921.518</v>
      </c>
      <c r="R866" s="89">
        <v>1921.518</v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>
        <v>1</v>
      </c>
    </row>
    <row r="867" spans="1:24">
      <c r="A867" s="26">
        <v>1256</v>
      </c>
      <c r="B867" s="87">
        <v>46239.4816319444</v>
      </c>
      <c r="C867" s="87">
        <v>46239.4823958333</v>
      </c>
      <c r="D867" t="str">
        <v>anónimo</v>
      </c>
      <c r="E867" t="str">
        <v/>
      </c>
      <c r="F867" s="68">
        <v>46239</v>
      </c>
      <c r="G867" s="88">
        <v>46238</v>
      </c>
      <c r="H867" t="str">
        <v>ANA VILLEGAS C/C</v>
      </c>
      <c r="I867" t="str">
        <v>hector lugo</v>
      </c>
      <c r="J867" s="82">
        <v>23756000941</v>
      </c>
      <c r="K867" t="str">
        <v/>
      </c>
      <c r="L867" s="82">
        <v>23374900</v>
      </c>
      <c r="M867" s="82">
        <v>5216641560099</v>
      </c>
      <c r="N867" t="str">
        <v>NUEVO MENOR</v>
      </c>
      <c r="O867" s="89">
        <v>9081.52</v>
      </c>
      <c r="P867" s="89">
        <v>1779.5</v>
      </c>
      <c r="Q867" s="89">
        <v>2724.4560000000001</v>
      </c>
      <c r="R867" s="89">
        <v>944.95600000000013</v>
      </c>
      <c r="S867">
        <v>46631</v>
      </c>
      <c r="T867" t="str">
        <v/>
      </c>
      <c r="U867" t="str">
        <v/>
      </c>
      <c r="V867" t="str">
        <v/>
      </c>
      <c r="W867" t="str">
        <v/>
      </c>
      <c r="X867">
        <v>2</v>
      </c>
    </row>
    <row r="868" spans="1:24">
      <c r="A868" s="26">
        <v>1259</v>
      </c>
      <c r="B868" s="87">
        <v>46239.4937615741</v>
      </c>
      <c r="C868" s="87">
        <v>46239.496817129599</v>
      </c>
      <c r="D868" t="str">
        <v>anónimo</v>
      </c>
      <c r="E868" t="str">
        <v/>
      </c>
      <c r="F868" s="68">
        <v>46239</v>
      </c>
      <c r="G868" s="88">
        <v>46238</v>
      </c>
      <c r="H868" t="str">
        <v>XIMENA RIVERA SUR</v>
      </c>
      <c r="I868" t="str">
        <v>GREGORIO AGUILAR ORTEGA</v>
      </c>
      <c r="J868" s="82" t="str">
        <v/>
      </c>
      <c r="K868" t="str">
        <v>AUOG620309HMCGRR01</v>
      </c>
      <c r="L868" s="82">
        <v>23356152</v>
      </c>
      <c r="M868" s="82">
        <v>5215632705518</v>
      </c>
      <c r="N868" t="str">
        <v>NUEVO MAYOR</v>
      </c>
      <c r="O868" s="89">
        <v>9081.52</v>
      </c>
      <c r="P868" s="89" t="str">
        <v/>
      </c>
      <c r="Q868" s="89">
        <v>2724.4560000000001</v>
      </c>
      <c r="R868" s="89">
        <v>2724.4560000000001</v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>
        <v>1</v>
      </c>
    </row>
    <row r="869" spans="1:24">
      <c r="A869" s="26">
        <v>1265</v>
      </c>
      <c r="B869" s="87">
        <v>46239.521446759303</v>
      </c>
      <c r="C869" s="87">
        <v>46239.522905092599</v>
      </c>
      <c r="D869" t="str">
        <v>anónimo</v>
      </c>
      <c r="E869" t="str">
        <v/>
      </c>
      <c r="F869" s="68">
        <v>46239</v>
      </c>
      <c r="G869" s="88">
        <v>46230</v>
      </c>
      <c r="H869" t="str">
        <v>MELANIE CIBRIAN C/C</v>
      </c>
      <c r="I869" t="str">
        <v>Pedro López Medrano</v>
      </c>
      <c r="J869" s="82" t="str">
        <v/>
      </c>
      <c r="K869" t="str">
        <v>LOMP580629HSLPDD08</v>
      </c>
      <c r="L869" s="82">
        <v>23152170</v>
      </c>
      <c r="M869" s="82">
        <v>6681492708</v>
      </c>
      <c r="N869" t="str">
        <v>NUEVO MAYOR</v>
      </c>
      <c r="O869" s="89">
        <v>10636.54</v>
      </c>
      <c r="P869" s="89" t="str">
        <v/>
      </c>
      <c r="Q869" s="89">
        <v>3190.962</v>
      </c>
      <c r="R869" s="89">
        <v>3190.962</v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>
        <v>1</v>
      </c>
    </row>
    <row r="870" spans="1:24">
      <c r="A870" s="26">
        <v>1266</v>
      </c>
      <c r="B870" s="87">
        <v>46239.499178240701</v>
      </c>
      <c r="C870" s="87">
        <v>46239.523229166698</v>
      </c>
      <c r="D870" t="str">
        <v>anónimo</v>
      </c>
      <c r="E870" t="str">
        <v/>
      </c>
      <c r="F870" s="68">
        <v>46239</v>
      </c>
      <c r="G870" s="88">
        <v>46238</v>
      </c>
      <c r="H870" t="str">
        <v>ROSA CASTRO SUR</v>
      </c>
      <c r="I870" t="str">
        <v xml:space="preserve">VERONICA VIDACA MARTINEZ </v>
      </c>
      <c r="J870" s="82">
        <v>35886843016</v>
      </c>
      <c r="K870" t="str">
        <v>VIMV750830MCHDRR02</v>
      </c>
      <c r="L870" s="82">
        <v>23360668</v>
      </c>
      <c r="M870" s="82">
        <v>5216391287662</v>
      </c>
      <c r="N870" t="str">
        <v>NUEVO MENOR</v>
      </c>
      <c r="O870" s="89">
        <v>8173.37</v>
      </c>
      <c r="P870" s="89">
        <v>1499.93</v>
      </c>
      <c r="Q870" s="89">
        <v>2452.011</v>
      </c>
      <c r="R870" s="89">
        <v>952.0809999999999</v>
      </c>
      <c r="S870">
        <v>46478</v>
      </c>
      <c r="T870" t="str">
        <v/>
      </c>
      <c r="U870" t="str">
        <v/>
      </c>
      <c r="V870" t="str">
        <v/>
      </c>
      <c r="W870" t="str">
        <v/>
      </c>
      <c r="X870">
        <v>2</v>
      </c>
    </row>
    <row r="871" spans="1:24">
      <c r="A871" s="26">
        <v>1270</v>
      </c>
      <c r="B871" s="87">
        <v>46239.496874999997</v>
      </c>
      <c r="C871" s="87">
        <v>46239.5324189815</v>
      </c>
      <c r="D871" t="str">
        <v>anónimo</v>
      </c>
      <c r="E871" t="str">
        <v/>
      </c>
      <c r="F871" s="68">
        <v>46239</v>
      </c>
      <c r="G871" s="88">
        <v>46238</v>
      </c>
      <c r="H871" t="str">
        <v>XIMENA RIVERA SUR</v>
      </c>
      <c r="I871" t="str">
        <v>JOSEFINA TORRES DAVILA</v>
      </c>
      <c r="J871" s="82" t="str">
        <v/>
      </c>
      <c r="K871" t="str">
        <v>TODJ610701MZSRVS02</v>
      </c>
      <c r="L871" s="82">
        <v>23367150</v>
      </c>
      <c r="M871" s="82">
        <v>5214922911211</v>
      </c>
      <c r="N871" t="str">
        <v>NUEVO MAYOR</v>
      </c>
      <c r="O871" s="89">
        <v>25289.77</v>
      </c>
      <c r="P871" s="89" t="str">
        <v/>
      </c>
      <c r="Q871" s="89">
        <v>7586.9309999999996</v>
      </c>
      <c r="R871" s="89">
        <v>7586.9309999999996</v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>
        <v>1</v>
      </c>
    </row>
    <row r="872" spans="1:24">
      <c r="A872" s="26">
        <v>1273</v>
      </c>
      <c r="B872" s="87">
        <v>46239.5370833333</v>
      </c>
      <c r="C872" s="87">
        <v>46239.538240740701</v>
      </c>
      <c r="D872" t="str">
        <v>anónimo</v>
      </c>
      <c r="E872" t="str">
        <v/>
      </c>
      <c r="F872" s="68">
        <v>46239</v>
      </c>
      <c r="G872" s="88">
        <v>46239</v>
      </c>
      <c r="H872" t="str">
        <v>JENNIFER AVENDAÑO SUR</v>
      </c>
      <c r="I872" t="str">
        <v xml:space="preserve">MANUEL FONSECA CASTAÑEDA </v>
      </c>
      <c r="J872" s="82">
        <v>33785817470</v>
      </c>
      <c r="K872" t="str">
        <v>FOCM580205HCHNSN00</v>
      </c>
      <c r="L872" s="82">
        <v>23395464</v>
      </c>
      <c r="M872" s="82">
        <v>5214611480324</v>
      </c>
      <c r="N872" t="str">
        <v>NUEVO MAYOR</v>
      </c>
      <c r="O872" s="89">
        <v>9514.35</v>
      </c>
      <c r="P872" s="89" t="str">
        <v/>
      </c>
      <c r="Q872" s="89">
        <v>2854.3049999999998</v>
      </c>
      <c r="R872" s="89">
        <v>2854.3049999999998</v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>
        <v>1</v>
      </c>
    </row>
    <row r="873" spans="1:24">
      <c r="A873" s="26">
        <v>1275</v>
      </c>
      <c r="B873" s="87">
        <v>46239.567141203697</v>
      </c>
      <c r="C873" s="87">
        <v>46239.568043981497</v>
      </c>
      <c r="D873" t="str">
        <v>anónimo</v>
      </c>
      <c r="E873" t="str">
        <v/>
      </c>
      <c r="F873" s="68">
        <v>46239</v>
      </c>
      <c r="G873" s="88">
        <v>46239</v>
      </c>
      <c r="H873" t="str">
        <v>ANA VILLEGAS C/C</v>
      </c>
      <c r="I873" t="str">
        <v>Martiniano Olivares</v>
      </c>
      <c r="J873" s="82">
        <v>43725539985</v>
      </c>
      <c r="K873" t="str">
        <v/>
      </c>
      <c r="L873" s="82">
        <v>23395836</v>
      </c>
      <c r="M873" s="82">
        <v>5218123480191</v>
      </c>
      <c r="N873" t="str">
        <v>NUEVO MAYOR</v>
      </c>
      <c r="O873" s="89">
        <v>32302.59</v>
      </c>
      <c r="P873" s="89" t="str">
        <v/>
      </c>
      <c r="Q873" s="89">
        <v>9690.777</v>
      </c>
      <c r="R873" s="89">
        <v>9690.777</v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>
        <v>1</v>
      </c>
    </row>
    <row r="874" spans="1:24">
      <c r="A874" s="26">
        <v>1277</v>
      </c>
      <c r="B874" s="87">
        <v>46239.574537036999</v>
      </c>
      <c r="C874" s="87">
        <v>46239.575243055602</v>
      </c>
      <c r="D874" t="str">
        <v>anónimo</v>
      </c>
      <c r="E874" t="str">
        <v/>
      </c>
      <c r="F874" s="68">
        <v>46239</v>
      </c>
      <c r="G874" s="88">
        <v>46238</v>
      </c>
      <c r="H874" t="str">
        <v>DULCE FRANCO C/C</v>
      </c>
      <c r="I874" t="str">
        <v>CARLOS ARTURO PACHECO RIVAS</v>
      </c>
      <c r="J874" s="82" t="str">
        <v/>
      </c>
      <c r="K874" t="str">
        <v>PARC581021HDFCVR00</v>
      </c>
      <c r="L874" s="82">
        <v>23375616</v>
      </c>
      <c r="M874" s="82">
        <v>5217775725261</v>
      </c>
      <c r="N874" t="str">
        <v>NUEVO MAYOR</v>
      </c>
      <c r="O874" s="89">
        <v>8539.89</v>
      </c>
      <c r="P874" s="89" t="str">
        <v/>
      </c>
      <c r="Q874" s="89">
        <v>2561.9669999999996</v>
      </c>
      <c r="R874" s="89">
        <v>2561.9669999999996</v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>
        <v>1</v>
      </c>
    </row>
    <row r="875" spans="1:24">
      <c r="A875" s="26">
        <v>1281</v>
      </c>
      <c r="B875" s="87">
        <v>46239.496018518497</v>
      </c>
      <c r="C875" s="87">
        <v>46239.608240740701</v>
      </c>
      <c r="D875" t="str">
        <v>anónimo</v>
      </c>
      <c r="E875" t="str">
        <v/>
      </c>
      <c r="F875" s="68">
        <v>46239</v>
      </c>
      <c r="G875" s="88">
        <v>46239</v>
      </c>
      <c r="H875" t="str">
        <v>YAMILETH CARDONA EXT 2</v>
      </c>
      <c r="I875" t="str">
        <v>MARTIN GUAJARDO VILLA</v>
      </c>
      <c r="J875" s="82">
        <v>43956535256</v>
      </c>
      <c r="K875" t="str">
        <v>GUVM650928HDGJLR07</v>
      </c>
      <c r="L875" s="82">
        <v>2</v>
      </c>
      <c r="M875" s="82">
        <v>8131313024</v>
      </c>
      <c r="N875" t="str">
        <v>NUEVO MAYOR</v>
      </c>
      <c r="O875" s="89">
        <v>10636.54</v>
      </c>
      <c r="P875" s="89" t="str">
        <v/>
      </c>
      <c r="Q875" s="89">
        <v>3190.962</v>
      </c>
      <c r="R875" s="89">
        <v>3190.962</v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>
        <v>0</v>
      </c>
    </row>
    <row r="876" spans="1:24">
      <c r="A876" s="26">
        <v>1284</v>
      </c>
      <c r="B876" s="87">
        <v>46239.6066782407</v>
      </c>
      <c r="C876" s="87">
        <v>46239.615740740701</v>
      </c>
      <c r="D876" t="str">
        <v>anónimo</v>
      </c>
      <c r="E876" t="str">
        <v/>
      </c>
      <c r="F876" s="68">
        <v>46239</v>
      </c>
      <c r="G876" s="88">
        <v>46239</v>
      </c>
      <c r="H876" t="str">
        <v>PAOLA RODRIGUEZ C/C</v>
      </c>
      <c r="I876" t="str">
        <v>Javier Melgarejo Orduña</v>
      </c>
      <c r="J876" s="82" t="str">
        <v/>
      </c>
      <c r="K876" t="str">
        <v>MEOJ641114HVZLRV07</v>
      </c>
      <c r="L876" s="82">
        <v>23400972</v>
      </c>
      <c r="M876" s="82">
        <v>7225767646</v>
      </c>
      <c r="N876" t="str">
        <v>NUEVO MAYOR</v>
      </c>
      <c r="O876" s="89">
        <v>9081.52</v>
      </c>
      <c r="P876" s="89">
        <v>848</v>
      </c>
      <c r="Q876" s="89">
        <v>2724.4560000000001</v>
      </c>
      <c r="R876" s="89">
        <v>1876.4560000000001</v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>
        <v>1</v>
      </c>
    </row>
    <row r="877" spans="1:24">
      <c r="A877" s="26">
        <v>1287</v>
      </c>
      <c r="B877" s="87">
        <v>46239.634988425903</v>
      </c>
      <c r="C877" s="87">
        <v>46239.635902777802</v>
      </c>
      <c r="D877" t="str">
        <v>anónimo</v>
      </c>
      <c r="E877" t="str">
        <v/>
      </c>
      <c r="F877" s="68">
        <v>46239</v>
      </c>
      <c r="G877" s="88">
        <v>46239</v>
      </c>
      <c r="H877" t="str">
        <v>GLORIA ORTIZ C/C</v>
      </c>
      <c r="I877" t="str">
        <v>GUADALUPE REYNA PERALTA MARTINEZ</v>
      </c>
      <c r="J877" s="82" t="str">
        <v/>
      </c>
      <c r="K877" t="str">
        <v>PEMG591226MOCRRD03</v>
      </c>
      <c r="L877" s="82">
        <v>23395834</v>
      </c>
      <c r="M877" s="82">
        <v>5219516382391</v>
      </c>
      <c r="N877" t="str">
        <v>NUEVO MENOR</v>
      </c>
      <c r="O877" s="89">
        <v>4813.6899999999996</v>
      </c>
      <c r="P877" s="89" t="str">
        <v/>
      </c>
      <c r="Q877" s="89">
        <v>1444.1069999999997</v>
      </c>
      <c r="R877" s="89">
        <v>640.71</v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>
        <v>1</v>
      </c>
    </row>
    <row r="878" spans="1:24">
      <c r="A878" s="26">
        <v>1290</v>
      </c>
      <c r="B878" s="87">
        <v>46239.599479166704</v>
      </c>
      <c r="C878" s="87">
        <v>46239.662384259304</v>
      </c>
      <c r="D878" t="str">
        <v>anónimo</v>
      </c>
      <c r="E878" t="str">
        <v/>
      </c>
      <c r="F878" s="68">
        <v>46239</v>
      </c>
      <c r="G878" s="88">
        <v>46235</v>
      </c>
      <c r="H878" t="str">
        <v>ROSA CASTRO SUR</v>
      </c>
      <c r="I878" t="str">
        <v>PAULA PATRICIA RAMOS ESPINOZA</v>
      </c>
      <c r="J878" s="82" t="str">
        <v/>
      </c>
      <c r="K878" t="str">
        <v>RAEP650322MOCMSL00</v>
      </c>
      <c r="L878" s="82">
        <v>23279858</v>
      </c>
      <c r="M878" s="82">
        <v>5219511236047</v>
      </c>
      <c r="N878" t="str">
        <v>NUEVO MAYOR</v>
      </c>
      <c r="O878" s="89">
        <v>9760.32</v>
      </c>
      <c r="P878" s="89" t="str">
        <v/>
      </c>
      <c r="Q878" s="89">
        <v>2928.096</v>
      </c>
      <c r="R878" s="89">
        <v>2928.096</v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>
        <v>1</v>
      </c>
    </row>
    <row r="879" spans="1:24">
      <c r="A879" s="26">
        <v>1292</v>
      </c>
      <c r="B879" s="87">
        <v>46239.636585648099</v>
      </c>
      <c r="C879" s="87">
        <v>46239.668888888897</v>
      </c>
      <c r="D879" t="str">
        <v>anónimo</v>
      </c>
      <c r="E879" t="str">
        <v/>
      </c>
      <c r="F879" s="68">
        <v>46239</v>
      </c>
      <c r="G879" s="88">
        <v>46239</v>
      </c>
      <c r="H879" t="str">
        <v>GIOVANNI MELGAR</v>
      </c>
      <c r="I879" t="str">
        <v>RODRIGO ROMAN ROJAS CONTRERAS</v>
      </c>
      <c r="J879" s="82" t="str">
        <v xml:space="preserve">63816305435
</v>
      </c>
      <c r="K879" t="str">
        <v>ROCR630228HDFJND09</v>
      </c>
      <c r="L879" s="82">
        <v>23368440</v>
      </c>
      <c r="M879" s="82">
        <v>23368440</v>
      </c>
      <c r="N879" t="str">
        <v>NUEVO MAYOR</v>
      </c>
      <c r="O879" s="89">
        <v>28376.01</v>
      </c>
      <c r="P879" s="89" t="str">
        <v/>
      </c>
      <c r="Q879" s="89">
        <v>8512.8029999999999</v>
      </c>
      <c r="R879" s="89">
        <v>8512.8029999999999</v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>
        <v>1</v>
      </c>
    </row>
    <row r="880" spans="1:24">
      <c r="A880" s="26">
        <v>1293</v>
      </c>
      <c r="B880" s="87">
        <v>46239.668391203697</v>
      </c>
      <c r="C880" s="87">
        <v>46239.6691782407</v>
      </c>
      <c r="D880" t="str">
        <v>anónimo</v>
      </c>
      <c r="E880" t="str">
        <v/>
      </c>
      <c r="F880" s="68">
        <v>46239</v>
      </c>
      <c r="G880" s="88">
        <v>46239</v>
      </c>
      <c r="H880" t="str">
        <v>DEYANIRA CORDOVA C/C</v>
      </c>
      <c r="I880" t="str">
        <v/>
      </c>
      <c r="J880" s="82" t="str">
        <v/>
      </c>
      <c r="K880" t="str">
        <v>WAPR481022HSRLDL03</v>
      </c>
      <c r="L880" s="82">
        <v>23374308</v>
      </c>
      <c r="M880" s="82" t="str">
        <v>632 112 8596</v>
      </c>
      <c r="N880" t="str">
        <v>NUEVO MAYOR</v>
      </c>
      <c r="O880" s="89">
        <v>6711.39</v>
      </c>
      <c r="P880" s="89" t="str">
        <v/>
      </c>
      <c r="Q880" s="89">
        <v>2013.4169999999999</v>
      </c>
      <c r="R880" s="89">
        <v>2013.4169999999999</v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>
        <v>1</v>
      </c>
    </row>
    <row r="881" spans="1:24">
      <c r="A881" s="26">
        <v>1294</v>
      </c>
      <c r="B881" s="87">
        <v>46239.6725462963</v>
      </c>
      <c r="C881" s="87">
        <v>46239.674212963</v>
      </c>
      <c r="D881" t="str">
        <v>anónimo</v>
      </c>
      <c r="E881" t="str">
        <v/>
      </c>
      <c r="F881" s="68">
        <v>46239</v>
      </c>
      <c r="G881" s="88">
        <v>46239</v>
      </c>
      <c r="H881" t="str">
        <v>KARINA MATA C/C</v>
      </c>
      <c r="I881" t="str">
        <v>ROMAN GUADALUPE JIMENEZ ORTIZ</v>
      </c>
      <c r="J881" s="82" t="str">
        <v/>
      </c>
      <c r="K881" t="str">
        <v>JIOR490809HDFMRM05</v>
      </c>
      <c r="L881" s="82">
        <v>23399608</v>
      </c>
      <c r="M881" s="82">
        <v>5523813418</v>
      </c>
      <c r="N881" t="str">
        <v>NUEVO MAYOR</v>
      </c>
      <c r="O881" s="89">
        <v>14962.98</v>
      </c>
      <c r="P881" s="89">
        <v>2303.14</v>
      </c>
      <c r="Q881" s="89">
        <v>4488.8939999999993</v>
      </c>
      <c r="R881" s="89">
        <v>2185.7539999999995</v>
      </c>
      <c r="S881">
        <v>45870</v>
      </c>
      <c r="T881" t="str">
        <v>CONSUBANCO</v>
      </c>
      <c r="U881" t="str">
        <v/>
      </c>
      <c r="V881" t="str">
        <v/>
      </c>
      <c r="W881" t="str">
        <v/>
      </c>
      <c r="X881">
        <v>2</v>
      </c>
    </row>
    <row r="882" spans="1:24">
      <c r="A882" s="26">
        <v>1296</v>
      </c>
      <c r="B882" s="87">
        <v>46239.6623958333</v>
      </c>
      <c r="C882" s="87">
        <v>46239.679907407401</v>
      </c>
      <c r="D882" t="str">
        <v>anónimo</v>
      </c>
      <c r="E882" t="str">
        <v/>
      </c>
      <c r="F882" s="68">
        <v>46239</v>
      </c>
      <c r="G882" s="88">
        <v>46239</v>
      </c>
      <c r="H882" t="str">
        <v>ROSA CASTRO SUR</v>
      </c>
      <c r="I882" t="str">
        <v>RICARDO TORRES CRUZ</v>
      </c>
      <c r="J882" s="82" t="str">
        <v/>
      </c>
      <c r="K882" t="str">
        <v>TOCR631201HVZRRC03</v>
      </c>
      <c r="L882" s="82">
        <v>23388838</v>
      </c>
      <c r="M882" s="82">
        <v>5219221157099</v>
      </c>
      <c r="N882" t="str">
        <v>RESTRINGIDA</v>
      </c>
      <c r="O882" s="89">
        <v>7920.51</v>
      </c>
      <c r="P882" s="89">
        <v>2198.64</v>
      </c>
      <c r="Q882" s="89">
        <v>2376.1529999999998</v>
      </c>
      <c r="R882" s="89">
        <v>177.51299999999992</v>
      </c>
      <c r="S882">
        <v>46235</v>
      </c>
      <c r="T882" t="str">
        <v>OPCIPRES</v>
      </c>
      <c r="U882" t="str">
        <v/>
      </c>
      <c r="V882" t="str">
        <v/>
      </c>
      <c r="W882" t="str">
        <v/>
      </c>
      <c r="X882">
        <v>2</v>
      </c>
    </row>
    <row r="883" spans="1:24">
      <c r="A883" s="26">
        <v>1297</v>
      </c>
      <c r="B883" s="87">
        <v>46239.674189814803</v>
      </c>
      <c r="C883" s="87">
        <v>46239.681446759299</v>
      </c>
      <c r="D883" t="str">
        <v>anónimo</v>
      </c>
      <c r="E883" t="str">
        <v/>
      </c>
      <c r="F883" s="68">
        <v>46239</v>
      </c>
      <c r="G883" s="88">
        <v>46238</v>
      </c>
      <c r="H883" t="str">
        <v>LILIANA MARTINEZ SUR</v>
      </c>
      <c r="I883" t="str">
        <v>MARIA JESUS RASCON CADENA</v>
      </c>
      <c r="J883" s="82">
        <v>24694917980</v>
      </c>
      <c r="K883" t="str">
        <v>RACJ550101MSRSDS03</v>
      </c>
      <c r="L883" s="82">
        <v>23367322</v>
      </c>
      <c r="M883" s="82">
        <v>5216621046326</v>
      </c>
      <c r="N883" t="str">
        <v>NUEVO MENOR</v>
      </c>
      <c r="O883" s="89">
        <v>8784.2900000000009</v>
      </c>
      <c r="P883" s="89">
        <v>1611.06</v>
      </c>
      <c r="Q883" s="89">
        <v>2635.2870000000003</v>
      </c>
      <c r="R883" s="89">
        <v>1024.2270000000003</v>
      </c>
      <c r="S883">
        <v>46905</v>
      </c>
      <c r="T883" t="str">
        <v/>
      </c>
      <c r="U883" t="str">
        <v/>
      </c>
      <c r="V883" t="str">
        <v/>
      </c>
      <c r="W883" t="str">
        <v/>
      </c>
      <c r="X883">
        <v>2</v>
      </c>
    </row>
    <row r="884" spans="1:24">
      <c r="A884" s="26">
        <v>1298</v>
      </c>
      <c r="B884" s="87">
        <v>46239.6661342593</v>
      </c>
      <c r="C884" s="87">
        <v>46239.683194444398</v>
      </c>
      <c r="D884" t="str">
        <v>anónimo</v>
      </c>
      <c r="E884" t="str">
        <v/>
      </c>
      <c r="F884" s="68">
        <v>46239</v>
      </c>
      <c r="G884" s="88">
        <v>46239</v>
      </c>
      <c r="H884" t="str">
        <v>XIMENA RIVERA SUR</v>
      </c>
      <c r="I884" t="str">
        <v>MA DE LOURDES GAMEZ ESPARZA</v>
      </c>
      <c r="J884" s="82">
        <v>49906430506</v>
      </c>
      <c r="K884" t="str">
        <v>GAEL720224MSPMSR06</v>
      </c>
      <c r="L884" s="82">
        <v>23393198</v>
      </c>
      <c r="M884" s="82">
        <v>5218311033818</v>
      </c>
      <c r="N884" t="str">
        <v>COMPRA MENOR</v>
      </c>
      <c r="O884" s="89">
        <v>5055.87</v>
      </c>
      <c r="P884" s="89">
        <v>474.5</v>
      </c>
      <c r="Q884" s="89">
        <v>1516.761</v>
      </c>
      <c r="R884" s="89">
        <v>408.39000000000033</v>
      </c>
      <c r="S884">
        <v>45778</v>
      </c>
      <c r="T884" t="str">
        <v/>
      </c>
      <c r="U884" t="str">
        <v/>
      </c>
      <c r="V884" t="str">
        <v/>
      </c>
      <c r="W884" t="str">
        <v/>
      </c>
      <c r="X884">
        <v>2</v>
      </c>
    </row>
    <row r="885" spans="1:24">
      <c r="A885" s="26">
        <v>1304</v>
      </c>
      <c r="B885" s="87">
        <v>46239.679918981499</v>
      </c>
      <c r="C885" s="87">
        <v>46239.705613425896</v>
      </c>
      <c r="D885" t="str">
        <v>anónimo</v>
      </c>
      <c r="E885" t="str">
        <v/>
      </c>
      <c r="F885" s="68">
        <v>46239</v>
      </c>
      <c r="G885" s="88">
        <v>46234</v>
      </c>
      <c r="H885" t="str">
        <v>ROSA CASTRO SUR</v>
      </c>
      <c r="I885" t="str">
        <v xml:space="preserve">ALFREDO CID GARCIA </v>
      </c>
      <c r="J885" s="82" t="str">
        <v/>
      </c>
      <c r="K885" t="str">
        <v>CIGA630907HPLDRL03</v>
      </c>
      <c r="L885" s="82">
        <v>23268938</v>
      </c>
      <c r="M885" s="82">
        <v>23268938</v>
      </c>
      <c r="N885" t="str">
        <v>NUEVO MENOR</v>
      </c>
      <c r="O885" s="89">
        <v>31342.19</v>
      </c>
      <c r="P885" s="89">
        <v>8704.19</v>
      </c>
      <c r="Q885" s="89">
        <v>9402.6569999999992</v>
      </c>
      <c r="R885" s="89">
        <v>698.46699999999873</v>
      </c>
      <c r="S885">
        <v>46753</v>
      </c>
      <c r="T885" t="str">
        <v/>
      </c>
      <c r="U885" t="str">
        <v/>
      </c>
      <c r="V885" t="str">
        <v/>
      </c>
      <c r="W885" t="str">
        <v/>
      </c>
      <c r="X885">
        <v>2</v>
      </c>
    </row>
    <row r="886" spans="1:24">
      <c r="A886" s="26">
        <v>1306</v>
      </c>
      <c r="B886" s="87">
        <v>46239.706655092603</v>
      </c>
      <c r="C886" s="87">
        <v>46239.707256944399</v>
      </c>
      <c r="D886" t="str">
        <v>anónimo</v>
      </c>
      <c r="E886" t="str">
        <v/>
      </c>
      <c r="F886" s="68">
        <v>46239</v>
      </c>
      <c r="G886" s="88">
        <v>46239</v>
      </c>
      <c r="H886" t="str">
        <v>ANA VILLEGAS C/C</v>
      </c>
      <c r="I886" t="str">
        <v xml:space="preserve">leticia </v>
      </c>
      <c r="J886" s="82" t="str">
        <v/>
      </c>
      <c r="K886" t="str">
        <v>AUHL590331MCLGTT01</v>
      </c>
      <c r="L886" s="82">
        <v>23401414</v>
      </c>
      <c r="M886" s="82">
        <v>5218442771211</v>
      </c>
      <c r="N886" t="str">
        <v>NUEVO MENOR</v>
      </c>
      <c r="O886" s="89">
        <v>29015.74</v>
      </c>
      <c r="P886" s="89">
        <v>8000</v>
      </c>
      <c r="Q886" s="89">
        <v>8704.7219999999998</v>
      </c>
      <c r="R886" s="89">
        <v>704.72199999999975</v>
      </c>
      <c r="S886">
        <v>46905</v>
      </c>
      <c r="T886" t="str">
        <v/>
      </c>
      <c r="U886" t="str">
        <v/>
      </c>
      <c r="V886" t="str">
        <v/>
      </c>
      <c r="W886" t="str">
        <v/>
      </c>
      <c r="X886">
        <v>2</v>
      </c>
    </row>
    <row r="887" spans="1:24">
      <c r="A887" s="26">
        <v>1308</v>
      </c>
      <c r="B887" s="87">
        <v>46239.705636574101</v>
      </c>
      <c r="C887" s="87">
        <v>46239.736701388902</v>
      </c>
      <c r="D887" t="str">
        <v>anónimo</v>
      </c>
      <c r="E887" t="str">
        <v/>
      </c>
      <c r="F887" s="68">
        <v>46239</v>
      </c>
      <c r="G887" s="88">
        <v>46238</v>
      </c>
      <c r="H887" t="str">
        <v>ROSA CASTRO SUR</v>
      </c>
      <c r="I887" t="str">
        <v>RAUL FAVELA AVILA</v>
      </c>
      <c r="J887" s="82" t="str">
        <v/>
      </c>
      <c r="K887" t="str">
        <v>FAAR610115HDGVVL03</v>
      </c>
      <c r="L887" s="82">
        <v>23367974</v>
      </c>
      <c r="M887" s="82">
        <v>23367974</v>
      </c>
      <c r="N887" t="str">
        <v>NUEVO MENOR</v>
      </c>
      <c r="O887" s="89">
        <v>6460.14</v>
      </c>
      <c r="P887" s="89">
        <v>879</v>
      </c>
      <c r="Q887" s="89">
        <v>1938.0419999999999</v>
      </c>
      <c r="R887" s="89">
        <v>1059.0419999999999</v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>
        <v>1</v>
      </c>
    </row>
    <row r="888" spans="1:24">
      <c r="A888" s="26">
        <v>1309</v>
      </c>
      <c r="B888" s="87">
        <v>46239.737268518496</v>
      </c>
      <c r="C888" s="87">
        <v>46239.739340277803</v>
      </c>
      <c r="D888" t="str">
        <v>anónimo</v>
      </c>
      <c r="E888" t="str">
        <v/>
      </c>
      <c r="F888" s="68">
        <v>46239</v>
      </c>
      <c r="G888" s="88">
        <v>46239</v>
      </c>
      <c r="H888" t="str">
        <v>GUADALUPE BECERRA C/C</v>
      </c>
      <c r="I888" t="str">
        <v>JUAN  GONZALEZ BAROLA</v>
      </c>
      <c r="J888" s="82" t="str">
        <v/>
      </c>
      <c r="K888" t="str">
        <v>GOBJ500614HDFNRN01</v>
      </c>
      <c r="L888" s="82">
        <v>23407312</v>
      </c>
      <c r="M888" s="82">
        <v>5215588277896</v>
      </c>
      <c r="N888" t="str">
        <v>COMPRA MAYOR</v>
      </c>
      <c r="O888" s="89">
        <v>37909.769999999997</v>
      </c>
      <c r="P888" s="89">
        <v>11372.13</v>
      </c>
      <c r="Q888" s="89">
        <v>11372.930999999999</v>
      </c>
      <c r="R888" s="89">
        <v>0.80099999999947613</v>
      </c>
      <c r="S888">
        <v>46204</v>
      </c>
      <c r="T888" t="str">
        <v/>
      </c>
      <c r="U888" t="str">
        <v/>
      </c>
      <c r="V888" t="str">
        <v/>
      </c>
      <c r="W888" t="str">
        <v/>
      </c>
      <c r="X888">
        <v>2</v>
      </c>
    </row>
    <row r="889" spans="1:24">
      <c r="A889" s="26">
        <v>1310</v>
      </c>
      <c r="B889" s="87">
        <v>46239.736724536997</v>
      </c>
      <c r="C889" s="87">
        <v>46239.739699074104</v>
      </c>
      <c r="D889" t="str">
        <v>anónimo</v>
      </c>
      <c r="E889" t="str">
        <v/>
      </c>
      <c r="F889" s="68">
        <v>46239</v>
      </c>
      <c r="G889" s="88">
        <v>46239</v>
      </c>
      <c r="H889" t="str">
        <v>ROSA CASTRO SUR</v>
      </c>
      <c r="I889" t="str">
        <v xml:space="preserve">ALVARO DANIEL CERDA ZAPATA </v>
      </c>
      <c r="J889" s="82" t="str">
        <v/>
      </c>
      <c r="K889" t="str">
        <v>CEZA780928HCLRPL04</v>
      </c>
      <c r="L889" s="82">
        <v>23394412</v>
      </c>
      <c r="M889" s="82">
        <v>5218662804025</v>
      </c>
      <c r="N889" t="str">
        <v>NUEVO MAYOR</v>
      </c>
      <c r="O889" s="89">
        <v>9665.01</v>
      </c>
      <c r="P889" s="89" t="str">
        <v/>
      </c>
      <c r="Q889" s="89">
        <v>2899.5030000000002</v>
      </c>
      <c r="R889" s="89">
        <v>2899.5030000000002</v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>
        <v>1</v>
      </c>
    </row>
    <row r="890" spans="1:24">
      <c r="A890" s="26">
        <v>1319</v>
      </c>
      <c r="B890" s="87">
        <v>46240.388449074097</v>
      </c>
      <c r="C890" s="87">
        <v>46240.389293981498</v>
      </c>
      <c r="D890" t="str">
        <v>anónimo</v>
      </c>
      <c r="E890" t="str">
        <v/>
      </c>
      <c r="F890" s="68">
        <v>46240</v>
      </c>
      <c r="G890" s="88">
        <v>46240</v>
      </c>
      <c r="H890" t="str">
        <v>MAGALI MARTINEZ EXT 2</v>
      </c>
      <c r="I890" t="str">
        <v>FAHGRE FALLAD CHAVEZ</v>
      </c>
      <c r="J890" s="82" t="str">
        <v>04866406194</v>
      </c>
      <c r="K890" t="str">
        <v>FACF640810HJCLHH04</v>
      </c>
      <c r="L890" s="82">
        <v>2</v>
      </c>
      <c r="M890" s="82">
        <v>3221903101</v>
      </c>
      <c r="N890" t="str">
        <v>NUEVO MAYOR</v>
      </c>
      <c r="O890" s="89">
        <v>10636.54</v>
      </c>
      <c r="P890" s="89" t="str">
        <v/>
      </c>
      <c r="Q890" s="89">
        <v>3190.962</v>
      </c>
      <c r="R890" s="89">
        <v>3190.962</v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>
        <v>1</v>
      </c>
    </row>
    <row r="891" spans="1:24">
      <c r="A891" s="26">
        <v>1321</v>
      </c>
      <c r="B891" s="87">
        <v>46240.421273148197</v>
      </c>
      <c r="C891" s="87">
        <v>46240.421770833302</v>
      </c>
      <c r="D891" t="str">
        <v>anónimo</v>
      </c>
      <c r="E891" t="str">
        <v/>
      </c>
      <c r="F891" s="68">
        <v>46240</v>
      </c>
      <c r="G891" s="88">
        <v>46240</v>
      </c>
      <c r="H891" t="str">
        <v>GIOVANNI MELGAR</v>
      </c>
      <c r="I891" t="str">
        <v>MARIA SALUSTIA HERNANDEZ BARRON</v>
      </c>
      <c r="J891" s="82" t="str">
        <v>41846308942</v>
      </c>
      <c r="K891" t="str">
        <v>HEBS630914MSPRRL07</v>
      </c>
      <c r="L891" s="82">
        <v>23412980</v>
      </c>
      <c r="M891" s="82">
        <v>5214443707879</v>
      </c>
      <c r="N891" t="str">
        <v>NUEVO MENOR</v>
      </c>
      <c r="O891" s="89">
        <v>7920.51</v>
      </c>
      <c r="P891" s="89">
        <v>1860.04</v>
      </c>
      <c r="Q891" s="89">
        <v>2376.1529999999998</v>
      </c>
      <c r="R891" s="89">
        <v>516.11299999999983</v>
      </c>
      <c r="S891">
        <v>46722</v>
      </c>
      <c r="T891" t="str">
        <v>FISOFO</v>
      </c>
      <c r="U891" t="str">
        <v/>
      </c>
      <c r="V891" t="str">
        <v/>
      </c>
      <c r="W891" t="str">
        <v/>
      </c>
      <c r="X891">
        <v>2</v>
      </c>
    </row>
    <row r="892" spans="1:24">
      <c r="A892" s="26">
        <v>1322</v>
      </c>
      <c r="B892" s="87">
        <v>46240.4376388889</v>
      </c>
      <c r="C892" s="87">
        <v>46240.438877314802</v>
      </c>
      <c r="D892" t="str">
        <v>anónimo</v>
      </c>
      <c r="E892" t="str">
        <v/>
      </c>
      <c r="F892" s="68">
        <v>46240</v>
      </c>
      <c r="G892" s="88">
        <v>46265</v>
      </c>
      <c r="H892" t="str">
        <v>MAGALI HERNANDEZ C/C</v>
      </c>
      <c r="I892" t="str">
        <v xml:space="preserve">	EFRAIN 	MORALES 	VILLAMAR</v>
      </c>
      <c r="J892" s="82" t="str">
        <v/>
      </c>
      <c r="K892" t="str">
        <v>MOVE611223HMNRLF02</v>
      </c>
      <c r="L892" s="82">
        <v>23265498</v>
      </c>
      <c r="M892" s="82">
        <v>5214271953998</v>
      </c>
      <c r="N892" t="str">
        <v>NUEVO MAYOR</v>
      </c>
      <c r="O892" s="89">
        <v>19174.27</v>
      </c>
      <c r="P892" s="89">
        <v>879</v>
      </c>
      <c r="Q892" s="89">
        <v>5752.2809999999999</v>
      </c>
      <c r="R892" s="89">
        <v>4873.2809999999999</v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>
        <v>1</v>
      </c>
    </row>
    <row r="893" spans="1:24">
      <c r="A893" s="26">
        <v>1323</v>
      </c>
      <c r="B893" s="87">
        <v>46240.442650463003</v>
      </c>
      <c r="C893" s="87">
        <v>46240.4437384259</v>
      </c>
      <c r="D893" t="str">
        <v>anónimo</v>
      </c>
      <c r="E893" t="str">
        <v/>
      </c>
      <c r="F893" s="68">
        <v>46240</v>
      </c>
      <c r="G893" s="88">
        <v>46240</v>
      </c>
      <c r="H893" t="str">
        <v>CARRANZA SARDINA C/C</v>
      </c>
      <c r="I893" t="str">
        <v/>
      </c>
      <c r="J893" s="82">
        <v>90906408076</v>
      </c>
      <c r="K893" t="str">
        <v/>
      </c>
      <c r="L893" s="82">
        <v>23419186</v>
      </c>
      <c r="M893" s="82">
        <v>4426061728</v>
      </c>
      <c r="N893" t="str">
        <v>NUEVO MAYOR</v>
      </c>
      <c r="O893" s="89">
        <v>9081.52</v>
      </c>
      <c r="P893" s="89" t="str">
        <v/>
      </c>
      <c r="Q893" s="89">
        <v>2724.4560000000001</v>
      </c>
      <c r="R893" s="89">
        <v>2724.4560000000001</v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>
        <v>1</v>
      </c>
    </row>
    <row r="894" spans="1:24">
      <c r="A894" s="26">
        <v>1324</v>
      </c>
      <c r="B894" s="87">
        <v>46240.443865740701</v>
      </c>
      <c r="C894" s="87">
        <v>46240.4442361111</v>
      </c>
      <c r="D894" t="str">
        <v>anónimo</v>
      </c>
      <c r="E894" t="str">
        <v/>
      </c>
      <c r="F894" s="68">
        <v>46240</v>
      </c>
      <c r="G894" s="88">
        <v>46240</v>
      </c>
      <c r="H894" t="str">
        <v>GIOVANNI MELGAR</v>
      </c>
      <c r="I894" t="str">
        <v>ADELFO CORTES SANTIAGO</v>
      </c>
      <c r="J894" s="82" t="str">
        <v>67796007580</v>
      </c>
      <c r="K894" t="str">
        <v xml:space="preserve"> COSA600829HVZRND05</v>
      </c>
      <c r="L894" s="82">
        <v>23412810</v>
      </c>
      <c r="M894" s="82">
        <v>23412810</v>
      </c>
      <c r="N894" t="str">
        <v>COMPRA MAYOR</v>
      </c>
      <c r="O894" s="89">
        <v>7448.15</v>
      </c>
      <c r="P894" s="89">
        <v>2153.79</v>
      </c>
      <c r="Q894" s="89">
        <v>2234.4449999999997</v>
      </c>
      <c r="R894" s="89">
        <v>80.654999999999745</v>
      </c>
      <c r="S894">
        <v>46235</v>
      </c>
      <c r="T894" t="str">
        <v/>
      </c>
      <c r="U894" t="str">
        <v/>
      </c>
      <c r="V894" t="str">
        <v/>
      </c>
      <c r="W894" t="str">
        <v/>
      </c>
      <c r="X894">
        <v>2</v>
      </c>
    </row>
    <row r="895" spans="1:24">
      <c r="A895" s="26">
        <v>1325</v>
      </c>
      <c r="B895" s="87">
        <v>46240.450613425899</v>
      </c>
      <c r="C895" s="87">
        <v>46240.4523611111</v>
      </c>
      <c r="D895" t="str">
        <v>anónimo</v>
      </c>
      <c r="E895" t="str">
        <v/>
      </c>
      <c r="F895" s="68">
        <v>46240</v>
      </c>
      <c r="G895" s="88">
        <v>46240</v>
      </c>
      <c r="H895" t="str">
        <v>ALAN ALTAMIRANO EXT</v>
      </c>
      <c r="I895" t="str">
        <v/>
      </c>
      <c r="J895" s="82">
        <v>49845906715</v>
      </c>
      <c r="K895" t="str">
        <v/>
      </c>
      <c r="L895" s="82">
        <v>1</v>
      </c>
      <c r="M895" s="82">
        <v>8992250044</v>
      </c>
      <c r="N895" t="str">
        <v>NUEVO MAYOR</v>
      </c>
      <c r="O895" s="89">
        <v>7116.73</v>
      </c>
      <c r="P895" s="89" t="str">
        <v/>
      </c>
      <c r="Q895" s="89">
        <v>2135.0189999999998</v>
      </c>
      <c r="R895" s="89">
        <v>2135.0189999999998</v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>
        <v>1</v>
      </c>
    </row>
    <row r="896" spans="1:24">
      <c r="A896" s="26">
        <v>1326</v>
      </c>
      <c r="B896" s="87">
        <v>46240.451331018499</v>
      </c>
      <c r="C896" s="87">
        <v>46240.452685185199</v>
      </c>
      <c r="D896" t="str">
        <v>anónimo</v>
      </c>
      <c r="E896" t="str">
        <v/>
      </c>
      <c r="F896" s="68">
        <v>46240</v>
      </c>
      <c r="G896" s="88">
        <v>46240</v>
      </c>
      <c r="H896" t="str">
        <v>CARRANZA SARDINA C/C</v>
      </c>
      <c r="I896" t="str">
        <v>Matias Izaguirre</v>
      </c>
      <c r="J896" s="82" t="str">
        <v/>
      </c>
      <c r="K896" t="str">
        <v>IAMM590130HSPZRT09</v>
      </c>
      <c r="L896" s="82">
        <v>23422730</v>
      </c>
      <c r="M896" s="82">
        <v>8125935073</v>
      </c>
      <c r="N896" t="str">
        <v>COMPRA MAYOR</v>
      </c>
      <c r="O896" s="89">
        <v>8995.2999999999993</v>
      </c>
      <c r="P896" s="89">
        <v>2495.94</v>
      </c>
      <c r="Q896" s="89">
        <v>2698.5899999999997</v>
      </c>
      <c r="R896" s="89">
        <v>202.64999999999964</v>
      </c>
      <c r="S896">
        <v>46204</v>
      </c>
      <c r="T896" t="str">
        <v/>
      </c>
      <c r="U896" t="str">
        <v/>
      </c>
      <c r="V896" t="str">
        <v/>
      </c>
      <c r="W896" t="str">
        <v/>
      </c>
      <c r="X896">
        <v>2</v>
      </c>
    </row>
    <row r="897" spans="1:24">
      <c r="A897" s="26">
        <v>1330</v>
      </c>
      <c r="B897" s="87">
        <v>46240.442326388897</v>
      </c>
      <c r="C897" s="87">
        <v>46240.458356481497</v>
      </c>
      <c r="D897" t="str">
        <v>anónimo</v>
      </c>
      <c r="E897" t="str">
        <v/>
      </c>
      <c r="F897" s="68">
        <v>46240</v>
      </c>
      <c r="G897" s="88">
        <v>46240</v>
      </c>
      <c r="H897" t="str">
        <v>YAMILETH CARDONA EXT 2</v>
      </c>
      <c r="I897" t="str">
        <v>BERNARDINO ESPINOZA GODINEZ</v>
      </c>
      <c r="J897" s="82" t="str">
        <v>01563825486</v>
      </c>
      <c r="K897" t="str">
        <v>EIGB390520HDFSDR09</v>
      </c>
      <c r="L897" s="82">
        <v>2</v>
      </c>
      <c r="M897" s="82">
        <v>5519365082</v>
      </c>
      <c r="N897" t="str">
        <v>COMPRA MENOR</v>
      </c>
      <c r="O897" s="89">
        <v>20932.82</v>
      </c>
      <c r="P897" s="89">
        <v>6277.52</v>
      </c>
      <c r="Q897" s="89">
        <v>6279.8459999999995</v>
      </c>
      <c r="R897" s="89">
        <v>2.3259999999991123</v>
      </c>
      <c r="S897">
        <v>46204</v>
      </c>
      <c r="T897" t="str">
        <v/>
      </c>
      <c r="U897" t="str">
        <v/>
      </c>
      <c r="V897" t="str">
        <v/>
      </c>
      <c r="W897" t="str">
        <v/>
      </c>
      <c r="X897">
        <v>2</v>
      </c>
    </row>
    <row r="898" spans="1:24">
      <c r="A898" s="26">
        <v>1331</v>
      </c>
      <c r="B898" s="87">
        <v>46240.466550925899</v>
      </c>
      <c r="C898" s="87">
        <v>46240.469409722202</v>
      </c>
      <c r="D898" t="str">
        <v>anónimo</v>
      </c>
      <c r="E898" t="str">
        <v/>
      </c>
      <c r="F898" s="68">
        <v>46240</v>
      </c>
      <c r="G898" s="88">
        <v>46240</v>
      </c>
      <c r="H898" t="str">
        <v>CARRANZA SARDINA C/C</v>
      </c>
      <c r="I898" t="str">
        <v>Evangelina Dimas Ruvalcaba</v>
      </c>
      <c r="J898" s="82" t="str">
        <v/>
      </c>
      <c r="K898" t="str">
        <v>DIRE690709MNTMVV02</v>
      </c>
      <c r="L898" s="82">
        <v>23420092</v>
      </c>
      <c r="M898" s="82">
        <v>3222056845</v>
      </c>
      <c r="N898" t="str">
        <v>NUEVO MAYOR</v>
      </c>
      <c r="O898" s="89">
        <v>7135.6</v>
      </c>
      <c r="P898" s="89" t="str">
        <v/>
      </c>
      <c r="Q898" s="89">
        <v>2140.6799999999998</v>
      </c>
      <c r="R898" s="89">
        <v>2140.6799999999998</v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>
        <v>1</v>
      </c>
    </row>
    <row r="899" spans="1:24">
      <c r="A899" s="26">
        <v>1337</v>
      </c>
      <c r="B899" s="87">
        <v>46240.492210648197</v>
      </c>
      <c r="C899" s="87">
        <v>46240.504826388897</v>
      </c>
      <c r="D899" t="str">
        <v>anónimo</v>
      </c>
      <c r="E899" t="str">
        <v/>
      </c>
      <c r="F899" s="68">
        <v>46240</v>
      </c>
      <c r="G899" s="88">
        <v>46237</v>
      </c>
      <c r="H899" t="str">
        <v>ANA VILLEGAS C/C</v>
      </c>
      <c r="I899" t="str">
        <v xml:space="preserve">ELIAS ESCOBAR </v>
      </c>
      <c r="J899" s="82" t="str">
        <v/>
      </c>
      <c r="K899" t="str">
        <v>EODE560130HOCSZL01</v>
      </c>
      <c r="L899" s="82">
        <v>23334050</v>
      </c>
      <c r="M899" s="82">
        <v>5215587052227</v>
      </c>
      <c r="N899" t="str">
        <v>RESTRINGIDA</v>
      </c>
      <c r="O899" s="89">
        <v>25093.83</v>
      </c>
      <c r="P899" s="89">
        <v>6966.74</v>
      </c>
      <c r="Q899" s="89">
        <v>7528.1490000000003</v>
      </c>
      <c r="R899" s="89">
        <v>561.40900000000056</v>
      </c>
      <c r="S899">
        <v>45717</v>
      </c>
      <c r="T899" t="str">
        <v>CONSUBANCO</v>
      </c>
      <c r="U899" t="str">
        <v/>
      </c>
      <c r="V899" t="str">
        <v/>
      </c>
      <c r="W899" t="str">
        <v/>
      </c>
      <c r="X899">
        <v>2</v>
      </c>
    </row>
    <row r="900" spans="1:24">
      <c r="A900" s="26">
        <v>1339</v>
      </c>
      <c r="B900" s="87">
        <v>46240.454710648097</v>
      </c>
      <c r="C900" s="87">
        <v>46240.507372685199</v>
      </c>
      <c r="D900" t="str">
        <v>anónimo</v>
      </c>
      <c r="E900" t="str">
        <v/>
      </c>
      <c r="F900" s="68">
        <v>46240</v>
      </c>
      <c r="G900" s="88">
        <v>46238</v>
      </c>
      <c r="H900" t="str">
        <v>LILIANA MARTINEZ SUR</v>
      </c>
      <c r="I900" t="str">
        <v>GERMAN BARRIENTOS VAZQUEZ</v>
      </c>
      <c r="J900" s="82" t="str">
        <v/>
      </c>
      <c r="K900" t="str">
        <v>BAVG601106HGTRZR03</v>
      </c>
      <c r="L900" s="82">
        <v>23353500</v>
      </c>
      <c r="M900" s="82">
        <v>5214773043868</v>
      </c>
      <c r="N900" t="str">
        <v>RESTRINGIDA</v>
      </c>
      <c r="O900" s="89">
        <v>5317.63</v>
      </c>
      <c r="P900" s="89">
        <v>1336.03</v>
      </c>
      <c r="Q900" s="89">
        <v>1595.289</v>
      </c>
      <c r="R900" s="89">
        <v>-191.37999999999943</v>
      </c>
      <c r="S900">
        <v>46235</v>
      </c>
      <c r="T900" t="str">
        <v>FISOFO</v>
      </c>
      <c r="U900" t="str">
        <v/>
      </c>
      <c r="V900" t="str">
        <v/>
      </c>
      <c r="W900" t="str">
        <v/>
      </c>
      <c r="X900">
        <v>2</v>
      </c>
    </row>
    <row r="901" spans="1:24">
      <c r="A901" s="26">
        <v>1341</v>
      </c>
      <c r="B901" s="87">
        <v>46240.485358796301</v>
      </c>
      <c r="C901" s="87">
        <v>46240.514085648101</v>
      </c>
      <c r="D901" t="str">
        <v>anónimo</v>
      </c>
      <c r="E901" t="str">
        <v/>
      </c>
      <c r="F901" s="68">
        <v>46240</v>
      </c>
      <c r="G901" s="88">
        <v>46239</v>
      </c>
      <c r="H901" t="str">
        <v>ROSA CASTRO SUR</v>
      </c>
      <c r="I901" t="str">
        <v>JOAQUIN MARTINEZ COXCA</v>
      </c>
      <c r="J901" s="82" t="str">
        <v/>
      </c>
      <c r="K901" t="str">
        <v>MACJ640405HPLRXQ01</v>
      </c>
      <c r="L901" s="82">
        <v>23411706</v>
      </c>
      <c r="M901" s="82">
        <v>5212212640141</v>
      </c>
      <c r="N901" t="str">
        <v>NUEVO MAYOR</v>
      </c>
      <c r="O901" s="89">
        <v>33183.879999999997</v>
      </c>
      <c r="P901" s="89" t="str">
        <v/>
      </c>
      <c r="Q901" s="89">
        <v>9955.1639999999989</v>
      </c>
      <c r="R901" s="89">
        <v>9955.1639999999989</v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>
        <v>1</v>
      </c>
    </row>
    <row r="902" spans="1:24">
      <c r="A902" s="26">
        <v>1342</v>
      </c>
      <c r="B902" s="87">
        <v>46240.508587962999</v>
      </c>
      <c r="C902" s="87">
        <v>46240.526562500003</v>
      </c>
      <c r="D902" t="str">
        <v>anónimo</v>
      </c>
      <c r="E902" t="str">
        <v/>
      </c>
      <c r="F902" s="68">
        <v>46240</v>
      </c>
      <c r="G902" s="88">
        <v>46240</v>
      </c>
      <c r="H902" t="str">
        <v>ANA VILLEGAS C/C</v>
      </c>
      <c r="I902" t="str">
        <v xml:space="preserve">DANIEL </v>
      </c>
      <c r="J902" s="82" t="str">
        <v/>
      </c>
      <c r="K902" t="str">
        <v>AAGD640408HDFLNN04</v>
      </c>
      <c r="L902" s="82">
        <v>23424784</v>
      </c>
      <c r="M902" s="82">
        <v>5215545328701</v>
      </c>
      <c r="N902" t="str">
        <v>NUEVO MAYOR</v>
      </c>
      <c r="O902" s="89">
        <v>47033.56</v>
      </c>
      <c r="P902" s="89" t="str">
        <v/>
      </c>
      <c r="Q902" s="89">
        <v>14110.067999999999</v>
      </c>
      <c r="R902" s="89">
        <v>14110.067999999999</v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>
        <v>1</v>
      </c>
    </row>
    <row r="903" spans="1:24">
      <c r="A903" s="26">
        <v>1347</v>
      </c>
      <c r="B903" s="87">
        <v>46240.558807870402</v>
      </c>
      <c r="C903" s="87">
        <v>46240.559583333299</v>
      </c>
      <c r="D903" t="str">
        <v>anónimo</v>
      </c>
      <c r="E903" t="str">
        <v/>
      </c>
      <c r="F903" s="68">
        <v>46240</v>
      </c>
      <c r="G903" s="88">
        <v>46238</v>
      </c>
      <c r="H903" t="str">
        <v>DULCE FRANCO C/C</v>
      </c>
      <c r="I903" t="str">
        <v>Manuel Suárez Hernández</v>
      </c>
      <c r="J903" s="82">
        <v>65835944995</v>
      </c>
      <c r="K903" t="str">
        <v>SUHM580329HVZRRN04</v>
      </c>
      <c r="L903" s="82">
        <v>23376080</v>
      </c>
      <c r="M903" s="82">
        <v>5215520046644</v>
      </c>
      <c r="N903" t="str">
        <v>NUEVO MAYOR</v>
      </c>
      <c r="O903" s="89">
        <v>9277.4</v>
      </c>
      <c r="P903" s="89" t="str">
        <v/>
      </c>
      <c r="Q903" s="89">
        <v>2783.22</v>
      </c>
      <c r="R903" s="89">
        <v>2783.22</v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>
        <v>1</v>
      </c>
    </row>
    <row r="904" spans="1:24">
      <c r="A904" s="26">
        <v>1359</v>
      </c>
      <c r="B904" s="87">
        <v>46240.611215277801</v>
      </c>
      <c r="C904" s="87">
        <v>46240.612037036997</v>
      </c>
      <c r="D904" t="str">
        <v>anónimo</v>
      </c>
      <c r="E904" t="str">
        <v/>
      </c>
      <c r="F904" s="68">
        <v>46240</v>
      </c>
      <c r="G904" s="88">
        <v>46240</v>
      </c>
      <c r="H904" t="str">
        <v>ALAN ALTAMIRANO EXT</v>
      </c>
      <c r="I904" t="str">
        <v>JUAN ORLANDO GUTIERREZ OCHOA</v>
      </c>
      <c r="J904" s="82">
        <v>71846510916</v>
      </c>
      <c r="K904" t="str">
        <v/>
      </c>
      <c r="L904" s="82">
        <v>1</v>
      </c>
      <c r="M904" s="82">
        <v>9611918568</v>
      </c>
      <c r="N904" t="str">
        <v>NUEVO MENOR</v>
      </c>
      <c r="O904" s="89">
        <v>9759.42</v>
      </c>
      <c r="P904" s="89">
        <v>2016.05</v>
      </c>
      <c r="Q904" s="89">
        <v>2927.826</v>
      </c>
      <c r="R904" s="89">
        <v>911.77600000000007</v>
      </c>
      <c r="S904">
        <v>46661</v>
      </c>
      <c r="T904" t="str">
        <v>CONSUBANCO</v>
      </c>
      <c r="U904" t="str">
        <v/>
      </c>
      <c r="V904" t="str">
        <v/>
      </c>
      <c r="W904" t="str">
        <v/>
      </c>
      <c r="X904">
        <v>2</v>
      </c>
    </row>
    <row r="905" spans="1:24">
      <c r="A905" s="26">
        <v>1360</v>
      </c>
      <c r="B905" s="87">
        <v>46240.597951388903</v>
      </c>
      <c r="C905" s="87">
        <v>46240.614374999997</v>
      </c>
      <c r="D905" t="str">
        <v>anónimo</v>
      </c>
      <c r="E905" t="str">
        <v/>
      </c>
      <c r="F905" s="68">
        <v>46240</v>
      </c>
      <c r="G905" s="88">
        <v>46240</v>
      </c>
      <c r="H905" t="str">
        <v>YAMILETH CARDONA EXT 2</v>
      </c>
      <c r="I905" t="str">
        <v>PETRA DOMINGUEZ GARCIA</v>
      </c>
      <c r="J905" s="82">
        <v>17816220762</v>
      </c>
      <c r="K905" t="str">
        <v>DOGP620122MPLMRT00</v>
      </c>
      <c r="L905" s="82">
        <v>2</v>
      </c>
      <c r="M905" s="82" t="str">
        <v>55 3034 5735</v>
      </c>
      <c r="N905" t="str">
        <v>RESTRINGIDA</v>
      </c>
      <c r="O905" s="89">
        <v>7116.73</v>
      </c>
      <c r="P905" s="89">
        <v>1781.49</v>
      </c>
      <c r="Q905" s="89">
        <v>2135.0189999999998</v>
      </c>
      <c r="R905" s="89">
        <v>353.52899999999977</v>
      </c>
      <c r="S905">
        <v>45748</v>
      </c>
      <c r="T905" t="str">
        <v>CONSUBANCO</v>
      </c>
      <c r="U905" t="str">
        <v/>
      </c>
      <c r="V905" t="str">
        <v/>
      </c>
      <c r="W905" t="str">
        <v/>
      </c>
      <c r="X905">
        <v>2</v>
      </c>
    </row>
    <row r="906" spans="1:24">
      <c r="A906" s="26">
        <v>1361</v>
      </c>
      <c r="B906" s="87">
        <v>46240.6143981481</v>
      </c>
      <c r="C906" s="87">
        <v>46240.618553240703</v>
      </c>
      <c r="D906" t="str">
        <v>anónimo</v>
      </c>
      <c r="E906" t="str">
        <v/>
      </c>
      <c r="F906" s="68">
        <v>46240</v>
      </c>
      <c r="G906" s="88">
        <v>46240</v>
      </c>
      <c r="H906" t="str">
        <v>YAMILETH CARDONA EXT 2</v>
      </c>
      <c r="I906" t="str">
        <v>EVANGELINA DIMAS RUVALCABA</v>
      </c>
      <c r="J906" s="82">
        <v>54896986590</v>
      </c>
      <c r="K906" t="str">
        <v>DIRE690709MNTMVV02</v>
      </c>
      <c r="L906" s="82">
        <v>2</v>
      </c>
      <c r="M906" s="82">
        <v>3222056845</v>
      </c>
      <c r="N906" t="str">
        <v>NUEVO MAYOR</v>
      </c>
      <c r="O906" s="89">
        <v>7135.6</v>
      </c>
      <c r="P906" s="89" t="str">
        <v/>
      </c>
      <c r="Q906" s="89">
        <v>2140.6799999999998</v>
      </c>
      <c r="R906" s="89">
        <v>2140.6799999999998</v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>
        <v>1</v>
      </c>
    </row>
    <row r="907" spans="1:24">
      <c r="A907" s="26">
        <v>1362</v>
      </c>
      <c r="B907" s="87">
        <v>46240.601087962998</v>
      </c>
      <c r="C907" s="87">
        <v>46240.6247337963</v>
      </c>
      <c r="D907" t="str">
        <v>anónimo</v>
      </c>
      <c r="E907" t="str">
        <v/>
      </c>
      <c r="F907" s="68">
        <v>46240</v>
      </c>
      <c r="G907" s="88">
        <v>46239</v>
      </c>
      <c r="H907" t="str">
        <v>GIOVANNI MELGAR</v>
      </c>
      <c r="I907" t="str">
        <v>JOSE HILARIO RUGERIO PEREZ</v>
      </c>
      <c r="J907" s="82" t="str">
        <v>65825127650</v>
      </c>
      <c r="K907" t="str">
        <v>RUPH510228HPLGRL02</v>
      </c>
      <c r="L907" s="82">
        <v>23412494</v>
      </c>
      <c r="M907" s="82">
        <v>5212297806361</v>
      </c>
      <c r="N907" t="str">
        <v>COMPRA MAYOR</v>
      </c>
      <c r="O907" s="89">
        <v>14096.82</v>
      </c>
      <c r="P907" s="89">
        <v>4077.54</v>
      </c>
      <c r="Q907" s="89">
        <v>4229.0459999999994</v>
      </c>
      <c r="R907" s="89">
        <v>151.5059999999994</v>
      </c>
      <c r="S907">
        <v>46174</v>
      </c>
      <c r="T907" t="str">
        <v/>
      </c>
      <c r="U907" t="str">
        <v/>
      </c>
      <c r="V907" t="str">
        <v/>
      </c>
      <c r="W907" t="str">
        <v/>
      </c>
      <c r="X907">
        <v>2</v>
      </c>
    </row>
    <row r="908" spans="1:24">
      <c r="A908" s="26">
        <v>1364</v>
      </c>
      <c r="B908" s="87">
        <v>46240.6102777778</v>
      </c>
      <c r="C908" s="87">
        <v>46240.631157407399</v>
      </c>
      <c r="D908" t="str">
        <v>anónimo</v>
      </c>
      <c r="E908" t="str">
        <v/>
      </c>
      <c r="F908" s="68">
        <v>46240</v>
      </c>
      <c r="G908" s="88">
        <v>46240</v>
      </c>
      <c r="H908" t="str">
        <v>KARINA MATA C/C</v>
      </c>
      <c r="I908" t="str">
        <v>Miguel Angel Marquez Flores</v>
      </c>
      <c r="J908" s="82" t="str">
        <v>51735710181</v>
      </c>
      <c r="K908" t="str">
        <v/>
      </c>
      <c r="L908" s="82">
        <v>23427692</v>
      </c>
      <c r="M908" s="82">
        <v>4495429412</v>
      </c>
      <c r="N908" t="str">
        <v>NUEVO MENOR</v>
      </c>
      <c r="O908" s="89">
        <v>9185.5300000000007</v>
      </c>
      <c r="P908" s="89">
        <v>2050</v>
      </c>
      <c r="Q908" s="89">
        <v>2755.6590000000001</v>
      </c>
      <c r="R908" s="89">
        <v>705.65900000000011</v>
      </c>
      <c r="S908">
        <v>46296</v>
      </c>
      <c r="T908" t="str">
        <v/>
      </c>
      <c r="U908" t="str">
        <v/>
      </c>
      <c r="V908" t="str">
        <v/>
      </c>
      <c r="W908" t="str">
        <v/>
      </c>
      <c r="X908">
        <v>2</v>
      </c>
    </row>
    <row r="909" spans="1:24">
      <c r="A909" s="26">
        <v>1366</v>
      </c>
      <c r="B909" s="87">
        <v>46240.639398148203</v>
      </c>
      <c r="C909" s="87">
        <v>46240.642835648097</v>
      </c>
      <c r="D909" t="str">
        <v>anónimo</v>
      </c>
      <c r="E909" t="str">
        <v/>
      </c>
      <c r="F909" s="68">
        <v>46240</v>
      </c>
      <c r="G909" s="88">
        <v>46238</v>
      </c>
      <c r="H909" t="str">
        <v>JENNIFER AVENDAÑO SUR</v>
      </c>
      <c r="I909" t="str">
        <v>CARMELA MARTINEZ OLIVERA</v>
      </c>
      <c r="J909" s="82">
        <v>78866415314</v>
      </c>
      <c r="K909" t="str">
        <v>MAOC640105MOCRLR01</v>
      </c>
      <c r="L909" s="82">
        <v>23367392</v>
      </c>
      <c r="M909" s="82">
        <v>5219511779936</v>
      </c>
      <c r="N909" t="str">
        <v>NUEVO MAYOR</v>
      </c>
      <c r="O909" s="89">
        <v>10636.34</v>
      </c>
      <c r="P909" s="89" t="str">
        <v/>
      </c>
      <c r="Q909" s="89">
        <v>3190.902</v>
      </c>
      <c r="R909" s="89">
        <v>3190.902</v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>
        <v>1</v>
      </c>
    </row>
    <row r="910" spans="1:24">
      <c r="A910" s="26">
        <v>1371</v>
      </c>
      <c r="B910" s="87">
        <v>46240.656863425902</v>
      </c>
      <c r="C910" s="87">
        <v>46240.657361111102</v>
      </c>
      <c r="D910" t="str">
        <v>anónimo</v>
      </c>
      <c r="E910" t="str">
        <v/>
      </c>
      <c r="F910" s="68">
        <v>46240</v>
      </c>
      <c r="G910" s="88">
        <v>46240</v>
      </c>
      <c r="H910" t="str">
        <v>GIOVANNI MELGAR</v>
      </c>
      <c r="I910" t="str">
        <v>DAVID ROMERO AGUILAR</v>
      </c>
      <c r="J910" s="82" t="str">
        <v>23776001143</v>
      </c>
      <c r="K910" t="str">
        <v xml:space="preserve"> ROAD600531HSLMGV03</v>
      </c>
      <c r="L910" s="82">
        <v>23429906</v>
      </c>
      <c r="M910" s="82">
        <v>5216674982076</v>
      </c>
      <c r="N910" t="str">
        <v>RESTRINGIDA</v>
      </c>
      <c r="O910" s="89">
        <v>6262.86</v>
      </c>
      <c r="P910" s="89">
        <v>1532.08</v>
      </c>
      <c r="Q910" s="89">
        <v>1878.8579999999997</v>
      </c>
      <c r="R910" s="89">
        <v>346.77799999999979</v>
      </c>
      <c r="S910">
        <v>45566</v>
      </c>
      <c r="T910" t="str">
        <v>CONSUBANCO</v>
      </c>
      <c r="U910" t="str">
        <v/>
      </c>
      <c r="V910" t="str">
        <v/>
      </c>
      <c r="W910" t="str">
        <v/>
      </c>
      <c r="X910">
        <v>2</v>
      </c>
    </row>
    <row r="911" spans="1:24">
      <c r="A911" s="26">
        <v>1375</v>
      </c>
      <c r="B911" s="87">
        <v>46240.668564814798</v>
      </c>
      <c r="C911" s="87">
        <v>46240.679178240702</v>
      </c>
      <c r="D911" t="str">
        <v>anónimo</v>
      </c>
      <c r="E911" t="str">
        <v/>
      </c>
      <c r="F911" s="68">
        <v>46240</v>
      </c>
      <c r="G911" s="88">
        <v>46239</v>
      </c>
      <c r="H911" t="str">
        <v>LILIANA MARTINEZ SUR</v>
      </c>
      <c r="I911" t="str">
        <v>SAMUEL CRUZ DE LA CRUZ</v>
      </c>
      <c r="J911" s="82" t="str">
        <v>64856954549</v>
      </c>
      <c r="K911" t="str">
        <v>CUCS690409HTCRRM08</v>
      </c>
      <c r="L911" s="82">
        <v>23411740</v>
      </c>
      <c r="M911" s="82">
        <v>5219211244326</v>
      </c>
      <c r="N911" t="str">
        <v>NUEVO MAYOR</v>
      </c>
      <c r="O911" s="89">
        <v>9793.09</v>
      </c>
      <c r="P911" s="89" t="str">
        <v/>
      </c>
      <c r="Q911" s="89">
        <v>2937.9270000000001</v>
      </c>
      <c r="R911" s="89">
        <v>2937.9270000000001</v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>
        <v>1</v>
      </c>
    </row>
    <row r="912" spans="1:24">
      <c r="A912" s="26">
        <v>1377</v>
      </c>
      <c r="B912" s="87">
        <v>46240.679467592599</v>
      </c>
      <c r="C912" s="87">
        <v>46240.6819328704</v>
      </c>
      <c r="D912" t="str">
        <v>anónimo</v>
      </c>
      <c r="E912" t="str">
        <v/>
      </c>
      <c r="F912" s="68">
        <v>46240</v>
      </c>
      <c r="G912" s="88">
        <v>46238</v>
      </c>
      <c r="H912" t="str">
        <v>JENNIFER AVENDAÑO SUR</v>
      </c>
      <c r="I912" t="str">
        <v>JOSE LUIS DANZOS ROMERO</v>
      </c>
      <c r="J912" s="82">
        <v>24826125874</v>
      </c>
      <c r="K912" t="str">
        <v>DARL610616HSRNMS09</v>
      </c>
      <c r="L912" s="82">
        <v>23360864</v>
      </c>
      <c r="M912" s="82">
        <v>5216622297306</v>
      </c>
      <c r="N912" t="str">
        <v>NUEVO MAYOR</v>
      </c>
      <c r="O912" s="89">
        <v>8113.78</v>
      </c>
      <c r="P912" s="89">
        <v>848</v>
      </c>
      <c r="Q912" s="89">
        <v>2434.134</v>
      </c>
      <c r="R912" s="89">
        <v>1586.134</v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>
        <v>1</v>
      </c>
    </row>
    <row r="913" spans="1:24">
      <c r="A913" s="26">
        <v>1379</v>
      </c>
      <c r="B913" s="87">
        <v>46240.682974536998</v>
      </c>
      <c r="C913" s="87">
        <v>46240.684479166703</v>
      </c>
      <c r="D913" t="str">
        <v>anónimo</v>
      </c>
      <c r="E913" t="str">
        <v/>
      </c>
      <c r="F913" s="68">
        <v>46240</v>
      </c>
      <c r="G913" s="88">
        <v>46240</v>
      </c>
      <c r="H913" t="str">
        <v>LITZY MARTINEZ C/C</v>
      </c>
      <c r="I913" t="str">
        <v>Rodrigo Navarro Rodríguez</v>
      </c>
      <c r="J913" s="82" t="str">
        <v>49947801673</v>
      </c>
      <c r="K913" t="str">
        <v/>
      </c>
      <c r="L913" s="82">
        <v>23429860</v>
      </c>
      <c r="M913" s="82">
        <v>8140080523</v>
      </c>
      <c r="N913" t="str">
        <v>NUEVO MAYOR</v>
      </c>
      <c r="O913" s="89">
        <v>9582.4699999999993</v>
      </c>
      <c r="P913" s="89" t="str">
        <v/>
      </c>
      <c r="Q913" s="89">
        <v>2874.7409999999995</v>
      </c>
      <c r="R913" s="89">
        <v>2874.7409999999995</v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>
        <v>1</v>
      </c>
    </row>
    <row r="914" spans="1:24">
      <c r="A914" s="26">
        <v>1380</v>
      </c>
      <c r="B914" s="87">
        <v>46240.684259259302</v>
      </c>
      <c r="C914" s="87">
        <v>46240.685844907399</v>
      </c>
      <c r="D914" t="str">
        <v>anónimo</v>
      </c>
      <c r="E914" t="str">
        <v/>
      </c>
      <c r="F914" s="68">
        <v>46240</v>
      </c>
      <c r="G914" s="88">
        <v>46235</v>
      </c>
      <c r="H914" t="str">
        <v>CARRANZA SARDINA C/C</v>
      </c>
      <c r="I914" t="str">
        <v>Benigno Martiniano Ortega Osorio</v>
      </c>
      <c r="J914" s="82" t="str">
        <v/>
      </c>
      <c r="K914" t="str">
        <v>OEOB580213HPLRSN05</v>
      </c>
      <c r="L914" s="82">
        <v>23286080</v>
      </c>
      <c r="M914" s="82">
        <v>2381223985</v>
      </c>
      <c r="N914" t="str">
        <v>NUEVO MAYOR</v>
      </c>
      <c r="O914" s="89">
        <v>25151.41</v>
      </c>
      <c r="P914" s="89" t="str">
        <v/>
      </c>
      <c r="Q914" s="89">
        <v>7545.4229999999998</v>
      </c>
      <c r="R914" s="89">
        <v>7545.4229999999998</v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>
        <v>1</v>
      </c>
    </row>
    <row r="915" spans="1:24">
      <c r="A915" s="26">
        <v>1381</v>
      </c>
      <c r="B915" s="87">
        <v>46240.597013888902</v>
      </c>
      <c r="C915" s="87">
        <v>46240.686365740701</v>
      </c>
      <c r="D915" t="str">
        <v>anónimo</v>
      </c>
      <c r="E915" t="str">
        <v/>
      </c>
      <c r="F915" s="68">
        <v>46240</v>
      </c>
      <c r="G915" s="88">
        <v>46240</v>
      </c>
      <c r="H915" t="str">
        <v>ROSA CASTRO SUR</v>
      </c>
      <c r="I915" t="str">
        <v xml:space="preserve">RENE VELASQUEZ CID </v>
      </c>
      <c r="J915" s="82">
        <v>67865600596</v>
      </c>
      <c r="K915" t="str">
        <v>VECR560914HVZLDN09</v>
      </c>
      <c r="L915" s="82">
        <v>23414994</v>
      </c>
      <c r="M915" s="82">
        <v>5212721304531</v>
      </c>
      <c r="N915" t="str">
        <v>NUEVO MAYOR</v>
      </c>
      <c r="O915" s="89">
        <v>15964.740000000002</v>
      </c>
      <c r="P915" s="89">
        <v>848</v>
      </c>
      <c r="Q915" s="89">
        <v>4789.4220000000005</v>
      </c>
      <c r="R915" s="89">
        <v>3941.4220000000005</v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>
        <v>1</v>
      </c>
    </row>
    <row r="916" spans="1:24">
      <c r="A916" s="26">
        <v>1390</v>
      </c>
      <c r="B916" s="87">
        <v>46240.686388888898</v>
      </c>
      <c r="C916" s="87">
        <v>46240.723703703698</v>
      </c>
      <c r="D916" t="str">
        <v>anónimo</v>
      </c>
      <c r="E916" t="str">
        <v/>
      </c>
      <c r="F916" s="68">
        <v>46240</v>
      </c>
      <c r="G916" s="88">
        <v>46240</v>
      </c>
      <c r="H916" t="str">
        <v>ROSA CASTRO SUR</v>
      </c>
      <c r="I916" t="str">
        <v xml:space="preserve">ALEJANDRO JEREZANO CABRERA </v>
      </c>
      <c r="J916" s="82" t="str">
        <v/>
      </c>
      <c r="K916" t="str">
        <v>JECA600430HVZRBL07</v>
      </c>
      <c r="L916" s="82">
        <v>23431068</v>
      </c>
      <c r="M916" s="82">
        <v>5212295289717</v>
      </c>
      <c r="N916" t="str">
        <v>NUEVO MAYOR</v>
      </c>
      <c r="O916" s="89">
        <v>10171.24</v>
      </c>
      <c r="P916" s="89" t="str">
        <v/>
      </c>
      <c r="Q916" s="89">
        <v>3051.3719999999998</v>
      </c>
      <c r="R916" s="89">
        <v>3051.3719999999998</v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>
        <v>1</v>
      </c>
    </row>
    <row r="917" spans="1:24">
      <c r="A917" s="26">
        <v>1393</v>
      </c>
      <c r="B917" s="87">
        <v>46240.750555555598</v>
      </c>
      <c r="C917" s="87">
        <v>46240.751030092601</v>
      </c>
      <c r="D917" t="str">
        <v>anónimo</v>
      </c>
      <c r="E917" t="str">
        <v/>
      </c>
      <c r="F917" s="68">
        <v>46240</v>
      </c>
      <c r="G917" s="88">
        <v>46240</v>
      </c>
      <c r="H917" t="str">
        <v>ANA VILLEGAS C/C</v>
      </c>
      <c r="I917" t="str">
        <v>GUILLERMO</v>
      </c>
      <c r="J917" s="82" t="str">
        <v/>
      </c>
      <c r="K917" t="str">
        <v>HEGG601215HOCRRL09</v>
      </c>
      <c r="L917" s="82">
        <v>23427870</v>
      </c>
      <c r="M917" s="82">
        <v>5216462584638</v>
      </c>
      <c r="N917" t="str">
        <v>COMPRA MENOR</v>
      </c>
      <c r="O917" s="89">
        <v>6460.14</v>
      </c>
      <c r="P917" s="89">
        <v>1793</v>
      </c>
      <c r="Q917" s="89">
        <v>1938.0419999999999</v>
      </c>
      <c r="R917" s="89">
        <v>145.04199999999992</v>
      </c>
      <c r="S917">
        <v>46113</v>
      </c>
      <c r="T917" t="str">
        <v/>
      </c>
      <c r="U917" t="str">
        <v/>
      </c>
      <c r="V917" t="str">
        <v/>
      </c>
      <c r="W917" t="str">
        <v/>
      </c>
      <c r="X917">
        <v>2</v>
      </c>
    </row>
    <row r="918" spans="1:24">
      <c r="A918" s="26">
        <v>1394</v>
      </c>
      <c r="B918" s="87">
        <v>46240.760266203702</v>
      </c>
      <c r="C918" s="87">
        <v>46240.760590277801</v>
      </c>
      <c r="D918" t="str">
        <v>anónimo</v>
      </c>
      <c r="E918" t="str">
        <v/>
      </c>
      <c r="F918" s="68">
        <v>46240</v>
      </c>
      <c r="G918" s="88">
        <v>46240</v>
      </c>
      <c r="H918" t="str">
        <v>GLORIA ORTIZ C/C</v>
      </c>
      <c r="I918" t="str">
        <v>ARTURO CORTEZ ACUÑA</v>
      </c>
      <c r="J918" s="82" t="str">
        <v/>
      </c>
      <c r="K918" t="str">
        <v>COAA650603HDFRCR08</v>
      </c>
      <c r="L918" s="82">
        <v>23433190</v>
      </c>
      <c r="M918" s="82">
        <v>5215554513383</v>
      </c>
      <c r="N918" t="str">
        <v>NUEVO MAYOR</v>
      </c>
      <c r="O918" s="89">
        <v>9760.32</v>
      </c>
      <c r="P918" s="89" t="str">
        <v/>
      </c>
      <c r="Q918" s="89">
        <v>2928.096</v>
      </c>
      <c r="R918" s="89">
        <v>2928.096</v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>
        <v>1</v>
      </c>
    </row>
    <row r="919" spans="1:24">
      <c r="A919" s="26">
        <v>1397</v>
      </c>
      <c r="B919" s="87">
        <v>46240.784884259301</v>
      </c>
      <c r="C919" s="87">
        <v>46240.785219907397</v>
      </c>
      <c r="D919" t="str">
        <v>anónimo</v>
      </c>
      <c r="E919" t="str">
        <v/>
      </c>
      <c r="F919" s="68">
        <v>46240</v>
      </c>
      <c r="G919" s="88">
        <v>46240</v>
      </c>
      <c r="H919" t="str">
        <v>ALBERTO POZOS EXT</v>
      </c>
      <c r="I919" t="str">
        <v/>
      </c>
      <c r="J919" s="82" t="str">
        <v>84846801995</v>
      </c>
      <c r="K919" t="str">
        <v/>
      </c>
      <c r="L919" s="82">
        <v>1</v>
      </c>
      <c r="M919" s="82" t="str">
        <v>84846801995</v>
      </c>
      <c r="N919" t="str">
        <v>COMPRA MENOR</v>
      </c>
      <c r="O919" s="89">
        <v>36122.81</v>
      </c>
      <c r="P919" s="89">
        <v>10836.84</v>
      </c>
      <c r="Q919" s="89">
        <v>10836.842999999999</v>
      </c>
      <c r="R919" s="89">
        <v>2.999999998792191E-3</v>
      </c>
      <c r="S919">
        <v>46054</v>
      </c>
      <c r="T919" t="str">
        <v/>
      </c>
      <c r="U919" t="str">
        <v/>
      </c>
      <c r="V919" t="str">
        <v/>
      </c>
      <c r="W919" t="str">
        <v/>
      </c>
      <c r="X919">
        <v>2</v>
      </c>
    </row>
    <row r="920" spans="1:24">
      <c r="A920" s="26">
        <v>1404</v>
      </c>
      <c r="B920" s="87">
        <v>46241.394953703697</v>
      </c>
      <c r="C920" s="87">
        <v>46241.402812499997</v>
      </c>
      <c r="D920" t="str">
        <v>anónimo</v>
      </c>
      <c r="E920" t="str">
        <v/>
      </c>
      <c r="F920" s="68">
        <v>46241</v>
      </c>
      <c r="G920" s="88">
        <v>46240</v>
      </c>
      <c r="H920" t="str">
        <v>ROSA CASTRO SUR</v>
      </c>
      <c r="I920" t="str">
        <v xml:space="preserve">JUAN MANUEL CERVANTES MARTINEZ </v>
      </c>
      <c r="J920" s="82" t="str">
        <v/>
      </c>
      <c r="K920" t="str">
        <v>CEMJ630707HTSRRN05</v>
      </c>
      <c r="L920" s="82">
        <v>23434692</v>
      </c>
      <c r="M920" s="82">
        <v>5218120067956</v>
      </c>
      <c r="N920" t="str">
        <v>COMPRA MAYOR</v>
      </c>
      <c r="O920" s="89">
        <v>11079.2</v>
      </c>
      <c r="P920" s="89">
        <v>2998.65</v>
      </c>
      <c r="Q920" s="89">
        <v>3323.76</v>
      </c>
      <c r="R920" s="89">
        <v>325.11000000000013</v>
      </c>
      <c r="S920">
        <v>46082</v>
      </c>
      <c r="T920" t="str">
        <v/>
      </c>
      <c r="U920" t="str">
        <v/>
      </c>
      <c r="V920" t="str">
        <v/>
      </c>
      <c r="W920" t="str">
        <v/>
      </c>
      <c r="X920">
        <v>2</v>
      </c>
    </row>
    <row r="921" spans="1:24">
      <c r="A921" s="26">
        <v>1405</v>
      </c>
      <c r="B921" s="87">
        <v>46241.380138888897</v>
      </c>
      <c r="C921" s="87">
        <v>46241.407708333303</v>
      </c>
      <c r="D921" t="str">
        <v>anónimo</v>
      </c>
      <c r="E921" t="str">
        <v/>
      </c>
      <c r="F921" s="68">
        <v>46241</v>
      </c>
      <c r="G921" s="88">
        <v>46236</v>
      </c>
      <c r="H921" t="str">
        <v>PAOLA RODRIGUEZ C/C</v>
      </c>
      <c r="I921" t="str">
        <v>Laura Elena Topete Sahaun</v>
      </c>
      <c r="J921" s="82">
        <v>41907013512</v>
      </c>
      <c r="K921" t="str">
        <v>TOSL700614MJCPHR03</v>
      </c>
      <c r="L921" s="82">
        <v>23295316</v>
      </c>
      <c r="M921" s="82">
        <v>5213334694439</v>
      </c>
      <c r="N921" t="str">
        <v>RESTRINGIDA</v>
      </c>
      <c r="O921" s="89">
        <v>6883.36</v>
      </c>
      <c r="P921" s="89">
        <v>1820.02</v>
      </c>
      <c r="Q921" s="89">
        <v>2065.0079999999998</v>
      </c>
      <c r="R921" s="89">
        <v>244.98799999999983</v>
      </c>
      <c r="S921">
        <v>46204</v>
      </c>
      <c r="T921" t="str">
        <v>CONSUBANCO</v>
      </c>
      <c r="U921" t="str">
        <v/>
      </c>
      <c r="V921" t="str">
        <v/>
      </c>
      <c r="W921" t="str">
        <v/>
      </c>
      <c r="X921">
        <v>2</v>
      </c>
    </row>
    <row r="922" spans="1:24">
      <c r="A922" s="26">
        <v>1409</v>
      </c>
      <c r="B922" s="87">
        <v>46241.442638888897</v>
      </c>
      <c r="C922" s="87">
        <v>46241.443726851903</v>
      </c>
      <c r="D922" t="str">
        <v>anónimo</v>
      </c>
      <c r="E922" t="str">
        <v/>
      </c>
      <c r="F922" s="68">
        <v>46241</v>
      </c>
      <c r="G922" s="88">
        <v>46240</v>
      </c>
      <c r="H922" t="str">
        <v>ANA VILLEGAS C/C</v>
      </c>
      <c r="I922" t="str">
        <v>Luis Antonio</v>
      </c>
      <c r="J922" s="82" t="str">
        <v/>
      </c>
      <c r="K922" t="str">
        <v>BERL490508HVZDSS07</v>
      </c>
      <c r="L922" s="82">
        <v>23433210</v>
      </c>
      <c r="M922" s="82">
        <v>5212299297887</v>
      </c>
      <c r="N922" t="str">
        <v>NUEVO MAYOR</v>
      </c>
      <c r="O922" s="89">
        <v>22327.66</v>
      </c>
      <c r="P922" s="89" t="str">
        <v/>
      </c>
      <c r="Q922" s="89">
        <v>6698.2979999999998</v>
      </c>
      <c r="R922" s="89">
        <v>6698.2979999999998</v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>
        <v>1</v>
      </c>
    </row>
    <row r="923" spans="1:24">
      <c r="A923" s="26">
        <v>1411</v>
      </c>
      <c r="B923" s="87">
        <v>46241.449004629598</v>
      </c>
      <c r="C923" s="87">
        <v>46241.449571759302</v>
      </c>
      <c r="D923" t="str">
        <v>anónimo</v>
      </c>
      <c r="E923" t="str">
        <v/>
      </c>
      <c r="F923" s="68">
        <v>46241</v>
      </c>
      <c r="G923" s="88">
        <v>46240</v>
      </c>
      <c r="H923" t="str">
        <v>ANA VILLEGAS C/C</v>
      </c>
      <c r="I923" t="str">
        <v>DAVID</v>
      </c>
      <c r="J923" s="82">
        <v>78705010771</v>
      </c>
      <c r="K923" t="str">
        <v/>
      </c>
      <c r="L923" s="82">
        <v>23429674</v>
      </c>
      <c r="M923" s="82">
        <v>5219711596684</v>
      </c>
      <c r="N923" t="str">
        <v>COMPRA MENOR</v>
      </c>
      <c r="O923" s="89">
        <v>5406.58</v>
      </c>
      <c r="P923" s="89">
        <v>1074.3399999999999</v>
      </c>
      <c r="Q923" s="89">
        <v>1621.9739999999999</v>
      </c>
      <c r="R923" s="89">
        <v>159.26000000000045</v>
      </c>
      <c r="S923">
        <v>45717</v>
      </c>
      <c r="T923" t="str">
        <v/>
      </c>
      <c r="U923" t="str">
        <v/>
      </c>
      <c r="V923" t="str">
        <v/>
      </c>
      <c r="W923" t="str">
        <v/>
      </c>
      <c r="X923">
        <v>2</v>
      </c>
    </row>
    <row r="924" spans="1:24">
      <c r="A924" s="26">
        <v>1413</v>
      </c>
      <c r="B924" s="87">
        <v>46241.454328703701</v>
      </c>
      <c r="C924" s="87">
        <v>46241.459502314799</v>
      </c>
      <c r="D924" t="str">
        <v>anónimo</v>
      </c>
      <c r="E924" t="str">
        <v/>
      </c>
      <c r="F924" s="68">
        <v>46241</v>
      </c>
      <c r="G924" s="88">
        <v>46239</v>
      </c>
      <c r="H924" t="str">
        <v>LILIANA MARTINEZ SUR</v>
      </c>
      <c r="I924" t="str">
        <v>ROBERTO AGUIRRE OLVERA</v>
      </c>
      <c r="J924" s="82" t="str">
        <v>16917007409</v>
      </c>
      <c r="K924" t="str">
        <v>AVOR700607HMCGLB07</v>
      </c>
      <c r="L924" s="82">
        <v>23411010</v>
      </c>
      <c r="M924" s="82">
        <v>23111010</v>
      </c>
      <c r="N924" t="str">
        <v>COMPRA MAYOR</v>
      </c>
      <c r="O924" s="89">
        <v>7621.29</v>
      </c>
      <c r="P924" s="89">
        <v>2114.94</v>
      </c>
      <c r="Q924" s="89">
        <v>2286.3869999999997</v>
      </c>
      <c r="R924" s="89">
        <v>171.44699999999966</v>
      </c>
      <c r="S924">
        <v>46143</v>
      </c>
      <c r="T924" t="str">
        <v/>
      </c>
      <c r="U924" t="str">
        <v/>
      </c>
      <c r="V924" t="str">
        <v/>
      </c>
      <c r="W924" t="str">
        <v/>
      </c>
      <c r="X924">
        <v>2</v>
      </c>
    </row>
    <row r="925" spans="1:24">
      <c r="A925" s="26">
        <v>1414</v>
      </c>
      <c r="B925" s="87">
        <v>46241.459548611099</v>
      </c>
      <c r="C925" s="87">
        <v>46241.461990740703</v>
      </c>
      <c r="D925" t="str">
        <v>anónimo</v>
      </c>
      <c r="E925" t="str">
        <v/>
      </c>
      <c r="F925" s="68">
        <v>46241</v>
      </c>
      <c r="G925" s="88">
        <v>46236</v>
      </c>
      <c r="H925" t="str">
        <v>LILIANA MARTINEZ SUR</v>
      </c>
      <c r="I925" t="str">
        <v>ARMANDO GALLEGOS OLVERA</v>
      </c>
      <c r="J925" s="82">
        <v>67775913543</v>
      </c>
      <c r="K925" t="str">
        <v>GARA600503HTCLVR03</v>
      </c>
      <c r="L925" s="82">
        <v>23300546</v>
      </c>
      <c r="M925" s="82">
        <v>5219934030401</v>
      </c>
      <c r="N925" t="str">
        <v>NUEVO MAYOR</v>
      </c>
      <c r="O925" s="89">
        <v>5617.63</v>
      </c>
      <c r="P925" s="89" t="str">
        <v/>
      </c>
      <c r="Q925" s="89">
        <v>1685.289</v>
      </c>
      <c r="R925" s="89">
        <v>1444.6500000000005</v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>
        <v>1</v>
      </c>
    </row>
    <row r="926" spans="1:24">
      <c r="A926" s="26">
        <v>1418</v>
      </c>
      <c r="B926" s="87">
        <v>46241.479143518503</v>
      </c>
      <c r="C926" s="87">
        <v>46241.484259259298</v>
      </c>
      <c r="D926" t="str">
        <v>anónimo</v>
      </c>
      <c r="E926" t="str">
        <v/>
      </c>
      <c r="F926" s="68">
        <v>46241</v>
      </c>
      <c r="G926" s="88">
        <v>46240</v>
      </c>
      <c r="H926" t="str">
        <v>ROSA CASTRO SUR</v>
      </c>
      <c r="I926" t="str">
        <v>GUILLERMO AARON LUNA MONTELONGO</v>
      </c>
      <c r="J926" s="82" t="str">
        <v xml:space="preserve">31825801059 </v>
      </c>
      <c r="K926" t="str">
        <v>LUMG580923HDGNNL00</v>
      </c>
      <c r="L926" s="82">
        <v>23435328</v>
      </c>
      <c r="M926" s="82">
        <v>5216181693022</v>
      </c>
      <c r="N926" t="str">
        <v>NUEVO MAYOR</v>
      </c>
      <c r="O926" s="89">
        <v>15408.12</v>
      </c>
      <c r="P926" s="89" t="str">
        <v/>
      </c>
      <c r="Q926" s="89">
        <v>4622.4359999999997</v>
      </c>
      <c r="R926" s="89">
        <v>4622.4359999999997</v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>
        <v>1</v>
      </c>
    </row>
    <row r="927" spans="1:24">
      <c r="A927" s="26">
        <v>1424</v>
      </c>
      <c r="B927" s="87">
        <v>46241.5213657407</v>
      </c>
      <c r="C927" s="87">
        <v>46241.5231712963</v>
      </c>
      <c r="D927" t="str">
        <v>anónimo</v>
      </c>
      <c r="E927" t="str">
        <v/>
      </c>
      <c r="F927" s="68">
        <v>46241</v>
      </c>
      <c r="G927" s="88">
        <v>46222</v>
      </c>
      <c r="H927" t="str">
        <v>LITZY MARTINEZ C/C</v>
      </c>
      <c r="I927" t="str">
        <v xml:space="preserve">RAUL CORTES ALAMILLO </v>
      </c>
      <c r="J927" s="82" t="str">
        <v/>
      </c>
      <c r="K927" t="str">
        <v>COAR551103HTCRLL09</v>
      </c>
      <c r="L927" s="82">
        <v>22839572</v>
      </c>
      <c r="M927" s="82">
        <v>5219931277999</v>
      </c>
      <c r="N927" t="str">
        <v>RESTRINGIDA</v>
      </c>
      <c r="O927" s="89">
        <v>5617.63</v>
      </c>
      <c r="P927" s="89">
        <v>1317.3</v>
      </c>
      <c r="Q927" s="89">
        <v>1685.289</v>
      </c>
      <c r="R927" s="89">
        <v>127.35000000000059</v>
      </c>
      <c r="S927">
        <v>46174</v>
      </c>
      <c r="T927" t="str">
        <v>CONSUBANCO</v>
      </c>
      <c r="U927" t="str">
        <v/>
      </c>
      <c r="V927" t="str">
        <v/>
      </c>
      <c r="W927" t="str">
        <v/>
      </c>
      <c r="X927">
        <v>2</v>
      </c>
    </row>
    <row r="928" spans="1:24">
      <c r="A928" s="26">
        <v>1426</v>
      </c>
      <c r="B928" s="87">
        <v>46241.524050925902</v>
      </c>
      <c r="C928" s="87">
        <v>46241.527986111098</v>
      </c>
      <c r="D928" t="str">
        <v>anónimo</v>
      </c>
      <c r="E928" t="str">
        <v/>
      </c>
      <c r="F928" s="68">
        <v>46241</v>
      </c>
      <c r="G928" s="88">
        <v>46240</v>
      </c>
      <c r="H928" t="str">
        <v>LILIANA MARTINEZ SUR</v>
      </c>
      <c r="I928" t="str">
        <v>MARCELO EBODIO DE LA CRUZ</v>
      </c>
      <c r="J928" s="82">
        <v>65705010489</v>
      </c>
      <c r="K928" t="str">
        <v>CUDM500506HVZRZR06</v>
      </c>
      <c r="L928" s="82">
        <v>23433384</v>
      </c>
      <c r="M928" s="82">
        <v>5212292168364</v>
      </c>
      <c r="N928" t="str">
        <v>NUEVO MAYOR</v>
      </c>
      <c r="O928" s="89">
        <v>26874.31</v>
      </c>
      <c r="P928" s="89">
        <v>6336.67</v>
      </c>
      <c r="Q928" s="89">
        <v>8062.2929999999997</v>
      </c>
      <c r="R928" s="89">
        <v>1725.6229999999996</v>
      </c>
      <c r="S928">
        <v>46874</v>
      </c>
      <c r="T928" t="str">
        <v/>
      </c>
      <c r="U928" t="str">
        <v/>
      </c>
      <c r="V928" t="str">
        <v/>
      </c>
      <c r="W928" t="str">
        <v/>
      </c>
      <c r="X928">
        <v>2</v>
      </c>
    </row>
    <row r="929" spans="1:24">
      <c r="A929" s="26">
        <v>1427</v>
      </c>
      <c r="B929" s="87">
        <v>46241.585821759298</v>
      </c>
      <c r="C929" s="87">
        <v>46241.5866087963</v>
      </c>
      <c r="D929" t="str">
        <v>anónimo</v>
      </c>
      <c r="E929" t="str">
        <v/>
      </c>
      <c r="F929" s="68">
        <v>46241</v>
      </c>
      <c r="G929" s="88">
        <v>46241</v>
      </c>
      <c r="H929" t="str">
        <v>MAGALI MARTINEZ EXT 2</v>
      </c>
      <c r="I929" t="str">
        <v>MARGARITA RAMIREZ ARMENTA</v>
      </c>
      <c r="J929" s="82" t="str">
        <v xml:space="preserve"> 62806314324</v>
      </c>
      <c r="K929" t="str">
        <v>RAAM631107MPLMRR07</v>
      </c>
      <c r="L929" s="82">
        <v>2</v>
      </c>
      <c r="M929" s="82" t="str">
        <v>221 418 5417</v>
      </c>
      <c r="N929" t="str">
        <v>NUEVO MAYOR</v>
      </c>
      <c r="O929" s="89">
        <v>7920.51</v>
      </c>
      <c r="P929" s="89">
        <v>879</v>
      </c>
      <c r="Q929" s="89">
        <v>2376.1529999999998</v>
      </c>
      <c r="R929" s="89">
        <v>1497.1529999999998</v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>
        <v>1</v>
      </c>
    </row>
    <row r="930" spans="1:24">
      <c r="A930" s="26">
        <v>1434</v>
      </c>
      <c r="B930" s="87">
        <v>46241.618182870399</v>
      </c>
      <c r="C930" s="87">
        <v>46241.618784722203</v>
      </c>
      <c r="D930" t="str">
        <v>anónimo</v>
      </c>
      <c r="E930" t="str">
        <v/>
      </c>
      <c r="F930" s="68">
        <v>46241</v>
      </c>
      <c r="G930" s="88">
        <v>46240</v>
      </c>
      <c r="H930" t="str">
        <v>GIOVANNI MELGAR</v>
      </c>
      <c r="I930" t="str">
        <v>LUZ MARIA ALMIRAY PINZON</v>
      </c>
      <c r="J930" s="82" t="str">
        <v/>
      </c>
      <c r="K930" t="str">
        <v xml:space="preserve"> AIPL591120MMCLNZ06</v>
      </c>
      <c r="L930" s="82">
        <v>23434434</v>
      </c>
      <c r="M930" s="82">
        <v>5218441980835</v>
      </c>
      <c r="N930" t="str">
        <v>NUEVO MAYOR</v>
      </c>
      <c r="O930" s="89">
        <v>5617.63</v>
      </c>
      <c r="P930" s="89" t="str">
        <v/>
      </c>
      <c r="Q930" s="89">
        <v>1685.289</v>
      </c>
      <c r="R930" s="89">
        <v>1444.6500000000005</v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>
        <v>1</v>
      </c>
    </row>
    <row r="931" spans="1:24">
      <c r="A931" s="26">
        <v>1442</v>
      </c>
      <c r="B931" s="87">
        <v>46241.648807870399</v>
      </c>
      <c r="C931" s="87">
        <v>46241.649629629603</v>
      </c>
      <c r="D931" t="str">
        <v>anónimo</v>
      </c>
      <c r="E931" t="str">
        <v/>
      </c>
      <c r="F931" s="68">
        <v>46241</v>
      </c>
      <c r="G931" s="88">
        <v>46241</v>
      </c>
      <c r="H931" t="str">
        <v>MAGALI MARTINEZ EXT 2</v>
      </c>
      <c r="I931" t="str">
        <v>PEDRO FEDERICO CHAVEZ PINEDA</v>
      </c>
      <c r="J931" s="82">
        <v>20886100930</v>
      </c>
      <c r="K931" t="str">
        <v>CAPP610502HDFHND05</v>
      </c>
      <c r="L931" s="82">
        <v>2</v>
      </c>
      <c r="M931" s="82" t="str">
        <v>771 607 5729</v>
      </c>
      <c r="N931" t="str">
        <v>RESTRINGIDA</v>
      </c>
      <c r="O931" s="89">
        <v>30255.48</v>
      </c>
      <c r="P931" s="89">
        <v>9060.4699999999993</v>
      </c>
      <c r="Q931" s="89">
        <v>9076.6440000000002</v>
      </c>
      <c r="R931" s="89">
        <v>16.174000000000888</v>
      </c>
      <c r="S931">
        <v>46235</v>
      </c>
      <c r="T931" t="str">
        <v>CONSUBANCO</v>
      </c>
      <c r="U931" t="str">
        <v/>
      </c>
      <c r="V931" t="str">
        <v/>
      </c>
      <c r="W931" t="str">
        <v/>
      </c>
      <c r="X931">
        <v>2</v>
      </c>
    </row>
    <row r="932" spans="1:24">
      <c r="A932" s="26">
        <v>1446</v>
      </c>
      <c r="B932" s="87">
        <v>46241.6653240741</v>
      </c>
      <c r="C932" s="87">
        <v>46241.668553240699</v>
      </c>
      <c r="D932" t="str">
        <v>anónimo</v>
      </c>
      <c r="E932" t="str">
        <v/>
      </c>
      <c r="F932" s="68">
        <v>46241</v>
      </c>
      <c r="G932" s="88">
        <v>46240</v>
      </c>
      <c r="H932" t="str">
        <v>LILIANA MARTINEZ SUR</v>
      </c>
      <c r="I932" t="str">
        <v>JUAN FRANCISCO AVILA GONZALEZ</v>
      </c>
      <c r="J932" s="82">
        <v>24785807660</v>
      </c>
      <c r="K932" t="str">
        <v>AIGJ580616HNTVNN01</v>
      </c>
      <c r="L932" s="82">
        <v>23436050</v>
      </c>
      <c r="M932" s="82">
        <v>5216691960022</v>
      </c>
      <c r="N932" t="str">
        <v>COMPRA MAYOR</v>
      </c>
      <c r="O932" s="89">
        <v>19606.330000000002</v>
      </c>
      <c r="P932" s="89">
        <v>4551.87</v>
      </c>
      <c r="Q932" s="89">
        <v>5881.8990000000003</v>
      </c>
      <c r="R932" s="89">
        <v>1330.0290000000005</v>
      </c>
      <c r="S932">
        <v>46235</v>
      </c>
      <c r="T932" t="str">
        <v/>
      </c>
      <c r="U932" t="str">
        <v/>
      </c>
      <c r="V932" t="str">
        <v/>
      </c>
      <c r="W932" t="str">
        <v/>
      </c>
      <c r="X932">
        <v>2</v>
      </c>
    </row>
    <row r="933" spans="1:24">
      <c r="A933" s="26">
        <v>1449</v>
      </c>
      <c r="B933" s="87">
        <v>46241.669513888897</v>
      </c>
      <c r="C933" s="87">
        <v>46241.670185185198</v>
      </c>
      <c r="D933" t="str">
        <v>anónimo</v>
      </c>
      <c r="E933" t="str">
        <v/>
      </c>
      <c r="F933" s="68">
        <v>46241</v>
      </c>
      <c r="G933" s="88">
        <v>46241</v>
      </c>
      <c r="H933" t="str">
        <v>LITZY MARTINEZ C/C</v>
      </c>
      <c r="I933" t="str">
        <v xml:space="preserve">GERARDO GUERRERO ARREOLA </v>
      </c>
      <c r="J933" s="82" t="str">
        <v>43816571178</v>
      </c>
      <c r="K933" t="str">
        <v/>
      </c>
      <c r="L933" s="82">
        <v>23458484</v>
      </c>
      <c r="M933" s="82">
        <v>5218114852631</v>
      </c>
      <c r="N933" t="str">
        <v>NUEVO MAYOR</v>
      </c>
      <c r="O933" s="89">
        <v>19941.810000000001</v>
      </c>
      <c r="P933" s="89" t="str">
        <v/>
      </c>
      <c r="Q933" s="89">
        <v>5982.5430000000006</v>
      </c>
      <c r="R933" s="89">
        <v>5982.5430000000006</v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>
        <v>1</v>
      </c>
    </row>
    <row r="934" spans="1:24">
      <c r="A934" s="26">
        <v>1450</v>
      </c>
      <c r="B934" s="87">
        <v>46241.688634259299</v>
      </c>
      <c r="C934" s="87">
        <v>46241.690520833297</v>
      </c>
      <c r="D934" t="str">
        <v>anónimo</v>
      </c>
      <c r="E934" t="str">
        <v/>
      </c>
      <c r="F934" s="68">
        <v>46241</v>
      </c>
      <c r="G934" s="88">
        <v>46241</v>
      </c>
      <c r="H934" t="str">
        <v>GUADALUPE BECERRA C/C</v>
      </c>
      <c r="I934" t="str">
        <v>MARCO ANTONIO RODRIGUEZ MELGAREJO</v>
      </c>
      <c r="J934" s="82" t="str">
        <v/>
      </c>
      <c r="K934" t="str">
        <v>ROMM621118HDFDLR04</v>
      </c>
      <c r="L934" s="82">
        <v>23458774</v>
      </c>
      <c r="M934" s="82">
        <v>5215547202472</v>
      </c>
      <c r="N934" t="str">
        <v>NUEVO MAYOR</v>
      </c>
      <c r="O934" s="89">
        <v>9760.32</v>
      </c>
      <c r="P934" s="89" t="str">
        <v/>
      </c>
      <c r="Q934" s="89">
        <v>2928.096</v>
      </c>
      <c r="R934" s="89">
        <v>2928.096</v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>
        <v>1</v>
      </c>
    </row>
    <row r="935" spans="1:24">
      <c r="A935" s="26">
        <v>1455</v>
      </c>
      <c r="B935" s="87">
        <v>46241.721828703703</v>
      </c>
      <c r="C935" s="87">
        <v>46241.722303240698</v>
      </c>
      <c r="D935" t="str">
        <v>anónimo</v>
      </c>
      <c r="E935" t="str">
        <v/>
      </c>
      <c r="F935" s="68">
        <v>46241</v>
      </c>
      <c r="G935" s="88">
        <v>46241</v>
      </c>
      <c r="H935" t="str">
        <v>LITZY MARTINEZ C/C</v>
      </c>
      <c r="I935" t="str">
        <v>Dula Hernández Baños</v>
      </c>
      <c r="J935" s="82" t="str">
        <v>10795909349</v>
      </c>
      <c r="K935" t="str">
        <v/>
      </c>
      <c r="L935" s="82">
        <v>23458922</v>
      </c>
      <c r="M935" s="82">
        <v>5217713225069</v>
      </c>
      <c r="N935" t="str">
        <v>NUEVO MAYOR</v>
      </c>
      <c r="O935" s="89">
        <v>10636.54</v>
      </c>
      <c r="P935" s="89" t="str">
        <v/>
      </c>
      <c r="Q935" s="89">
        <v>3190.962</v>
      </c>
      <c r="R935" s="89">
        <v>3190.962</v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>
        <v>1</v>
      </c>
    </row>
    <row r="936" spans="1:24">
      <c r="A936" s="26">
        <v>1457</v>
      </c>
      <c r="B936" s="87">
        <v>46241.6306944444</v>
      </c>
      <c r="C936" s="87">
        <v>46241.724050925899</v>
      </c>
      <c r="D936" t="str">
        <v>anónimo</v>
      </c>
      <c r="E936" t="str">
        <v/>
      </c>
      <c r="F936" s="68">
        <v>46241</v>
      </c>
      <c r="G936" s="88">
        <v>46241</v>
      </c>
      <c r="H936" t="str">
        <v>YAMILETH CARDONA EXT 2</v>
      </c>
      <c r="I936" t="str">
        <v>RAUL LOPEZ OLIVARES</v>
      </c>
      <c r="J936" s="82">
        <v>43836578658</v>
      </c>
      <c r="K936" t="str">
        <v>LOOR650318HDGPLL03</v>
      </c>
      <c r="L936" s="82">
        <v>2</v>
      </c>
      <c r="M936" s="82" t="str">
        <v>81 8168 9599</v>
      </c>
      <c r="N936" t="str">
        <v>NUEVO MAYOR</v>
      </c>
      <c r="O936" s="89">
        <v>9760.32</v>
      </c>
      <c r="P936" s="89" t="str">
        <v/>
      </c>
      <c r="Q936" s="89">
        <v>2928.096</v>
      </c>
      <c r="R936" s="89">
        <v>2928.096</v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>
        <v>1</v>
      </c>
    </row>
    <row r="937" spans="1:24">
      <c r="A937" s="26">
        <v>1465</v>
      </c>
      <c r="B937" s="87">
        <v>46241.754548611098</v>
      </c>
      <c r="C937" s="87">
        <v>46241.755046296297</v>
      </c>
      <c r="D937" t="str">
        <v>anónimo</v>
      </c>
      <c r="E937" t="str">
        <v/>
      </c>
      <c r="F937" s="68">
        <v>46241</v>
      </c>
      <c r="G937" s="88">
        <v>46241</v>
      </c>
      <c r="H937" t="str">
        <v>ANA VILLEGAS C/C</v>
      </c>
      <c r="I937" t="str">
        <v>maria</v>
      </c>
      <c r="J937" s="82">
        <v>25947642184</v>
      </c>
      <c r="K937" t="str">
        <v/>
      </c>
      <c r="L937" s="82">
        <v>23460044</v>
      </c>
      <c r="M937" s="82">
        <v>5216647610662</v>
      </c>
      <c r="N937" t="str">
        <v>NUEVO MAYOR</v>
      </c>
      <c r="O937" s="89">
        <v>9936.06</v>
      </c>
      <c r="P937" s="89" t="str">
        <v/>
      </c>
      <c r="Q937" s="89">
        <v>2980.8179999999998</v>
      </c>
      <c r="R937" s="89">
        <v>2980.8179999999998</v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>
        <v>1</v>
      </c>
    </row>
    <row r="938" spans="1:24">
      <c r="A938" s="26">
        <v>1466</v>
      </c>
      <c r="B938" s="87">
        <v>46241.770960648202</v>
      </c>
      <c r="C938" s="87">
        <v>46241.772048611099</v>
      </c>
      <c r="D938" t="str">
        <v>anónimo</v>
      </c>
      <c r="E938" t="str">
        <v/>
      </c>
      <c r="F938" s="68">
        <v>46241</v>
      </c>
      <c r="G938" s="88">
        <v>46241</v>
      </c>
      <c r="H938" t="str">
        <v>GUADALUPE BECERRA C/C</v>
      </c>
      <c r="I938" t="str">
        <v>MARIA DEL SOCORRO SALAZAR GARZA</v>
      </c>
      <c r="J938" s="82">
        <v>43836426361</v>
      </c>
      <c r="K938" t="str">
        <v/>
      </c>
      <c r="L938" s="82">
        <v>23460162</v>
      </c>
      <c r="M938" s="82">
        <v>5218118498565</v>
      </c>
      <c r="N938" t="str">
        <v>COMPRA MAYOR</v>
      </c>
      <c r="O938" s="89">
        <v>9081.52</v>
      </c>
      <c r="P938" s="89">
        <v>2521</v>
      </c>
      <c r="Q938" s="89">
        <v>2724.4560000000001</v>
      </c>
      <c r="R938" s="89">
        <v>203.45600000000013</v>
      </c>
      <c r="S938">
        <v>46235</v>
      </c>
      <c r="T938" t="str">
        <v/>
      </c>
      <c r="U938" t="str">
        <v/>
      </c>
      <c r="V938" t="str">
        <v/>
      </c>
      <c r="W938" t="str">
        <v/>
      </c>
      <c r="X938">
        <v>2</v>
      </c>
    </row>
    <row r="939" spans="1:24">
      <c r="A939" s="26">
        <v>1470</v>
      </c>
      <c r="B939" s="87">
        <v>46241.882986111101</v>
      </c>
      <c r="C939" s="87">
        <v>46241.883993055599</v>
      </c>
      <c r="D939" t="str">
        <v>anónimo</v>
      </c>
      <c r="E939" t="str">
        <v/>
      </c>
      <c r="F939" s="68">
        <v>46241</v>
      </c>
      <c r="G939" s="88">
        <v>46241</v>
      </c>
      <c r="H939" t="str">
        <v>CARRANZA SARDINA C/C</v>
      </c>
      <c r="I939" t="str">
        <v xml:space="preserve">Beatriz Carlota Delgado Díaz </v>
      </c>
      <c r="J939" s="82">
        <v>43755765476</v>
      </c>
      <c r="K939" t="str">
        <v/>
      </c>
      <c r="L939" s="82">
        <v>23459940</v>
      </c>
      <c r="M939" s="82">
        <v>8129070609</v>
      </c>
      <c r="N939" t="str">
        <v>COMPRA MAYOR</v>
      </c>
      <c r="O939" s="89">
        <v>5055.87</v>
      </c>
      <c r="P939" s="89">
        <v>1200.9100000000001</v>
      </c>
      <c r="Q939" s="89">
        <v>1516.761</v>
      </c>
      <c r="R939" s="89">
        <v>-318.01999999999975</v>
      </c>
      <c r="S939">
        <v>46235</v>
      </c>
      <c r="T939" t="str">
        <v/>
      </c>
      <c r="U939" t="str">
        <v/>
      </c>
      <c r="V939" t="str">
        <v/>
      </c>
      <c r="W939" t="str">
        <v/>
      </c>
      <c r="X939">
        <v>2</v>
      </c>
    </row>
    <row r="940" spans="1:24">
      <c r="A940" s="26">
        <v>1471</v>
      </c>
      <c r="B940" s="87">
        <v>46242.367627314801</v>
      </c>
      <c r="C940" s="87">
        <v>46242.3702430556</v>
      </c>
      <c r="D940" t="str">
        <v>anónimo</v>
      </c>
      <c r="E940" t="str">
        <v/>
      </c>
      <c r="F940" s="68">
        <v>46242</v>
      </c>
      <c r="G940" s="88">
        <v>46230</v>
      </c>
      <c r="H940" t="str">
        <v>DULCE FRANCO C/C</v>
      </c>
      <c r="I940" t="str">
        <v>SANDRA CECILIA PAYANES CONTRERAS</v>
      </c>
      <c r="J940" s="82" t="str">
        <v/>
      </c>
      <c r="K940" t="str">
        <v>PACS631120MSRYNN06</v>
      </c>
      <c r="L940" s="82">
        <v>23149828</v>
      </c>
      <c r="M940" s="82">
        <v>5216653936254</v>
      </c>
      <c r="N940" t="str">
        <v>COMPRA MENOR</v>
      </c>
      <c r="O940" s="89">
        <v>7920.51</v>
      </c>
      <c r="P940" s="89">
        <v>2290.89</v>
      </c>
      <c r="Q940" s="89">
        <v>2376.1529999999998</v>
      </c>
      <c r="R940" s="89">
        <v>85.26299999999992</v>
      </c>
      <c r="S940">
        <v>46113</v>
      </c>
      <c r="T940" t="str">
        <v>BANCREA</v>
      </c>
      <c r="U940" t="str">
        <v/>
      </c>
      <c r="V940" t="str">
        <v/>
      </c>
      <c r="W940" t="str">
        <v/>
      </c>
      <c r="X940">
        <v>2</v>
      </c>
    </row>
    <row r="941" spans="1:24">
      <c r="A941" s="26">
        <v>1472</v>
      </c>
      <c r="B941" s="87">
        <v>46242.388182870403</v>
      </c>
      <c r="C941" s="87">
        <v>46242.3917013889</v>
      </c>
      <c r="D941" t="str">
        <v>anónimo</v>
      </c>
      <c r="E941" t="str">
        <v/>
      </c>
      <c r="F941" s="68">
        <v>46242</v>
      </c>
      <c r="G941" s="88">
        <v>46241</v>
      </c>
      <c r="H941" t="str">
        <v>ROSA CASTRO SUR</v>
      </c>
      <c r="I941" t="str">
        <v>CANDELARIO VAQUERA MUÑOZ</v>
      </c>
      <c r="J941" s="82">
        <v>4375593802</v>
      </c>
      <c r="K941" t="str">
        <v>VAMC590224HZSQXN05</v>
      </c>
      <c r="L941" s="82">
        <v>23464020</v>
      </c>
      <c r="M941" s="82">
        <v>5218128732968</v>
      </c>
      <c r="N941" t="str">
        <v>NUEVO MAYOR</v>
      </c>
      <c r="O941" s="89">
        <v>11645.27</v>
      </c>
      <c r="P941" s="89">
        <v>879</v>
      </c>
      <c r="Q941" s="89">
        <v>3493.5810000000001</v>
      </c>
      <c r="R941" s="89">
        <v>2614.5810000000001</v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>
        <v>1</v>
      </c>
    </row>
    <row r="942" spans="1:24">
      <c r="A942" s="26">
        <v>1476</v>
      </c>
      <c r="B942" s="87">
        <v>46242.432731481502</v>
      </c>
      <c r="C942" s="87">
        <v>46242.435231481497</v>
      </c>
      <c r="D942" t="str">
        <v>anónimo</v>
      </c>
      <c r="E942" t="str">
        <v/>
      </c>
      <c r="F942" s="68">
        <v>46242</v>
      </c>
      <c r="G942" s="88">
        <v>46238</v>
      </c>
      <c r="H942" t="str">
        <v>LILIANA MARTINEZ SUR</v>
      </c>
      <c r="I942" t="str">
        <v>MARIA CRISTINA GUADALUPE PORRAS CASTORENA</v>
      </c>
      <c r="J942" s="82" t="str">
        <v/>
      </c>
      <c r="K942" t="str">
        <v>POCC531011MPLRSR01</v>
      </c>
      <c r="L942" s="82">
        <v>23356568</v>
      </c>
      <c r="M942" s="82">
        <v>5214432248623</v>
      </c>
      <c r="N942" t="str">
        <v>RESTRINGIDA</v>
      </c>
      <c r="O942" s="89">
        <v>4813.6899999999996</v>
      </c>
      <c r="P942" s="89">
        <v>480.95</v>
      </c>
      <c r="Q942" s="89">
        <v>1444.1069999999997</v>
      </c>
      <c r="R942" s="89">
        <v>159.76000000000005</v>
      </c>
      <c r="S942">
        <v>45292</v>
      </c>
      <c r="T942" t="str">
        <v/>
      </c>
      <c r="U942" t="str">
        <v/>
      </c>
      <c r="V942" t="str">
        <v/>
      </c>
      <c r="W942" t="str">
        <v/>
      </c>
      <c r="X942">
        <v>2</v>
      </c>
    </row>
    <row r="943" spans="1:24">
      <c r="A943" s="26">
        <v>1478</v>
      </c>
      <c r="B943" s="87">
        <v>46242.337638888901</v>
      </c>
      <c r="C943" s="87">
        <v>46242.458611111098</v>
      </c>
      <c r="D943" t="str">
        <v>anónimo</v>
      </c>
      <c r="E943" t="str">
        <v/>
      </c>
      <c r="F943" s="68">
        <v>46242</v>
      </c>
      <c r="G943" s="88">
        <v>46239</v>
      </c>
      <c r="H943" t="str">
        <v>PAOLA RODRIGUEZ C/C</v>
      </c>
      <c r="I943" t="str">
        <v>Maria Tomasa Hernandez Mendez</v>
      </c>
      <c r="J943" s="82">
        <v>33844802273</v>
      </c>
      <c r="K943" t="str">
        <v>HEMT550922MVZRNM08</v>
      </c>
      <c r="L943" s="82">
        <v>23403966</v>
      </c>
      <c r="M943" s="82">
        <v>5216624266015</v>
      </c>
      <c r="N943" t="str">
        <v>NUEVO MAYOR</v>
      </c>
      <c r="O943" s="89">
        <v>6422.04</v>
      </c>
      <c r="P943" s="89" t="str">
        <v/>
      </c>
      <c r="Q943" s="89">
        <v>1926.6119999999999</v>
      </c>
      <c r="R943" s="89">
        <v>1926.6119999999999</v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>
        <v>1</v>
      </c>
    </row>
    <row r="944" spans="1:24">
      <c r="A944" s="26">
        <v>1479</v>
      </c>
      <c r="B944" s="87">
        <v>46242.4458101852</v>
      </c>
      <c r="C944" s="87">
        <v>46242.465231481503</v>
      </c>
      <c r="D944" t="str">
        <v>anónimo</v>
      </c>
      <c r="E944" t="str">
        <v/>
      </c>
      <c r="F944" s="68">
        <v>46242</v>
      </c>
      <c r="G944" s="88">
        <v>46241</v>
      </c>
      <c r="H944" t="str">
        <v>GUADALUPE BECERRA C/C</v>
      </c>
      <c r="I944" t="str">
        <v>PEDRO LOPEZ VALDEZ</v>
      </c>
      <c r="J944" s="82" t="str">
        <v>JUSL801223MDGRNC08</v>
      </c>
      <c r="K944" t="str">
        <v>LOVP821130HDGPLD08</v>
      </c>
      <c r="L944" s="82">
        <v>23455620</v>
      </c>
      <c r="M944" s="82">
        <v>5218672221041</v>
      </c>
      <c r="N944" t="str">
        <v>NUEVO MAYOR</v>
      </c>
      <c r="O944" s="89">
        <v>8624.2199999999993</v>
      </c>
      <c r="P944" s="89" t="str">
        <v/>
      </c>
      <c r="Q944" s="89">
        <v>2587.2659999999996</v>
      </c>
      <c r="R944" s="89">
        <v>2587.2659999999996</v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>
        <v>1</v>
      </c>
    </row>
    <row r="945" spans="1:24">
      <c r="A945" s="26">
        <v>1480</v>
      </c>
      <c r="B945" s="87">
        <v>46242.391759259299</v>
      </c>
      <c r="C945" s="87">
        <v>46242.4866203704</v>
      </c>
      <c r="D945" t="str">
        <v>anónimo</v>
      </c>
      <c r="E945" t="str">
        <v/>
      </c>
      <c r="F945" s="68">
        <v>46242</v>
      </c>
      <c r="G945" s="88">
        <v>46226</v>
      </c>
      <c r="H945" t="str">
        <v>ROSA CASTRO SUR</v>
      </c>
      <c r="I945" t="str">
        <v>JAIME CASTRO CRUZ</v>
      </c>
      <c r="J945" s="82" t="str">
        <v/>
      </c>
      <c r="K945" t="str">
        <v>CACJ580710HDFSRM06</v>
      </c>
      <c r="L945" s="82">
        <v>23037468</v>
      </c>
      <c r="M945" s="82">
        <v>5217207160172</v>
      </c>
      <c r="N945" t="str">
        <v>NUEVO MENOR</v>
      </c>
      <c r="O945" s="89">
        <v>9081.52</v>
      </c>
      <c r="P945" s="89">
        <v>1777.73</v>
      </c>
      <c r="Q945" s="89">
        <v>2724.4560000000001</v>
      </c>
      <c r="R945" s="89">
        <v>946.72600000000011</v>
      </c>
      <c r="S945">
        <v>46600</v>
      </c>
      <c r="T945" t="str">
        <v/>
      </c>
      <c r="U945" t="str">
        <v/>
      </c>
      <c r="V945" t="str">
        <v/>
      </c>
      <c r="W945" t="str">
        <v/>
      </c>
      <c r="X945">
        <v>2</v>
      </c>
    </row>
    <row r="946" spans="1:24">
      <c r="A946" s="26">
        <v>1481</v>
      </c>
      <c r="B946" s="87">
        <v>46242.420162037</v>
      </c>
      <c r="C946" s="87">
        <v>46242.493379629603</v>
      </c>
      <c r="D946" t="str">
        <v>anónimo</v>
      </c>
      <c r="E946" t="str">
        <v/>
      </c>
      <c r="F946" s="68">
        <v>46242</v>
      </c>
      <c r="G946" s="88">
        <v>46242</v>
      </c>
      <c r="H946" t="str">
        <v>FERNANDA CASTILLO C/C</v>
      </c>
      <c r="I946" t="str">
        <v>JORGE CHULIA ORTEGA</v>
      </c>
      <c r="J946" s="82">
        <v>11735594351</v>
      </c>
      <c r="K946" t="str">
        <v>CUOJ550626HDFHRR09</v>
      </c>
      <c r="L946" s="82">
        <v>23469298</v>
      </c>
      <c r="M946" s="82">
        <v>9515472453</v>
      </c>
      <c r="N946" t="str">
        <v>NUEVO MENOR</v>
      </c>
      <c r="O946" s="89">
        <v>6603.21</v>
      </c>
      <c r="P946" s="89">
        <v>879</v>
      </c>
      <c r="Q946" s="89">
        <v>1980.963</v>
      </c>
      <c r="R946" s="89">
        <v>1101.963</v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>
        <v>1</v>
      </c>
    </row>
    <row r="947" spans="1:24">
      <c r="A947" s="26">
        <v>1482</v>
      </c>
      <c r="B947" s="87">
        <v>46242.491967592599</v>
      </c>
      <c r="C947" s="87">
        <v>46242.493703703702</v>
      </c>
      <c r="D947" t="str">
        <v>anónimo</v>
      </c>
      <c r="E947" t="str">
        <v/>
      </c>
      <c r="F947" s="68">
        <v>46242</v>
      </c>
      <c r="G947" s="88">
        <v>46240</v>
      </c>
      <c r="H947" t="str">
        <v>CARRANZA SARDINA C/C</v>
      </c>
      <c r="I947" t="str">
        <v>Rosalba Bravo Hernandez</v>
      </c>
      <c r="J947" s="82" t="str">
        <v/>
      </c>
      <c r="K947" t="str">
        <v>BAHR611213MOCRRS00</v>
      </c>
      <c r="L947" s="82">
        <v>23460024</v>
      </c>
      <c r="M947" s="82">
        <v>9531625281</v>
      </c>
      <c r="N947" t="str">
        <v>NUEVO MAYOR</v>
      </c>
      <c r="O947" s="89">
        <v>6262.86</v>
      </c>
      <c r="P947" s="89" t="str">
        <v/>
      </c>
      <c r="Q947" s="89">
        <v>1878.8579999999997</v>
      </c>
      <c r="R947" s="89">
        <v>1878.8579999999997</v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>
        <v>1</v>
      </c>
    </row>
    <row r="948" spans="1:24">
      <c r="A948" s="26">
        <v>1483</v>
      </c>
      <c r="B948" s="87">
        <v>46242.485428240703</v>
      </c>
      <c r="C948" s="87">
        <v>46242.498310185198</v>
      </c>
      <c r="D948" t="str">
        <v>anónimo</v>
      </c>
      <c r="E948" t="str">
        <v/>
      </c>
      <c r="F948" s="68">
        <v>46242</v>
      </c>
      <c r="G948" s="88">
        <v>46242</v>
      </c>
      <c r="H948" t="str">
        <v>LILIANA MARTINEZ SUR</v>
      </c>
      <c r="I948" t="str">
        <v>MAURA SILVIA TAPIA RUIZ</v>
      </c>
      <c r="J948" s="82">
        <v>24896664588</v>
      </c>
      <c r="K948" t="str">
        <v>TARM650627MCHPZR04</v>
      </c>
      <c r="L948" s="82">
        <v>23471942</v>
      </c>
      <c r="M948" s="82">
        <v>5216311828966</v>
      </c>
      <c r="N948" t="str">
        <v>NUEVO MAYOR</v>
      </c>
      <c r="O948" s="89">
        <v>9760.32</v>
      </c>
      <c r="P948" s="89" t="str">
        <v/>
      </c>
      <c r="Q948" s="89">
        <v>2928.096</v>
      </c>
      <c r="R948" s="89">
        <v>2928.096</v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>
        <v>1</v>
      </c>
    </row>
    <row r="949" spans="1:24">
      <c r="A949" s="26">
        <v>1484</v>
      </c>
      <c r="B949" s="87">
        <v>46242.499120370398</v>
      </c>
      <c r="C949" s="87">
        <v>46242.499675925901</v>
      </c>
      <c r="D949" t="str">
        <v>anónimo</v>
      </c>
      <c r="E949" t="str">
        <v/>
      </c>
      <c r="F949" s="68">
        <v>46242</v>
      </c>
      <c r="G949" s="88">
        <v>46235</v>
      </c>
      <c r="H949" t="str">
        <v>GLORIA ORTIZ C/C</v>
      </c>
      <c r="I949" t="str">
        <v>HILDA EMMA MEDINA VALLES</v>
      </c>
      <c r="J949" s="82">
        <v>24765821087</v>
      </c>
      <c r="K949" t="str">
        <v>MEVH660330MSRDLL05</v>
      </c>
      <c r="L949" s="82">
        <v>23282646</v>
      </c>
      <c r="M949" s="82">
        <v>5216631197724</v>
      </c>
      <c r="N949" t="str">
        <v>COMPRA MAYOR</v>
      </c>
      <c r="O949" s="89">
        <v>5055.87</v>
      </c>
      <c r="P949" s="89">
        <v>1203</v>
      </c>
      <c r="Q949" s="89">
        <v>1516.761</v>
      </c>
      <c r="R949" s="89">
        <v>-320.10999999999967</v>
      </c>
      <c r="S949">
        <v>46235</v>
      </c>
      <c r="T949" t="str">
        <v/>
      </c>
      <c r="U949" t="str">
        <v/>
      </c>
      <c r="V949" t="str">
        <v/>
      </c>
      <c r="W949" t="str">
        <v/>
      </c>
      <c r="X949">
        <v>2</v>
      </c>
    </row>
    <row r="950" spans="1:24">
      <c r="A950" s="26">
        <v>1485</v>
      </c>
      <c r="B950" s="87">
        <v>46242.486643518503</v>
      </c>
      <c r="C950" s="87">
        <v>46242.504918981504</v>
      </c>
      <c r="D950" t="str">
        <v>anónimo</v>
      </c>
      <c r="E950" t="str">
        <v/>
      </c>
      <c r="F950" s="68">
        <v>46242</v>
      </c>
      <c r="G950" s="88">
        <v>46227</v>
      </c>
      <c r="H950" t="str">
        <v>ROSA CASTRO SUR</v>
      </c>
      <c r="I950" t="str">
        <v>PEDRO ALVARADO MORENO</v>
      </c>
      <c r="J950" s="82" t="str">
        <v/>
      </c>
      <c r="K950" t="str">
        <v>AAMP590914HGRLRD04</v>
      </c>
      <c r="L950" s="82">
        <v>23089552</v>
      </c>
      <c r="M950" s="82">
        <v>5217531287855</v>
      </c>
      <c r="N950" t="str">
        <v>NUEVO MAYOR</v>
      </c>
      <c r="O950" s="89">
        <v>7920.51</v>
      </c>
      <c r="P950" s="89">
        <v>848</v>
      </c>
      <c r="Q950" s="89">
        <v>2376.1529999999998</v>
      </c>
      <c r="R950" s="89">
        <v>1528.1529999999998</v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>
        <v>1</v>
      </c>
    </row>
    <row r="951" spans="1:24">
      <c r="A951" s="26">
        <v>1491</v>
      </c>
      <c r="B951" s="87">
        <v>46242.518773148098</v>
      </c>
      <c r="C951" s="87">
        <v>46242.524270833303</v>
      </c>
      <c r="D951" t="str">
        <v>anónimo</v>
      </c>
      <c r="E951" t="str">
        <v/>
      </c>
      <c r="F951" s="68">
        <v>46242</v>
      </c>
      <c r="G951" s="88">
        <v>46242</v>
      </c>
      <c r="H951" t="str">
        <v>GIOVANNI MELGAR</v>
      </c>
      <c r="I951" t="str">
        <v>ALEJANDRO REYES HERNANDEZ</v>
      </c>
      <c r="J951" s="82" t="str">
        <v>67785607473</v>
      </c>
      <c r="K951" t="str">
        <v>REHA560826HOCYRL03</v>
      </c>
      <c r="L951" s="82">
        <v>23472872</v>
      </c>
      <c r="M951" s="82">
        <v>5212871204145</v>
      </c>
      <c r="N951" t="str">
        <v>COMPRA MENOR</v>
      </c>
      <c r="O951" s="89">
        <v>60788.89</v>
      </c>
      <c r="P951" s="89">
        <v>18236.310000000001</v>
      </c>
      <c r="Q951" s="89">
        <v>18236.666999999998</v>
      </c>
      <c r="R951" s="89">
        <v>0.35699999999633292</v>
      </c>
      <c r="S951">
        <v>46600</v>
      </c>
      <c r="T951" t="str">
        <v/>
      </c>
      <c r="U951" t="str">
        <v/>
      </c>
      <c r="V951" t="str">
        <v/>
      </c>
      <c r="W951" t="str">
        <v/>
      </c>
      <c r="X951">
        <v>2</v>
      </c>
    </row>
    <row r="952" spans="1:24">
      <c r="A952" s="26">
        <v>1492</v>
      </c>
      <c r="B952" s="87">
        <v>46242.579722222203</v>
      </c>
      <c r="C952" s="87">
        <v>46242.580995370401</v>
      </c>
      <c r="D952" t="str">
        <v>anónimo</v>
      </c>
      <c r="E952" t="str">
        <v/>
      </c>
      <c r="F952" s="68">
        <v>46242</v>
      </c>
      <c r="G952" s="88">
        <v>46242</v>
      </c>
      <c r="H952" t="str">
        <v>KARINA MATA C/C</v>
      </c>
      <c r="I952" t="str">
        <v>VICTOR MANUEL REYES ALBERT</v>
      </c>
      <c r="J952" s="82" t="str">
        <v/>
      </c>
      <c r="K952" t="str">
        <v>REAV550523HDFYLC09</v>
      </c>
      <c r="L952" s="82">
        <v>23474698</v>
      </c>
      <c r="M952" s="82">
        <v>9614711690</v>
      </c>
      <c r="N952" t="str">
        <v>NUEVO MENOR</v>
      </c>
      <c r="O952" s="89">
        <v>4813.6899999999996</v>
      </c>
      <c r="P952" s="89" t="str">
        <v/>
      </c>
      <c r="Q952" s="89">
        <v>1444.1069999999997</v>
      </c>
      <c r="R952" s="89">
        <v>640.71</v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>
        <v>1</v>
      </c>
    </row>
    <row r="953" spans="1:24">
      <c r="A953" s="26">
        <v>1493</v>
      </c>
      <c r="B953" s="87">
        <v>46242.522824074098</v>
      </c>
      <c r="C953" s="87">
        <v>46242.591331018499</v>
      </c>
      <c r="D953" t="str">
        <v>anónimo</v>
      </c>
      <c r="E953" t="str">
        <v/>
      </c>
      <c r="F953" s="68">
        <v>46242</v>
      </c>
      <c r="G953" s="88">
        <v>46242</v>
      </c>
      <c r="H953" t="str">
        <v>ROSA CASTRO SUR</v>
      </c>
      <c r="I953" t="str">
        <v>CONSTANTINO HERNANDEZ MAVIL</v>
      </c>
      <c r="J953" s="82" t="str">
        <v>65947620616</v>
      </c>
      <c r="K953" t="str">
        <v>HEMC761220HvzRvN01</v>
      </c>
      <c r="L953" s="82">
        <v>23473736</v>
      </c>
      <c r="M953" s="82">
        <v>5212281162476</v>
      </c>
      <c r="N953" t="str">
        <v>COMPRA MAYOR</v>
      </c>
      <c r="O953" s="89">
        <v>5642.22</v>
      </c>
      <c r="P953" s="89">
        <v>1294.17</v>
      </c>
      <c r="Q953" s="89">
        <v>1692.6659999999999</v>
      </c>
      <c r="R953" s="89">
        <v>175.07000000000062</v>
      </c>
      <c r="S953">
        <v>45809</v>
      </c>
      <c r="T953" t="str">
        <v/>
      </c>
      <c r="U953" t="str">
        <v/>
      </c>
      <c r="V953" t="str">
        <v/>
      </c>
      <c r="W953" t="str">
        <v/>
      </c>
      <c r="X953">
        <v>2</v>
      </c>
    </row>
    <row r="954" spans="1:24">
      <c r="A954" s="26">
        <v>1497</v>
      </c>
      <c r="B954" s="87">
        <v>46242.589490740698</v>
      </c>
      <c r="C954" s="87">
        <v>46242.612939814797</v>
      </c>
      <c r="D954" t="str">
        <v>anónimo</v>
      </c>
      <c r="E954" t="str">
        <v/>
      </c>
      <c r="F954" s="68">
        <v>46242</v>
      </c>
      <c r="G954" s="88">
        <v>46236</v>
      </c>
      <c r="H954" t="str">
        <v>PAOLA RODRIGUEZ C/C</v>
      </c>
      <c r="I954" t="str">
        <v>Juanita Alejandra Teja Camargo</v>
      </c>
      <c r="J954" s="82" t="str">
        <v>01754916185</v>
      </c>
      <c r="K954" t="str">
        <v>TECJ700523MDFJMN06</v>
      </c>
      <c r="L954" s="82">
        <v>23295146</v>
      </c>
      <c r="M954" s="82">
        <v>5214421685627</v>
      </c>
      <c r="N954" t="str">
        <v>COMPRA MAYOR</v>
      </c>
      <c r="O954" s="89">
        <v>43264.06</v>
      </c>
      <c r="P954" s="89">
        <v>11532.91</v>
      </c>
      <c r="Q954" s="89">
        <v>12979.217999999999</v>
      </c>
      <c r="R954" s="89">
        <v>1446.3079999999991</v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>
        <v>1</v>
      </c>
    </row>
    <row r="955" spans="1:24">
      <c r="A955" s="26">
        <v>1501</v>
      </c>
      <c r="B955" s="87">
        <v>46242.6434143519</v>
      </c>
      <c r="C955" s="87">
        <v>46242.644004629597</v>
      </c>
      <c r="D955" t="str">
        <v>anónimo</v>
      </c>
      <c r="E955" t="str">
        <v/>
      </c>
      <c r="F955" s="68">
        <v>46242</v>
      </c>
      <c r="G955" s="88">
        <v>46241</v>
      </c>
      <c r="H955" t="str">
        <v>GIOVANNI MELGAR</v>
      </c>
      <c r="I955" t="str">
        <v>ALBERTO REYES MARTINEZ</v>
      </c>
      <c r="J955" s="82" t="str">
        <v>32765919900</v>
      </c>
      <c r="K955" t="str">
        <v xml:space="preserve"> REMA600601HCLYRL01</v>
      </c>
      <c r="L955" s="82">
        <v>23450772</v>
      </c>
      <c r="M955" s="82">
        <v>5218713582632</v>
      </c>
      <c r="N955" t="str">
        <v>COMPRA MAYOR</v>
      </c>
      <c r="O955" s="89">
        <v>24889.29</v>
      </c>
      <c r="P955" s="89">
        <v>7198.5</v>
      </c>
      <c r="Q955" s="89">
        <v>7466.7870000000003</v>
      </c>
      <c r="R955" s="89">
        <v>268.28700000000026</v>
      </c>
      <c r="S955">
        <v>46204</v>
      </c>
      <c r="T955" t="str">
        <v/>
      </c>
      <c r="U955" t="str">
        <v/>
      </c>
      <c r="V955" t="str">
        <v/>
      </c>
      <c r="W955" t="str">
        <v/>
      </c>
      <c r="X955">
        <v>2</v>
      </c>
    </row>
    <row r="956" spans="1:24">
      <c r="A956" s="26">
        <v>1506</v>
      </c>
      <c r="B956" s="87">
        <v>46242.662210648203</v>
      </c>
      <c r="C956" s="87">
        <v>46242.668865740699</v>
      </c>
      <c r="D956" t="str">
        <v>anónimo</v>
      </c>
      <c r="E956" t="str">
        <v/>
      </c>
      <c r="F956" s="68">
        <v>46242</v>
      </c>
      <c r="G956" s="88">
        <v>46242</v>
      </c>
      <c r="H956" t="str">
        <v>ROSA CASTRO SUR</v>
      </c>
      <c r="I956" t="str">
        <v xml:space="preserve">JUAN JOSE ALVARADO CHAVEZ </v>
      </c>
      <c r="J956" s="82" t="str">
        <v/>
      </c>
      <c r="K956" t="str">
        <v>AACJ730403HZSLHN01</v>
      </c>
      <c r="L956" s="82">
        <v>23467716</v>
      </c>
      <c r="M956" s="82">
        <v>5214922648073</v>
      </c>
      <c r="N956" t="str">
        <v>NUEVO MENOR</v>
      </c>
      <c r="O956" s="89">
        <v>9051.89</v>
      </c>
      <c r="P956" s="89">
        <v>2282.12</v>
      </c>
      <c r="Q956" s="89">
        <v>2715.5669999999996</v>
      </c>
      <c r="R956" s="89">
        <v>433.44699999999966</v>
      </c>
      <c r="S956">
        <v>46419</v>
      </c>
      <c r="T956" t="str">
        <v/>
      </c>
      <c r="U956" t="str">
        <v/>
      </c>
      <c r="V956" t="str">
        <v/>
      </c>
      <c r="W956" t="str">
        <v/>
      </c>
      <c r="X956">
        <v>2</v>
      </c>
    </row>
    <row r="957" spans="1:24">
      <c r="A957" s="26">
        <v>1508</v>
      </c>
      <c r="B957" s="87">
        <v>46242.703506944403</v>
      </c>
      <c r="C957" s="87">
        <v>46242.704166666699</v>
      </c>
      <c r="D957" t="str">
        <v>anónimo</v>
      </c>
      <c r="E957" t="str">
        <v/>
      </c>
      <c r="F957" s="68">
        <v>46242</v>
      </c>
      <c r="G957" s="88">
        <v>46242</v>
      </c>
      <c r="H957" t="str">
        <v>GIOVANNI MELGAR</v>
      </c>
      <c r="I957" t="str">
        <v>MAXIMINA RAMOS RUIZ</v>
      </c>
      <c r="J957" s="82" t="str">
        <v>33956405435</v>
      </c>
      <c r="K957" t="str">
        <v>RARM671025MDGMZX15</v>
      </c>
      <c r="L957" s="82">
        <v>23462820</v>
      </c>
      <c r="M957" s="82">
        <v>5216562966619</v>
      </c>
      <c r="N957" t="str">
        <v>NUEVO MAYOR</v>
      </c>
      <c r="O957" s="89">
        <v>8784.2999999999993</v>
      </c>
      <c r="P957" s="89">
        <v>848</v>
      </c>
      <c r="Q957" s="89">
        <v>2635.2899999999995</v>
      </c>
      <c r="R957" s="89">
        <v>1787.2899999999995</v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>
        <v>1</v>
      </c>
    </row>
    <row r="958" spans="1:24">
      <c r="A958" s="26">
        <v>1512</v>
      </c>
      <c r="B958" s="87">
        <v>46242.7524305556</v>
      </c>
      <c r="C958" s="87">
        <v>46242.752858796302</v>
      </c>
      <c r="D958" t="str">
        <v>anónimo</v>
      </c>
      <c r="E958" t="str">
        <v/>
      </c>
      <c r="F958" s="68">
        <v>46242</v>
      </c>
      <c r="G958" s="88">
        <v>46242</v>
      </c>
      <c r="H958" t="str">
        <v>MARISOL HERNANDEZ C/C</v>
      </c>
      <c r="I958" t="str">
        <v>Ramon</v>
      </c>
      <c r="J958" s="82">
        <v>23825810510</v>
      </c>
      <c r="K958" t="str">
        <v/>
      </c>
      <c r="L958" s="82">
        <v>23478144</v>
      </c>
      <c r="M958" s="82">
        <v>6681252796</v>
      </c>
      <c r="N958" t="str">
        <v>NUEVO MAYOR</v>
      </c>
      <c r="O958" s="89">
        <v>37189.199999999997</v>
      </c>
      <c r="P958" s="89">
        <v>848</v>
      </c>
      <c r="Q958" s="89">
        <v>11156.759999999998</v>
      </c>
      <c r="R958" s="89">
        <v>10308.759999999998</v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>
        <v>1</v>
      </c>
    </row>
    <row r="959" spans="1:24">
      <c r="A959" s="26">
        <v>1521</v>
      </c>
      <c r="B959" s="87">
        <v>46243.448182870401</v>
      </c>
      <c r="C959" s="87">
        <v>46243.448668981502</v>
      </c>
      <c r="D959" t="str">
        <v>anónimo</v>
      </c>
      <c r="E959" t="str">
        <v/>
      </c>
      <c r="F959" s="68">
        <v>46243</v>
      </c>
      <c r="G959" s="88">
        <v>46243</v>
      </c>
      <c r="H959" t="str">
        <v>GLORIA ORTIZ C/C</v>
      </c>
      <c r="I959" t="str">
        <v>FERNANDO MORALES RASCON</v>
      </c>
      <c r="J959" s="82" t="str">
        <v/>
      </c>
      <c r="K959" t="str">
        <v>MORF631002HSRRSR06</v>
      </c>
      <c r="L959" s="82">
        <v>23485426</v>
      </c>
      <c r="M959" s="82">
        <v>5216621697525</v>
      </c>
      <c r="N959" t="str">
        <v>COMPRA MAYOR</v>
      </c>
      <c r="O959" s="89">
        <v>9081.52</v>
      </c>
      <c r="P959" s="89">
        <v>2521.33</v>
      </c>
      <c r="Q959" s="89">
        <v>2724.4560000000001</v>
      </c>
      <c r="R959" s="89">
        <v>203.1260000000002</v>
      </c>
      <c r="S959">
        <v>46204</v>
      </c>
      <c r="T959" t="str">
        <v/>
      </c>
      <c r="U959" t="str">
        <v/>
      </c>
      <c r="V959" t="str">
        <v/>
      </c>
      <c r="W959" t="str">
        <v/>
      </c>
      <c r="X959">
        <v>2</v>
      </c>
    </row>
    <row r="960" spans="1:24">
      <c r="A960" s="26">
        <v>1522</v>
      </c>
      <c r="B960" s="87">
        <v>46243.335092592599</v>
      </c>
      <c r="C960" s="87">
        <v>46243.449641203697</v>
      </c>
      <c r="D960" t="str">
        <v>anónimo</v>
      </c>
      <c r="E960" t="str">
        <v/>
      </c>
      <c r="F960" s="68">
        <v>46243</v>
      </c>
      <c r="G960" s="88">
        <v>46243</v>
      </c>
      <c r="H960" t="str">
        <v>LITZY MARTINEZ C/C</v>
      </c>
      <c r="I960" t="str">
        <v>BLANCA ESTELA CAMPOS RUIZ</v>
      </c>
      <c r="J960" s="82" t="str">
        <v/>
      </c>
      <c r="K960" t="str">
        <v>CARB610827MDFMZL09</v>
      </c>
      <c r="L960" s="82">
        <v>23485672</v>
      </c>
      <c r="M960" s="82">
        <v>5213343835253</v>
      </c>
      <c r="N960" t="str">
        <v>NUEVO MAYOR</v>
      </c>
      <c r="O960" s="89">
        <v>9081.52</v>
      </c>
      <c r="P960" s="89" t="str">
        <v/>
      </c>
      <c r="Q960" s="89">
        <v>2724.4560000000001</v>
      </c>
      <c r="R960" s="89">
        <v>2724.4560000000001</v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>
        <v>1</v>
      </c>
    </row>
    <row r="961" spans="1:24">
      <c r="A961" s="26">
        <v>1524</v>
      </c>
      <c r="B961" s="87">
        <v>46243.340069444399</v>
      </c>
      <c r="C961" s="87">
        <v>46243.463460648098</v>
      </c>
      <c r="D961" t="str">
        <v>anónimo</v>
      </c>
      <c r="E961" t="str">
        <v/>
      </c>
      <c r="F961" s="68">
        <v>46243</v>
      </c>
      <c r="G961" s="88">
        <v>46243</v>
      </c>
      <c r="H961" t="str">
        <v>PAOLA RODRIGUEZ C/C</v>
      </c>
      <c r="I961" t="str">
        <v>MOGF640313HCLRRR18</v>
      </c>
      <c r="J961" s="82">
        <v>31806412602</v>
      </c>
      <c r="K961" t="str">
        <v>MOGF640313HCLRRR18</v>
      </c>
      <c r="L961" s="82">
        <v>23484448</v>
      </c>
      <c r="M961" s="82">
        <v>5218441427263</v>
      </c>
      <c r="N961" t="str">
        <v>NUEVO MAYOR</v>
      </c>
      <c r="O961" s="89">
        <v>11833</v>
      </c>
      <c r="P961" s="89" t="str">
        <v/>
      </c>
      <c r="Q961" s="89">
        <v>3549.9</v>
      </c>
      <c r="R961" s="89">
        <v>3549.9</v>
      </c>
      <c r="S961">
        <v>46478</v>
      </c>
      <c r="T961" t="str">
        <v/>
      </c>
      <c r="U961" t="str">
        <v/>
      </c>
      <c r="V961" t="str">
        <v/>
      </c>
      <c r="W961" t="str">
        <v/>
      </c>
      <c r="X961">
        <v>2</v>
      </c>
    </row>
    <row r="962" spans="1:24">
      <c r="A962" s="26">
        <v>1525</v>
      </c>
      <c r="B962" s="87">
        <v>46243.463888888902</v>
      </c>
      <c r="C962" s="87">
        <v>46243.491863425901</v>
      </c>
      <c r="D962" t="str">
        <v>anónimo</v>
      </c>
      <c r="E962" t="str">
        <v/>
      </c>
      <c r="F962" s="68">
        <v>46243</v>
      </c>
      <c r="G962" s="88">
        <v>46242</v>
      </c>
      <c r="H962" t="str">
        <v>PAOLA RODRIGUEZ C/C</v>
      </c>
      <c r="I962" t="str">
        <v>Ofelia Cano Vega</v>
      </c>
      <c r="J962" s="82">
        <v>23583714441</v>
      </c>
      <c r="K962" t="str">
        <v>CAVO421222MSLNGF04</v>
      </c>
      <c r="L962" s="82">
        <v>23480850</v>
      </c>
      <c r="M962" s="82">
        <v>5213331181803</v>
      </c>
      <c r="N962" t="str">
        <v>COMPRA MENOR</v>
      </c>
      <c r="O962" s="89">
        <v>6893.27</v>
      </c>
      <c r="P962" s="89">
        <v>1083.94</v>
      </c>
      <c r="Q962" s="89">
        <v>2067.9810000000002</v>
      </c>
      <c r="R962" s="89">
        <v>984.04100000000017</v>
      </c>
      <c r="S962">
        <v>45839</v>
      </c>
      <c r="T962" t="str">
        <v/>
      </c>
      <c r="U962" t="str">
        <v/>
      </c>
      <c r="V962" t="str">
        <v/>
      </c>
      <c r="W962" t="str">
        <v/>
      </c>
      <c r="X962">
        <v>2</v>
      </c>
    </row>
    <row r="963" spans="1:24">
      <c r="A963" s="26">
        <v>1526</v>
      </c>
      <c r="B963" s="87">
        <v>46243.498252314799</v>
      </c>
      <c r="C963" s="87">
        <v>46243.499363425901</v>
      </c>
      <c r="D963" t="str">
        <v>anónimo</v>
      </c>
      <c r="E963" t="str">
        <v/>
      </c>
      <c r="F963" s="68">
        <v>46243</v>
      </c>
      <c r="G963" s="88">
        <v>46243</v>
      </c>
      <c r="H963" t="str">
        <v>LITZY MARTINEZ C/C</v>
      </c>
      <c r="I963" t="str">
        <v>GABRIEL MONTALVO AUDELO</v>
      </c>
      <c r="J963" s="82" t="str">
        <v/>
      </c>
      <c r="K963" t="str">
        <v>MOAG650524HOCNDB06</v>
      </c>
      <c r="L963" s="82">
        <v>23487352</v>
      </c>
      <c r="M963" s="82">
        <v>5212871622811</v>
      </c>
      <c r="N963" t="str">
        <v>NUEVO MAYOR</v>
      </c>
      <c r="O963" s="89">
        <v>10636.54</v>
      </c>
      <c r="P963" s="89" t="str">
        <v/>
      </c>
      <c r="Q963" s="89">
        <v>3190.962</v>
      </c>
      <c r="R963" s="89">
        <v>3190.962</v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>
        <v>1</v>
      </c>
    </row>
    <row r="964" spans="1:24">
      <c r="A964" s="26">
        <v>1527</v>
      </c>
      <c r="B964" s="87">
        <v>46243.506701388898</v>
      </c>
      <c r="C964" s="87">
        <v>46243.507280092599</v>
      </c>
      <c r="D964" t="str">
        <v>anónimo</v>
      </c>
      <c r="E964" t="str">
        <v/>
      </c>
      <c r="F964" s="68">
        <v>46243</v>
      </c>
      <c r="G964" s="88">
        <v>46241</v>
      </c>
      <c r="H964" t="str">
        <v>CARRANZA SARDINA C/C</v>
      </c>
      <c r="I964" t="str">
        <v>Guillermo Jimenez Luna</v>
      </c>
      <c r="J964" s="82" t="str">
        <v/>
      </c>
      <c r="K964" t="str">
        <v>JILG630109HTCMNL08</v>
      </c>
      <c r="L964" s="82">
        <v>23460102</v>
      </c>
      <c r="M964" s="82">
        <v>9932580821</v>
      </c>
      <c r="N964" t="str">
        <v>NUEVO MAYOR</v>
      </c>
      <c r="O964" s="89">
        <v>7920.51</v>
      </c>
      <c r="P964" s="89" t="str">
        <v/>
      </c>
      <c r="Q964" s="89">
        <v>2376.1529999999998</v>
      </c>
      <c r="R964" s="89">
        <v>2376.1529999999998</v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>
        <v>1</v>
      </c>
    </row>
    <row r="965" spans="1:24">
      <c r="A965" s="26">
        <v>1529</v>
      </c>
      <c r="B965" s="87">
        <v>46243.557280092602</v>
      </c>
      <c r="C965" s="87">
        <v>46243.558055555601</v>
      </c>
      <c r="D965" t="str">
        <v>anónimo</v>
      </c>
      <c r="E965" t="str">
        <v/>
      </c>
      <c r="F965" s="68">
        <v>46243</v>
      </c>
      <c r="G965" s="88">
        <v>46242</v>
      </c>
      <c r="H965" t="str">
        <v>LITZY MARTINEZ C/C</v>
      </c>
      <c r="I965" t="str">
        <v xml:space="preserve">MARTHA LYDIA RESENDIZ SOLANO </v>
      </c>
      <c r="J965" s="82" t="str">
        <v/>
      </c>
      <c r="K965" t="str">
        <v>RESM640417MDFSLR01</v>
      </c>
      <c r="L965" s="82">
        <v>23478070</v>
      </c>
      <c r="M965" s="82">
        <v>5215554089704</v>
      </c>
      <c r="N965" t="str">
        <v>NUEVO MAYOR</v>
      </c>
      <c r="O965" s="89">
        <v>27090</v>
      </c>
      <c r="P965" s="89">
        <v>1842</v>
      </c>
      <c r="Q965" s="89">
        <v>8127</v>
      </c>
      <c r="R965" s="89">
        <v>6285</v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>
        <v>1</v>
      </c>
    </row>
    <row r="966" spans="1:24">
      <c r="A966" s="26">
        <v>1532</v>
      </c>
      <c r="B966" s="87">
        <v>46243.587696759299</v>
      </c>
      <c r="C966" s="87">
        <v>46243.589490740698</v>
      </c>
      <c r="D966" t="str">
        <v>anónimo</v>
      </c>
      <c r="E966" t="str">
        <v/>
      </c>
      <c r="F966" s="68">
        <v>46243</v>
      </c>
      <c r="G966" s="88">
        <v>46243</v>
      </c>
      <c r="H966" t="str">
        <v>KARINA MATA C/C</v>
      </c>
      <c r="I966" t="str">
        <v>Edilberto Asuncion pech</v>
      </c>
      <c r="J966" s="82">
        <v>84856502780</v>
      </c>
      <c r="K966" t="str">
        <v/>
      </c>
      <c r="L966" s="82">
        <v>23487668</v>
      </c>
      <c r="M966" s="82">
        <v>9991694377</v>
      </c>
      <c r="N966" t="str">
        <v>NUEVO MENOR</v>
      </c>
      <c r="O966" s="89">
        <v>9760.32</v>
      </c>
      <c r="P966" s="89">
        <v>2608.5700000000002</v>
      </c>
      <c r="Q966" s="89">
        <v>2928.096</v>
      </c>
      <c r="R966" s="89">
        <v>319.52599999999984</v>
      </c>
      <c r="S966">
        <v>46661</v>
      </c>
      <c r="T966" t="str">
        <v/>
      </c>
      <c r="U966" t="str">
        <v/>
      </c>
      <c r="V966" t="str">
        <v/>
      </c>
      <c r="W966" t="str">
        <v/>
      </c>
      <c r="X966">
        <v>2</v>
      </c>
    </row>
    <row r="967" spans="1:24">
      <c r="A967" s="26">
        <v>1535</v>
      </c>
      <c r="B967" s="87">
        <v>46243.605659722198</v>
      </c>
      <c r="C967" s="87">
        <v>46243.6069907407</v>
      </c>
      <c r="D967" t="str">
        <v>anónimo</v>
      </c>
      <c r="E967" t="str">
        <v/>
      </c>
      <c r="F967" s="68">
        <v>46243</v>
      </c>
      <c r="G967" s="88">
        <v>46243</v>
      </c>
      <c r="H967" t="str">
        <v>GUADALUPE BECERRA C/C</v>
      </c>
      <c r="I967" t="str">
        <v>GILBERTO ARMANDO RAMIREZ ENCINIA</v>
      </c>
      <c r="J967" s="82">
        <v>43976808089</v>
      </c>
      <c r="K967" t="str">
        <v/>
      </c>
      <c r="L967" s="82">
        <v>23489792</v>
      </c>
      <c r="M967" s="82">
        <v>5218149598318</v>
      </c>
      <c r="N967" t="str">
        <v>NUEVO MAYOR</v>
      </c>
      <c r="O967" s="89">
        <v>9936.0600000000013</v>
      </c>
      <c r="P967" s="89">
        <v>848</v>
      </c>
      <c r="Q967" s="89">
        <v>2980.8180000000002</v>
      </c>
      <c r="R967" s="89">
        <v>2132.8180000000002</v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>
        <v>1</v>
      </c>
    </row>
    <row r="968" spans="1:24">
      <c r="A968" s="26">
        <v>1537</v>
      </c>
      <c r="B968" s="87">
        <v>46243.611423611103</v>
      </c>
      <c r="C968" s="87">
        <v>46243.612928240698</v>
      </c>
      <c r="D968" t="str">
        <v>anónimo</v>
      </c>
      <c r="E968" t="str">
        <v/>
      </c>
      <c r="F968" s="68">
        <v>46243</v>
      </c>
      <c r="G968" s="88">
        <v>46243</v>
      </c>
      <c r="H968" t="str">
        <v>ANA VILLEGAS C/C</v>
      </c>
      <c r="I968" t="str">
        <v>SERGIO</v>
      </c>
      <c r="J968" s="82">
        <v>15785704659</v>
      </c>
      <c r="K968" t="str">
        <v/>
      </c>
      <c r="L968" s="82">
        <v>23479242</v>
      </c>
      <c r="M968" s="82">
        <v>5218771265641</v>
      </c>
      <c r="N968" t="str">
        <v>COMPRA MAYOR</v>
      </c>
      <c r="O968" s="89">
        <v>19054.55</v>
      </c>
      <c r="P968" s="89">
        <v>3680.8</v>
      </c>
      <c r="Q968" s="89">
        <v>5716.3649999999998</v>
      </c>
      <c r="R968" s="89">
        <v>2035.5649999999996</v>
      </c>
      <c r="S968">
        <v>46082</v>
      </c>
      <c r="T968" t="str">
        <v/>
      </c>
      <c r="U968" t="str">
        <v/>
      </c>
      <c r="V968" t="str">
        <v/>
      </c>
      <c r="W968" t="str">
        <v/>
      </c>
      <c r="X968">
        <v>2</v>
      </c>
    </row>
    <row r="969" spans="1:24">
      <c r="A969" s="26">
        <v>1538</v>
      </c>
      <c r="B969" s="87">
        <v>46243.612962963001</v>
      </c>
      <c r="C969" s="87">
        <v>46243.614027777803</v>
      </c>
      <c r="D969" t="str">
        <v>anónimo</v>
      </c>
      <c r="E969" t="str">
        <v/>
      </c>
      <c r="F969" s="68">
        <v>46243</v>
      </c>
      <c r="G969" s="88">
        <v>46243</v>
      </c>
      <c r="H969" t="str">
        <v>GLORIA ORTIZ C/C</v>
      </c>
      <c r="I969" t="str">
        <v>LAURA ISABEL ALVARADO ARREDONDO</v>
      </c>
      <c r="J969" s="82" t="str">
        <v>65825615084</v>
      </c>
      <c r="K969" t="str">
        <v>AAAL520708MSPLRR04</v>
      </c>
      <c r="L969" s="82">
        <v>23483792</v>
      </c>
      <c r="M969" s="82">
        <v>5217822222992</v>
      </c>
      <c r="N969" t="str">
        <v>COMPRA MAYOR</v>
      </c>
      <c r="O969" s="89">
        <v>17053.439999999999</v>
      </c>
      <c r="P969" s="89">
        <v>4523.21</v>
      </c>
      <c r="Q969" s="89">
        <v>5116.0319999999992</v>
      </c>
      <c r="R969" s="89">
        <v>592.82199999999921</v>
      </c>
      <c r="S969">
        <v>45901</v>
      </c>
      <c r="T969" t="str">
        <v/>
      </c>
      <c r="U969" t="str">
        <v/>
      </c>
      <c r="V969" t="str">
        <v/>
      </c>
      <c r="W969" t="str">
        <v/>
      </c>
      <c r="X969">
        <v>2</v>
      </c>
    </row>
    <row r="970" spans="1:24">
      <c r="A970" s="26">
        <v>1544</v>
      </c>
      <c r="B970" s="87">
        <v>46243.6801388889</v>
      </c>
      <c r="C970" s="87">
        <v>46243.682337963</v>
      </c>
      <c r="D970" t="str">
        <v>anónimo</v>
      </c>
      <c r="E970" t="str">
        <v/>
      </c>
      <c r="F970" s="68">
        <v>46243</v>
      </c>
      <c r="G970" s="88">
        <v>46243</v>
      </c>
      <c r="H970" t="str">
        <v>CARRANZA SARDINA C/C</v>
      </c>
      <c r="I970" t="str">
        <v>Juan Marcos Ortiz Sandoval</v>
      </c>
      <c r="J970" s="82" t="str">
        <v/>
      </c>
      <c r="K970" t="str">
        <v>OISJ651122HDFRNN07</v>
      </c>
      <c r="L970" s="82">
        <v>23487104</v>
      </c>
      <c r="M970" s="82">
        <v>8994200500</v>
      </c>
      <c r="N970" t="str">
        <v>NUEVO MAYOR</v>
      </c>
      <c r="O970" s="89">
        <v>10636.54</v>
      </c>
      <c r="P970" s="89" t="str">
        <v/>
      </c>
      <c r="Q970" s="89">
        <v>3190.962</v>
      </c>
      <c r="R970" s="89">
        <v>3190.962</v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>
        <v>1</v>
      </c>
    </row>
    <row r="971" spans="1:24">
      <c r="A971" s="26">
        <v>1546</v>
      </c>
      <c r="B971" s="87">
        <v>46243.692118055602</v>
      </c>
      <c r="C971" s="87">
        <v>46243.694016203699</v>
      </c>
      <c r="D971" t="str">
        <v>anónimo</v>
      </c>
      <c r="E971" t="str">
        <v/>
      </c>
      <c r="F971" s="68">
        <v>46243</v>
      </c>
      <c r="G971" s="88">
        <v>46242</v>
      </c>
      <c r="H971" t="str">
        <v>GLORIA ORTIZ C/C</v>
      </c>
      <c r="I971" t="str">
        <v>MAYNOR LEONEL PINEDA RAMOS</v>
      </c>
      <c r="J971" s="82" t="str">
        <v>01785857176</v>
      </c>
      <c r="K971" t="str">
        <v/>
      </c>
      <c r="L971" s="82">
        <v>23479236</v>
      </c>
      <c r="M971" s="82">
        <v>5215541430784</v>
      </c>
      <c r="N971" t="str">
        <v>NUEVO MAYOR</v>
      </c>
      <c r="O971" s="89">
        <v>65910.100000000006</v>
      </c>
      <c r="P971" s="89" t="str">
        <v/>
      </c>
      <c r="Q971" s="89">
        <v>19773.030000000002</v>
      </c>
      <c r="R971" s="89">
        <v>19773.030000000002</v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>
        <v>1</v>
      </c>
    </row>
    <row r="972" spans="1:24">
      <c r="A972" s="26">
        <v>1547</v>
      </c>
      <c r="B972" s="87">
        <v>46243.700659722199</v>
      </c>
      <c r="C972" s="87">
        <v>46243.7020023148</v>
      </c>
      <c r="D972" t="str">
        <v>anónimo</v>
      </c>
      <c r="E972" t="str">
        <v/>
      </c>
      <c r="F972" s="68">
        <v>46243</v>
      </c>
      <c r="G972" s="88">
        <v>46243</v>
      </c>
      <c r="H972" t="str">
        <v>DEYANIRA CORDOVA C/C</v>
      </c>
      <c r="I972" t="str">
        <v/>
      </c>
      <c r="J972" s="82" t="str">
        <v/>
      </c>
      <c r="K972" t="str">
        <v>JIMJ641219HNLMRN00</v>
      </c>
      <c r="L972" s="82">
        <v>23486478</v>
      </c>
      <c r="M972" s="82">
        <v>8110352287</v>
      </c>
      <c r="N972" t="str">
        <v>COMPRA MENOR</v>
      </c>
      <c r="O972" s="89">
        <v>19256.38</v>
      </c>
      <c r="P972" s="89">
        <v>5776.86</v>
      </c>
      <c r="Q972" s="89">
        <v>5776.9139999999998</v>
      </c>
      <c r="R972" s="89">
        <v>5.4000000000087311E-2</v>
      </c>
      <c r="S972">
        <v>46204</v>
      </c>
      <c r="T972" t="str">
        <v/>
      </c>
      <c r="U972" t="str">
        <v/>
      </c>
      <c r="V972" t="str">
        <v/>
      </c>
      <c r="W972" t="str">
        <v/>
      </c>
      <c r="X972">
        <v>2</v>
      </c>
    </row>
    <row r="973" spans="1:24">
      <c r="A973" s="26">
        <v>1550</v>
      </c>
      <c r="B973" s="87">
        <v>46244.341944444401</v>
      </c>
      <c r="C973" s="87">
        <v>46244.342824074098</v>
      </c>
      <c r="D973" t="str">
        <v>anónimo</v>
      </c>
      <c r="E973" t="str">
        <v/>
      </c>
      <c r="F973" s="68">
        <v>46244</v>
      </c>
      <c r="G973" s="88">
        <v>46244</v>
      </c>
      <c r="H973" t="str">
        <v>MAGALI MARTINEZ EXT 2</v>
      </c>
      <c r="I973" t="str">
        <v>FAUSTO TORIZ MARIN</v>
      </c>
      <c r="J973" s="82">
        <v>11745569357</v>
      </c>
      <c r="K973" t="str">
        <v>TOMF580906HDFRRS05</v>
      </c>
      <c r="L973" s="82">
        <v>2</v>
      </c>
      <c r="M973" s="82">
        <v>5521031652</v>
      </c>
      <c r="N973" t="str">
        <v>NUEVO MAYOR</v>
      </c>
      <c r="O973" s="89">
        <v>9081.52</v>
      </c>
      <c r="P973" s="89" t="str">
        <v/>
      </c>
      <c r="Q973" s="89">
        <v>2724.4560000000001</v>
      </c>
      <c r="R973" s="89">
        <v>2724.4560000000001</v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>
        <v>1</v>
      </c>
    </row>
    <row r="974" spans="1:24">
      <c r="A974" s="26">
        <v>1553</v>
      </c>
      <c r="B974" s="87">
        <v>46244.371342592603</v>
      </c>
      <c r="C974" s="87">
        <v>46244.372187499997</v>
      </c>
      <c r="D974" t="str">
        <v>anónimo</v>
      </c>
      <c r="E974" t="str">
        <v/>
      </c>
      <c r="F974" s="68">
        <v>46244</v>
      </c>
      <c r="G974" s="88">
        <v>46244</v>
      </c>
      <c r="H974" t="str">
        <v>MAGALI MARTINEZ EXT 2</v>
      </c>
      <c r="I974" t="str">
        <v>AMELIA LOURDES MARTINEZ HERNANDEZ</v>
      </c>
      <c r="J974" s="82" t="str">
        <v>17826403473</v>
      </c>
      <c r="K974" t="str">
        <v>MAHA640105MDFRRM05</v>
      </c>
      <c r="L974" s="82">
        <v>2</v>
      </c>
      <c r="M974" s="82" t="str">
        <v>55 2946 8858</v>
      </c>
      <c r="N974" t="str">
        <v>COMPRA MAYOR</v>
      </c>
      <c r="O974" s="89">
        <v>9504.7000000000007</v>
      </c>
      <c r="P974" s="89">
        <v>2638.84</v>
      </c>
      <c r="Q974" s="89">
        <v>2851.4100000000003</v>
      </c>
      <c r="R974" s="89">
        <v>212.57000000000016</v>
      </c>
      <c r="S974">
        <v>46204</v>
      </c>
      <c r="T974" t="str">
        <v/>
      </c>
      <c r="U974" t="str">
        <v/>
      </c>
      <c r="V974" t="str">
        <v/>
      </c>
      <c r="W974" t="str">
        <v/>
      </c>
      <c r="X974">
        <v>2</v>
      </c>
    </row>
    <row r="975" spans="1:24">
      <c r="A975" s="26">
        <v>1570</v>
      </c>
      <c r="B975" s="87">
        <v>46244.455694444398</v>
      </c>
      <c r="C975" s="87">
        <v>46244.456157407403</v>
      </c>
      <c r="D975" t="str">
        <v>anónimo</v>
      </c>
      <c r="E975" t="str">
        <v/>
      </c>
      <c r="F975" s="68">
        <v>46244</v>
      </c>
      <c r="G975" s="88">
        <v>46244</v>
      </c>
      <c r="H975" t="str">
        <v>GLORIA ORTIZ C/C</v>
      </c>
      <c r="I975" t="str">
        <v>RAFAEL MARCELO</v>
      </c>
      <c r="J975" s="82" t="str">
        <v>33796010180</v>
      </c>
      <c r="K975" t="str">
        <v/>
      </c>
      <c r="L975" s="82">
        <v>23493052</v>
      </c>
      <c r="M975" s="82">
        <v>5216145357756</v>
      </c>
      <c r="N975" t="str">
        <v>COMPRA MAYOR</v>
      </c>
      <c r="O975" s="89">
        <v>7920.51</v>
      </c>
      <c r="P975" s="89">
        <v>2084.7199999999998</v>
      </c>
      <c r="Q975" s="89">
        <v>2376.1529999999998</v>
      </c>
      <c r="R975" s="89">
        <v>291.43299999999999</v>
      </c>
      <c r="S975">
        <v>45931</v>
      </c>
      <c r="T975" t="str">
        <v/>
      </c>
      <c r="U975" t="str">
        <v/>
      </c>
      <c r="V975" t="str">
        <v/>
      </c>
      <c r="W975" t="str">
        <v/>
      </c>
      <c r="X975">
        <v>2</v>
      </c>
    </row>
    <row r="976" spans="1:24">
      <c r="A976" s="26">
        <v>1571</v>
      </c>
      <c r="B976" s="87">
        <v>46244.456018518496</v>
      </c>
      <c r="C976" s="87">
        <v>46244.457118055601</v>
      </c>
      <c r="D976" t="str">
        <v>anónimo</v>
      </c>
      <c r="E976" t="str">
        <v/>
      </c>
      <c r="F976" s="68">
        <v>46244</v>
      </c>
      <c r="G976" s="88">
        <v>46244</v>
      </c>
      <c r="H976" t="str">
        <v>MAGALI MARTINEZ EXT 2</v>
      </c>
      <c r="I976" t="str">
        <v>APOLINAR MANCILLA PASCACIO</v>
      </c>
      <c r="J976" s="82">
        <v>53795903052</v>
      </c>
      <c r="K976" t="str">
        <v>MAPA590920HGRNSP07</v>
      </c>
      <c r="L976" s="82">
        <v>2</v>
      </c>
      <c r="M976" s="82">
        <v>6641117353</v>
      </c>
      <c r="N976" t="str">
        <v>NUEVO MAYOR</v>
      </c>
      <c r="O976" s="89">
        <v>15786.45</v>
      </c>
      <c r="P976" s="89" t="str">
        <v/>
      </c>
      <c r="Q976" s="89">
        <v>4735.9350000000004</v>
      </c>
      <c r="R976" s="89">
        <v>4735.9350000000004</v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>
        <v>1</v>
      </c>
    </row>
    <row r="977" spans="1:24">
      <c r="A977" s="26">
        <v>1572</v>
      </c>
      <c r="B977" s="87">
        <v>46244.4612962963</v>
      </c>
      <c r="C977" s="87">
        <v>46244.461817129602</v>
      </c>
      <c r="D977" t="str">
        <v>anónimo</v>
      </c>
      <c r="E977" t="str">
        <v/>
      </c>
      <c r="F977" s="68">
        <v>46244</v>
      </c>
      <c r="G977" s="88">
        <v>46241</v>
      </c>
      <c r="H977" t="str">
        <v>GIOVANNI MELGAR</v>
      </c>
      <c r="I977" t="str">
        <v>GREGORIO ADRIAN ROMERO GARCIA</v>
      </c>
      <c r="J977" s="82" t="str">
        <v/>
      </c>
      <c r="K977" t="str">
        <v>ROGG561117HOCMRR02</v>
      </c>
      <c r="L977" s="82">
        <v>23462508</v>
      </c>
      <c r="M977" s="82">
        <v>5215635317400</v>
      </c>
      <c r="N977" t="str">
        <v>NUEVO MAYOR</v>
      </c>
      <c r="O977" s="89">
        <v>9760.32</v>
      </c>
      <c r="P977" s="89" t="str">
        <v/>
      </c>
      <c r="Q977" s="89">
        <v>2928.096</v>
      </c>
      <c r="R977" s="89">
        <v>2928.096</v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>
        <v>1</v>
      </c>
    </row>
    <row r="978" spans="1:24">
      <c r="A978" s="26">
        <v>1579</v>
      </c>
      <c r="B978" s="87">
        <v>46244.477291666699</v>
      </c>
      <c r="C978" s="87">
        <v>46244.498090277797</v>
      </c>
      <c r="D978" t="str">
        <v>anónimo</v>
      </c>
      <c r="E978" t="str">
        <v/>
      </c>
      <c r="F978" s="68">
        <v>46244</v>
      </c>
      <c r="G978" s="88">
        <v>46244</v>
      </c>
      <c r="H978" t="str">
        <v>ROSA CASTRO SUR</v>
      </c>
      <c r="I978" t="str">
        <v>RUBEN RODRIGUEZ ORTIZ</v>
      </c>
      <c r="J978" s="82" t="str">
        <v/>
      </c>
      <c r="K978" t="str">
        <v>ROOR601008HDFDRB06</v>
      </c>
      <c r="L978" s="82">
        <v>23498166</v>
      </c>
      <c r="M978" s="82">
        <v>5215628030663</v>
      </c>
      <c r="N978" t="str">
        <v>NUEVO MAYOR</v>
      </c>
      <c r="O978" s="89">
        <v>12261.82</v>
      </c>
      <c r="P978" s="89" t="str">
        <v/>
      </c>
      <c r="Q978" s="89">
        <v>3678.5459999999998</v>
      </c>
      <c r="R978" s="89">
        <v>3678.5459999999998</v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>
        <v>1</v>
      </c>
    </row>
    <row r="979" spans="1:24">
      <c r="A979" s="26">
        <v>1584</v>
      </c>
      <c r="B979" s="87">
        <v>46244.511446759301</v>
      </c>
      <c r="C979" s="87">
        <v>46244.512372685203</v>
      </c>
      <c r="D979" t="str">
        <v>anónimo</v>
      </c>
      <c r="E979" t="str">
        <v/>
      </c>
      <c r="F979" s="68">
        <v>46244</v>
      </c>
      <c r="G979" s="88">
        <v>46243</v>
      </c>
      <c r="H979" t="str">
        <v>GIOVANNI MELGAR</v>
      </c>
      <c r="I979" t="str">
        <v>JAVIER MOREIRA ANDRADE</v>
      </c>
      <c r="J979" s="82" t="str">
        <v>62906650095</v>
      </c>
      <c r="K979" t="str">
        <v>MOAJ660506HDFRNV08</v>
      </c>
      <c r="L979" s="82">
        <v>23496962</v>
      </c>
      <c r="M979" s="82">
        <v>5212481016346</v>
      </c>
      <c r="N979" t="str">
        <v>NUEVO MAYOR</v>
      </c>
      <c r="O979" s="89">
        <v>10636.54</v>
      </c>
      <c r="P979" s="89" t="str">
        <v/>
      </c>
      <c r="Q979" s="89">
        <v>3190.962</v>
      </c>
      <c r="R979" s="89">
        <v>3190.962</v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>
        <v>1</v>
      </c>
    </row>
    <row r="980" spans="1:24">
      <c r="A980" s="26">
        <v>1587</v>
      </c>
      <c r="B980" s="87">
        <v>46244.522349537001</v>
      </c>
      <c r="C980" s="87">
        <v>46244.523009259297</v>
      </c>
      <c r="D980" t="str">
        <v>anónimo</v>
      </c>
      <c r="E980" t="str">
        <v/>
      </c>
      <c r="F980" s="68">
        <v>46244</v>
      </c>
      <c r="G980" s="88">
        <v>46244</v>
      </c>
      <c r="H980" t="str">
        <v>ALAN ALTAMIRANO EXT</v>
      </c>
      <c r="I980" t="str">
        <v>J. SANTANA RAMOS ALVARADO</v>
      </c>
      <c r="J980" s="82">
        <v>49796012497</v>
      </c>
      <c r="K980" t="str">
        <v>RAAS600726HTSMLN03</v>
      </c>
      <c r="L980" s="82">
        <v>1</v>
      </c>
      <c r="M980" s="82">
        <v>8331019285</v>
      </c>
      <c r="N980" t="str">
        <v>NUEVO MENOR</v>
      </c>
      <c r="O980" s="89">
        <v>5617.63</v>
      </c>
      <c r="P980" s="89">
        <v>848</v>
      </c>
      <c r="Q980" s="89">
        <v>1685.289</v>
      </c>
      <c r="R980" s="89">
        <v>596.65000000000055</v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>
        <v>1</v>
      </c>
    </row>
    <row r="981" spans="1:24">
      <c r="A981" s="26">
        <v>1595</v>
      </c>
      <c r="B981" s="87">
        <v>46244.420509259297</v>
      </c>
      <c r="C981" s="87">
        <v>46244.543599536999</v>
      </c>
      <c r="D981" t="str">
        <v>anónimo</v>
      </c>
      <c r="E981" t="str">
        <v/>
      </c>
      <c r="F981" s="68">
        <v>46244</v>
      </c>
      <c r="G981" s="88">
        <v>46244</v>
      </c>
      <c r="H981" t="str">
        <v>LITZY MARTINEZ C/C</v>
      </c>
      <c r="I981" t="str">
        <v xml:space="preserve">gabriel avila tirado </v>
      </c>
      <c r="J981" s="82" t="str">
        <v>23955604642</v>
      </c>
      <c r="K981" t="str">
        <v>AITG560324HSLVRB07</v>
      </c>
      <c r="L981" s="82">
        <v>23514158</v>
      </c>
      <c r="M981" s="82">
        <v>5216692393684</v>
      </c>
      <c r="N981" t="str">
        <v>COMPRA MAYOR</v>
      </c>
      <c r="O981" s="89">
        <v>15258.51</v>
      </c>
      <c r="P981" s="89">
        <v>4405.66</v>
      </c>
      <c r="Q981" s="89">
        <v>4577.5529999999999</v>
      </c>
      <c r="R981" s="89">
        <v>171.89300000000003</v>
      </c>
      <c r="S981">
        <v>46082</v>
      </c>
      <c r="T981" t="str">
        <v/>
      </c>
      <c r="U981" t="str">
        <v/>
      </c>
      <c r="V981" t="str">
        <v/>
      </c>
      <c r="W981" t="str">
        <v/>
      </c>
      <c r="X981">
        <v>2</v>
      </c>
    </row>
    <row r="982" spans="1:24">
      <c r="A982" s="26">
        <v>1599</v>
      </c>
      <c r="B982" s="87">
        <v>46244.554479166698</v>
      </c>
      <c r="C982" s="87">
        <v>46244.5552314815</v>
      </c>
      <c r="D982" t="str">
        <v>anónimo</v>
      </c>
      <c r="E982" t="str">
        <v/>
      </c>
      <c r="F982" s="68">
        <v>46244</v>
      </c>
      <c r="G982" s="88">
        <v>46243</v>
      </c>
      <c r="H982" t="str">
        <v>DEYANIRA CORDOVA C/C</v>
      </c>
      <c r="I982" t="str">
        <v/>
      </c>
      <c r="J982" s="82" t="str">
        <v/>
      </c>
      <c r="K982" t="str">
        <v>AILR580216HDFRRB06</v>
      </c>
      <c r="L982" s="82">
        <v>23488302</v>
      </c>
      <c r="M982" s="82">
        <v>9984941259</v>
      </c>
      <c r="N982" t="str">
        <v>COMPRA MAYOR</v>
      </c>
      <c r="O982" s="89">
        <v>22690.32</v>
      </c>
      <c r="P982" s="89">
        <v>6564.85</v>
      </c>
      <c r="Q982" s="89">
        <v>6807.0959999999995</v>
      </c>
      <c r="R982" s="89">
        <v>242.24599999999919</v>
      </c>
      <c r="S982">
        <v>46235</v>
      </c>
      <c r="T982" t="str">
        <v/>
      </c>
      <c r="U982" t="str">
        <v/>
      </c>
      <c r="V982" t="str">
        <v/>
      </c>
      <c r="W982" t="str">
        <v/>
      </c>
      <c r="X982">
        <v>2</v>
      </c>
    </row>
    <row r="983" spans="1:24">
      <c r="A983" s="26">
        <v>1601</v>
      </c>
      <c r="B983" s="87">
        <v>46244.5703587963</v>
      </c>
      <c r="C983" s="87">
        <v>46244.572337963</v>
      </c>
      <c r="D983" t="str">
        <v>anónimo</v>
      </c>
      <c r="E983" t="str">
        <v/>
      </c>
      <c r="F983" s="68">
        <v>46244</v>
      </c>
      <c r="G983" s="88">
        <v>46244</v>
      </c>
      <c r="H983" t="str">
        <v>FERNANDA CASTILLO C/C</v>
      </c>
      <c r="I983" t="str">
        <v>IRENE MORAN CONTRERAS</v>
      </c>
      <c r="J983" s="82">
        <v>65846304021</v>
      </c>
      <c r="K983" t="str">
        <v>MOCI610628MVZRNR00</v>
      </c>
      <c r="L983" s="82">
        <v>23473050</v>
      </c>
      <c r="M983" s="82">
        <v>2299136136</v>
      </c>
      <c r="N983" t="str">
        <v>NUEVO MENOR</v>
      </c>
      <c r="O983" s="89">
        <v>7398.95</v>
      </c>
      <c r="P983" s="89">
        <v>1538.01</v>
      </c>
      <c r="Q983" s="89">
        <v>2219.6849999999999</v>
      </c>
      <c r="R983" s="89">
        <v>681.67499999999995</v>
      </c>
      <c r="S983">
        <v>46722</v>
      </c>
      <c r="T983" t="str">
        <v/>
      </c>
      <c r="U983" t="str">
        <v/>
      </c>
      <c r="V983" t="str">
        <v/>
      </c>
      <c r="W983" t="str">
        <v/>
      </c>
      <c r="X983">
        <v>2</v>
      </c>
    </row>
    <row r="984" spans="1:24">
      <c r="A984" s="26">
        <v>1604</v>
      </c>
      <c r="B984" s="87">
        <v>46244.583472222199</v>
      </c>
      <c r="C984" s="87">
        <v>46244.584027777797</v>
      </c>
      <c r="D984" t="str">
        <v>anónimo</v>
      </c>
      <c r="E984" t="str">
        <v/>
      </c>
      <c r="F984" s="68">
        <v>46244</v>
      </c>
      <c r="G984" s="88">
        <v>46244</v>
      </c>
      <c r="H984" t="str">
        <v>GIOVANNI MELGAR</v>
      </c>
      <c r="I984" t="str">
        <v>ALBERTA PIÑA IBARRA</v>
      </c>
      <c r="J984" s="82" t="str">
        <v xml:space="preserve">23745604381
</v>
      </c>
      <c r="K984" t="str">
        <v>PIIA560105MSLXBL02</v>
      </c>
      <c r="L984" s="82">
        <v>23507640</v>
      </c>
      <c r="M984" s="82">
        <v>5216671367652</v>
      </c>
      <c r="N984" t="str">
        <v>COMPRA MAYOR</v>
      </c>
      <c r="O984" s="89">
        <v>18781.59</v>
      </c>
      <c r="P984" s="89">
        <v>5633</v>
      </c>
      <c r="Q984" s="89">
        <v>5634.4769999999999</v>
      </c>
      <c r="R984" s="89">
        <v>1.4769999999998618</v>
      </c>
      <c r="S984">
        <v>46235</v>
      </c>
      <c r="T984" t="str">
        <v/>
      </c>
      <c r="U984" t="str">
        <v/>
      </c>
      <c r="V984" t="str">
        <v/>
      </c>
      <c r="W984" t="str">
        <v/>
      </c>
      <c r="X984">
        <v>2</v>
      </c>
    </row>
    <row r="985" spans="1:24">
      <c r="A985" s="26">
        <v>1605</v>
      </c>
      <c r="B985" s="87">
        <v>46244.584895833301</v>
      </c>
      <c r="C985" s="87">
        <v>46244.586180555598</v>
      </c>
      <c r="D985" t="str">
        <v>anónimo</v>
      </c>
      <c r="E985" t="str">
        <v/>
      </c>
      <c r="F985" s="68">
        <v>46244</v>
      </c>
      <c r="G985" s="88">
        <v>46244</v>
      </c>
      <c r="H985" t="str">
        <v>ALBERTO POZOS EXT</v>
      </c>
      <c r="I985" t="str">
        <v>IGNACIO REMES VELIZ</v>
      </c>
      <c r="J985" s="82">
        <v>33796317049</v>
      </c>
      <c r="K985" t="str">
        <v>REVI630201HCHMLG08</v>
      </c>
      <c r="L985" s="82">
        <v>1</v>
      </c>
      <c r="M985" s="82">
        <v>6143386498</v>
      </c>
      <c r="N985" t="str">
        <v>NUEVO MAYOR</v>
      </c>
      <c r="O985" s="89">
        <v>7920.51</v>
      </c>
      <c r="P985" s="89">
        <v>1095.3900000000001</v>
      </c>
      <c r="Q985" s="89">
        <v>2376.1529999999998</v>
      </c>
      <c r="R985" s="89">
        <v>1280.7629999999997</v>
      </c>
      <c r="S985">
        <v>46266</v>
      </c>
      <c r="T985" t="str">
        <v/>
      </c>
      <c r="U985" t="str">
        <v/>
      </c>
      <c r="V985" t="str">
        <v/>
      </c>
      <c r="W985" t="str">
        <v/>
      </c>
      <c r="X985">
        <v>2</v>
      </c>
    </row>
    <row r="986" spans="1:24">
      <c r="A986" s="26">
        <v>1606</v>
      </c>
      <c r="B986" s="87">
        <v>46244.585868055598</v>
      </c>
      <c r="C986" s="87">
        <v>46244.586597222202</v>
      </c>
      <c r="D986" t="str">
        <v>anónimo</v>
      </c>
      <c r="E986" t="str">
        <v/>
      </c>
      <c r="F986" s="68">
        <v>46244</v>
      </c>
      <c r="G986" s="88">
        <v>46244</v>
      </c>
      <c r="H986" t="str">
        <v>GIOVANNI MELGAR</v>
      </c>
      <c r="I986" t="str">
        <v>ROGELIO TORRES BAZAN</v>
      </c>
      <c r="J986" s="82" t="str">
        <v xml:space="preserve">72776003468
</v>
      </c>
      <c r="K986" t="str">
        <v>TOBR600605HGRRZG06</v>
      </c>
      <c r="L986" s="82">
        <v>23497322</v>
      </c>
      <c r="M986" s="82">
        <v>5214426031760</v>
      </c>
      <c r="N986" t="str">
        <v>NUEVO MENOR</v>
      </c>
      <c r="O986" s="89">
        <v>6172.33</v>
      </c>
      <c r="P986" s="89">
        <v>722.68</v>
      </c>
      <c r="Q986" s="89">
        <v>1851.6989999999998</v>
      </c>
      <c r="R986" s="89">
        <v>1129.0189999999998</v>
      </c>
      <c r="S986">
        <v>46174</v>
      </c>
      <c r="T986" t="str">
        <v/>
      </c>
      <c r="U986" t="str">
        <v/>
      </c>
      <c r="V986" t="str">
        <v/>
      </c>
      <c r="W986" t="str">
        <v/>
      </c>
      <c r="X986">
        <v>2</v>
      </c>
    </row>
    <row r="987" spans="1:24">
      <c r="A987" s="26">
        <v>1609</v>
      </c>
      <c r="B987" s="87">
        <v>46244.6085185185</v>
      </c>
      <c r="C987" s="87">
        <v>46244.609201388899</v>
      </c>
      <c r="D987" t="str">
        <v>anónimo</v>
      </c>
      <c r="E987" t="str">
        <v/>
      </c>
      <c r="F987" s="68">
        <v>46244</v>
      </c>
      <c r="G987" s="88">
        <v>46214</v>
      </c>
      <c r="H987" t="str">
        <v>LITZY MARTINEZ C/C</v>
      </c>
      <c r="I987" t="str">
        <v>Hilaria Celestina Cabrera Rosas</v>
      </c>
      <c r="J987" s="82" t="str">
        <v>01654603230</v>
      </c>
      <c r="K987" t="str">
        <v/>
      </c>
      <c r="L987" s="82">
        <v>22561984</v>
      </c>
      <c r="M987" s="82">
        <v>5215551557405</v>
      </c>
      <c r="N987" t="str">
        <v>NUEVO MENOR</v>
      </c>
      <c r="O987" s="89">
        <v>10981.51</v>
      </c>
      <c r="P987" s="89">
        <v>2361.73</v>
      </c>
      <c r="Q987" s="89">
        <v>3294.453</v>
      </c>
      <c r="R987" s="89">
        <v>932.72299999999996</v>
      </c>
      <c r="S987">
        <v>46508</v>
      </c>
      <c r="T987" t="str">
        <v>CONSUBANCO</v>
      </c>
      <c r="U987" t="str">
        <v/>
      </c>
      <c r="V987" t="str">
        <v/>
      </c>
      <c r="W987" t="str">
        <v/>
      </c>
      <c r="X987">
        <v>2</v>
      </c>
    </row>
    <row r="988" spans="1:24">
      <c r="A988" s="26">
        <v>1613</v>
      </c>
      <c r="B988" s="87">
        <v>46244.624942129602</v>
      </c>
      <c r="C988" s="87">
        <v>46244.625729166699</v>
      </c>
      <c r="D988" t="str">
        <v>anónimo</v>
      </c>
      <c r="E988" t="str">
        <v/>
      </c>
      <c r="F988" s="68">
        <v>46244</v>
      </c>
      <c r="G988" s="88">
        <v>46220</v>
      </c>
      <c r="H988" t="str">
        <v>GIOVANNI MELGAR</v>
      </c>
      <c r="I988" t="str">
        <v>MANUEL CASTRO ESCALANTE</v>
      </c>
      <c r="J988" s="82" t="str">
        <v xml:space="preserve">21886863477
</v>
      </c>
      <c r="K988" t="str">
        <v>CAEM680221HBCSSN06</v>
      </c>
      <c r="L988" s="82">
        <v>22785624</v>
      </c>
      <c r="M988" s="82">
        <v>5216861983175</v>
      </c>
      <c r="N988" t="str">
        <v>NUEVO MENOR</v>
      </c>
      <c r="O988" s="89">
        <v>8793.09</v>
      </c>
      <c r="P988" s="89">
        <v>1676.75</v>
      </c>
      <c r="Q988" s="89">
        <v>2637.9270000000001</v>
      </c>
      <c r="R988" s="89">
        <v>961.17700000000013</v>
      </c>
      <c r="S988">
        <v>46569</v>
      </c>
      <c r="T988" t="str">
        <v/>
      </c>
      <c r="U988" t="str">
        <v/>
      </c>
      <c r="V988" t="str">
        <v/>
      </c>
      <c r="W988" t="str">
        <v/>
      </c>
      <c r="X988">
        <v>2</v>
      </c>
    </row>
    <row r="989" spans="1:24">
      <c r="A989" s="26">
        <v>1614</v>
      </c>
      <c r="B989" s="87">
        <v>46244.6259027778</v>
      </c>
      <c r="C989" s="87">
        <v>46244.626562500001</v>
      </c>
      <c r="D989" t="str">
        <v>anónimo</v>
      </c>
      <c r="E989" t="str">
        <v/>
      </c>
      <c r="F989" s="68">
        <v>46244</v>
      </c>
      <c r="G989" s="88">
        <v>46241</v>
      </c>
      <c r="H989" t="str">
        <v>CARRANZA SARDINA C/C</v>
      </c>
      <c r="I989" t="str">
        <v>Jorge Alberto Aguilar Huerta</v>
      </c>
      <c r="J989" s="82" t="str">
        <v/>
      </c>
      <c r="K989" t="str">
        <v>AUHJ550220HGTGRR05</v>
      </c>
      <c r="L989" s="82">
        <v>23461568</v>
      </c>
      <c r="M989" s="82">
        <v>4731039344</v>
      </c>
      <c r="N989" t="str">
        <v>NUEVO MENOR</v>
      </c>
      <c r="O989" s="89">
        <v>5260.8</v>
      </c>
      <c r="P989" s="89" t="str">
        <v/>
      </c>
      <c r="Q989" s="89">
        <v>1578.24</v>
      </c>
      <c r="R989" s="89">
        <v>1087.8200000000006</v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>
        <v>1</v>
      </c>
    </row>
    <row r="990" spans="1:24">
      <c r="A990" s="26">
        <v>1616</v>
      </c>
      <c r="B990" s="87">
        <v>46244.605231481502</v>
      </c>
      <c r="C990" s="87">
        <v>46244.631631944401</v>
      </c>
      <c r="D990" t="str">
        <v>anónimo</v>
      </c>
      <c r="E990" t="str">
        <v/>
      </c>
      <c r="F990" s="68">
        <v>46244</v>
      </c>
      <c r="G990" s="88">
        <v>46244</v>
      </c>
      <c r="H990" t="str">
        <v>BEATRIZ DE LA CRUZ C/C</v>
      </c>
      <c r="I990" t="str">
        <v>Venancio Jimenez Nieto</v>
      </c>
      <c r="J990" s="82">
        <v>21826425197</v>
      </c>
      <c r="K990" t="str">
        <v>JINV640518HQTMTN07</v>
      </c>
      <c r="L990" s="82">
        <v>23517332</v>
      </c>
      <c r="M990" s="82">
        <v>6862453106</v>
      </c>
      <c r="N990" t="str">
        <v>NUEVO MAYOR</v>
      </c>
      <c r="O990" s="89">
        <v>25206.78</v>
      </c>
      <c r="P990" s="89">
        <v>879</v>
      </c>
      <c r="Q990" s="89">
        <v>7562.0339999999997</v>
      </c>
      <c r="R990" s="89">
        <v>6683.0339999999997</v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>
        <v>1</v>
      </c>
    </row>
    <row r="991" spans="1:24">
      <c r="A991" s="26">
        <v>1617</v>
      </c>
      <c r="B991" s="87">
        <v>46244.611875000002</v>
      </c>
      <c r="C991" s="87">
        <v>46244.632847222201</v>
      </c>
      <c r="D991" t="str">
        <v>anónimo</v>
      </c>
      <c r="E991" t="str">
        <v/>
      </c>
      <c r="F991" s="68">
        <v>46244</v>
      </c>
      <c r="G991" s="88">
        <v>46244</v>
      </c>
      <c r="H991" t="str">
        <v>PAOLA RODRIGUEZ C/C</v>
      </c>
      <c r="I991" t="str">
        <v>Daniel Silogonia Ramirez Bazan</v>
      </c>
      <c r="J991" s="82">
        <v>62704915032</v>
      </c>
      <c r="K991" t="str">
        <v/>
      </c>
      <c r="L991" s="82">
        <v>23517914</v>
      </c>
      <c r="M991" s="82">
        <v>5212216503963</v>
      </c>
      <c r="N991" t="str">
        <v>NUEVO MAYOR</v>
      </c>
      <c r="O991" s="89">
        <v>5904.42</v>
      </c>
      <c r="P991" s="89" t="str">
        <v/>
      </c>
      <c r="Q991" s="89">
        <v>1771.326</v>
      </c>
      <c r="R991" s="89">
        <v>1731.4400000000005</v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>
        <v>1</v>
      </c>
    </row>
    <row r="992" spans="1:24">
      <c r="A992" s="26">
        <v>1619</v>
      </c>
      <c r="B992" s="87">
        <v>46244.648923611101</v>
      </c>
      <c r="C992" s="87">
        <v>46244.649375000001</v>
      </c>
      <c r="D992" t="str">
        <v>anónimo</v>
      </c>
      <c r="E992" t="str">
        <v/>
      </c>
      <c r="F992" s="68">
        <v>46244</v>
      </c>
      <c r="G992" s="88">
        <v>46244</v>
      </c>
      <c r="H992" t="str">
        <v>GIOVANNI MELGAR</v>
      </c>
      <c r="I992" t="str">
        <v>REYNALDO JUAN PEREZ RUIZ</v>
      </c>
      <c r="J992" s="82" t="str">
        <v/>
      </c>
      <c r="K992" t="str">
        <v>PERR600323HOCRZY00</v>
      </c>
      <c r="L992" s="82">
        <v>23505086</v>
      </c>
      <c r="M992" s="82">
        <v>5219511030797</v>
      </c>
      <c r="N992" t="str">
        <v>NUEVO MAYOR</v>
      </c>
      <c r="O992" s="89">
        <v>5617.63</v>
      </c>
      <c r="P992" s="89" t="str">
        <v/>
      </c>
      <c r="Q992" s="89">
        <v>1685.289</v>
      </c>
      <c r="R992" s="89">
        <v>1444.6500000000005</v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>
        <v>1</v>
      </c>
    </row>
    <row r="993" spans="1:24">
      <c r="A993" s="26">
        <v>1620</v>
      </c>
      <c r="B993" s="87">
        <v>46244.647256944401</v>
      </c>
      <c r="C993" s="87">
        <v>46244.651388888902</v>
      </c>
      <c r="D993" t="str">
        <v>anónimo</v>
      </c>
      <c r="E993" t="str">
        <v/>
      </c>
      <c r="F993" s="68">
        <v>46244</v>
      </c>
      <c r="G993" s="88">
        <v>46243</v>
      </c>
      <c r="H993" t="str">
        <v>LILIANA MARTINEZ SUR</v>
      </c>
      <c r="I993" t="str">
        <v>SERGIO MARTINEZ GARCIA</v>
      </c>
      <c r="J993" s="82" t="str">
        <v>01906408230</v>
      </c>
      <c r="K993" t="str">
        <v>MAGS641113HMCRRR09</v>
      </c>
      <c r="L993" s="82">
        <v>23495788</v>
      </c>
      <c r="M993" s="82">
        <v>5215651953424</v>
      </c>
      <c r="N993" t="str">
        <v>NUEVO MAYOR</v>
      </c>
      <c r="O993" s="89">
        <v>27563.040000000001</v>
      </c>
      <c r="P993" s="89">
        <v>2916.08</v>
      </c>
      <c r="Q993" s="89">
        <v>8268.9120000000003</v>
      </c>
      <c r="R993" s="89">
        <v>5352.8320000000003</v>
      </c>
      <c r="S993">
        <v>46874</v>
      </c>
      <c r="T993" t="str">
        <v/>
      </c>
      <c r="U993" t="str">
        <v/>
      </c>
      <c r="V993" t="str">
        <v/>
      </c>
      <c r="W993" t="str">
        <v/>
      </c>
      <c r="X993">
        <v>2</v>
      </c>
    </row>
    <row r="994" spans="1:24">
      <c r="A994" s="26">
        <v>1621</v>
      </c>
      <c r="B994" s="87">
        <v>46244.651412036997</v>
      </c>
      <c r="C994" s="87">
        <v>46244.6534606481</v>
      </c>
      <c r="D994" t="str">
        <v>anónimo</v>
      </c>
      <c r="E994" t="str">
        <v/>
      </c>
      <c r="F994" s="68">
        <v>46244</v>
      </c>
      <c r="G994" s="88">
        <v>46244</v>
      </c>
      <c r="H994" t="str">
        <v>LILIANA MARTINEZ SUR</v>
      </c>
      <c r="I994" t="str">
        <v>RAQUEL ROMERO SALAZAR</v>
      </c>
      <c r="J994" s="82" t="str">
        <v>01785985936</v>
      </c>
      <c r="K994" t="str">
        <v>ROSR590130MDFMLQ07</v>
      </c>
      <c r="L994" s="82">
        <v>23507206</v>
      </c>
      <c r="M994" s="82">
        <v>5215543685910</v>
      </c>
      <c r="N994" t="str">
        <v>NUEVO MENOR</v>
      </c>
      <c r="O994" s="89">
        <v>4924.91</v>
      </c>
      <c r="P994" s="89" t="str">
        <v/>
      </c>
      <c r="Q994" s="89">
        <v>1477.473</v>
      </c>
      <c r="R994" s="89">
        <v>751.93000000000029</v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>
        <v>1</v>
      </c>
    </row>
    <row r="995" spans="1:24">
      <c r="A995" s="26">
        <v>1622</v>
      </c>
      <c r="B995" s="87">
        <v>46244.605277777802</v>
      </c>
      <c r="C995" s="87">
        <v>46244.656643518501</v>
      </c>
      <c r="D995" t="str">
        <v>anónimo</v>
      </c>
      <c r="E995" t="str">
        <v/>
      </c>
      <c r="F995" s="68">
        <v>46244</v>
      </c>
      <c r="G995" s="88">
        <v>46244</v>
      </c>
      <c r="H995" t="str">
        <v>GUADALUPE BECERRA C/C</v>
      </c>
      <c r="I995" t="str">
        <v>Hector Cigarroa gaeta</v>
      </c>
      <c r="J995" s="82" t="str">
        <v/>
      </c>
      <c r="K995" t="str">
        <v>CIGH640430HCLGTC05</v>
      </c>
      <c r="L995" s="82">
        <v>23511530</v>
      </c>
      <c r="M995" s="82">
        <v>5218712428393</v>
      </c>
      <c r="N995" t="str">
        <v>NUEVO MAYOR</v>
      </c>
      <c r="O995" s="89">
        <v>9081.52</v>
      </c>
      <c r="P995" s="89" t="str">
        <v/>
      </c>
      <c r="Q995" s="89">
        <v>2724.4560000000001</v>
      </c>
      <c r="R995" s="89">
        <v>2724.4560000000001</v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>
        <v>1</v>
      </c>
    </row>
    <row r="996" spans="1:24">
      <c r="A996" s="26">
        <v>1625</v>
      </c>
      <c r="B996" s="87">
        <v>46244.667083333297</v>
      </c>
      <c r="C996" s="87">
        <v>46244.667962963002</v>
      </c>
      <c r="D996" t="str">
        <v>anónimo</v>
      </c>
      <c r="E996" t="str">
        <v/>
      </c>
      <c r="F996" s="68">
        <v>46244</v>
      </c>
      <c r="G996" s="88">
        <v>46244</v>
      </c>
      <c r="H996" t="str">
        <v>ANA VILLEGAS C/C</v>
      </c>
      <c r="I996" t="str">
        <v xml:space="preserve">	BENJAMIN JAIME</v>
      </c>
      <c r="J996" s="82">
        <v>67746407525</v>
      </c>
      <c r="K996" t="str">
        <v>JURB640401HVZRMN06</v>
      </c>
      <c r="L996" s="82">
        <v>23518072</v>
      </c>
      <c r="M996" s="82">
        <v>5212721873197</v>
      </c>
      <c r="N996" t="str">
        <v>NUEVO MAYOR</v>
      </c>
      <c r="O996" s="89">
        <v>9081.51</v>
      </c>
      <c r="P996" s="89" t="str">
        <v/>
      </c>
      <c r="Q996" s="89">
        <v>2724.453</v>
      </c>
      <c r="R996" s="89">
        <v>2724.453</v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>
        <v>1</v>
      </c>
    </row>
    <row r="997" spans="1:24">
      <c r="A997" s="26">
        <v>1629</v>
      </c>
      <c r="B997" s="87">
        <v>46244.682002314803</v>
      </c>
      <c r="C997" s="87">
        <v>46244.682858796303</v>
      </c>
      <c r="D997" t="str">
        <v>anónimo</v>
      </c>
      <c r="E997" t="str">
        <v/>
      </c>
      <c r="F997" s="68">
        <v>46244</v>
      </c>
      <c r="G997" s="88">
        <v>46242</v>
      </c>
      <c r="H997" t="str">
        <v>MAGALI HERNANDEZ C/C</v>
      </c>
      <c r="I997" t="str">
        <v xml:space="preserve">	JOSE MARTIN	PROA VAZQUEZ</v>
      </c>
      <c r="J997" s="82" t="str">
        <v/>
      </c>
      <c r="K997" t="str">
        <v>POVM621204HGTRZR09</v>
      </c>
      <c r="L997" s="82">
        <v>23480872</v>
      </c>
      <c r="M997" s="82">
        <v>5214171209853</v>
      </c>
      <c r="N997" t="str">
        <v>NUEVO MAYOR</v>
      </c>
      <c r="O997" s="89">
        <v>8539.89</v>
      </c>
      <c r="P997" s="89" t="str">
        <v/>
      </c>
      <c r="Q997" s="89">
        <v>2561.9669999999996</v>
      </c>
      <c r="R997" s="89">
        <v>2561.9669999999996</v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>
        <v>1</v>
      </c>
    </row>
    <row r="998" spans="1:24">
      <c r="A998" s="26">
        <v>1633</v>
      </c>
      <c r="B998" s="87">
        <v>46244.687939814801</v>
      </c>
      <c r="C998" s="87">
        <v>46244.689004629603</v>
      </c>
      <c r="D998" t="str">
        <v>anónimo</v>
      </c>
      <c r="E998" t="str">
        <v/>
      </c>
      <c r="F998" s="68">
        <v>46244</v>
      </c>
      <c r="G998" s="88">
        <v>46243</v>
      </c>
      <c r="H998" t="str">
        <v>MAGALI HERNANDEZ C/C</v>
      </c>
      <c r="I998" t="str">
        <v xml:space="preserve">	JOSE ANTONIO DE LA TORRE	REYES</v>
      </c>
      <c r="J998" s="82" t="str">
        <v/>
      </c>
      <c r="K998" t="str">
        <v>TORA590319HCLRYN01</v>
      </c>
      <c r="L998" s="82">
        <v>23484598</v>
      </c>
      <c r="M998" s="82">
        <v>5218717978800</v>
      </c>
      <c r="N998" t="str">
        <v>NUEVO MENOR</v>
      </c>
      <c r="O998" s="89">
        <v>6262.86</v>
      </c>
      <c r="P998" s="89">
        <v>848</v>
      </c>
      <c r="Q998" s="89">
        <v>1878.8579999999997</v>
      </c>
      <c r="R998" s="89">
        <v>1030.8579999999997</v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>
        <v>1</v>
      </c>
    </row>
    <row r="999" spans="1:24">
      <c r="A999" s="26">
        <v>1646</v>
      </c>
      <c r="B999" s="87">
        <v>46244.787951388898</v>
      </c>
      <c r="C999" s="87">
        <v>46244.788692129601</v>
      </c>
      <c r="D999" t="str">
        <v>anónimo</v>
      </c>
      <c r="E999" t="str">
        <v/>
      </c>
      <c r="F999" s="68">
        <v>46244</v>
      </c>
      <c r="G999" s="88">
        <v>46244</v>
      </c>
      <c r="H999" t="str">
        <v>GLORIA ORTIZ C/C</v>
      </c>
      <c r="I999" t="str">
        <v>SERGIO RAMIREZ VILLEGAS</v>
      </c>
      <c r="J999" s="82" t="str">
        <v>16766005876</v>
      </c>
      <c r="K999" t="str">
        <v>RAVS601128HTSMLR02</v>
      </c>
      <c r="L999" s="82">
        <v>23523750</v>
      </c>
      <c r="M999" s="82">
        <v>5217227852352</v>
      </c>
      <c r="N999" t="str">
        <v>COMPRA MENOR</v>
      </c>
      <c r="O999" s="89">
        <v>39324.42</v>
      </c>
      <c r="P999" s="89">
        <v>11377.41</v>
      </c>
      <c r="Q999" s="89">
        <v>11797.325999999999</v>
      </c>
      <c r="R999" s="89">
        <v>419.91599999999926</v>
      </c>
      <c r="S999">
        <v>46082</v>
      </c>
      <c r="T999" t="str">
        <v/>
      </c>
      <c r="U999" t="str">
        <v/>
      </c>
      <c r="V999" t="str">
        <v/>
      </c>
      <c r="W999" t="str">
        <v/>
      </c>
      <c r="X999">
        <v>2</v>
      </c>
    </row>
    <row r="1000" spans="1:24">
      <c r="A1000" s="26">
        <v>1656</v>
      </c>
      <c r="B1000" s="87">
        <v>46245.418738425898</v>
      </c>
      <c r="C1000" s="87">
        <v>46245.419560185197</v>
      </c>
      <c r="D1000" t="str">
        <v>anónimo</v>
      </c>
      <c r="E1000" t="str">
        <v/>
      </c>
      <c r="F1000" s="68">
        <v>46245</v>
      </c>
      <c r="G1000" s="88">
        <v>46244</v>
      </c>
      <c r="H1000" t="str">
        <v>MAGALI HERNANDEZ C/C</v>
      </c>
      <c r="I1000" t="str">
        <v xml:space="preserve">	EVERARDO RAMIREZ SEPULVEDA</v>
      </c>
      <c r="J1000" s="82" t="str">
        <v/>
      </c>
      <c r="K1000" t="str">
        <v>RASE600718HDGMPV06</v>
      </c>
      <c r="L1000" s="82">
        <v>23521624</v>
      </c>
      <c r="M1000" s="82">
        <v>5218721098371</v>
      </c>
      <c r="N1000" t="str">
        <v>NUEVO MAYOR</v>
      </c>
      <c r="O1000" s="89">
        <v>6262.86</v>
      </c>
      <c r="P1000" s="89" t="str">
        <v/>
      </c>
      <c r="Q1000" s="89">
        <v>1878.8579999999997</v>
      </c>
      <c r="R1000" s="89">
        <v>1878.8579999999997</v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>
        <v>1</v>
      </c>
    </row>
    <row r="1001" spans="1:24">
      <c r="A1001" s="26">
        <v>1657</v>
      </c>
      <c r="B1001" s="87">
        <v>46245.419201388897</v>
      </c>
      <c r="C1001" s="87">
        <v>46245.4198958333</v>
      </c>
      <c r="D1001" t="str">
        <v>anónimo</v>
      </c>
      <c r="E1001" t="str">
        <v/>
      </c>
      <c r="F1001" s="68">
        <v>46245</v>
      </c>
      <c r="G1001" s="88">
        <v>46245</v>
      </c>
      <c r="H1001" t="str">
        <v>GIOVANNI MELGAR</v>
      </c>
      <c r="I1001" t="str">
        <v>ZEFERINO MENESES OJEDA</v>
      </c>
      <c r="J1001" s="82" t="str">
        <v/>
      </c>
      <c r="K1001" t="str">
        <v>MEOZ620211HTLNJF15</v>
      </c>
      <c r="L1001" s="82">
        <v>23538362</v>
      </c>
      <c r="M1001" s="82">
        <v>5215519788933</v>
      </c>
      <c r="N1001" t="str">
        <v>NUEVO MAYOR</v>
      </c>
      <c r="O1001" s="89">
        <v>9053.3799999999992</v>
      </c>
      <c r="P1001" s="89" t="str">
        <v/>
      </c>
      <c r="Q1001" s="89">
        <v>2716.0139999999997</v>
      </c>
      <c r="R1001" s="89">
        <v>2716.0139999999997</v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>
        <v>1</v>
      </c>
    </row>
    <row r="1002" spans="1:24">
      <c r="A1002" s="26">
        <v>1659</v>
      </c>
      <c r="B1002" s="87">
        <v>46245.438726851797</v>
      </c>
      <c r="C1002" s="87">
        <v>46245.440000000002</v>
      </c>
      <c r="D1002" t="str">
        <v>anónimo</v>
      </c>
      <c r="E1002" t="str">
        <v/>
      </c>
      <c r="F1002" s="68">
        <v>46245</v>
      </c>
      <c r="G1002" s="88">
        <v>46245</v>
      </c>
      <c r="H1002" t="str">
        <v>GIOVANNI MELGAR</v>
      </c>
      <c r="I1002" t="str">
        <v>RAMON HECTOR CALDERA AYALA</v>
      </c>
      <c r="J1002" s="82" t="str">
        <v xml:space="preserve">2380580708
</v>
      </c>
      <c r="K1002" t="str">
        <v>CAAR580414HSLLYM04</v>
      </c>
      <c r="L1002" s="82">
        <v>23537532</v>
      </c>
      <c r="M1002" s="82">
        <v>5216961021990</v>
      </c>
      <c r="N1002" t="str">
        <v>NUEVO MAYOR</v>
      </c>
      <c r="O1002" s="89">
        <v>9760.32</v>
      </c>
      <c r="P1002" s="89">
        <v>900.61</v>
      </c>
      <c r="Q1002" s="89">
        <v>2928.096</v>
      </c>
      <c r="R1002" s="89">
        <v>2027.4859999999999</v>
      </c>
      <c r="S1002">
        <v>46661</v>
      </c>
      <c r="T1002" t="str">
        <v/>
      </c>
      <c r="U1002" t="str">
        <v/>
      </c>
      <c r="V1002" t="str">
        <v/>
      </c>
      <c r="W1002" t="str">
        <v/>
      </c>
      <c r="X1002">
        <v>2</v>
      </c>
    </row>
    <row r="1003" spans="1:24">
      <c r="A1003" s="26">
        <v>1661</v>
      </c>
      <c r="B1003" s="87">
        <v>46245.341747685197</v>
      </c>
      <c r="C1003" s="87">
        <v>46245.452164351896</v>
      </c>
      <c r="D1003" t="str">
        <v>anónimo</v>
      </c>
      <c r="E1003" t="str">
        <v/>
      </c>
      <c r="F1003" s="68">
        <v>46245</v>
      </c>
      <c r="G1003" s="88">
        <v>46245</v>
      </c>
      <c r="H1003" t="str">
        <v>MAGALI MARTINEZ EXT 2</v>
      </c>
      <c r="I1003" t="str">
        <v>JULIA PEREZ GARCIA</v>
      </c>
      <c r="J1003" s="82">
        <v>32783800686</v>
      </c>
      <c r="K1003" t="str">
        <v>PEGJ490423MCLRRL08</v>
      </c>
      <c r="L1003" s="82">
        <v>2</v>
      </c>
      <c r="M1003" s="82" t="str">
        <v>844 327 4846</v>
      </c>
      <c r="N1003" t="str">
        <v>COMPRA MENOR</v>
      </c>
      <c r="O1003" s="89">
        <v>4554.84</v>
      </c>
      <c r="P1003" s="89">
        <v>654.4</v>
      </c>
      <c r="Q1003" s="89">
        <v>1366.452</v>
      </c>
      <c r="R1003" s="89">
        <v>-272.5399999999994</v>
      </c>
      <c r="S1003">
        <v>45658</v>
      </c>
      <c r="T1003" t="str">
        <v/>
      </c>
      <c r="U1003" t="str">
        <v/>
      </c>
      <c r="V1003" t="str">
        <v/>
      </c>
      <c r="W1003" t="str">
        <v/>
      </c>
      <c r="X1003">
        <v>0</v>
      </c>
    </row>
    <row r="1004" spans="1:24">
      <c r="A1004" s="26">
        <v>1662</v>
      </c>
      <c r="B1004" s="87">
        <v>46245.403356481504</v>
      </c>
      <c r="C1004" s="87">
        <v>46245.456782407397</v>
      </c>
      <c r="D1004" t="str">
        <v>anónimo</v>
      </c>
      <c r="E1004" t="str">
        <v/>
      </c>
      <c r="F1004" s="68">
        <v>46245</v>
      </c>
      <c r="G1004" s="88">
        <v>46245</v>
      </c>
      <c r="H1004" t="str">
        <v>ROSA CASTRO SUR</v>
      </c>
      <c r="I1004" t="str">
        <v>RAFAEL BANDA GARZA</v>
      </c>
      <c r="J1004" s="82">
        <v>43826580706</v>
      </c>
      <c r="K1004" t="str">
        <v>BAGR651018HNLNRF08</v>
      </c>
      <c r="L1004" s="82">
        <v>23532722</v>
      </c>
      <c r="M1004" s="82">
        <v>5218114689310</v>
      </c>
      <c r="N1004" t="str">
        <v>NUEVO MAYOR</v>
      </c>
      <c r="O1004" s="89">
        <v>22147.689999999988</v>
      </c>
      <c r="P1004" s="89" t="str">
        <v/>
      </c>
      <c r="Q1004" s="89">
        <v>6644.3069999999962</v>
      </c>
      <c r="R1004" s="89">
        <v>6644.3069999999962</v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>
        <v>1</v>
      </c>
    </row>
    <row r="1005" spans="1:24">
      <c r="A1005" s="26">
        <v>1663</v>
      </c>
      <c r="B1005" s="87">
        <v>46245.463715277801</v>
      </c>
      <c r="C1005" s="87">
        <v>46245.464363425897</v>
      </c>
      <c r="D1005" t="str">
        <v>anónimo</v>
      </c>
      <c r="E1005" t="str">
        <v/>
      </c>
      <c r="F1005" s="68">
        <v>46245</v>
      </c>
      <c r="G1005" s="88">
        <v>46243</v>
      </c>
      <c r="H1005" t="str">
        <v>GIOVANNI MELGAR</v>
      </c>
      <c r="I1005" t="str">
        <v>JOSE LUIS QUIRINO HINOJOSA MAYORGA</v>
      </c>
      <c r="J1005" s="82" t="str">
        <v xml:space="preserve">13896510123
</v>
      </c>
      <c r="K1005" t="str">
        <v>HIML650604HHGNYS07</v>
      </c>
      <c r="L1005" s="82">
        <v>23494264</v>
      </c>
      <c r="M1005" s="82">
        <v>5215554547500</v>
      </c>
      <c r="N1005" t="str">
        <v>NUEVO MAYOR</v>
      </c>
      <c r="O1005" s="89">
        <v>38642.899999999994</v>
      </c>
      <c r="P1005" s="89" t="str">
        <v/>
      </c>
      <c r="Q1005" s="89">
        <v>11592.869999999997</v>
      </c>
      <c r="R1005" s="89">
        <v>11592.869999999997</v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>
        <v>1</v>
      </c>
    </row>
    <row r="1006" spans="1:24">
      <c r="A1006" s="26">
        <v>1665</v>
      </c>
      <c r="B1006" s="87">
        <v>46245.476273148102</v>
      </c>
      <c r="C1006" s="87">
        <v>46245.476840277799</v>
      </c>
      <c r="D1006" t="str">
        <v>anónimo</v>
      </c>
      <c r="E1006" t="str">
        <v/>
      </c>
      <c r="F1006" s="68">
        <v>46245</v>
      </c>
      <c r="G1006" s="88">
        <v>46244</v>
      </c>
      <c r="H1006" t="str">
        <v>GIOVANNI MELGAR</v>
      </c>
      <c r="I1006" t="str">
        <v>ABUNDIO CARLOS GIRON FERNANDEZ</v>
      </c>
      <c r="J1006" s="82" t="str">
        <v xml:space="preserve">11715233547
</v>
      </c>
      <c r="K1006" t="str">
        <v>GIFA520711HDFRRB02</v>
      </c>
      <c r="L1006" s="82">
        <v>23528678</v>
      </c>
      <c r="M1006" s="82">
        <v>5219983143731</v>
      </c>
      <c r="N1006" t="str">
        <v>NUEVO MAYOR</v>
      </c>
      <c r="O1006" s="89">
        <v>11134.24</v>
      </c>
      <c r="P1006" s="89" t="str">
        <v/>
      </c>
      <c r="Q1006" s="89">
        <v>3340.2719999999999</v>
      </c>
      <c r="R1006" s="89">
        <v>3340.2719999999999</v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>
        <v>1</v>
      </c>
    </row>
    <row r="1007" spans="1:24">
      <c r="A1007" s="26">
        <v>1667</v>
      </c>
      <c r="B1007" s="87">
        <v>46245.483668981498</v>
      </c>
      <c r="C1007" s="87">
        <v>46245.484976851803</v>
      </c>
      <c r="D1007" t="str">
        <v>anónimo</v>
      </c>
      <c r="E1007" t="str">
        <v/>
      </c>
      <c r="F1007" s="68">
        <v>46245</v>
      </c>
      <c r="G1007" s="88">
        <v>46244</v>
      </c>
      <c r="H1007" t="str">
        <v>MAGALI HERNANDEZ C/C</v>
      </c>
      <c r="I1007" t="str">
        <v xml:space="preserve">GABRIEL PRECIADO HERNANDEZ </v>
      </c>
      <c r="J1007" s="82" t="str">
        <v/>
      </c>
      <c r="K1007" t="str">
        <v>PEHG800925HGTRRB03</v>
      </c>
      <c r="L1007" s="82">
        <v>23519798</v>
      </c>
      <c r="M1007" s="82">
        <v>5214772894263</v>
      </c>
      <c r="N1007" t="str">
        <v>NUEVO MAYOR</v>
      </c>
      <c r="O1007" s="89">
        <v>12578.22</v>
      </c>
      <c r="P1007" s="89" t="str">
        <v/>
      </c>
      <c r="Q1007" s="89">
        <v>3773.4659999999994</v>
      </c>
      <c r="R1007" s="89">
        <v>3773.4659999999994</v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>
        <v>1</v>
      </c>
    </row>
    <row r="1008" spans="1:24">
      <c r="A1008" s="26">
        <v>1668</v>
      </c>
      <c r="B1008" s="87">
        <v>46245.485266203701</v>
      </c>
      <c r="C1008" s="87">
        <v>46245.486296296302</v>
      </c>
      <c r="D1008" t="str">
        <v>anónimo</v>
      </c>
      <c r="E1008" t="str">
        <v/>
      </c>
      <c r="F1008" s="68">
        <v>46245</v>
      </c>
      <c r="G1008" s="88">
        <v>46245</v>
      </c>
      <c r="H1008" t="str">
        <v>GIOVANNI MELGAR</v>
      </c>
      <c r="I1008" t="str">
        <v>VICTOR GABRIEL CAMPECHANO</v>
      </c>
      <c r="J1008" s="82" t="str">
        <v/>
      </c>
      <c r="K1008" t="str">
        <v>GACV630728HJCBMC08</v>
      </c>
      <c r="L1008" s="82">
        <v>23540000</v>
      </c>
      <c r="M1008" s="82">
        <v>5213314456376</v>
      </c>
      <c r="N1008" t="str">
        <v>NUEVO MAYOR</v>
      </c>
      <c r="O1008" s="89">
        <v>31060.29</v>
      </c>
      <c r="P1008" s="89">
        <v>2518.9899999999998</v>
      </c>
      <c r="Q1008" s="89">
        <v>9318.0869999999995</v>
      </c>
      <c r="R1008" s="89">
        <v>6799.0969999999998</v>
      </c>
      <c r="S1008">
        <v>46600</v>
      </c>
      <c r="T1008" t="str">
        <v>OPCIPRES</v>
      </c>
      <c r="U1008" t="str">
        <v/>
      </c>
      <c r="V1008" t="str">
        <v/>
      </c>
      <c r="W1008" t="str">
        <v/>
      </c>
      <c r="X1008">
        <v>2</v>
      </c>
    </row>
    <row r="1009" spans="1:24">
      <c r="A1009" s="26">
        <v>1669</v>
      </c>
      <c r="B1009" s="87">
        <v>46245.456793981502</v>
      </c>
      <c r="C1009" s="87">
        <v>46245.486828703702</v>
      </c>
      <c r="D1009" t="str">
        <v>anónimo</v>
      </c>
      <c r="E1009" t="str">
        <v/>
      </c>
      <c r="F1009" s="68">
        <v>46245</v>
      </c>
      <c r="G1009" s="88">
        <v>46244</v>
      </c>
      <c r="H1009" t="str">
        <v>ROSA CASTRO SUR</v>
      </c>
      <c r="I1009" t="str">
        <v xml:space="preserve">AURELIO SEGOVIA GUERRERO </v>
      </c>
      <c r="J1009" s="82" t="str">
        <v/>
      </c>
      <c r="K1009" t="str">
        <v>SEGA590925HCLGRR01</v>
      </c>
      <c r="L1009" s="82">
        <v>23528794</v>
      </c>
      <c r="M1009" s="82">
        <v>521872026142</v>
      </c>
      <c r="N1009" t="str">
        <v>RESTRINGIDA</v>
      </c>
      <c r="O1009" s="89">
        <v>4813.6899999999996</v>
      </c>
      <c r="P1009" s="89">
        <v>748.85</v>
      </c>
      <c r="Q1009" s="89">
        <v>1444.1069999999997</v>
      </c>
      <c r="R1009" s="89">
        <v>-108.13999999999999</v>
      </c>
      <c r="S1009">
        <v>45323</v>
      </c>
      <c r="T1009" t="str">
        <v>FISOFO</v>
      </c>
      <c r="U1009" t="str">
        <v/>
      </c>
      <c r="V1009" t="str">
        <v/>
      </c>
      <c r="W1009" t="str">
        <v/>
      </c>
      <c r="X1009">
        <v>2</v>
      </c>
    </row>
    <row r="1010" spans="1:24">
      <c r="A1010" s="26">
        <v>1677</v>
      </c>
      <c r="B1010" s="87">
        <v>46245.527349536998</v>
      </c>
      <c r="C1010" s="87">
        <v>46245.527731481503</v>
      </c>
      <c r="D1010" t="str">
        <v>anónimo</v>
      </c>
      <c r="E1010" t="str">
        <v/>
      </c>
      <c r="F1010" s="68">
        <v>46245</v>
      </c>
      <c r="G1010" s="88">
        <v>46245</v>
      </c>
      <c r="H1010" t="str">
        <v>ALAN ALTAMIRANO EXT</v>
      </c>
      <c r="I1010" t="str">
        <v>ROBERTO LUNA HERNANDEZ</v>
      </c>
      <c r="J1010" s="82" t="str">
        <v/>
      </c>
      <c r="K1010" t="str">
        <v>LUHR560120HDFNRB07</v>
      </c>
      <c r="L1010" s="82">
        <v>1</v>
      </c>
      <c r="M1010" s="82">
        <v>4402336077</v>
      </c>
      <c r="N1010" t="str">
        <v>NUEVO MAYOR</v>
      </c>
      <c r="O1010" s="89">
        <v>7920.51</v>
      </c>
      <c r="P1010" s="89">
        <v>848</v>
      </c>
      <c r="Q1010" s="89">
        <v>2376.1529999999998</v>
      </c>
      <c r="R1010" s="89">
        <v>1528.1529999999998</v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>
        <v>1</v>
      </c>
    </row>
    <row r="1011" spans="1:24">
      <c r="A1011" s="26">
        <v>1678</v>
      </c>
      <c r="B1011" s="87">
        <v>46245.526527777802</v>
      </c>
      <c r="C1011" s="87">
        <v>46245.529571759304</v>
      </c>
      <c r="D1011" t="str">
        <v>anónimo</v>
      </c>
      <c r="E1011" t="str">
        <v/>
      </c>
      <c r="F1011" s="68">
        <v>46245</v>
      </c>
      <c r="G1011" s="88">
        <v>46244</v>
      </c>
      <c r="H1011" t="str">
        <v>LILIANA MARTINEZ SUR</v>
      </c>
      <c r="I1011" t="str">
        <v>MARIANO RAMIREZ SANCHEZ</v>
      </c>
      <c r="J1011" s="82" t="str">
        <v>01745563062</v>
      </c>
      <c r="K1011" t="str">
        <v>RASM550329HDFMNR00</v>
      </c>
      <c r="L1011" s="82">
        <v>23525574</v>
      </c>
      <c r="M1011" s="82">
        <v>5215533934740</v>
      </c>
      <c r="N1011" t="str">
        <v>NUEVO MAYOR</v>
      </c>
      <c r="O1011" s="89">
        <v>5870.18</v>
      </c>
      <c r="P1011" s="89" t="str">
        <v/>
      </c>
      <c r="Q1011" s="89">
        <v>1761.0540000000001</v>
      </c>
      <c r="R1011" s="89">
        <v>1697.2000000000007</v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>
        <v>1</v>
      </c>
    </row>
    <row r="1012" spans="1:24">
      <c r="A1012" s="26">
        <v>1679</v>
      </c>
      <c r="B1012" s="87">
        <v>46245.5483564815</v>
      </c>
      <c r="C1012" s="87">
        <v>46245.5488541667</v>
      </c>
      <c r="D1012" t="str">
        <v>anónimo</v>
      </c>
      <c r="E1012" t="str">
        <v/>
      </c>
      <c r="F1012" s="68">
        <v>46245</v>
      </c>
      <c r="G1012" s="88">
        <v>46245</v>
      </c>
      <c r="H1012" t="str">
        <v>ALAN ALTAMIRANO EXT</v>
      </c>
      <c r="I1012" t="str">
        <v>SERGIO GARCIA LEAL</v>
      </c>
      <c r="J1012" s="82" t="str">
        <v/>
      </c>
      <c r="K1012" t="str">
        <v>GALS570522HNLRLR06</v>
      </c>
      <c r="L1012" s="82">
        <v>1</v>
      </c>
      <c r="M1012" s="82">
        <v>8116847900</v>
      </c>
      <c r="N1012" t="str">
        <v>RESTRINGIDA</v>
      </c>
      <c r="O1012" s="89">
        <v>28683.45</v>
      </c>
      <c r="P1012" s="89">
        <v>8296.17</v>
      </c>
      <c r="Q1012" s="89">
        <v>8605.0349999999999</v>
      </c>
      <c r="R1012" s="89">
        <v>308.86499999999978</v>
      </c>
      <c r="S1012">
        <v>45839</v>
      </c>
      <c r="T1012" t="str">
        <v xml:space="preserve">FISOFO </v>
      </c>
      <c r="U1012" t="str">
        <v/>
      </c>
      <c r="V1012" t="str">
        <v/>
      </c>
      <c r="W1012" t="str">
        <v/>
      </c>
      <c r="X1012">
        <v>2</v>
      </c>
    </row>
    <row r="1013" spans="1:24">
      <c r="A1013" s="26">
        <v>1680</v>
      </c>
      <c r="B1013" s="87">
        <v>46245.413124999999</v>
      </c>
      <c r="C1013" s="87">
        <v>46245.560277777797</v>
      </c>
      <c r="D1013" t="str">
        <v>anónimo</v>
      </c>
      <c r="E1013" t="str">
        <v/>
      </c>
      <c r="F1013" s="68">
        <v>46245</v>
      </c>
      <c r="G1013" s="88">
        <v>46244</v>
      </c>
      <c r="H1013" t="str">
        <v>GUADALUPE BECERRA C/C</v>
      </c>
      <c r="I1013" t="str">
        <v>Francisco Aguirre Álvarez</v>
      </c>
      <c r="J1013" s="82" t="str">
        <v/>
      </c>
      <c r="K1013" t="str">
        <v>AUAF601208HSPGLR05</v>
      </c>
      <c r="L1013" s="82">
        <v>23524054</v>
      </c>
      <c r="M1013" s="82">
        <v>5218125624007</v>
      </c>
      <c r="N1013" t="str">
        <v>NUEVO MAYOR</v>
      </c>
      <c r="O1013" s="89">
        <v>5588.95</v>
      </c>
      <c r="P1013" s="89" t="str">
        <v/>
      </c>
      <c r="Q1013" s="89">
        <v>1676.6849999999999</v>
      </c>
      <c r="R1013" s="89">
        <v>1415.9700000000003</v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>
        <v>1</v>
      </c>
    </row>
    <row r="1014" spans="1:24">
      <c r="A1014" s="26">
        <v>1682</v>
      </c>
      <c r="B1014" s="87">
        <v>46245.567974537</v>
      </c>
      <c r="C1014" s="87">
        <v>46245.569108796299</v>
      </c>
      <c r="D1014" t="str">
        <v>anónimo</v>
      </c>
      <c r="E1014" t="str">
        <v/>
      </c>
      <c r="F1014" s="68">
        <v>46245</v>
      </c>
      <c r="G1014" s="88">
        <v>46245</v>
      </c>
      <c r="H1014" t="str">
        <v>KARINA MATA C/C</v>
      </c>
      <c r="I1014" t="str">
        <v>JOSE GARCIA GUTIERREZ</v>
      </c>
      <c r="J1014" s="82" t="str">
        <v/>
      </c>
      <c r="K1014" t="str">
        <v>GAGJ590616HCLRTS01</v>
      </c>
      <c r="L1014" s="82">
        <v>23544882</v>
      </c>
      <c r="M1014" s="82">
        <v>8662399007</v>
      </c>
      <c r="N1014" t="str">
        <v>NUEVO MAYOR</v>
      </c>
      <c r="O1014" s="89">
        <v>5617.63</v>
      </c>
      <c r="P1014" s="89" t="str">
        <v/>
      </c>
      <c r="Q1014" s="89">
        <v>1685.289</v>
      </c>
      <c r="R1014" s="89">
        <v>1444.6500000000005</v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>
        <v>1</v>
      </c>
    </row>
    <row r="1015" spans="1:24">
      <c r="A1015" s="26">
        <v>1685</v>
      </c>
      <c r="B1015" s="87">
        <v>46245.576805555596</v>
      </c>
      <c r="C1015" s="87">
        <v>46245.577743055597</v>
      </c>
      <c r="D1015" t="str">
        <v>anónimo</v>
      </c>
      <c r="E1015" t="str">
        <v/>
      </c>
      <c r="F1015" s="68">
        <v>46245</v>
      </c>
      <c r="G1015" s="88">
        <v>46238</v>
      </c>
      <c r="H1015" t="str">
        <v>ANA VILLEGAS C/C</v>
      </c>
      <c r="I1015" t="str">
        <v xml:space="preserve">RAUL CRUZ </v>
      </c>
      <c r="J1015" s="82" t="str">
        <v xml:space="preserve">14796122266 </v>
      </c>
      <c r="K1015" t="str">
        <v/>
      </c>
      <c r="L1015" s="82">
        <v>23376270</v>
      </c>
      <c r="M1015" s="82">
        <v>5214423716101</v>
      </c>
      <c r="N1015" t="str">
        <v>NUEVO MENOR</v>
      </c>
      <c r="O1015" s="89">
        <v>11831.43</v>
      </c>
      <c r="P1015" s="89">
        <v>3000</v>
      </c>
      <c r="Q1015" s="89">
        <v>3549.4290000000001</v>
      </c>
      <c r="R1015" s="89">
        <v>549.42900000000009</v>
      </c>
      <c r="S1015">
        <v>46447</v>
      </c>
      <c r="T1015" t="str">
        <v/>
      </c>
      <c r="U1015" t="str">
        <v/>
      </c>
      <c r="V1015" t="str">
        <v/>
      </c>
      <c r="W1015" t="str">
        <v/>
      </c>
      <c r="X1015">
        <v>2</v>
      </c>
    </row>
    <row r="1016" spans="1:24">
      <c r="A1016" s="26">
        <v>1687</v>
      </c>
      <c r="B1016" s="87">
        <v>46245.364050925898</v>
      </c>
      <c r="C1016" s="87">
        <v>46245.583402777796</v>
      </c>
      <c r="D1016" t="str">
        <v>anónimo</v>
      </c>
      <c r="E1016" t="str">
        <v/>
      </c>
      <c r="F1016" s="68">
        <v>46245</v>
      </c>
      <c r="G1016" s="88">
        <v>46245</v>
      </c>
      <c r="H1016" t="str">
        <v>YAJAHIRA GONZALEZ EXT 2</v>
      </c>
      <c r="I1016" t="str">
        <v>MARIA YOLANDA MOLINA QUEZADA</v>
      </c>
      <c r="J1016" s="82">
        <v>42806272961</v>
      </c>
      <c r="K1016" t="str">
        <v>MOQY621017MDFLZL08</v>
      </c>
      <c r="L1016" s="82">
        <v>2</v>
      </c>
      <c r="M1016" s="82">
        <v>5535784192</v>
      </c>
      <c r="N1016" t="str">
        <v>NUEVO MENOR</v>
      </c>
      <c r="O1016" s="89">
        <v>7920.51</v>
      </c>
      <c r="P1016" s="89">
        <v>1470.58</v>
      </c>
      <c r="Q1016" s="89">
        <v>2376.1529999999998</v>
      </c>
      <c r="R1016" s="89">
        <v>905.57299999999987</v>
      </c>
      <c r="S1016">
        <v>46508</v>
      </c>
      <c r="T1016" t="str">
        <v>CONSUPAGO</v>
      </c>
      <c r="U1016" t="str">
        <v/>
      </c>
      <c r="V1016" t="str">
        <v/>
      </c>
      <c r="W1016" t="str">
        <v/>
      </c>
      <c r="X1016">
        <v>2</v>
      </c>
    </row>
    <row r="1017" spans="1:24">
      <c r="A1017" s="26">
        <v>1688</v>
      </c>
      <c r="B1017" s="87">
        <v>46245.587500000001</v>
      </c>
      <c r="C1017" s="87">
        <v>46245.588854166701</v>
      </c>
      <c r="D1017" t="str">
        <v>anónimo</v>
      </c>
      <c r="E1017" t="str">
        <v/>
      </c>
      <c r="F1017" s="68">
        <v>46245</v>
      </c>
      <c r="G1017" s="88">
        <v>46245</v>
      </c>
      <c r="H1017" t="str">
        <v>ROSA CASTRO SUR</v>
      </c>
      <c r="I1017" t="str">
        <v>ALFREDO OLMOS CONDE</v>
      </c>
      <c r="J1017" s="82">
        <v>65947410679</v>
      </c>
      <c r="K1017" t="str">
        <v>OOCA740111HVZLNL07</v>
      </c>
      <c r="L1017" s="82">
        <v>23531678</v>
      </c>
      <c r="M1017" s="82">
        <v>5212283252138</v>
      </c>
      <c r="N1017" t="str">
        <v>NUEVO MAYOR</v>
      </c>
      <c r="O1017" s="89">
        <v>8672.5</v>
      </c>
      <c r="P1017" s="89" t="str">
        <v/>
      </c>
      <c r="Q1017" s="89">
        <v>2601.75</v>
      </c>
      <c r="R1017" s="89">
        <v>2601.75</v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>
        <v>1</v>
      </c>
    </row>
    <row r="1018" spans="1:24">
      <c r="A1018" s="26">
        <v>1690</v>
      </c>
      <c r="B1018" s="87">
        <v>46245.493125000001</v>
      </c>
      <c r="C1018" s="87">
        <v>46245.595347222203</v>
      </c>
      <c r="D1018" t="str">
        <v>anónimo</v>
      </c>
      <c r="E1018" t="str">
        <v/>
      </c>
      <c r="F1018" s="68">
        <v>46245</v>
      </c>
      <c r="G1018" s="88">
        <v>46245</v>
      </c>
      <c r="H1018" t="str">
        <v>MAGALI MARTINEZ EXT 2</v>
      </c>
      <c r="I1018" t="str">
        <v>RANULFO MARTINEZ VILLALOBOS</v>
      </c>
      <c r="J1018" s="82" t="str">
        <v>54776130418</v>
      </c>
      <c r="K1018" t="str">
        <v>MAVR630327HJCRLN09</v>
      </c>
      <c r="L1018" s="82">
        <v>2</v>
      </c>
      <c r="M1018" s="82">
        <v>3329151999</v>
      </c>
      <c r="N1018" t="str">
        <v>NUEVO MENOR</v>
      </c>
      <c r="O1018" s="89">
        <v>7920.51</v>
      </c>
      <c r="P1018" s="89">
        <v>1406.47</v>
      </c>
      <c r="Q1018" s="89">
        <v>2376.1529999999998</v>
      </c>
      <c r="R1018" s="89">
        <v>969.68299999999977</v>
      </c>
      <c r="S1018">
        <v>46722</v>
      </c>
      <c r="T1018" t="str">
        <v/>
      </c>
      <c r="U1018" t="str">
        <v/>
      </c>
      <c r="V1018" t="str">
        <v/>
      </c>
      <c r="W1018" t="str">
        <v/>
      </c>
      <c r="X1018">
        <v>2</v>
      </c>
    </row>
    <row r="1019" spans="1:24">
      <c r="A1019" s="26">
        <v>1693</v>
      </c>
      <c r="B1019" s="87">
        <v>46244.6887152778</v>
      </c>
      <c r="C1019" s="87">
        <v>46245.622581018499</v>
      </c>
      <c r="D1019" t="str">
        <v>anónimo</v>
      </c>
      <c r="E1019" t="str">
        <v/>
      </c>
      <c r="F1019" s="68">
        <v>46245</v>
      </c>
      <c r="G1019" s="88">
        <v>46245</v>
      </c>
      <c r="H1019" t="str">
        <v>FERNANDA CASTILLO C/C</v>
      </c>
      <c r="I1019" t="str">
        <v>RAFAEL RODRIGUEZ LOZANO</v>
      </c>
      <c r="J1019" s="82" t="str">
        <v/>
      </c>
      <c r="K1019" t="str">
        <v>ROLR500723HJCDZF06</v>
      </c>
      <c r="L1019" s="82">
        <v>23544788</v>
      </c>
      <c r="M1019" s="82">
        <v>8681564786</v>
      </c>
      <c r="N1019" t="str">
        <v>NUEVO MAYOR</v>
      </c>
      <c r="O1019" s="89">
        <v>22563.47</v>
      </c>
      <c r="P1019" s="89">
        <v>848</v>
      </c>
      <c r="Q1019" s="89">
        <v>6769.0410000000002</v>
      </c>
      <c r="R1019" s="89">
        <v>5921.0410000000002</v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>
        <v>1</v>
      </c>
    </row>
    <row r="1020" spans="1:24">
      <c r="A1020" s="26">
        <v>1695</v>
      </c>
      <c r="B1020" s="87">
        <v>46245.633819444403</v>
      </c>
      <c r="C1020" s="87">
        <v>46245.634895833296</v>
      </c>
      <c r="D1020" t="str">
        <v>anónimo</v>
      </c>
      <c r="E1020" t="str">
        <v/>
      </c>
      <c r="F1020" s="68">
        <v>46245</v>
      </c>
      <c r="G1020" s="88">
        <v>46245</v>
      </c>
      <c r="H1020" t="str">
        <v>KARINA MATA C/C</v>
      </c>
      <c r="I1020" t="str">
        <v/>
      </c>
      <c r="J1020" s="82">
        <v>11765747396</v>
      </c>
      <c r="K1020" t="str">
        <v/>
      </c>
      <c r="L1020" s="82">
        <v>23547588</v>
      </c>
      <c r="M1020" s="82">
        <v>5568769910</v>
      </c>
      <c r="N1020" t="str">
        <v>NUEVO MAYOR</v>
      </c>
      <c r="O1020" s="89">
        <v>7363.38</v>
      </c>
      <c r="P1020" s="89">
        <v>879</v>
      </c>
      <c r="Q1020" s="89">
        <v>2209.0140000000001</v>
      </c>
      <c r="R1020" s="89">
        <v>1330.0140000000001</v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>
        <v>1</v>
      </c>
    </row>
    <row r="1021" spans="1:24">
      <c r="A1021" s="26">
        <v>1705</v>
      </c>
      <c r="B1021" s="87">
        <v>46245.663009259297</v>
      </c>
      <c r="C1021" s="87">
        <v>46245.668749999997</v>
      </c>
      <c r="D1021" t="str">
        <v>anónimo</v>
      </c>
      <c r="E1021" t="str">
        <v/>
      </c>
      <c r="F1021" s="68">
        <v>46245</v>
      </c>
      <c r="G1021" s="88">
        <v>46245</v>
      </c>
      <c r="H1021" t="str">
        <v>LILIANA MARTINEZ SUR</v>
      </c>
      <c r="I1021" t="str">
        <v>ENRIQUE LONEL MARTINEZ VILLAGRAN</v>
      </c>
      <c r="J1021" s="82" t="str">
        <v xml:space="preserve"> 7183651099</v>
      </c>
      <c r="K1021" t="str">
        <v>MAVE650303HCSRLN06</v>
      </c>
      <c r="L1021" s="82">
        <v>23535838</v>
      </c>
      <c r="M1021" s="82">
        <v>5219983880061</v>
      </c>
      <c r="N1021" t="str">
        <v>COMPRA MAYOR</v>
      </c>
      <c r="O1021" s="89">
        <v>9760.32</v>
      </c>
      <c r="P1021" s="89" t="str">
        <v/>
      </c>
      <c r="Q1021" s="89">
        <v>2928.096</v>
      </c>
      <c r="R1021" s="89">
        <v>2928.096</v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>
        <v>1</v>
      </c>
    </row>
    <row r="1022" spans="1:24">
      <c r="A1022" s="26">
        <v>1707</v>
      </c>
      <c r="B1022" s="87">
        <v>46245.656354166698</v>
      </c>
      <c r="C1022" s="87">
        <v>46245.672071759298</v>
      </c>
      <c r="D1022" t="str">
        <v>anónimo</v>
      </c>
      <c r="E1022" t="str">
        <v/>
      </c>
      <c r="F1022" s="68">
        <v>46245</v>
      </c>
      <c r="G1022" s="88">
        <v>46244</v>
      </c>
      <c r="H1022" t="str">
        <v>LILIANA MARTINEZ SUR</v>
      </c>
      <c r="I1022" t="str">
        <v>CIRILO JIMENEZ ADAME</v>
      </c>
      <c r="J1022" s="82">
        <v>21785303823</v>
      </c>
      <c r="K1022" t="str">
        <v>JIAC531126HMNMDR02</v>
      </c>
      <c r="L1022" s="82">
        <v>23528754</v>
      </c>
      <c r="M1022" s="82">
        <v>5216862823739</v>
      </c>
      <c r="N1022" t="str">
        <v>COMPRA MENOR</v>
      </c>
      <c r="O1022" s="89">
        <v>4342.43</v>
      </c>
      <c r="P1022" s="89">
        <v>356.5</v>
      </c>
      <c r="Q1022" s="89">
        <v>1302.729</v>
      </c>
      <c r="R1022" s="89">
        <v>-187.04999999999927</v>
      </c>
      <c r="S1022">
        <v>45383</v>
      </c>
      <c r="T1022" t="str">
        <v/>
      </c>
      <c r="U1022" t="str">
        <v/>
      </c>
      <c r="V1022" t="str">
        <v/>
      </c>
      <c r="W1022" t="str">
        <v/>
      </c>
      <c r="X1022">
        <v>2</v>
      </c>
    </row>
    <row r="1023" spans="1:24">
      <c r="A1023" s="26">
        <v>1709</v>
      </c>
      <c r="B1023" s="87">
        <v>46245.673217592601</v>
      </c>
      <c r="C1023" s="87">
        <v>46245.674085648097</v>
      </c>
      <c r="D1023" t="str">
        <v>anónimo</v>
      </c>
      <c r="E1023" t="str">
        <v/>
      </c>
      <c r="F1023" s="68">
        <v>46245</v>
      </c>
      <c r="G1023" s="88">
        <v>46245</v>
      </c>
      <c r="H1023" t="str">
        <v>GIOVANNI MELGAR</v>
      </c>
      <c r="I1023" t="str">
        <v>JOSE EDUARDO GLORIA GARCIA</v>
      </c>
      <c r="J1023" s="82" t="str">
        <v/>
      </c>
      <c r="K1023" t="str">
        <v>GOGE590424HCLLRD02</v>
      </c>
      <c r="L1023" s="82">
        <v>23535106</v>
      </c>
      <c r="M1023" s="82">
        <v>5218721822684</v>
      </c>
      <c r="N1023" t="str">
        <v>NUEVO MENOR</v>
      </c>
      <c r="O1023" s="89">
        <v>4813.6899999999996</v>
      </c>
      <c r="P1023" s="89" t="str">
        <v/>
      </c>
      <c r="Q1023" s="89">
        <v>1444.1069999999997</v>
      </c>
      <c r="R1023" s="89">
        <v>640.71</v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>
        <v>1</v>
      </c>
    </row>
    <row r="1024" spans="1:24">
      <c r="A1024" s="26">
        <v>1711</v>
      </c>
      <c r="B1024" s="87">
        <v>46245.684791666703</v>
      </c>
      <c r="C1024" s="87">
        <v>46245.685937499999</v>
      </c>
      <c r="D1024" t="str">
        <v>anónimo</v>
      </c>
      <c r="E1024" t="str">
        <v/>
      </c>
      <c r="F1024" s="68">
        <v>46245</v>
      </c>
      <c r="G1024" s="88">
        <v>46245</v>
      </c>
      <c r="H1024" t="str">
        <v>KARINA MATA C/C</v>
      </c>
      <c r="I1024" t="str">
        <v/>
      </c>
      <c r="J1024" s="82">
        <v>6779623774</v>
      </c>
      <c r="K1024" t="str">
        <v/>
      </c>
      <c r="L1024" s="82">
        <v>23548510</v>
      </c>
      <c r="M1024" s="82">
        <v>12712134168</v>
      </c>
      <c r="N1024" t="str">
        <v>NUEVO MENOR</v>
      </c>
      <c r="O1024" s="89">
        <v>7116.73</v>
      </c>
      <c r="P1024" s="89">
        <v>1028.29</v>
      </c>
      <c r="Q1024" s="89">
        <v>2135.0189999999998</v>
      </c>
      <c r="R1024" s="89">
        <v>1106.7289999999998</v>
      </c>
      <c r="S1024">
        <v>45536</v>
      </c>
      <c r="T1024" t="str">
        <v/>
      </c>
      <c r="U1024" t="str">
        <v/>
      </c>
      <c r="V1024" t="str">
        <v/>
      </c>
      <c r="W1024" t="str">
        <v/>
      </c>
      <c r="X1024">
        <v>2</v>
      </c>
    </row>
    <row r="1025" spans="1:24">
      <c r="A1025" s="26">
        <v>1717</v>
      </c>
      <c r="B1025" s="87">
        <v>46245.668495370403</v>
      </c>
      <c r="C1025" s="87">
        <v>46245.728715277801</v>
      </c>
      <c r="D1025" t="str">
        <v>anónimo</v>
      </c>
      <c r="E1025" t="str">
        <v/>
      </c>
      <c r="F1025" s="68">
        <v>46245</v>
      </c>
      <c r="G1025" s="88">
        <v>46245</v>
      </c>
      <c r="H1025" t="str">
        <v>MAGALI MARTINEZ EXT 2</v>
      </c>
      <c r="I1025" t="str">
        <v>JOSE FRANCISCO POLINA VAZQUEZ</v>
      </c>
      <c r="J1025" s="82" t="str">
        <v>43896022621</v>
      </c>
      <c r="K1025" t="str">
        <v>POVF601005HNLLZR03</v>
      </c>
      <c r="L1025" s="82">
        <v>2</v>
      </c>
      <c r="M1025" s="82">
        <v>8121792482</v>
      </c>
      <c r="N1025" t="str">
        <v>COMPRA MENOR</v>
      </c>
      <c r="O1025" s="89">
        <v>5617.63</v>
      </c>
      <c r="P1025" s="89">
        <v>1171.81</v>
      </c>
      <c r="Q1025" s="89">
        <v>1685.289</v>
      </c>
      <c r="R1025" s="89">
        <v>272.8400000000006</v>
      </c>
      <c r="S1025">
        <v>45658</v>
      </c>
      <c r="T1025" t="str">
        <v/>
      </c>
      <c r="U1025" t="str">
        <v/>
      </c>
      <c r="V1025" t="str">
        <v/>
      </c>
      <c r="W1025" t="str">
        <v/>
      </c>
      <c r="X1025">
        <v>2</v>
      </c>
    </row>
    <row r="1026" spans="1:24">
      <c r="A1026" s="26">
        <v>1720</v>
      </c>
      <c r="B1026" s="87">
        <v>46245.734722222202</v>
      </c>
      <c r="C1026" s="87">
        <v>46245.735625000001</v>
      </c>
      <c r="D1026" t="str">
        <v>anónimo</v>
      </c>
      <c r="E1026" t="str">
        <v/>
      </c>
      <c r="F1026" s="68">
        <v>46245</v>
      </c>
      <c r="G1026" s="88">
        <v>46245</v>
      </c>
      <c r="H1026" t="str">
        <v>GUADALUPE BECERRA C/C</v>
      </c>
      <c r="I1026" t="str">
        <v>JUSTO HOMERO HERNANDEZ BAUTISTA</v>
      </c>
      <c r="J1026" s="82" t="str">
        <v/>
      </c>
      <c r="K1026" t="str">
        <v>HEBJ610812HVZRTS09</v>
      </c>
      <c r="L1026" s="82">
        <v>23549878</v>
      </c>
      <c r="M1026" s="82">
        <v>5212722805028</v>
      </c>
      <c r="N1026" t="str">
        <v>NUEVO MAYOR</v>
      </c>
      <c r="O1026" s="89">
        <v>61910.73</v>
      </c>
      <c r="P1026" s="89">
        <v>15759.68</v>
      </c>
      <c r="Q1026" s="89">
        <v>18573.219000000001</v>
      </c>
      <c r="R1026" s="89">
        <v>2813.5390000000007</v>
      </c>
      <c r="S1026">
        <v>46539</v>
      </c>
      <c r="T1026" t="str">
        <v/>
      </c>
      <c r="U1026" t="str">
        <v/>
      </c>
      <c r="V1026" t="str">
        <v/>
      </c>
      <c r="W1026" t="str">
        <v/>
      </c>
      <c r="X1026">
        <v>2</v>
      </c>
    </row>
    <row r="1027" spans="1:24">
      <c r="A1027" s="26">
        <v>1721</v>
      </c>
      <c r="B1027" s="87">
        <v>46245.737592592603</v>
      </c>
      <c r="C1027" s="87">
        <v>46245.738541666702</v>
      </c>
      <c r="D1027" t="str">
        <v>anónimo</v>
      </c>
      <c r="E1027" t="str">
        <v/>
      </c>
      <c r="F1027" s="68">
        <v>46245</v>
      </c>
      <c r="G1027" s="88">
        <v>46245</v>
      </c>
      <c r="H1027" t="str">
        <v>MAGALI MARTINEZ EXT 2</v>
      </c>
      <c r="I1027" t="str">
        <v>SARA ALICIA OCHOA VAZQUEZ</v>
      </c>
      <c r="J1027" s="82">
        <v>43765922109</v>
      </c>
      <c r="K1027" t="str">
        <v>OOVS630913MTSCZR01</v>
      </c>
      <c r="L1027" s="82">
        <v>2</v>
      </c>
      <c r="M1027" s="82" t="str">
        <v>81 1504 1640</v>
      </c>
      <c r="N1027" t="str">
        <v>NUEVO MENOR</v>
      </c>
      <c r="O1027" s="89">
        <v>5324.54</v>
      </c>
      <c r="P1027" s="89">
        <v>848</v>
      </c>
      <c r="Q1027" s="89">
        <v>1597.3619999999999</v>
      </c>
      <c r="R1027" s="89">
        <v>303.5600000000004</v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>
        <v>1</v>
      </c>
    </row>
    <row r="1028" spans="1:24">
      <c r="A1028" s="26">
        <v>1722</v>
      </c>
      <c r="B1028" s="87">
        <v>46246.317939814799</v>
      </c>
      <c r="C1028" s="87">
        <v>46246.346979166701</v>
      </c>
      <c r="D1028" t="str">
        <v>anónimo</v>
      </c>
      <c r="E1028" t="str">
        <v/>
      </c>
      <c r="F1028" s="68">
        <v>46246</v>
      </c>
      <c r="G1028" s="88">
        <v>46246</v>
      </c>
      <c r="H1028" t="str">
        <v>YAMILETH CARDONA EXT 2</v>
      </c>
      <c r="I1028" t="str">
        <v>MANUEL DE JESUS ZAMARRIPA RIVERA</v>
      </c>
      <c r="J1028" s="82">
        <v>43755837234</v>
      </c>
      <c r="K1028" t="str">
        <v>ZARM580823HNLMVN05</v>
      </c>
      <c r="L1028" s="82">
        <v>2</v>
      </c>
      <c r="M1028" s="82">
        <v>3319907222</v>
      </c>
      <c r="N1028" t="str">
        <v>NUEVO MAYOR</v>
      </c>
      <c r="O1028" s="89">
        <v>23163.84</v>
      </c>
      <c r="P1028" s="89">
        <v>4504.4500000000007</v>
      </c>
      <c r="Q1028" s="89">
        <v>6949.152</v>
      </c>
      <c r="R1028" s="89">
        <v>2444.7019999999993</v>
      </c>
      <c r="S1028">
        <v>46874</v>
      </c>
      <c r="T1028" t="str">
        <v/>
      </c>
      <c r="U1028" t="str">
        <v/>
      </c>
      <c r="V1028" t="str">
        <v/>
      </c>
      <c r="W1028" t="str">
        <v/>
      </c>
      <c r="X1028">
        <v>2</v>
      </c>
    </row>
    <row r="1029" spans="1:24">
      <c r="A1029" s="26">
        <v>1729</v>
      </c>
      <c r="B1029" s="87">
        <v>46246.397835648197</v>
      </c>
      <c r="C1029" s="87">
        <v>46246.402048611097</v>
      </c>
      <c r="D1029" t="str">
        <v>anónimo</v>
      </c>
      <c r="E1029" t="str">
        <v/>
      </c>
      <c r="F1029" s="68">
        <v>46246</v>
      </c>
      <c r="G1029" s="88">
        <v>46244</v>
      </c>
      <c r="H1029" t="str">
        <v>BEATRIZ DE LA CRUZ C/C</v>
      </c>
      <c r="I1029" t="str">
        <v>Gregoria Garcia Cruz</v>
      </c>
      <c r="J1029" s="82" t="str">
        <v/>
      </c>
      <c r="K1029" t="str">
        <v>GACG651117MMSRRR05</v>
      </c>
      <c r="L1029" s="82">
        <v>23519158</v>
      </c>
      <c r="M1029" s="82">
        <v>2224393668</v>
      </c>
      <c r="N1029" t="str">
        <v>NUEVO MAYOR</v>
      </c>
      <c r="O1029" s="89">
        <v>10636.54</v>
      </c>
      <c r="P1029" s="89" t="str">
        <v/>
      </c>
      <c r="Q1029" s="89">
        <v>3190.962</v>
      </c>
      <c r="R1029" s="89">
        <v>3190.962</v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>
        <v>1</v>
      </c>
    </row>
    <row r="1030" spans="1:24">
      <c r="A1030" s="26">
        <v>1734</v>
      </c>
      <c r="B1030" s="87">
        <v>46246.411701388897</v>
      </c>
      <c r="C1030" s="87">
        <v>46246.4302314815</v>
      </c>
      <c r="D1030" t="str">
        <v>anónimo</v>
      </c>
      <c r="E1030" t="str">
        <v/>
      </c>
      <c r="F1030" s="68">
        <v>46246</v>
      </c>
      <c r="G1030" s="88">
        <v>46240</v>
      </c>
      <c r="H1030" t="str">
        <v>ROSA CASTRO SUR</v>
      </c>
      <c r="I1030" t="str">
        <v xml:space="preserve">JOEL HERNANDEZ PUERTA </v>
      </c>
      <c r="J1030" s="82">
        <v>63856612955</v>
      </c>
      <c r="K1030" t="str">
        <v>HEPJ660427HDFRRL04</v>
      </c>
      <c r="L1030" s="82">
        <v>23436308</v>
      </c>
      <c r="M1030" s="82">
        <v>5214428355650</v>
      </c>
      <c r="N1030" t="str">
        <v>NUEVO MAYOR</v>
      </c>
      <c r="O1030" s="89">
        <v>45384.75</v>
      </c>
      <c r="P1030" s="89" t="str">
        <v/>
      </c>
      <c r="Q1030" s="89">
        <v>13615.424999999999</v>
      </c>
      <c r="R1030" s="89">
        <v>13615.424999999999</v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>
        <v>1</v>
      </c>
    </row>
    <row r="1031" spans="1:24">
      <c r="A1031" s="26">
        <v>1737</v>
      </c>
      <c r="B1031" s="87">
        <v>46246.430254629602</v>
      </c>
      <c r="C1031" s="87">
        <v>46246.4508333333</v>
      </c>
      <c r="D1031" t="str">
        <v>anónimo</v>
      </c>
      <c r="E1031" t="str">
        <v/>
      </c>
      <c r="F1031" s="68">
        <v>46246</v>
      </c>
      <c r="G1031" s="88">
        <v>46246</v>
      </c>
      <c r="H1031" t="str">
        <v>ROSA CASTRO SUR</v>
      </c>
      <c r="I1031" t="str">
        <v xml:space="preserve">ERNESTO DE LA TORRE AGUILAR </v>
      </c>
      <c r="J1031" s="82">
        <v>34725401094</v>
      </c>
      <c r="K1031" t="str">
        <v>TOAE531107HZSRGR00</v>
      </c>
      <c r="L1031" s="82">
        <v>23568718</v>
      </c>
      <c r="M1031" s="82">
        <v>5214921170859</v>
      </c>
      <c r="N1031" t="str">
        <v>RESTRINGIDA</v>
      </c>
      <c r="O1031" s="89">
        <v>10741.17</v>
      </c>
      <c r="P1031" s="89">
        <v>2778.28</v>
      </c>
      <c r="Q1031" s="89">
        <v>3222.3510000000001</v>
      </c>
      <c r="R1031" s="89">
        <v>444.07099999999991</v>
      </c>
      <c r="S1031">
        <v>46143</v>
      </c>
      <c r="T1031" t="str">
        <v>CONSUBANCO</v>
      </c>
      <c r="U1031" t="str">
        <v/>
      </c>
      <c r="V1031" t="str">
        <v/>
      </c>
      <c r="W1031" t="str">
        <v/>
      </c>
      <c r="X1031">
        <v>2</v>
      </c>
    </row>
    <row r="1032" spans="1:24">
      <c r="A1032" s="26">
        <v>1742</v>
      </c>
      <c r="B1032" s="87">
        <v>46246.491631944402</v>
      </c>
      <c r="C1032" s="87">
        <v>46246.495196759301</v>
      </c>
      <c r="D1032" t="str">
        <v>anónimo</v>
      </c>
      <c r="E1032" t="str">
        <v/>
      </c>
      <c r="F1032" s="68">
        <v>46246</v>
      </c>
      <c r="G1032" s="88">
        <v>46211</v>
      </c>
      <c r="H1032" t="str">
        <v>GUADALUPE BECERRA C/C</v>
      </c>
      <c r="I1032" t="str">
        <v>JOSE LUIS DOMINGUEZ MEDINA</v>
      </c>
      <c r="J1032" s="82">
        <v>11826415991</v>
      </c>
      <c r="K1032" t="str">
        <v>DOML640319HDFMDS08</v>
      </c>
      <c r="L1032" s="82">
        <v>22473260</v>
      </c>
      <c r="M1032" s="82">
        <v>5217771366852</v>
      </c>
      <c r="N1032" t="str">
        <v>NUEVO MAYOR</v>
      </c>
      <c r="O1032" s="89">
        <v>19116.84</v>
      </c>
      <c r="P1032" s="89" t="str">
        <v/>
      </c>
      <c r="Q1032" s="89">
        <v>5735.0519999999997</v>
      </c>
      <c r="R1032" s="89">
        <v>5735.0519999999997</v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>
        <v>1</v>
      </c>
    </row>
    <row r="1033" spans="1:24">
      <c r="A1033" s="26">
        <v>1743</v>
      </c>
      <c r="B1033" s="87">
        <v>46245.718240740702</v>
      </c>
      <c r="C1033" s="87">
        <v>46246.497465277796</v>
      </c>
      <c r="D1033" t="str">
        <v>anónimo</v>
      </c>
      <c r="E1033" t="str">
        <v/>
      </c>
      <c r="F1033" s="68">
        <v>46246</v>
      </c>
      <c r="G1033" s="88">
        <v>46245</v>
      </c>
      <c r="H1033" t="str">
        <v>GLORIA ORTIZ C/C</v>
      </c>
      <c r="I1033" t="str">
        <v>CLAUDIO LUCAS HERNANDEZ</v>
      </c>
      <c r="J1033" s="82" t="str">
        <v>49846420104</v>
      </c>
      <c r="K1033" t="str">
        <v/>
      </c>
      <c r="L1033" s="82">
        <v>23551290</v>
      </c>
      <c r="M1033" s="82">
        <v>5218991925883</v>
      </c>
      <c r="N1033" t="str">
        <v>NUEVO MAYOR</v>
      </c>
      <c r="O1033" s="89">
        <v>10636.54</v>
      </c>
      <c r="P1033" s="89" t="str">
        <v/>
      </c>
      <c r="Q1033" s="89">
        <v>3190.962</v>
      </c>
      <c r="R1033" s="89">
        <v>3190.962</v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>
        <v>1</v>
      </c>
    </row>
    <row r="1034" spans="1:24">
      <c r="A1034" s="26">
        <v>1749</v>
      </c>
      <c r="B1034" s="87">
        <v>46246.5159375</v>
      </c>
      <c r="C1034" s="87">
        <v>46246.516851851797</v>
      </c>
      <c r="D1034" t="str">
        <v>anónimo</v>
      </c>
      <c r="E1034" t="str">
        <v/>
      </c>
      <c r="F1034" s="68">
        <v>46246</v>
      </c>
      <c r="G1034" s="88">
        <v>46245</v>
      </c>
      <c r="H1034" t="str">
        <v>LITZY MARTINEZ C/C</v>
      </c>
      <c r="I1034" t="str">
        <v xml:space="preserve">LUIS ALFONSO ALVAREZ </v>
      </c>
      <c r="J1034" s="82" t="str">
        <v/>
      </c>
      <c r="K1034" t="str">
        <v>AAXL650411HGTLXS03</v>
      </c>
      <c r="L1034" s="82">
        <v>23548272</v>
      </c>
      <c r="M1034" s="82">
        <v>5214775511938</v>
      </c>
      <c r="N1034" t="str">
        <v>NUEVO MAYOR</v>
      </c>
      <c r="O1034" s="89">
        <v>9760.32</v>
      </c>
      <c r="P1034" s="89">
        <v>879</v>
      </c>
      <c r="Q1034" s="89">
        <v>2928.096</v>
      </c>
      <c r="R1034" s="89">
        <v>2049.096</v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>
        <v>1</v>
      </c>
    </row>
    <row r="1035" spans="1:24">
      <c r="A1035" s="26">
        <v>1751</v>
      </c>
      <c r="B1035" s="87">
        <v>46246.491249999999</v>
      </c>
      <c r="C1035" s="87">
        <v>46246.539432870399</v>
      </c>
      <c r="D1035" t="str">
        <v>anónimo</v>
      </c>
      <c r="E1035" t="str">
        <v/>
      </c>
      <c r="F1035" s="68">
        <v>46246</v>
      </c>
      <c r="G1035" s="88">
        <v>46246</v>
      </c>
      <c r="H1035" t="str">
        <v>ROSA CASTRO SUR</v>
      </c>
      <c r="I1035" t="str">
        <v>BENJAMIN BUSTAMANTE</v>
      </c>
      <c r="J1035" s="82">
        <v>24786028803</v>
      </c>
      <c r="K1035" t="str">
        <v/>
      </c>
      <c r="L1035" s="82">
        <v>23567036</v>
      </c>
      <c r="M1035" s="82">
        <v>5216621958265</v>
      </c>
      <c r="N1035" t="str">
        <v>COMPRA MAYOR</v>
      </c>
      <c r="O1035" s="89">
        <v>5617.63</v>
      </c>
      <c r="P1035" s="89">
        <v>1336.93</v>
      </c>
      <c r="Q1035" s="89">
        <v>1685.289</v>
      </c>
      <c r="R1035" s="89">
        <v>107.72000000000048</v>
      </c>
      <c r="S1035">
        <v>46113</v>
      </c>
      <c r="T1035" t="str">
        <v/>
      </c>
      <c r="U1035" t="str">
        <v/>
      </c>
      <c r="V1035" t="str">
        <v/>
      </c>
      <c r="W1035" t="str">
        <v/>
      </c>
      <c r="X1035">
        <v>2</v>
      </c>
    </row>
    <row r="1036" spans="1:24">
      <c r="A1036" s="26">
        <v>1753</v>
      </c>
      <c r="B1036" s="87">
        <v>46246.539849537003</v>
      </c>
      <c r="C1036" s="87">
        <v>46246.5406828704</v>
      </c>
      <c r="D1036" t="str">
        <v>anónimo</v>
      </c>
      <c r="E1036" t="str">
        <v/>
      </c>
      <c r="F1036" s="68">
        <v>46246</v>
      </c>
      <c r="G1036" s="88">
        <v>46246</v>
      </c>
      <c r="H1036" t="str">
        <v>GIOVANNI MELGAR</v>
      </c>
      <c r="I1036" t="str">
        <v>JOSE MORENO CHAPAS</v>
      </c>
      <c r="J1036" s="82" t="str">
        <v/>
      </c>
      <c r="K1036" t="str">
        <v>MOCJ620523HQTRHS00</v>
      </c>
      <c r="L1036" s="82">
        <v>23571420</v>
      </c>
      <c r="M1036" s="82">
        <v>5214426395189</v>
      </c>
      <c r="N1036" t="str">
        <v>NUEVO MAYOR</v>
      </c>
      <c r="O1036" s="89">
        <v>29936.17</v>
      </c>
      <c r="P1036" s="89">
        <v>6445.43</v>
      </c>
      <c r="Q1036" s="89">
        <v>8980.8509999999987</v>
      </c>
      <c r="R1036" s="89">
        <v>2535.4209999999985</v>
      </c>
      <c r="S1036">
        <v>46357</v>
      </c>
      <c r="T1036" t="str">
        <v/>
      </c>
      <c r="U1036" t="str">
        <v/>
      </c>
      <c r="V1036" t="str">
        <v/>
      </c>
      <c r="W1036" t="str">
        <v/>
      </c>
      <c r="X1036">
        <v>2</v>
      </c>
    </row>
    <row r="1037" spans="1:24">
      <c r="A1037" s="26">
        <v>1755</v>
      </c>
      <c r="B1037" s="87">
        <v>46246.536053240699</v>
      </c>
      <c r="C1037" s="87">
        <v>46246.542372685202</v>
      </c>
      <c r="D1037" t="str">
        <v>anónimo</v>
      </c>
      <c r="E1037" t="str">
        <v/>
      </c>
      <c r="F1037" s="68">
        <v>46246</v>
      </c>
      <c r="G1037" s="88">
        <v>46243</v>
      </c>
      <c r="H1037" t="str">
        <v>LILIANA MARTINEZ SUR</v>
      </c>
      <c r="I1037" t="str">
        <v>CARLOS BORBON GUTIERREZ</v>
      </c>
      <c r="J1037" s="82">
        <v>24906430228</v>
      </c>
      <c r="K1037" t="str">
        <v>BOGC640215HSRRTR07</v>
      </c>
      <c r="L1037" s="82">
        <v>23497366</v>
      </c>
      <c r="M1037" s="82">
        <v>5216622290718</v>
      </c>
      <c r="N1037" t="str">
        <v>NUEVO MAYOR</v>
      </c>
      <c r="O1037" s="89">
        <v>20196.599999999999</v>
      </c>
      <c r="P1037" s="89" t="str">
        <v/>
      </c>
      <c r="Q1037" s="89">
        <v>6058.98</v>
      </c>
      <c r="R1037" s="89">
        <v>6058.98</v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>
        <v>1</v>
      </c>
    </row>
    <row r="1038" spans="1:24">
      <c r="A1038" s="26">
        <v>1769</v>
      </c>
      <c r="B1038" s="87">
        <v>46246.596562500003</v>
      </c>
      <c r="C1038" s="87">
        <v>46246.6418402778</v>
      </c>
      <c r="D1038" t="str">
        <v>anónimo</v>
      </c>
      <c r="E1038" t="str">
        <v/>
      </c>
      <c r="F1038" s="68">
        <v>46246</v>
      </c>
      <c r="G1038" s="88">
        <v>46245</v>
      </c>
      <c r="H1038" t="str">
        <v>ROSA CASTRO SUR</v>
      </c>
      <c r="I1038" t="str">
        <v xml:space="preserve">PABLO REYES SUAREZ </v>
      </c>
      <c r="J1038" s="82" t="str">
        <v/>
      </c>
      <c r="K1038" t="str">
        <v>RESP600115HMCYRB02</v>
      </c>
      <c r="L1038" s="82">
        <v>23539686</v>
      </c>
      <c r="M1038" s="82">
        <v>5219983955572</v>
      </c>
      <c r="N1038" t="str">
        <v>COMPRA MAYOR</v>
      </c>
      <c r="O1038" s="89">
        <v>7200.89</v>
      </c>
      <c r="P1038" s="89">
        <v>1922.57</v>
      </c>
      <c r="Q1038" s="89">
        <v>2160.2669999999998</v>
      </c>
      <c r="R1038" s="89">
        <v>237.69699999999989</v>
      </c>
      <c r="S1038">
        <v>46235</v>
      </c>
      <c r="T1038" t="str">
        <v/>
      </c>
      <c r="U1038" t="str">
        <v/>
      </c>
      <c r="V1038" t="str">
        <v/>
      </c>
      <c r="W1038" t="str">
        <v/>
      </c>
      <c r="X1038">
        <v>2</v>
      </c>
    </row>
    <row r="1039" spans="1:24">
      <c r="A1039" s="26">
        <v>1771</v>
      </c>
      <c r="B1039" s="87">
        <v>46246.6453819444</v>
      </c>
      <c r="C1039" s="87">
        <v>46246.645937499998</v>
      </c>
      <c r="D1039" t="str">
        <v>anónimo</v>
      </c>
      <c r="E1039" t="str">
        <v/>
      </c>
      <c r="F1039" s="68">
        <v>46246</v>
      </c>
      <c r="G1039" s="88">
        <v>46244</v>
      </c>
      <c r="H1039" t="str">
        <v>LITZY MARTINEZ C/C</v>
      </c>
      <c r="I1039" t="str">
        <v xml:space="preserve">JESUS ALFREDO VALLES ROCHA </v>
      </c>
      <c r="J1039" s="82">
        <v>31735701987</v>
      </c>
      <c r="K1039" t="str">
        <v>VARJ570626HDGLCS07</v>
      </c>
      <c r="L1039" s="82">
        <v>23517202</v>
      </c>
      <c r="M1039" s="82">
        <v>6183048716</v>
      </c>
      <c r="N1039" t="str">
        <v>RESTRINGIDA</v>
      </c>
      <c r="O1039" s="89">
        <v>17897.150000000001</v>
      </c>
      <c r="P1039" s="89">
        <v>5177.95</v>
      </c>
      <c r="Q1039" s="89">
        <v>5369.1450000000004</v>
      </c>
      <c r="R1039" s="89">
        <v>191.19500000000062</v>
      </c>
      <c r="S1039">
        <v>45931</v>
      </c>
      <c r="T1039" t="str">
        <v xml:space="preserve">FISOFO </v>
      </c>
      <c r="U1039" t="str">
        <v/>
      </c>
      <c r="V1039" t="str">
        <v/>
      </c>
      <c r="W1039" t="str">
        <v/>
      </c>
      <c r="X1039">
        <v>2</v>
      </c>
    </row>
    <row r="1040" spans="1:24">
      <c r="A1040" s="26">
        <v>1772</v>
      </c>
      <c r="B1040" s="87">
        <v>46246.650335648097</v>
      </c>
      <c r="C1040" s="87">
        <v>46246.651388888902</v>
      </c>
      <c r="D1040" t="str">
        <v>anónimo</v>
      </c>
      <c r="E1040" t="str">
        <v/>
      </c>
      <c r="F1040" s="68">
        <v>46246</v>
      </c>
      <c r="G1040" s="88">
        <v>46243</v>
      </c>
      <c r="H1040" t="str">
        <v>MAGALI HERNANDEZ C/C</v>
      </c>
      <c r="I1040" t="str">
        <v>JUAN CARLOS GALVAN ZUÑIGA</v>
      </c>
      <c r="J1040" s="82" t="str">
        <v/>
      </c>
      <c r="K1040" t="str">
        <v>GAZJ620913HCLLXN09</v>
      </c>
      <c r="L1040" s="82">
        <v>23488828</v>
      </c>
      <c r="M1040" s="82">
        <v>5218719476495</v>
      </c>
      <c r="N1040" t="str">
        <v>NUEVO MAYOR</v>
      </c>
      <c r="O1040" s="89">
        <v>7147.87</v>
      </c>
      <c r="P1040" s="89">
        <v>848</v>
      </c>
      <c r="Q1040" s="89">
        <v>2144.3609999999999</v>
      </c>
      <c r="R1040" s="89">
        <v>1296.3609999999999</v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>
        <v>1</v>
      </c>
    </row>
    <row r="1041" spans="1:24">
      <c r="A1041" s="26">
        <v>1780</v>
      </c>
      <c r="B1041" s="87">
        <v>46246.695335648197</v>
      </c>
      <c r="C1041" s="87">
        <v>46246.700798611098</v>
      </c>
      <c r="D1041" t="str">
        <v>anónimo</v>
      </c>
      <c r="E1041" t="str">
        <v/>
      </c>
      <c r="F1041" s="68">
        <v>46246</v>
      </c>
      <c r="G1041" s="88">
        <v>46246</v>
      </c>
      <c r="H1041" t="str">
        <v>LILIANA MARTINEZ SUR</v>
      </c>
      <c r="I1041" t="str">
        <v>JAIME CRUZ MARTINEZ</v>
      </c>
      <c r="J1041" s="82" t="str">
        <v/>
      </c>
      <c r="K1041" t="str">
        <v>CUMJ730519HPLRRM05</v>
      </c>
      <c r="L1041" s="82">
        <v>23566000</v>
      </c>
      <c r="M1041" s="82">
        <v>5212213704142</v>
      </c>
      <c r="N1041" t="str">
        <v>COMPRA MAYOR</v>
      </c>
      <c r="O1041" s="89">
        <v>5653.38</v>
      </c>
      <c r="P1041" s="89">
        <v>1369.02</v>
      </c>
      <c r="Q1041" s="89">
        <v>1696.0139999999999</v>
      </c>
      <c r="R1041" s="89">
        <v>111.38000000000056</v>
      </c>
      <c r="S1041">
        <v>46204</v>
      </c>
      <c r="T1041" t="str">
        <v/>
      </c>
      <c r="U1041" t="str">
        <v/>
      </c>
      <c r="V1041" t="str">
        <v/>
      </c>
      <c r="W1041" t="str">
        <v/>
      </c>
      <c r="X1041">
        <v>2</v>
      </c>
    </row>
    <row r="1042" spans="1:24">
      <c r="A1042" s="26">
        <v>1782</v>
      </c>
      <c r="B1042" s="87">
        <v>46246.704502314802</v>
      </c>
      <c r="C1042" s="87">
        <v>46246.706284722197</v>
      </c>
      <c r="D1042" t="str">
        <v>anónimo</v>
      </c>
      <c r="E1042" t="str">
        <v/>
      </c>
      <c r="F1042" s="68">
        <v>46246</v>
      </c>
      <c r="G1042" s="88">
        <v>46245</v>
      </c>
      <c r="H1042" t="str">
        <v>CARRANZA SARDINA C/C</v>
      </c>
      <c r="I1042" t="str">
        <v xml:space="preserve">Jesus Herbe Sosa Herrera </v>
      </c>
      <c r="J1042" s="82" t="str">
        <v/>
      </c>
      <c r="K1042" t="str">
        <v>SOHJ651224HYNSRS04</v>
      </c>
      <c r="L1042" s="82">
        <v>23578358</v>
      </c>
      <c r="M1042" s="82">
        <v>19991135033</v>
      </c>
      <c r="N1042" t="str">
        <v>NUEVO MAYOR</v>
      </c>
      <c r="O1042" s="89">
        <v>9760.320000000007</v>
      </c>
      <c r="P1042" s="89" t="str">
        <v/>
      </c>
      <c r="Q1042" s="89">
        <v>2928.0960000000018</v>
      </c>
      <c r="R1042" s="89">
        <v>2928.0960000000018</v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>
        <v>1</v>
      </c>
    </row>
    <row r="1043" spans="1:24">
      <c r="A1043" s="26">
        <v>1783</v>
      </c>
      <c r="B1043" s="87">
        <v>46246.707349536999</v>
      </c>
      <c r="C1043" s="87">
        <v>46246.710497685199</v>
      </c>
      <c r="D1043" t="str">
        <v>anónimo</v>
      </c>
      <c r="E1043" t="str">
        <v/>
      </c>
      <c r="F1043" s="68">
        <v>46246</v>
      </c>
      <c r="G1043" s="88">
        <v>46237</v>
      </c>
      <c r="H1043" t="str">
        <v>CARRANZA SARDINA C/C</v>
      </c>
      <c r="I1043" t="str">
        <v>Leticia Ordaz Aguayo</v>
      </c>
      <c r="J1043" s="82">
        <v>21977112909</v>
      </c>
      <c r="K1043" t="str">
        <v>RAXA770213HOCMXN06</v>
      </c>
      <c r="L1043" s="82">
        <v>23330746</v>
      </c>
      <c r="M1043" s="82">
        <v>6538495316</v>
      </c>
      <c r="N1043" t="str">
        <v>NUEVO MENOR</v>
      </c>
      <c r="O1043" s="89">
        <v>5055.87</v>
      </c>
      <c r="P1043" s="89" t="str">
        <v/>
      </c>
      <c r="Q1043" s="89">
        <v>1516.761</v>
      </c>
      <c r="R1043" s="89">
        <v>882.89000000000033</v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>
        <v>1</v>
      </c>
    </row>
    <row r="1044" spans="1:24">
      <c r="A1044" s="26">
        <v>1784</v>
      </c>
      <c r="B1044" s="87">
        <v>46246.707592592596</v>
      </c>
      <c r="C1044" s="87">
        <v>46246.711423611101</v>
      </c>
      <c r="D1044" t="str">
        <v>anónimo</v>
      </c>
      <c r="E1044" t="str">
        <v/>
      </c>
      <c r="F1044" s="68">
        <v>46246</v>
      </c>
      <c r="G1044" s="88">
        <v>46246</v>
      </c>
      <c r="H1044" t="str">
        <v>LILIANA MARTINEZ SUR</v>
      </c>
      <c r="I1044" t="str">
        <v>RAFAEL MIRANDA CERON</v>
      </c>
      <c r="J1044" s="82" t="str">
        <v/>
      </c>
      <c r="K1044" t="str">
        <v>MICR600909HPLRRF01</v>
      </c>
      <c r="L1044" s="82">
        <v>23572218</v>
      </c>
      <c r="M1044" s="82">
        <v>5212213955577</v>
      </c>
      <c r="N1044" t="str">
        <v>COMPRA MAYOR</v>
      </c>
      <c r="O1044" s="89">
        <v>5617.63</v>
      </c>
      <c r="P1044" s="89">
        <v>1272.8800000000001</v>
      </c>
      <c r="Q1044" s="89">
        <v>1685.289</v>
      </c>
      <c r="R1044" s="89">
        <v>171.77000000000044</v>
      </c>
      <c r="S1044">
        <v>45809</v>
      </c>
      <c r="T1044" t="str">
        <v/>
      </c>
      <c r="U1044" t="str">
        <v/>
      </c>
      <c r="V1044" t="str">
        <v/>
      </c>
      <c r="W1044" t="str">
        <v/>
      </c>
      <c r="X1044">
        <v>2</v>
      </c>
    </row>
    <row r="1045" spans="1:24">
      <c r="A1045" s="26">
        <v>1785</v>
      </c>
      <c r="B1045" s="87">
        <v>46246.641863425903</v>
      </c>
      <c r="C1045" s="87">
        <v>46246.729641203703</v>
      </c>
      <c r="D1045" t="str">
        <v>anónimo</v>
      </c>
      <c r="E1045" t="str">
        <v/>
      </c>
      <c r="F1045" s="68">
        <v>46246</v>
      </c>
      <c r="G1045" s="88">
        <v>46246</v>
      </c>
      <c r="H1045" t="str">
        <v>ROSA CASTRO SUR</v>
      </c>
      <c r="I1045" t="str">
        <v>LUCY BESO</v>
      </c>
      <c r="J1045" s="82" t="str">
        <v>43816330492</v>
      </c>
      <c r="K1045" t="str">
        <v/>
      </c>
      <c r="L1045" s="82">
        <v>23574028</v>
      </c>
      <c r="M1045" s="82">
        <v>5218110684929</v>
      </c>
      <c r="N1045" t="str">
        <v>NUEVO MAYOR</v>
      </c>
      <c r="O1045" s="89">
        <v>9081.52</v>
      </c>
      <c r="P1045" s="89" t="str">
        <v/>
      </c>
      <c r="Q1045" s="89">
        <v>2724.4560000000001</v>
      </c>
      <c r="R1045" s="89">
        <v>2724.4560000000001</v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>
        <v>1</v>
      </c>
    </row>
    <row r="1046" spans="1:24">
      <c r="A1046" s="26">
        <v>1786</v>
      </c>
      <c r="B1046" s="87">
        <v>46246.590972222199</v>
      </c>
      <c r="C1046" s="87">
        <v>46246.753784722197</v>
      </c>
      <c r="D1046" t="str">
        <v>anónimo</v>
      </c>
      <c r="E1046" t="str">
        <v/>
      </c>
      <c r="F1046" s="68">
        <v>46246</v>
      </c>
      <c r="G1046" s="88">
        <v>46246</v>
      </c>
      <c r="H1046" t="str">
        <v>GUADALUPE BECERRA C/C</v>
      </c>
      <c r="I1046" t="str">
        <v>CONSTANTINO SEGURA CARDOSO</v>
      </c>
      <c r="J1046" s="82" t="str">
        <v/>
      </c>
      <c r="K1046" t="str">
        <v>SECC570613HVZGRN07</v>
      </c>
      <c r="L1046" s="82">
        <v>23580090</v>
      </c>
      <c r="M1046" s="82">
        <v>5212461032102</v>
      </c>
      <c r="N1046" t="str">
        <v>NUEVO MAYOR</v>
      </c>
      <c r="O1046" s="89">
        <v>33461.160000000003</v>
      </c>
      <c r="P1046" s="89" t="str">
        <v/>
      </c>
      <c r="Q1046" s="89">
        <v>10038.348</v>
      </c>
      <c r="R1046" s="89">
        <v>10038.348</v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>
        <v>1</v>
      </c>
    </row>
    <row r="1047" spans="1:24">
      <c r="A1047" s="26">
        <v>1787</v>
      </c>
      <c r="B1047" s="87">
        <v>46246.634490740696</v>
      </c>
      <c r="C1047" s="87">
        <v>46246.759236111102</v>
      </c>
      <c r="D1047" t="str">
        <v>anónimo</v>
      </c>
      <c r="E1047" t="str">
        <v/>
      </c>
      <c r="F1047" s="68">
        <v>46246</v>
      </c>
      <c r="G1047" s="88">
        <v>46245</v>
      </c>
      <c r="H1047" t="str">
        <v>MARISOL HERNANDEZ C/C</v>
      </c>
      <c r="I1047" t="str">
        <v>MARIO ESCOBEDO CORTEZ</v>
      </c>
      <c r="J1047" s="82" t="str">
        <v>31806324708</v>
      </c>
      <c r="K1047" t="str">
        <v/>
      </c>
      <c r="L1047" s="82">
        <v>23547502</v>
      </c>
      <c r="M1047" s="82" t="str">
        <v>871 505 22 76</v>
      </c>
      <c r="N1047" t="str">
        <v>COMPRA MENOR</v>
      </c>
      <c r="O1047" s="89">
        <v>7920.51</v>
      </c>
      <c r="P1047" s="89">
        <v>2375.71</v>
      </c>
      <c r="Q1047" s="89">
        <v>2376.1529999999998</v>
      </c>
      <c r="R1047" s="89">
        <v>0.44299999999975626</v>
      </c>
      <c r="S1047">
        <v>46235</v>
      </c>
      <c r="T1047" t="str">
        <v/>
      </c>
      <c r="U1047" t="str">
        <v/>
      </c>
      <c r="V1047" t="str">
        <v/>
      </c>
      <c r="W1047" t="str">
        <v/>
      </c>
      <c r="X1047">
        <v>2</v>
      </c>
    </row>
    <row r="1048" spans="1:24">
      <c r="A1048" s="26">
        <v>1789</v>
      </c>
      <c r="B1048" s="87">
        <v>46246.756319444401</v>
      </c>
      <c r="C1048" s="87">
        <v>46246.778773148202</v>
      </c>
      <c r="D1048" t="str">
        <v>anónimo</v>
      </c>
      <c r="E1048" t="str">
        <v/>
      </c>
      <c r="F1048" s="68">
        <v>46246</v>
      </c>
      <c r="G1048" s="88">
        <v>46246</v>
      </c>
      <c r="H1048" t="str">
        <v>GLORIA ORTIZ C/C</v>
      </c>
      <c r="I1048" t="str">
        <v>MARISELA CORONA GUARDADO</v>
      </c>
      <c r="J1048" s="82" t="str">
        <v>14926606014</v>
      </c>
      <c r="K1048" t="str">
        <v>COGM660201MQTRRR09</v>
      </c>
      <c r="L1048" s="82">
        <v>23581266</v>
      </c>
      <c r="M1048" s="82">
        <v>5214428110003</v>
      </c>
      <c r="N1048" t="str">
        <v>NUEVO MAYOR</v>
      </c>
      <c r="O1048" s="89">
        <v>10636.54</v>
      </c>
      <c r="P1048" s="89" t="str">
        <v/>
      </c>
      <c r="Q1048" s="89">
        <v>3190.962</v>
      </c>
      <c r="R1048" s="89">
        <v>3190.962</v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>
        <v>1</v>
      </c>
    </row>
    <row r="1049" spans="1:24">
      <c r="A1049" s="26">
        <v>1791</v>
      </c>
      <c r="B1049" s="87">
        <v>46246.803761574098</v>
      </c>
      <c r="C1049" s="87">
        <v>46246.804895833302</v>
      </c>
      <c r="D1049" t="str">
        <v>anónimo</v>
      </c>
      <c r="E1049" t="str">
        <v/>
      </c>
      <c r="F1049" s="68">
        <v>46246</v>
      </c>
      <c r="G1049" s="88">
        <v>46227</v>
      </c>
      <c r="H1049" t="str">
        <v>MARISOL HERNANDEZ C/C</v>
      </c>
      <c r="I1049" t="str">
        <v>Matilde dolores vieyra hernandez</v>
      </c>
      <c r="J1049" s="82">
        <v>65936821621</v>
      </c>
      <c r="K1049" t="str">
        <v/>
      </c>
      <c r="L1049" s="82">
        <v>23092342</v>
      </c>
      <c r="M1049" s="82">
        <v>2294112147</v>
      </c>
      <c r="N1049" t="str">
        <v>NUEVO MENOR</v>
      </c>
      <c r="O1049" s="89">
        <v>5642.22</v>
      </c>
      <c r="P1049" s="89">
        <v>568.95000000000005</v>
      </c>
      <c r="Q1049" s="89">
        <v>1692.6659999999999</v>
      </c>
      <c r="R1049" s="89">
        <v>900.29000000000065</v>
      </c>
      <c r="S1049">
        <v>46508</v>
      </c>
      <c r="T1049" t="str">
        <v/>
      </c>
      <c r="U1049" t="str">
        <v/>
      </c>
      <c r="V1049" t="str">
        <v/>
      </c>
      <c r="W1049" t="str">
        <v/>
      </c>
      <c r="X1049">
        <v>2</v>
      </c>
    </row>
    <row r="1050" spans="1:24">
      <c r="A1050" s="26">
        <v>1792</v>
      </c>
      <c r="B1050" s="87">
        <v>46246.854664351798</v>
      </c>
      <c r="C1050" s="87">
        <v>46246.8621643519</v>
      </c>
      <c r="D1050" t="str">
        <v>anónimo</v>
      </c>
      <c r="E1050" t="str">
        <v/>
      </c>
      <c r="F1050" s="68">
        <v>46246</v>
      </c>
      <c r="G1050" s="88">
        <v>46246</v>
      </c>
      <c r="H1050" t="str">
        <v>YAMILETH CARDONA EXT 2</v>
      </c>
      <c r="I1050" t="str">
        <v>ALFONSO BRAVO TAPIA</v>
      </c>
      <c r="J1050" s="82" t="str">
        <v/>
      </c>
      <c r="K1050" t="str">
        <v>BATA610820HDFRPL03</v>
      </c>
      <c r="L1050" s="82">
        <v>2</v>
      </c>
      <c r="M1050" s="82">
        <v>5544712217</v>
      </c>
      <c r="N1050" t="str">
        <v>NUEVO MAYOR</v>
      </c>
      <c r="O1050" s="89">
        <v>13604.82</v>
      </c>
      <c r="P1050" s="89" t="str">
        <v/>
      </c>
      <c r="Q1050" s="89">
        <v>4081.4459999999999</v>
      </c>
      <c r="R1050" s="89">
        <v>4081.4459999999999</v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>
        <v>1</v>
      </c>
    </row>
    <row r="1051" spans="1:24">
      <c r="A1051" s="26">
        <v>1794</v>
      </c>
      <c r="B1051" s="87">
        <v>46247.366307870398</v>
      </c>
      <c r="C1051" s="87">
        <v>46247.371678240699</v>
      </c>
      <c r="D1051" t="str">
        <v>anónimo</v>
      </c>
      <c r="E1051" t="str">
        <v/>
      </c>
      <c r="F1051" s="68">
        <v>46247</v>
      </c>
      <c r="G1051" s="88">
        <v>46247</v>
      </c>
      <c r="H1051" t="str">
        <v>YAMILETH CARDONA EXT 2</v>
      </c>
      <c r="I1051" t="str">
        <v>SUSANO ARANA VALDIVIA</v>
      </c>
      <c r="J1051" s="82" t="str">
        <v xml:space="preserve">54786052982 </v>
      </c>
      <c r="K1051" t="str">
        <v>AAVS620809HJCRLS02</v>
      </c>
      <c r="L1051" s="82">
        <v>2</v>
      </c>
      <c r="M1051" s="82">
        <v>3781140907</v>
      </c>
      <c r="N1051" t="str">
        <v>RESTRINGIDA</v>
      </c>
      <c r="O1051" s="89">
        <v>5770.32</v>
      </c>
      <c r="P1051" s="89">
        <v>1601.44</v>
      </c>
      <c r="Q1051" s="89">
        <v>1731.0959999999998</v>
      </c>
      <c r="R1051" s="89">
        <v>-4.0999999999999091</v>
      </c>
      <c r="S1051">
        <v>46235</v>
      </c>
      <c r="T1051" t="str">
        <v/>
      </c>
      <c r="U1051" t="str">
        <v/>
      </c>
      <c r="V1051" t="str">
        <v/>
      </c>
      <c r="W1051" t="str">
        <v/>
      </c>
      <c r="X1051">
        <v>2</v>
      </c>
    </row>
    <row r="1052" spans="1:24">
      <c r="A1052" s="26">
        <v>1797</v>
      </c>
      <c r="B1052" s="87">
        <v>46247.371898148202</v>
      </c>
      <c r="C1052" s="87">
        <v>46247.389085648101</v>
      </c>
      <c r="D1052" t="str">
        <v>anónimo</v>
      </c>
      <c r="E1052" t="str">
        <v/>
      </c>
      <c r="F1052" s="68">
        <v>46247</v>
      </c>
      <c r="G1052" s="88">
        <v>46247</v>
      </c>
      <c r="H1052" t="str">
        <v>YAJAHIRA GONZALEZ EXT 2</v>
      </c>
      <c r="I1052" t="str">
        <v>SUSANO ARANA VALDIVIA</v>
      </c>
      <c r="J1052" s="82" t="str">
        <v xml:space="preserve">54786052982 </v>
      </c>
      <c r="K1052" t="str">
        <v>CAPC600123MJCBRN09</v>
      </c>
      <c r="L1052" s="82">
        <v>2</v>
      </c>
      <c r="M1052" s="82">
        <v>3781140907</v>
      </c>
      <c r="N1052" t="str">
        <v>RESTRINGIDA</v>
      </c>
      <c r="O1052" s="89">
        <v>5770.32</v>
      </c>
      <c r="P1052" s="89">
        <v>1601.44</v>
      </c>
      <c r="Q1052" s="89">
        <v>1731.0959999999998</v>
      </c>
      <c r="R1052" s="89">
        <v>-4.0999999999999091</v>
      </c>
      <c r="S1052">
        <v>46235</v>
      </c>
      <c r="T1052" t="str">
        <v/>
      </c>
      <c r="U1052" t="str">
        <v/>
      </c>
      <c r="V1052" t="str">
        <v/>
      </c>
      <c r="W1052" t="str">
        <v/>
      </c>
      <c r="X1052">
        <v>2</v>
      </c>
    </row>
    <row r="1053" spans="1:24">
      <c r="A1053" s="26">
        <v>1800</v>
      </c>
      <c r="B1053" s="87">
        <v>46247.372847222199</v>
      </c>
      <c r="C1053" s="87">
        <v>46247.393657407403</v>
      </c>
      <c r="D1053" t="str">
        <v>anónimo</v>
      </c>
      <c r="E1053" t="str">
        <v/>
      </c>
      <c r="F1053" s="68">
        <v>46247</v>
      </c>
      <c r="G1053" s="88">
        <v>46247</v>
      </c>
      <c r="H1053" t="str">
        <v>MAGALI MARTINEZ EXT 2</v>
      </c>
      <c r="I1053" t="str">
        <v>VICTOR MANUEL PATIÑO CHAIRES</v>
      </c>
      <c r="J1053" s="82">
        <v>43796247674</v>
      </c>
      <c r="K1053" t="str">
        <v>PACV630227HNLTHC05</v>
      </c>
      <c r="L1053" s="82">
        <v>2</v>
      </c>
      <c r="M1053" s="82" t="str">
        <v>81 8684 2241</v>
      </c>
      <c r="N1053" t="str">
        <v>RESTRINGIDA</v>
      </c>
      <c r="O1053" s="89">
        <v>7920.5</v>
      </c>
      <c r="P1053" s="89">
        <v>2192.5300000000002</v>
      </c>
      <c r="Q1053" s="89">
        <v>2376.15</v>
      </c>
      <c r="R1053" s="89">
        <v>183.61999999999989</v>
      </c>
      <c r="S1053">
        <v>46113</v>
      </c>
      <c r="T1053" t="str">
        <v>CONSUBANCO</v>
      </c>
      <c r="U1053" t="str">
        <v/>
      </c>
      <c r="V1053" t="str">
        <v/>
      </c>
      <c r="W1053" t="str">
        <v/>
      </c>
      <c r="X1053">
        <v>2</v>
      </c>
    </row>
    <row r="1054" spans="1:24">
      <c r="A1054" s="26">
        <v>1801</v>
      </c>
      <c r="B1054" s="87">
        <v>46247.394363425898</v>
      </c>
      <c r="C1054" s="87">
        <v>46247.395671296297</v>
      </c>
      <c r="D1054" t="str">
        <v>anónimo</v>
      </c>
      <c r="E1054" t="str">
        <v/>
      </c>
      <c r="F1054" s="68">
        <v>46247</v>
      </c>
      <c r="G1054" s="88">
        <v>46247</v>
      </c>
      <c r="H1054" t="str">
        <v>KARINA MATA C/C</v>
      </c>
      <c r="I1054" t="str">
        <v>Martha Leticia Magaña Hinojosa</v>
      </c>
      <c r="J1054" s="82" t="str">
        <v/>
      </c>
      <c r="K1054" t="str">
        <v xml:space="preserve">	MAHM550615MJCGNR09</v>
      </c>
      <c r="L1054" s="82">
        <v>23487084</v>
      </c>
      <c r="M1054" s="82">
        <v>3418799292</v>
      </c>
      <c r="N1054" t="str">
        <v>NUEVO MENOR</v>
      </c>
      <c r="O1054" s="89">
        <v>5058.26</v>
      </c>
      <c r="P1054" s="89" t="str">
        <v/>
      </c>
      <c r="Q1054" s="89">
        <v>1517.4780000000001</v>
      </c>
      <c r="R1054" s="89">
        <v>885.28000000000065</v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>
        <v>1</v>
      </c>
    </row>
    <row r="1055" spans="1:24">
      <c r="A1055" s="26">
        <v>1804</v>
      </c>
      <c r="B1055" s="87">
        <v>46247.426041666702</v>
      </c>
      <c r="C1055" s="87">
        <v>46247.427094907398</v>
      </c>
      <c r="D1055" t="str">
        <v>anónimo</v>
      </c>
      <c r="E1055" t="str">
        <v/>
      </c>
      <c r="F1055" s="68">
        <v>46247</v>
      </c>
      <c r="G1055" s="88">
        <v>46245</v>
      </c>
      <c r="H1055" t="str">
        <v>GIOVANNI MELGAR</v>
      </c>
      <c r="I1055" t="str">
        <v>LUIS ANTNIO FILOTEO SANDOVAL</v>
      </c>
      <c r="J1055" s="82" t="str">
        <v>12765100677</v>
      </c>
      <c r="K1055" t="str">
        <v>FISL510512HGTLNS07</v>
      </c>
      <c r="L1055" s="82">
        <v>23535694</v>
      </c>
      <c r="M1055" s="82">
        <v>5214621760125</v>
      </c>
      <c r="N1055" t="str">
        <v>NUEVO MAYOR</v>
      </c>
      <c r="O1055" s="89">
        <v>16507.099999999999</v>
      </c>
      <c r="P1055" s="89" t="str">
        <v/>
      </c>
      <c r="Q1055" s="89">
        <v>4952.1299999999992</v>
      </c>
      <c r="R1055" s="89">
        <v>4952.1299999999992</v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>
        <v>1</v>
      </c>
    </row>
    <row r="1056" spans="1:24">
      <c r="A1056" s="26">
        <v>1808</v>
      </c>
      <c r="B1056" s="87">
        <v>46247.379502314798</v>
      </c>
      <c r="C1056" s="87">
        <v>46247.449849536999</v>
      </c>
      <c r="D1056" t="str">
        <v>anónimo</v>
      </c>
      <c r="E1056" t="str">
        <v/>
      </c>
      <c r="F1056" s="68">
        <v>46247</v>
      </c>
      <c r="G1056" s="88">
        <v>46247</v>
      </c>
      <c r="H1056" t="str">
        <v>YAMILETH CARDONA EXT 2</v>
      </c>
      <c r="I1056" t="str">
        <v>JUAN JORGE BRAVO REYES</v>
      </c>
      <c r="J1056" s="82" t="str">
        <v/>
      </c>
      <c r="K1056" t="str">
        <v>BARJ620120HDFRYN02</v>
      </c>
      <c r="L1056" s="82">
        <v>2</v>
      </c>
      <c r="M1056" s="82" t="str">
        <v>56 5314 2266</v>
      </c>
      <c r="N1056" t="str">
        <v>NUEVO MENOR</v>
      </c>
      <c r="O1056" s="89">
        <v>7919.64</v>
      </c>
      <c r="P1056" s="89">
        <v>1527</v>
      </c>
      <c r="Q1056" s="89">
        <v>2375.8919999999998</v>
      </c>
      <c r="R1056" s="89">
        <v>848.89199999999983</v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>
        <v>1</v>
      </c>
    </row>
    <row r="1057" spans="1:24">
      <c r="A1057" s="26">
        <v>1810</v>
      </c>
      <c r="B1057" s="87">
        <v>46247.467395833301</v>
      </c>
      <c r="C1057" s="87">
        <v>46247.468020833301</v>
      </c>
      <c r="D1057" t="str">
        <v>anónimo</v>
      </c>
      <c r="E1057" t="str">
        <v/>
      </c>
      <c r="F1057" s="68">
        <v>46247</v>
      </c>
      <c r="G1057" s="88">
        <v>46247</v>
      </c>
      <c r="H1057" t="str">
        <v>MAGALI MARTINEZ EXT 2</v>
      </c>
      <c r="I1057" t="str">
        <v xml:space="preserve">JOSE ANTONIO ARIAS RODRIGUEZ </v>
      </c>
      <c r="J1057" s="82">
        <v>67754800836</v>
      </c>
      <c r="K1057" t="str">
        <v>AIRA480520HTCRDN02</v>
      </c>
      <c r="L1057" s="82">
        <v>2</v>
      </c>
      <c r="M1057" s="82" t="str">
        <v>844 383 0171</v>
      </c>
      <c r="N1057" t="str">
        <v>NUEVO MAYOR</v>
      </c>
      <c r="O1057" s="89">
        <v>11029.03</v>
      </c>
      <c r="P1057" s="89" t="str">
        <v/>
      </c>
      <c r="Q1057" s="89">
        <v>3308.7090000000003</v>
      </c>
      <c r="R1057" s="89">
        <v>3308.7090000000003</v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>
        <v>1</v>
      </c>
    </row>
    <row r="1058" spans="1:24">
      <c r="A1058" s="26">
        <v>1817</v>
      </c>
      <c r="B1058" s="87">
        <v>46247.5717939815</v>
      </c>
      <c r="C1058" s="87">
        <v>46247.573020833297</v>
      </c>
      <c r="D1058" t="str">
        <v>anónimo</v>
      </c>
      <c r="E1058" t="str">
        <v/>
      </c>
      <c r="F1058" s="68">
        <v>46247</v>
      </c>
      <c r="G1058" s="88">
        <v>46247</v>
      </c>
      <c r="H1058" t="str">
        <v>YAMILETH CARDONA EXT 2</v>
      </c>
      <c r="I1058" t="str">
        <v>OSCAR SANCHEZ PULIDO</v>
      </c>
      <c r="J1058" s="82" t="str">
        <v>21765510132</v>
      </c>
      <c r="K1058" t="str">
        <v>SAPO560802HBCNLS02</v>
      </c>
      <c r="L1058" s="82">
        <v>2</v>
      </c>
      <c r="M1058" s="82">
        <v>3310763642</v>
      </c>
      <c r="N1058" t="str">
        <v>COMPRA MAYOR</v>
      </c>
      <c r="O1058" s="89">
        <v>6262.86</v>
      </c>
      <c r="P1058" s="89">
        <v>1738.79</v>
      </c>
      <c r="Q1058" s="89">
        <v>1878.8579999999997</v>
      </c>
      <c r="R1058" s="89">
        <v>140.06799999999976</v>
      </c>
      <c r="S1058">
        <v>45597</v>
      </c>
      <c r="T1058" t="str">
        <v/>
      </c>
      <c r="U1058" t="str">
        <v/>
      </c>
      <c r="V1058" t="str">
        <v/>
      </c>
      <c r="W1058" t="str">
        <v/>
      </c>
      <c r="X1058">
        <v>2</v>
      </c>
    </row>
    <row r="1059" spans="1:24">
      <c r="A1059" s="26">
        <v>1822</v>
      </c>
      <c r="B1059" s="87">
        <v>46247.619375000002</v>
      </c>
      <c r="C1059" s="87">
        <v>46247.621226851901</v>
      </c>
      <c r="D1059" t="str">
        <v>anónimo</v>
      </c>
      <c r="E1059" t="str">
        <v/>
      </c>
      <c r="F1059" s="68">
        <v>46247</v>
      </c>
      <c r="G1059" s="88">
        <v>46247</v>
      </c>
      <c r="H1059" t="str">
        <v>DEYANIRA CORDOVA C/C</v>
      </c>
      <c r="I1059" t="str">
        <v/>
      </c>
      <c r="J1059" s="82">
        <v>82796302774</v>
      </c>
      <c r="K1059" t="str">
        <v/>
      </c>
      <c r="L1059" s="82">
        <v>23608718</v>
      </c>
      <c r="M1059" s="82">
        <v>5219871038059</v>
      </c>
      <c r="N1059" t="str">
        <v>COMPRA MAYOR</v>
      </c>
      <c r="O1059" s="89">
        <v>16348.47</v>
      </c>
      <c r="P1059" s="89">
        <v>4511.09</v>
      </c>
      <c r="Q1059" s="89">
        <v>4904.5409999999993</v>
      </c>
      <c r="R1059" s="89">
        <v>393.45099999999911</v>
      </c>
      <c r="S1059">
        <v>46235</v>
      </c>
      <c r="T1059" t="str">
        <v/>
      </c>
      <c r="U1059" t="str">
        <v/>
      </c>
      <c r="V1059" t="str">
        <v/>
      </c>
      <c r="W1059" t="str">
        <v/>
      </c>
      <c r="X1059">
        <v>2</v>
      </c>
    </row>
    <row r="1060" spans="1:24">
      <c r="A1060" s="26">
        <v>1825</v>
      </c>
      <c r="B1060" s="87">
        <v>46247.632592592599</v>
      </c>
      <c r="C1060" s="87">
        <v>46247.633275462998</v>
      </c>
      <c r="D1060" t="str">
        <v>anónimo</v>
      </c>
      <c r="E1060" t="str">
        <v/>
      </c>
      <c r="F1060" s="68">
        <v>46247</v>
      </c>
      <c r="G1060" s="88">
        <v>46247</v>
      </c>
      <c r="H1060" t="str">
        <v>ANA VILLEGAS C/C</v>
      </c>
      <c r="I1060" t="str">
        <v>jose pedro</v>
      </c>
      <c r="J1060" s="82" t="str">
        <v/>
      </c>
      <c r="K1060" t="str">
        <v>TARP610101HCLPSD04</v>
      </c>
      <c r="L1060" s="82">
        <v>23609060</v>
      </c>
      <c r="M1060" s="82">
        <v>5218611026550</v>
      </c>
      <c r="N1060" t="str">
        <v>RESTRINGIDA</v>
      </c>
      <c r="O1060" s="89">
        <v>15288.48</v>
      </c>
      <c r="P1060" s="89">
        <v>3545.04</v>
      </c>
      <c r="Q1060" s="89">
        <v>4586.5439999999999</v>
      </c>
      <c r="R1060" s="89">
        <v>1041.5039999999999</v>
      </c>
      <c r="S1060">
        <v>46143</v>
      </c>
      <c r="T1060" t="str">
        <v xml:space="preserve">OPCIPRES </v>
      </c>
      <c r="U1060" t="str">
        <v/>
      </c>
      <c r="V1060" t="str">
        <v/>
      </c>
      <c r="W1060" t="str">
        <v/>
      </c>
      <c r="X1060">
        <v>2</v>
      </c>
    </row>
    <row r="1061" spans="1:24">
      <c r="A1061" s="26">
        <v>1828</v>
      </c>
      <c r="B1061" s="87">
        <v>46247.656122685199</v>
      </c>
      <c r="C1061" s="87">
        <v>46247.656620370399</v>
      </c>
      <c r="D1061" t="str">
        <v>anónimo</v>
      </c>
      <c r="E1061" t="str">
        <v/>
      </c>
      <c r="F1061" s="68">
        <v>46247</v>
      </c>
      <c r="G1061" s="88">
        <v>46247</v>
      </c>
      <c r="H1061" t="str">
        <v>LITZY MARTINEZ C/C</v>
      </c>
      <c r="I1061" t="str">
        <v xml:space="preserve">ROBERTO LIMON GONZALEZ </v>
      </c>
      <c r="J1061" s="82" t="str">
        <v>32826627831</v>
      </c>
      <c r="K1061" t="str">
        <v/>
      </c>
      <c r="L1061" s="82">
        <v>23610848</v>
      </c>
      <c r="M1061" s="82">
        <v>5218445045329</v>
      </c>
      <c r="N1061" t="str">
        <v>NUEVO MAYOR</v>
      </c>
      <c r="O1061" s="89">
        <v>10636.54</v>
      </c>
      <c r="P1061" s="89" t="str">
        <v/>
      </c>
      <c r="Q1061" s="89">
        <v>3190.962</v>
      </c>
      <c r="R1061" s="89">
        <v>3190.962</v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>
        <v>1</v>
      </c>
    </row>
    <row r="1062" spans="1:24">
      <c r="A1062" s="26">
        <v>1829</v>
      </c>
      <c r="B1062" s="87">
        <v>46247.653217592597</v>
      </c>
      <c r="C1062" s="87">
        <v>46247.659328703703</v>
      </c>
      <c r="D1062" t="str">
        <v>anónimo</v>
      </c>
      <c r="E1062" t="str">
        <v/>
      </c>
      <c r="F1062" s="68">
        <v>46247</v>
      </c>
      <c r="G1062" s="88">
        <v>46247</v>
      </c>
      <c r="H1062" t="str">
        <v>LILIANA MARTINEZ SUR</v>
      </c>
      <c r="I1062" t="str">
        <v xml:space="preserve"> LUIS FERNANDO CUA COCOM</v>
      </c>
      <c r="J1062" s="82">
        <v>84836300404</v>
      </c>
      <c r="K1062" t="str">
        <v>CUCL621008HYNXCS02</v>
      </c>
      <c r="L1062" s="82">
        <v>23609404</v>
      </c>
      <c r="M1062" s="82">
        <v>5219981361185</v>
      </c>
      <c r="N1062" t="str">
        <v>NUEVO MAYOR</v>
      </c>
      <c r="O1062" s="89">
        <v>14106.45</v>
      </c>
      <c r="P1062" s="89" t="str">
        <v/>
      </c>
      <c r="Q1062" s="89">
        <v>4231.9350000000004</v>
      </c>
      <c r="R1062" s="89">
        <v>4231.9350000000004</v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>
        <v>1</v>
      </c>
    </row>
    <row r="1063" spans="1:24">
      <c r="A1063" s="26">
        <v>1831</v>
      </c>
      <c r="B1063" s="87">
        <v>46247.659224536997</v>
      </c>
      <c r="C1063" s="87">
        <v>46247.660555555602</v>
      </c>
      <c r="D1063" t="str">
        <v>anónimo</v>
      </c>
      <c r="E1063" t="str">
        <v/>
      </c>
      <c r="F1063" s="68">
        <v>46247</v>
      </c>
      <c r="G1063" s="88">
        <v>46247</v>
      </c>
      <c r="H1063" t="str">
        <v>MAGALI MARTINEZ EXT 2</v>
      </c>
      <c r="I1063" t="str">
        <v>ALEJANDRINA RAMIREZ RODRIGUEZ</v>
      </c>
      <c r="J1063" s="82" t="str">
        <v>04897150837</v>
      </c>
      <c r="K1063" t="str">
        <v>RARA710610MJCMDL05</v>
      </c>
      <c r="L1063" s="82">
        <v>2</v>
      </c>
      <c r="M1063" s="82" t="str">
        <v>33 1911 8413</v>
      </c>
      <c r="N1063" t="str">
        <v>NUEVO MENOR</v>
      </c>
      <c r="O1063" s="89">
        <v>7983.6</v>
      </c>
      <c r="P1063" s="89">
        <v>2039.53</v>
      </c>
      <c r="Q1063" s="89">
        <v>2395.08</v>
      </c>
      <c r="R1063" s="89">
        <v>355.54999999999995</v>
      </c>
      <c r="S1063">
        <v>46935</v>
      </c>
      <c r="T1063" t="str">
        <v>FISOFO</v>
      </c>
      <c r="U1063" t="str">
        <v/>
      </c>
      <c r="V1063" t="str">
        <v/>
      </c>
      <c r="W1063" t="str">
        <v/>
      </c>
      <c r="X1063">
        <v>2</v>
      </c>
    </row>
    <row r="1064" spans="1:24">
      <c r="A1064" s="26">
        <v>1833</v>
      </c>
      <c r="B1064" s="87">
        <v>46247.665844907402</v>
      </c>
      <c r="C1064" s="87">
        <v>46247.666469907403</v>
      </c>
      <c r="D1064" t="str">
        <v>anónimo</v>
      </c>
      <c r="E1064" t="str">
        <v/>
      </c>
      <c r="F1064" s="68">
        <v>46247</v>
      </c>
      <c r="G1064" s="88">
        <v>46247</v>
      </c>
      <c r="H1064" t="str">
        <v>ANA VILLEGAS C/C</v>
      </c>
      <c r="I1064" t="str">
        <v>Martin solorio</v>
      </c>
      <c r="J1064" s="82">
        <v>53816320278</v>
      </c>
      <c r="K1064" t="str">
        <v/>
      </c>
      <c r="L1064" s="82">
        <v>23611282</v>
      </c>
      <c r="M1064" s="82">
        <v>5213541061042</v>
      </c>
      <c r="N1064" t="str">
        <v>NUEVO MAYOR</v>
      </c>
      <c r="O1064" s="89">
        <v>29342.57</v>
      </c>
      <c r="P1064" s="89" t="str">
        <v/>
      </c>
      <c r="Q1064" s="89">
        <v>8802.7709999999988</v>
      </c>
      <c r="R1064" s="89">
        <v>8802.7709999999988</v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>
        <v>1</v>
      </c>
    </row>
    <row r="1065" spans="1:24">
      <c r="A1065" s="26">
        <v>1834</v>
      </c>
      <c r="B1065" s="87">
        <v>46247.667129629597</v>
      </c>
      <c r="C1065" s="87">
        <v>46247.668379629598</v>
      </c>
      <c r="D1065" t="str">
        <v>anónimo</v>
      </c>
      <c r="E1065" t="str">
        <v/>
      </c>
      <c r="F1065" s="68">
        <v>46247</v>
      </c>
      <c r="G1065" s="88">
        <v>46247</v>
      </c>
      <c r="H1065" t="str">
        <v>LITZY MARTINEZ C/C</v>
      </c>
      <c r="I1065" t="str">
        <v xml:space="preserve">MARIBEL RODRIGUEZ EGUIA </v>
      </c>
      <c r="J1065" s="82" t="str">
        <v>43877165019</v>
      </c>
      <c r="K1065" t="str">
        <v>ROEM701220MNLDGR09</v>
      </c>
      <c r="L1065" s="82">
        <v>23611378</v>
      </c>
      <c r="M1065" s="82">
        <v>5218124226541</v>
      </c>
      <c r="N1065" t="str">
        <v>NUEVO MAYOR</v>
      </c>
      <c r="O1065" s="89">
        <v>8784.27</v>
      </c>
      <c r="P1065" s="89">
        <v>879</v>
      </c>
      <c r="Q1065" s="89">
        <v>2635.2809999999999</v>
      </c>
      <c r="R1065" s="89">
        <v>1756.2809999999999</v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>
        <v>1</v>
      </c>
    </row>
    <row r="1066" spans="1:24">
      <c r="A1066" s="26">
        <v>1836</v>
      </c>
      <c r="B1066" s="87">
        <v>46247.667824074102</v>
      </c>
      <c r="C1066" s="87">
        <v>46247.671435185199</v>
      </c>
      <c r="D1066" t="str">
        <v>anónimo</v>
      </c>
      <c r="E1066" t="str">
        <v/>
      </c>
      <c r="F1066" s="68">
        <v>46247</v>
      </c>
      <c r="G1066" s="88">
        <v>46247</v>
      </c>
      <c r="H1066" t="str">
        <v>KARINA MATA C/C</v>
      </c>
      <c r="I1066" t="str">
        <v>salvador lopez lopez</v>
      </c>
      <c r="J1066" s="82" t="str">
        <v/>
      </c>
      <c r="K1066" t="str">
        <v>LOLS610716HJCPPL00</v>
      </c>
      <c r="L1066" s="82">
        <v>23610388</v>
      </c>
      <c r="M1066" s="82">
        <v>3322636458</v>
      </c>
      <c r="N1066" t="str">
        <v>NUEVO MAYOR</v>
      </c>
      <c r="O1066" s="89">
        <v>45234.49</v>
      </c>
      <c r="P1066" s="89">
        <v>4474.13</v>
      </c>
      <c r="Q1066" s="89">
        <v>13570.347</v>
      </c>
      <c r="R1066" s="89">
        <v>9096.2170000000006</v>
      </c>
      <c r="S1066">
        <v>46419</v>
      </c>
      <c r="T1066" t="str">
        <v/>
      </c>
      <c r="U1066" t="str">
        <v/>
      </c>
      <c r="V1066" t="str">
        <v/>
      </c>
      <c r="W1066" t="str">
        <v/>
      </c>
      <c r="X1066">
        <v>2</v>
      </c>
    </row>
    <row r="1067" spans="1:24">
      <c r="A1067" s="26">
        <v>1838</v>
      </c>
      <c r="B1067" s="87">
        <v>46247.6901967593</v>
      </c>
      <c r="C1067" s="87">
        <v>46247.691261574102</v>
      </c>
      <c r="D1067" t="str">
        <v>anónimo</v>
      </c>
      <c r="E1067" t="str">
        <v/>
      </c>
      <c r="F1067" s="68">
        <v>46247</v>
      </c>
      <c r="G1067" s="88">
        <v>46247</v>
      </c>
      <c r="H1067" t="str">
        <v>DEYANIRA CORDOVA C/C</v>
      </c>
      <c r="I1067" t="str">
        <v xml:space="preserve"> JORGE LUIS </v>
      </c>
      <c r="J1067" s="82" t="str">
        <v/>
      </c>
      <c r="K1067" t="str">
        <v>CALJ640110HSLSVR04</v>
      </c>
      <c r="L1067" s="82">
        <v>23612002</v>
      </c>
      <c r="M1067" s="82">
        <v>5216671886378</v>
      </c>
      <c r="N1067" t="str">
        <v>NUEVO MENOR</v>
      </c>
      <c r="O1067" s="89">
        <v>9081.52</v>
      </c>
      <c r="P1067" s="89">
        <v>1795.79</v>
      </c>
      <c r="Q1067" s="89">
        <v>2724.4560000000001</v>
      </c>
      <c r="R1067" s="89">
        <v>928.66600000000017</v>
      </c>
      <c r="S1067">
        <v>46722</v>
      </c>
      <c r="T1067" t="str">
        <v/>
      </c>
      <c r="U1067" t="str">
        <v/>
      </c>
      <c r="V1067" t="str">
        <v/>
      </c>
      <c r="W1067" t="str">
        <v/>
      </c>
      <c r="X1067">
        <v>2</v>
      </c>
    </row>
    <row r="1068" spans="1:24">
      <c r="A1068" s="26">
        <v>1839</v>
      </c>
      <c r="B1068" s="87">
        <v>46247.338865740698</v>
      </c>
      <c r="C1068" s="87">
        <v>46247.693356481497</v>
      </c>
      <c r="D1068" t="str">
        <v>anónimo</v>
      </c>
      <c r="E1068" t="str">
        <v/>
      </c>
      <c r="F1068" s="68">
        <v>46247</v>
      </c>
      <c r="G1068" s="88">
        <v>46247</v>
      </c>
      <c r="H1068" t="str">
        <v>BEATRIZ DE LA CRUZ C/C</v>
      </c>
      <c r="I1068" t="str">
        <v>JOEL ESPINOZA YAUHTENTZI</v>
      </c>
      <c r="J1068" s="82" t="str">
        <v/>
      </c>
      <c r="K1068" t="str">
        <v>EIYJ591109HDFSHL03</v>
      </c>
      <c r="L1068" s="82">
        <v>23611026</v>
      </c>
      <c r="M1068" s="82">
        <v>4423273435</v>
      </c>
      <c r="N1068" t="str">
        <v>NUEVO MENOR</v>
      </c>
      <c r="O1068" s="89">
        <v>38171.03</v>
      </c>
      <c r="P1068" s="89">
        <v>10254.42</v>
      </c>
      <c r="Q1068" s="89">
        <v>11451.308999999999</v>
      </c>
      <c r="R1068" s="89">
        <v>1196.8889999999992</v>
      </c>
      <c r="S1068">
        <v>46569</v>
      </c>
      <c r="T1068" t="str">
        <v>CONSUPAGO</v>
      </c>
      <c r="U1068" t="str">
        <v/>
      </c>
      <c r="V1068" t="str">
        <v/>
      </c>
      <c r="W1068" t="str">
        <v/>
      </c>
      <c r="X1068">
        <v>2</v>
      </c>
    </row>
    <row r="1069" spans="1:24">
      <c r="A1069" s="26">
        <v>1840</v>
      </c>
      <c r="B1069" s="87">
        <v>46247.698194444398</v>
      </c>
      <c r="C1069" s="87">
        <v>46247.7000694444</v>
      </c>
      <c r="D1069" t="str">
        <v>anónimo</v>
      </c>
      <c r="E1069" t="str">
        <v/>
      </c>
      <c r="F1069" s="68">
        <v>46247</v>
      </c>
      <c r="G1069" s="88">
        <v>46246</v>
      </c>
      <c r="H1069" t="str">
        <v>ANA VILLEGAS C/C</v>
      </c>
      <c r="I1069" t="str">
        <v xml:space="preserve">maria luisa </v>
      </c>
      <c r="J1069" s="82">
        <v>21876852167</v>
      </c>
      <c r="K1069" t="str">
        <v>ROVL710104MBCDLS05</v>
      </c>
      <c r="L1069" s="82">
        <v>23578580</v>
      </c>
      <c r="M1069" s="82">
        <v>5216658452760</v>
      </c>
      <c r="N1069" t="str">
        <v>COMPRA MAYOR</v>
      </c>
      <c r="O1069" s="89">
        <v>36979.32</v>
      </c>
      <c r="P1069" s="89">
        <v>11077.78</v>
      </c>
      <c r="Q1069" s="89">
        <v>11093.796</v>
      </c>
      <c r="R1069" s="89">
        <v>16.015999999999622</v>
      </c>
      <c r="S1069">
        <v>45566</v>
      </c>
      <c r="T1069" t="str">
        <v/>
      </c>
      <c r="U1069" t="str">
        <v/>
      </c>
      <c r="V1069" t="str">
        <v/>
      </c>
      <c r="W1069" t="str">
        <v/>
      </c>
      <c r="X1069">
        <v>2</v>
      </c>
    </row>
    <row r="1070" spans="1:24">
      <c r="A1070" s="26">
        <v>1841</v>
      </c>
      <c r="B1070" s="87">
        <v>46247.711284722202</v>
      </c>
      <c r="C1070" s="87">
        <v>46247.711932870399</v>
      </c>
      <c r="D1070" t="str">
        <v>anónimo</v>
      </c>
      <c r="E1070" t="str">
        <v/>
      </c>
      <c r="F1070" s="68">
        <v>46247</v>
      </c>
      <c r="G1070" s="88">
        <v>46247</v>
      </c>
      <c r="H1070" t="str">
        <v>LITZY MARTINEZ C/C</v>
      </c>
      <c r="I1070" t="str">
        <v xml:space="preserve">maria eugenia garcia andrade </v>
      </c>
      <c r="J1070" s="82" t="str">
        <v>24866639255</v>
      </c>
      <c r="K1070" t="str">
        <v/>
      </c>
      <c r="L1070" s="82">
        <v>23611860</v>
      </c>
      <c r="M1070" s="82">
        <v>5216623277839</v>
      </c>
      <c r="N1070" t="str">
        <v>NUEVO MAYOR</v>
      </c>
      <c r="O1070" s="89">
        <v>12280.93</v>
      </c>
      <c r="P1070" s="89" t="str">
        <v/>
      </c>
      <c r="Q1070" s="89">
        <v>3684.279</v>
      </c>
      <c r="R1070" s="89">
        <v>3684.279</v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>
        <v>1</v>
      </c>
    </row>
    <row r="1071" spans="1:24">
      <c r="A1071" s="26">
        <v>1843</v>
      </c>
      <c r="B1071" s="87">
        <v>46247.697812500002</v>
      </c>
      <c r="C1071" s="87">
        <v>46247.713240740697</v>
      </c>
      <c r="D1071" t="str">
        <v>anónimo</v>
      </c>
      <c r="E1071" t="str">
        <v/>
      </c>
      <c r="F1071" s="68">
        <v>46247</v>
      </c>
      <c r="G1071" s="88">
        <v>46247</v>
      </c>
      <c r="H1071" t="str">
        <v>YAMILETH CARDONA EXT 2</v>
      </c>
      <c r="I1071" t="str">
        <v>GUILLERMO SANCHEZ JIMENEZ</v>
      </c>
      <c r="J1071" s="82" t="str">
        <v>06856504201</v>
      </c>
      <c r="K1071" t="str">
        <v>SAJG650602HDFNML08</v>
      </c>
      <c r="L1071" s="82">
        <v>2</v>
      </c>
      <c r="M1071" s="82">
        <v>5560989675</v>
      </c>
      <c r="N1071" t="str">
        <v>COMPRA MAYOR</v>
      </c>
      <c r="O1071" s="89">
        <v>6121.17</v>
      </c>
      <c r="P1071" s="89">
        <v>1835.44</v>
      </c>
      <c r="Q1071" s="89">
        <v>1836.3509999999999</v>
      </c>
      <c r="R1071" s="89">
        <v>0.91099999999983083</v>
      </c>
      <c r="S1071">
        <v>46204</v>
      </c>
      <c r="T1071" t="str">
        <v/>
      </c>
      <c r="U1071" t="str">
        <v/>
      </c>
      <c r="V1071" t="str">
        <v/>
      </c>
      <c r="W1071" t="str">
        <v/>
      </c>
      <c r="X1071">
        <v>2</v>
      </c>
    </row>
    <row r="1072" spans="1:24">
      <c r="A1072" s="26">
        <v>1853</v>
      </c>
      <c r="B1072" s="87">
        <v>46248.342118055603</v>
      </c>
      <c r="C1072" s="87">
        <v>46248.389756944402</v>
      </c>
      <c r="D1072" t="str">
        <v>anónimo</v>
      </c>
      <c r="E1072" t="str">
        <v/>
      </c>
      <c r="F1072" s="68">
        <v>46248</v>
      </c>
      <c r="G1072" s="88">
        <v>46247</v>
      </c>
      <c r="H1072" t="str">
        <v>PAOLA RODRIGUEZ C/C</v>
      </c>
      <c r="I1072" t="str">
        <v>Santiago Puente frías</v>
      </c>
      <c r="J1072" s="82">
        <v>32835308472</v>
      </c>
      <c r="K1072" t="str">
        <v/>
      </c>
      <c r="L1072" s="82">
        <v>23609982</v>
      </c>
      <c r="M1072" s="82">
        <v>8781087320</v>
      </c>
      <c r="N1072" t="str">
        <v>NUEVO MAYOR</v>
      </c>
      <c r="O1072" s="89">
        <v>10636.54</v>
      </c>
      <c r="P1072" s="89">
        <v>1787.06</v>
      </c>
      <c r="Q1072" s="89">
        <v>3190.962</v>
      </c>
      <c r="R1072" s="89">
        <v>1403.902</v>
      </c>
      <c r="S1072">
        <v>46935</v>
      </c>
      <c r="T1072" t="str">
        <v/>
      </c>
      <c r="U1072" t="str">
        <v/>
      </c>
      <c r="V1072" t="str">
        <v/>
      </c>
      <c r="W1072" t="str">
        <v/>
      </c>
      <c r="X1072">
        <v>2</v>
      </c>
    </row>
    <row r="1073" spans="1:24">
      <c r="A1073" s="26">
        <v>1858</v>
      </c>
      <c r="B1073" s="87">
        <v>46248.459351851903</v>
      </c>
      <c r="C1073" s="87">
        <v>46248.462881944397</v>
      </c>
      <c r="D1073" t="str">
        <v>anónimo</v>
      </c>
      <c r="E1073" t="str">
        <v/>
      </c>
      <c r="F1073" s="68">
        <v>46248</v>
      </c>
      <c r="G1073" s="88">
        <v>46247</v>
      </c>
      <c r="H1073" t="str">
        <v>ROSA CASTRO SUR</v>
      </c>
      <c r="I1073" t="str">
        <v>JAVIER REPER ALDANA</v>
      </c>
      <c r="J1073" s="82" t="str">
        <v/>
      </c>
      <c r="K1073" t="str">
        <v>REAJ591022HHGPLV05</v>
      </c>
      <c r="L1073" s="82">
        <v>23606704</v>
      </c>
      <c r="M1073" s="82">
        <v>5215630957888</v>
      </c>
      <c r="N1073" t="str">
        <v>NUEVO MAYOR</v>
      </c>
      <c r="O1073" s="89">
        <v>7920.51</v>
      </c>
      <c r="P1073" s="89" t="str">
        <v/>
      </c>
      <c r="Q1073" s="89">
        <v>2376.1529999999998</v>
      </c>
      <c r="R1073" s="89">
        <v>2376.1529999999998</v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>
        <v>1</v>
      </c>
    </row>
    <row r="1074" spans="1:24">
      <c r="A1074" s="26">
        <v>1862</v>
      </c>
      <c r="B1074" s="87">
        <v>46248.462893518503</v>
      </c>
      <c r="C1074" s="87">
        <v>46248.470092592601</v>
      </c>
      <c r="D1074" t="str">
        <v>anónimo</v>
      </c>
      <c r="E1074" t="str">
        <v/>
      </c>
      <c r="F1074" s="68">
        <v>46248</v>
      </c>
      <c r="G1074" s="88">
        <v>46247</v>
      </c>
      <c r="H1074" t="str">
        <v>ROSA CASTRO SUR</v>
      </c>
      <c r="I1074" t="str">
        <v xml:space="preserve">PATRICIA GONZALEZ JUAREZ </v>
      </c>
      <c r="J1074" s="82" t="str">
        <v/>
      </c>
      <c r="K1074" t="str">
        <v>GOJP630318MPLNRT04</v>
      </c>
      <c r="L1074" s="82">
        <v>23617218</v>
      </c>
      <c r="M1074" s="82">
        <v>5212216522058</v>
      </c>
      <c r="N1074" t="str">
        <v>NUEVO MENOR</v>
      </c>
      <c r="O1074" s="89">
        <v>43265.1</v>
      </c>
      <c r="P1074" s="89">
        <v>12512.09</v>
      </c>
      <c r="Q1074" s="89">
        <v>12979.529999999999</v>
      </c>
      <c r="R1074" s="89">
        <v>467.43999999999869</v>
      </c>
      <c r="S1074">
        <v>46478</v>
      </c>
      <c r="T1074" t="str">
        <v xml:space="preserve">OPCIPRES </v>
      </c>
      <c r="U1074" t="str">
        <v/>
      </c>
      <c r="V1074" t="str">
        <v/>
      </c>
      <c r="W1074" t="str">
        <v/>
      </c>
      <c r="X1074">
        <v>2</v>
      </c>
    </row>
    <row r="1075" spans="1:24">
      <c r="A1075" s="26">
        <v>1865</v>
      </c>
      <c r="B1075" s="87">
        <v>46247.457245370402</v>
      </c>
      <c r="C1075" s="87">
        <v>46248.492476851898</v>
      </c>
      <c r="D1075" t="str">
        <v>anónimo</v>
      </c>
      <c r="E1075" t="str">
        <v/>
      </c>
      <c r="F1075" s="68">
        <v>46248</v>
      </c>
      <c r="G1075" s="88">
        <v>46246</v>
      </c>
      <c r="H1075" t="str">
        <v>GUADALUPE BECERRA C/C</v>
      </c>
      <c r="I1075" t="str">
        <v>J. JESUS CERNA HERNANDEZ</v>
      </c>
      <c r="J1075" s="82" t="str">
        <v/>
      </c>
      <c r="K1075" t="str">
        <v>CEHJ621121HCMRRS06</v>
      </c>
      <c r="L1075" s="82">
        <v>23581466</v>
      </c>
      <c r="M1075" s="82">
        <v>5213121700271</v>
      </c>
      <c r="N1075" t="str">
        <v>NUEVO MAYOR</v>
      </c>
      <c r="O1075" s="89">
        <v>7116.73</v>
      </c>
      <c r="P1075" s="89" t="str">
        <v/>
      </c>
      <c r="Q1075" s="89">
        <v>2135.0189999999998</v>
      </c>
      <c r="R1075" s="89">
        <v>2135.0189999999998</v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>
        <v>1</v>
      </c>
    </row>
    <row r="1076" spans="1:24">
      <c r="A1076" s="26">
        <v>1867</v>
      </c>
      <c r="B1076" s="87">
        <v>46248.493946759299</v>
      </c>
      <c r="C1076" s="87">
        <v>46248.500775462999</v>
      </c>
      <c r="D1076" t="str">
        <v>anónimo</v>
      </c>
      <c r="E1076" t="str">
        <v/>
      </c>
      <c r="F1076" s="68">
        <v>46248</v>
      </c>
      <c r="G1076" s="88">
        <v>46248</v>
      </c>
      <c r="H1076" t="str">
        <v>LILIANA MARTINEZ SUR</v>
      </c>
      <c r="I1076" t="str">
        <v>JOSE ALFREDO EGUINO URBINA</v>
      </c>
      <c r="J1076" s="82">
        <v>23755626613</v>
      </c>
      <c r="K1076" t="str">
        <v>EUUA561101HSLGRL05</v>
      </c>
      <c r="L1076" s="82">
        <v>23623720</v>
      </c>
      <c r="M1076" s="82">
        <v>5216738523452</v>
      </c>
      <c r="N1076" t="str">
        <v>NUEVO MAYOR</v>
      </c>
      <c r="O1076" s="89">
        <v>29149.68</v>
      </c>
      <c r="P1076" s="89">
        <v>1949.39</v>
      </c>
      <c r="Q1076" s="89">
        <v>8744.9040000000005</v>
      </c>
      <c r="R1076" s="89">
        <v>6795.5140000000001</v>
      </c>
      <c r="S1076">
        <v>45992</v>
      </c>
      <c r="T1076" t="str">
        <v/>
      </c>
      <c r="U1076" t="str">
        <v/>
      </c>
      <c r="V1076" t="str">
        <v/>
      </c>
      <c r="W1076" t="str">
        <v/>
      </c>
      <c r="X1076">
        <v>2</v>
      </c>
    </row>
    <row r="1077" spans="1:24">
      <c r="A1077" s="26">
        <v>1868</v>
      </c>
      <c r="B1077" s="87">
        <v>46248.500219907401</v>
      </c>
      <c r="C1077" s="87">
        <v>46248.505046296297</v>
      </c>
      <c r="D1077" t="str">
        <v>anónimo</v>
      </c>
      <c r="E1077" t="str">
        <v/>
      </c>
      <c r="F1077" s="68">
        <v>46248</v>
      </c>
      <c r="G1077" s="88">
        <v>46248</v>
      </c>
      <c r="H1077" t="str">
        <v>LILIANA MARTINEZ SUR</v>
      </c>
      <c r="I1077" t="str">
        <v>JOSE RICARDO URROZ THOMPSON</v>
      </c>
      <c r="J1077" s="82">
        <v>54785201937</v>
      </c>
      <c r="K1077" t="str">
        <v>UOTR520924HSLRHC07</v>
      </c>
      <c r="L1077" s="82">
        <v>23630674</v>
      </c>
      <c r="M1077" s="82">
        <v>5213331901256</v>
      </c>
      <c r="N1077" t="str">
        <v>NUEVO MAYOR</v>
      </c>
      <c r="O1077" s="89">
        <v>43659.64</v>
      </c>
      <c r="P1077" s="89" t="str">
        <v/>
      </c>
      <c r="Q1077" s="89">
        <v>13097.892</v>
      </c>
      <c r="R1077" s="89">
        <v>13097.892</v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>
        <v>1</v>
      </c>
    </row>
    <row r="1078" spans="1:24">
      <c r="A1078" s="26">
        <v>1875</v>
      </c>
      <c r="B1078" s="87">
        <v>46248.498043981497</v>
      </c>
      <c r="C1078" s="87">
        <v>46248.548229166699</v>
      </c>
      <c r="D1078" t="str">
        <v>anónimo</v>
      </c>
      <c r="E1078" t="str">
        <v/>
      </c>
      <c r="F1078" s="68">
        <v>46248</v>
      </c>
      <c r="G1078" s="88">
        <v>46247</v>
      </c>
      <c r="H1078" t="str">
        <v>GIOVANNI MELGAR</v>
      </c>
      <c r="I1078" t="str">
        <v>FABRICIO TORIBIO FIGUEROA VEGA</v>
      </c>
      <c r="J1078" s="82" t="str">
        <v/>
      </c>
      <c r="K1078" t="str">
        <v>FIVF630328HSRGGB05</v>
      </c>
      <c r="L1078" s="82">
        <v>23616702</v>
      </c>
      <c r="M1078" s="82">
        <v>5216444999093</v>
      </c>
      <c r="N1078" t="str">
        <v>NUEVO MAYOR</v>
      </c>
      <c r="O1078" s="89">
        <v>9760.32</v>
      </c>
      <c r="P1078" s="89" t="str">
        <v/>
      </c>
      <c r="Q1078" s="89">
        <v>2928.096</v>
      </c>
      <c r="R1078" s="89">
        <v>2928.096</v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>
        <v>1</v>
      </c>
    </row>
    <row r="1079" spans="1:24">
      <c r="A1079" s="26">
        <v>1878</v>
      </c>
      <c r="B1079" s="87">
        <v>46248.598263888904</v>
      </c>
      <c r="C1079" s="87">
        <v>46248.5994907407</v>
      </c>
      <c r="D1079" t="str">
        <v>anónimo</v>
      </c>
      <c r="E1079" t="str">
        <v/>
      </c>
      <c r="F1079" s="68">
        <v>46248</v>
      </c>
      <c r="G1079" s="88">
        <v>46248</v>
      </c>
      <c r="H1079" t="str">
        <v>MAGALI MARTINEZ EXT 2</v>
      </c>
      <c r="I1079" t="str">
        <v>JOSE OLEGARIO NAVA LOYOLA</v>
      </c>
      <c r="J1079" s="82">
        <v>6795702361</v>
      </c>
      <c r="K1079" t="str">
        <v>NANO571001HSPVYL03</v>
      </c>
      <c r="L1079" s="82">
        <v>2</v>
      </c>
      <c r="M1079" s="82" t="str">
        <v>868 182 3011</v>
      </c>
      <c r="N1079" t="str">
        <v>COMPRA MAYOR</v>
      </c>
      <c r="O1079" s="89">
        <v>9081.52</v>
      </c>
      <c r="P1079" s="89">
        <v>2521.35</v>
      </c>
      <c r="Q1079" s="89">
        <v>2724.4560000000001</v>
      </c>
      <c r="R1079" s="89">
        <v>203.10600000000022</v>
      </c>
      <c r="S1079">
        <v>46204</v>
      </c>
      <c r="T1079" t="str">
        <v/>
      </c>
      <c r="U1079" t="str">
        <v/>
      </c>
      <c r="V1079" t="str">
        <v/>
      </c>
      <c r="W1079" t="str">
        <v/>
      </c>
      <c r="X1079">
        <v>2</v>
      </c>
    </row>
    <row r="1080" spans="1:24">
      <c r="A1080" s="26">
        <v>1880</v>
      </c>
      <c r="B1080" s="87">
        <v>46248.618206018502</v>
      </c>
      <c r="C1080" s="87">
        <v>46248.621921296297</v>
      </c>
      <c r="D1080" t="str">
        <v>anónimo</v>
      </c>
      <c r="E1080" t="str">
        <v/>
      </c>
      <c r="F1080" s="68">
        <v>46248</v>
      </c>
      <c r="G1080" s="88">
        <v>46248</v>
      </c>
      <c r="H1080" t="str">
        <v>LILIANA MARTINEZ SUR</v>
      </c>
      <c r="I1080" t="str">
        <v>ARTURO GUERRA BENITEZ</v>
      </c>
      <c r="J1080" s="82" t="str">
        <v/>
      </c>
      <c r="K1080" t="str">
        <v>GUBA600131HDFRNR02</v>
      </c>
      <c r="L1080" s="82">
        <v>23626314</v>
      </c>
      <c r="M1080" s="82">
        <v>5215580671631</v>
      </c>
      <c r="N1080" t="str">
        <v>COMPRA MAYOR</v>
      </c>
      <c r="O1080" s="89">
        <v>7920.51</v>
      </c>
      <c r="P1080" s="89">
        <v>2199.02</v>
      </c>
      <c r="Q1080" s="89">
        <v>2376.1529999999998</v>
      </c>
      <c r="R1080" s="89">
        <v>177.13299999999981</v>
      </c>
      <c r="S1080">
        <v>46082</v>
      </c>
      <c r="T1080" t="str">
        <v/>
      </c>
      <c r="U1080" t="str">
        <v/>
      </c>
      <c r="V1080" t="str">
        <v/>
      </c>
      <c r="W1080" t="str">
        <v/>
      </c>
      <c r="X1080">
        <v>2</v>
      </c>
    </row>
    <row r="1081" spans="1:24">
      <c r="A1081" s="26">
        <v>1886</v>
      </c>
      <c r="B1081" s="87">
        <v>46248.656365740702</v>
      </c>
      <c r="C1081" s="87">
        <v>46248.6573726852</v>
      </c>
      <c r="D1081" t="str">
        <v>anónimo</v>
      </c>
      <c r="E1081" t="str">
        <v/>
      </c>
      <c r="F1081" s="68">
        <v>46248</v>
      </c>
      <c r="G1081" s="88">
        <v>46248</v>
      </c>
      <c r="H1081" t="str">
        <v>BEATRIZ DE LA CRUZ C/C</v>
      </c>
      <c r="I1081" t="str">
        <v>EZEQUIEL ARTURO MENESES CARRO</v>
      </c>
      <c r="J1081" s="82" t="str">
        <v/>
      </c>
      <c r="K1081" t="str">
        <v>MECE581011HDFNRZ07</v>
      </c>
      <c r="L1081" s="82">
        <v>23642152</v>
      </c>
      <c r="M1081" s="82">
        <v>5526896630</v>
      </c>
      <c r="N1081" t="str">
        <v>NUEVO MAYOR</v>
      </c>
      <c r="O1081" s="89">
        <v>9760.32</v>
      </c>
      <c r="P1081" s="89" t="str">
        <v/>
      </c>
      <c r="Q1081" s="89">
        <v>2928.096</v>
      </c>
      <c r="R1081" s="89">
        <v>2928.096</v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>
        <v>1</v>
      </c>
    </row>
    <row r="1082" spans="1:24">
      <c r="A1082" s="26">
        <v>1889</v>
      </c>
      <c r="B1082" s="87">
        <v>46248.698634259301</v>
      </c>
      <c r="C1082" s="87">
        <v>46248.7008333333</v>
      </c>
      <c r="D1082" t="str">
        <v>anónimo</v>
      </c>
      <c r="E1082" t="str">
        <v/>
      </c>
      <c r="F1082" s="68">
        <v>46248</v>
      </c>
      <c r="G1082" s="88">
        <v>46244</v>
      </c>
      <c r="H1082" t="str">
        <v>DEYANIRA CORDOVA C/C</v>
      </c>
      <c r="I1082" t="str">
        <v>REYNALDO</v>
      </c>
      <c r="J1082" s="82">
        <v>24786215252</v>
      </c>
      <c r="K1082" t="str">
        <v/>
      </c>
      <c r="L1082" s="82">
        <v>23516552</v>
      </c>
      <c r="M1082" s="82">
        <v>5216471278749</v>
      </c>
      <c r="N1082" t="str">
        <v>NUEVO MAYOR</v>
      </c>
      <c r="O1082" s="89">
        <v>18495.57</v>
      </c>
      <c r="P1082" s="89" t="str">
        <v/>
      </c>
      <c r="Q1082" s="89">
        <v>5548.6709999999994</v>
      </c>
      <c r="R1082" s="89">
        <v>5548.6709999999994</v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>
        <v>1</v>
      </c>
    </row>
    <row r="1083" spans="1:24">
      <c r="A1083" s="26">
        <v>1890</v>
      </c>
      <c r="B1083" s="87">
        <v>46248.712662037004</v>
      </c>
      <c r="C1083" s="87">
        <v>46248.723124999997</v>
      </c>
      <c r="D1083" t="str">
        <v>anónimo</v>
      </c>
      <c r="E1083" t="str">
        <v/>
      </c>
      <c r="F1083" s="68">
        <v>46248</v>
      </c>
      <c r="G1083" s="88">
        <v>46248</v>
      </c>
      <c r="H1083" t="str">
        <v>LILIANA MARTINEZ SUR</v>
      </c>
      <c r="I1083" t="str">
        <v>AIDA SOLEDAD TERAN BALLESTEROS</v>
      </c>
      <c r="J1083" s="82" t="str">
        <v xml:space="preserve"> 24775604853</v>
      </c>
      <c r="K1083" t="str">
        <v>TEBA560220MSRRLD06</v>
      </c>
      <c r="L1083" s="82">
        <v>23640602</v>
      </c>
      <c r="M1083" s="82">
        <v>5216643345747</v>
      </c>
      <c r="N1083" t="str">
        <v>NUEVO MAYOR</v>
      </c>
      <c r="O1083" s="89">
        <v>9826.06</v>
      </c>
      <c r="P1083" s="89" t="str">
        <v/>
      </c>
      <c r="Q1083" s="89">
        <v>2947.8179999999998</v>
      </c>
      <c r="R1083" s="89">
        <v>2947.8179999999998</v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>
        <v>1</v>
      </c>
    </row>
    <row r="1084" spans="1:24">
      <c r="A1084" s="26">
        <v>1891</v>
      </c>
      <c r="B1084" s="87">
        <v>46248.645405092597</v>
      </c>
      <c r="C1084" s="87">
        <v>46248.723333333299</v>
      </c>
      <c r="D1084" t="str">
        <v>anónimo</v>
      </c>
      <c r="E1084" t="str">
        <v/>
      </c>
      <c r="F1084" s="68">
        <v>46248</v>
      </c>
      <c r="G1084" s="88">
        <v>46246</v>
      </c>
      <c r="H1084" t="str">
        <v>GUADALUPE BECERRA C/C</v>
      </c>
      <c r="I1084" t="str">
        <v>EMMA GONZALEZ HERNANDEZ</v>
      </c>
      <c r="J1084" s="82" t="str">
        <v/>
      </c>
      <c r="K1084" t="str">
        <v>GOHE580604MCLNRM00</v>
      </c>
      <c r="L1084" s="82">
        <v>23581682</v>
      </c>
      <c r="M1084" s="82">
        <v>5218121470128</v>
      </c>
      <c r="N1084" t="str">
        <v>NUEVO MAYOR</v>
      </c>
      <c r="O1084" s="89">
        <v>9760.32</v>
      </c>
      <c r="P1084" s="89" t="str">
        <v/>
      </c>
      <c r="Q1084" s="89">
        <v>2928.096</v>
      </c>
      <c r="R1084" s="89">
        <v>2928.096</v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>
        <v>1</v>
      </c>
    </row>
    <row r="1085" spans="1:24">
      <c r="A1085" s="26">
        <v>1896</v>
      </c>
      <c r="B1085" s="87">
        <v>46248.784502314797</v>
      </c>
      <c r="C1085" s="87">
        <v>46248.785150463002</v>
      </c>
      <c r="D1085" t="str">
        <v>anónimo</v>
      </c>
      <c r="E1085" t="str">
        <v/>
      </c>
      <c r="F1085" s="68">
        <v>46248</v>
      </c>
      <c r="G1085" s="88">
        <v>46240</v>
      </c>
      <c r="H1085" t="str">
        <v>LITZY MARTINEZ C/C</v>
      </c>
      <c r="I1085" t="str">
        <v xml:space="preserve">JUAN FRANCISCO CHAVEZ AYALA </v>
      </c>
      <c r="J1085" s="82" t="str">
        <v>12856502336</v>
      </c>
      <c r="K1085" t="str">
        <v/>
      </c>
      <c r="L1085" s="82">
        <v>23426032</v>
      </c>
      <c r="M1085" s="82">
        <v>4777273245</v>
      </c>
      <c r="N1085" t="str">
        <v>NUEVO MAYOR</v>
      </c>
      <c r="O1085" s="89">
        <v>10003.799999999999</v>
      </c>
      <c r="P1085" s="89" t="str">
        <v/>
      </c>
      <c r="Q1085" s="89">
        <v>3001.14</v>
      </c>
      <c r="R1085" s="89">
        <v>3001.14</v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>
        <v>1</v>
      </c>
    </row>
    <row r="1086" spans="1:24">
      <c r="A1086" s="26">
        <v>1897</v>
      </c>
      <c r="B1086" s="87">
        <v>46248.790208333303</v>
      </c>
      <c r="C1086" s="87">
        <v>46248.791342592602</v>
      </c>
      <c r="D1086" t="str">
        <v>anónimo</v>
      </c>
      <c r="E1086" t="str">
        <v/>
      </c>
      <c r="F1086" s="68">
        <v>46248</v>
      </c>
      <c r="G1086" s="88">
        <v>46233</v>
      </c>
      <c r="H1086" t="str">
        <v>DULCE FRANCO C/C</v>
      </c>
      <c r="I1086" t="str">
        <v>IGNACIO ZAVALA LOPEZ</v>
      </c>
      <c r="J1086" s="82" t="str">
        <v/>
      </c>
      <c r="K1086" t="str">
        <v>ZALI500801HGTVPG09</v>
      </c>
      <c r="L1086" s="82">
        <v>23233854</v>
      </c>
      <c r="M1086" s="82">
        <v>4121001079</v>
      </c>
      <c r="N1086" t="str">
        <v>NUEVO MENOR</v>
      </c>
      <c r="O1086" s="89">
        <v>5223.3100000000004</v>
      </c>
      <c r="P1086" s="89" t="str">
        <v/>
      </c>
      <c r="Q1086" s="89">
        <v>1566.9930000000002</v>
      </c>
      <c r="R1086" s="89">
        <v>1050.3300000000008</v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>
        <v>1</v>
      </c>
    </row>
    <row r="1087" spans="1:24">
      <c r="A1087" s="26">
        <v>1900</v>
      </c>
      <c r="B1087" s="87">
        <v>46248.7726273148</v>
      </c>
      <c r="C1087" s="87">
        <v>46248.7962037037</v>
      </c>
      <c r="D1087" t="str">
        <v>anónimo</v>
      </c>
      <c r="E1087" t="str">
        <v/>
      </c>
      <c r="F1087" s="68">
        <v>46248</v>
      </c>
      <c r="G1087" s="88">
        <v>46248</v>
      </c>
      <c r="H1087" t="str">
        <v>PAOLA RODRIGUEZ C/C</v>
      </c>
      <c r="I1087" t="str">
        <v>Celestino Martinez</v>
      </c>
      <c r="J1087" s="82" t="str">
        <v>01776024919</v>
      </c>
      <c r="K1087" t="str">
        <v/>
      </c>
      <c r="L1087" s="82">
        <v>23643306</v>
      </c>
      <c r="M1087" s="82">
        <v>1776024919</v>
      </c>
      <c r="N1087" t="str">
        <v>NUEVO MAYOR</v>
      </c>
      <c r="O1087" s="89">
        <v>10608.32</v>
      </c>
      <c r="P1087" s="89">
        <v>848</v>
      </c>
      <c r="Q1087" s="89">
        <v>3182.4959999999996</v>
      </c>
      <c r="R1087" s="89">
        <v>2334.4959999999996</v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>
        <v>1</v>
      </c>
    </row>
    <row r="1088" spans="1:24">
      <c r="A1088" s="26">
        <v>1903</v>
      </c>
      <c r="B1088" s="87">
        <v>46249.363842592596</v>
      </c>
      <c r="C1088" s="87">
        <v>46249.370300925897</v>
      </c>
      <c r="D1088" t="str">
        <v>anónimo</v>
      </c>
      <c r="E1088" t="str">
        <v/>
      </c>
      <c r="F1088" s="68">
        <v>46249</v>
      </c>
      <c r="G1088" s="88">
        <v>46248</v>
      </c>
      <c r="H1088" t="str">
        <v>MAYTE NAVARRO C/C</v>
      </c>
      <c r="I1088" t="str">
        <v>VICTOR MANUELSANCHEZ YAÑEZ</v>
      </c>
      <c r="J1088" s="82">
        <v>19786042317</v>
      </c>
      <c r="K1088" t="str">
        <v>SAYV600603HDFNXC07</v>
      </c>
      <c r="L1088" s="82">
        <v>23639068</v>
      </c>
      <c r="M1088" s="82">
        <v>6566441066</v>
      </c>
      <c r="N1088" t="str">
        <v>COMPRA MENOR</v>
      </c>
      <c r="O1088" s="89">
        <v>4813.6899999999996</v>
      </c>
      <c r="P1088" s="89">
        <v>745.71</v>
      </c>
      <c r="Q1088" s="89">
        <v>1444.1069999999997</v>
      </c>
      <c r="R1088" s="89">
        <v>-105</v>
      </c>
      <c r="S1088">
        <v>45352</v>
      </c>
      <c r="T1088" t="str">
        <v/>
      </c>
      <c r="U1088" t="str">
        <v/>
      </c>
      <c r="V1088" t="str">
        <v/>
      </c>
      <c r="W1088" t="str">
        <v/>
      </c>
      <c r="X1088">
        <v>2</v>
      </c>
    </row>
    <row r="1089" spans="1:24">
      <c r="A1089" s="26">
        <v>1904</v>
      </c>
      <c r="B1089" s="87">
        <v>46249.400497685201</v>
      </c>
      <c r="C1089" s="87">
        <v>46249.401574074102</v>
      </c>
      <c r="D1089" t="str">
        <v>anónimo</v>
      </c>
      <c r="E1089" t="str">
        <v/>
      </c>
      <c r="F1089" s="68">
        <v>46249</v>
      </c>
      <c r="G1089" s="88">
        <v>46249</v>
      </c>
      <c r="H1089" t="str">
        <v>KARINA MATA C/C</v>
      </c>
      <c r="I1089" t="str">
        <v>RAYMUNDO ELOY ZARATE HERNANDEZ</v>
      </c>
      <c r="J1089" s="82" t="str">
        <v/>
      </c>
      <c r="K1089" t="str">
        <v>ZAHR650704HOCRRY08</v>
      </c>
      <c r="L1089" s="82">
        <v>23654202</v>
      </c>
      <c r="M1089" s="82">
        <v>9511955382</v>
      </c>
      <c r="N1089" t="str">
        <v>NUEVO MAYOR</v>
      </c>
      <c r="O1089" s="89">
        <v>9760.32</v>
      </c>
      <c r="P1089" s="89" t="str">
        <v/>
      </c>
      <c r="Q1089" s="89">
        <v>2928.096</v>
      </c>
      <c r="R1089" s="89">
        <v>2928.096</v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>
        <v>1</v>
      </c>
    </row>
    <row r="1090" spans="1:24">
      <c r="A1090" s="26">
        <v>1907</v>
      </c>
      <c r="B1090" s="87">
        <v>46249.408402777801</v>
      </c>
      <c r="C1090" s="87">
        <v>46249.418680555602</v>
      </c>
      <c r="D1090" t="str">
        <v>anónimo</v>
      </c>
      <c r="E1090" t="str">
        <v/>
      </c>
      <c r="F1090" s="68">
        <v>46249</v>
      </c>
      <c r="G1090" s="88">
        <v>46249</v>
      </c>
      <c r="H1090" t="str">
        <v>LITZY MARTINEZ C/C</v>
      </c>
      <c r="I1090" t="str">
        <v xml:space="preserve">Alvaro villalobos avelino </v>
      </c>
      <c r="J1090" s="82" t="str">
        <v>31685117090</v>
      </c>
      <c r="K1090" t="str">
        <v/>
      </c>
      <c r="L1090" s="82">
        <v>23654046</v>
      </c>
      <c r="M1090" s="82">
        <v>8718875940</v>
      </c>
      <c r="N1090" t="str">
        <v>NUEVO MENOR</v>
      </c>
      <c r="O1090" s="89">
        <v>7920.51</v>
      </c>
      <c r="P1090" s="89">
        <v>1441.51</v>
      </c>
      <c r="Q1090" s="89">
        <v>2376.1529999999998</v>
      </c>
      <c r="R1090" s="89">
        <v>934.6429999999998</v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>
        <v>1</v>
      </c>
    </row>
    <row r="1091" spans="1:24">
      <c r="A1091" s="26">
        <v>1910</v>
      </c>
      <c r="B1091" s="87">
        <v>46249.387395833299</v>
      </c>
      <c r="C1091" s="87">
        <v>46249.450659722199</v>
      </c>
      <c r="D1091" t="str">
        <v>anónimo</v>
      </c>
      <c r="E1091" t="str">
        <v/>
      </c>
      <c r="F1091" s="68">
        <v>46249</v>
      </c>
      <c r="G1091" s="88">
        <v>46246</v>
      </c>
      <c r="H1091" t="str">
        <v>GIOVANNI MELGAR</v>
      </c>
      <c r="I1091" t="str">
        <v>CARLOS MARTIN MEZA MORA</v>
      </c>
      <c r="J1091" s="82" t="str">
        <v/>
      </c>
      <c r="K1091" t="str">
        <v>MEMC650407HNTZRR05</v>
      </c>
      <c r="L1091" s="82">
        <v>23582938</v>
      </c>
      <c r="M1091" s="82">
        <v>5213322576340</v>
      </c>
      <c r="N1091" t="str">
        <v>NUEVO MAYOR</v>
      </c>
      <c r="O1091" s="89">
        <v>11029.03</v>
      </c>
      <c r="P1091" s="89" t="str">
        <v/>
      </c>
      <c r="Q1091" s="89">
        <v>3308.7090000000003</v>
      </c>
      <c r="R1091" s="89">
        <v>3308.7090000000003</v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>
        <v>1</v>
      </c>
    </row>
    <row r="1092" spans="1:24">
      <c r="A1092" s="26">
        <v>1911</v>
      </c>
      <c r="B1092" s="87">
        <v>46249.450937499998</v>
      </c>
      <c r="C1092" s="87">
        <v>46249.4519560185</v>
      </c>
      <c r="D1092" t="str">
        <v>anónimo</v>
      </c>
      <c r="E1092" t="str">
        <v/>
      </c>
      <c r="F1092" s="68">
        <v>46249</v>
      </c>
      <c r="G1092" s="88">
        <v>46249</v>
      </c>
      <c r="H1092" t="str">
        <v>DEYANIRA CORDOVA C/C</v>
      </c>
      <c r="I1092" t="str">
        <v/>
      </c>
      <c r="J1092" s="82">
        <v>88856802611</v>
      </c>
      <c r="K1092" t="str">
        <v/>
      </c>
      <c r="L1092" s="82">
        <v>23649164</v>
      </c>
      <c r="M1092" s="82">
        <v>5215512901848</v>
      </c>
      <c r="N1092" t="str">
        <v>NUEVO MAYOR</v>
      </c>
      <c r="O1092" s="89">
        <v>7135.6</v>
      </c>
      <c r="P1092" s="89">
        <v>879</v>
      </c>
      <c r="Q1092" s="89">
        <v>2140.6799999999998</v>
      </c>
      <c r="R1092" s="89">
        <v>1261.6799999999998</v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>
        <v>1</v>
      </c>
    </row>
    <row r="1093" spans="1:24">
      <c r="A1093" s="26">
        <v>1912</v>
      </c>
      <c r="B1093" s="87">
        <v>46249.4514583333</v>
      </c>
      <c r="C1093" s="87">
        <v>46249.454305555599</v>
      </c>
      <c r="D1093" t="str">
        <v>anónimo</v>
      </c>
      <c r="E1093" t="str">
        <v/>
      </c>
      <c r="F1093" s="68">
        <v>46249</v>
      </c>
      <c r="G1093" s="88">
        <v>46249</v>
      </c>
      <c r="H1093" t="str">
        <v>MAYTE NAVARRO C/C</v>
      </c>
      <c r="I1093" t="str">
        <v>PATRICIA OSEGUERA RAMIREZ</v>
      </c>
      <c r="J1093" s="82" t="str">
        <v/>
      </c>
      <c r="K1093" t="str">
        <v>OERP610515MMNSMT06</v>
      </c>
      <c r="L1093" s="82">
        <v>23655368</v>
      </c>
      <c r="M1093" s="82">
        <v>3322692906</v>
      </c>
      <c r="N1093" t="str">
        <v>RESTRINGIDA</v>
      </c>
      <c r="O1093" s="89">
        <v>7116.73</v>
      </c>
      <c r="P1093" s="89">
        <v>1974.98</v>
      </c>
      <c r="Q1093" s="89">
        <v>2135.0189999999998</v>
      </c>
      <c r="R1093" s="89">
        <v>160.03899999999976</v>
      </c>
      <c r="S1093">
        <v>46174</v>
      </c>
      <c r="T1093" t="str">
        <v>OPCIPRES</v>
      </c>
      <c r="U1093" t="str">
        <v/>
      </c>
      <c r="V1093" t="str">
        <v/>
      </c>
      <c r="W1093" t="str">
        <v/>
      </c>
      <c r="X1093">
        <v>2</v>
      </c>
    </row>
    <row r="1094" spans="1:24">
      <c r="A1094" s="26">
        <v>1913</v>
      </c>
      <c r="B1094" s="87">
        <v>46249.342812499999</v>
      </c>
      <c r="C1094" s="87">
        <v>46249.4547453704</v>
      </c>
      <c r="D1094" t="str">
        <v>anónimo</v>
      </c>
      <c r="E1094" t="str">
        <v/>
      </c>
      <c r="F1094" s="68">
        <v>46249</v>
      </c>
      <c r="G1094" s="88">
        <v>46248</v>
      </c>
      <c r="H1094" t="str">
        <v>BEATRIZ DE LA CRUZ C/C</v>
      </c>
      <c r="I1094" t="str">
        <v>IRASEMA CHELIUS FERREIRO</v>
      </c>
      <c r="J1094" s="82" t="str">
        <v/>
      </c>
      <c r="K1094" t="str">
        <v>CEFI601126MSLHRR09</v>
      </c>
      <c r="L1094" s="82">
        <v>23642682</v>
      </c>
      <c r="M1094" s="82">
        <v>6692378325</v>
      </c>
      <c r="N1094" t="str">
        <v>NUEVO MAYOR</v>
      </c>
      <c r="O1094" s="89">
        <v>5617.63</v>
      </c>
      <c r="P1094" s="89" t="str">
        <v/>
      </c>
      <c r="Q1094" s="89">
        <v>1685.289</v>
      </c>
      <c r="R1094" s="89">
        <v>1444.6500000000005</v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>
        <v>1</v>
      </c>
    </row>
    <row r="1095" spans="1:24">
      <c r="A1095" s="26">
        <v>1914</v>
      </c>
      <c r="B1095" s="87">
        <v>46249.457268518498</v>
      </c>
      <c r="C1095" s="87">
        <v>46249.462326388901</v>
      </c>
      <c r="D1095" t="str">
        <v>anónimo</v>
      </c>
      <c r="E1095" t="str">
        <v/>
      </c>
      <c r="F1095" s="68">
        <v>46249</v>
      </c>
      <c r="G1095" s="88">
        <v>46247</v>
      </c>
      <c r="H1095" t="str">
        <v>LILIANA MARTINEZ SUR</v>
      </c>
      <c r="I1095" t="str">
        <v xml:space="preserve">LUCIANO RODRIGUEZ RAMOS </v>
      </c>
      <c r="J1095" s="82" t="str">
        <v/>
      </c>
      <c r="K1095" t="str">
        <v>RORL490107HMCDMC00</v>
      </c>
      <c r="L1095" s="82">
        <v>23618202</v>
      </c>
      <c r="M1095" s="82">
        <v>5215564303042</v>
      </c>
      <c r="N1095" t="str">
        <v>NUEVO MAYOR</v>
      </c>
      <c r="O1095" s="89">
        <v>20827.88</v>
      </c>
      <c r="P1095" s="89" t="str">
        <v/>
      </c>
      <c r="Q1095" s="89">
        <v>6248.3640000000005</v>
      </c>
      <c r="R1095" s="89">
        <v>6248.3640000000005</v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>
        <v>1</v>
      </c>
    </row>
    <row r="1096" spans="1:24">
      <c r="A1096" s="26">
        <v>1915</v>
      </c>
      <c r="B1096" s="87">
        <v>46249.421747685199</v>
      </c>
      <c r="C1096" s="87">
        <v>46249.4633217593</v>
      </c>
      <c r="D1096" t="str">
        <v>anónimo</v>
      </c>
      <c r="E1096" t="str">
        <v/>
      </c>
      <c r="F1096" s="68">
        <v>46249</v>
      </c>
      <c r="G1096" s="88">
        <v>46249</v>
      </c>
      <c r="H1096" t="str">
        <v>LITZY MARTINEZ C/C</v>
      </c>
      <c r="I1096" t="str">
        <v xml:space="preserve">arturo miraflores camacho </v>
      </c>
      <c r="J1096" s="82" t="str">
        <v>17805920141</v>
      </c>
      <c r="K1096" t="str">
        <v/>
      </c>
      <c r="L1096" s="82">
        <v>23653400</v>
      </c>
      <c r="M1096" s="82">
        <v>5215548062565</v>
      </c>
      <c r="N1096" t="str">
        <v>NUEVO MAYOR</v>
      </c>
      <c r="O1096" s="89">
        <v>11182.26</v>
      </c>
      <c r="P1096" s="89" t="str">
        <v/>
      </c>
      <c r="Q1096" s="89">
        <v>3354.6779999999999</v>
      </c>
      <c r="R1096" s="89">
        <v>3354.6779999999999</v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>
        <v>1</v>
      </c>
    </row>
    <row r="1097" spans="1:24">
      <c r="A1097" s="26">
        <v>1927</v>
      </c>
      <c r="B1097" s="87">
        <v>46249.551435185203</v>
      </c>
      <c r="C1097" s="87">
        <v>46249.554004629601</v>
      </c>
      <c r="D1097" t="str">
        <v>anónimo</v>
      </c>
      <c r="E1097" t="str">
        <v/>
      </c>
      <c r="F1097" s="68">
        <v>46249</v>
      </c>
      <c r="G1097" s="88">
        <v>46248</v>
      </c>
      <c r="H1097" t="str">
        <v>MAYTE NAVARRO C/C</v>
      </c>
      <c r="I1097" t="str">
        <v>MARIA DEL CARMEN GUTU SANTIAGO</v>
      </c>
      <c r="J1097" s="82" t="str">
        <v>11806216492</v>
      </c>
      <c r="K1097" t="str">
        <v>GUSC620109MDFTNR06</v>
      </c>
      <c r="L1097" s="82">
        <v>23641594</v>
      </c>
      <c r="M1097" s="82">
        <v>5548579013</v>
      </c>
      <c r="N1097" t="str">
        <v>NUEVO MAYOR</v>
      </c>
      <c r="O1097" s="89">
        <v>7920.51</v>
      </c>
      <c r="P1097" s="89" t="str">
        <v/>
      </c>
      <c r="Q1097" s="89">
        <v>2376.1529999999998</v>
      </c>
      <c r="R1097" s="89">
        <v>2376.1529999999998</v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>
        <v>1</v>
      </c>
    </row>
    <row r="1098" spans="1:24">
      <c r="A1098" s="26">
        <v>1928</v>
      </c>
      <c r="B1098" s="87">
        <v>46249.555324074099</v>
      </c>
      <c r="C1098" s="87">
        <v>46249.557141203702</v>
      </c>
      <c r="D1098" t="str">
        <v>anónimo</v>
      </c>
      <c r="E1098" t="str">
        <v/>
      </c>
      <c r="F1098" s="68">
        <v>46249</v>
      </c>
      <c r="G1098" s="88">
        <v>46249</v>
      </c>
      <c r="H1098" t="str">
        <v>KARINA MATA C/C</v>
      </c>
      <c r="I1098" t="str">
        <v>SERGIO DURAN LOPEZ</v>
      </c>
      <c r="J1098" s="82" t="str">
        <v/>
      </c>
      <c r="K1098" t="str">
        <v>DULS460923HGTRPR02</v>
      </c>
      <c r="L1098" s="82">
        <v>23657380</v>
      </c>
      <c r="M1098" s="82">
        <v>4422659996</v>
      </c>
      <c r="N1098" t="str">
        <v>NUEVO MAYOR</v>
      </c>
      <c r="O1098" s="89">
        <v>13870</v>
      </c>
      <c r="P1098" s="89" t="str">
        <v/>
      </c>
      <c r="Q1098" s="89">
        <v>4161</v>
      </c>
      <c r="R1098" s="89">
        <v>4161</v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>
        <v>1</v>
      </c>
    </row>
    <row r="1099" spans="1:24">
      <c r="A1099" s="26">
        <v>1930</v>
      </c>
      <c r="B1099" s="87">
        <v>46249.582766203697</v>
      </c>
      <c r="C1099" s="87">
        <v>46249.583877314799</v>
      </c>
      <c r="D1099" t="str">
        <v>anónimo</v>
      </c>
      <c r="E1099" t="str">
        <v/>
      </c>
      <c r="F1099" s="68">
        <v>46249</v>
      </c>
      <c r="G1099" s="88">
        <v>46248</v>
      </c>
      <c r="H1099" t="str">
        <v>CARRANZA SARDINA C/C</v>
      </c>
      <c r="I1099" t="str">
        <v>Leticia Gutierrez Partida</v>
      </c>
      <c r="J1099" s="82" t="str">
        <v/>
      </c>
      <c r="K1099" t="str">
        <v>GUPL670315MJCTRT08</v>
      </c>
      <c r="L1099" s="82">
        <v>23657474</v>
      </c>
      <c r="M1099" s="82">
        <v>3333767643</v>
      </c>
      <c r="N1099" t="str">
        <v>NUEVO MENOR</v>
      </c>
      <c r="O1099" s="89">
        <v>5642.22</v>
      </c>
      <c r="P1099" s="89">
        <v>848</v>
      </c>
      <c r="Q1099" s="89">
        <v>1692.6659999999999</v>
      </c>
      <c r="R1099" s="89">
        <v>621.24000000000069</v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>
        <v>1</v>
      </c>
    </row>
    <row r="1100" spans="1:24">
      <c r="A1100" s="26">
        <v>1932</v>
      </c>
      <c r="B1100" s="87">
        <v>46249.605370370402</v>
      </c>
      <c r="C1100" s="87">
        <v>46249.606747685197</v>
      </c>
      <c r="D1100" t="str">
        <v>anónimo</v>
      </c>
      <c r="E1100" t="str">
        <v/>
      </c>
      <c r="F1100" s="68">
        <v>46249</v>
      </c>
      <c r="G1100" s="88">
        <v>46248</v>
      </c>
      <c r="H1100" t="str">
        <v>CARRANZA SARDINA C/C</v>
      </c>
      <c r="I1100" t="str">
        <v>Gilberto Vazquez Vega</v>
      </c>
      <c r="J1100" s="82">
        <v>37897043479</v>
      </c>
      <c r="K1100" t="str">
        <v>VAVG700722HDFZGL05</v>
      </c>
      <c r="L1100" s="82">
        <v>23655978</v>
      </c>
      <c r="M1100" s="82">
        <v>5564529006</v>
      </c>
      <c r="N1100" t="str">
        <v>NUEVO MENOR</v>
      </c>
      <c r="O1100" s="89">
        <v>24572.71</v>
      </c>
      <c r="P1100" s="89">
        <v>6286.5</v>
      </c>
      <c r="Q1100" s="89">
        <v>7371.8129999999992</v>
      </c>
      <c r="R1100" s="89">
        <v>1085.3129999999992</v>
      </c>
      <c r="S1100">
        <v>46419</v>
      </c>
      <c r="T1100" t="str">
        <v/>
      </c>
      <c r="U1100" t="str">
        <v/>
      </c>
      <c r="V1100" t="str">
        <v/>
      </c>
      <c r="W1100" t="str">
        <v/>
      </c>
      <c r="X1100">
        <v>2</v>
      </c>
    </row>
    <row r="1101" spans="1:24">
      <c r="A1101" s="26">
        <v>1934</v>
      </c>
      <c r="B1101" s="87">
        <v>46249.610509259299</v>
      </c>
      <c r="C1101" s="87">
        <v>46249.614432870403</v>
      </c>
      <c r="D1101" t="str">
        <v>anónimo</v>
      </c>
      <c r="E1101" t="str">
        <v/>
      </c>
      <c r="F1101" s="68">
        <v>46249</v>
      </c>
      <c r="G1101" s="88">
        <v>46248</v>
      </c>
      <c r="H1101" t="str">
        <v>BEATRIZ DE LA CRUZ C/C</v>
      </c>
      <c r="I1101" t="str">
        <v>GUADALUPE SARA YAZMIN GARCIA JAIMES</v>
      </c>
      <c r="J1101" s="82" t="str">
        <v/>
      </c>
      <c r="K1101" t="str">
        <v>GAJG630406MDFRMD03</v>
      </c>
      <c r="L1101" s="82">
        <v>23642152</v>
      </c>
      <c r="M1101" s="82">
        <v>5526896630</v>
      </c>
      <c r="N1101" t="str">
        <v>NUEVO MAYOR</v>
      </c>
      <c r="O1101" s="89">
        <v>8427.4</v>
      </c>
      <c r="P1101" s="89" t="str">
        <v/>
      </c>
      <c r="Q1101" s="89">
        <v>2528.2199999999998</v>
      </c>
      <c r="R1101" s="89">
        <v>2528.2199999999998</v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>
        <v>1</v>
      </c>
    </row>
    <row r="1102" spans="1:24">
      <c r="A1102" s="26">
        <v>1936</v>
      </c>
      <c r="B1102" s="87">
        <v>46249.551446759302</v>
      </c>
      <c r="C1102" s="87">
        <v>46249.626134259299</v>
      </c>
      <c r="D1102" t="str">
        <v>anónimo</v>
      </c>
      <c r="E1102" t="str">
        <v/>
      </c>
      <c r="F1102" s="68">
        <v>46249</v>
      </c>
      <c r="G1102" s="88">
        <v>46249</v>
      </c>
      <c r="H1102" t="str">
        <v>GIOVANNI MELGAR</v>
      </c>
      <c r="I1102" t="str">
        <v>EFRAIN OLVERA RAMIREZ</v>
      </c>
      <c r="J1102" s="82" t="str">
        <v/>
      </c>
      <c r="K1102" t="str">
        <v>OERE610713HQTLMF18</v>
      </c>
      <c r="L1102" s="82">
        <v>23655758</v>
      </c>
      <c r="M1102" s="82">
        <v>5214423533075</v>
      </c>
      <c r="N1102" t="str">
        <v>COMPRA MAYOR</v>
      </c>
      <c r="O1102" s="89">
        <v>41759.47</v>
      </c>
      <c r="P1102" s="89">
        <v>11571</v>
      </c>
      <c r="Q1102" s="89">
        <v>12527.841</v>
      </c>
      <c r="R1102" s="89">
        <v>956.84100000000035</v>
      </c>
      <c r="S1102">
        <v>46235</v>
      </c>
      <c r="T1102" t="str">
        <v/>
      </c>
      <c r="U1102" t="str">
        <v/>
      </c>
      <c r="V1102" t="str">
        <v/>
      </c>
      <c r="W1102" t="str">
        <v/>
      </c>
      <c r="X1102">
        <v>2</v>
      </c>
    </row>
    <row r="1103" spans="1:24">
      <c r="A1103" s="26">
        <v>1940</v>
      </c>
      <c r="B1103" s="87">
        <v>46249.681319444397</v>
      </c>
      <c r="C1103" s="87">
        <v>46249.682314814803</v>
      </c>
      <c r="D1103" t="str">
        <v>anónimo</v>
      </c>
      <c r="E1103" t="str">
        <v/>
      </c>
      <c r="F1103" s="68">
        <v>46249</v>
      </c>
      <c r="G1103" s="88">
        <v>46249</v>
      </c>
      <c r="H1103" t="str">
        <v>PAOLA RODRIGUEZ C/C</v>
      </c>
      <c r="I1103" t="str">
        <v>JUAN PABLO RANGEL FISCAL</v>
      </c>
      <c r="J1103" s="82" t="str">
        <v/>
      </c>
      <c r="K1103" t="str">
        <v>RAFJ941230HMNNSN01</v>
      </c>
      <c r="L1103" s="82">
        <v>23660998</v>
      </c>
      <c r="M1103" s="82">
        <v>4422725280</v>
      </c>
      <c r="N1103" t="str">
        <v>NUEVO MAYOR</v>
      </c>
      <c r="O1103" s="89">
        <v>5887.44</v>
      </c>
      <c r="P1103" s="89" t="str">
        <v/>
      </c>
      <c r="Q1103" s="89">
        <v>1766.2319999999997</v>
      </c>
      <c r="R1103" s="89">
        <v>1714.46</v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>
        <v>1</v>
      </c>
    </row>
    <row r="1104" spans="1:24">
      <c r="A1104" s="26">
        <v>1941</v>
      </c>
      <c r="B1104" s="87">
        <v>46249.672465277799</v>
      </c>
      <c r="C1104" s="87">
        <v>46249.683854166702</v>
      </c>
      <c r="D1104" t="str">
        <v>anónimo</v>
      </c>
      <c r="E1104" t="str">
        <v/>
      </c>
      <c r="F1104" s="68">
        <v>46249</v>
      </c>
      <c r="G1104" s="88">
        <v>46245</v>
      </c>
      <c r="H1104" t="str">
        <v>LILIANA MARTINEZ SUR</v>
      </c>
      <c r="I1104" t="str">
        <v>CARLOS ORTIZ HERNANDEZ</v>
      </c>
      <c r="J1104" s="82" t="str">
        <v/>
      </c>
      <c r="K1104" t="str">
        <v>OIHC630909HGTRRR05</v>
      </c>
      <c r="L1104" s="82">
        <v>23554472</v>
      </c>
      <c r="M1104" s="82">
        <v>5214426546619</v>
      </c>
      <c r="N1104" t="str">
        <v>COMPRA MAYOR</v>
      </c>
      <c r="O1104" s="89">
        <v>7920.51</v>
      </c>
      <c r="P1104" s="89">
        <v>2285.04</v>
      </c>
      <c r="Q1104" s="89">
        <v>2376.1529999999998</v>
      </c>
      <c r="R1104" s="89">
        <v>91.112999999999829</v>
      </c>
      <c r="S1104">
        <v>45962</v>
      </c>
      <c r="T1104" t="str">
        <v/>
      </c>
      <c r="U1104" t="str">
        <v/>
      </c>
      <c r="V1104" t="str">
        <v/>
      </c>
      <c r="W1104" t="str">
        <v/>
      </c>
      <c r="X1104">
        <v>2</v>
      </c>
    </row>
    <row r="1105" spans="1:24">
      <c r="A1105" s="26">
        <v>1942</v>
      </c>
      <c r="B1105" s="87">
        <v>46249.683171296303</v>
      </c>
      <c r="C1105" s="87">
        <v>46249.684236111098</v>
      </c>
      <c r="D1105" t="str">
        <v>anónimo</v>
      </c>
      <c r="E1105" t="str">
        <v/>
      </c>
      <c r="F1105" s="68">
        <v>46249</v>
      </c>
      <c r="G1105" s="88">
        <v>46249</v>
      </c>
      <c r="H1105" t="str">
        <v>BEATRIZ DE LA CRUZ C/C</v>
      </c>
      <c r="I1105" t="str">
        <v>JOSE MAURICIO CRUZ MARTINEZ</v>
      </c>
      <c r="J1105" s="82" t="str">
        <v/>
      </c>
      <c r="K1105" t="str">
        <v>CUMM510922HVZRRR03</v>
      </c>
      <c r="L1105" s="82">
        <v>23657094</v>
      </c>
      <c r="M1105" s="82">
        <v>6648561730</v>
      </c>
      <c r="N1105" t="str">
        <v>NUEVO MAYOR</v>
      </c>
      <c r="O1105" s="89">
        <v>9081.52</v>
      </c>
      <c r="P1105" s="89">
        <v>968.88</v>
      </c>
      <c r="Q1105" s="89">
        <v>2724.4560000000001</v>
      </c>
      <c r="R1105" s="89">
        <v>1755.576</v>
      </c>
      <c r="S1105">
        <v>46419</v>
      </c>
      <c r="T1105" t="str">
        <v/>
      </c>
      <c r="U1105" t="str">
        <v/>
      </c>
      <c r="V1105" t="str">
        <v/>
      </c>
      <c r="W1105" t="str">
        <v/>
      </c>
      <c r="X1105">
        <v>2</v>
      </c>
    </row>
    <row r="1106" spans="1:24">
      <c r="A1106" s="26">
        <v>1943</v>
      </c>
      <c r="B1106" s="87">
        <v>46249.686516203699</v>
      </c>
      <c r="C1106" s="87">
        <v>46249.6887615741</v>
      </c>
      <c r="D1106" t="str">
        <v>anónimo</v>
      </c>
      <c r="E1106" t="str">
        <v/>
      </c>
      <c r="F1106" s="68">
        <v>46249</v>
      </c>
      <c r="G1106" s="88">
        <v>46246</v>
      </c>
      <c r="H1106" t="str">
        <v>MAYTE NAVARRO C/C</v>
      </c>
      <c r="I1106" t="str">
        <v>ROBERTO GAZCA ROBLES</v>
      </c>
      <c r="J1106" s="82" t="str">
        <v/>
      </c>
      <c r="K1106" t="str">
        <v>GARR600118HJCZBB09</v>
      </c>
      <c r="L1106" s="82">
        <v>23578832</v>
      </c>
      <c r="M1106" s="82">
        <v>4888832501</v>
      </c>
      <c r="N1106" t="str">
        <v>NUEVO MAYOR</v>
      </c>
      <c r="O1106" s="89">
        <v>22646.44</v>
      </c>
      <c r="P1106" s="89" t="str">
        <v/>
      </c>
      <c r="Q1106" s="89">
        <v>6793.9319999999998</v>
      </c>
      <c r="R1106" s="89">
        <v>6793.9319999999998</v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>
        <v>1</v>
      </c>
    </row>
    <row r="1107" spans="1:24">
      <c r="A1107" s="26">
        <v>1945</v>
      </c>
      <c r="B1107" s="87">
        <v>46249.691689814797</v>
      </c>
      <c r="C1107" s="87">
        <v>46249.692986111098</v>
      </c>
      <c r="D1107" t="str">
        <v>anónimo</v>
      </c>
      <c r="E1107" t="str">
        <v/>
      </c>
      <c r="F1107" s="68">
        <v>46249</v>
      </c>
      <c r="G1107" s="88">
        <v>46249</v>
      </c>
      <c r="H1107" t="str">
        <v>BEATRIZ DE LA CRUZ C/C</v>
      </c>
      <c r="I1107" t="str">
        <v>SILVIA ESPINOSA HERRERA</v>
      </c>
      <c r="J1107" s="82" t="str">
        <v>01907022477</v>
      </c>
      <c r="K1107" t="str">
        <v>EIHS680401MMCSRL02</v>
      </c>
      <c r="L1107" s="82">
        <v>23660920</v>
      </c>
      <c r="M1107" s="82">
        <v>7721854534</v>
      </c>
      <c r="N1107" t="str">
        <v>RESTRINGIDA</v>
      </c>
      <c r="O1107" s="89">
        <v>4558.76</v>
      </c>
      <c r="P1107" s="89">
        <v>1023.36</v>
      </c>
      <c r="Q1107" s="89">
        <v>1367.6279999999999</v>
      </c>
      <c r="R1107" s="89">
        <v>-637.57999999999936</v>
      </c>
      <c r="S1107">
        <v>44866</v>
      </c>
      <c r="T1107" t="str">
        <v/>
      </c>
      <c r="U1107" t="str">
        <v/>
      </c>
      <c r="V1107" t="str">
        <v/>
      </c>
      <c r="W1107" t="str">
        <v/>
      </c>
      <c r="X1107">
        <v>2</v>
      </c>
    </row>
    <row r="1108" spans="1:24">
      <c r="A1108" s="26">
        <v>1949</v>
      </c>
      <c r="B1108" s="87">
        <v>46249.715104166702</v>
      </c>
      <c r="C1108" s="87">
        <v>46249.715752314798</v>
      </c>
      <c r="D1108" t="str">
        <v>anónimo</v>
      </c>
      <c r="E1108" t="str">
        <v/>
      </c>
      <c r="F1108" s="68">
        <v>46249</v>
      </c>
      <c r="G1108" s="88">
        <v>46249</v>
      </c>
      <c r="H1108" t="str">
        <v>LITZY MARTINEZ C/C</v>
      </c>
      <c r="I1108" t="str">
        <v>Sandra Elizabeth calderilla Martinez</v>
      </c>
      <c r="J1108" s="82" t="str">
        <v>12968122338</v>
      </c>
      <c r="K1108" t="str">
        <v/>
      </c>
      <c r="L1108" s="82">
        <v>23652622</v>
      </c>
      <c r="M1108" s="82">
        <v>5214622501897</v>
      </c>
      <c r="N1108" t="str">
        <v>RESTRINGIDA</v>
      </c>
      <c r="O1108" s="89">
        <v>5617.63</v>
      </c>
      <c r="P1108" s="89">
        <v>1487.97</v>
      </c>
      <c r="Q1108" s="89">
        <v>1685.289</v>
      </c>
      <c r="R1108" s="89">
        <v>-43.319999999999482</v>
      </c>
      <c r="S1108">
        <v>45870</v>
      </c>
      <c r="T1108" t="str">
        <v/>
      </c>
      <c r="U1108" t="str">
        <v/>
      </c>
      <c r="V1108" t="str">
        <v/>
      </c>
      <c r="W1108" t="str">
        <v/>
      </c>
      <c r="X1108">
        <v>2</v>
      </c>
    </row>
    <row r="1109" spans="1:24">
      <c r="A1109" s="26">
        <v>1950</v>
      </c>
      <c r="B1109" s="87">
        <v>46249.730868055602</v>
      </c>
      <c r="C1109" s="87">
        <v>46249.733402777798</v>
      </c>
      <c r="D1109" t="str">
        <v>anónimo</v>
      </c>
      <c r="E1109" t="str">
        <v/>
      </c>
      <c r="F1109" s="68">
        <v>46249</v>
      </c>
      <c r="G1109" s="88">
        <v>46249</v>
      </c>
      <c r="H1109" t="str">
        <v>LILIANA MARTINEZ SUR</v>
      </c>
      <c r="I1109" t="str">
        <v>PATRICIA RAMIREZ GUTIERREZ</v>
      </c>
      <c r="J1109" s="82">
        <v>41907120947</v>
      </c>
      <c r="K1109" t="str">
        <v>RAGP730317MDFMTT00</v>
      </c>
      <c r="L1109" s="82">
        <v>23654808</v>
      </c>
      <c r="M1109" s="82">
        <v>5214445105873</v>
      </c>
      <c r="N1109" t="str">
        <v>COMPRA MENOR</v>
      </c>
      <c r="O1109" s="89">
        <v>14500.95</v>
      </c>
      <c r="P1109" s="89">
        <v>4522.1499999999996</v>
      </c>
      <c r="Q1109" s="89">
        <v>4350.2849999999999</v>
      </c>
      <c r="R1109" s="89">
        <v>-171.86499999999978</v>
      </c>
      <c r="S1109">
        <v>45717</v>
      </c>
      <c r="T1109" t="str">
        <v/>
      </c>
      <c r="U1109" t="str">
        <v/>
      </c>
      <c r="V1109" t="str">
        <v/>
      </c>
      <c r="W1109" t="str">
        <v/>
      </c>
      <c r="X1109">
        <v>2</v>
      </c>
    </row>
    <row r="1110" spans="1:24">
      <c r="A1110" s="26">
        <v>1959</v>
      </c>
      <c r="B1110" s="87">
        <v>46250.426967592597</v>
      </c>
      <c r="C1110" s="87">
        <v>46250.427418981497</v>
      </c>
      <c r="D1110" t="str">
        <v>anónimo</v>
      </c>
      <c r="E1110" t="str">
        <v/>
      </c>
      <c r="F1110" s="68">
        <v>46250</v>
      </c>
      <c r="G1110" s="88">
        <v>46250</v>
      </c>
      <c r="H1110" t="str">
        <v>LITZY MARTINEZ C/C</v>
      </c>
      <c r="I1110" t="str">
        <v xml:space="preserve">ALEJANDRO COTERO RUIZ </v>
      </c>
      <c r="J1110" s="82" t="str">
        <v/>
      </c>
      <c r="K1110" t="str">
        <v>CORA581231HVZTZL01</v>
      </c>
      <c r="L1110" s="82">
        <v>23670170</v>
      </c>
      <c r="M1110" s="82">
        <v>6151126411</v>
      </c>
      <c r="N1110" t="str">
        <v>COMPRA MAYOR</v>
      </c>
      <c r="O1110" s="89">
        <v>9081.52</v>
      </c>
      <c r="P1110" s="89">
        <v>2519.27</v>
      </c>
      <c r="Q1110" s="89">
        <v>2724.4560000000001</v>
      </c>
      <c r="R1110" s="89">
        <v>205.18600000000015</v>
      </c>
      <c r="S1110">
        <v>46204</v>
      </c>
      <c r="T1110" t="str">
        <v/>
      </c>
      <c r="U1110" t="str">
        <v/>
      </c>
      <c r="V1110" t="str">
        <v/>
      </c>
      <c r="W1110" t="str">
        <v/>
      </c>
      <c r="X1110">
        <v>2</v>
      </c>
    </row>
    <row r="1111" spans="1:24">
      <c r="A1111" s="26">
        <v>1961</v>
      </c>
      <c r="B1111" s="87">
        <v>46250.476284722201</v>
      </c>
      <c r="C1111" s="87">
        <v>46250.478344907402</v>
      </c>
      <c r="D1111" t="str">
        <v>anónimo</v>
      </c>
      <c r="E1111" t="str">
        <v/>
      </c>
      <c r="F1111" s="68">
        <v>46250</v>
      </c>
      <c r="G1111" s="88">
        <v>46249</v>
      </c>
      <c r="H1111" t="str">
        <v>KARINA MATA C/C</v>
      </c>
      <c r="I1111" t="str">
        <v>TEODORO GOMEZ ROJAS</v>
      </c>
      <c r="J1111" s="82" t="str">
        <v/>
      </c>
      <c r="K1111" t="str">
        <v>GORT651228HDFMJD02</v>
      </c>
      <c r="L1111" s="82">
        <v>23661798</v>
      </c>
      <c r="M1111" s="82">
        <v>5663796050</v>
      </c>
      <c r="N1111" t="str">
        <v>NUEVO MAYOR</v>
      </c>
      <c r="O1111" s="89">
        <v>10636.54</v>
      </c>
      <c r="P1111" s="89" t="str">
        <v/>
      </c>
      <c r="Q1111" s="89">
        <v>3190.962</v>
      </c>
      <c r="R1111" s="89">
        <v>3190.962</v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>
        <v>1</v>
      </c>
    </row>
    <row r="1112" spans="1:24">
      <c r="A1112" s="26">
        <v>1962</v>
      </c>
      <c r="B1112" s="87">
        <v>46250.343599537002</v>
      </c>
      <c r="C1112" s="87">
        <v>46250.484270833302</v>
      </c>
      <c r="D1112" t="str">
        <v>anónimo</v>
      </c>
      <c r="E1112" t="str">
        <v/>
      </c>
      <c r="F1112" s="68">
        <v>46250</v>
      </c>
      <c r="G1112" s="88">
        <v>46250</v>
      </c>
      <c r="H1112" t="str">
        <v>PAOLA RODRIGUEZ C/C</v>
      </c>
      <c r="I1112" t="str">
        <v>VICTOR HUGO VALDEZ HERNANDEZ</v>
      </c>
      <c r="J1112" s="82">
        <v>49856314544</v>
      </c>
      <c r="K1112" t="str">
        <v/>
      </c>
      <c r="L1112" s="82">
        <v>23671780</v>
      </c>
      <c r="M1112" s="82">
        <v>8671224667</v>
      </c>
      <c r="N1112" t="str">
        <v>NUEVO MAYOR</v>
      </c>
      <c r="O1112" s="89">
        <v>11029.03</v>
      </c>
      <c r="P1112" s="89" t="str">
        <v/>
      </c>
      <c r="Q1112" s="89">
        <v>3308.7090000000003</v>
      </c>
      <c r="R1112" s="89">
        <v>3308.7090000000003</v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>
        <v>1</v>
      </c>
    </row>
    <row r="1113" spans="1:24">
      <c r="A1113" s="26">
        <v>1972</v>
      </c>
      <c r="B1113" s="87">
        <v>46250.489328703698</v>
      </c>
      <c r="C1113" s="87">
        <v>46250.567824074104</v>
      </c>
      <c r="D1113" t="str">
        <v>anónimo</v>
      </c>
      <c r="E1113" t="str">
        <v/>
      </c>
      <c r="F1113" s="68">
        <v>46250</v>
      </c>
      <c r="G1113" s="88">
        <v>46250</v>
      </c>
      <c r="H1113" t="str">
        <v>PAOLA RODRIGUEZ C/C</v>
      </c>
      <c r="I1113" t="str">
        <v>Mariano Cupul Ek</v>
      </c>
      <c r="J1113" s="82" t="str">
        <v/>
      </c>
      <c r="K1113" t="str">
        <v>CUEM640430HYNPKR00</v>
      </c>
      <c r="L1113" s="82">
        <v>23473740</v>
      </c>
      <c r="M1113" s="82">
        <v>9851479963</v>
      </c>
      <c r="N1113" t="str">
        <v>NUEVO MAYOR</v>
      </c>
      <c r="O1113" s="89">
        <v>10636.54</v>
      </c>
      <c r="P1113" s="89" t="str">
        <v/>
      </c>
      <c r="Q1113" s="89">
        <v>3190.962</v>
      </c>
      <c r="R1113" s="89">
        <v>3190.962</v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>
        <v>1</v>
      </c>
    </row>
    <row r="1114" spans="1:24">
      <c r="A1114" s="26">
        <v>1974</v>
      </c>
      <c r="B1114" s="87">
        <v>46250.575798611098</v>
      </c>
      <c r="C1114" s="87">
        <v>46250.577175925901</v>
      </c>
      <c r="D1114" t="str">
        <v>anónimo</v>
      </c>
      <c r="E1114" t="str">
        <v/>
      </c>
      <c r="F1114" s="68">
        <v>46250</v>
      </c>
      <c r="G1114" s="88">
        <v>46250</v>
      </c>
      <c r="H1114" t="str">
        <v>GUADALUPE BECERRA C/C</v>
      </c>
      <c r="I1114" t="str">
        <v>ROSA IRENE OLIVO GARCIA</v>
      </c>
      <c r="J1114" s="82" t="str">
        <v/>
      </c>
      <c r="K1114" t="str">
        <v>OIGR590409MCLLRS06</v>
      </c>
      <c r="L1114" s="82">
        <v>23672470</v>
      </c>
      <c r="M1114" s="82">
        <v>5218646174800</v>
      </c>
      <c r="N1114" t="str">
        <v>COMPRA MENOR</v>
      </c>
      <c r="O1114" s="89">
        <v>4813.6899999999996</v>
      </c>
      <c r="P1114" s="89">
        <v>523.98</v>
      </c>
      <c r="Q1114" s="89">
        <v>1444.1069999999997</v>
      </c>
      <c r="R1114" s="89">
        <v>116.73000000000002</v>
      </c>
      <c r="S1114">
        <v>45505</v>
      </c>
      <c r="T1114" t="str">
        <v/>
      </c>
      <c r="U1114" t="str">
        <v/>
      </c>
      <c r="V1114" t="str">
        <v/>
      </c>
      <c r="W1114" t="str">
        <v/>
      </c>
      <c r="X1114">
        <v>2</v>
      </c>
    </row>
    <row r="1115" spans="1:24">
      <c r="A1115" s="26">
        <v>1980</v>
      </c>
      <c r="B1115" s="87">
        <v>46250.614537037</v>
      </c>
      <c r="C1115" s="87">
        <v>46250.615104166704</v>
      </c>
      <c r="D1115" t="str">
        <v>anónimo</v>
      </c>
      <c r="E1115" t="str">
        <v/>
      </c>
      <c r="F1115" s="68">
        <v>46250</v>
      </c>
      <c r="G1115" s="88">
        <v>46250</v>
      </c>
      <c r="H1115" t="str">
        <v>GLORIA ORTIZ C/C</v>
      </c>
      <c r="I1115" t="str">
        <v>JUAN PABLO GALLARDO ROCHA</v>
      </c>
      <c r="J1115" s="82" t="str">
        <v/>
      </c>
      <c r="K1115" t="str">
        <v>GARJ650629HDGLCN08</v>
      </c>
      <c r="L1115" s="82">
        <v>23675446</v>
      </c>
      <c r="M1115" s="82">
        <v>5216565924035</v>
      </c>
      <c r="N1115" t="str">
        <v>NUEVO MAYOR</v>
      </c>
      <c r="O1115" s="89">
        <v>9760.32</v>
      </c>
      <c r="P1115" s="89">
        <v>879</v>
      </c>
      <c r="Q1115" s="89">
        <v>2928.096</v>
      </c>
      <c r="R1115" s="89">
        <v>2049.096</v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>
        <v>1</v>
      </c>
    </row>
    <row r="1116" spans="1:24">
      <c r="A1116" s="26">
        <v>1983</v>
      </c>
      <c r="B1116" s="87">
        <v>46250.6561111111</v>
      </c>
      <c r="C1116" s="87">
        <v>46250.656643518501</v>
      </c>
      <c r="D1116" t="str">
        <v>anónimo</v>
      </c>
      <c r="E1116" t="str">
        <v/>
      </c>
      <c r="F1116" s="68">
        <v>46250</v>
      </c>
      <c r="G1116" s="88">
        <v>46250</v>
      </c>
      <c r="H1116" t="str">
        <v>LITZY MARTINEZ C/C</v>
      </c>
      <c r="I1116" t="str">
        <v>Silvestre bustos linares</v>
      </c>
      <c r="J1116" s="82" t="str">
        <v/>
      </c>
      <c r="K1116" t="str">
        <v>BULS531013HCLSNL00</v>
      </c>
      <c r="L1116" s="82">
        <v>23673684</v>
      </c>
      <c r="M1116" s="82">
        <v>5218641160613</v>
      </c>
      <c r="N1116" t="str">
        <v>COMPRA MAYOR</v>
      </c>
      <c r="O1116" s="89">
        <v>6262.86</v>
      </c>
      <c r="P1116" s="89">
        <v>1626.58</v>
      </c>
      <c r="Q1116" s="89">
        <v>1878.8579999999997</v>
      </c>
      <c r="R1116" s="89">
        <v>252.27799999999979</v>
      </c>
      <c r="S1116">
        <v>45870</v>
      </c>
      <c r="T1116" t="str">
        <v/>
      </c>
      <c r="U1116" t="str">
        <v/>
      </c>
      <c r="V1116" t="str">
        <v/>
      </c>
      <c r="W1116" t="str">
        <v/>
      </c>
      <c r="X1116">
        <v>2</v>
      </c>
    </row>
    <row r="1117" spans="1:24">
      <c r="A1117" s="26">
        <v>1986</v>
      </c>
      <c r="B1117" s="87">
        <v>46250.567870370403</v>
      </c>
      <c r="C1117" s="87">
        <v>46250.684085648099</v>
      </c>
      <c r="D1117" t="str">
        <v>anónimo</v>
      </c>
      <c r="E1117" t="str">
        <v/>
      </c>
      <c r="F1117" s="68">
        <v>46250</v>
      </c>
      <c r="G1117" s="88">
        <v>46250</v>
      </c>
      <c r="H1117" t="str">
        <v>PAOLA RODRIGUEZ C/C</v>
      </c>
      <c r="I1117" t="str">
        <v>ALBERTO BECERRIL ZAVALETA</v>
      </c>
      <c r="J1117" s="82" t="str">
        <v/>
      </c>
      <c r="K1117" t="str">
        <v>BEZA630215HDFCVL00</v>
      </c>
      <c r="L1117" s="82">
        <v>23674414</v>
      </c>
      <c r="M1117" s="82">
        <v>5560708512</v>
      </c>
      <c r="N1117" t="str">
        <v>NUEVO MAYOR</v>
      </c>
      <c r="O1117" s="89">
        <v>10636.54</v>
      </c>
      <c r="P1117" s="89" t="str">
        <v/>
      </c>
      <c r="Q1117" s="89">
        <v>3190.962</v>
      </c>
      <c r="R1117" s="89">
        <v>3190.962</v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>
        <v>1</v>
      </c>
    </row>
    <row r="1118" spans="1:24">
      <c r="A1118" s="26">
        <v>1988</v>
      </c>
      <c r="B1118" s="87">
        <v>46250.699826388904</v>
      </c>
      <c r="C1118" s="87">
        <v>46250.700532407398</v>
      </c>
      <c r="D1118" t="str">
        <v>anónimo</v>
      </c>
      <c r="E1118" t="str">
        <v/>
      </c>
      <c r="F1118" s="68">
        <v>46250</v>
      </c>
      <c r="G1118" s="88">
        <v>46249</v>
      </c>
      <c r="H1118" t="str">
        <v>DEYANIRA CORDOVA C/C</v>
      </c>
      <c r="I1118" t="str">
        <v/>
      </c>
      <c r="J1118" s="82" t="str">
        <v/>
      </c>
      <c r="K1118" t="str">
        <v>CALG591106MCLMCD01</v>
      </c>
      <c r="L1118" s="82">
        <v>23663726</v>
      </c>
      <c r="M1118" s="82">
        <v>8448700302</v>
      </c>
      <c r="N1118" t="str">
        <v>COMPRA MENOR</v>
      </c>
      <c r="O1118" s="89">
        <v>6744.06</v>
      </c>
      <c r="P1118" s="89">
        <v>2019.12</v>
      </c>
      <c r="Q1118" s="89">
        <v>2023.2180000000001</v>
      </c>
      <c r="R1118" s="89">
        <v>4.0980000000001837</v>
      </c>
      <c r="S1118">
        <v>45627</v>
      </c>
      <c r="T1118" t="str">
        <v/>
      </c>
      <c r="U1118" t="str">
        <v/>
      </c>
      <c r="V1118" t="str">
        <v/>
      </c>
      <c r="W1118" t="str">
        <v/>
      </c>
      <c r="X1118">
        <v>2</v>
      </c>
    </row>
    <row r="1119" spans="1:24">
      <c r="A1119" s="26">
        <v>1993</v>
      </c>
      <c r="B1119" s="87">
        <v>46251.320590277799</v>
      </c>
      <c r="C1119" s="87">
        <v>46251.405243055597</v>
      </c>
      <c r="D1119" t="str">
        <v>anónimo</v>
      </c>
      <c r="E1119" t="str">
        <v/>
      </c>
      <c r="F1119" s="68">
        <v>46251</v>
      </c>
      <c r="G1119" s="88">
        <v>46251</v>
      </c>
      <c r="H1119" t="str">
        <v>YAMILETH CARDONA EXT 2</v>
      </c>
      <c r="I1119" t="str">
        <v/>
      </c>
      <c r="J1119" s="82" t="str">
        <v>75826212419</v>
      </c>
      <c r="K1119" t="str">
        <v>FODR620126HDFLVC06</v>
      </c>
      <c r="L1119" s="82">
        <v>2</v>
      </c>
      <c r="M1119" s="82" t="str">
        <v>55 4410 7574</v>
      </c>
      <c r="N1119" t="str">
        <v>COMPRA MAYOR</v>
      </c>
      <c r="O1119" s="89">
        <v>7920.51</v>
      </c>
      <c r="P1119" s="89">
        <v>2199.0100000000002</v>
      </c>
      <c r="Q1119" s="89">
        <v>2376.1529999999998</v>
      </c>
      <c r="R1119" s="89">
        <v>177.14299999999957</v>
      </c>
      <c r="S1119">
        <v>46204</v>
      </c>
      <c r="T1119" t="str">
        <v/>
      </c>
      <c r="U1119" t="str">
        <v/>
      </c>
      <c r="V1119" t="str">
        <v/>
      </c>
      <c r="W1119" t="str">
        <v/>
      </c>
      <c r="X1119">
        <v>2</v>
      </c>
    </row>
    <row r="1120" spans="1:24">
      <c r="A1120" s="26">
        <v>1998</v>
      </c>
      <c r="B1120" s="87">
        <v>46251.425833333298</v>
      </c>
      <c r="C1120" s="87">
        <v>46251.430393518502</v>
      </c>
      <c r="D1120" t="str">
        <v>anónimo</v>
      </c>
      <c r="E1120" t="str">
        <v/>
      </c>
      <c r="F1120" s="68">
        <v>46251</v>
      </c>
      <c r="G1120" s="88">
        <v>46251</v>
      </c>
      <c r="H1120" t="str">
        <v>YAMILETH CARDONA EXT 2</v>
      </c>
      <c r="I1120" t="str">
        <v>JUAN ZALDIVAR M</v>
      </c>
      <c r="J1120" s="82" t="str">
        <v>014776008097</v>
      </c>
      <c r="K1120" t="str">
        <v>ZAMJ600721HQTLRN04</v>
      </c>
      <c r="L1120" s="82">
        <v>2</v>
      </c>
      <c r="M1120" s="82">
        <v>4271667508</v>
      </c>
      <c r="N1120" t="str">
        <v>NUEVO MENOR</v>
      </c>
      <c r="O1120" s="89">
        <v>5617.64</v>
      </c>
      <c r="P1120" s="89">
        <v>1103</v>
      </c>
      <c r="Q1120" s="89">
        <v>1685.2920000000001</v>
      </c>
      <c r="R1120" s="89">
        <v>341.66000000000076</v>
      </c>
      <c r="S1120">
        <v>46631</v>
      </c>
      <c r="T1120" t="str">
        <v/>
      </c>
      <c r="U1120" t="str">
        <v/>
      </c>
      <c r="V1120" t="str">
        <v/>
      </c>
      <c r="W1120" t="str">
        <v/>
      </c>
      <c r="X1120">
        <v>2</v>
      </c>
    </row>
    <row r="1121" spans="1:24">
      <c r="A1121" s="26">
        <v>2002</v>
      </c>
      <c r="B1121" s="87">
        <v>46251.432951388902</v>
      </c>
      <c r="C1121" s="87">
        <v>46251.435081018499</v>
      </c>
      <c r="D1121" t="str">
        <v>anónimo</v>
      </c>
      <c r="E1121" t="str">
        <v/>
      </c>
      <c r="F1121" s="68">
        <v>46251</v>
      </c>
      <c r="G1121" s="88">
        <v>46251</v>
      </c>
      <c r="H1121" t="str">
        <v>GIOVANNI MELGAR</v>
      </c>
      <c r="I1121" t="str">
        <v>LORENZO ZARATE TEPOS</v>
      </c>
      <c r="J1121" s="82" t="str">
        <v>67806141791</v>
      </c>
      <c r="K1121" t="str">
        <v>ZATL610507HPLRPR00</v>
      </c>
      <c r="L1121" s="82">
        <v>23695134</v>
      </c>
      <c r="M1121" s="82">
        <v>5212721490105</v>
      </c>
      <c r="N1121" t="str">
        <v>RESTRINGIDA</v>
      </c>
      <c r="O1121" s="89">
        <v>10193.799999999999</v>
      </c>
      <c r="P1121" s="89">
        <v>2694.02</v>
      </c>
      <c r="Q1121" s="89">
        <v>3058.14</v>
      </c>
      <c r="R1121" s="89">
        <v>364.11999999999989</v>
      </c>
      <c r="S1121">
        <v>45931</v>
      </c>
      <c r="T1121" t="str">
        <v/>
      </c>
      <c r="U1121" t="str">
        <v/>
      </c>
      <c r="V1121" t="str">
        <v/>
      </c>
      <c r="W1121" t="str">
        <v/>
      </c>
      <c r="X1121">
        <v>2</v>
      </c>
    </row>
    <row r="1122" spans="1:24">
      <c r="A1122" s="26">
        <v>2003</v>
      </c>
      <c r="B1122" s="87">
        <v>46251.419201388897</v>
      </c>
      <c r="C1122" s="87">
        <v>46251.442696759303</v>
      </c>
      <c r="D1122" t="str">
        <v>anónimo</v>
      </c>
      <c r="E1122" t="str">
        <v/>
      </c>
      <c r="F1122" s="68">
        <v>46251</v>
      </c>
      <c r="G1122" s="88">
        <v>46228</v>
      </c>
      <c r="H1122" t="str">
        <v>LILIANA MARTINEZ SUR</v>
      </c>
      <c r="I1122" t="str">
        <v>CECILIO BALLESTEROS MOHA</v>
      </c>
      <c r="J1122" s="82">
        <v>81957102080</v>
      </c>
      <c r="K1122" t="str">
        <v>BAMC691001HCCLHC07</v>
      </c>
      <c r="L1122" s="82">
        <v>23100716</v>
      </c>
      <c r="M1122" s="82">
        <v>5219131039682</v>
      </c>
      <c r="N1122" t="str">
        <v>NUEVO MAYOR</v>
      </c>
      <c r="O1122" s="89">
        <v>6038.94</v>
      </c>
      <c r="P1122" s="89" t="str">
        <v/>
      </c>
      <c r="Q1122" s="89">
        <v>1811.6819999999998</v>
      </c>
      <c r="R1122" s="89">
        <v>1811.6819999999998</v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>
        <v>1</v>
      </c>
    </row>
    <row r="1123" spans="1:24">
      <c r="A1123" s="26">
        <v>2005</v>
      </c>
      <c r="B1123" s="87">
        <v>46251.459953703699</v>
      </c>
      <c r="C1123" s="87">
        <v>46251.4605787037</v>
      </c>
      <c r="D1123" t="str">
        <v>anónimo</v>
      </c>
      <c r="E1123" t="str">
        <v/>
      </c>
      <c r="F1123" s="68">
        <v>46251</v>
      </c>
      <c r="G1123" s="88">
        <v>46244</v>
      </c>
      <c r="H1123" t="str">
        <v>GIOVANNI MELGAR</v>
      </c>
      <c r="I1123" t="str">
        <v>ESTEBAN DANIEL RANGEL TORRES</v>
      </c>
      <c r="J1123" s="82" t="str">
        <v/>
      </c>
      <c r="K1123" t="str">
        <v>RATE660725HDFNRS01</v>
      </c>
      <c r="L1123" s="82">
        <v>23497578</v>
      </c>
      <c r="M1123" s="82">
        <v>5215548948356</v>
      </c>
      <c r="N1123" t="str">
        <v>NUEVO MAYOR</v>
      </c>
      <c r="O1123" s="89">
        <v>10636.54</v>
      </c>
      <c r="P1123" s="89" t="str">
        <v/>
      </c>
      <c r="Q1123" s="89">
        <v>3190.962</v>
      </c>
      <c r="R1123" s="89">
        <v>3190.962</v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>
        <v>1</v>
      </c>
    </row>
    <row r="1124" spans="1:24">
      <c r="A1124" s="26">
        <v>2007</v>
      </c>
      <c r="B1124" s="87">
        <v>46251.4678472222</v>
      </c>
      <c r="C1124" s="87">
        <v>46251.468402777798</v>
      </c>
      <c r="D1124" t="str">
        <v>anónimo</v>
      </c>
      <c r="E1124" t="str">
        <v/>
      </c>
      <c r="F1124" s="68">
        <v>46251</v>
      </c>
      <c r="G1124" s="88">
        <v>46251</v>
      </c>
      <c r="H1124" t="str">
        <v>MAGALI MARTINEZ EXT 2</v>
      </c>
      <c r="I1124" t="str">
        <v>ROGELIO MATA ACOSTA</v>
      </c>
      <c r="J1124" s="82">
        <v>43775832017</v>
      </c>
      <c r="K1124" t="str">
        <v>MAAR580128HNLTCG08</v>
      </c>
      <c r="L1124" s="82">
        <v>2</v>
      </c>
      <c r="M1124" s="82" t="str">
        <v xml:space="preserve"> 81 2570 0768</v>
      </c>
      <c r="N1124" t="str">
        <v>NUEVO MENOR</v>
      </c>
      <c r="O1124" s="89">
        <v>39214.29</v>
      </c>
      <c r="P1124" s="89">
        <v>11344.29</v>
      </c>
      <c r="Q1124" s="89">
        <v>11764.287</v>
      </c>
      <c r="R1124" s="89">
        <v>419.99699999999939</v>
      </c>
      <c r="S1124">
        <v>46661</v>
      </c>
      <c r="T1124" t="str">
        <v/>
      </c>
      <c r="U1124" t="str">
        <v/>
      </c>
      <c r="V1124" t="str">
        <v/>
      </c>
      <c r="W1124" t="str">
        <v/>
      </c>
      <c r="X1124">
        <v>2</v>
      </c>
    </row>
    <row r="1125" spans="1:24">
      <c r="A1125" s="26">
        <v>2009</v>
      </c>
      <c r="B1125" s="87">
        <v>46251.469618055598</v>
      </c>
      <c r="C1125" s="87">
        <v>46251.471157407403</v>
      </c>
      <c r="D1125" t="str">
        <v>anónimo</v>
      </c>
      <c r="E1125" t="str">
        <v/>
      </c>
      <c r="F1125" s="68">
        <v>46251</v>
      </c>
      <c r="G1125" s="88">
        <v>46246</v>
      </c>
      <c r="H1125" t="str">
        <v>KARINA MATA C/C</v>
      </c>
      <c r="I1125" t="str">
        <v>Hugo</v>
      </c>
      <c r="J1125" s="82">
        <v>12786025978</v>
      </c>
      <c r="K1125" t="str">
        <v/>
      </c>
      <c r="L1125" s="82">
        <v>23574928</v>
      </c>
      <c r="M1125" s="82">
        <v>4772198807</v>
      </c>
      <c r="N1125" t="str">
        <v>COMPRA MAYOR</v>
      </c>
      <c r="O1125" s="89">
        <v>7920.51</v>
      </c>
      <c r="P1125" s="89">
        <v>2199.02</v>
      </c>
      <c r="Q1125" s="89">
        <v>2376.1529999999998</v>
      </c>
      <c r="R1125" s="89">
        <v>177.13299999999981</v>
      </c>
      <c r="S1125">
        <v>46204</v>
      </c>
      <c r="T1125" t="str">
        <v/>
      </c>
      <c r="U1125" t="str">
        <v/>
      </c>
      <c r="V1125" t="str">
        <v/>
      </c>
      <c r="W1125" t="str">
        <v/>
      </c>
      <c r="X1125">
        <v>2</v>
      </c>
    </row>
    <row r="1126" spans="1:24">
      <c r="A1126" s="26">
        <v>2011</v>
      </c>
      <c r="B1126" s="87">
        <v>46251.469490740703</v>
      </c>
      <c r="C1126" s="87">
        <v>46251.474722222199</v>
      </c>
      <c r="D1126" t="str">
        <v>anónimo</v>
      </c>
      <c r="E1126" t="str">
        <v/>
      </c>
      <c r="F1126" s="68">
        <v>46251</v>
      </c>
      <c r="G1126" s="88">
        <v>46251</v>
      </c>
      <c r="H1126" t="str">
        <v>GIOVANNI MELGAR</v>
      </c>
      <c r="I1126" t="str">
        <v>ROSA</v>
      </c>
      <c r="J1126" s="82" t="str">
        <v>33867024768</v>
      </c>
      <c r="K1126" t="str">
        <v>CARO700929HCHRZS00</v>
      </c>
      <c r="L1126" s="82">
        <v>23694426</v>
      </c>
      <c r="M1126" s="82">
        <v>5216566388204</v>
      </c>
      <c r="N1126" t="str">
        <v>NUEVO MAYOR</v>
      </c>
      <c r="O1126" s="89">
        <v>7685.91</v>
      </c>
      <c r="P1126" s="89" t="str">
        <v/>
      </c>
      <c r="Q1126" s="89">
        <v>2305.7729999999997</v>
      </c>
      <c r="R1126" s="89">
        <v>2305.7729999999997</v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>
        <v>1</v>
      </c>
    </row>
    <row r="1127" spans="1:24">
      <c r="A1127" s="26">
        <v>2014</v>
      </c>
      <c r="B1127" s="87">
        <v>46251.498159722199</v>
      </c>
      <c r="C1127" s="87">
        <v>46251.501562500001</v>
      </c>
      <c r="D1127" t="str">
        <v>anónimo</v>
      </c>
      <c r="E1127" t="str">
        <v/>
      </c>
      <c r="F1127" s="68">
        <v>46251</v>
      </c>
      <c r="G1127" s="88">
        <v>46251</v>
      </c>
      <c r="H1127" t="str">
        <v>GIOVANNI MELGAR</v>
      </c>
      <c r="I1127" t="str">
        <v>FRANCISCO JAVIER GAMA LOPEZ</v>
      </c>
      <c r="J1127" s="82" t="str">
        <v/>
      </c>
      <c r="K1127" t="str">
        <v>GALF601110HDFMPR09</v>
      </c>
      <c r="L1127" s="82">
        <v>23693236</v>
      </c>
      <c r="M1127" s="82">
        <v>5216241373122</v>
      </c>
      <c r="N1127" t="str">
        <v>RESTRINGIDA</v>
      </c>
      <c r="O1127" s="89">
        <v>35789.74</v>
      </c>
      <c r="P1127" s="89">
        <v>8799.17</v>
      </c>
      <c r="Q1127" s="89">
        <v>10736.921999999999</v>
      </c>
      <c r="R1127" s="89">
        <v>1937.7519999999986</v>
      </c>
      <c r="S1127">
        <v>45413</v>
      </c>
      <c r="T1127" t="str">
        <v>CONSUBANCO</v>
      </c>
      <c r="U1127" t="str">
        <v/>
      </c>
      <c r="V1127" t="str">
        <v/>
      </c>
      <c r="W1127" t="str">
        <v/>
      </c>
      <c r="X1127">
        <v>2</v>
      </c>
    </row>
    <row r="1128" spans="1:24">
      <c r="A1128" s="26">
        <v>2015</v>
      </c>
      <c r="B1128" s="87">
        <v>46251.507175925901</v>
      </c>
      <c r="C1128" s="87">
        <v>46251.508437500001</v>
      </c>
      <c r="D1128" t="str">
        <v>anónimo</v>
      </c>
      <c r="E1128" t="str">
        <v/>
      </c>
      <c r="F1128" s="68">
        <v>46251</v>
      </c>
      <c r="G1128" s="88">
        <v>46250</v>
      </c>
      <c r="H1128" t="str">
        <v>GUADALUPE BECERRA C/C</v>
      </c>
      <c r="I1128" t="str">
        <v>CARLOS ROJAS OLANO</v>
      </c>
      <c r="J1128" s="82" t="str">
        <v/>
      </c>
      <c r="K1128" t="str">
        <v>ROOC550313HVZJLR07</v>
      </c>
      <c r="L1128" s="82">
        <v>23676852</v>
      </c>
      <c r="M1128" s="82">
        <v>5212283635199</v>
      </c>
      <c r="N1128" t="str">
        <v>NUEVO MAYOR</v>
      </c>
      <c r="O1128" s="89">
        <v>14411.63</v>
      </c>
      <c r="P1128" s="89">
        <v>2950.41</v>
      </c>
      <c r="Q1128" s="89">
        <v>4323.4889999999996</v>
      </c>
      <c r="R1128" s="89">
        <v>1373.0789999999997</v>
      </c>
      <c r="S1128">
        <v>46874</v>
      </c>
      <c r="T1128" t="str">
        <v/>
      </c>
      <c r="U1128" t="str">
        <v/>
      </c>
      <c r="V1128" t="str">
        <v/>
      </c>
      <c r="W1128" t="str">
        <v/>
      </c>
      <c r="X1128">
        <v>2</v>
      </c>
    </row>
    <row r="1129" spans="1:24">
      <c r="A1129" s="26">
        <v>2016</v>
      </c>
      <c r="B1129" s="87">
        <v>46251.508692129602</v>
      </c>
      <c r="C1129" s="87">
        <v>46251.5096990741</v>
      </c>
      <c r="D1129" t="str">
        <v>anónimo</v>
      </c>
      <c r="E1129" t="str">
        <v/>
      </c>
      <c r="F1129" s="68">
        <v>46251</v>
      </c>
      <c r="G1129" s="88">
        <v>46250</v>
      </c>
      <c r="H1129" t="str">
        <v>GIOVANNI MELGAR</v>
      </c>
      <c r="I1129" t="str">
        <v>ANTONIO MORALES LEGGS</v>
      </c>
      <c r="J1129" s="82" t="str">
        <v/>
      </c>
      <c r="K1129" t="str">
        <v>MOLA761018HNLRGN07</v>
      </c>
      <c r="L1129" s="82">
        <v>23679308</v>
      </c>
      <c r="M1129" s="82">
        <v>5218120947727</v>
      </c>
      <c r="N1129" t="str">
        <v>NUEVO MAYOR</v>
      </c>
      <c r="O1129" s="89">
        <v>9582.4700000000012</v>
      </c>
      <c r="P1129" s="89" t="str">
        <v/>
      </c>
      <c r="Q1129" s="89">
        <v>2874.7410000000004</v>
      </c>
      <c r="R1129" s="89">
        <v>2874.7410000000004</v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>
        <v>1</v>
      </c>
    </row>
    <row r="1130" spans="1:24">
      <c r="A1130" s="26">
        <v>2018</v>
      </c>
      <c r="B1130" s="87">
        <v>46251.511331018497</v>
      </c>
      <c r="C1130" s="87">
        <v>46251.520555555602</v>
      </c>
      <c r="D1130" t="str">
        <v>anónimo</v>
      </c>
      <c r="E1130" t="str">
        <v/>
      </c>
      <c r="F1130" s="68">
        <v>46251</v>
      </c>
      <c r="G1130" s="88">
        <v>46251</v>
      </c>
      <c r="H1130" t="str">
        <v>ROSA CASTRO SUR</v>
      </c>
      <c r="I1130" t="str">
        <v>JESUS NORIEGA MUÑOZ</v>
      </c>
      <c r="J1130" s="82">
        <v>24816423230</v>
      </c>
      <c r="K1130" t="str">
        <v>NOMJ640709HSRRXS00</v>
      </c>
      <c r="L1130" s="82">
        <v>23694590</v>
      </c>
      <c r="M1130" s="82">
        <v>5216622910191</v>
      </c>
      <c r="N1130" t="str">
        <v>NUEVO MAYOR</v>
      </c>
      <c r="O1130" s="89">
        <v>10636.54</v>
      </c>
      <c r="P1130" s="89" t="str">
        <v/>
      </c>
      <c r="Q1130" s="89">
        <v>3190.962</v>
      </c>
      <c r="R1130" s="89">
        <v>3190.962</v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>
        <v>1</v>
      </c>
    </row>
    <row r="1131" spans="1:24">
      <c r="A1131" s="26">
        <v>2020</v>
      </c>
      <c r="B1131" s="87">
        <v>46251.521782407399</v>
      </c>
      <c r="C1131" s="87">
        <v>46251.527233796303</v>
      </c>
      <c r="D1131" t="str">
        <v>anónimo</v>
      </c>
      <c r="E1131" t="str">
        <v/>
      </c>
      <c r="F1131" s="68">
        <v>46251</v>
      </c>
      <c r="G1131" s="88">
        <v>46248</v>
      </c>
      <c r="H1131" t="str">
        <v>GUADALUPE BECERRA C/C</v>
      </c>
      <c r="I1131" t="str">
        <v>MANUEL CORTEZ NAVARRO</v>
      </c>
      <c r="J1131" s="82" t="str">
        <v>54786117629</v>
      </c>
      <c r="K1131" t="str">
        <v/>
      </c>
      <c r="L1131" s="82">
        <v>23647342</v>
      </c>
      <c r="M1131" s="82">
        <v>5213331433558</v>
      </c>
      <c r="N1131" t="str">
        <v>COMPRA MAYOR</v>
      </c>
      <c r="O1131" s="89">
        <v>6262.86</v>
      </c>
      <c r="P1131" s="89">
        <v>1657.43</v>
      </c>
      <c r="Q1131" s="89">
        <v>1878.8579999999997</v>
      </c>
      <c r="R1131" s="89">
        <v>221.42799999999966</v>
      </c>
      <c r="S1131">
        <v>45931</v>
      </c>
      <c r="T1131" t="str">
        <v/>
      </c>
      <c r="U1131" t="str">
        <v/>
      </c>
      <c r="V1131" t="str">
        <v/>
      </c>
      <c r="W1131" t="str">
        <v/>
      </c>
      <c r="X1131">
        <v>2</v>
      </c>
    </row>
    <row r="1132" spans="1:24">
      <c r="A1132" s="26">
        <v>2022</v>
      </c>
      <c r="B1132" s="87">
        <v>46251.541793981502</v>
      </c>
      <c r="C1132" s="87">
        <v>46251.542233796303</v>
      </c>
      <c r="D1132" t="str">
        <v>anónimo</v>
      </c>
      <c r="E1132" t="str">
        <v/>
      </c>
      <c r="F1132" s="68">
        <v>46251</v>
      </c>
      <c r="G1132" s="88">
        <v>46250</v>
      </c>
      <c r="H1132" t="str">
        <v>GIOVANNI MELGAR</v>
      </c>
      <c r="I1132" t="str">
        <v>ARTURO REYES SALGADO</v>
      </c>
      <c r="J1132" s="82" t="str">
        <v xml:space="preserve">88816317643
</v>
      </c>
      <c r="K1132" t="str">
        <v>RESA630502HDFYLR08</v>
      </c>
      <c r="L1132" s="82">
        <v>23679494</v>
      </c>
      <c r="M1132" s="82">
        <v>5217223102441</v>
      </c>
      <c r="N1132" t="str">
        <v>NUEVO MAYOR</v>
      </c>
      <c r="O1132" s="89">
        <v>10636.54</v>
      </c>
      <c r="P1132" s="89" t="str">
        <v/>
      </c>
      <c r="Q1132" s="89">
        <v>3190.962</v>
      </c>
      <c r="R1132" s="89">
        <v>3190.962</v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>
        <v>1</v>
      </c>
    </row>
    <row r="1133" spans="1:24">
      <c r="A1133" s="26">
        <v>2027</v>
      </c>
      <c r="B1133" s="87">
        <v>46251.559571759302</v>
      </c>
      <c r="C1133" s="87">
        <v>46251.563032407401</v>
      </c>
      <c r="D1133" t="str">
        <v>anónimo</v>
      </c>
      <c r="E1133" t="str">
        <v/>
      </c>
      <c r="F1133" s="68">
        <v>46251</v>
      </c>
      <c r="G1133" s="88">
        <v>46234</v>
      </c>
      <c r="H1133" t="str">
        <v>HANIA GARCIA C/C</v>
      </c>
      <c r="I1133" t="str">
        <v>Gustavo Solano Vázquez</v>
      </c>
      <c r="J1133" s="82" t="str">
        <v>15694613827</v>
      </c>
      <c r="K1133" t="str">
        <v/>
      </c>
      <c r="L1133" s="82">
        <v>23264504</v>
      </c>
      <c r="M1133" s="82">
        <v>5578145819</v>
      </c>
      <c r="N1133" t="str">
        <v>NUEVO MENOR</v>
      </c>
      <c r="O1133" s="89">
        <v>5207.29</v>
      </c>
      <c r="P1133" s="89" t="str">
        <v/>
      </c>
      <c r="Q1133" s="89">
        <v>1562.1869999999999</v>
      </c>
      <c r="R1133" s="89">
        <v>1034.3100000000004</v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>
        <v>1</v>
      </c>
    </row>
    <row r="1134" spans="1:24">
      <c r="A1134" s="26">
        <v>2028</v>
      </c>
      <c r="B1134" s="87">
        <v>46251.563078703701</v>
      </c>
      <c r="C1134" s="87">
        <v>46251.564050925903</v>
      </c>
      <c r="D1134" t="str">
        <v>anónimo</v>
      </c>
      <c r="E1134" t="str">
        <v/>
      </c>
      <c r="F1134" s="68">
        <v>46251</v>
      </c>
      <c r="G1134" s="88">
        <v>46251</v>
      </c>
      <c r="H1134" t="str">
        <v>ALAN ALTAMIRANO EXT</v>
      </c>
      <c r="I1134" t="str">
        <v/>
      </c>
      <c r="J1134" s="82">
        <v>43866916646</v>
      </c>
      <c r="K1134" t="str">
        <v/>
      </c>
      <c r="L1134" s="82">
        <v>1</v>
      </c>
      <c r="M1134" s="82">
        <v>8140122297</v>
      </c>
      <c r="N1134" t="str">
        <v>NUEVO MAYOR</v>
      </c>
      <c r="O1134" s="89">
        <v>8909.0400000000009</v>
      </c>
      <c r="P1134" s="89" t="str">
        <v/>
      </c>
      <c r="Q1134" s="89">
        <v>2672.712</v>
      </c>
      <c r="R1134" s="89">
        <v>2672.712</v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>
        <v>1</v>
      </c>
    </row>
    <row r="1135" spans="1:24">
      <c r="A1135" s="26">
        <v>2031</v>
      </c>
      <c r="B1135" s="87">
        <v>46251.575347222199</v>
      </c>
      <c r="C1135" s="87">
        <v>46251.576539351903</v>
      </c>
      <c r="D1135" t="str">
        <v>anónimo</v>
      </c>
      <c r="E1135" t="str">
        <v/>
      </c>
      <c r="F1135" s="68">
        <v>46251</v>
      </c>
      <c r="G1135" s="88">
        <v>46251</v>
      </c>
      <c r="H1135" t="str">
        <v>DEYANIRA CORDOVA C/C</v>
      </c>
      <c r="I1135" t="str">
        <v/>
      </c>
      <c r="J1135" s="82">
        <v>49806005127</v>
      </c>
      <c r="K1135" t="str">
        <v>nalf600929htsprr05</v>
      </c>
      <c r="L1135" s="82">
        <v>23701380</v>
      </c>
      <c r="M1135" s="82">
        <v>8681912638</v>
      </c>
      <c r="N1135" t="str">
        <v>NUEVO MAYOR</v>
      </c>
      <c r="O1135" s="89">
        <v>6262.86</v>
      </c>
      <c r="P1135" s="89" t="str">
        <v/>
      </c>
      <c r="Q1135" s="89">
        <v>1878.8579999999997</v>
      </c>
      <c r="R1135" s="89">
        <v>1878.8579999999997</v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>
        <v>1</v>
      </c>
    </row>
    <row r="1136" spans="1:24">
      <c r="A1136" s="26">
        <v>2038</v>
      </c>
      <c r="B1136" s="87">
        <v>46251.609270833302</v>
      </c>
      <c r="C1136" s="87">
        <v>46251.618217592601</v>
      </c>
      <c r="D1136" t="str">
        <v>anónimo</v>
      </c>
      <c r="E1136" t="str">
        <v/>
      </c>
      <c r="F1136" s="68">
        <v>46251</v>
      </c>
      <c r="G1136" s="88">
        <v>46251</v>
      </c>
      <c r="H1136" t="str">
        <v>ROSA CASTRO SUR</v>
      </c>
      <c r="I1136" t="str">
        <v xml:space="preserve">ELIAS MONTOYA SUAREZ </v>
      </c>
      <c r="J1136" s="82">
        <v>30917344282</v>
      </c>
      <c r="K1136" t="str">
        <v>MOSE730410HDFNRL07</v>
      </c>
      <c r="L1136" s="82">
        <v>23698340</v>
      </c>
      <c r="M1136" s="82">
        <v>5215544761121</v>
      </c>
      <c r="N1136" t="str">
        <v>NUEVO MAYOR</v>
      </c>
      <c r="O1136" s="89">
        <v>6411.47</v>
      </c>
      <c r="P1136" s="89" t="str">
        <v/>
      </c>
      <c r="Q1136" s="89">
        <v>1923.441</v>
      </c>
      <c r="R1136" s="89">
        <v>1923.441</v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>
        <v>1</v>
      </c>
    </row>
    <row r="1137" spans="1:24">
      <c r="A1137" s="26">
        <v>2042</v>
      </c>
      <c r="B1137" s="87">
        <v>46251.618240740703</v>
      </c>
      <c r="C1137" s="87">
        <v>46251.657395833303</v>
      </c>
      <c r="D1137" t="str">
        <v>anónimo</v>
      </c>
      <c r="E1137" t="str">
        <v/>
      </c>
      <c r="F1137" s="68">
        <v>46251</v>
      </c>
      <c r="G1137" s="88">
        <v>46251</v>
      </c>
      <c r="H1137" t="str">
        <v>ROSA CASTRO SUR</v>
      </c>
      <c r="I1137" t="str">
        <v xml:space="preserve">ADRIAN LOZOYA GAMEZ </v>
      </c>
      <c r="J1137" s="82" t="str">
        <v/>
      </c>
      <c r="K1137" t="str">
        <v>LOGA590824HSLZMD08</v>
      </c>
      <c r="L1137" s="82">
        <v>23697788</v>
      </c>
      <c r="M1137" s="82">
        <v>5216871471685</v>
      </c>
      <c r="N1137" t="str">
        <v>NUEVO MENOR</v>
      </c>
      <c r="O1137" s="89">
        <v>4813.6899999999996</v>
      </c>
      <c r="P1137" s="89" t="str">
        <v/>
      </c>
      <c r="Q1137" s="89">
        <v>1444.1069999999997</v>
      </c>
      <c r="R1137" s="89">
        <v>640.71</v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>
        <v>1</v>
      </c>
    </row>
    <row r="1138" spans="1:24">
      <c r="A1138" s="26">
        <v>2044</v>
      </c>
      <c r="B1138" s="87">
        <v>46251.645729166703</v>
      </c>
      <c r="C1138" s="87">
        <v>46251.657939814802</v>
      </c>
      <c r="D1138" t="str">
        <v>anónimo</v>
      </c>
      <c r="E1138" t="str">
        <v/>
      </c>
      <c r="F1138" s="68">
        <v>46251</v>
      </c>
      <c r="G1138" s="88">
        <v>46250</v>
      </c>
      <c r="H1138" t="str">
        <v>ROSA CASTRO SUR</v>
      </c>
      <c r="I1138" t="str">
        <v>ARACELI RODRIGURZ BARRAGAN</v>
      </c>
      <c r="J1138" s="82" t="str">
        <v/>
      </c>
      <c r="K1138" t="str">
        <v>RXBA611227MJCDRR06</v>
      </c>
      <c r="L1138" s="82">
        <v>23681694</v>
      </c>
      <c r="M1138" s="82">
        <v>5213320544460</v>
      </c>
      <c r="N1138" t="str">
        <v>COMPRA MAYOR</v>
      </c>
      <c r="O1138" s="89">
        <v>17395.919999999998</v>
      </c>
      <c r="P1138" s="89">
        <v>4827.99</v>
      </c>
      <c r="Q1138" s="89">
        <v>5218.7759999999989</v>
      </c>
      <c r="R1138" s="89">
        <v>390.78599999999915</v>
      </c>
      <c r="S1138">
        <v>46235</v>
      </c>
      <c r="T1138" t="str">
        <v/>
      </c>
      <c r="U1138" t="str">
        <v/>
      </c>
      <c r="V1138" t="str">
        <v/>
      </c>
      <c r="W1138" t="str">
        <v/>
      </c>
      <c r="X1138">
        <v>2</v>
      </c>
    </row>
    <row r="1139" spans="1:24">
      <c r="A1139" s="26">
        <v>2050</v>
      </c>
      <c r="B1139" s="87">
        <v>46251.676805555602</v>
      </c>
      <c r="C1139" s="87">
        <v>46251.678182870397</v>
      </c>
      <c r="D1139" t="str">
        <v>anónimo</v>
      </c>
      <c r="E1139" t="str">
        <v/>
      </c>
      <c r="F1139" s="68">
        <v>46251</v>
      </c>
      <c r="G1139" s="88">
        <v>46251</v>
      </c>
      <c r="H1139" t="str">
        <v>BEATRIZ DE LA CRUZ C/C</v>
      </c>
      <c r="I1139" t="str">
        <v>JOSE ERUBIEL PABLOS ARISPURO</v>
      </c>
      <c r="J1139" s="82">
        <v>24805930344</v>
      </c>
      <c r="K1139" t="str">
        <v>PAAE590825HSRBRR04</v>
      </c>
      <c r="L1139" s="82">
        <v>23704876</v>
      </c>
      <c r="M1139" s="82">
        <v>6221456232</v>
      </c>
      <c r="N1139" t="str">
        <v>NUEVO MAYOR</v>
      </c>
      <c r="O1139" s="89">
        <v>6474.79</v>
      </c>
      <c r="P1139" s="89" t="str">
        <v/>
      </c>
      <c r="Q1139" s="89">
        <v>1942.4369999999999</v>
      </c>
      <c r="R1139" s="89">
        <v>1942.4369999999999</v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>
        <v>1</v>
      </c>
    </row>
    <row r="1140" spans="1:24">
      <c r="A1140" s="26">
        <v>2051</v>
      </c>
      <c r="B1140" s="87">
        <v>46251.676296296297</v>
      </c>
      <c r="C1140" s="87">
        <v>46251.680173611101</v>
      </c>
      <c r="D1140" t="str">
        <v>anónimo</v>
      </c>
      <c r="E1140" t="str">
        <v/>
      </c>
      <c r="F1140" s="68">
        <v>46251</v>
      </c>
      <c r="G1140" s="88">
        <v>46251</v>
      </c>
      <c r="H1140" t="str">
        <v>GUADALUPE CRUZ SUR</v>
      </c>
      <c r="I1140" t="str">
        <v xml:space="preserve">GUADALUPE PERALTA PADILLA </v>
      </c>
      <c r="J1140" s="82" t="str">
        <v/>
      </c>
      <c r="K1140" t="str">
        <v>PEPG760402MDFRDD02</v>
      </c>
      <c r="L1140" s="82">
        <v>23704290</v>
      </c>
      <c r="M1140" s="82">
        <v>5215521986974</v>
      </c>
      <c r="N1140" t="str">
        <v>NUEVO MENOR</v>
      </c>
      <c r="O1140" s="89">
        <v>5050.42</v>
      </c>
      <c r="P1140" s="89" t="str">
        <v/>
      </c>
      <c r="Q1140" s="89">
        <v>1515.126</v>
      </c>
      <c r="R1140" s="89">
        <v>877.44000000000051</v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>
        <v>1</v>
      </c>
    </row>
    <row r="1141" spans="1:24">
      <c r="A1141" s="26">
        <v>2055</v>
      </c>
      <c r="B1141" s="87">
        <v>46251.707430555602</v>
      </c>
      <c r="C1141" s="87">
        <v>46251.708206018498</v>
      </c>
      <c r="D1141" t="str">
        <v>anónimo</v>
      </c>
      <c r="E1141" t="str">
        <v/>
      </c>
      <c r="F1141" s="68">
        <v>46251</v>
      </c>
      <c r="G1141" s="88">
        <v>46251</v>
      </c>
      <c r="H1141" t="str">
        <v>MAYTE NAVARRO C/C</v>
      </c>
      <c r="I1141" t="str">
        <v>JOSE ALEJANDRO MENDEZ MIRANDA</v>
      </c>
      <c r="J1141" s="82" t="str">
        <v/>
      </c>
      <c r="K1141" t="str">
        <v>MEMA571115HDFNRL08</v>
      </c>
      <c r="L1141" s="82">
        <v>23705598</v>
      </c>
      <c r="M1141" s="82">
        <v>5537899369</v>
      </c>
      <c r="N1141" t="str">
        <v>NUEVO MAYOR</v>
      </c>
      <c r="O1141" s="89">
        <v>29598.57</v>
      </c>
      <c r="P1141" s="89" t="str">
        <v/>
      </c>
      <c r="Q1141" s="89">
        <v>8879.5709999999999</v>
      </c>
      <c r="R1141" s="89">
        <v>8879.5709999999999</v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>
        <v>1</v>
      </c>
    </row>
    <row r="1142" spans="1:24">
      <c r="A1142" s="26">
        <v>2057</v>
      </c>
      <c r="B1142" s="87">
        <v>46251.714803240699</v>
      </c>
      <c r="C1142" s="87">
        <v>46251.715393518498</v>
      </c>
      <c r="D1142" t="str">
        <v>anónimo</v>
      </c>
      <c r="E1142" t="str">
        <v/>
      </c>
      <c r="F1142" s="68">
        <v>46251</v>
      </c>
      <c r="G1142" s="88">
        <v>46250</v>
      </c>
      <c r="H1142" t="str">
        <v>GIOVANNI MELGAR</v>
      </c>
      <c r="I1142" t="str">
        <v>NICOLAS SOTO RIVERA</v>
      </c>
      <c r="J1142" s="82" t="str">
        <v/>
      </c>
      <c r="K1142" t="str">
        <v>SORN581206HPLTVC00</v>
      </c>
      <c r="L1142" s="82">
        <v>23681874</v>
      </c>
      <c r="M1142" s="82">
        <v>5212271002869</v>
      </c>
      <c r="N1142" t="str">
        <v>NUEVO MAYOR</v>
      </c>
      <c r="O1142" s="89">
        <v>38751.760000000002</v>
      </c>
      <c r="P1142" s="89" t="str">
        <v/>
      </c>
      <c r="Q1142" s="89">
        <v>11625.528</v>
      </c>
      <c r="R1142" s="89">
        <v>11625.528</v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>
        <v>1</v>
      </c>
    </row>
    <row r="1143" spans="1:24">
      <c r="A1143" s="26">
        <v>2062</v>
      </c>
      <c r="B1143" s="87">
        <v>46251.771886574097</v>
      </c>
      <c r="C1143" s="87">
        <v>46251.7727199074</v>
      </c>
      <c r="D1143" t="str">
        <v>anónimo</v>
      </c>
      <c r="E1143" t="str">
        <v/>
      </c>
      <c r="F1143" s="68">
        <v>46251</v>
      </c>
      <c r="G1143" s="88">
        <v>46251</v>
      </c>
      <c r="H1143" t="str">
        <v>ANA VILLEGAS C/C</v>
      </c>
      <c r="I1143" t="str">
        <v>veronica alvarado</v>
      </c>
      <c r="J1143" s="82">
        <v>43816333959</v>
      </c>
      <c r="K1143" t="str">
        <v>AAAV701013MNLLLR07</v>
      </c>
      <c r="L1143" s="82">
        <v>23708378</v>
      </c>
      <c r="M1143" s="82">
        <v>5218110366848</v>
      </c>
      <c r="N1143" t="str">
        <v>COMPRA MAYOR</v>
      </c>
      <c r="O1143" s="89">
        <v>8173.36</v>
      </c>
      <c r="P1143" s="89">
        <v>2263.38</v>
      </c>
      <c r="Q1143" s="89">
        <v>2452.0079999999998</v>
      </c>
      <c r="R1143" s="89">
        <v>188.6279999999997</v>
      </c>
      <c r="S1143">
        <v>46204</v>
      </c>
      <c r="T1143" t="str">
        <v/>
      </c>
      <c r="U1143" t="str">
        <v/>
      </c>
      <c r="V1143" t="str">
        <v/>
      </c>
      <c r="W1143" t="str">
        <v/>
      </c>
      <c r="X1143">
        <v>2</v>
      </c>
    </row>
    <row r="1144" spans="1:24">
      <c r="A1144" s="26">
        <v>2063</v>
      </c>
      <c r="B1144" s="87">
        <v>46251.829120370399</v>
      </c>
      <c r="C1144" s="87">
        <v>46251.832569444399</v>
      </c>
      <c r="D1144" t="str">
        <v>anónimo</v>
      </c>
      <c r="E1144" t="str">
        <v/>
      </c>
      <c r="F1144" s="68">
        <v>46251</v>
      </c>
      <c r="G1144" s="88">
        <v>46251</v>
      </c>
      <c r="H1144" t="str">
        <v>DEYANIRA CORDOVA C/C</v>
      </c>
      <c r="I1144" t="str">
        <v/>
      </c>
      <c r="J1144" s="82" t="str">
        <v/>
      </c>
      <c r="K1144" t="str">
        <v>GURS641101MTSVDN03</v>
      </c>
      <c r="L1144" s="82">
        <v>23699744</v>
      </c>
      <c r="M1144" s="82">
        <v>8125974555</v>
      </c>
      <c r="N1144" t="str">
        <v>NUEVO MAYOR</v>
      </c>
      <c r="O1144" s="89">
        <v>10636.54</v>
      </c>
      <c r="P1144" s="89" t="str">
        <v/>
      </c>
      <c r="Q1144" s="89">
        <v>3190.962</v>
      </c>
      <c r="R1144" s="89">
        <v>3190.962</v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>
        <v>1</v>
      </c>
    </row>
    <row r="1145" spans="1:24">
      <c r="A1145" s="26">
        <v>2074</v>
      </c>
      <c r="B1145" s="87">
        <v>46252.431157407402</v>
      </c>
      <c r="C1145" s="87">
        <v>46252.431678240697</v>
      </c>
      <c r="D1145" t="str">
        <v>anónimo</v>
      </c>
      <c r="E1145" t="str">
        <v/>
      </c>
      <c r="F1145" s="68">
        <v>46252</v>
      </c>
      <c r="G1145" s="88">
        <v>46251</v>
      </c>
      <c r="H1145" t="str">
        <v>GLORIA ORTIZ C/C</v>
      </c>
      <c r="I1145" t="str">
        <v>JUAN CARLOS GONZALEZ HERNANDEZ</v>
      </c>
      <c r="J1145" s="82" t="str">
        <v>06826413566</v>
      </c>
      <c r="K1145" t="str">
        <v/>
      </c>
      <c r="L1145" s="82">
        <v>23709064</v>
      </c>
      <c r="M1145" s="82">
        <v>5215519349190</v>
      </c>
      <c r="N1145" t="str">
        <v>NUEVO MAYOR</v>
      </c>
      <c r="O1145" s="89">
        <v>9760.32</v>
      </c>
      <c r="P1145" s="89" t="str">
        <v/>
      </c>
      <c r="Q1145" s="89">
        <v>2928.096</v>
      </c>
      <c r="R1145" s="89">
        <v>2928.096</v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>
        <v>1</v>
      </c>
    </row>
    <row r="1146" spans="1:24">
      <c r="A1146" s="26">
        <v>2075</v>
      </c>
      <c r="B1146" s="87">
        <v>46252.433877314797</v>
      </c>
      <c r="C1146" s="87">
        <v>46252.434861111098</v>
      </c>
      <c r="D1146" t="str">
        <v>anónimo</v>
      </c>
      <c r="E1146" t="str">
        <v/>
      </c>
      <c r="F1146" s="68">
        <v>46252</v>
      </c>
      <c r="G1146" s="88">
        <v>46251</v>
      </c>
      <c r="H1146" t="str">
        <v>BEATRIZ DE LA CRUZ C/C</v>
      </c>
      <c r="I1146" t="str">
        <v>ARTURO MATEO VELAZQUEZ</v>
      </c>
      <c r="J1146" s="82" t="str">
        <v/>
      </c>
      <c r="K1146" t="str">
        <v>MAVA651224HVZTLR17</v>
      </c>
      <c r="L1146" s="82">
        <v>23707024</v>
      </c>
      <c r="M1146" s="82">
        <v>9212509009</v>
      </c>
      <c r="N1146" t="str">
        <v>NUEVO MAYOR</v>
      </c>
      <c r="O1146" s="89">
        <v>11029.03</v>
      </c>
      <c r="P1146" s="89" t="str">
        <v/>
      </c>
      <c r="Q1146" s="89">
        <v>3308.7090000000003</v>
      </c>
      <c r="R1146" s="89">
        <v>3308.7090000000003</v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>
        <v>1</v>
      </c>
    </row>
    <row r="1147" spans="1:24">
      <c r="A1147" s="26">
        <v>2078</v>
      </c>
      <c r="B1147" s="87">
        <v>46252.4452199074</v>
      </c>
      <c r="C1147" s="87">
        <v>46252.448923611097</v>
      </c>
      <c r="D1147" t="str">
        <v>anónimo</v>
      </c>
      <c r="E1147" t="str">
        <v/>
      </c>
      <c r="F1147" s="68">
        <v>46252</v>
      </c>
      <c r="G1147" s="88">
        <v>46252</v>
      </c>
      <c r="H1147" t="str">
        <v>LILIANA MARTINEZ SUR</v>
      </c>
      <c r="I1147" t="str">
        <v>ERNESTO MEDINA NAJERA</v>
      </c>
      <c r="J1147" s="82">
        <v>92886204921</v>
      </c>
      <c r="K1147" t="str">
        <v>MENE621204HDFDJR06</v>
      </c>
      <c r="L1147" s="82">
        <v>23714052</v>
      </c>
      <c r="M1147" s="82">
        <v>5215583495383</v>
      </c>
      <c r="N1147" t="str">
        <v>NUEVO MAYOR</v>
      </c>
      <c r="O1147" s="89">
        <v>13829.67</v>
      </c>
      <c r="P1147" s="89">
        <v>879</v>
      </c>
      <c r="Q1147" s="89">
        <v>4148.9009999999998</v>
      </c>
      <c r="R1147" s="89">
        <v>3269.9009999999998</v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>
        <v>1</v>
      </c>
    </row>
    <row r="1148" spans="1:24">
      <c r="A1148" s="26">
        <v>2086</v>
      </c>
      <c r="B1148" s="87">
        <v>46252.494652777801</v>
      </c>
      <c r="C1148" s="87">
        <v>46252.501180555599</v>
      </c>
      <c r="D1148" t="str">
        <v>anónimo</v>
      </c>
      <c r="E1148" t="str">
        <v/>
      </c>
      <c r="F1148" s="68">
        <v>46252</v>
      </c>
      <c r="G1148" s="88">
        <v>46252</v>
      </c>
      <c r="H1148" t="str">
        <v>LILIANA MARTINEZ SUR</v>
      </c>
      <c r="I1148" t="str">
        <v>RAFAEL RODRIGUEZ VALDES</v>
      </c>
      <c r="J1148" s="82">
        <v>43805831803</v>
      </c>
      <c r="K1148" t="str">
        <v>ROVR581028HCLDLF01</v>
      </c>
      <c r="L1148" s="82">
        <v>23714976</v>
      </c>
      <c r="M1148" s="82">
        <v>5218448841093</v>
      </c>
      <c r="N1148" t="str">
        <v>NUEVO MAYOR</v>
      </c>
      <c r="O1148" s="89">
        <v>31516.93</v>
      </c>
      <c r="P1148" s="89" t="str">
        <v/>
      </c>
      <c r="Q1148" s="89">
        <v>9455.0789999999997</v>
      </c>
      <c r="R1148" s="89">
        <v>9455.0789999999997</v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>
        <v>1</v>
      </c>
    </row>
    <row r="1149" spans="1:24">
      <c r="A1149" s="26">
        <v>2092</v>
      </c>
      <c r="B1149" s="87">
        <v>46252.533460648097</v>
      </c>
      <c r="C1149" s="87">
        <v>46252.536550925899</v>
      </c>
      <c r="D1149" t="str">
        <v>anónimo</v>
      </c>
      <c r="E1149" t="str">
        <v/>
      </c>
      <c r="F1149" s="68">
        <v>46252</v>
      </c>
      <c r="G1149" s="88">
        <v>46252</v>
      </c>
      <c r="H1149" t="str">
        <v>LILIANA MARTINEZ SUR</v>
      </c>
      <c r="I1149" t="str">
        <v>JULIAN MONJARAS RAMIREZ</v>
      </c>
      <c r="J1149" s="82" t="str">
        <v/>
      </c>
      <c r="K1149" t="str">
        <v>MORJ560621HDFNML00</v>
      </c>
      <c r="L1149" s="82">
        <v>23727956</v>
      </c>
      <c r="M1149" s="82">
        <v>5215523247999</v>
      </c>
      <c r="N1149" t="str">
        <v>RESTRINGIDA</v>
      </c>
      <c r="O1149" s="89">
        <v>5041.03</v>
      </c>
      <c r="P1149" s="89">
        <v>654.16999999999996</v>
      </c>
      <c r="Q1149" s="89">
        <v>1512.309</v>
      </c>
      <c r="R1149" s="89">
        <v>213.88000000000022</v>
      </c>
      <c r="S1149">
        <v>45292</v>
      </c>
      <c r="T1149" t="str">
        <v>CONSUBANCO</v>
      </c>
      <c r="U1149" t="str">
        <v/>
      </c>
      <c r="V1149" t="str">
        <v/>
      </c>
      <c r="W1149" t="str">
        <v/>
      </c>
      <c r="X1149">
        <v>2</v>
      </c>
    </row>
    <row r="1150" spans="1:24">
      <c r="A1150" s="26">
        <v>2099</v>
      </c>
      <c r="B1150" s="87">
        <v>46252.538333333301</v>
      </c>
      <c r="C1150" s="87">
        <v>46252.592361111099</v>
      </c>
      <c r="D1150" t="str">
        <v>anónimo</v>
      </c>
      <c r="E1150" t="str">
        <v/>
      </c>
      <c r="F1150" s="68">
        <v>46252</v>
      </c>
      <c r="G1150" s="88">
        <v>46251</v>
      </c>
      <c r="H1150" t="str">
        <v>LILIANA MARTINEZ SUR</v>
      </c>
      <c r="I1150" t="str">
        <v>NICOLAS HUERTA BATRES</v>
      </c>
      <c r="J1150" s="82">
        <v>31947020991</v>
      </c>
      <c r="K1150" t="str">
        <v>HUBN700127HDGRTC05</v>
      </c>
      <c r="L1150" s="82">
        <v>23711354</v>
      </c>
      <c r="M1150" s="82">
        <v>5216565533770</v>
      </c>
      <c r="N1150" t="str">
        <v>NUEVO MAYOR</v>
      </c>
      <c r="O1150" s="89">
        <v>8793.09</v>
      </c>
      <c r="P1150" s="89" t="str">
        <v/>
      </c>
      <c r="Q1150" s="89">
        <v>2637.9270000000001</v>
      </c>
      <c r="R1150" s="89">
        <v>2637.9270000000001</v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>
        <v>1</v>
      </c>
    </row>
    <row r="1151" spans="1:24">
      <c r="A1151" s="26">
        <v>2101</v>
      </c>
      <c r="B1151" s="87">
        <v>46252.596145833297</v>
      </c>
      <c r="C1151" s="87">
        <v>46252.597175925897</v>
      </c>
      <c r="D1151" t="str">
        <v>anónimo</v>
      </c>
      <c r="E1151" t="str">
        <v/>
      </c>
      <c r="F1151" s="68">
        <v>46252</v>
      </c>
      <c r="G1151" s="88">
        <v>46252</v>
      </c>
      <c r="H1151" t="str">
        <v>YAMILETH CARDONA EXT 2</v>
      </c>
      <c r="I1151" t="str">
        <v>JUAN MANUEL VASQUEZ ESQUIVEL</v>
      </c>
      <c r="J1151" s="82">
        <v>32906476596</v>
      </c>
      <c r="K1151" t="str">
        <v>VAEJ620729HCLSSN01</v>
      </c>
      <c r="L1151" s="82">
        <v>2</v>
      </c>
      <c r="M1151" s="82">
        <v>18443585167</v>
      </c>
      <c r="N1151" t="str">
        <v>NUEVO MENOR</v>
      </c>
      <c r="O1151" s="89">
        <v>10535.19</v>
      </c>
      <c r="P1151" s="89">
        <v>2393.9899999999998</v>
      </c>
      <c r="Q1151" s="89">
        <v>3160.5570000000002</v>
      </c>
      <c r="R1151" s="89">
        <v>766.56700000000046</v>
      </c>
      <c r="S1151">
        <v>46966</v>
      </c>
      <c r="T1151" t="str">
        <v/>
      </c>
      <c r="U1151" t="str">
        <v/>
      </c>
      <c r="V1151" t="str">
        <v/>
      </c>
      <c r="W1151" t="str">
        <v/>
      </c>
      <c r="X1151">
        <v>2</v>
      </c>
    </row>
    <row r="1152" spans="1:24">
      <c r="A1152" s="26">
        <v>2102</v>
      </c>
      <c r="B1152" s="87">
        <v>46252.597199074102</v>
      </c>
      <c r="C1152" s="87">
        <v>46252.598877314798</v>
      </c>
      <c r="D1152" t="str">
        <v>anónimo</v>
      </c>
      <c r="E1152" t="str">
        <v/>
      </c>
      <c r="F1152" s="68">
        <v>46252</v>
      </c>
      <c r="G1152" s="88">
        <v>46252</v>
      </c>
      <c r="H1152" t="str">
        <v>YAMILETH CARDONA EXT 2</v>
      </c>
      <c r="I1152" t="str">
        <v>MARIA DEL CARMEN MORALES TELLEZ</v>
      </c>
      <c r="J1152" s="82">
        <v>64806002461</v>
      </c>
      <c r="K1152" t="str">
        <v>MOTC600826MDFRLR08</v>
      </c>
      <c r="L1152" s="82">
        <v>2</v>
      </c>
      <c r="M1152" s="82">
        <v>5529374325</v>
      </c>
      <c r="N1152" t="str">
        <v>NUEVO MAYOR</v>
      </c>
      <c r="O1152" s="89">
        <v>13466.29</v>
      </c>
      <c r="P1152" s="89">
        <v>879</v>
      </c>
      <c r="Q1152" s="89">
        <v>4039.8870000000002</v>
      </c>
      <c r="R1152" s="89">
        <v>3160.8870000000002</v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>
        <v>1</v>
      </c>
    </row>
    <row r="1153" spans="1:24">
      <c r="A1153" s="26">
        <v>2103</v>
      </c>
      <c r="B1153" s="87">
        <v>46252.5995833333</v>
      </c>
      <c r="C1153" s="87">
        <v>46252.6019212963</v>
      </c>
      <c r="D1153" t="str">
        <v>anónimo</v>
      </c>
      <c r="E1153" t="str">
        <v/>
      </c>
      <c r="F1153" s="68">
        <v>46252</v>
      </c>
      <c r="G1153" s="88">
        <v>46252</v>
      </c>
      <c r="H1153" t="str">
        <v>DANIELA IRACHETA C/C</v>
      </c>
      <c r="I1153" t="str">
        <v xml:space="preserve">RICARDO ARRIAGA LOPEZ </v>
      </c>
      <c r="J1153" s="82" t="str">
        <v/>
      </c>
      <c r="K1153" t="str">
        <v>AILR540317HMNRPC02</v>
      </c>
      <c r="L1153" s="82">
        <v>23703414</v>
      </c>
      <c r="M1153" s="82">
        <v>5214612655962</v>
      </c>
      <c r="N1153" t="str">
        <v>NUEVO MAYOR</v>
      </c>
      <c r="O1153" s="89">
        <v>40155.72</v>
      </c>
      <c r="P1153" s="89" t="str">
        <v/>
      </c>
      <c r="Q1153" s="89">
        <v>12046.716</v>
      </c>
      <c r="R1153" s="89">
        <v>12046.716</v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>
        <v>1</v>
      </c>
    </row>
    <row r="1154" spans="1:24">
      <c r="A1154" s="26">
        <v>2107</v>
      </c>
      <c r="B1154" s="87">
        <v>46252.606053240699</v>
      </c>
      <c r="C1154" s="87">
        <v>46252.610057870399</v>
      </c>
      <c r="D1154" t="str">
        <v>anónimo</v>
      </c>
      <c r="E1154" t="str">
        <v/>
      </c>
      <c r="F1154" s="68">
        <v>46252</v>
      </c>
      <c r="G1154" s="88">
        <v>46252</v>
      </c>
      <c r="H1154" t="str">
        <v>CARRANZA SARDINA C/C</v>
      </c>
      <c r="I1154" t="str">
        <v>Abraham Montes Platas</v>
      </c>
      <c r="J1154" s="82" t="str">
        <v/>
      </c>
      <c r="K1154" t="str">
        <v>MOPA651016HVZNLB00</v>
      </c>
      <c r="L1154" s="82">
        <v>23730808</v>
      </c>
      <c r="M1154" s="82">
        <v>2961011851</v>
      </c>
      <c r="N1154" t="str">
        <v>NUEVO MAYOR</v>
      </c>
      <c r="O1154" s="89">
        <v>11029.03</v>
      </c>
      <c r="P1154" s="89" t="str">
        <v/>
      </c>
      <c r="Q1154" s="89">
        <v>3308.7090000000003</v>
      </c>
      <c r="R1154" s="89">
        <v>3308.7090000000003</v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>
        <v>1</v>
      </c>
    </row>
    <row r="1155" spans="1:24">
      <c r="A1155" s="26">
        <v>2120</v>
      </c>
      <c r="B1155" s="87">
        <v>46252.643425925897</v>
      </c>
      <c r="C1155" s="87">
        <v>46252.643773148098</v>
      </c>
      <c r="D1155" t="str">
        <v>anónimo</v>
      </c>
      <c r="E1155" t="str">
        <v/>
      </c>
      <c r="F1155" s="68">
        <v>46252</v>
      </c>
      <c r="G1155" s="88">
        <v>46252</v>
      </c>
      <c r="H1155" t="str">
        <v>GLORIA ORTIZ C/C</v>
      </c>
      <c r="I1155" t="str">
        <v>JOSE HERRERA</v>
      </c>
      <c r="J1155" s="82">
        <v>23796010736</v>
      </c>
      <c r="K1155" t="str">
        <v/>
      </c>
      <c r="L1155" s="82">
        <v>23733834</v>
      </c>
      <c r="M1155" s="82">
        <v>5216678292908</v>
      </c>
      <c r="N1155" t="str">
        <v>NUEVO MENOR</v>
      </c>
      <c r="O1155" s="89">
        <v>48407.81</v>
      </c>
      <c r="P1155" s="89">
        <v>13998.01</v>
      </c>
      <c r="Q1155" s="89">
        <v>14522.342999999999</v>
      </c>
      <c r="R1155" s="89">
        <v>524.33299999999872</v>
      </c>
      <c r="S1155">
        <v>46600</v>
      </c>
      <c r="T1155" t="str">
        <v>CONSUBANCO</v>
      </c>
      <c r="U1155" t="str">
        <v/>
      </c>
      <c r="V1155" t="str">
        <v/>
      </c>
      <c r="W1155" t="str">
        <v/>
      </c>
      <c r="X1155">
        <v>2</v>
      </c>
    </row>
    <row r="1156" spans="1:24">
      <c r="A1156" s="26">
        <v>2121</v>
      </c>
      <c r="B1156" s="87">
        <v>46252.633333333302</v>
      </c>
      <c r="C1156" s="87">
        <v>46252.64875</v>
      </c>
      <c r="D1156" t="str">
        <v>anónimo</v>
      </c>
      <c r="E1156" t="str">
        <v/>
      </c>
      <c r="F1156" s="68">
        <v>46252</v>
      </c>
      <c r="G1156" s="88">
        <v>46252</v>
      </c>
      <c r="H1156" t="str">
        <v>PAOLA RODRIGUEZ C/C</v>
      </c>
      <c r="I1156" t="str">
        <v>RAUL PACHECO SAENZ</v>
      </c>
      <c r="J1156" s="82" t="str">
        <v/>
      </c>
      <c r="K1156" t="str">
        <v>PASR531213HCHCNL01</v>
      </c>
      <c r="L1156" s="82">
        <v>23734246</v>
      </c>
      <c r="M1156" s="82">
        <v>6141913909</v>
      </c>
      <c r="N1156" t="str">
        <v>NUEVO MAYOR</v>
      </c>
      <c r="O1156" s="89">
        <v>14385.63</v>
      </c>
      <c r="P1156" s="89" t="str">
        <v/>
      </c>
      <c r="Q1156" s="89">
        <v>4315.6889999999994</v>
      </c>
      <c r="R1156" s="89">
        <v>4315.6889999999994</v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>
        <v>1</v>
      </c>
    </row>
    <row r="1157" spans="1:24">
      <c r="A1157" s="26">
        <v>2122</v>
      </c>
      <c r="B1157" s="87">
        <v>46252.661736111098</v>
      </c>
      <c r="C1157" s="87">
        <v>46252.662384259304</v>
      </c>
      <c r="D1157" t="str">
        <v>anónimo</v>
      </c>
      <c r="E1157" t="str">
        <v/>
      </c>
      <c r="F1157" s="68">
        <v>46252</v>
      </c>
      <c r="G1157" s="88">
        <v>46252</v>
      </c>
      <c r="H1157" t="str">
        <v>LITZY MARTINEZ C/C</v>
      </c>
      <c r="I1157" t="str">
        <v xml:space="preserve">aaron hernandez lozano </v>
      </c>
      <c r="J1157" s="82" t="str">
        <v>32816214335</v>
      </c>
      <c r="K1157" t="str">
        <v/>
      </c>
      <c r="L1157" s="82">
        <v>23734516</v>
      </c>
      <c r="M1157" s="82">
        <v>8712354791</v>
      </c>
      <c r="N1157" t="str">
        <v>NUEVO MAYOR</v>
      </c>
      <c r="O1157" s="89">
        <v>23444.02</v>
      </c>
      <c r="P1157" s="89" t="str">
        <v/>
      </c>
      <c r="Q1157" s="89">
        <v>7033.2060000000001</v>
      </c>
      <c r="R1157" s="89">
        <v>7033.2060000000001</v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>
        <v>1</v>
      </c>
    </row>
    <row r="1158" spans="1:24">
      <c r="A1158" s="26">
        <v>2123</v>
      </c>
      <c r="B1158" s="87">
        <v>46252.641469907401</v>
      </c>
      <c r="C1158" s="87">
        <v>46252.683217592603</v>
      </c>
      <c r="D1158" t="str">
        <v>anónimo</v>
      </c>
      <c r="E1158" t="str">
        <v/>
      </c>
      <c r="F1158" s="68">
        <v>46252</v>
      </c>
      <c r="G1158" s="88">
        <v>46251</v>
      </c>
      <c r="H1158" t="str">
        <v>LILIANA MARTINEZ SUR</v>
      </c>
      <c r="I1158" t="str">
        <v>FABIOLA SOLORZANO CONCEPCION</v>
      </c>
      <c r="J1158" s="82">
        <v>92917392208</v>
      </c>
      <c r="K1158" t="str">
        <v>SOCF780227MDFLNB02</v>
      </c>
      <c r="L1158" s="82">
        <v>23711882</v>
      </c>
      <c r="M1158" s="82">
        <v>5215615043450</v>
      </c>
      <c r="N1158" t="str">
        <v>NUEVO MAYOR</v>
      </c>
      <c r="O1158" s="89">
        <v>7128.48</v>
      </c>
      <c r="P1158" s="89">
        <v>827.86</v>
      </c>
      <c r="Q1158" s="89">
        <v>2138.5439999999999</v>
      </c>
      <c r="R1158" s="89">
        <v>1310.6839999999997</v>
      </c>
      <c r="S1158">
        <v>46204</v>
      </c>
      <c r="T1158" t="str">
        <v/>
      </c>
      <c r="U1158" t="str">
        <v/>
      </c>
      <c r="V1158" t="str">
        <v/>
      </c>
      <c r="W1158" t="str">
        <v/>
      </c>
      <c r="X1158">
        <v>2</v>
      </c>
    </row>
    <row r="1159" spans="1:24">
      <c r="A1159" s="26">
        <v>2126</v>
      </c>
      <c r="B1159" s="87">
        <v>46252.692129629599</v>
      </c>
      <c r="C1159" s="87">
        <v>46252.693321759303</v>
      </c>
      <c r="D1159" t="str">
        <v>anónimo</v>
      </c>
      <c r="E1159" t="str">
        <v/>
      </c>
      <c r="F1159" s="68">
        <v>46252</v>
      </c>
      <c r="G1159" s="88">
        <v>46252</v>
      </c>
      <c r="H1159" t="str">
        <v>DANIELA IRACHETA C/C</v>
      </c>
      <c r="I1159" t="str">
        <v>nath</v>
      </c>
      <c r="J1159" s="82" t="str">
        <v/>
      </c>
      <c r="K1159" t="str">
        <v>RIRC580512HBCVBN07</v>
      </c>
      <c r="L1159" s="82">
        <v>23702326</v>
      </c>
      <c r="M1159" s="82">
        <v>5216623504606</v>
      </c>
      <c r="N1159" t="str">
        <v>RESTRINGIDA</v>
      </c>
      <c r="O1159" s="89">
        <v>7920.51</v>
      </c>
      <c r="P1159" s="89">
        <v>2291.6</v>
      </c>
      <c r="Q1159" s="89">
        <v>2376.1529999999998</v>
      </c>
      <c r="R1159" s="89">
        <v>84.552999999999884</v>
      </c>
      <c r="S1159">
        <v>46054</v>
      </c>
      <c r="T1159" t="str">
        <v>CONSUBANCO</v>
      </c>
      <c r="U1159" t="str">
        <v/>
      </c>
      <c r="V1159" t="str">
        <v/>
      </c>
      <c r="W1159" t="str">
        <v/>
      </c>
      <c r="X1159">
        <v>2</v>
      </c>
    </row>
    <row r="1160" spans="1:24">
      <c r="A1160" s="26">
        <v>2127</v>
      </c>
      <c r="B1160" s="87">
        <v>46252.683553240699</v>
      </c>
      <c r="C1160" s="87">
        <v>46252.704849537004</v>
      </c>
      <c r="D1160" t="str">
        <v>anónimo</v>
      </c>
      <c r="E1160" t="str">
        <v/>
      </c>
      <c r="F1160" s="68">
        <v>46252</v>
      </c>
      <c r="G1160" s="88">
        <v>46252</v>
      </c>
      <c r="H1160" t="str">
        <v>LILIANA MARTINEZ SUR</v>
      </c>
      <c r="I1160" t="str">
        <v>JOSE CHIGO BUSTAMANTE</v>
      </c>
      <c r="J1160" s="82" t="str">
        <v/>
      </c>
      <c r="K1160" t="str">
        <v>CIBJ560224HVZHSS07</v>
      </c>
      <c r="L1160" s="82">
        <v>23729512</v>
      </c>
      <c r="M1160" s="82">
        <v>5212941519831</v>
      </c>
      <c r="N1160" t="str">
        <v>NUEVO MAYOR</v>
      </c>
      <c r="O1160" s="89">
        <v>7920.53</v>
      </c>
      <c r="P1160" s="89" t="str">
        <v/>
      </c>
      <c r="Q1160" s="89">
        <v>2376.1589999999997</v>
      </c>
      <c r="R1160" s="89">
        <v>2376.1589999999997</v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>
        <v>1</v>
      </c>
    </row>
    <row r="1161" spans="1:24">
      <c r="A1161" s="26">
        <v>2130</v>
      </c>
      <c r="B1161" s="87">
        <v>46252.726620370398</v>
      </c>
      <c r="C1161" s="87">
        <v>46252.728275463</v>
      </c>
      <c r="D1161" t="str">
        <v>anónimo</v>
      </c>
      <c r="E1161" t="str">
        <v/>
      </c>
      <c r="F1161" s="68">
        <v>46252</v>
      </c>
      <c r="G1161" s="88">
        <v>46252</v>
      </c>
      <c r="H1161" t="str">
        <v>PAOLA RODRIGUEZ C/C</v>
      </c>
      <c r="I1161" t="str">
        <v>ISAURA PAGAZA SANCHEZ</v>
      </c>
      <c r="J1161" s="82" t="str">
        <v>01695394682</v>
      </c>
      <c r="K1161" t="str">
        <v/>
      </c>
      <c r="L1161" s="82">
        <v>23735300</v>
      </c>
      <c r="M1161" s="82">
        <v>5537313083</v>
      </c>
      <c r="N1161" t="str">
        <v>NUEVO MENOR</v>
      </c>
      <c r="O1161" s="89">
        <v>30795.51</v>
      </c>
      <c r="P1161" s="89">
        <v>8899.33</v>
      </c>
      <c r="Q1161" s="89">
        <v>9238.6529999999984</v>
      </c>
      <c r="R1161" s="89">
        <v>339.3229999999985</v>
      </c>
      <c r="S1161">
        <v>46419</v>
      </c>
      <c r="T1161" t="str">
        <v>CONSUBANCO</v>
      </c>
      <c r="U1161" t="str">
        <v/>
      </c>
      <c r="V1161" t="str">
        <v/>
      </c>
      <c r="W1161" t="str">
        <v/>
      </c>
      <c r="X1161">
        <v>2</v>
      </c>
    </row>
    <row r="1162" spans="1:24">
      <c r="A1162" s="26">
        <v>2131</v>
      </c>
      <c r="B1162" s="87">
        <v>46252.707326388903</v>
      </c>
      <c r="C1162" s="87">
        <v>46252.731793981497</v>
      </c>
      <c r="D1162" t="str">
        <v>anónimo</v>
      </c>
      <c r="E1162" t="str">
        <v/>
      </c>
      <c r="F1162" s="68">
        <v>46252</v>
      </c>
      <c r="G1162" s="88">
        <v>46252</v>
      </c>
      <c r="H1162" t="str">
        <v>LILIANA MARTINEZ SUR</v>
      </c>
      <c r="I1162" t="str">
        <v>VICTORIA PEREZ ACOSTA</v>
      </c>
      <c r="J1162" s="82" t="str">
        <v/>
      </c>
      <c r="K1162" t="str">
        <v>PEAV651117MHGRCC04</v>
      </c>
      <c r="L1162" s="82">
        <v>23729040</v>
      </c>
      <c r="M1162" s="82">
        <v>5217717624320</v>
      </c>
      <c r="N1162" t="str">
        <v>NUEVO MAYOR</v>
      </c>
      <c r="O1162" s="89">
        <v>9760.32</v>
      </c>
      <c r="P1162" s="89" t="str">
        <v/>
      </c>
      <c r="Q1162" s="89">
        <v>2928.096</v>
      </c>
      <c r="R1162" s="89">
        <v>2928.096</v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>
        <v>1</v>
      </c>
    </row>
    <row r="1163" spans="1:24">
      <c r="A1163" s="26">
        <v>2133</v>
      </c>
      <c r="B1163" s="87">
        <v>46252.743136574099</v>
      </c>
      <c r="C1163" s="87">
        <v>46252.743645833303</v>
      </c>
      <c r="D1163" t="str">
        <v>anónimo</v>
      </c>
      <c r="E1163" t="str">
        <v/>
      </c>
      <c r="F1163" s="68">
        <v>46252</v>
      </c>
      <c r="G1163" s="88">
        <v>46252</v>
      </c>
      <c r="H1163" t="str">
        <v>LITZY MARTINEZ</v>
      </c>
      <c r="I1163" t="str">
        <v>bernardo fernandez</v>
      </c>
      <c r="J1163" s="82" t="str">
        <v>19836803387</v>
      </c>
      <c r="K1163" t="str">
        <v/>
      </c>
      <c r="L1163" s="82">
        <v>23736572</v>
      </c>
      <c r="M1163" s="82">
        <v>5219981311710</v>
      </c>
      <c r="N1163" t="str">
        <v>NUEVO MAYOR</v>
      </c>
      <c r="O1163" s="89">
        <v>9582.4699999999993</v>
      </c>
      <c r="P1163" s="89" t="str">
        <v/>
      </c>
      <c r="Q1163" s="89">
        <v>2874.7409999999995</v>
      </c>
      <c r="R1163" s="89">
        <v>2874.7409999999995</v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>
        <v>1</v>
      </c>
    </row>
    <row r="1164" spans="1:24">
      <c r="A1164" s="26">
        <v>2134</v>
      </c>
      <c r="B1164" s="87">
        <v>46252.7629282407</v>
      </c>
      <c r="C1164" s="87">
        <v>46252.763495370396</v>
      </c>
      <c r="D1164" t="str">
        <v>anónimo</v>
      </c>
      <c r="E1164" t="str">
        <v/>
      </c>
      <c r="F1164" s="68">
        <v>46252</v>
      </c>
      <c r="G1164" s="88">
        <v>46252</v>
      </c>
      <c r="H1164" t="str">
        <v>GLORIA ORTIZ C/C</v>
      </c>
      <c r="I1164" t="str">
        <v>JUAN FIDENCIO MORENO JIMENEZ</v>
      </c>
      <c r="J1164" s="82" t="str">
        <v/>
      </c>
      <c r="K1164" t="str">
        <v>MOJJ631231HNLRMN04</v>
      </c>
      <c r="L1164" s="82">
        <v>23733188</v>
      </c>
      <c r="M1164" s="82">
        <v>5218123200080</v>
      </c>
      <c r="N1164" t="str">
        <v>NUEVO MAYOR</v>
      </c>
      <c r="O1164" s="89">
        <v>40908.589999999997</v>
      </c>
      <c r="P1164" s="89" t="str">
        <v/>
      </c>
      <c r="Q1164" s="89">
        <v>12272.576999999999</v>
      </c>
      <c r="R1164" s="89">
        <v>12272.576999999999</v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>
        <v>1</v>
      </c>
    </row>
    <row r="1165" spans="1:24">
      <c r="A1165" s="26">
        <v>2135</v>
      </c>
      <c r="B1165" s="87">
        <v>46252.764780092599</v>
      </c>
      <c r="C1165" s="87">
        <v>46252.765289351897</v>
      </c>
      <c r="D1165" t="str">
        <v>anónimo</v>
      </c>
      <c r="E1165" t="str">
        <v/>
      </c>
      <c r="F1165" s="68">
        <v>46252</v>
      </c>
      <c r="G1165" s="88">
        <v>46252</v>
      </c>
      <c r="H1165" t="str">
        <v>LITZY MARTINEZ</v>
      </c>
      <c r="I1165" t="str">
        <v xml:space="preserve">eligio juarez perez </v>
      </c>
      <c r="J1165" s="82" t="str">
        <v/>
      </c>
      <c r="K1165" t="str">
        <v>JUPE631201HMCRRL10</v>
      </c>
      <c r="L1165" s="82">
        <v>23737222</v>
      </c>
      <c r="M1165" s="82">
        <v>5215523676283</v>
      </c>
      <c r="N1165" t="str">
        <v>NUEVO MAYOR</v>
      </c>
      <c r="O1165" s="89">
        <v>9760.32</v>
      </c>
      <c r="P1165" s="89" t="str">
        <v/>
      </c>
      <c r="Q1165" s="89">
        <v>2928.096</v>
      </c>
      <c r="R1165" s="89">
        <v>2928.096</v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>
        <v>1</v>
      </c>
    </row>
    <row r="1166" spans="1:24">
      <c r="A1166" s="26">
        <v>2137</v>
      </c>
      <c r="B1166" s="87">
        <v>46253.354675925897</v>
      </c>
      <c r="C1166" s="87">
        <v>46253.355300925898</v>
      </c>
      <c r="D1166" t="str">
        <v>anónimo</v>
      </c>
      <c r="E1166" t="str">
        <v/>
      </c>
      <c r="F1166" s="68">
        <v>46253</v>
      </c>
      <c r="G1166" s="88">
        <v>46253</v>
      </c>
      <c r="H1166" t="str">
        <v>MAGALI MARTINEZ EXT 2</v>
      </c>
      <c r="I1166" t="str">
        <v>VICTOR HUGO IBARRA MOLINA</v>
      </c>
      <c r="J1166" s="82">
        <v>32967881122</v>
      </c>
      <c r="K1166" t="str">
        <v>IAMV780913HCLBLC05</v>
      </c>
      <c r="L1166" s="82">
        <v>2</v>
      </c>
      <c r="M1166" s="82" t="str">
        <v>844 202 7834</v>
      </c>
      <c r="N1166" t="str">
        <v>NUEVO MENOR</v>
      </c>
      <c r="O1166" s="89">
        <v>9063.16</v>
      </c>
      <c r="P1166" s="89">
        <v>2412.4</v>
      </c>
      <c r="Q1166" s="89">
        <v>2718.9479999999999</v>
      </c>
      <c r="R1166" s="89">
        <v>306.54799999999977</v>
      </c>
      <c r="S1166">
        <v>46357</v>
      </c>
      <c r="T1166" t="str">
        <v/>
      </c>
      <c r="U1166" t="str">
        <v/>
      </c>
      <c r="V1166" t="str">
        <v/>
      </c>
      <c r="W1166" t="str">
        <v/>
      </c>
      <c r="X1166">
        <v>2</v>
      </c>
    </row>
    <row r="1167" spans="1:24">
      <c r="A1167" s="26">
        <v>2143</v>
      </c>
      <c r="B1167" s="87">
        <v>46253.339456018497</v>
      </c>
      <c r="C1167" s="87">
        <v>46253.404780092598</v>
      </c>
      <c r="D1167" t="str">
        <v>anónimo</v>
      </c>
      <c r="E1167" t="str">
        <v/>
      </c>
      <c r="F1167" s="68">
        <v>46253</v>
      </c>
      <c r="G1167" s="88">
        <v>46252</v>
      </c>
      <c r="H1167" t="str">
        <v>PAOLA RODRIGUEZ C/C</v>
      </c>
      <c r="I1167" t="str">
        <v xml:space="preserve">JOSE LUIS GARCIA OROZCO </v>
      </c>
      <c r="J1167" s="82" t="str">
        <v/>
      </c>
      <c r="K1167" t="str">
        <v>GAOL581003HJCRRS04</v>
      </c>
      <c r="L1167" s="82">
        <v>23733548</v>
      </c>
      <c r="M1167" s="82">
        <v>3482494854</v>
      </c>
      <c r="N1167" t="str">
        <v>NUEVO MAYOR</v>
      </c>
      <c r="O1167" s="89">
        <v>7920.51</v>
      </c>
      <c r="P1167" s="89" t="str">
        <v/>
      </c>
      <c r="Q1167" s="89">
        <v>2376.1529999999998</v>
      </c>
      <c r="R1167" s="89">
        <v>2376.1529999999998</v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>
        <v>1</v>
      </c>
    </row>
    <row r="1168" spans="1:24">
      <c r="A1168" s="26">
        <v>2144</v>
      </c>
      <c r="B1168" s="87">
        <v>46253.4059375</v>
      </c>
      <c r="C1168" s="87">
        <v>46253.407037037003</v>
      </c>
      <c r="D1168" t="str">
        <v>anónimo</v>
      </c>
      <c r="E1168" t="str">
        <v/>
      </c>
      <c r="F1168" s="68">
        <v>46253</v>
      </c>
      <c r="G1168" s="88">
        <v>46253</v>
      </c>
      <c r="H1168" t="str">
        <v>YAMILETH CARDONA EXT 2</v>
      </c>
      <c r="I1168" t="str">
        <v>LUIS ALBERTO SALAS DIAZ</v>
      </c>
      <c r="J1168" s="82">
        <v>43795940956</v>
      </c>
      <c r="K1168" t="str">
        <v>SADL590407HNLLZS02</v>
      </c>
      <c r="L1168" s="82">
        <v>2</v>
      </c>
      <c r="M1168" s="82">
        <v>18135544559</v>
      </c>
      <c r="N1168" t="str">
        <v>NUEVO MENOR</v>
      </c>
      <c r="O1168" s="89">
        <v>4990.99</v>
      </c>
      <c r="P1168" s="89" t="str">
        <v/>
      </c>
      <c r="Q1168" s="89">
        <v>1497.2969999999998</v>
      </c>
      <c r="R1168" s="89">
        <v>818.01000000000022</v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>
        <v>1</v>
      </c>
    </row>
    <row r="1169" spans="1:24">
      <c r="A1169" s="26">
        <v>2146</v>
      </c>
      <c r="B1169" s="87">
        <v>46253.407199074099</v>
      </c>
      <c r="C1169" s="87">
        <v>46253.418460648099</v>
      </c>
      <c r="D1169" t="str">
        <v>anónimo</v>
      </c>
      <c r="E1169" t="str">
        <v/>
      </c>
      <c r="F1169" s="68">
        <v>46253</v>
      </c>
      <c r="G1169" s="88">
        <v>46252</v>
      </c>
      <c r="H1169" t="str">
        <v>ROSA CASTRO SUR</v>
      </c>
      <c r="I1169" t="str">
        <v xml:space="preserve">FERNANDO ISMAEL MORENO GONZALEZ </v>
      </c>
      <c r="J1169" s="82" t="str">
        <v>06765218604</v>
      </c>
      <c r="K1169" t="str">
        <v>MOGF520527HDFRNR01</v>
      </c>
      <c r="L1169" s="82">
        <v>23726144</v>
      </c>
      <c r="M1169" s="82">
        <v>5219541548449</v>
      </c>
      <c r="N1169" t="str">
        <v>NUEVO MENOR</v>
      </c>
      <c r="O1169" s="89">
        <v>15280.15</v>
      </c>
      <c r="P1169" s="89">
        <v>4046.08</v>
      </c>
      <c r="Q1169" s="89">
        <v>4584.0450000000001</v>
      </c>
      <c r="R1169" s="89">
        <v>537.96500000000015</v>
      </c>
      <c r="S1169" t="str">
        <v/>
      </c>
      <c r="T1169" t="str">
        <v/>
      </c>
      <c r="U1169" t="str">
        <v/>
      </c>
      <c r="V1169" t="str">
        <v>HECTOR</v>
      </c>
      <c r="W1169">
        <v>46253</v>
      </c>
      <c r="X1169">
        <v>1</v>
      </c>
    </row>
    <row r="1170" spans="1:24">
      <c r="A1170" s="26">
        <v>2150</v>
      </c>
      <c r="B1170" s="87">
        <v>46253.444837962998</v>
      </c>
      <c r="C1170" s="87">
        <v>46253.451793981498</v>
      </c>
      <c r="D1170" t="str">
        <v>anónimo</v>
      </c>
      <c r="E1170" t="str">
        <v/>
      </c>
      <c r="F1170" s="68">
        <v>46253</v>
      </c>
      <c r="G1170" s="88">
        <v>46253</v>
      </c>
      <c r="H1170" t="str">
        <v>GIOVANNI MELGAR</v>
      </c>
      <c r="I1170" t="str">
        <v>LUIS GUTIERREZ AVIÑA</v>
      </c>
      <c r="J1170" s="82" t="str">
        <v/>
      </c>
      <c r="K1170" t="str">
        <v>GUAL640320HGTTVS08</v>
      </c>
      <c r="L1170" s="82">
        <v>23756661</v>
      </c>
      <c r="M1170" s="82">
        <v>5214776735685</v>
      </c>
      <c r="N1170" t="str">
        <v>NUEVO MAYOR</v>
      </c>
      <c r="O1170" s="89">
        <v>9290.75</v>
      </c>
      <c r="P1170" s="89" t="str">
        <v/>
      </c>
      <c r="Q1170" s="89">
        <v>2787.2249999999999</v>
      </c>
      <c r="R1170" s="89">
        <v>2787.2249999999999</v>
      </c>
      <c r="S1170" t="str">
        <v/>
      </c>
      <c r="T1170" t="str">
        <v/>
      </c>
      <c r="U1170" t="str">
        <v/>
      </c>
      <c r="V1170" t="str">
        <v>MELANIE</v>
      </c>
      <c r="W1170">
        <v>46253</v>
      </c>
      <c r="X1170">
        <v>1</v>
      </c>
    </row>
    <row r="1171" spans="1:24">
      <c r="A1171" s="26">
        <v>2154</v>
      </c>
      <c r="B1171" s="87">
        <v>46253.460046296299</v>
      </c>
      <c r="C1171" s="87">
        <v>46253.461087962998</v>
      </c>
      <c r="D1171" t="str">
        <v>anónimo</v>
      </c>
      <c r="E1171" t="str">
        <v/>
      </c>
      <c r="F1171" s="68">
        <v>46253</v>
      </c>
      <c r="G1171" s="88">
        <v>46251</v>
      </c>
      <c r="H1171" t="str">
        <v>BEATRIZ DE LA CRUZ</v>
      </c>
      <c r="I1171" t="str">
        <v>ISRAEL GUILLEN BALDERRAMA</v>
      </c>
      <c r="J1171" s="82" t="str">
        <v/>
      </c>
      <c r="K1171" t="str">
        <v>GUBI660308HSRLLS09</v>
      </c>
      <c r="L1171" s="82">
        <v>23706370</v>
      </c>
      <c r="M1171" s="82">
        <v>6444470845</v>
      </c>
      <c r="N1171" t="str">
        <v>NUEVO MAYOR</v>
      </c>
      <c r="O1171" s="89">
        <v>9760.32</v>
      </c>
      <c r="P1171" s="89" t="str">
        <v/>
      </c>
      <c r="Q1171" s="89">
        <v>2928.096</v>
      </c>
      <c r="R1171" s="89">
        <v>2928.096</v>
      </c>
      <c r="S1171" t="str">
        <v/>
      </c>
      <c r="T1171" t="str">
        <v/>
      </c>
      <c r="U1171" t="str">
        <v/>
      </c>
      <c r="V1171" t="str">
        <v>ITZEL CARRANZA</v>
      </c>
      <c r="W1171">
        <v>46253</v>
      </c>
      <c r="X1171">
        <v>1</v>
      </c>
    </row>
    <row r="1172" spans="1:24">
      <c r="A1172" s="26">
        <v>2155</v>
      </c>
      <c r="B1172" s="87">
        <v>46253.461145833302</v>
      </c>
      <c r="C1172" s="87">
        <v>46253.472442129598</v>
      </c>
      <c r="D1172" t="str">
        <v>anónimo</v>
      </c>
      <c r="E1172" t="str">
        <v/>
      </c>
      <c r="F1172" s="68">
        <v>46253</v>
      </c>
      <c r="G1172" s="88">
        <v>46253</v>
      </c>
      <c r="H1172" t="str">
        <v>BEATRIZ DE LA CRUZ</v>
      </c>
      <c r="I1172" t="str">
        <v>JOSE GUADALUPE RIVAS GONZALEZ</v>
      </c>
      <c r="J1172" s="82" t="str">
        <v/>
      </c>
      <c r="K1172" t="str">
        <v>RIGG620320HCLVND04</v>
      </c>
      <c r="L1172" s="82">
        <v>23761287</v>
      </c>
      <c r="M1172" s="82">
        <v>8124440400</v>
      </c>
      <c r="N1172" t="str">
        <v>COMPRA MAYOR</v>
      </c>
      <c r="O1172" s="89">
        <v>8592.73</v>
      </c>
      <c r="P1172" s="89">
        <v>2385.73</v>
      </c>
      <c r="Q1172" s="89">
        <v>2577.819</v>
      </c>
      <c r="R1172" s="89">
        <v>192.08899999999994</v>
      </c>
      <c r="S1172">
        <v>46235</v>
      </c>
      <c r="T1172" t="str">
        <v/>
      </c>
      <c r="U1172" t="str">
        <v/>
      </c>
      <c r="V1172" t="str">
        <v>MELANIE</v>
      </c>
      <c r="W1172">
        <v>46253</v>
      </c>
      <c r="X1172">
        <v>2</v>
      </c>
    </row>
    <row r="1173" spans="1:24">
      <c r="A1173" s="26">
        <v>2157</v>
      </c>
      <c r="B1173" s="87">
        <v>46253.473136574103</v>
      </c>
      <c r="C1173" s="87">
        <v>46253.474398148101</v>
      </c>
      <c r="D1173" t="str">
        <v>anónimo</v>
      </c>
      <c r="E1173" t="str">
        <v/>
      </c>
      <c r="F1173" s="68">
        <v>46253</v>
      </c>
      <c r="G1173" s="88">
        <v>46253</v>
      </c>
      <c r="H1173" t="str">
        <v>DANIELA IRACHETA</v>
      </c>
      <c r="I1173" t="str">
        <v xml:space="preserve">ANDRES MORALES </v>
      </c>
      <c r="J1173" s="82">
        <v>62856000708</v>
      </c>
      <c r="K1173" t="str">
        <v>MOLA601228HVZRYN08</v>
      </c>
      <c r="L1173" s="82">
        <v>23762769</v>
      </c>
      <c r="M1173" s="82">
        <v>5212221625726</v>
      </c>
      <c r="N1173" t="str">
        <v>NUEVO MAYOR</v>
      </c>
      <c r="O1173" s="89">
        <v>21036.47</v>
      </c>
      <c r="P1173" s="89">
        <v>1533.09</v>
      </c>
      <c r="Q1173" s="89">
        <v>6310.9409999999998</v>
      </c>
      <c r="R1173" s="89">
        <v>4777.8509999999997</v>
      </c>
      <c r="S1173">
        <v>46447</v>
      </c>
      <c r="T1173" t="str">
        <v/>
      </c>
      <c r="U1173" t="str">
        <v/>
      </c>
      <c r="V1173" t="str">
        <v>ANA</v>
      </c>
      <c r="W1173">
        <v>46253</v>
      </c>
      <c r="X1173">
        <v>2</v>
      </c>
    </row>
    <row r="1174" spans="1:24">
      <c r="A1174" s="26">
        <v>2165</v>
      </c>
      <c r="B1174" s="87">
        <v>46253.533171296302</v>
      </c>
      <c r="C1174" s="87">
        <v>46253.541678240697</v>
      </c>
      <c r="D1174" t="str">
        <v>anónimo</v>
      </c>
      <c r="E1174" t="str">
        <v/>
      </c>
      <c r="F1174" s="68">
        <v>46253</v>
      </c>
      <c r="G1174" s="88">
        <v>46252</v>
      </c>
      <c r="H1174" t="str">
        <v>YARUMI PEREZ SUR</v>
      </c>
      <c r="I1174" t="str">
        <v xml:space="preserve">José Luis Aciano Domínguez </v>
      </c>
      <c r="J1174" s="82">
        <v>13978040858</v>
      </c>
      <c r="K1174" t="str">
        <v>AIDL800724HCLCMS05</v>
      </c>
      <c r="L1174" s="82">
        <v>23742131</v>
      </c>
      <c r="M1174" s="82">
        <v>5216145090575</v>
      </c>
      <c r="N1174" t="str">
        <v>NUEVO MAYOR</v>
      </c>
      <c r="O1174" s="89">
        <v>7700.2000000000116</v>
      </c>
      <c r="P1174" s="89" t="str">
        <v/>
      </c>
      <c r="Q1174" s="89">
        <v>2310.0600000000036</v>
      </c>
      <c r="R1174" s="89">
        <v>2310.0600000000036</v>
      </c>
      <c r="S1174" t="str">
        <v/>
      </c>
      <c r="T1174" t="str">
        <v/>
      </c>
      <c r="U1174" t="str">
        <v/>
      </c>
      <c r="V1174" t="str">
        <v>PAOLA</v>
      </c>
      <c r="W1174">
        <v>46253</v>
      </c>
      <c r="X1174">
        <v>1</v>
      </c>
    </row>
    <row r="1175" spans="1:24">
      <c r="A1175" s="26">
        <v>2166</v>
      </c>
      <c r="B1175" s="87">
        <v>46253.5402314815</v>
      </c>
      <c r="C1175" s="87">
        <v>46253.542986111097</v>
      </c>
      <c r="D1175" t="str">
        <v>anónimo</v>
      </c>
      <c r="E1175" t="str">
        <v/>
      </c>
      <c r="F1175" s="68">
        <v>46253</v>
      </c>
      <c r="G1175" s="88">
        <v>46253</v>
      </c>
      <c r="H1175" t="str">
        <v>ASHLIN CELESTE SUR</v>
      </c>
      <c r="I1175" t="str">
        <v xml:space="preserve">JOSE ADOLFO RUIZ MARTINEZ </v>
      </c>
      <c r="J1175" s="82" t="str">
        <v/>
      </c>
      <c r="K1175" t="str">
        <v>RUMA600928HPLZRD07</v>
      </c>
      <c r="L1175" s="82">
        <v>23757641</v>
      </c>
      <c r="M1175" s="82">
        <v>5212225682011</v>
      </c>
      <c r="N1175" t="str">
        <v>NUEVO MAYOR</v>
      </c>
      <c r="O1175" s="89">
        <v>9760.32</v>
      </c>
      <c r="P1175" s="89" t="str">
        <v/>
      </c>
      <c r="Q1175" s="89">
        <v>2928.096</v>
      </c>
      <c r="R1175" s="89">
        <v>2928.096</v>
      </c>
      <c r="S1175" t="str">
        <v/>
      </c>
      <c r="T1175" t="str">
        <v/>
      </c>
      <c r="U1175" t="str">
        <v/>
      </c>
      <c r="V1175" t="str">
        <v>ITZEL CARRANZA</v>
      </c>
      <c r="W1175">
        <v>46253</v>
      </c>
      <c r="X1175">
        <v>1</v>
      </c>
    </row>
    <row r="1176" spans="1:24">
      <c r="A1176" s="26">
        <v>2169</v>
      </c>
      <c r="B1176" s="87">
        <v>46253.5910069444</v>
      </c>
      <c r="C1176" s="87">
        <v>46253.592002314799</v>
      </c>
      <c r="D1176" t="str">
        <v>anónimo</v>
      </c>
      <c r="E1176" t="str">
        <v/>
      </c>
      <c r="F1176" s="68">
        <v>46253</v>
      </c>
      <c r="G1176" s="88">
        <v>46253</v>
      </c>
      <c r="H1176" t="str">
        <v>BEATRIZ DE LA CRUZ</v>
      </c>
      <c r="I1176" t="str">
        <v>LILIA MALDONADO VELAZQUEZ</v>
      </c>
      <c r="J1176" s="82" t="str">
        <v/>
      </c>
      <c r="K1176" t="str">
        <v>MAVL590115MVZLLL06</v>
      </c>
      <c r="L1176" s="82">
        <v>23766780</v>
      </c>
      <c r="M1176" s="82">
        <v>2721532069</v>
      </c>
      <c r="N1176" t="str">
        <v>NUEVO MENOR</v>
      </c>
      <c r="O1176" s="89">
        <v>5617.63</v>
      </c>
      <c r="P1176" s="89">
        <v>1000</v>
      </c>
      <c r="Q1176" s="89">
        <v>1685.289</v>
      </c>
      <c r="R1176" s="89">
        <v>444.65000000000055</v>
      </c>
      <c r="S1176">
        <v>46722</v>
      </c>
      <c r="T1176" t="str">
        <v/>
      </c>
      <c r="U1176" t="str">
        <v/>
      </c>
      <c r="V1176" t="str">
        <v>HECTOR</v>
      </c>
      <c r="W1176">
        <v>46253</v>
      </c>
      <c r="X1176">
        <v>2</v>
      </c>
    </row>
    <row r="1177" spans="1:24">
      <c r="A1177" s="26">
        <v>2171</v>
      </c>
      <c r="B1177" s="87">
        <v>46253.539803240703</v>
      </c>
      <c r="C1177" s="87">
        <v>46253.607025463003</v>
      </c>
      <c r="D1177" t="str">
        <v>anónimo</v>
      </c>
      <c r="E1177" t="str">
        <v/>
      </c>
      <c r="F1177" s="68">
        <v>46253</v>
      </c>
      <c r="G1177" s="88">
        <v>46253</v>
      </c>
      <c r="H1177" t="str">
        <v>LILIANA MARTINEZ SUR</v>
      </c>
      <c r="I1177" t="str">
        <v>SIMONA FRANCISCA RANGEL GONZALEZ</v>
      </c>
      <c r="J1177" s="82">
        <v>43795933001</v>
      </c>
      <c r="K1177" t="str">
        <v>RAGS690129MNLNNM06</v>
      </c>
      <c r="L1177" s="82">
        <v>23763509</v>
      </c>
      <c r="M1177" s="82">
        <v>5213312837635</v>
      </c>
      <c r="N1177" t="str">
        <v>RESTRINGIDA</v>
      </c>
      <c r="O1177" s="89">
        <v>4172.53</v>
      </c>
      <c r="P1177" s="89">
        <v>375</v>
      </c>
      <c r="Q1177" s="89">
        <v>1251.7589999999998</v>
      </c>
      <c r="R1177" s="89">
        <v>-375</v>
      </c>
      <c r="S1177">
        <v>46204</v>
      </c>
      <c r="T1177" t="str">
        <v>CONSUBANCO</v>
      </c>
      <c r="U1177" t="str">
        <v/>
      </c>
      <c r="V1177" t="str">
        <v>DANIELLY</v>
      </c>
      <c r="W1177">
        <v>46253</v>
      </c>
      <c r="X1177">
        <v>2</v>
      </c>
    </row>
    <row r="1178" spans="1:24">
      <c r="A1178" s="26">
        <v>2175</v>
      </c>
      <c r="B1178" s="87">
        <v>46253.627476851798</v>
      </c>
      <c r="C1178" s="87">
        <v>46253.640416666698</v>
      </c>
      <c r="D1178" t="str">
        <v>anónimo</v>
      </c>
      <c r="E1178" t="str">
        <v/>
      </c>
      <c r="F1178" s="68">
        <v>46253</v>
      </c>
      <c r="G1178" s="88">
        <v>46253</v>
      </c>
      <c r="H1178" t="str">
        <v>GUADALUPE BECERRA</v>
      </c>
      <c r="I1178" t="str">
        <v>ARNULFO SANTILLAN ORTIZ</v>
      </c>
      <c r="J1178" s="82" t="str">
        <v/>
      </c>
      <c r="K1178" t="str">
        <v>SAOA610415HJCNRR00</v>
      </c>
      <c r="L1178" s="82">
        <v>23770102</v>
      </c>
      <c r="M1178" s="82">
        <v>5213320114300</v>
      </c>
      <c r="N1178" t="str">
        <v>NUEVO MAYOR</v>
      </c>
      <c r="O1178" s="89">
        <v>13720.49</v>
      </c>
      <c r="P1178" s="89" t="str">
        <v/>
      </c>
      <c r="Q1178" s="89">
        <v>4116.1469999999999</v>
      </c>
      <c r="R1178" s="89">
        <v>4116.1469999999999</v>
      </c>
      <c r="S1178" t="str">
        <v/>
      </c>
      <c r="T1178" t="str">
        <v/>
      </c>
      <c r="U1178" t="str">
        <v/>
      </c>
      <c r="V1178" t="str">
        <v>DANIELLY</v>
      </c>
      <c r="W1178">
        <v>46253</v>
      </c>
      <c r="X1178">
        <v>1</v>
      </c>
    </row>
    <row r="1179" spans="1:24">
      <c r="A1179" s="26">
        <v>2177</v>
      </c>
      <c r="B1179" s="87">
        <v>46253.647141203699</v>
      </c>
      <c r="C1179" s="87">
        <v>46253.6484837963</v>
      </c>
      <c r="D1179" t="str">
        <v>anónimo</v>
      </c>
      <c r="E1179" t="str">
        <v/>
      </c>
      <c r="F1179" s="68">
        <v>46253</v>
      </c>
      <c r="G1179" s="88">
        <v>46253</v>
      </c>
      <c r="H1179" t="str">
        <v>BEATRIZ DE LA CRUZ</v>
      </c>
      <c r="I1179" t="str">
        <v>ARNOLDO LOPEZ BARBOSA</v>
      </c>
      <c r="J1179" s="82" t="str">
        <v/>
      </c>
      <c r="K1179" t="str">
        <v>LOBA590301HCMPRR04</v>
      </c>
      <c r="L1179" s="82">
        <v>23769606</v>
      </c>
      <c r="M1179" s="82">
        <v>3122727690</v>
      </c>
      <c r="N1179" t="str">
        <v>COMPRA MENOR</v>
      </c>
      <c r="O1179" s="89">
        <v>4813.6899999999996</v>
      </c>
      <c r="P1179" s="89">
        <v>592.94000000000005</v>
      </c>
      <c r="Q1179" s="89">
        <v>1444.1069999999997</v>
      </c>
      <c r="R1179" s="89">
        <v>47.769999999999982</v>
      </c>
      <c r="S1179">
        <v>46174</v>
      </c>
      <c r="T1179" t="str">
        <v/>
      </c>
      <c r="U1179" t="str">
        <v/>
      </c>
      <c r="V1179" t="str">
        <v>HECTOR</v>
      </c>
      <c r="W1179">
        <v>46253</v>
      </c>
      <c r="X1179">
        <v>2</v>
      </c>
    </row>
    <row r="1180" spans="1:24">
      <c r="A1180" s="26">
        <v>2178</v>
      </c>
      <c r="B1180" s="87">
        <v>46253.658819444398</v>
      </c>
      <c r="C1180" s="87">
        <v>46253.659884259301</v>
      </c>
      <c r="D1180" t="str">
        <v>anónimo</v>
      </c>
      <c r="E1180" t="str">
        <v/>
      </c>
      <c r="F1180" s="68">
        <v>46253</v>
      </c>
      <c r="G1180" s="88">
        <v>46253</v>
      </c>
      <c r="H1180" t="str">
        <v>YAJAHIRA GONZALEZ EXT 2</v>
      </c>
      <c r="I1180" t="str">
        <v>ELBA RUELAS SANTOS</v>
      </c>
      <c r="J1180" s="82">
        <v>54765947566</v>
      </c>
      <c r="K1180" t="str">
        <v>RUSE600603MJCLNL07</v>
      </c>
      <c r="L1180" s="82">
        <v>2</v>
      </c>
      <c r="M1180" s="82" t="str">
        <v>33 1324 6410</v>
      </c>
      <c r="N1180" t="str">
        <v>NUEVO MENOR</v>
      </c>
      <c r="O1180" s="89">
        <v>9760.32</v>
      </c>
      <c r="P1180" s="89">
        <v>2291.92</v>
      </c>
      <c r="Q1180" s="89">
        <v>2928.096</v>
      </c>
      <c r="R1180" s="89">
        <v>636.17599999999993</v>
      </c>
      <c r="S1180">
        <v>46874</v>
      </c>
      <c r="T1180" t="str">
        <v>DIMEX</v>
      </c>
      <c r="U1180">
        <v>1193.74</v>
      </c>
      <c r="V1180" t="str">
        <v/>
      </c>
      <c r="W1180" t="str">
        <v/>
      </c>
      <c r="X1180">
        <v>2</v>
      </c>
    </row>
    <row r="1181" spans="1:24">
      <c r="A1181" s="26">
        <v>2179</v>
      </c>
      <c r="B1181" s="87">
        <v>46253.677233796298</v>
      </c>
      <c r="C1181" s="87">
        <v>46253.678252314799</v>
      </c>
      <c r="D1181" t="str">
        <v>anónimo</v>
      </c>
      <c r="E1181" t="str">
        <v/>
      </c>
      <c r="F1181" s="68">
        <v>46253</v>
      </c>
      <c r="G1181" s="88">
        <v>46253</v>
      </c>
      <c r="H1181" t="str">
        <v>GUADALUPE BECERRA</v>
      </c>
      <c r="I1181" t="str">
        <v>HORTENCIA CASTILLO ZAPATA</v>
      </c>
      <c r="J1181" s="82" t="str">
        <v/>
      </c>
      <c r="K1181" t="str">
        <v>CAZH540211MGRSPR01</v>
      </c>
      <c r="L1181" s="82">
        <v>23772894</v>
      </c>
      <c r="M1181" s="82">
        <v>5217441786998</v>
      </c>
      <c r="N1181" t="str">
        <v>RESTRINGIDA</v>
      </c>
      <c r="O1181" s="89">
        <v>10266.120000000001</v>
      </c>
      <c r="P1181" s="89">
        <v>2516.6799999999998</v>
      </c>
      <c r="Q1181" s="89">
        <v>3079.8360000000002</v>
      </c>
      <c r="R1181" s="89">
        <v>563.1560000000004</v>
      </c>
      <c r="S1181">
        <v>45505</v>
      </c>
      <c r="T1181" t="str">
        <v>FISOFO</v>
      </c>
      <c r="U1181">
        <v>2516.6799999999998</v>
      </c>
      <c r="V1181" t="str">
        <v>DANIELLY</v>
      </c>
      <c r="W1181">
        <v>46253</v>
      </c>
      <c r="X1181">
        <v>2</v>
      </c>
    </row>
    <row r="1182" spans="1:24">
      <c r="A1182" s="26">
        <v>2181</v>
      </c>
      <c r="B1182" s="87">
        <v>46253.6798263889</v>
      </c>
      <c r="C1182" s="87">
        <v>46253.681365740696</v>
      </c>
      <c r="D1182" t="str">
        <v>anónimo</v>
      </c>
      <c r="E1182" t="str">
        <v/>
      </c>
      <c r="F1182" s="68">
        <v>46253</v>
      </c>
      <c r="G1182" s="88">
        <v>46253</v>
      </c>
      <c r="H1182" t="str">
        <v>BEATRIZ DE LA CRUZ</v>
      </c>
      <c r="I1182" t="str">
        <v>SALVADOR FLORES ALVARADO</v>
      </c>
      <c r="J1182" s="82" t="str">
        <v>O4755744051</v>
      </c>
      <c r="K1182" t="str">
        <v>FOAS570525HJCLLL06</v>
      </c>
      <c r="L1182" s="82">
        <v>23760627</v>
      </c>
      <c r="M1182" s="82">
        <v>3312602707</v>
      </c>
      <c r="N1182" t="str">
        <v>NUEVO MENOR</v>
      </c>
      <c r="O1182" s="89">
        <v>4938.1899999999996</v>
      </c>
      <c r="P1182" s="89" t="str">
        <v/>
      </c>
      <c r="Q1182" s="89">
        <v>1481.4569999999999</v>
      </c>
      <c r="R1182" s="89">
        <v>765.21</v>
      </c>
      <c r="S1182" t="str">
        <v/>
      </c>
      <c r="T1182" t="str">
        <v/>
      </c>
      <c r="U1182" t="str">
        <v/>
      </c>
      <c r="V1182" t="str">
        <v>HANIA</v>
      </c>
      <c r="W1182">
        <v>46253</v>
      </c>
      <c r="X1182">
        <v>1</v>
      </c>
    </row>
    <row r="1183" spans="1:24">
      <c r="A1183" s="26">
        <v>2186</v>
      </c>
      <c r="B1183" s="87">
        <v>46253.694027777798</v>
      </c>
      <c r="C1183" s="87">
        <v>46253.703333333302</v>
      </c>
      <c r="D1183" t="str">
        <v>anónimo</v>
      </c>
      <c r="E1183" t="str">
        <v/>
      </c>
      <c r="F1183" s="68">
        <v>46253</v>
      </c>
      <c r="G1183" s="88">
        <v>46253</v>
      </c>
      <c r="H1183" t="str">
        <v>GUADALUPE CRUZ SUR</v>
      </c>
      <c r="I1183" t="str">
        <v>MARTIN LASTR ALVAREZ</v>
      </c>
      <c r="J1183" s="82">
        <v>24806266417</v>
      </c>
      <c r="K1183" t="str">
        <v>LAAM630509HSRSLR03</v>
      </c>
      <c r="L1183" s="82">
        <v>23773976</v>
      </c>
      <c r="M1183" s="82">
        <v>5216622285779</v>
      </c>
      <c r="N1183" t="str">
        <v>COMPRA MAYOR</v>
      </c>
      <c r="O1183" s="89">
        <v>7920.51</v>
      </c>
      <c r="P1183" s="89">
        <v>2198.9699999999998</v>
      </c>
      <c r="Q1183" s="89">
        <v>2376.1529999999998</v>
      </c>
      <c r="R1183" s="89">
        <v>177.18299999999999</v>
      </c>
      <c r="S1183">
        <v>46143</v>
      </c>
      <c r="T1183" t="str">
        <v>INBURSA</v>
      </c>
      <c r="U1183">
        <v>2198.9699999999998</v>
      </c>
      <c r="V1183" t="str">
        <v>FERNANDA</v>
      </c>
      <c r="W1183">
        <v>46253</v>
      </c>
      <c r="X1183">
        <v>2</v>
      </c>
    </row>
    <row r="1184" spans="1:24">
      <c r="A1184" s="26">
        <v>2187</v>
      </c>
      <c r="B1184" s="87">
        <v>46253.5880092593</v>
      </c>
      <c r="C1184" s="87">
        <v>46253.703599537002</v>
      </c>
      <c r="D1184" t="str">
        <v>anónimo</v>
      </c>
      <c r="E1184" t="str">
        <v/>
      </c>
      <c r="F1184" s="68">
        <v>46253</v>
      </c>
      <c r="G1184" s="88">
        <v>46253</v>
      </c>
      <c r="H1184" t="str">
        <v>YAMILETH CARDONA EXT 2</v>
      </c>
      <c r="I1184" t="str">
        <v xml:space="preserve"> LAURA SOLORZANO BALBUENA</v>
      </c>
      <c r="J1184" s="82" t="str">
        <v>04826349120</v>
      </c>
      <c r="K1184" t="str">
        <v>SOBL630903MJCLLR09</v>
      </c>
      <c r="L1184" s="82">
        <v>2</v>
      </c>
      <c r="M1184" s="82" t="str">
        <v>33 2814 1207</v>
      </c>
      <c r="N1184" t="str">
        <v>NUEVO MAYOR</v>
      </c>
      <c r="O1184" s="89">
        <v>11811.47</v>
      </c>
      <c r="P1184" s="89" t="str">
        <v/>
      </c>
      <c r="Q1184" s="89">
        <v>3543.4409999999998</v>
      </c>
      <c r="R1184" s="89">
        <v>3543.4409999999998</v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>
        <v>1</v>
      </c>
    </row>
    <row r="1185" spans="1:24">
      <c r="A1185" s="26">
        <v>2189</v>
      </c>
      <c r="B1185" s="87">
        <v>46253.708344907398</v>
      </c>
      <c r="C1185" s="87">
        <v>46253.709965277798</v>
      </c>
      <c r="D1185" t="str">
        <v>anónimo</v>
      </c>
      <c r="E1185" t="str">
        <v/>
      </c>
      <c r="F1185" s="68">
        <v>46253</v>
      </c>
      <c r="G1185" s="88">
        <v>46251</v>
      </c>
      <c r="H1185" t="str">
        <v>GIOVANNI MELGAR</v>
      </c>
      <c r="I1185" t="str">
        <v>JOSE VITALIANO MARTINEZ MARTINEZ</v>
      </c>
      <c r="J1185" s="82" t="str">
        <v xml:space="preserve">65796201187
</v>
      </c>
      <c r="K1185" t="str">
        <v>MAMV620216HVZRRT08</v>
      </c>
      <c r="L1185" s="82">
        <v>23698706</v>
      </c>
      <c r="M1185" s="82">
        <v>5212711537189</v>
      </c>
      <c r="N1185" t="str">
        <v>NUEVO MENOR</v>
      </c>
      <c r="O1185" s="89">
        <v>15982.23</v>
      </c>
      <c r="P1185" s="89">
        <v>3917.65</v>
      </c>
      <c r="Q1185" s="89">
        <v>4794.6689999999999</v>
      </c>
      <c r="R1185" s="89">
        <v>877.01899999999978</v>
      </c>
      <c r="S1185">
        <v>46266</v>
      </c>
      <c r="T1185" t="str">
        <v>MULTIVA</v>
      </c>
      <c r="U1185">
        <v>3917.65</v>
      </c>
      <c r="V1185" t="str">
        <v>HANIA</v>
      </c>
      <c r="W1185">
        <v>46253</v>
      </c>
      <c r="X1185">
        <v>2</v>
      </c>
    </row>
    <row r="1186" spans="1:24">
      <c r="A1186" s="26">
        <v>2194</v>
      </c>
      <c r="B1186" s="87">
        <v>46253.732384259303</v>
      </c>
      <c r="C1186" s="87">
        <v>46253.744768518503</v>
      </c>
      <c r="D1186" t="str">
        <v>anónimo</v>
      </c>
      <c r="E1186" t="str">
        <v/>
      </c>
      <c r="F1186" s="68">
        <v>46253</v>
      </c>
      <c r="G1186" s="88">
        <v>46253</v>
      </c>
      <c r="H1186" t="str">
        <v>GUADALUPE CRUZ SUR</v>
      </c>
      <c r="I1186" t="str">
        <v>AMELIA PARTIDA VAZQUEZ</v>
      </c>
      <c r="J1186" s="82">
        <v>52836404450</v>
      </c>
      <c r="K1186" t="str">
        <v>PAVA700311MCMRZM08</v>
      </c>
      <c r="L1186" s="82">
        <v>23774524</v>
      </c>
      <c r="M1186" s="82">
        <v>5213141504450</v>
      </c>
      <c r="N1186" t="str">
        <v>NUEVO MAYOR</v>
      </c>
      <c r="O1186" s="89">
        <v>7128.48</v>
      </c>
      <c r="P1186" s="89" t="str">
        <v/>
      </c>
      <c r="Q1186" s="89">
        <v>2138.5439999999999</v>
      </c>
      <c r="R1186" s="89">
        <v>2138.5439999999999</v>
      </c>
      <c r="S1186" t="str">
        <v/>
      </c>
      <c r="T1186" t="str">
        <v/>
      </c>
      <c r="U1186" t="str">
        <v/>
      </c>
      <c r="V1186" t="str">
        <v>MARISOL</v>
      </c>
      <c r="W1186">
        <v>46253</v>
      </c>
      <c r="X1186">
        <v>1</v>
      </c>
    </row>
    <row r="1187" spans="1:24">
      <c r="A1187" s="26">
        <v>2195</v>
      </c>
      <c r="B1187" s="87">
        <v>46253.744409722203</v>
      </c>
      <c r="C1187" s="87">
        <v>46253.745682870402</v>
      </c>
      <c r="D1187" t="str">
        <v>anónimo</v>
      </c>
      <c r="E1187" t="str">
        <v/>
      </c>
      <c r="F1187" s="68">
        <v>46253</v>
      </c>
      <c r="G1187" s="88">
        <v>46253</v>
      </c>
      <c r="H1187" t="str">
        <v>MAGALI MARTINEZ EXT 2</v>
      </c>
      <c r="I1187" t="str">
        <v>ALEJANDRO ARIAS LOPEZ</v>
      </c>
      <c r="J1187" s="82">
        <v>60917577482</v>
      </c>
      <c r="K1187" t="str">
        <v>AILA760730HCLRPL02</v>
      </c>
      <c r="L1187" s="82">
        <v>2</v>
      </c>
      <c r="M1187" s="82" t="str">
        <v>844 139 7146</v>
      </c>
      <c r="N1187" t="str">
        <v>NUEVO MENOR</v>
      </c>
      <c r="O1187" s="89">
        <v>9160.74</v>
      </c>
      <c r="P1187" s="89">
        <v>2428.6799999999998</v>
      </c>
      <c r="Q1187" s="89">
        <v>2748.2219999999998</v>
      </c>
      <c r="R1187" s="89">
        <v>319.54199999999992</v>
      </c>
      <c r="S1187">
        <v>46753</v>
      </c>
      <c r="T1187" t="str">
        <v>OPCIPRES</v>
      </c>
      <c r="U1187">
        <v>2141.14</v>
      </c>
      <c r="V1187" t="str">
        <v/>
      </c>
      <c r="W1187" t="str">
        <v/>
      </c>
      <c r="X1187">
        <v>2</v>
      </c>
    </row>
    <row r="1188" spans="1:24">
      <c r="A1188" s="26">
        <v>2196</v>
      </c>
      <c r="B1188" s="87">
        <v>46253.740543981497</v>
      </c>
      <c r="C1188" s="87">
        <v>46253.747187499997</v>
      </c>
      <c r="D1188" t="str">
        <v>anónimo</v>
      </c>
      <c r="E1188" t="str">
        <v/>
      </c>
      <c r="F1188" s="68">
        <v>46253</v>
      </c>
      <c r="G1188" s="88">
        <v>46253</v>
      </c>
      <c r="H1188" t="str">
        <v>LILIANA MARTINEZ SUR</v>
      </c>
      <c r="I1188" t="str">
        <v>OSCAR SANDOVAL PEÑA</v>
      </c>
      <c r="J1188" s="82">
        <v>33796248129</v>
      </c>
      <c r="K1188" t="str">
        <v>SAPO610415HCHNXS01</v>
      </c>
      <c r="L1188" s="82">
        <v>23756631</v>
      </c>
      <c r="M1188" s="82">
        <v>5216146108218</v>
      </c>
      <c r="N1188" t="str">
        <v>COMPRA MAYOR</v>
      </c>
      <c r="O1188" s="89">
        <v>7116.73</v>
      </c>
      <c r="P1188" s="89">
        <v>1298.8399999999999</v>
      </c>
      <c r="Q1188" s="89">
        <v>2135.0189999999998</v>
      </c>
      <c r="R1188" s="89">
        <v>836.17899999999986</v>
      </c>
      <c r="S1188">
        <v>45748</v>
      </c>
      <c r="T1188" t="str">
        <v>DIMEX</v>
      </c>
      <c r="U1188">
        <v>1298.8399999999999</v>
      </c>
      <c r="V1188" t="str">
        <v>EDNA</v>
      </c>
      <c r="W1188">
        <v>46253</v>
      </c>
      <c r="X1188">
        <v>2</v>
      </c>
    </row>
    <row r="1189" spans="1:24">
      <c r="A1189" s="26">
        <v>2197</v>
      </c>
      <c r="B1189" s="87">
        <v>46254.361018518503</v>
      </c>
      <c r="C1189" s="87">
        <v>46254.361168981501</v>
      </c>
      <c r="D1189" t="str">
        <v>anónimo</v>
      </c>
      <c r="E1189" t="str">
        <v/>
      </c>
      <c r="F1189" s="68">
        <v>46253</v>
      </c>
      <c r="G1189" s="88">
        <v>46252</v>
      </c>
      <c r="H1189" t="str">
        <v>BEATRIZ DE LA CRUZ</v>
      </c>
      <c r="I1189" t="str">
        <v>JOSE DE JESUS MIRELES RUBIO</v>
      </c>
      <c r="J1189" s="82" t="str">
        <v/>
      </c>
      <c r="K1189" t="str">
        <v>MIRJ650802HNLRBS06</v>
      </c>
      <c r="L1189" s="82">
        <v>23766352</v>
      </c>
      <c r="M1189" s="82">
        <v>8120062139</v>
      </c>
      <c r="N1189" t="str">
        <v>NUEVO MAYOR</v>
      </c>
      <c r="O1189" s="89">
        <v>10810.94</v>
      </c>
      <c r="P1189" s="89">
        <v>486</v>
      </c>
      <c r="Q1189" s="89">
        <v>3243.2820000000002</v>
      </c>
      <c r="R1189" s="89">
        <v>2757.2820000000002</v>
      </c>
      <c r="S1189" t="str">
        <v/>
      </c>
      <c r="T1189" t="str">
        <v/>
      </c>
      <c r="U1189" t="str">
        <v/>
      </c>
      <c r="V1189" t="str">
        <v>MELANIE</v>
      </c>
      <c r="W1189">
        <v>46254</v>
      </c>
      <c r="X1189">
        <v>1</v>
      </c>
    </row>
    <row r="1190" spans="1:24">
      <c r="A1190" s="26">
        <v>2198</v>
      </c>
      <c r="B1190" s="87">
        <v>46254.377581018503</v>
      </c>
      <c r="C1190" s="87">
        <v>46254.378807870402</v>
      </c>
      <c r="D1190" t="str">
        <v>anónimo</v>
      </c>
      <c r="E1190" t="str">
        <v/>
      </c>
      <c r="F1190" s="68">
        <v>46254</v>
      </c>
      <c r="G1190" s="88">
        <v>46254</v>
      </c>
      <c r="H1190" t="str">
        <v>MAGALI MARTINEZ EXT 2</v>
      </c>
      <c r="I1190" t="str">
        <v>MARIA CRISTINA ESPINOZA LOPEZ</v>
      </c>
      <c r="J1190" s="82">
        <v>30886206603</v>
      </c>
      <c r="K1190" t="str">
        <v>EILC620907MCLSPR05</v>
      </c>
      <c r="L1190" s="82">
        <v>2</v>
      </c>
      <c r="M1190" s="82" t="str">
        <v>55 1380 3464</v>
      </c>
      <c r="N1190" t="str">
        <v>NUEVO MAYOR</v>
      </c>
      <c r="O1190" s="89">
        <v>10636.54</v>
      </c>
      <c r="P1190" s="89" t="str">
        <v/>
      </c>
      <c r="Q1190" s="89">
        <v>3190.962</v>
      </c>
      <c r="R1190" s="89">
        <v>3190.962</v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>
        <v>1</v>
      </c>
    </row>
    <row r="1191" spans="1:24">
      <c r="A1191" s="26">
        <v>2203</v>
      </c>
      <c r="B1191" s="87">
        <v>46254.427106481497</v>
      </c>
      <c r="C1191" s="87">
        <v>46254.427951388898</v>
      </c>
      <c r="D1191" t="str">
        <v>anónimo</v>
      </c>
      <c r="E1191" t="str">
        <v/>
      </c>
      <c r="F1191" s="68">
        <v>46254</v>
      </c>
      <c r="G1191" s="88">
        <v>46253</v>
      </c>
      <c r="H1191" t="str">
        <v>BEATRIZ DE LA CRUZ</v>
      </c>
      <c r="I1191" t="str">
        <v>JESUS MANUEL BARREIRO RODRIGUEZ</v>
      </c>
      <c r="J1191" s="82" t="str">
        <v xml:space="preserve">0176571699 </v>
      </c>
      <c r="K1191" t="str">
        <v>BARJ570628HDFRDS04</v>
      </c>
      <c r="L1191" s="82">
        <v>23775160</v>
      </c>
      <c r="M1191" s="82">
        <v>5519838341</v>
      </c>
      <c r="N1191" t="str">
        <v>NUEVO MAYOR</v>
      </c>
      <c r="O1191" s="89">
        <v>9408.02</v>
      </c>
      <c r="P1191" s="89" t="str">
        <v/>
      </c>
      <c r="Q1191" s="89">
        <v>2822.4059999999999</v>
      </c>
      <c r="R1191" s="89">
        <v>2822.4059999999999</v>
      </c>
      <c r="S1191" t="str">
        <v/>
      </c>
      <c r="T1191" t="str">
        <v/>
      </c>
      <c r="U1191" t="str">
        <v/>
      </c>
      <c r="V1191" t="str">
        <v>ITZEL CARRANZA</v>
      </c>
      <c r="W1191">
        <v>46254</v>
      </c>
      <c r="X1191">
        <v>1</v>
      </c>
    </row>
    <row r="1192" spans="1:24">
      <c r="A1192" s="26">
        <v>2205</v>
      </c>
      <c r="B1192" s="87">
        <v>46254.4319328704</v>
      </c>
      <c r="C1192" s="87">
        <v>46254.434305555602</v>
      </c>
      <c r="D1192" t="str">
        <v>anónimo</v>
      </c>
      <c r="E1192" t="str">
        <v/>
      </c>
      <c r="F1192" s="68">
        <v>46254</v>
      </c>
      <c r="G1192" s="88">
        <v>46227</v>
      </c>
      <c r="H1192" t="str">
        <v>HANIA GARCIA C/C</v>
      </c>
      <c r="I1192" t="str">
        <v>Victor Manuel Negrete Hernandez</v>
      </c>
      <c r="J1192" s="82">
        <v>51856402543</v>
      </c>
      <c r="K1192" t="str">
        <v>NEHV641122HDFGRC04</v>
      </c>
      <c r="L1192" s="82">
        <v>23064204</v>
      </c>
      <c r="M1192" s="82">
        <v>7225720606</v>
      </c>
      <c r="N1192" t="str">
        <v>NUEVO MAYOR</v>
      </c>
      <c r="O1192" s="89">
        <v>10951.74</v>
      </c>
      <c r="P1192" s="89" t="str">
        <v/>
      </c>
      <c r="Q1192" s="89">
        <v>3285.5219999999999</v>
      </c>
      <c r="R1192" s="89">
        <v>3285.5219999999999</v>
      </c>
      <c r="S1192" t="str">
        <v/>
      </c>
      <c r="T1192" t="str">
        <v/>
      </c>
      <c r="U1192" t="str">
        <v/>
      </c>
      <c r="V1192" t="str">
        <v>HANIA</v>
      </c>
      <c r="W1192">
        <v>46254</v>
      </c>
      <c r="X1192">
        <v>1</v>
      </c>
    </row>
    <row r="1193" spans="1:24">
      <c r="A1193" s="26">
        <v>2217</v>
      </c>
      <c r="B1193" s="87">
        <v>46254.486111111102</v>
      </c>
      <c r="C1193" s="87">
        <v>46254.490601851903</v>
      </c>
      <c r="D1193" t="str">
        <v>anónimo</v>
      </c>
      <c r="E1193" t="str">
        <v/>
      </c>
      <c r="F1193" s="68">
        <v>46254</v>
      </c>
      <c r="G1193" s="88">
        <v>46254</v>
      </c>
      <c r="H1193" t="str">
        <v>ROSA CASTRO SUR</v>
      </c>
      <c r="I1193" t="str">
        <v xml:space="preserve">MANUEL RIGOBERTO RODRIGUEZ ORTEGA </v>
      </c>
      <c r="J1193" s="82" t="str">
        <v/>
      </c>
      <c r="K1193" t="str">
        <v>ROOM530119HPLDRN00</v>
      </c>
      <c r="L1193" s="82">
        <v>23798624</v>
      </c>
      <c r="M1193" s="82">
        <v>5214871162058</v>
      </c>
      <c r="N1193" t="str">
        <v>NUEVO MAYOR</v>
      </c>
      <c r="O1193" s="89">
        <v>5760.79</v>
      </c>
      <c r="P1193" s="89" t="str">
        <v/>
      </c>
      <c r="Q1193" s="89">
        <v>1728.2369999999999</v>
      </c>
      <c r="R1193" s="89">
        <v>1587.8100000000004</v>
      </c>
      <c r="S1193" t="str">
        <v/>
      </c>
      <c r="T1193" t="str">
        <v/>
      </c>
      <c r="U1193" t="str">
        <v/>
      </c>
      <c r="V1193" t="str">
        <v>EDNA</v>
      </c>
      <c r="W1193">
        <v>46254</v>
      </c>
      <c r="X1193">
        <v>1</v>
      </c>
    </row>
    <row r="1194" spans="1:24">
      <c r="A1194" s="26">
        <v>2218</v>
      </c>
      <c r="B1194" s="87">
        <v>46254.447361111103</v>
      </c>
      <c r="C1194" s="87">
        <v>46254.492569444403</v>
      </c>
      <c r="D1194" t="str">
        <v>anónimo</v>
      </c>
      <c r="E1194" t="str">
        <v/>
      </c>
      <c r="F1194" s="68">
        <v>46254</v>
      </c>
      <c r="G1194" s="88">
        <v>46251</v>
      </c>
      <c r="H1194" t="str">
        <v>RUTH MARTINEZ SUR</v>
      </c>
      <c r="I1194" t="str">
        <v>HERIBERTO ALFONSO VALLEJO REYES</v>
      </c>
      <c r="J1194" s="82" t="str">
        <v>63826700096</v>
      </c>
      <c r="K1194" t="str">
        <v>VARH570316HDFLYR07</v>
      </c>
      <c r="L1194" s="82">
        <v>23694574</v>
      </c>
      <c r="M1194" s="82">
        <v>5215513904730</v>
      </c>
      <c r="N1194" t="str">
        <v>NUEVO MAYOR</v>
      </c>
      <c r="O1194" s="89">
        <v>25806.09</v>
      </c>
      <c r="P1194" s="89" t="str">
        <v/>
      </c>
      <c r="Q1194" s="89">
        <v>7741.8269999999993</v>
      </c>
      <c r="R1194" s="89">
        <v>7741.8269999999993</v>
      </c>
      <c r="S1194" t="str">
        <v/>
      </c>
      <c r="T1194" t="str">
        <v/>
      </c>
      <c r="U1194" t="str">
        <v/>
      </c>
      <c r="V1194" t="str">
        <v>GABRIELA</v>
      </c>
      <c r="W1194">
        <v>46254</v>
      </c>
      <c r="X1194">
        <v>1</v>
      </c>
    </row>
    <row r="1195" spans="1:24">
      <c r="A1195" s="26">
        <v>2221</v>
      </c>
      <c r="B1195" s="87">
        <v>46254.498437499999</v>
      </c>
      <c r="C1195" s="87">
        <v>46254.511782407397</v>
      </c>
      <c r="D1195" t="str">
        <v>anónimo</v>
      </c>
      <c r="E1195" t="str">
        <v/>
      </c>
      <c r="F1195" s="68">
        <v>46254</v>
      </c>
      <c r="G1195" s="88">
        <v>46252</v>
      </c>
      <c r="H1195" t="str">
        <v>ROSA CASTRO SUR</v>
      </c>
      <c r="I1195" t="str">
        <v>MARIA ANGELICA GONZALEZ MEDINA</v>
      </c>
      <c r="J1195" s="82">
        <v>21907064675</v>
      </c>
      <c r="K1195" t="str">
        <v>GOMA671014MSLNDN01</v>
      </c>
      <c r="L1195" s="82">
        <v>23729930</v>
      </c>
      <c r="M1195" s="82">
        <v>5216673885168</v>
      </c>
      <c r="N1195" t="str">
        <v>COMPRA MENOR</v>
      </c>
      <c r="O1195" s="89">
        <v>5055.87</v>
      </c>
      <c r="P1195" s="89">
        <v>1234.26</v>
      </c>
      <c r="Q1195" s="89">
        <v>1516.761</v>
      </c>
      <c r="R1195" s="89">
        <v>-351.36999999999966</v>
      </c>
      <c r="S1195">
        <v>46082</v>
      </c>
      <c r="T1195" t="str">
        <v>EXITUS</v>
      </c>
      <c r="U1195">
        <v>374.89</v>
      </c>
      <c r="V1195" t="str">
        <v>HECTOR</v>
      </c>
      <c r="W1195">
        <v>46254</v>
      </c>
      <c r="X1195">
        <v>2</v>
      </c>
    </row>
    <row r="1196" spans="1:24">
      <c r="A1196" s="26">
        <v>2222</v>
      </c>
      <c r="B1196" s="87">
        <v>46254.5140509259</v>
      </c>
      <c r="C1196" s="87">
        <v>46254.524444444403</v>
      </c>
      <c r="D1196" t="str">
        <v>anónimo</v>
      </c>
      <c r="E1196" t="str">
        <v/>
      </c>
      <c r="F1196" s="68">
        <v>46254</v>
      </c>
      <c r="G1196" s="88">
        <v>46254</v>
      </c>
      <c r="H1196" t="str">
        <v>LILIANA MARTINEZ SUR</v>
      </c>
      <c r="I1196" t="str">
        <v>MARICRUZ CALVILLO HERRERA</v>
      </c>
      <c r="J1196" s="82">
        <v>33725601844</v>
      </c>
      <c r="K1196" t="str">
        <v>CAHM560503MCHLRR09</v>
      </c>
      <c r="L1196" s="82">
        <v>23795136</v>
      </c>
      <c r="M1196" s="82">
        <v>5216562872773</v>
      </c>
      <c r="N1196" t="str">
        <v>NUEVO MAYOR</v>
      </c>
      <c r="O1196" s="89">
        <v>7920.51</v>
      </c>
      <c r="P1196" s="89" t="str">
        <v/>
      </c>
      <c r="Q1196" s="89">
        <v>2376.1529999999998</v>
      </c>
      <c r="R1196" s="89">
        <v>2376.1529999999998</v>
      </c>
      <c r="S1196" t="str">
        <v/>
      </c>
      <c r="T1196" t="str">
        <v/>
      </c>
      <c r="U1196" t="str">
        <v/>
      </c>
      <c r="V1196" t="str">
        <v>PAOLA</v>
      </c>
      <c r="W1196">
        <v>46254</v>
      </c>
      <c r="X1196">
        <v>1</v>
      </c>
    </row>
    <row r="1197" spans="1:24">
      <c r="A1197" s="26">
        <v>2223</v>
      </c>
      <c r="B1197" s="87">
        <v>46254.561458333301</v>
      </c>
      <c r="C1197" s="87">
        <v>46254.562685185199</v>
      </c>
      <c r="D1197" t="str">
        <v>anónimo</v>
      </c>
      <c r="E1197" t="str">
        <v/>
      </c>
      <c r="F1197" s="68">
        <v>46254</v>
      </c>
      <c r="G1197" s="88">
        <v>46254</v>
      </c>
      <c r="H1197" t="str">
        <v>DANIELA IRACHETA</v>
      </c>
      <c r="I1197" t="str">
        <v xml:space="preserve">abad chavez </v>
      </c>
      <c r="J1197" s="82" t="str">
        <v/>
      </c>
      <c r="K1197" t="str">
        <v>CARA660820HOCHMB07</v>
      </c>
      <c r="L1197" s="82">
        <v>23795674</v>
      </c>
      <c r="M1197" s="82">
        <v>5219985720990</v>
      </c>
      <c r="N1197" t="str">
        <v>NUEVO MAYOR</v>
      </c>
      <c r="O1197" s="89">
        <v>25398.43</v>
      </c>
      <c r="P1197" s="89" t="str">
        <v/>
      </c>
      <c r="Q1197" s="89">
        <v>7619.5289999999995</v>
      </c>
      <c r="R1197" s="89">
        <v>7619.5289999999995</v>
      </c>
      <c r="S1197" t="str">
        <v/>
      </c>
      <c r="T1197" t="str">
        <v/>
      </c>
      <c r="U1197" t="str">
        <v/>
      </c>
      <c r="V1197" t="str">
        <v>GABRIELA</v>
      </c>
      <c r="W1197">
        <v>46254</v>
      </c>
      <c r="X1197">
        <v>1</v>
      </c>
    </row>
    <row r="1198" spans="1:24">
      <c r="A1198" s="26">
        <v>2228</v>
      </c>
      <c r="B1198" s="87">
        <v>46254.605138888903</v>
      </c>
      <c r="C1198" s="87">
        <v>46254.605960648099</v>
      </c>
      <c r="D1198" t="str">
        <v>anónimo</v>
      </c>
      <c r="E1198" t="str">
        <v/>
      </c>
      <c r="F1198" s="68">
        <v>46254</v>
      </c>
      <c r="G1198" s="88">
        <v>46254</v>
      </c>
      <c r="H1198" t="str">
        <v>BEATRIZ DE LA CRUZ</v>
      </c>
      <c r="I1198" t="str">
        <v xml:space="preserve"> JUAN CARLOS MARTINEZ PEREZ</v>
      </c>
      <c r="J1198" s="82">
        <v>64815913112</v>
      </c>
      <c r="K1198" t="str">
        <v>MAPJ590126HDFRRN03</v>
      </c>
      <c r="L1198" s="82">
        <v>23799212</v>
      </c>
      <c r="M1198" s="82">
        <v>8110693461</v>
      </c>
      <c r="N1198" t="str">
        <v>NUEVO MAYOR</v>
      </c>
      <c r="O1198" s="89">
        <v>12454</v>
      </c>
      <c r="P1198" s="89" t="str">
        <v/>
      </c>
      <c r="Q1198" s="89">
        <v>3736.2</v>
      </c>
      <c r="R1198" s="89">
        <v>3736.2</v>
      </c>
      <c r="S1198" t="str">
        <v/>
      </c>
      <c r="T1198" t="str">
        <v/>
      </c>
      <c r="U1198" t="str">
        <v/>
      </c>
      <c r="V1198" t="str">
        <v>ANA</v>
      </c>
      <c r="W1198">
        <v>46254</v>
      </c>
      <c r="X1198">
        <v>1</v>
      </c>
    </row>
    <row r="1199" spans="1:24">
      <c r="A1199" s="26">
        <v>2231</v>
      </c>
      <c r="B1199" s="87">
        <v>46254.621979166703</v>
      </c>
      <c r="C1199" s="87">
        <v>46254.627511574101</v>
      </c>
      <c r="D1199" t="str">
        <v>anónimo</v>
      </c>
      <c r="E1199" t="str">
        <v/>
      </c>
      <c r="F1199" s="68">
        <v>46254</v>
      </c>
      <c r="G1199" s="88">
        <v>46254</v>
      </c>
      <c r="H1199" t="str">
        <v>LILIANA MARTINEZ SUR</v>
      </c>
      <c r="I1199" t="str">
        <v>EVODIO ALEJANDRO MARTINEZ TORRES</v>
      </c>
      <c r="J1199" s="82" t="str">
        <v/>
      </c>
      <c r="K1199" t="str">
        <v>MATE660506HDFRRV08</v>
      </c>
      <c r="L1199" s="82">
        <v>23803036</v>
      </c>
      <c r="M1199" s="82">
        <v>5215545386691</v>
      </c>
      <c r="N1199" t="str">
        <v>NUEVO MAYOR</v>
      </c>
      <c r="O1199" s="89">
        <v>10636.54</v>
      </c>
      <c r="P1199" s="89" t="str">
        <v/>
      </c>
      <c r="Q1199" s="89">
        <v>3190.962</v>
      </c>
      <c r="R1199" s="89">
        <v>3190.962</v>
      </c>
      <c r="S1199" t="str">
        <v/>
      </c>
      <c r="T1199" t="str">
        <v/>
      </c>
      <c r="U1199" t="str">
        <v/>
      </c>
      <c r="V1199" t="str">
        <v>ANA</v>
      </c>
      <c r="W1199">
        <v>46254</v>
      </c>
      <c r="X1199">
        <v>1</v>
      </c>
    </row>
    <row r="1200" spans="1:24">
      <c r="A1200" s="26">
        <v>2232</v>
      </c>
      <c r="B1200" s="87">
        <v>46254.628703703696</v>
      </c>
      <c r="C1200" s="87">
        <v>46254.629351851901</v>
      </c>
      <c r="D1200" t="str">
        <v>anónimo</v>
      </c>
      <c r="E1200" t="str">
        <v/>
      </c>
      <c r="F1200" s="68">
        <v>46254</v>
      </c>
      <c r="G1200" s="88">
        <v>46253</v>
      </c>
      <c r="H1200" t="str">
        <v>BEATRIZ DE LA CRUZ</v>
      </c>
      <c r="I1200" t="str">
        <v>YOLANDA NANDUCA TOLEDO</v>
      </c>
      <c r="J1200" s="82" t="str">
        <v/>
      </c>
      <c r="K1200" t="str">
        <v>NATY600526MCSNLL02</v>
      </c>
      <c r="L1200" s="82">
        <v>23773002</v>
      </c>
      <c r="M1200" s="82">
        <v>8994499174</v>
      </c>
      <c r="N1200" t="str">
        <v>NUEVO MAYOR</v>
      </c>
      <c r="O1200" s="89">
        <v>5983.25</v>
      </c>
      <c r="P1200" s="89" t="str">
        <v/>
      </c>
      <c r="Q1200" s="89">
        <v>1794.9749999999999</v>
      </c>
      <c r="R1200" s="89">
        <v>1794.9749999999999</v>
      </c>
      <c r="S1200" t="str">
        <v/>
      </c>
      <c r="T1200" t="str">
        <v/>
      </c>
      <c r="U1200" t="str">
        <v/>
      </c>
      <c r="V1200" t="str">
        <v>EDNA</v>
      </c>
      <c r="W1200">
        <v>46254</v>
      </c>
      <c r="X1200">
        <v>1</v>
      </c>
    </row>
    <row r="1201" spans="1:24">
      <c r="A1201" s="26">
        <v>2233</v>
      </c>
      <c r="B1201" s="87">
        <v>46254.645983796298</v>
      </c>
      <c r="C1201" s="87">
        <v>46254.646736111099</v>
      </c>
      <c r="D1201" t="str">
        <v>anónimo</v>
      </c>
      <c r="E1201" t="str">
        <v/>
      </c>
      <c r="F1201" s="68">
        <v>46254</v>
      </c>
      <c r="G1201" s="88">
        <v>46254</v>
      </c>
      <c r="H1201" t="str">
        <v>GLORIA ORTIZ C/C</v>
      </c>
      <c r="I1201" t="str">
        <v>GUSTAVO GARCIA TREJO</v>
      </c>
      <c r="J1201" s="82">
        <v>13947105055</v>
      </c>
      <c r="K1201" t="str">
        <v/>
      </c>
      <c r="L1201" s="82">
        <v>22903402</v>
      </c>
      <c r="M1201" s="82">
        <v>5217717412056</v>
      </c>
      <c r="N1201" t="str">
        <v>NUEVO MAYOR</v>
      </c>
      <c r="O1201" s="89">
        <v>28690.84</v>
      </c>
      <c r="P1201" s="89">
        <v>6156.82</v>
      </c>
      <c r="Q1201" s="89">
        <v>8607.2520000000004</v>
      </c>
      <c r="R1201" s="89">
        <v>2450.4320000000007</v>
      </c>
      <c r="S1201">
        <v>46600</v>
      </c>
      <c r="T1201" t="str">
        <v>PROFUTURO</v>
      </c>
      <c r="U1201">
        <v>3762.83</v>
      </c>
      <c r="V1201" t="str">
        <v>GLORIA</v>
      </c>
      <c r="W1201">
        <v>46254</v>
      </c>
      <c r="X1201">
        <v>2</v>
      </c>
    </row>
    <row r="1202" spans="1:24">
      <c r="A1202" s="26">
        <v>2235</v>
      </c>
      <c r="B1202" s="87">
        <v>46254.6613194444</v>
      </c>
      <c r="C1202" s="87">
        <v>46254.661874999998</v>
      </c>
      <c r="D1202" t="str">
        <v>anónimo</v>
      </c>
      <c r="E1202" t="str">
        <v/>
      </c>
      <c r="F1202" s="68">
        <v>46254</v>
      </c>
      <c r="G1202" s="88">
        <v>46254</v>
      </c>
      <c r="H1202" t="str">
        <v>MAGALI MARTINEZ EXT 2</v>
      </c>
      <c r="I1202" t="str">
        <v>DOLORES ORTEGA MALANCO</v>
      </c>
      <c r="J1202" s="82">
        <v>10816122245</v>
      </c>
      <c r="K1202" t="str">
        <v>OEMD610221MDFRLL03</v>
      </c>
      <c r="L1202" s="82">
        <v>2</v>
      </c>
      <c r="M1202" s="82">
        <v>5554044409</v>
      </c>
      <c r="N1202" t="str">
        <v>COMPRA MAYOR</v>
      </c>
      <c r="O1202" s="89">
        <v>6262.86</v>
      </c>
      <c r="P1202" s="89">
        <v>1738.79</v>
      </c>
      <c r="Q1202" s="89">
        <v>1878.8579999999997</v>
      </c>
      <c r="R1202" s="89">
        <v>140.06799999999976</v>
      </c>
      <c r="S1202">
        <v>46235</v>
      </c>
      <c r="T1202" t="str">
        <v>DIMEX</v>
      </c>
      <c r="U1202">
        <v>1738.79</v>
      </c>
      <c r="V1202" t="str">
        <v/>
      </c>
      <c r="W1202" t="str">
        <v/>
      </c>
      <c r="X1202">
        <v>2</v>
      </c>
    </row>
    <row r="1203" spans="1:24">
      <c r="A1203" s="26">
        <v>2236</v>
      </c>
      <c r="B1203" s="87">
        <v>46254.705925925897</v>
      </c>
      <c r="C1203" s="87">
        <v>46254.706481481502</v>
      </c>
      <c r="D1203" t="str">
        <v>anónimo</v>
      </c>
      <c r="E1203" t="str">
        <v/>
      </c>
      <c r="F1203" s="68">
        <v>46254</v>
      </c>
      <c r="G1203" s="88">
        <v>46254</v>
      </c>
      <c r="H1203" t="str">
        <v>BEATRIZ DE LA CRUZ</v>
      </c>
      <c r="I1203" t="str">
        <v>FRANCISCO MALACARA CASTAÑEDA</v>
      </c>
      <c r="J1203" s="82" t="str">
        <v/>
      </c>
      <c r="K1203" t="str">
        <v>MACF590115HCLLSR03</v>
      </c>
      <c r="L1203" s="82">
        <v>23809056</v>
      </c>
      <c r="M1203" s="82">
        <v>8443562001</v>
      </c>
      <c r="N1203" t="str">
        <v>NUEVO MAYOR</v>
      </c>
      <c r="O1203" s="89">
        <v>10229.02</v>
      </c>
      <c r="P1203" s="89" t="str">
        <v/>
      </c>
      <c r="Q1203" s="89">
        <v>3068.7060000000001</v>
      </c>
      <c r="R1203" s="89">
        <v>3068.7060000000001</v>
      </c>
      <c r="S1203" t="str">
        <v/>
      </c>
      <c r="T1203" t="str">
        <v/>
      </c>
      <c r="U1203" t="str">
        <v/>
      </c>
      <c r="V1203" t="str">
        <v>ANA</v>
      </c>
      <c r="W1203">
        <v>46254</v>
      </c>
      <c r="X1203">
        <v>1</v>
      </c>
    </row>
    <row r="1204" spans="1:24">
      <c r="A1204" s="26">
        <v>2238</v>
      </c>
      <c r="B1204" s="87">
        <v>46254.492615740703</v>
      </c>
      <c r="C1204" s="87">
        <v>46254.730243055601</v>
      </c>
      <c r="D1204" t="str">
        <v>anónimo</v>
      </c>
      <c r="E1204" t="str">
        <v/>
      </c>
      <c r="F1204" s="68">
        <v>46254</v>
      </c>
      <c r="G1204" s="88">
        <v>46254</v>
      </c>
      <c r="H1204" t="str">
        <v>RUTH MARTINEZ SUR</v>
      </c>
      <c r="I1204" t="str">
        <v>FRANCISCO JAVIER AYALA CARRILLO</v>
      </c>
      <c r="J1204" s="82" t="str">
        <v xml:space="preserve">33816437082
</v>
      </c>
      <c r="K1204" t="str">
        <v/>
      </c>
      <c r="L1204" s="82">
        <v>23807862</v>
      </c>
      <c r="M1204" s="82">
        <v>5216566753842</v>
      </c>
      <c r="N1204" t="str">
        <v>NUEVO MAYOR</v>
      </c>
      <c r="O1204" s="89">
        <v>16470.3</v>
      </c>
      <c r="P1204" s="89">
        <v>1794</v>
      </c>
      <c r="Q1204" s="89">
        <v>4941.0899999999992</v>
      </c>
      <c r="R1204" s="89">
        <v>3147.0899999999992</v>
      </c>
      <c r="S1204">
        <v>46478</v>
      </c>
      <c r="T1204" t="str">
        <v>DIMEX</v>
      </c>
      <c r="U1204">
        <v>1794</v>
      </c>
      <c r="V1204" t="str">
        <v>GABRIELA</v>
      </c>
      <c r="W1204">
        <v>46254</v>
      </c>
      <c r="X1204">
        <v>2</v>
      </c>
    </row>
    <row r="1205" spans="1:24">
      <c r="A1205" s="26">
        <v>2241</v>
      </c>
      <c r="B1205" s="87">
        <v>46254.716527777797</v>
      </c>
      <c r="C1205" s="87">
        <v>46254.747083333299</v>
      </c>
      <c r="D1205" t="str">
        <v>anónimo</v>
      </c>
      <c r="E1205" t="str">
        <v/>
      </c>
      <c r="F1205" s="68">
        <v>46254</v>
      </c>
      <c r="G1205" s="88">
        <v>46254</v>
      </c>
      <c r="H1205" t="str">
        <v>YARUMI PEREZ SUR</v>
      </c>
      <c r="I1205" t="str">
        <v xml:space="preserve">RODOLFO RAMOS PACHECO </v>
      </c>
      <c r="J1205" s="82" t="str">
        <v>658064353807</v>
      </c>
      <c r="K1205" t="str">
        <v>RAPR640520HVZMCD06</v>
      </c>
      <c r="L1205" s="82">
        <v>23808822</v>
      </c>
      <c r="M1205" s="82">
        <v>5216568157139</v>
      </c>
      <c r="N1205" t="str">
        <v>COMPRA MAYOR</v>
      </c>
      <c r="O1205" s="89">
        <v>9081.52</v>
      </c>
      <c r="P1205" s="89">
        <v>2521.35</v>
      </c>
      <c r="Q1205" s="89">
        <v>2724.4560000000001</v>
      </c>
      <c r="R1205" s="89">
        <v>203.10600000000022</v>
      </c>
      <c r="S1205">
        <v>46204</v>
      </c>
      <c r="T1205" t="str">
        <v>DIMEX</v>
      </c>
      <c r="U1205">
        <v>2521.35</v>
      </c>
      <c r="V1205" t="str">
        <v>ITZELH</v>
      </c>
      <c r="W1205">
        <v>46254</v>
      </c>
      <c r="X1205">
        <v>2</v>
      </c>
    </row>
    <row r="1206" spans="1:24">
      <c r="A1206" s="26">
        <v>2244</v>
      </c>
      <c r="B1206" s="87">
        <v>46255.350567129601</v>
      </c>
      <c r="C1206" s="87">
        <v>46255.351458333302</v>
      </c>
      <c r="D1206" t="str">
        <v>anónimo</v>
      </c>
      <c r="E1206" t="str">
        <v/>
      </c>
      <c r="F1206" s="68">
        <v>46255</v>
      </c>
      <c r="G1206" s="88">
        <v>46255</v>
      </c>
      <c r="H1206" t="str">
        <v>MAGALI MARTINEZ EXT 2</v>
      </c>
      <c r="I1206" t="str">
        <v>ANGELICA MEJIA MATEOS</v>
      </c>
      <c r="J1206" s="82">
        <v>11684924215</v>
      </c>
      <c r="K1206" t="str">
        <v>MEMA490516MDFJTN01</v>
      </c>
      <c r="L1206" s="82">
        <v>2</v>
      </c>
      <c r="M1206" s="82" t="str">
        <v xml:space="preserve"> 55 8142 8718</v>
      </c>
      <c r="N1206" t="str">
        <v>NUEVO MENOR</v>
      </c>
      <c r="O1206" s="89">
        <v>4657.96</v>
      </c>
      <c r="P1206" s="89" t="str">
        <v/>
      </c>
      <c r="Q1206" s="89">
        <v>1397.3879999999999</v>
      </c>
      <c r="R1206" s="89">
        <v>484.98000000000047</v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>
        <v>1</v>
      </c>
    </row>
    <row r="1207" spans="1:24">
      <c r="A1207" s="26">
        <v>2245</v>
      </c>
      <c r="B1207" s="87">
        <v>46255.356712963003</v>
      </c>
      <c r="C1207" s="87">
        <v>46255.3577083333</v>
      </c>
      <c r="D1207" t="str">
        <v>anónimo</v>
      </c>
      <c r="E1207" t="str">
        <v/>
      </c>
      <c r="F1207" s="68">
        <v>46255</v>
      </c>
      <c r="G1207" s="88">
        <v>46252</v>
      </c>
      <c r="H1207" t="str">
        <v>LITZY MARTINEZ</v>
      </c>
      <c r="I1207" t="str">
        <v>Benito Anguiano Gutierrez</v>
      </c>
      <c r="J1207" s="82" t="str">
        <v xml:space="preserve">39917366021
</v>
      </c>
      <c r="K1207" t="str">
        <v/>
      </c>
      <c r="L1207" s="82">
        <v>23737228</v>
      </c>
      <c r="M1207" s="82">
        <v>5218442806796</v>
      </c>
      <c r="N1207" t="str">
        <v>NUEVO MAYOR</v>
      </c>
      <c r="O1207" s="89">
        <v>9277.0499999999993</v>
      </c>
      <c r="P1207" s="89" t="str">
        <v/>
      </c>
      <c r="Q1207" s="89">
        <v>2783.1149999999998</v>
      </c>
      <c r="R1207" s="89">
        <v>2783.1149999999998</v>
      </c>
      <c r="S1207" t="str">
        <v/>
      </c>
      <c r="T1207" t="str">
        <v/>
      </c>
      <c r="U1207" t="str">
        <v/>
      </c>
      <c r="V1207" t="str">
        <v>ITZEL CARRANZA</v>
      </c>
      <c r="W1207">
        <v>46255</v>
      </c>
      <c r="X1207">
        <v>1</v>
      </c>
    </row>
    <row r="1208" spans="1:24">
      <c r="A1208" s="26">
        <v>2251</v>
      </c>
      <c r="B1208" s="87">
        <v>46255.334999999999</v>
      </c>
      <c r="C1208" s="87">
        <v>46255.440439814804</v>
      </c>
      <c r="D1208" t="str">
        <v>anónimo</v>
      </c>
      <c r="E1208" t="str">
        <v/>
      </c>
      <c r="F1208" s="68">
        <v>46255</v>
      </c>
      <c r="G1208" s="88">
        <v>46253</v>
      </c>
      <c r="H1208" t="str">
        <v>GUADALUPE BECERRA</v>
      </c>
      <c r="I1208" t="str">
        <v>JOSE TRINIDAD CARRANCO GONZALEZ</v>
      </c>
      <c r="J1208" s="82" t="str">
        <v/>
      </c>
      <c r="K1208" t="str">
        <v>CAGT640706HGTRNR07</v>
      </c>
      <c r="L1208" s="82">
        <v>23774532</v>
      </c>
      <c r="M1208" s="82">
        <v>5214772736540</v>
      </c>
      <c r="N1208" t="str">
        <v>NUEVO MAYOR</v>
      </c>
      <c r="O1208" s="89">
        <v>10636.54</v>
      </c>
      <c r="P1208" s="89" t="str">
        <v/>
      </c>
      <c r="Q1208" s="89">
        <v>3190.962</v>
      </c>
      <c r="R1208" s="89">
        <v>3190.962</v>
      </c>
      <c r="S1208" t="str">
        <v/>
      </c>
      <c r="T1208" t="str">
        <v/>
      </c>
      <c r="U1208" t="str">
        <v/>
      </c>
      <c r="V1208" t="str">
        <v>ANA</v>
      </c>
      <c r="W1208">
        <v>46255</v>
      </c>
      <c r="X1208">
        <v>1</v>
      </c>
    </row>
    <row r="1209" spans="1:24">
      <c r="A1209" s="26">
        <v>2262</v>
      </c>
      <c r="B1209" s="87">
        <v>46255.425949074102</v>
      </c>
      <c r="C1209" s="87">
        <v>46255.5776273148</v>
      </c>
      <c r="D1209" t="str">
        <v>anónimo</v>
      </c>
      <c r="E1209" t="str">
        <v/>
      </c>
      <c r="F1209" s="68">
        <v>46255</v>
      </c>
      <c r="G1209" s="88">
        <v>46255</v>
      </c>
      <c r="H1209" t="str">
        <v>YAMILETH CARDONA EXT 2</v>
      </c>
      <c r="I1209" t="str">
        <v>FERNANDO DIAZ CASTILLO</v>
      </c>
      <c r="J1209" s="82" t="str">
        <v>06796194105</v>
      </c>
      <c r="K1209" t="str">
        <v>DICF610309HDFZSR05</v>
      </c>
      <c r="L1209" s="82">
        <v>2</v>
      </c>
      <c r="M1209" s="82">
        <v>5527448778</v>
      </c>
      <c r="N1209" t="str">
        <v>NUEVO MAYOR</v>
      </c>
      <c r="O1209" s="89">
        <v>57234.18</v>
      </c>
      <c r="P1209" s="89" t="str">
        <v/>
      </c>
      <c r="Q1209" s="89">
        <v>17170.254000000001</v>
      </c>
      <c r="R1209" s="89">
        <v>17170.254000000001</v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>
        <v>1</v>
      </c>
    </row>
    <row r="1210" spans="1:24">
      <c r="A1210" s="26">
        <v>2263</v>
      </c>
      <c r="B1210" s="87">
        <v>46255.621307870402</v>
      </c>
      <c r="C1210" s="87">
        <v>46255.622997685197</v>
      </c>
      <c r="D1210" t="str">
        <v>anónimo</v>
      </c>
      <c r="E1210" t="str">
        <v/>
      </c>
      <c r="F1210" s="68">
        <v>46255</v>
      </c>
      <c r="G1210" s="88">
        <v>46249</v>
      </c>
      <c r="H1210" t="str">
        <v>GUADALUPE BECERRA</v>
      </c>
      <c r="I1210" t="str">
        <v>CRUZ RUFINO JUAREZ BALCAZAR</v>
      </c>
      <c r="J1210" s="82">
        <v>83796006605</v>
      </c>
      <c r="K1210" t="str">
        <v>JUMC600503HTCRLR03</v>
      </c>
      <c r="L1210" s="82">
        <v>23662598</v>
      </c>
      <c r="M1210" s="82">
        <v>5219371543936</v>
      </c>
      <c r="N1210" t="str">
        <v>COMPRA MENOR</v>
      </c>
      <c r="O1210" s="89">
        <v>5617.63</v>
      </c>
      <c r="P1210" s="89">
        <v>1178.06</v>
      </c>
      <c r="Q1210" s="89">
        <v>1685.289</v>
      </c>
      <c r="R1210" s="89">
        <v>266.5900000000006</v>
      </c>
      <c r="S1210">
        <v>45474</v>
      </c>
      <c r="T1210" t="str">
        <v>BANCREA</v>
      </c>
      <c r="U1210">
        <v>1178.06</v>
      </c>
      <c r="V1210" t="str">
        <v>HANIA</v>
      </c>
      <c r="W1210">
        <v>46255</v>
      </c>
      <c r="X1210">
        <v>2</v>
      </c>
    </row>
    <row r="1211" spans="1:24">
      <c r="A1211" s="26">
        <v>2264</v>
      </c>
      <c r="B1211" s="87">
        <v>46255.623541666697</v>
      </c>
      <c r="C1211" s="87">
        <v>46255.624120370398</v>
      </c>
      <c r="D1211" t="str">
        <v>anónimo</v>
      </c>
      <c r="E1211" t="str">
        <v/>
      </c>
      <c r="F1211" s="68">
        <v>46255</v>
      </c>
      <c r="G1211" s="88">
        <v>46255</v>
      </c>
      <c r="H1211" t="str">
        <v>YAJAHIRA GONZALEZ EXT 2</v>
      </c>
      <c r="I1211" t="str">
        <v>RUMUALDO RAMIREZ MUÑIZ</v>
      </c>
      <c r="J1211" s="82">
        <v>32755514737</v>
      </c>
      <c r="K1211" t="str">
        <v>RAMR560207HCLMXM03</v>
      </c>
      <c r="L1211" s="82">
        <v>2</v>
      </c>
      <c r="M1211" s="82">
        <v>8443112867</v>
      </c>
      <c r="N1211" t="str">
        <v>NUEVO MAYOR</v>
      </c>
      <c r="O1211" s="89">
        <v>8980.3700000000008</v>
      </c>
      <c r="P1211" s="89" t="str">
        <v/>
      </c>
      <c r="Q1211" s="89">
        <v>2694.1110000000003</v>
      </c>
      <c r="R1211" s="89">
        <v>2694.1110000000003</v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>
        <v>1</v>
      </c>
    </row>
    <row r="1212" spans="1:24">
      <c r="A1212" s="26">
        <v>2265</v>
      </c>
      <c r="B1212" s="87">
        <v>46255.630034722199</v>
      </c>
      <c r="C1212" s="87">
        <v>46255.636840277803</v>
      </c>
      <c r="D1212" t="str">
        <v>anónimo</v>
      </c>
      <c r="E1212" t="str">
        <v/>
      </c>
      <c r="F1212" s="68">
        <v>46255</v>
      </c>
      <c r="G1212" s="88">
        <v>46255</v>
      </c>
      <c r="H1212" t="str">
        <v>LILIANA MARTINEZ SUR</v>
      </c>
      <c r="I1212" t="str">
        <v>VALENTIN MACIAS SANCHEZ</v>
      </c>
      <c r="J1212" s="82" t="str">
        <v/>
      </c>
      <c r="K1212" t="str">
        <v>MASV591103HSPCNL03</v>
      </c>
      <c r="L1212" s="82">
        <v>23819870</v>
      </c>
      <c r="M1212" s="82">
        <v>5218180158985</v>
      </c>
      <c r="N1212" t="str">
        <v>RESTRINGIDA</v>
      </c>
      <c r="O1212" s="89">
        <v>7116.73</v>
      </c>
      <c r="P1212" s="89">
        <v>1750.44</v>
      </c>
      <c r="Q1212" s="89">
        <v>2135.0189999999998</v>
      </c>
      <c r="R1212" s="89">
        <v>384.57899999999972</v>
      </c>
      <c r="S1212">
        <v>45627</v>
      </c>
      <c r="T1212" t="str">
        <v>FISOFO</v>
      </c>
      <c r="U1212">
        <v>1750.44</v>
      </c>
      <c r="V1212" t="str">
        <v>DANIELLY</v>
      </c>
      <c r="W1212">
        <v>46255</v>
      </c>
      <c r="X1212">
        <v>2</v>
      </c>
    </row>
    <row r="1213" spans="1:24">
      <c r="A1213" s="26">
        <v>2267</v>
      </c>
      <c r="B1213" s="87">
        <v>46255.663437499999</v>
      </c>
      <c r="C1213" s="87">
        <v>46255.664930555598</v>
      </c>
      <c r="D1213" t="str">
        <v>anónimo</v>
      </c>
      <c r="E1213" t="str">
        <v/>
      </c>
      <c r="F1213" s="68">
        <v>46255</v>
      </c>
      <c r="G1213" s="88">
        <v>46255</v>
      </c>
      <c r="H1213" t="str">
        <v>ALAN ALTAMIRANO EXT</v>
      </c>
      <c r="I1213" t="str">
        <v>JUAN MANUEL GONZALEZ GARCIA</v>
      </c>
      <c r="J1213" s="82" t="str">
        <v/>
      </c>
      <c r="K1213" t="str">
        <v>GOGJ651215HTSNRN02</v>
      </c>
      <c r="L1213" s="82">
        <v>1</v>
      </c>
      <c r="M1213" s="82">
        <v>8992041432</v>
      </c>
      <c r="N1213" t="str">
        <v>NUEVO MAYOR</v>
      </c>
      <c r="O1213" s="89">
        <v>10636.540000000005</v>
      </c>
      <c r="P1213" s="89" t="str">
        <v/>
      </c>
      <c r="Q1213" s="89">
        <v>3190.9620000000014</v>
      </c>
      <c r="R1213" s="89">
        <v>3190.9620000000014</v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>
        <v>1</v>
      </c>
    </row>
    <row r="1214" spans="1:24">
      <c r="A1214" s="26">
        <v>2268</v>
      </c>
      <c r="B1214" s="87">
        <v>46255.686458333301</v>
      </c>
      <c r="C1214" s="87">
        <v>46255.689467592601</v>
      </c>
      <c r="D1214" t="str">
        <v>anónimo</v>
      </c>
      <c r="E1214" t="str">
        <v/>
      </c>
      <c r="F1214" s="68">
        <v>46255</v>
      </c>
      <c r="G1214" s="88">
        <v>46254</v>
      </c>
      <c r="H1214" t="str">
        <v>LILIANA MARTINEZ SUR</v>
      </c>
      <c r="I1214" t="str">
        <v>DALIA GUADALUPE ESCALANTE RUELAS</v>
      </c>
      <c r="J1214" s="82">
        <v>23927626699</v>
      </c>
      <c r="K1214" t="str">
        <v>EARD870411MSLSLL02</v>
      </c>
      <c r="L1214" s="82">
        <v>23813562</v>
      </c>
      <c r="M1214" s="82">
        <v>5216682470717</v>
      </c>
      <c r="N1214" t="str">
        <v>NUEVO MAYOR</v>
      </c>
      <c r="O1214" s="89">
        <v>5636.59</v>
      </c>
      <c r="P1214" s="89" t="str">
        <v/>
      </c>
      <c r="Q1214" s="89">
        <v>1690.9770000000001</v>
      </c>
      <c r="R1214" s="89">
        <v>1463.6100000000006</v>
      </c>
      <c r="S1214" t="str">
        <v/>
      </c>
      <c r="T1214" t="str">
        <v/>
      </c>
      <c r="U1214" t="str">
        <v/>
      </c>
      <c r="V1214" t="str">
        <v>EDNA</v>
      </c>
      <c r="W1214">
        <v>46255</v>
      </c>
      <c r="X1214">
        <v>1</v>
      </c>
    </row>
    <row r="1215" spans="1:24">
      <c r="A1215" s="26">
        <v>2273</v>
      </c>
      <c r="B1215" s="87">
        <v>46256.340925925899</v>
      </c>
      <c r="C1215" s="87">
        <v>46256.551238425898</v>
      </c>
      <c r="D1215" t="str">
        <v>anónimo</v>
      </c>
      <c r="E1215" t="str">
        <v/>
      </c>
      <c r="F1215" s="68">
        <v>46256</v>
      </c>
      <c r="G1215" s="88">
        <v>46250</v>
      </c>
      <c r="H1215" t="str">
        <v>GUADALUPE BECERRA</v>
      </c>
      <c r="I1215" t="str">
        <v>Manuel Federico Sandoval</v>
      </c>
      <c r="J1215" s="82">
        <v>22824500403</v>
      </c>
      <c r="K1215" t="str">
        <v/>
      </c>
      <c r="L1215" s="82">
        <v>23673046</v>
      </c>
      <c r="M1215" s="82">
        <v>5216692740045</v>
      </c>
      <c r="N1215" t="str">
        <v>NUEVO MENOR</v>
      </c>
      <c r="O1215" s="89">
        <v>4813.6899999999996</v>
      </c>
      <c r="P1215" s="89" t="str">
        <v/>
      </c>
      <c r="Q1215" s="89">
        <v>1444.1069999999997</v>
      </c>
      <c r="R1215" s="89">
        <v>640.71</v>
      </c>
      <c r="S1215" t="str">
        <v/>
      </c>
      <c r="T1215" t="str">
        <v/>
      </c>
      <c r="U1215" t="str">
        <v/>
      </c>
      <c r="V1215" t="str">
        <v>HECTOR</v>
      </c>
      <c r="W1215">
        <v>46256</v>
      </c>
      <c r="X1215">
        <v>1</v>
      </c>
    </row>
    <row r="1216" spans="1:24">
      <c r="A1216" s="26">
        <v>2277</v>
      </c>
      <c r="B1216" s="87">
        <v>46257.469409722202</v>
      </c>
      <c r="C1216" s="87">
        <v>46257.471550925897</v>
      </c>
      <c r="D1216" t="str">
        <v>anónimo</v>
      </c>
      <c r="E1216" t="str">
        <v/>
      </c>
      <c r="F1216" s="68">
        <v>46257</v>
      </c>
      <c r="G1216" s="88">
        <v>46254</v>
      </c>
      <c r="H1216" t="str">
        <v>GUADALUPE BECERRA</v>
      </c>
      <c r="I1216" t="str">
        <v>ANGEL TEOFILO GOMEZ</v>
      </c>
      <c r="J1216" s="82">
        <v>65735103437</v>
      </c>
      <c r="K1216" t="str">
        <v>GOXA510206HVZMXN03</v>
      </c>
      <c r="L1216" s="82">
        <v>23812196</v>
      </c>
      <c r="M1216" s="82">
        <v>5212281205645</v>
      </c>
      <c r="N1216" t="str">
        <v>NUEVO MAYOR</v>
      </c>
      <c r="O1216" s="89">
        <v>20215.53</v>
      </c>
      <c r="P1216" s="89" t="str">
        <v/>
      </c>
      <c r="Q1216" s="89">
        <v>6064.6589999999997</v>
      </c>
      <c r="R1216" s="89">
        <v>6064.6589999999997</v>
      </c>
      <c r="S1216" t="str">
        <v/>
      </c>
      <c r="T1216" t="str">
        <v/>
      </c>
      <c r="U1216" t="str">
        <v/>
      </c>
      <c r="V1216" t="str">
        <v>MIRIAM</v>
      </c>
      <c r="W1216">
        <v>46258</v>
      </c>
      <c r="X1216">
        <v>1</v>
      </c>
    </row>
    <row r="1217" spans="1:24">
      <c r="A1217" s="26">
        <v>2286</v>
      </c>
      <c r="B1217" s="87">
        <v>46258.516134259298</v>
      </c>
      <c r="C1217" s="87">
        <v>46258.519293981502</v>
      </c>
      <c r="D1217" t="str">
        <v>anónimo</v>
      </c>
      <c r="E1217" t="str">
        <v/>
      </c>
      <c r="F1217" s="68">
        <v>46258</v>
      </c>
      <c r="G1217" s="88">
        <v>46258</v>
      </c>
      <c r="H1217" t="str">
        <v>MAGALI MARTINEZ EXT 2</v>
      </c>
      <c r="I1217" t="str">
        <v>CARLOS FILIBERTO ARMENTA GAMEZ</v>
      </c>
      <c r="J1217" s="82" t="str">
        <v>23816333316</v>
      </c>
      <c r="K1217" t="str">
        <v>AEGC630822HSLRMR00</v>
      </c>
      <c r="L1217" s="82">
        <v>2</v>
      </c>
      <c r="M1217" s="82" t="str">
        <v>668 499 4557</v>
      </c>
      <c r="N1217" t="str">
        <v>COMPRA MAYOR</v>
      </c>
      <c r="O1217" s="89">
        <v>7920.51</v>
      </c>
      <c r="P1217" s="89">
        <v>2099.96</v>
      </c>
      <c r="Q1217" s="89">
        <v>2376.1529999999998</v>
      </c>
      <c r="R1217" s="89">
        <v>276.19299999999976</v>
      </c>
      <c r="S1217">
        <v>45962</v>
      </c>
      <c r="T1217" t="str">
        <v>MULTIVA</v>
      </c>
      <c r="U1217">
        <v>2099.96</v>
      </c>
      <c r="V1217" t="str">
        <v/>
      </c>
      <c r="W1217" t="str">
        <v/>
      </c>
      <c r="X1217">
        <v>2</v>
      </c>
    </row>
    <row r="1218" spans="1:24">
      <c r="A1218" s="26">
        <v>2287</v>
      </c>
      <c r="B1218" s="87">
        <v>46258.532800925903</v>
      </c>
      <c r="C1218" s="87">
        <v>46258.533101851797</v>
      </c>
      <c r="D1218" t="str">
        <v>anónimo</v>
      </c>
      <c r="E1218" t="str">
        <v/>
      </c>
      <c r="F1218" s="68">
        <v>46258</v>
      </c>
      <c r="G1218" s="88">
        <v>46258</v>
      </c>
      <c r="H1218" t="str">
        <v>AMIR NAVARRO EXT 2</v>
      </c>
      <c r="I1218" t="str">
        <v>RICARDO FLORES DAVILA</v>
      </c>
      <c r="J1218" s="82">
        <v>75826212419</v>
      </c>
      <c r="K1218" t="str">
        <v>FODR620126HDFLVC06</v>
      </c>
      <c r="L1218" s="82">
        <v>2</v>
      </c>
      <c r="M1218" s="82">
        <v>5544107574</v>
      </c>
      <c r="N1218" t="str">
        <v>COMPRA MAYOR</v>
      </c>
      <c r="O1218" s="89">
        <v>7920.51</v>
      </c>
      <c r="P1218" s="89">
        <v>2199.0100000000002</v>
      </c>
      <c r="Q1218" s="89">
        <v>2376.1529999999998</v>
      </c>
      <c r="R1218" s="89">
        <v>177.14299999999957</v>
      </c>
      <c r="S1218">
        <v>46204</v>
      </c>
      <c r="T1218" t="str">
        <v>INBURSA</v>
      </c>
      <c r="U1218">
        <v>2199.0100000000002</v>
      </c>
      <c r="V1218" t="str">
        <v/>
      </c>
      <c r="W1218" t="str">
        <v/>
      </c>
      <c r="X1218">
        <v>2</v>
      </c>
    </row>
    <row r="1219" spans="1:24">
      <c r="A1219" s="26">
        <v>2289</v>
      </c>
      <c r="B1219" s="87">
        <v>46258.494293981501</v>
      </c>
      <c r="C1219" s="87">
        <v>46258.606076388904</v>
      </c>
      <c r="D1219" t="str">
        <v>anónimo</v>
      </c>
      <c r="E1219" t="str">
        <v/>
      </c>
      <c r="F1219" s="68">
        <v>46258</v>
      </c>
      <c r="G1219" s="88">
        <v>46258</v>
      </c>
      <c r="H1219" t="str">
        <v>YAMILETH CARDONA EXT 2</v>
      </c>
      <c r="I1219" t="str">
        <v>ALFONZO BAEZ BALCAZAR</v>
      </c>
      <c r="J1219" s="82" t="str">
        <v>01624376552</v>
      </c>
      <c r="K1219" t="str">
        <v>BABA431117HMCZLL06</v>
      </c>
      <c r="L1219" s="82">
        <v>2</v>
      </c>
      <c r="M1219" s="82">
        <v>5520038585</v>
      </c>
      <c r="N1219" t="str">
        <v>NUEVO MAYOR</v>
      </c>
      <c r="O1219" s="89">
        <v>8784.2900000000009</v>
      </c>
      <c r="P1219" s="89" t="str">
        <v/>
      </c>
      <c r="Q1219" s="89">
        <v>2635.2870000000003</v>
      </c>
      <c r="R1219" s="89">
        <v>2635.2870000000003</v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>
        <v>1</v>
      </c>
    </row>
    <row r="1220" spans="1:24">
      <c r="A1220" s="26">
        <v>2294</v>
      </c>
      <c r="B1220" s="87">
        <v>46258.6890277778</v>
      </c>
      <c r="C1220" s="87">
        <v>46258.689502314803</v>
      </c>
      <c r="D1220" t="str">
        <v>anónimo</v>
      </c>
      <c r="E1220" t="str">
        <v/>
      </c>
      <c r="F1220" s="68">
        <v>46258</v>
      </c>
      <c r="G1220" s="88">
        <v>46258</v>
      </c>
      <c r="H1220" t="str">
        <v>MAGALI MARTINEZ EXT 2</v>
      </c>
      <c r="I1220" t="str">
        <v>SAMUEL DE JESUS ROCHA LOPEZ</v>
      </c>
      <c r="J1220" s="82">
        <v>43846505790</v>
      </c>
      <c r="K1220" t="str">
        <v>ROLS650512HNLCPM05</v>
      </c>
      <c r="L1220" s="82">
        <v>2</v>
      </c>
      <c r="M1220" s="82" t="str">
        <v>81 1785 5567</v>
      </c>
      <c r="N1220" t="str">
        <v>NUEVO MAYOR</v>
      </c>
      <c r="O1220" s="89">
        <v>10636.54</v>
      </c>
      <c r="P1220" s="89" t="str">
        <v/>
      </c>
      <c r="Q1220" s="89">
        <v>3190.962</v>
      </c>
      <c r="R1220" s="89">
        <v>3190.962</v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>
        <v>1</v>
      </c>
    </row>
    <row r="1221" spans="1:24">
      <c r="A1221" s="26">
        <v>2302</v>
      </c>
      <c r="B1221" s="87">
        <v>46259.473587963003</v>
      </c>
      <c r="C1221" s="87">
        <v>46259.474050925899</v>
      </c>
      <c r="D1221" t="str">
        <v>anónimo</v>
      </c>
      <c r="E1221" t="str">
        <v/>
      </c>
      <c r="F1221" s="68">
        <v>46259</v>
      </c>
      <c r="G1221" s="88">
        <v>46259</v>
      </c>
      <c r="H1221" t="str">
        <v>MAGALI MARTINEZ EXT 2</v>
      </c>
      <c r="I1221" t="str">
        <v>ROSAURA MONTELONGO DE LOS SANTOS</v>
      </c>
      <c r="J1221" s="82" t="str">
        <v>04725631586</v>
      </c>
      <c r="K1221" t="str">
        <v>MOSR550910MJCNNS06</v>
      </c>
      <c r="L1221" s="82">
        <v>2</v>
      </c>
      <c r="M1221" s="82" t="str">
        <v>33 3820 0696</v>
      </c>
      <c r="N1221" t="str">
        <v>NUEVO MENOR</v>
      </c>
      <c r="O1221" s="89">
        <v>5310.46</v>
      </c>
      <c r="P1221" s="89">
        <v>283</v>
      </c>
      <c r="Q1221" s="89">
        <v>1593.1379999999999</v>
      </c>
      <c r="R1221" s="89">
        <v>854.48000000000047</v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>
        <v>1</v>
      </c>
    </row>
    <row r="1222" spans="1:24">
      <c r="A1222" s="26">
        <v>2306</v>
      </c>
      <c r="B1222" s="87">
        <v>46259.569895833301</v>
      </c>
      <c r="C1222" s="87">
        <v>46259.571550925903</v>
      </c>
      <c r="D1222" t="str">
        <v>anónimo</v>
      </c>
      <c r="E1222" t="str">
        <v/>
      </c>
      <c r="F1222" s="68">
        <v>46259</v>
      </c>
      <c r="G1222" s="88">
        <v>46259</v>
      </c>
      <c r="H1222" t="str">
        <v>MAGALI MARTINEZ EXT 2</v>
      </c>
      <c r="I1222" t="str">
        <v>JOSE LUIS VALADEZ CAMPOS</v>
      </c>
      <c r="J1222" s="82" t="str">
        <v>01725094161</v>
      </c>
      <c r="K1222" t="str">
        <v>VACL501009HZSLMS02</v>
      </c>
      <c r="L1222" s="82">
        <v>2</v>
      </c>
      <c r="M1222" s="82" t="str">
        <v>772 144 1424</v>
      </c>
      <c r="N1222" t="str">
        <v>NUEVO MAYOR</v>
      </c>
      <c r="O1222" s="89">
        <v>5458.2</v>
      </c>
      <c r="P1222" s="89" t="str">
        <v/>
      </c>
      <c r="Q1222" s="89">
        <v>1637.4599999999998</v>
      </c>
      <c r="R1222" s="89">
        <v>1285.2200000000003</v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>
        <v>1</v>
      </c>
    </row>
    <row r="1223" spans="1:24">
      <c r="A1223" s="26">
        <v>2308</v>
      </c>
      <c r="B1223" s="87">
        <v>46259.541666666701</v>
      </c>
      <c r="C1223" s="87">
        <v>46259.608090277798</v>
      </c>
      <c r="D1223" t="str">
        <v>anónimo</v>
      </c>
      <c r="E1223" t="str">
        <v/>
      </c>
      <c r="F1223" s="68">
        <v>46259</v>
      </c>
      <c r="G1223" s="88">
        <v>46259</v>
      </c>
      <c r="H1223" t="str">
        <v>YAMILETH CARDONA EXT 2</v>
      </c>
      <c r="I1223" t="str">
        <v>EVODIO CARDENAS ALVARADO</v>
      </c>
      <c r="J1223" s="82">
        <v>3796213597</v>
      </c>
      <c r="K1223" t="str">
        <v>CAAE620506HNLRLV02</v>
      </c>
      <c r="L1223" s="82">
        <v>2</v>
      </c>
      <c r="M1223" s="82" t="str">
        <v>81 1964 5710</v>
      </c>
      <c r="N1223" t="str">
        <v>NUEVO MAYOR</v>
      </c>
      <c r="O1223" s="89">
        <v>25374.639999999999</v>
      </c>
      <c r="P1223" s="89" t="str">
        <v/>
      </c>
      <c r="Q1223" s="89">
        <v>7612.3919999999998</v>
      </c>
      <c r="R1223" s="89">
        <v>7612.3919999999998</v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>
        <v>1</v>
      </c>
    </row>
    <row r="1224" spans="1:24">
      <c r="A1224" s="26">
        <v>2315</v>
      </c>
      <c r="B1224" s="87">
        <v>46260.526782407404</v>
      </c>
      <c r="C1224" s="87">
        <v>46260.527962963002</v>
      </c>
      <c r="D1224" t="str">
        <v>anónimo</v>
      </c>
      <c r="E1224" t="str">
        <v/>
      </c>
      <c r="F1224" s="68">
        <v>46260</v>
      </c>
      <c r="G1224" s="88">
        <v>46260</v>
      </c>
      <c r="H1224" t="str">
        <v>YAMILETH CARDONA EXT 2</v>
      </c>
      <c r="I1224" t="str">
        <v>JUAN ANTONIO BUSTOS ARREOLA</v>
      </c>
      <c r="J1224" s="82">
        <v>32796128471</v>
      </c>
      <c r="K1224" t="str">
        <v>BUAJ610705HDGSRN02</v>
      </c>
      <c r="L1224" s="82">
        <v>2</v>
      </c>
      <c r="M1224" s="82" t="str">
        <v>844 679 6252</v>
      </c>
      <c r="N1224" t="str">
        <v>COMPRA MENOR</v>
      </c>
      <c r="O1224" s="89">
        <v>4332.32</v>
      </c>
      <c r="P1224" s="89">
        <v>472.72</v>
      </c>
      <c r="Q1224" s="89">
        <v>1299.6959999999999</v>
      </c>
      <c r="R1224" s="89">
        <v>-313.37999999999988</v>
      </c>
      <c r="S1224">
        <v>45689</v>
      </c>
      <c r="T1224" t="str">
        <v>EXITUS</v>
      </c>
      <c r="U1224">
        <v>472.72</v>
      </c>
      <c r="V1224" t="str">
        <v/>
      </c>
      <c r="W1224" t="str">
        <v/>
      </c>
      <c r="X1224">
        <v>2</v>
      </c>
    </row>
    <row r="1225" spans="1:24">
      <c r="A1225" s="26">
        <v>2321</v>
      </c>
      <c r="B1225" s="87">
        <v>46261.371550925898</v>
      </c>
      <c r="C1225" s="87">
        <v>46261.373055555603</v>
      </c>
      <c r="D1225" t="str">
        <v>anónimo</v>
      </c>
      <c r="E1225" t="str">
        <v/>
      </c>
      <c r="F1225" s="68">
        <v>46261</v>
      </c>
      <c r="G1225" s="88">
        <v>46226</v>
      </c>
      <c r="H1225" t="str">
        <v>BEATRIZ DE LA CRUZ</v>
      </c>
      <c r="I1225" t="str">
        <v>JOSE DE JESUS ALGARIN DURAN</v>
      </c>
      <c r="J1225" s="82" t="str">
        <v/>
      </c>
      <c r="K1225" t="str">
        <v>AADJ610117HVZLRS06</v>
      </c>
      <c r="L1225" s="82">
        <v>23036638</v>
      </c>
      <c r="M1225" s="82">
        <v>2711848623</v>
      </c>
      <c r="N1225" t="str">
        <v>COMPRA MENOR</v>
      </c>
      <c r="O1225" s="89">
        <v>6779.25</v>
      </c>
      <c r="P1225" s="89">
        <v>2033.77</v>
      </c>
      <c r="Q1225" s="89">
        <v>2033.7749999999999</v>
      </c>
      <c r="R1225" s="89">
        <v>4.9999999998817657E-3</v>
      </c>
      <c r="S1225">
        <v>46235</v>
      </c>
      <c r="T1225" t="str">
        <v>MULTIVA</v>
      </c>
      <c r="U1225">
        <v>690.88</v>
      </c>
      <c r="V1225" t="str">
        <v/>
      </c>
      <c r="W1225" t="str">
        <v/>
      </c>
      <c r="X1225">
        <v>2</v>
      </c>
    </row>
    <row r="1226" spans="1:24">
      <c r="A1226" s="26">
        <v>2327</v>
      </c>
      <c r="B1226" s="87">
        <v>46261.508634259299</v>
      </c>
      <c r="C1226" s="87">
        <v>46261.513993055603</v>
      </c>
      <c r="D1226" t="str">
        <v>anónimo</v>
      </c>
      <c r="E1226" t="str">
        <v/>
      </c>
      <c r="F1226" s="68">
        <v>46261</v>
      </c>
      <c r="G1226" s="88">
        <v>46261</v>
      </c>
      <c r="H1226" t="str">
        <v>YAMILETH CARDONA EXT 2</v>
      </c>
      <c r="I1226" t="str">
        <v>VIDAL RAMOS RAMIREZ</v>
      </c>
      <c r="J1226" s="82">
        <v>12836721089</v>
      </c>
      <c r="K1226" t="str">
        <v>RARV670710HGTMMD01</v>
      </c>
      <c r="L1226" s="82">
        <v>2</v>
      </c>
      <c r="M1226" s="82" t="str">
        <v>614 839 2486</v>
      </c>
      <c r="N1226" t="str">
        <v>NUEVO MAYOR</v>
      </c>
      <c r="O1226" s="89">
        <v>7135.6</v>
      </c>
      <c r="P1226" s="89">
        <v>879</v>
      </c>
      <c r="Q1226" s="89">
        <v>2140.6799999999998</v>
      </c>
      <c r="R1226" s="89">
        <v>1261.6799999999998</v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>
        <v>1</v>
      </c>
    </row>
    <row r="1227" spans="1:24">
      <c r="A1227" s="26">
        <v>2337</v>
      </c>
      <c r="B1227" s="87">
        <v>46262.433541666702</v>
      </c>
      <c r="C1227" s="87">
        <v>46262.437962962998</v>
      </c>
      <c r="D1227" t="str">
        <v>anónimo</v>
      </c>
      <c r="E1227" t="str">
        <v/>
      </c>
      <c r="F1227" s="68">
        <v>46262</v>
      </c>
      <c r="G1227" s="88">
        <v>46262</v>
      </c>
      <c r="H1227" t="str">
        <v>YAMILETH CARDONA EXT 2</v>
      </c>
      <c r="I1227" t="str">
        <v>SERGIO SANCHEZ JUAREZ</v>
      </c>
      <c r="J1227" s="82">
        <v>19846520609</v>
      </c>
      <c r="K1227" t="str">
        <v>SAJS641021HDFNRR04</v>
      </c>
      <c r="L1227" s="82">
        <v>2</v>
      </c>
      <c r="M1227" s="82" t="str">
        <v>55 4103 4700</v>
      </c>
      <c r="N1227" t="str">
        <v>NUEVO MENOR</v>
      </c>
      <c r="O1227" s="89">
        <v>8181.55</v>
      </c>
      <c r="P1227" s="89">
        <v>1420.02</v>
      </c>
      <c r="Q1227" s="89">
        <v>2454.4650000000001</v>
      </c>
      <c r="R1227" s="89">
        <v>1034.4450000000002</v>
      </c>
      <c r="S1227">
        <v>46508</v>
      </c>
      <c r="T1227" t="str">
        <v>PROFUTURO</v>
      </c>
      <c r="U1227">
        <v>763.7</v>
      </c>
      <c r="V1227" t="str">
        <v/>
      </c>
      <c r="W1227" t="str">
        <v/>
      </c>
      <c r="X1227">
        <v>2</v>
      </c>
    </row>
    <row r="1228" spans="1:24">
      <c r="A1228" s="26">
        <v>2342</v>
      </c>
      <c r="B1228" s="87">
        <v>46263.330312500002</v>
      </c>
      <c r="C1228" s="87">
        <v>46263.332847222198</v>
      </c>
      <c r="D1228" t="str">
        <v>anónimo</v>
      </c>
      <c r="E1228" t="str">
        <v/>
      </c>
      <c r="F1228" s="68">
        <v>46263</v>
      </c>
      <c r="G1228" s="88">
        <v>46263</v>
      </c>
      <c r="H1228" t="str">
        <v>YAMILETH CARDONA EXT 2</v>
      </c>
      <c r="I1228" t="str">
        <v>FERNANDO RODRIGUEZ HERNANDEZ</v>
      </c>
      <c r="J1228" s="82">
        <v>12926311635</v>
      </c>
      <c r="K1228" t="str">
        <v>ROHF631007HGTDRR07</v>
      </c>
      <c r="L1228" s="82">
        <v>2</v>
      </c>
      <c r="M1228" s="82">
        <v>4321455819</v>
      </c>
      <c r="N1228" t="str">
        <v>NUEVO MAYOR</v>
      </c>
      <c r="O1228" s="89">
        <v>9760.32</v>
      </c>
      <c r="P1228" s="89" t="str">
        <v/>
      </c>
      <c r="Q1228" s="89">
        <v>2928.096</v>
      </c>
      <c r="R1228" s="89">
        <v>2928.096</v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>
        <v>1</v>
      </c>
    </row>
    <row r="1229" spans="1:24">
      <c r="A1229" s="26">
        <v>2343</v>
      </c>
      <c r="B1229" s="87">
        <v>46263.481828703698</v>
      </c>
      <c r="C1229" s="87">
        <v>46263.483460648102</v>
      </c>
      <c r="D1229" t="str">
        <v>anónimo</v>
      </c>
      <c r="E1229" t="str">
        <v/>
      </c>
      <c r="F1229" s="68">
        <v>46263</v>
      </c>
      <c r="G1229" s="88">
        <v>46241</v>
      </c>
      <c r="H1229" t="str">
        <v>ANA VILLEGAS C/C</v>
      </c>
      <c r="I1229" t="str">
        <v>MARIA DE JESUS HUERTA CEDANO</v>
      </c>
      <c r="J1229" s="82">
        <v>25947642184</v>
      </c>
      <c r="K1229" t="str">
        <v/>
      </c>
      <c r="L1229" s="82">
        <v>23460044</v>
      </c>
      <c r="M1229" s="82">
        <v>5216647610662</v>
      </c>
      <c r="N1229" t="str">
        <v>NUEVO MENOR</v>
      </c>
      <c r="O1229" s="89">
        <v>9936.06</v>
      </c>
      <c r="P1229" s="89">
        <v>2100</v>
      </c>
      <c r="Q1229" s="89">
        <v>2980.8179999999998</v>
      </c>
      <c r="R1229" s="89">
        <v>880.81799999999976</v>
      </c>
      <c r="S1229">
        <v>46266</v>
      </c>
      <c r="T1229" t="str">
        <v>INBURSA</v>
      </c>
      <c r="U1229">
        <v>2100</v>
      </c>
      <c r="V1229" t="str">
        <v/>
      </c>
      <c r="W1229" t="str">
        <v/>
      </c>
      <c r="X1229">
        <v>2</v>
      </c>
    </row>
    <row r="1230" spans="1:24">
      <c r="A1230" s="26">
        <v>2347</v>
      </c>
      <c r="B1230" s="87">
        <v>46265.396168981497</v>
      </c>
      <c r="C1230" s="87">
        <v>46265.396620370397</v>
      </c>
      <c r="D1230" t="str">
        <v>anónimo</v>
      </c>
      <c r="E1230" t="str">
        <v/>
      </c>
      <c r="F1230" s="68">
        <v>46265</v>
      </c>
      <c r="G1230" s="88">
        <v>46265</v>
      </c>
      <c r="H1230" t="str">
        <v>GIOVANNI MELGAR</v>
      </c>
      <c r="I1230" t="str">
        <v>NESTOR MARIO VEGA RAMOS</v>
      </c>
      <c r="J1230" s="82" t="str">
        <v xml:space="preserve">10765504641
</v>
      </c>
      <c r="K1230" t="str">
        <v>VERN550409HDFGMS01</v>
      </c>
      <c r="L1230" s="82">
        <v>24117438</v>
      </c>
      <c r="M1230" s="82">
        <v>5212283666861</v>
      </c>
      <c r="N1230" t="str">
        <v>NUEVO MAYOR</v>
      </c>
      <c r="O1230" s="89">
        <v>37235.910000000003</v>
      </c>
      <c r="P1230" s="89" t="str">
        <v/>
      </c>
      <c r="Q1230" s="89">
        <v>11170.773000000001</v>
      </c>
      <c r="R1230" s="89">
        <v>11170.773000000001</v>
      </c>
      <c r="S1230" t="str">
        <v/>
      </c>
      <c r="T1230" t="str">
        <v/>
      </c>
      <c r="U1230" t="str">
        <v/>
      </c>
      <c r="V1230" t="str">
        <v>MIRIAM</v>
      </c>
      <c r="W1230">
        <v>46265</v>
      </c>
      <c r="X1230">
        <v>1</v>
      </c>
    </row>
    <row r="1231" spans="1:24">
      <c r="A1231" s="26">
        <v>2354</v>
      </c>
      <c r="B1231" s="87">
        <v>46265.524953703702</v>
      </c>
      <c r="C1231" s="87">
        <v>46265.527465277803</v>
      </c>
      <c r="D1231" t="str">
        <v>anónimo</v>
      </c>
      <c r="E1231" t="str">
        <v/>
      </c>
      <c r="F1231" s="68">
        <v>46265</v>
      </c>
      <c r="G1231" s="88">
        <v>46265</v>
      </c>
      <c r="H1231" t="str">
        <v>YAMILETH CARDONA EXT 2</v>
      </c>
      <c r="I1231" t="str">
        <v>JOSE MORALES MORALES</v>
      </c>
      <c r="J1231" s="82" t="str">
        <v>03584201580</v>
      </c>
      <c r="K1231" t="str">
        <v>MOMJ420807HNLRRS07</v>
      </c>
      <c r="L1231" s="82">
        <v>2</v>
      </c>
      <c r="M1231" s="82">
        <v>8130897208</v>
      </c>
      <c r="N1231" t="str">
        <v>COMPRA MAYOR</v>
      </c>
      <c r="O1231" s="89">
        <v>18191.53</v>
      </c>
      <c r="P1231" s="89">
        <v>5456.5</v>
      </c>
      <c r="Q1231" s="89">
        <v>5457.4589999999998</v>
      </c>
      <c r="R1231" s="89">
        <v>0.95899999999983265</v>
      </c>
      <c r="S1231">
        <v>46266</v>
      </c>
      <c r="T1231" t="str">
        <v>INBURSA, EXITUS</v>
      </c>
      <c r="U1231">
        <v>4670.3</v>
      </c>
      <c r="V1231" t="str">
        <v/>
      </c>
      <c r="W1231" t="str">
        <v/>
      </c>
      <c r="X1231">
        <v>2</v>
      </c>
    </row>
    <row r="1232" spans="1:24">
      <c r="A1232" s="26">
        <v>2356</v>
      </c>
      <c r="B1232" s="87">
        <v>46265.516574074099</v>
      </c>
      <c r="C1232" s="87">
        <v>46265.531122685199</v>
      </c>
      <c r="D1232" t="str">
        <v>anónimo</v>
      </c>
      <c r="E1232" t="str">
        <v/>
      </c>
      <c r="F1232" s="68">
        <v>46265</v>
      </c>
      <c r="G1232" s="88">
        <v>46264</v>
      </c>
      <c r="H1232" t="str">
        <v>ROSA CASTRO SUR</v>
      </c>
      <c r="I1232" t="str">
        <v>JULIO MARCIAL DZUL COLLI</v>
      </c>
      <c r="J1232" s="82" t="str">
        <v xml:space="preserve"> 84816111276</v>
      </c>
      <c r="K1232" t="str">
        <v>DUCJ610522HYNZLL06</v>
      </c>
      <c r="L1232" s="82">
        <v>24114178</v>
      </c>
      <c r="M1232" s="82">
        <v>5219994215990</v>
      </c>
      <c r="N1232" t="str">
        <v>COMPRA MAYOR</v>
      </c>
      <c r="O1232" s="89">
        <v>7921.51</v>
      </c>
      <c r="P1232" s="89">
        <v>2188.77</v>
      </c>
      <c r="Q1232" s="89">
        <v>2376.453</v>
      </c>
      <c r="R1232" s="89">
        <v>187.68299999999999</v>
      </c>
      <c r="S1232">
        <v>46143</v>
      </c>
      <c r="T1232" t="str">
        <v>DIMEX</v>
      </c>
      <c r="U1232">
        <v>2188.77</v>
      </c>
      <c r="V1232" t="str">
        <v>MARISOL</v>
      </c>
      <c r="W1232">
        <v>46265</v>
      </c>
      <c r="X1232">
        <v>2</v>
      </c>
    </row>
    <row r="1233" spans="1:24">
      <c r="A1233" s="26">
        <v>2357</v>
      </c>
      <c r="B1233" s="87">
        <v>46265.521111111098</v>
      </c>
      <c r="C1233" s="87">
        <v>46265.531145833302</v>
      </c>
      <c r="D1233" t="str">
        <v>anónimo</v>
      </c>
      <c r="E1233" t="str">
        <v/>
      </c>
      <c r="F1233" s="68">
        <v>46265</v>
      </c>
      <c r="G1233" s="88">
        <v>46264</v>
      </c>
      <c r="H1233" t="str">
        <v>ROSA CASTRO SUR</v>
      </c>
      <c r="I1233" t="str">
        <v>ALEJANDRO VALDEZ SANCHEZ</v>
      </c>
      <c r="J1233" s="82" t="str">
        <v/>
      </c>
      <c r="K1233" t="str">
        <v>AASA640209HVZLNL01</v>
      </c>
      <c r="L1233" s="82">
        <v>24115106</v>
      </c>
      <c r="M1233" s="82">
        <v>5218112056285</v>
      </c>
      <c r="N1233" t="str">
        <v>NUEVO MAYOR</v>
      </c>
      <c r="O1233" s="89">
        <v>10636.54</v>
      </c>
      <c r="P1233" s="89" t="str">
        <v/>
      </c>
      <c r="Q1233" s="89">
        <v>3190.962</v>
      </c>
      <c r="R1233" s="89">
        <v>3190.962</v>
      </c>
      <c r="S1233" t="str">
        <v/>
      </c>
      <c r="T1233" t="str">
        <v/>
      </c>
      <c r="U1233" t="str">
        <v/>
      </c>
      <c r="V1233" t="str">
        <v>IRASEMA</v>
      </c>
      <c r="W1233">
        <v>46265</v>
      </c>
      <c r="X1233">
        <v>1</v>
      </c>
    </row>
    <row r="1234" spans="1:24">
      <c r="A1234" s="26">
        <v>2363</v>
      </c>
      <c r="B1234" s="87">
        <v>46265.531099537002</v>
      </c>
      <c r="C1234" s="87">
        <v>46265.599872685198</v>
      </c>
      <c r="D1234" t="str">
        <v>anónimo</v>
      </c>
      <c r="E1234" t="str">
        <v/>
      </c>
      <c r="F1234" s="68">
        <v>46265</v>
      </c>
      <c r="G1234" s="88">
        <v>46265</v>
      </c>
      <c r="H1234" t="str">
        <v>ROSA CASTRO SUR</v>
      </c>
      <c r="I1234" t="str">
        <v xml:space="preserve">FRANCISCO HERRERA JUAREZ </v>
      </c>
      <c r="J1234" s="82" t="str">
        <v>72917207143</v>
      </c>
      <c r="K1234" t="str">
        <v>HEJF720908HGRRRR00</v>
      </c>
      <c r="L1234" s="82">
        <v>24118172</v>
      </c>
      <c r="M1234" s="82">
        <v>5217444734971</v>
      </c>
      <c r="N1234" t="str">
        <v>NUEVO MAYOR</v>
      </c>
      <c r="O1234" s="89">
        <v>5642.22</v>
      </c>
      <c r="P1234" s="89" t="str">
        <v/>
      </c>
      <c r="Q1234" s="89">
        <v>1692.6659999999999</v>
      </c>
      <c r="R1234" s="89">
        <v>1469.2400000000007</v>
      </c>
      <c r="S1234" t="str">
        <v/>
      </c>
      <c r="T1234" t="str">
        <v/>
      </c>
      <c r="U1234" t="str">
        <v/>
      </c>
      <c r="V1234" t="str">
        <v>GLORIA</v>
      </c>
      <c r="W1234">
        <v>46265</v>
      </c>
      <c r="X1234">
        <v>1</v>
      </c>
    </row>
    <row r="1235" spans="1:24">
      <c r="A1235" s="26">
        <v>2364</v>
      </c>
      <c r="B1235" s="87">
        <v>46265.541944444398</v>
      </c>
      <c r="C1235" s="87">
        <v>46265.600231481498</v>
      </c>
      <c r="D1235" t="str">
        <v>anónimo</v>
      </c>
      <c r="E1235" t="str">
        <v/>
      </c>
      <c r="F1235" s="68">
        <v>46265</v>
      </c>
      <c r="G1235" s="88">
        <v>46265</v>
      </c>
      <c r="H1235" t="str">
        <v>ROSA CASTRO SUR</v>
      </c>
      <c r="I1235" t="str">
        <v>BENJAMIN SANCHEZ ODRIOZOLA</v>
      </c>
      <c r="J1235" s="82" t="str">
        <v/>
      </c>
      <c r="K1235" t="str">
        <v>SAOB650219HDFNDN08</v>
      </c>
      <c r="L1235" s="82">
        <v>24120922</v>
      </c>
      <c r="M1235" s="82">
        <v>5217221642447</v>
      </c>
      <c r="N1235" t="str">
        <v>NUEVO MAYOR</v>
      </c>
      <c r="O1235" s="89">
        <v>10636.54</v>
      </c>
      <c r="P1235" s="89" t="str">
        <v/>
      </c>
      <c r="Q1235" s="89">
        <v>3190.962</v>
      </c>
      <c r="R1235" s="89">
        <v>3190.962</v>
      </c>
      <c r="S1235" t="str">
        <v/>
      </c>
      <c r="T1235" t="str">
        <v/>
      </c>
      <c r="U1235" t="str">
        <v/>
      </c>
      <c r="V1235" t="str">
        <v>KARINA</v>
      </c>
      <c r="W1235">
        <v>46265</v>
      </c>
      <c r="X1235">
        <v>1</v>
      </c>
    </row>
    <row r="1236" spans="1:24">
      <c r="A1236" s="26">
        <v>2367</v>
      </c>
      <c r="B1236" s="87">
        <v>46265.605706018498</v>
      </c>
      <c r="C1236" s="87">
        <v>46265.606064814798</v>
      </c>
      <c r="D1236" t="str">
        <v>anónimo</v>
      </c>
      <c r="E1236" t="str">
        <v/>
      </c>
      <c r="F1236" s="68">
        <v>46265</v>
      </c>
      <c r="G1236" s="88">
        <v>46265</v>
      </c>
      <c r="H1236" t="str">
        <v>GIOVANNI MELGAR</v>
      </c>
      <c r="I1236" t="str">
        <v>MARIA FILOMENA ASELA GARCIA MONTALVO</v>
      </c>
      <c r="J1236" s="82" t="str">
        <v/>
      </c>
      <c r="K1236" t="str">
        <v>GAMF570622MTLRNL11</v>
      </c>
      <c r="L1236" s="82">
        <v>24112100</v>
      </c>
      <c r="M1236" s="82">
        <v>5212462966441</v>
      </c>
      <c r="N1236" t="str">
        <v>NUEVO MENOR</v>
      </c>
      <c r="O1236" s="89">
        <v>4931.3599999999997</v>
      </c>
      <c r="P1236" s="89" t="str">
        <v/>
      </c>
      <c r="Q1236" s="89">
        <v>1479.4079999999999</v>
      </c>
      <c r="R1236" s="89">
        <v>758.38000000000011</v>
      </c>
      <c r="S1236" t="str">
        <v/>
      </c>
      <c r="T1236" t="str">
        <v/>
      </c>
      <c r="U1236" t="str">
        <v/>
      </c>
      <c r="V1236" t="str">
        <v>HECTOR</v>
      </c>
      <c r="W1236">
        <v>46265</v>
      </c>
      <c r="X1236">
        <v>1</v>
      </c>
    </row>
    <row r="1237" spans="1:24">
      <c r="A1237" s="26">
        <v>2368</v>
      </c>
      <c r="B1237" s="87">
        <v>46265.612141203703</v>
      </c>
      <c r="C1237" s="87">
        <v>46265.619386574101</v>
      </c>
      <c r="D1237" t="str">
        <v>anónimo</v>
      </c>
      <c r="E1237" t="str">
        <v/>
      </c>
      <c r="F1237" s="68">
        <v>46265</v>
      </c>
      <c r="G1237" s="88">
        <v>46265</v>
      </c>
      <c r="H1237" t="str">
        <v>LILIANA MARTINEZ SUR</v>
      </c>
      <c r="I1237" t="str">
        <v>JOSE LUIS JAIME IRIGOYEN RIVERA</v>
      </c>
      <c r="J1237" s="82">
        <v>82795302338</v>
      </c>
      <c r="K1237" t="str">
        <v>IIRL530125HDFRVS00</v>
      </c>
      <c r="L1237" s="82">
        <v>24123358</v>
      </c>
      <c r="M1237" s="82">
        <v>5219871058155</v>
      </c>
      <c r="N1237" t="str">
        <v>NUEVO MAYOR</v>
      </c>
      <c r="O1237" s="89">
        <v>19872.09</v>
      </c>
      <c r="P1237" s="89" t="str">
        <v/>
      </c>
      <c r="Q1237" s="89">
        <v>5961.6269999999995</v>
      </c>
      <c r="R1237" s="89">
        <v>5961.6269999999995</v>
      </c>
      <c r="S1237" t="str">
        <v/>
      </c>
      <c r="T1237" t="str">
        <v/>
      </c>
      <c r="U1237" t="str">
        <v/>
      </c>
      <c r="V1237" t="str">
        <v>KARINA</v>
      </c>
      <c r="W1237">
        <v>46265</v>
      </c>
      <c r="X1237">
        <v>1</v>
      </c>
    </row>
    <row r="1238" spans="1:24">
      <c r="A1238" s="26">
        <v>2372</v>
      </c>
      <c r="B1238" s="87">
        <v>46265.634652777801</v>
      </c>
      <c r="C1238" s="87">
        <v>46265.638715277797</v>
      </c>
      <c r="D1238" t="str">
        <v>anónimo</v>
      </c>
      <c r="E1238" t="str">
        <v/>
      </c>
      <c r="F1238" s="68">
        <v>46265</v>
      </c>
      <c r="G1238" s="88">
        <v>46265</v>
      </c>
      <c r="H1238" t="str">
        <v>GIOVANNI MELGAR</v>
      </c>
      <c r="I1238" t="str">
        <v>MARCO ANTONIO HERNANDEZ RAMIREZ</v>
      </c>
      <c r="J1238" s="82" t="str">
        <v>42806124360</v>
      </c>
      <c r="K1238" t="str">
        <v>HERM610408HDFRMR06</v>
      </c>
      <c r="L1238" s="82">
        <v>24118148</v>
      </c>
      <c r="M1238" s="82">
        <v>5212292254903</v>
      </c>
      <c r="N1238" t="str">
        <v>COMPRA MAYOR</v>
      </c>
      <c r="O1238" s="89">
        <v>13805.41</v>
      </c>
      <c r="P1238" s="89">
        <v>3832.87</v>
      </c>
      <c r="Q1238" s="89">
        <v>4141.6229999999996</v>
      </c>
      <c r="R1238" s="89">
        <v>308.7529999999997</v>
      </c>
      <c r="S1238">
        <v>46266</v>
      </c>
      <c r="T1238" t="str">
        <v>BANCREA</v>
      </c>
      <c r="U1238">
        <v>3832.87</v>
      </c>
      <c r="V1238" t="str">
        <v>IRASEMA</v>
      </c>
      <c r="W1238">
        <v>46265</v>
      </c>
      <c r="X1238">
        <v>2</v>
      </c>
    </row>
    <row r="1239" spans="1:24">
      <c r="A1239" s="26">
        <v>2374</v>
      </c>
      <c r="B1239" s="87">
        <v>46265.647754629601</v>
      </c>
      <c r="C1239" s="87">
        <v>46265.665520833303</v>
      </c>
      <c r="D1239" t="str">
        <v>anónimo</v>
      </c>
      <c r="E1239" t="str">
        <v/>
      </c>
      <c r="F1239" s="68">
        <v>46265</v>
      </c>
      <c r="G1239" s="88">
        <v>46264</v>
      </c>
      <c r="H1239" t="str">
        <v>ROSA CASTRO SUR</v>
      </c>
      <c r="I1239" t="str">
        <v>HUGO MARTINEZ LOPEZ</v>
      </c>
      <c r="J1239" s="82">
        <v>11836411527</v>
      </c>
      <c r="K1239" t="str">
        <v>MALH640112HDFRPG09</v>
      </c>
      <c r="L1239" s="82">
        <v>24117474</v>
      </c>
      <c r="M1239" s="82">
        <v>5216142705588</v>
      </c>
      <c r="N1239" t="str">
        <v>NUEVO MAYOR</v>
      </c>
      <c r="O1239" s="89">
        <v>26742.560000000001</v>
      </c>
      <c r="P1239" s="89">
        <v>4057.65</v>
      </c>
      <c r="Q1239" s="89">
        <v>8022.768</v>
      </c>
      <c r="R1239" s="89">
        <v>3965.1179999999999</v>
      </c>
      <c r="S1239">
        <v>46419</v>
      </c>
      <c r="T1239" t="str">
        <v xml:space="preserve">PROFUTURO </v>
      </c>
      <c r="U1239">
        <v>4057.65</v>
      </c>
      <c r="V1239" t="str">
        <v>ANA</v>
      </c>
      <c r="W1239">
        <v>46265</v>
      </c>
      <c r="X1239">
        <v>2</v>
      </c>
    </row>
    <row r="1240" spans="1:24">
      <c r="A1240" s="26">
        <v>2377</v>
      </c>
      <c r="B1240" s="87">
        <v>46265.587025462999</v>
      </c>
      <c r="C1240" s="87">
        <v>46265.684976851902</v>
      </c>
      <c r="D1240" t="str">
        <v>anónimo</v>
      </c>
      <c r="E1240" t="str">
        <v/>
      </c>
      <c r="F1240" s="68">
        <v>46265</v>
      </c>
      <c r="G1240" s="88">
        <v>46265</v>
      </c>
      <c r="H1240" t="str">
        <v>LIDIA GARZA</v>
      </c>
      <c r="I1240" t="str">
        <v xml:space="preserve">Naybe Orozco Montoya </v>
      </c>
      <c r="J1240" s="82">
        <v>2483656995</v>
      </c>
      <c r="K1240" t="str">
        <v>OOMN650510HCLRNY01</v>
      </c>
      <c r="L1240" s="82">
        <v>24131178</v>
      </c>
      <c r="M1240" s="82">
        <v>5218671988164</v>
      </c>
      <c r="N1240" t="str">
        <v>NUEVO MAYOR</v>
      </c>
      <c r="O1240" s="89">
        <v>11029.03</v>
      </c>
      <c r="P1240" s="89" t="str">
        <v/>
      </c>
      <c r="Q1240" s="89">
        <v>3308.7090000000003</v>
      </c>
      <c r="R1240" s="89">
        <v>3308.7090000000003</v>
      </c>
      <c r="S1240" t="str">
        <v/>
      </c>
      <c r="T1240" t="str">
        <v/>
      </c>
      <c r="U1240" t="str">
        <v/>
      </c>
      <c r="V1240" t="str">
        <v>KARINA</v>
      </c>
      <c r="W1240">
        <v>46265</v>
      </c>
      <c r="X1240">
        <v>1</v>
      </c>
    </row>
    <row r="1241" spans="1:24">
      <c r="A1241" s="26">
        <v>2379</v>
      </c>
      <c r="B1241" s="87">
        <v>46265.708900463003</v>
      </c>
      <c r="C1241" s="87">
        <v>46265.7098148148</v>
      </c>
      <c r="D1241" t="str">
        <v>anónimo</v>
      </c>
      <c r="E1241" t="str">
        <v/>
      </c>
      <c r="F1241" s="68">
        <v>46265</v>
      </c>
      <c r="G1241" s="88">
        <v>46265</v>
      </c>
      <c r="H1241" t="str">
        <v>GIOVANNI MELGAR</v>
      </c>
      <c r="I1241" t="str">
        <v>ENRIQUE FLORES AGUILAR</v>
      </c>
      <c r="J1241" s="82" t="str">
        <v xml:space="preserve">43725236269
</v>
      </c>
      <c r="K1241" t="str">
        <v>FOAE520715HTSLGN09</v>
      </c>
      <c r="L1241" s="82">
        <v>24127866</v>
      </c>
      <c r="M1241" s="82">
        <v>5218342687555</v>
      </c>
      <c r="N1241" t="str">
        <v>COMPRA MENOR</v>
      </c>
      <c r="O1241" s="89">
        <v>4813.1000000000004</v>
      </c>
      <c r="P1241" s="89">
        <v>565.59</v>
      </c>
      <c r="Q1241" s="89">
        <v>1443.93</v>
      </c>
      <c r="R1241" s="89">
        <v>74.530000000000769</v>
      </c>
      <c r="S1241">
        <v>45931</v>
      </c>
      <c r="T1241" t="str">
        <v>FORTALEZA</v>
      </c>
      <c r="U1241">
        <v>565.59</v>
      </c>
      <c r="V1241" t="str">
        <v>HANIA</v>
      </c>
      <c r="W1241">
        <v>46265</v>
      </c>
      <c r="X1241">
        <v>2</v>
      </c>
    </row>
    <row r="1242" spans="1:24">
      <c r="A1242" s="26">
        <v>2384</v>
      </c>
      <c r="B1242" s="87">
        <v>46266.362719907404</v>
      </c>
      <c r="C1242" s="87">
        <v>46266.393761574102</v>
      </c>
      <c r="D1242" t="str">
        <v>anónimo</v>
      </c>
      <c r="E1242" t="str">
        <v/>
      </c>
      <c r="F1242" s="68">
        <v>46266</v>
      </c>
      <c r="G1242" s="88">
        <v>46266</v>
      </c>
      <c r="H1242" t="str">
        <v>GUADALUPE BECERRA</v>
      </c>
      <c r="I1242" t="str">
        <v>JUAN TREJO GALVAN</v>
      </c>
      <c r="J1242" s="82" t="str">
        <v>32846678228</v>
      </c>
      <c r="K1242" t="str">
        <v/>
      </c>
      <c r="L1242" s="82">
        <v>24153432</v>
      </c>
      <c r="M1242" s="82">
        <v>5218441100397</v>
      </c>
      <c r="N1242" t="str">
        <v>NUEVO MAYOR</v>
      </c>
      <c r="O1242" s="89">
        <v>29895.68</v>
      </c>
      <c r="P1242" s="89" t="str">
        <v/>
      </c>
      <c r="Q1242" s="89">
        <v>8968.7039999999997</v>
      </c>
      <c r="R1242" s="89">
        <v>8968.7039999999997</v>
      </c>
      <c r="S1242" t="str">
        <v/>
      </c>
      <c r="T1242" t="str">
        <v/>
      </c>
      <c r="U1242" t="str">
        <v/>
      </c>
      <c r="V1242" t="str">
        <v>ITZELH</v>
      </c>
      <c r="W1242">
        <v>46266</v>
      </c>
      <c r="X1242" t="str">
        <v/>
      </c>
    </row>
    <row r="1243" spans="1:24">
      <c r="A1243" s="26">
        <v>2387</v>
      </c>
      <c r="B1243" s="87">
        <v>46266.438159722202</v>
      </c>
      <c r="C1243" s="87">
        <v>46266.439108796301</v>
      </c>
      <c r="D1243" t="str">
        <v>anónimo</v>
      </c>
      <c r="E1243" t="str">
        <v/>
      </c>
      <c r="F1243" s="68">
        <v>46266</v>
      </c>
      <c r="G1243" s="88">
        <v>46245</v>
      </c>
      <c r="H1243" t="str">
        <v>GLORIA ORTIZ C/C</v>
      </c>
      <c r="I1243" t="str">
        <v xml:space="preserve">FERNANDO SOTO MENDOZA </v>
      </c>
      <c r="J1243" s="82" t="str">
        <v>72806313523</v>
      </c>
      <c r="K1243" t="str">
        <v/>
      </c>
      <c r="L1243" s="82">
        <v>23547118</v>
      </c>
      <c r="M1243" s="82">
        <v>5213111586783</v>
      </c>
      <c r="N1243" t="str">
        <v>NUEVO MAYOR</v>
      </c>
      <c r="O1243" s="89">
        <v>10636.54</v>
      </c>
      <c r="P1243" s="89" t="str">
        <v/>
      </c>
      <c r="Q1243" s="89">
        <v>3190.962</v>
      </c>
      <c r="R1243" s="89">
        <v>3190.962</v>
      </c>
      <c r="S1243" t="str">
        <v/>
      </c>
      <c r="T1243" t="str">
        <v/>
      </c>
      <c r="U1243" t="str">
        <v/>
      </c>
      <c r="V1243" t="str">
        <v>GLORIA</v>
      </c>
      <c r="W1243" t="str">
        <v/>
      </c>
      <c r="X1243" t="str">
        <v/>
      </c>
    </row>
    <row r="1244" spans="1:24">
      <c r="A1244" s="26">
        <v>2388</v>
      </c>
      <c r="B1244" s="87">
        <v>46266.439687500002</v>
      </c>
      <c r="C1244" s="87">
        <v>46266.442534722199</v>
      </c>
      <c r="D1244" t="str">
        <v>anónimo</v>
      </c>
      <c r="E1244" t="str">
        <v/>
      </c>
      <c r="F1244" s="68">
        <v>46266</v>
      </c>
      <c r="G1244" s="88">
        <v>46234</v>
      </c>
      <c r="H1244" t="str">
        <v>KARINA MATA C/C</v>
      </c>
      <c r="I1244" t="str">
        <v>Humberto Arias Lopez</v>
      </c>
      <c r="J1244" s="82" t="str">
        <v>83806230237</v>
      </c>
      <c r="K1244" t="str">
        <v>AILH620423HTCRPM04</v>
      </c>
      <c r="L1244" s="82">
        <v>23236642</v>
      </c>
      <c r="M1244" s="82">
        <v>9932137178</v>
      </c>
      <c r="N1244" t="str">
        <v>NUEVO MAYOR</v>
      </c>
      <c r="O1244" s="89">
        <v>7116.73</v>
      </c>
      <c r="P1244" s="89" t="str">
        <v/>
      </c>
      <c r="Q1244" s="89">
        <v>2135.0189999999998</v>
      </c>
      <c r="R1244" s="89">
        <v>2135.0189999999998</v>
      </c>
      <c r="S1244" t="str">
        <v/>
      </c>
      <c r="T1244" t="str">
        <v/>
      </c>
      <c r="U1244" t="str">
        <v/>
      </c>
      <c r="V1244" t="str">
        <v>KARINA</v>
      </c>
      <c r="W1244" t="str">
        <v/>
      </c>
      <c r="X1244" t="str">
        <v/>
      </c>
    </row>
    <row r="1245" spans="1:24">
      <c r="A1245" s="26">
        <v>2397</v>
      </c>
      <c r="B1245" s="87">
        <v>46266.434872685197</v>
      </c>
      <c r="C1245" s="87">
        <v>46266.461064814801</v>
      </c>
      <c r="D1245" t="str">
        <v>anónimo</v>
      </c>
      <c r="E1245" t="str">
        <v/>
      </c>
      <c r="F1245" s="68">
        <v>46266</v>
      </c>
      <c r="G1245" s="88">
        <v>46265</v>
      </c>
      <c r="H1245" t="str">
        <v>LIDIA GARZA</v>
      </c>
      <c r="I1245" t="str">
        <v>EFRAIN CAUICH BASTO</v>
      </c>
      <c r="J1245" s="82" t="str">
        <v/>
      </c>
      <c r="K1245" t="str">
        <v xml:space="preserve">CABE590117HYNCSF07 </v>
      </c>
      <c r="L1245" s="82">
        <v>24130534</v>
      </c>
      <c r="M1245" s="82">
        <v>5219992333696</v>
      </c>
      <c r="N1245" t="str">
        <v>NUEVO MAYOR</v>
      </c>
      <c r="O1245" s="89">
        <v>31212.5</v>
      </c>
      <c r="P1245" s="89" t="str">
        <v/>
      </c>
      <c r="Q1245" s="89">
        <v>9363.75</v>
      </c>
      <c r="R1245" s="89">
        <v>9363.75</v>
      </c>
      <c r="S1245" t="str">
        <v/>
      </c>
      <c r="T1245" t="str">
        <v/>
      </c>
      <c r="U1245" t="str">
        <v/>
      </c>
      <c r="V1245" t="str">
        <v>IRASEMA</v>
      </c>
      <c r="W1245">
        <v>46266</v>
      </c>
      <c r="X1245" t="str">
        <v/>
      </c>
    </row>
    <row r="1246" spans="1:24">
      <c r="A1246" s="26">
        <v>2398</v>
      </c>
      <c r="B1246" s="87">
        <v>46266.461261574099</v>
      </c>
      <c r="C1246" s="87">
        <v>46266.461909722202</v>
      </c>
      <c r="D1246" t="str">
        <v>anónimo</v>
      </c>
      <c r="E1246" t="str">
        <v/>
      </c>
      <c r="F1246" s="68">
        <v>46266</v>
      </c>
      <c r="G1246" s="88">
        <v>46266</v>
      </c>
      <c r="H1246" t="str">
        <v>GIOVANNI MELGAR</v>
      </c>
      <c r="I1246" t="str">
        <v>JOSE LUIS RAMOS RAMIREZ</v>
      </c>
      <c r="J1246" s="82" t="str">
        <v>01745512788</v>
      </c>
      <c r="K1246" t="str">
        <v>RARL550105HVZMMS01</v>
      </c>
      <c r="L1246" s="82">
        <v>24150794</v>
      </c>
      <c r="M1246" s="82">
        <v>5215562550018</v>
      </c>
      <c r="N1246" t="str">
        <v>RESTRINGIDA</v>
      </c>
      <c r="O1246" s="89">
        <v>12155.49</v>
      </c>
      <c r="P1246" s="89">
        <v>3216.2</v>
      </c>
      <c r="Q1246" s="89">
        <v>3646.6469999999999</v>
      </c>
      <c r="R1246" s="89">
        <v>430.44700000000012</v>
      </c>
      <c r="S1246">
        <v>45748</v>
      </c>
      <c r="T1246" t="str">
        <v>CONSUBANCO</v>
      </c>
      <c r="U1246">
        <v>3216.2</v>
      </c>
      <c r="V1246" t="str">
        <v>DANIELLY</v>
      </c>
      <c r="W1246">
        <v>46266</v>
      </c>
      <c r="X1246" t="str">
        <v/>
      </c>
    </row>
    <row r="1247" spans="1:24">
      <c r="A1247" s="26">
        <v>2399</v>
      </c>
      <c r="B1247" s="87">
        <v>46266.461180555598</v>
      </c>
      <c r="C1247" s="87">
        <v>46266.4621990741</v>
      </c>
      <c r="D1247" t="str">
        <v>anónimo</v>
      </c>
      <c r="E1247" t="str">
        <v/>
      </c>
      <c r="F1247" s="68">
        <v>46266</v>
      </c>
      <c r="G1247" s="88">
        <v>46248</v>
      </c>
      <c r="H1247" t="str">
        <v>MAYTE NAVARRO</v>
      </c>
      <c r="I1247" t="str">
        <v>FABIOLA YUDID GONZALEZ RUIZ</v>
      </c>
      <c r="J1247" s="82" t="str">
        <v/>
      </c>
      <c r="K1247" t="str">
        <v>GORF831221MMNNZB00</v>
      </c>
      <c r="L1247" s="82">
        <v>23637202</v>
      </c>
      <c r="M1247" s="82">
        <v>4524803866</v>
      </c>
      <c r="N1247" t="str">
        <v>NUEVO MENOR</v>
      </c>
      <c r="O1247" s="89">
        <v>4785.93</v>
      </c>
      <c r="P1247" s="89" t="str">
        <v/>
      </c>
      <c r="Q1247" s="89">
        <v>1435.779</v>
      </c>
      <c r="R1247" s="89">
        <v>612.95000000000073</v>
      </c>
      <c r="S1247" t="str">
        <v/>
      </c>
      <c r="T1247" t="str">
        <v/>
      </c>
      <c r="U1247" t="str">
        <v/>
      </c>
      <c r="V1247" t="str">
        <v>HECTOR</v>
      </c>
      <c r="W1247">
        <v>46266</v>
      </c>
      <c r="X1247" t="str">
        <v/>
      </c>
    </row>
    <row r="1248" spans="1:24">
      <c r="A1248" s="26">
        <v>2413</v>
      </c>
      <c r="B1248" s="87">
        <v>46266.539629629602</v>
      </c>
      <c r="C1248" s="87">
        <v>46266.597118055601</v>
      </c>
      <c r="D1248" t="str">
        <v>anónimo</v>
      </c>
      <c r="E1248" t="str">
        <v/>
      </c>
      <c r="F1248" s="68">
        <v>46266</v>
      </c>
      <c r="G1248" s="88">
        <v>46265</v>
      </c>
      <c r="H1248" t="str">
        <v>LILIANA MARTINEZ SUR</v>
      </c>
      <c r="I1248" t="str">
        <v>ALFONSO GARCIA GONZALEZ</v>
      </c>
      <c r="J1248" s="82">
        <v>49735730753</v>
      </c>
      <c r="K1248" t="str">
        <v>GAGA570123HTSRNL02</v>
      </c>
      <c r="L1248" s="82">
        <v>24143942</v>
      </c>
      <c r="M1248" s="82">
        <v>5218332936862</v>
      </c>
      <c r="N1248" t="str">
        <v>COMPRA MAYOR</v>
      </c>
      <c r="O1248" s="89">
        <v>18405.73</v>
      </c>
      <c r="P1248" s="89">
        <v>5317.06</v>
      </c>
      <c r="Q1248" s="89">
        <v>5521.7190000000001</v>
      </c>
      <c r="R1248" s="89">
        <v>204.65899999999965</v>
      </c>
      <c r="S1248">
        <v>46054</v>
      </c>
      <c r="T1248" t="str">
        <v>INBURSA</v>
      </c>
      <c r="U1248">
        <v>4612.8100000000004</v>
      </c>
      <c r="V1248" t="str">
        <v>ANA</v>
      </c>
      <c r="W1248">
        <v>46266</v>
      </c>
      <c r="X1248" t="str">
        <v/>
      </c>
    </row>
    <row r="1249" spans="1:24">
      <c r="A1249" s="26">
        <v>2416</v>
      </c>
      <c r="B1249" s="87">
        <v>46266.614224536999</v>
      </c>
      <c r="C1249" s="87">
        <v>46266.614965277797</v>
      </c>
      <c r="D1249" t="str">
        <v>anónimo</v>
      </c>
      <c r="E1249" t="str">
        <v/>
      </c>
      <c r="F1249" s="68">
        <v>46266</v>
      </c>
      <c r="G1249" s="88">
        <v>46266</v>
      </c>
      <c r="H1249" t="str">
        <v>BEATRIZ DE LA CRUZ</v>
      </c>
      <c r="I1249" t="str">
        <v>JOSE MORENO PATRICIO</v>
      </c>
      <c r="J1249" s="82">
        <v>10816004815</v>
      </c>
      <c r="K1249" t="str">
        <v>MOPJ600801HHGRTS09</v>
      </c>
      <c r="L1249" s="82">
        <v>24155416</v>
      </c>
      <c r="M1249" s="82">
        <v>7713397243</v>
      </c>
      <c r="N1249" t="str">
        <v>NUEVO MAYOR</v>
      </c>
      <c r="O1249" s="89">
        <v>5617.63</v>
      </c>
      <c r="P1249" s="89" t="str">
        <v/>
      </c>
      <c r="Q1249" s="89">
        <v>1685.289</v>
      </c>
      <c r="R1249" s="89">
        <v>1444.6500000000005</v>
      </c>
      <c r="S1249" t="str">
        <v/>
      </c>
      <c r="T1249" t="str">
        <v/>
      </c>
      <c r="U1249" t="str">
        <v/>
      </c>
      <c r="V1249" t="str">
        <v>GLORIA</v>
      </c>
      <c r="W1249">
        <v>46266</v>
      </c>
      <c r="X1249" t="str">
        <v/>
      </c>
    </row>
    <row r="1250" spans="1:24">
      <c r="A1250" s="26">
        <v>2417</v>
      </c>
      <c r="B1250" s="87">
        <v>46266.613622685203</v>
      </c>
      <c r="C1250" s="87">
        <v>46266.620324074102</v>
      </c>
      <c r="D1250" t="str">
        <v>anónimo</v>
      </c>
      <c r="E1250" t="str">
        <v/>
      </c>
      <c r="F1250" s="68">
        <v>46266</v>
      </c>
      <c r="G1250" s="88">
        <v>46266</v>
      </c>
      <c r="H1250" t="str">
        <v>LILIANA MARTINEZ SUR</v>
      </c>
      <c r="I1250" t="str">
        <v>GERARDO FLORES TAPIA</v>
      </c>
      <c r="J1250" s="82" t="str">
        <v/>
      </c>
      <c r="K1250" t="str">
        <v>FOTG701005HDFLPR00</v>
      </c>
      <c r="L1250" s="82">
        <v>24150934</v>
      </c>
      <c r="M1250" s="82">
        <v>5215512866419</v>
      </c>
      <c r="N1250" t="str">
        <v>NUEVO MENOR</v>
      </c>
      <c r="O1250" s="89">
        <v>5060.93</v>
      </c>
      <c r="P1250" s="89" t="str">
        <v/>
      </c>
      <c r="Q1250" s="89">
        <v>1518.279</v>
      </c>
      <c r="R1250" s="89">
        <v>887.95000000000073</v>
      </c>
      <c r="S1250" t="str">
        <v/>
      </c>
      <c r="T1250" t="str">
        <v/>
      </c>
      <c r="U1250" t="str">
        <v/>
      </c>
      <c r="V1250" t="str">
        <v>HECTOR</v>
      </c>
      <c r="W1250">
        <v>46266</v>
      </c>
      <c r="X1250" t="str">
        <v/>
      </c>
    </row>
    <row r="1251" spans="1:24">
      <c r="A1251" s="26">
        <v>2418</v>
      </c>
      <c r="B1251" s="87">
        <v>46266.6031365741</v>
      </c>
      <c r="C1251" s="87">
        <v>46266.623645833301</v>
      </c>
      <c r="D1251" t="str">
        <v>anónimo</v>
      </c>
      <c r="E1251" t="str">
        <v/>
      </c>
      <c r="F1251" s="68">
        <v>46266</v>
      </c>
      <c r="G1251" s="88">
        <v>46266</v>
      </c>
      <c r="H1251" t="str">
        <v>ROSA CASTRO SUR</v>
      </c>
      <c r="I1251" t="str">
        <v xml:space="preserve">BERTHA SUSANA THOMAS TORRES </v>
      </c>
      <c r="J1251" s="82" t="str">
        <v>21644612513</v>
      </c>
      <c r="K1251" t="str">
        <v>TOTB461016MBCHRR04</v>
      </c>
      <c r="L1251" s="82">
        <v>24143988</v>
      </c>
      <c r="M1251" s="82">
        <v>5216641204200</v>
      </c>
      <c r="N1251" t="str">
        <v>NUEVO MAYOR</v>
      </c>
      <c r="O1251" s="89">
        <v>39970.82</v>
      </c>
      <c r="P1251" s="89" t="str">
        <v/>
      </c>
      <c r="Q1251" s="89">
        <v>11991.245999999999</v>
      </c>
      <c r="R1251" s="89">
        <v>11991.245999999999</v>
      </c>
      <c r="S1251" t="str">
        <v/>
      </c>
      <c r="T1251" t="str">
        <v/>
      </c>
      <c r="U1251" t="str">
        <v/>
      </c>
      <c r="V1251" t="str">
        <v>ITZELH</v>
      </c>
      <c r="W1251">
        <v>46266</v>
      </c>
      <c r="X1251" t="str">
        <v/>
      </c>
    </row>
    <row r="1252" spans="1:24">
      <c r="A1252" s="26">
        <v>2421</v>
      </c>
      <c r="B1252" s="87">
        <v>46266.630891203698</v>
      </c>
      <c r="C1252" s="87">
        <v>46266.635543981502</v>
      </c>
      <c r="D1252" t="str">
        <v>anónimo</v>
      </c>
      <c r="E1252" t="str">
        <v/>
      </c>
      <c r="F1252" s="68">
        <v>46266</v>
      </c>
      <c r="G1252" s="88">
        <v>46266</v>
      </c>
      <c r="H1252" t="str">
        <v>LILIANA MARTINEZ SUR</v>
      </c>
      <c r="I1252" t="str">
        <v>JOSE ALFREDO DE LARA PUEBLA</v>
      </c>
      <c r="J1252" s="82">
        <v>31876512984</v>
      </c>
      <c r="K1252" t="str">
        <v>LAPA650108HDGRBL04</v>
      </c>
      <c r="L1252" s="82">
        <v>24153144</v>
      </c>
      <c r="M1252" s="82">
        <v>5216183290969</v>
      </c>
      <c r="N1252" t="str">
        <v>NUEVO MAYOR</v>
      </c>
      <c r="O1252" s="89">
        <v>10636.54</v>
      </c>
      <c r="P1252" s="89" t="str">
        <v/>
      </c>
      <c r="Q1252" s="89">
        <v>3190.962</v>
      </c>
      <c r="R1252" s="89">
        <v>3190.962</v>
      </c>
      <c r="S1252" t="str">
        <v/>
      </c>
      <c r="T1252" t="str">
        <v/>
      </c>
      <c r="U1252" t="str">
        <v/>
      </c>
      <c r="V1252" t="str">
        <v>ANA</v>
      </c>
      <c r="W1252">
        <v>46266</v>
      </c>
      <c r="X1252" t="str">
        <v/>
      </c>
    </row>
    <row r="1253" spans="1:24">
      <c r="A1253" s="26">
        <v>2422</v>
      </c>
      <c r="B1253" s="87">
        <v>46266.638148148202</v>
      </c>
      <c r="C1253" s="87">
        <v>46266.638784722199</v>
      </c>
      <c r="D1253" t="str">
        <v>anónimo</v>
      </c>
      <c r="E1253" t="str">
        <v/>
      </c>
      <c r="F1253" s="68">
        <v>46266</v>
      </c>
      <c r="G1253" s="88">
        <v>46266</v>
      </c>
      <c r="H1253" t="str">
        <v>BEATRIZ DE LA CRUZ</v>
      </c>
      <c r="I1253" t="str">
        <v xml:space="preserve"> JESUS PRISCILIANO MARTINEZ RIVERA</v>
      </c>
      <c r="J1253" s="82">
        <v>43865804306</v>
      </c>
      <c r="K1253" t="str">
        <v>MARJ580104HNLRVS02</v>
      </c>
      <c r="L1253" s="82">
        <v>24156254</v>
      </c>
      <c r="M1253" s="82">
        <v>8110393719</v>
      </c>
      <c r="N1253" t="str">
        <v>NUEVO MENOR</v>
      </c>
      <c r="O1253" s="89">
        <v>19103.169999999998</v>
      </c>
      <c r="P1253" s="89">
        <v>5303.27</v>
      </c>
      <c r="Q1253" s="89">
        <v>5730.9509999999991</v>
      </c>
      <c r="R1253" s="89">
        <v>427.68099999999868</v>
      </c>
      <c r="S1253">
        <v>46327</v>
      </c>
      <c r="T1253" t="str">
        <v>MULTIVA</v>
      </c>
      <c r="U1253">
        <v>5303.27</v>
      </c>
      <c r="V1253" t="str">
        <v>HECTOR</v>
      </c>
      <c r="W1253">
        <v>46266</v>
      </c>
      <c r="X1253" t="str">
        <v/>
      </c>
    </row>
    <row r="1254" spans="1:24">
      <c r="A1254" s="26">
        <v>2423</v>
      </c>
      <c r="B1254" s="87">
        <v>46266.603159722203</v>
      </c>
      <c r="C1254" s="87">
        <v>46266.6393634259</v>
      </c>
      <c r="D1254" t="str">
        <v>anónimo</v>
      </c>
      <c r="E1254" t="str">
        <v/>
      </c>
      <c r="F1254" s="68">
        <v>46266</v>
      </c>
      <c r="G1254" s="88">
        <v>46265</v>
      </c>
      <c r="H1254" t="str">
        <v>LIDIA GARZA</v>
      </c>
      <c r="I1254" t="str">
        <v>BEATRIZ CARBALLO COTA</v>
      </c>
      <c r="J1254" s="82">
        <v>22786203392</v>
      </c>
      <c r="K1254" t="str">
        <v xml:space="preserve">CACB620412MBSRTT08 </v>
      </c>
      <c r="L1254" s="82">
        <v>24133218</v>
      </c>
      <c r="M1254" s="82">
        <v>5216122046141</v>
      </c>
      <c r="N1254" t="str">
        <v>NUEVO MAYOR</v>
      </c>
      <c r="O1254" s="89">
        <v>9760.320000000007</v>
      </c>
      <c r="P1254" s="89" t="str">
        <v/>
      </c>
      <c r="Q1254" s="89">
        <v>2928.0960000000018</v>
      </c>
      <c r="R1254" s="89">
        <v>2928.0960000000018</v>
      </c>
      <c r="S1254" t="str">
        <v/>
      </c>
      <c r="T1254" t="str">
        <v/>
      </c>
      <c r="U1254" t="str">
        <v/>
      </c>
      <c r="V1254" t="str">
        <v>PAOLA</v>
      </c>
      <c r="W1254">
        <v>46266</v>
      </c>
      <c r="X1254" t="str">
        <v/>
      </c>
    </row>
    <row r="1255" spans="1:24">
      <c r="A1255" s="26">
        <v>2425</v>
      </c>
      <c r="B1255" s="87">
        <v>46266.646446759303</v>
      </c>
      <c r="C1255" s="87">
        <v>46266.648113425901</v>
      </c>
      <c r="D1255" t="str">
        <v>anónimo</v>
      </c>
      <c r="E1255" t="str">
        <v/>
      </c>
      <c r="F1255" s="68">
        <v>46266</v>
      </c>
      <c r="G1255" s="88">
        <v>46265</v>
      </c>
      <c r="H1255" t="str">
        <v>MAYTE NAVARRO</v>
      </c>
      <c r="I1255" t="str">
        <v>J. JAIME CHAVEZ LOPEZ</v>
      </c>
      <c r="J1255" s="82" t="str">
        <v/>
      </c>
      <c r="K1255" t="str">
        <v>CALJ600919HJCHPM03</v>
      </c>
      <c r="L1255" s="82">
        <v>24167800</v>
      </c>
      <c r="M1255" s="82">
        <v>7551027655</v>
      </c>
      <c r="N1255" t="str">
        <v>NUEVO MAYOR</v>
      </c>
      <c r="O1255" s="89">
        <v>22537.38</v>
      </c>
      <c r="P1255" s="89" t="str">
        <v/>
      </c>
      <c r="Q1255" s="89">
        <v>6761.2139999999999</v>
      </c>
      <c r="R1255" s="89">
        <v>6761.2139999999999</v>
      </c>
      <c r="S1255" t="str">
        <v/>
      </c>
      <c r="T1255" t="str">
        <v/>
      </c>
      <c r="U1255" t="str">
        <v/>
      </c>
      <c r="V1255" t="str">
        <v>MIRIAM</v>
      </c>
      <c r="W1255">
        <v>46266</v>
      </c>
      <c r="X1255">
        <v>1</v>
      </c>
    </row>
    <row r="1256" spans="1:24">
      <c r="A1256" s="26">
        <v>2426</v>
      </c>
      <c r="B1256" s="87">
        <v>46266.667870370402</v>
      </c>
      <c r="C1256" s="87">
        <v>46266.672905092601</v>
      </c>
      <c r="D1256" t="str">
        <v>anónimo</v>
      </c>
      <c r="E1256" t="str">
        <v/>
      </c>
      <c r="F1256" s="68">
        <v>46266</v>
      </c>
      <c r="G1256" s="88">
        <v>46266</v>
      </c>
      <c r="H1256" t="str">
        <v>GUADALUPE BECERRA</v>
      </c>
      <c r="I1256" t="str">
        <v>FILIBERTO HERRERA VIDAL</v>
      </c>
      <c r="J1256" s="82" t="str">
        <v/>
      </c>
      <c r="K1256" t="str">
        <v>HEVF600606HPLRDL06</v>
      </c>
      <c r="L1256" s="82">
        <v>24162118</v>
      </c>
      <c r="M1256" s="82">
        <v>5212431089626</v>
      </c>
      <c r="N1256" t="str">
        <v>NUEVO MAYOR</v>
      </c>
      <c r="O1256" s="89">
        <v>10636.54</v>
      </c>
      <c r="P1256" s="89" t="str">
        <v/>
      </c>
      <c r="Q1256" s="89">
        <v>3190.962</v>
      </c>
      <c r="R1256" s="89">
        <v>3190.962</v>
      </c>
      <c r="S1256" t="str">
        <v/>
      </c>
      <c r="T1256" t="str">
        <v/>
      </c>
      <c r="U1256" t="str">
        <v/>
      </c>
      <c r="V1256" t="str">
        <v>DANIELLY</v>
      </c>
      <c r="W1256">
        <v>46266</v>
      </c>
      <c r="X1256" t="str">
        <v/>
      </c>
    </row>
    <row r="1257" spans="1:24">
      <c r="A1257" s="26">
        <v>2428</v>
      </c>
      <c r="B1257" s="87">
        <v>46266.686574074098</v>
      </c>
      <c r="C1257" s="87">
        <v>46266.687430555598</v>
      </c>
      <c r="D1257" t="str">
        <v>anónimo</v>
      </c>
      <c r="E1257" t="str">
        <v/>
      </c>
      <c r="F1257" s="68">
        <v>46266</v>
      </c>
      <c r="G1257" s="88">
        <v>46265</v>
      </c>
      <c r="H1257" t="str">
        <v>MAYTE NAVARRO</v>
      </c>
      <c r="I1257" t="str">
        <v>Gilberto Gonzalez pacheco</v>
      </c>
      <c r="J1257" s="82">
        <v>24705416899</v>
      </c>
      <c r="K1257" t="str">
        <v/>
      </c>
      <c r="L1257" s="82">
        <v>24157472</v>
      </c>
      <c r="M1257" s="82">
        <v>6462266843</v>
      </c>
      <c r="N1257" t="str">
        <v>NUEVO MENOR</v>
      </c>
      <c r="O1257" s="89">
        <v>42004.43</v>
      </c>
      <c r="P1257" s="89">
        <v>12138.33</v>
      </c>
      <c r="Q1257" s="89">
        <v>12601.329</v>
      </c>
      <c r="R1257" s="89">
        <v>462.9989999999998</v>
      </c>
      <c r="S1257">
        <v>46600</v>
      </c>
      <c r="T1257" t="str">
        <v>MULTIVA</v>
      </c>
      <c r="U1257">
        <v>12138.33</v>
      </c>
      <c r="V1257" t="str">
        <v>HECTOR</v>
      </c>
      <c r="W1257">
        <v>46266</v>
      </c>
      <c r="X1257">
        <v>2</v>
      </c>
    </row>
    <row r="1258" spans="1:24">
      <c r="A1258" s="26">
        <v>2435</v>
      </c>
      <c r="B1258" s="87">
        <v>46267.322708333297</v>
      </c>
      <c r="C1258" s="87">
        <v>46267.369421296302</v>
      </c>
      <c r="D1258" t="str">
        <v>anónimo</v>
      </c>
      <c r="E1258" t="str">
        <v/>
      </c>
      <c r="F1258" s="68">
        <v>46267</v>
      </c>
      <c r="G1258" s="88">
        <v>46267</v>
      </c>
      <c r="H1258" t="str">
        <v>YAMILETH CARDONA EXT 2</v>
      </c>
      <c r="I1258" t="str">
        <v>LUZ DEL CARMEN VALADEZ GONZALEZ</v>
      </c>
      <c r="J1258" s="82">
        <v>7087720551</v>
      </c>
      <c r="K1258" t="str">
        <v>VAGL721021MDFLNZ06</v>
      </c>
      <c r="L1258" s="82">
        <v>2</v>
      </c>
      <c r="M1258" s="82" t="str">
        <v>55 8564 8614</v>
      </c>
      <c r="N1258" t="str">
        <v>NUEVO MENOR</v>
      </c>
      <c r="O1258" s="89">
        <v>5642.22</v>
      </c>
      <c r="P1258" s="89">
        <v>621.23</v>
      </c>
      <c r="Q1258" s="89">
        <v>1692.6659999999999</v>
      </c>
      <c r="R1258" s="89">
        <v>848.01000000000067</v>
      </c>
      <c r="S1258">
        <v>46966</v>
      </c>
      <c r="T1258" t="str">
        <v>DIMEX</v>
      </c>
      <c r="U1258">
        <v>621.23</v>
      </c>
      <c r="V1258" t="str">
        <v/>
      </c>
      <c r="W1258" t="str">
        <v/>
      </c>
      <c r="X1258" t="str">
        <v/>
      </c>
    </row>
    <row r="1259" spans="1:24">
      <c r="A1259" s="26">
        <v>2437</v>
      </c>
      <c r="B1259" s="87">
        <v>46267.4239930556</v>
      </c>
      <c r="C1259" s="87">
        <v>46267.426712963003</v>
      </c>
      <c r="D1259" t="str">
        <v>anónimo</v>
      </c>
      <c r="E1259" t="str">
        <v/>
      </c>
      <c r="F1259" s="68">
        <v>46267</v>
      </c>
      <c r="G1259" s="88">
        <v>46266</v>
      </c>
      <c r="H1259" t="str">
        <v>GIOVANNI MELGAR</v>
      </c>
      <c r="I1259" t="str">
        <v>MA. DEL PILAR HERNANDEZ RAMIREZ</v>
      </c>
      <c r="J1259" s="82" t="str">
        <v>41926400041</v>
      </c>
      <c r="K1259" t="str">
        <v>HERP721012MSPRML08</v>
      </c>
      <c r="L1259" s="82">
        <v>24151366</v>
      </c>
      <c r="M1259" s="82">
        <v>5214442855532</v>
      </c>
      <c r="N1259" t="str">
        <v>NUEVO MAYOR</v>
      </c>
      <c r="O1259" s="89">
        <v>8173.36</v>
      </c>
      <c r="P1259" s="89" t="str">
        <v/>
      </c>
      <c r="Q1259" s="89">
        <v>2452.0079999999998</v>
      </c>
      <c r="R1259" s="89">
        <v>2452.0079999999998</v>
      </c>
      <c r="S1259" t="str">
        <v/>
      </c>
      <c r="T1259" t="str">
        <v/>
      </c>
      <c r="U1259" t="str">
        <v/>
      </c>
      <c r="V1259" t="str">
        <v>ANA</v>
      </c>
      <c r="W1259">
        <v>46267</v>
      </c>
      <c r="X1259" t="str">
        <v/>
      </c>
    </row>
    <row r="1260" spans="1:24">
      <c r="A1260" s="26">
        <v>2440</v>
      </c>
      <c r="B1260" s="87">
        <v>46267.423680555599</v>
      </c>
      <c r="C1260" s="87">
        <v>46267.436006944401</v>
      </c>
      <c r="D1260" t="str">
        <v>anónimo</v>
      </c>
      <c r="E1260" t="str">
        <v/>
      </c>
      <c r="F1260" s="68">
        <v>46267</v>
      </c>
      <c r="G1260" s="88">
        <v>46233</v>
      </c>
      <c r="H1260" t="str">
        <v>GUADALUPE BECERRA</v>
      </c>
      <c r="I1260" t="str">
        <v>ESTEBAN PECH MEX</v>
      </c>
      <c r="J1260" s="82">
        <v>84816402501</v>
      </c>
      <c r="K1260" t="str">
        <v>PEME631226HYNCXS09</v>
      </c>
      <c r="L1260" s="82">
        <v>23261044</v>
      </c>
      <c r="M1260" s="82">
        <v>5219889679408</v>
      </c>
      <c r="N1260" t="str">
        <v>RESTRINGIDA</v>
      </c>
      <c r="O1260" s="89">
        <v>9504.7000000000007</v>
      </c>
      <c r="P1260" s="89">
        <v>2622.91</v>
      </c>
      <c r="Q1260" s="89">
        <v>2851.4100000000003</v>
      </c>
      <c r="R1260" s="89">
        <v>228.50000000000045</v>
      </c>
      <c r="S1260">
        <v>46266</v>
      </c>
      <c r="T1260" t="str">
        <v>FISOFO</v>
      </c>
      <c r="U1260">
        <v>2622.91</v>
      </c>
      <c r="V1260" t="str">
        <v>DANIELLY</v>
      </c>
      <c r="W1260">
        <v>46267</v>
      </c>
      <c r="X1260" t="str">
        <v/>
      </c>
    </row>
    <row r="1261" spans="1:24">
      <c r="A1261" s="26">
        <v>2441</v>
      </c>
      <c r="B1261" s="87">
        <v>46267.437071759297</v>
      </c>
      <c r="C1261" s="87">
        <v>46267.437881944403</v>
      </c>
      <c r="D1261" t="str">
        <v>anónimo</v>
      </c>
      <c r="E1261" t="str">
        <v/>
      </c>
      <c r="F1261" s="68">
        <v>46267</v>
      </c>
      <c r="G1261" s="88">
        <v>46266</v>
      </c>
      <c r="H1261" t="str">
        <v>GIOVANNI MELGAR</v>
      </c>
      <c r="I1261" t="str">
        <v>AARON NORATO GARCIA</v>
      </c>
      <c r="J1261" s="82" t="str">
        <v>67887301868</v>
      </c>
      <c r="K1261" t="str">
        <v>NOGA730701HVZRRR00</v>
      </c>
      <c r="L1261" s="82">
        <v>24179372</v>
      </c>
      <c r="M1261" s="82">
        <v>5216643034108</v>
      </c>
      <c r="N1261" t="str">
        <v>COMPRA MENOR</v>
      </c>
      <c r="O1261" s="89">
        <v>5121.62</v>
      </c>
      <c r="P1261" s="89">
        <v>761.39</v>
      </c>
      <c r="Q1261" s="89">
        <v>1536.4859999999999</v>
      </c>
      <c r="R1261" s="89">
        <v>187.25000000000034</v>
      </c>
      <c r="S1261">
        <v>45536</v>
      </c>
      <c r="T1261" t="str">
        <v>FORTALEZA</v>
      </c>
      <c r="U1261">
        <v>761.39</v>
      </c>
      <c r="V1261" t="str">
        <v>HANIA</v>
      </c>
      <c r="W1261">
        <v>46267</v>
      </c>
      <c r="X1261" t="str">
        <v/>
      </c>
    </row>
    <row r="1262" spans="1:24">
      <c r="A1262" s="26">
        <v>2443</v>
      </c>
      <c r="B1262" s="87">
        <v>46267.406238425901</v>
      </c>
      <c r="C1262" s="87">
        <v>46267.440405092602</v>
      </c>
      <c r="D1262" t="str">
        <v>anónimo</v>
      </c>
      <c r="E1262" t="str">
        <v/>
      </c>
      <c r="F1262" s="68">
        <v>46267</v>
      </c>
      <c r="G1262" s="88">
        <v>46267</v>
      </c>
      <c r="H1262" t="str">
        <v>YAMILETH CARDONA EXT 2</v>
      </c>
      <c r="I1262" t="str">
        <v>ENRIQUE MARTINEZ RAMIREZ</v>
      </c>
      <c r="J1262" s="82" t="str">
        <v>03816313021</v>
      </c>
      <c r="K1262" t="str">
        <v>MARE630830HNLRMN05</v>
      </c>
      <c r="L1262" s="82">
        <v>2</v>
      </c>
      <c r="M1262" s="82">
        <v>8119945530</v>
      </c>
      <c r="N1262" t="str">
        <v>COMPRA MAYOR</v>
      </c>
      <c r="O1262" s="89">
        <v>7920.51</v>
      </c>
      <c r="P1262" s="89">
        <v>2197.7199999999998</v>
      </c>
      <c r="Q1262" s="89">
        <v>2376.1529999999998</v>
      </c>
      <c r="R1262" s="89">
        <v>178.43299999999999</v>
      </c>
      <c r="S1262">
        <v>46204</v>
      </c>
      <c r="T1262" t="str">
        <v>DIMEX</v>
      </c>
      <c r="U1262">
        <v>2197.7199999999998</v>
      </c>
      <c r="V1262" t="str">
        <v/>
      </c>
      <c r="W1262" t="str">
        <v/>
      </c>
      <c r="X1262" t="str">
        <v/>
      </c>
    </row>
    <row r="1263" spans="1:24">
      <c r="A1263" s="26">
        <v>2444</v>
      </c>
      <c r="B1263" s="87">
        <v>46267.444467592599</v>
      </c>
      <c r="C1263" s="87">
        <v>46267.445011574098</v>
      </c>
      <c r="D1263" t="str">
        <v>anónimo</v>
      </c>
      <c r="E1263" t="str">
        <v/>
      </c>
      <c r="F1263" s="68">
        <v>46267</v>
      </c>
      <c r="G1263" s="88">
        <v>46266</v>
      </c>
      <c r="H1263" t="str">
        <v>GIOVANNI MELGAR</v>
      </c>
      <c r="I1263" t="str">
        <v>JESUS URQUIETA CONTRERAS</v>
      </c>
      <c r="J1263" s="82" t="str">
        <v>04826307649</v>
      </c>
      <c r="K1263" t="str">
        <v>UUCJ630527HJCRNS07</v>
      </c>
      <c r="L1263" s="82">
        <v>24174758</v>
      </c>
      <c r="M1263" s="82">
        <v>5215623571098</v>
      </c>
      <c r="N1263" t="str">
        <v>NUEVO MAYOR</v>
      </c>
      <c r="O1263" s="89">
        <v>20668.52</v>
      </c>
      <c r="P1263" s="89" t="str">
        <v/>
      </c>
      <c r="Q1263" s="89">
        <v>6200.5559999999996</v>
      </c>
      <c r="R1263" s="89">
        <v>6200.5559999999996</v>
      </c>
      <c r="S1263" t="str">
        <v/>
      </c>
      <c r="T1263" t="str">
        <v/>
      </c>
      <c r="U1263" t="str">
        <v/>
      </c>
      <c r="V1263" t="str">
        <v>IRASEMA</v>
      </c>
      <c r="W1263">
        <v>46267</v>
      </c>
      <c r="X1263" t="str">
        <v/>
      </c>
    </row>
    <row r="1264" spans="1:24">
      <c r="A1264" s="26">
        <v>2445</v>
      </c>
      <c r="B1264" s="87">
        <v>46267.446192129602</v>
      </c>
      <c r="C1264" s="87">
        <v>46267.448171296302</v>
      </c>
      <c r="D1264" t="str">
        <v>anónimo</v>
      </c>
      <c r="E1264" t="str">
        <v/>
      </c>
      <c r="F1264" s="68">
        <v>46267</v>
      </c>
      <c r="G1264" s="88">
        <v>46265</v>
      </c>
      <c r="H1264" t="str">
        <v>MAYTE NAVARRO</v>
      </c>
      <c r="I1264" t="str">
        <v>NOEMI GUILLEN CHAVEZ</v>
      </c>
      <c r="J1264" s="82" t="str">
        <v/>
      </c>
      <c r="K1264" t="str">
        <v>GUCN571117MNTLHM05</v>
      </c>
      <c r="L1264" s="82">
        <v>24135746</v>
      </c>
      <c r="M1264" s="82">
        <v>3113965877</v>
      </c>
      <c r="N1264" t="str">
        <v>NUEVO MAYOR</v>
      </c>
      <c r="O1264" s="89">
        <v>6443.71</v>
      </c>
      <c r="P1264" s="89" t="str">
        <v/>
      </c>
      <c r="Q1264" s="89">
        <v>1933.1129999999998</v>
      </c>
      <c r="R1264" s="89">
        <v>1933.1129999999998</v>
      </c>
      <c r="S1264" t="str">
        <v/>
      </c>
      <c r="T1264" t="str">
        <v/>
      </c>
      <c r="U1264" t="str">
        <v/>
      </c>
      <c r="V1264" t="str">
        <v>CAROLINA</v>
      </c>
      <c r="W1264">
        <v>46267</v>
      </c>
      <c r="X1264" t="str">
        <v/>
      </c>
    </row>
    <row r="1265" spans="1:24">
      <c r="A1265" s="26">
        <v>2446</v>
      </c>
      <c r="B1265" s="87">
        <v>46267.441655092603</v>
      </c>
      <c r="C1265" s="87">
        <v>46267.450115740699</v>
      </c>
      <c r="D1265" t="str">
        <v>anónimo</v>
      </c>
      <c r="E1265" t="str">
        <v/>
      </c>
      <c r="F1265" s="68">
        <v>46267</v>
      </c>
      <c r="G1265" s="88">
        <v>46267</v>
      </c>
      <c r="H1265" t="str">
        <v>ROSA CASTRO SUR</v>
      </c>
      <c r="I1265" t="str">
        <v>MARIBEL AGUILAR LOREDO</v>
      </c>
      <c r="J1265" s="82">
        <v>88836313986</v>
      </c>
      <c r="K1265" t="str">
        <v>AULM630715MSPGRR01</v>
      </c>
      <c r="L1265" s="82">
        <v>24189214</v>
      </c>
      <c r="M1265" s="82">
        <v>5214443485459</v>
      </c>
      <c r="N1265" t="str">
        <v>NUEVO MAYOR</v>
      </c>
      <c r="O1265" s="89">
        <v>12234.97</v>
      </c>
      <c r="P1265" s="89" t="str">
        <v/>
      </c>
      <c r="Q1265" s="89">
        <v>3670.4909999999995</v>
      </c>
      <c r="R1265" s="89">
        <v>3670.4909999999995</v>
      </c>
      <c r="S1265" t="str">
        <v/>
      </c>
      <c r="T1265" t="str">
        <v/>
      </c>
      <c r="U1265" t="str">
        <v/>
      </c>
      <c r="V1265" t="str">
        <v>ITZELH</v>
      </c>
      <c r="W1265">
        <v>46267</v>
      </c>
      <c r="X1265" t="str">
        <v/>
      </c>
    </row>
    <row r="1266" spans="1:24">
      <c r="A1266" s="26">
        <v>2447</v>
      </c>
      <c r="B1266" s="87">
        <v>46267.454849537004</v>
      </c>
      <c r="C1266" s="87">
        <v>46267.455532407403</v>
      </c>
      <c r="D1266" t="str">
        <v>anónimo</v>
      </c>
      <c r="E1266" t="str">
        <v/>
      </c>
      <c r="F1266" s="68">
        <v>46267</v>
      </c>
      <c r="G1266" s="88">
        <v>46267</v>
      </c>
      <c r="H1266" t="str">
        <v>ALAN ALTAMIRANO EXT</v>
      </c>
      <c r="I1266" t="str">
        <v>David Aquino Guerrero</v>
      </c>
      <c r="J1266" s="82" t="str">
        <v/>
      </c>
      <c r="K1266" t="str">
        <v>AUGD770324HTSQRV01</v>
      </c>
      <c r="L1266" s="82">
        <v>1</v>
      </c>
      <c r="M1266" s="82">
        <v>8682177899</v>
      </c>
      <c r="N1266" t="str">
        <v>NUEVO MAYOR</v>
      </c>
      <c r="O1266" s="89">
        <v>6411.47</v>
      </c>
      <c r="P1266" s="89" t="str">
        <v/>
      </c>
      <c r="Q1266" s="89">
        <v>1923.441</v>
      </c>
      <c r="R1266" s="89">
        <v>1923.441</v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</row>
    <row r="1267" spans="1:24">
      <c r="A1267" s="26">
        <v>2449</v>
      </c>
      <c r="B1267" s="87">
        <v>46267.4676736111</v>
      </c>
      <c r="C1267" s="87">
        <v>46267.468587962998</v>
      </c>
      <c r="D1267" t="str">
        <v>anónimo</v>
      </c>
      <c r="E1267" t="str">
        <v/>
      </c>
      <c r="F1267" s="68">
        <v>46267</v>
      </c>
      <c r="G1267" s="88">
        <v>46266</v>
      </c>
      <c r="H1267" t="str">
        <v>BEATRIZ DE LA CRUZ</v>
      </c>
      <c r="I1267" t="str">
        <v>GUILLERMO JIMENEZ SOBERANES</v>
      </c>
      <c r="J1267" s="82">
        <v>1725706483</v>
      </c>
      <c r="K1267" t="str">
        <v>JISG570317HDFMBL07</v>
      </c>
      <c r="L1267" s="82">
        <v>24175378</v>
      </c>
      <c r="M1267" s="82">
        <v>7294799449</v>
      </c>
      <c r="N1267" t="str">
        <v>NUEVO MENOR</v>
      </c>
      <c r="O1267" s="89">
        <v>24667.47</v>
      </c>
      <c r="P1267" s="89">
        <v>6724.99</v>
      </c>
      <c r="Q1267" s="89">
        <v>7400.241</v>
      </c>
      <c r="R1267" s="89">
        <v>675.2510000000002</v>
      </c>
      <c r="S1267">
        <v>46296</v>
      </c>
      <c r="T1267" t="str">
        <v>INBURSA</v>
      </c>
      <c r="U1267">
        <v>6223.63</v>
      </c>
      <c r="V1267" t="str">
        <v>HECTOR</v>
      </c>
      <c r="W1267">
        <v>46267</v>
      </c>
      <c r="X1267" t="str">
        <v/>
      </c>
    </row>
    <row r="1268" spans="1:24">
      <c r="A1268" s="26">
        <v>2451</v>
      </c>
      <c r="B1268" s="87">
        <v>46267.449467592603</v>
      </c>
      <c r="C1268" s="87">
        <v>46267.492465277799</v>
      </c>
      <c r="D1268" t="str">
        <v>anónimo</v>
      </c>
      <c r="E1268" t="str">
        <v/>
      </c>
      <c r="F1268" s="68">
        <v>46267</v>
      </c>
      <c r="G1268" s="88">
        <v>46266</v>
      </c>
      <c r="H1268" t="str">
        <v>ROSA CASTRO SUR</v>
      </c>
      <c r="I1268" t="str">
        <v>J. JESUS SANTANA SAUCEDO</v>
      </c>
      <c r="J1268" s="82">
        <v>12825916666</v>
      </c>
      <c r="K1268" t="str">
        <v>SASJ590906HGTNCS01</v>
      </c>
      <c r="L1268" s="82">
        <v>24179344</v>
      </c>
      <c r="M1268" s="82">
        <v>5214778801259</v>
      </c>
      <c r="N1268" t="str">
        <v>NUEVO MAYOR</v>
      </c>
      <c r="O1268" s="89">
        <v>9760.32</v>
      </c>
      <c r="P1268" s="89">
        <v>879</v>
      </c>
      <c r="Q1268" s="89">
        <v>2928.096</v>
      </c>
      <c r="R1268" s="89">
        <v>2049.096</v>
      </c>
      <c r="S1268" t="str">
        <v/>
      </c>
      <c r="T1268" t="str">
        <v/>
      </c>
      <c r="U1268" t="str">
        <v/>
      </c>
      <c r="V1268" t="str">
        <v>PAOLA</v>
      </c>
      <c r="W1268">
        <v>46267</v>
      </c>
      <c r="X1268" t="str">
        <v/>
      </c>
    </row>
    <row r="1269" spans="1:24">
      <c r="A1269" s="26">
        <v>2454</v>
      </c>
      <c r="B1269" s="87">
        <v>46267.501400462999</v>
      </c>
      <c r="C1269" s="87">
        <v>46267.502164351899</v>
      </c>
      <c r="D1269" t="str">
        <v>anónimo</v>
      </c>
      <c r="E1269" t="str">
        <v/>
      </c>
      <c r="F1269" s="68">
        <v>46267</v>
      </c>
      <c r="G1269" s="88">
        <v>46267</v>
      </c>
      <c r="H1269" t="str">
        <v>LIDIA GARZA</v>
      </c>
      <c r="I1269" t="str">
        <v>Francisco Gonzalez Gutierrez</v>
      </c>
      <c r="J1269" s="82" t="str">
        <v xml:space="preserve">52786107061
</v>
      </c>
      <c r="K1269" t="str">
        <v>GOGF610805HCMNTR13</v>
      </c>
      <c r="L1269" s="82">
        <v>24189738</v>
      </c>
      <c r="M1269" s="82">
        <v>5213123193951</v>
      </c>
      <c r="N1269" t="str">
        <v>NUEVO MAYOR</v>
      </c>
      <c r="O1269" s="89">
        <v>48451.72</v>
      </c>
      <c r="P1269" s="89" t="str">
        <v/>
      </c>
      <c r="Q1269" s="89">
        <v>14535.516</v>
      </c>
      <c r="R1269" s="89">
        <v>14535.516</v>
      </c>
      <c r="S1269" t="str">
        <v/>
      </c>
      <c r="T1269" t="str">
        <v/>
      </c>
      <c r="U1269" t="str">
        <v/>
      </c>
      <c r="V1269" t="str">
        <v>MIRIAM</v>
      </c>
      <c r="W1269">
        <v>46267</v>
      </c>
      <c r="X1269" t="str">
        <v/>
      </c>
    </row>
    <row r="1270" spans="1:24">
      <c r="A1270" s="26">
        <v>2455</v>
      </c>
      <c r="B1270" s="87">
        <v>46267.501770833303</v>
      </c>
      <c r="C1270" s="87">
        <v>46267.502280092602</v>
      </c>
      <c r="D1270" t="str">
        <v>anónimo</v>
      </c>
      <c r="E1270" t="str">
        <v/>
      </c>
      <c r="F1270" s="68">
        <v>46267</v>
      </c>
      <c r="G1270" s="88">
        <v>46267</v>
      </c>
      <c r="H1270" t="str">
        <v>BEATRIZ DE LA CRUZ</v>
      </c>
      <c r="I1270" t="str">
        <v>CARLOS BARBOZA MORALES</v>
      </c>
      <c r="J1270" s="82" t="str">
        <v/>
      </c>
      <c r="K1270" t="str">
        <v>BAMC631103HDGRRR08</v>
      </c>
      <c r="L1270" s="82">
        <v>24187756</v>
      </c>
      <c r="M1270" s="82">
        <v>6145150396</v>
      </c>
      <c r="N1270" t="str">
        <v>COMPRA MAYOR</v>
      </c>
      <c r="O1270" s="89">
        <v>60231.26</v>
      </c>
      <c r="P1270" s="89">
        <v>14306.98</v>
      </c>
      <c r="Q1270" s="89">
        <v>18069.378000000001</v>
      </c>
      <c r="R1270" s="89">
        <v>3762.398000000001</v>
      </c>
      <c r="S1270">
        <v>46235</v>
      </c>
      <c r="T1270" t="str">
        <v>MULTIVA</v>
      </c>
      <c r="U1270">
        <v>14306.98</v>
      </c>
      <c r="V1270" t="str">
        <v>MAGALI</v>
      </c>
      <c r="W1270">
        <v>46267</v>
      </c>
      <c r="X1270" t="str">
        <v/>
      </c>
    </row>
    <row r="1271" spans="1:24">
      <c r="A1271" s="26">
        <v>2460</v>
      </c>
      <c r="B1271" s="87">
        <v>46267.501111111102</v>
      </c>
      <c r="C1271" s="87">
        <v>46267.521203703698</v>
      </c>
      <c r="D1271" t="str">
        <v>anónimo</v>
      </c>
      <c r="E1271" t="str">
        <v/>
      </c>
      <c r="F1271" s="68">
        <v>46267</v>
      </c>
      <c r="G1271" s="88">
        <v>46266</v>
      </c>
      <c r="H1271" t="str">
        <v>ROSA CASTRO SUR</v>
      </c>
      <c r="I1271" t="str">
        <v>VALENTIN CRUZ SANTIAGO</v>
      </c>
      <c r="J1271" s="82" t="str">
        <v/>
      </c>
      <c r="K1271" t="str">
        <v>CUSV620214HVZRNL04</v>
      </c>
      <c r="L1271" s="82">
        <v>24177214</v>
      </c>
      <c r="M1271" s="82">
        <v>5217821062062</v>
      </c>
      <c r="N1271" t="str">
        <v>NUEVO MENOR</v>
      </c>
      <c r="O1271" s="89">
        <v>7116.73</v>
      </c>
      <c r="P1271" s="89">
        <v>1637.96</v>
      </c>
      <c r="Q1271" s="89">
        <v>2135.0189999999998</v>
      </c>
      <c r="R1271" s="89">
        <v>497.05899999999974</v>
      </c>
      <c r="S1271">
        <v>46508</v>
      </c>
      <c r="T1271" t="str">
        <v>INBURSA</v>
      </c>
      <c r="U1271">
        <v>1637.96</v>
      </c>
      <c r="V1271" t="str">
        <v>HANIA</v>
      </c>
      <c r="W1271">
        <v>46267</v>
      </c>
      <c r="X1271" t="str">
        <v/>
      </c>
    </row>
    <row r="1272" spans="1:24">
      <c r="A1272" s="26">
        <v>2464</v>
      </c>
      <c r="B1272" s="87">
        <v>46267.514062499999</v>
      </c>
      <c r="C1272" s="87">
        <v>46267.574340277803</v>
      </c>
      <c r="D1272" t="str">
        <v>anónimo</v>
      </c>
      <c r="E1272" t="str">
        <v/>
      </c>
      <c r="F1272" s="68">
        <v>46267</v>
      </c>
      <c r="G1272" s="88">
        <v>46267</v>
      </c>
      <c r="H1272" t="str">
        <v>LIDIA GARZA</v>
      </c>
      <c r="I1272" t="str">
        <v>Francisco Moran Marquez</v>
      </c>
      <c r="J1272" s="82" t="str">
        <v/>
      </c>
      <c r="K1272" t="str">
        <v>MOMF630308HDFRRR01</v>
      </c>
      <c r="L1272" s="82">
        <v>24174738</v>
      </c>
      <c r="M1272" s="82">
        <v>5215574797916</v>
      </c>
      <c r="N1272" t="str">
        <v>COMPRA MAYOR</v>
      </c>
      <c r="O1272" s="89">
        <v>7920.51</v>
      </c>
      <c r="P1272" s="89">
        <v>2196.71</v>
      </c>
      <c r="Q1272" s="89">
        <v>2376.1529999999998</v>
      </c>
      <c r="R1272" s="89">
        <v>179.44299999999976</v>
      </c>
      <c r="S1272">
        <v>46143</v>
      </c>
      <c r="T1272" t="str">
        <v>PROFUTURO</v>
      </c>
      <c r="U1272">
        <v>2196.71</v>
      </c>
      <c r="V1272" t="str">
        <v>MAGALI</v>
      </c>
      <c r="W1272">
        <v>46267</v>
      </c>
      <c r="X1272" t="str">
        <v/>
      </c>
    </row>
    <row r="1273" spans="1:24">
      <c r="A1273" s="26">
        <v>2465</v>
      </c>
      <c r="B1273" s="87">
        <v>46267.575405092597</v>
      </c>
      <c r="C1273" s="87">
        <v>46267.576412037</v>
      </c>
      <c r="D1273" t="str">
        <v>anónimo</v>
      </c>
      <c r="E1273" t="str">
        <v/>
      </c>
      <c r="F1273" s="68">
        <v>46267</v>
      </c>
      <c r="G1273" s="88">
        <v>46266</v>
      </c>
      <c r="H1273" t="str">
        <v>BEATRIZ DE LA CRUZ</v>
      </c>
      <c r="I1273" t="str">
        <v>CESAR ALEJANDRO MANRIQUEZ CERVANTES</v>
      </c>
      <c r="J1273" s="82" t="str">
        <v/>
      </c>
      <c r="K1273" t="str">
        <v>MACC770514HCLNRS02</v>
      </c>
      <c r="L1273" s="82">
        <v>24167074</v>
      </c>
      <c r="M1273" s="82">
        <v>8445917860</v>
      </c>
      <c r="N1273" t="str">
        <v>NUEVO MENOR</v>
      </c>
      <c r="O1273" s="89">
        <v>5803.64</v>
      </c>
      <c r="P1273" s="89">
        <v>614.97</v>
      </c>
      <c r="Q1273" s="89">
        <v>1741.0920000000001</v>
      </c>
      <c r="R1273" s="89">
        <v>1015.6900000000007</v>
      </c>
      <c r="S1273">
        <v>45536</v>
      </c>
      <c r="T1273" t="str">
        <v>BANCREA</v>
      </c>
      <c r="U1273">
        <v>614.97</v>
      </c>
      <c r="V1273" t="str">
        <v>HECTOR</v>
      </c>
      <c r="W1273">
        <v>46267</v>
      </c>
      <c r="X1273" t="str">
        <v/>
      </c>
    </row>
    <row r="1274" spans="1:24">
      <c r="A1274" s="26">
        <v>2466</v>
      </c>
      <c r="B1274" s="87">
        <v>46267.588125000002</v>
      </c>
      <c r="C1274" s="87">
        <v>46267.589212963001</v>
      </c>
      <c r="D1274" t="str">
        <v>anónimo</v>
      </c>
      <c r="E1274" t="str">
        <v/>
      </c>
      <c r="F1274" s="68">
        <v>46267</v>
      </c>
      <c r="G1274" s="88">
        <v>46267</v>
      </c>
      <c r="H1274" t="str">
        <v>MAYTE NAVARRO</v>
      </c>
      <c r="I1274" t="str">
        <v>ESTELA DE JESUS MALDONADO</v>
      </c>
      <c r="J1274" s="82" t="str">
        <v/>
      </c>
      <c r="K1274" t="str">
        <v>JEME451115MQTSLS08</v>
      </c>
      <c r="L1274" s="82">
        <v>24193648</v>
      </c>
      <c r="M1274" s="82">
        <v>4421524039</v>
      </c>
      <c r="N1274" t="str">
        <v>NUEVO MAYOR</v>
      </c>
      <c r="O1274" s="89">
        <v>9019.81</v>
      </c>
      <c r="P1274" s="89" t="str">
        <v/>
      </c>
      <c r="Q1274" s="89">
        <v>2705.9429999999998</v>
      </c>
      <c r="R1274" s="89">
        <v>2705.9429999999998</v>
      </c>
      <c r="S1274" t="str">
        <v/>
      </c>
      <c r="T1274" t="str">
        <v/>
      </c>
      <c r="U1274" t="str">
        <v/>
      </c>
      <c r="V1274" t="str">
        <v>MAYTE</v>
      </c>
      <c r="W1274" t="str">
        <v/>
      </c>
      <c r="X1274" t="str">
        <v/>
      </c>
    </row>
    <row r="1275" spans="1:24">
      <c r="A1275" s="26">
        <v>2477</v>
      </c>
      <c r="B1275" s="87">
        <v>46267.6577314815</v>
      </c>
      <c r="C1275" s="87">
        <v>46267.658483796302</v>
      </c>
      <c r="D1275" t="str">
        <v>anónimo</v>
      </c>
      <c r="E1275" t="str">
        <v/>
      </c>
      <c r="F1275" s="68">
        <v>46267</v>
      </c>
      <c r="G1275" s="88">
        <v>46266</v>
      </c>
      <c r="H1275" t="str">
        <v>GIOVANNI MELGAR</v>
      </c>
      <c r="I1275" t="str">
        <v>SANDRA PACHECO ACOSTA</v>
      </c>
      <c r="J1275" s="82" t="str">
        <v xml:space="preserve">24735304271
</v>
      </c>
      <c r="K1275" t="str">
        <v>PAAS531015MSRCCN07</v>
      </c>
      <c r="L1275" s="82">
        <v>24169488</v>
      </c>
      <c r="M1275" s="82">
        <v>24169488</v>
      </c>
      <c r="N1275" t="str">
        <v>RESTRINGIDA</v>
      </c>
      <c r="O1275" s="89">
        <v>20147.39</v>
      </c>
      <c r="P1275" s="89">
        <v>5585.07</v>
      </c>
      <c r="Q1275" s="89">
        <v>6044.2169999999996</v>
      </c>
      <c r="R1275" s="89">
        <v>459.14699999999993</v>
      </c>
      <c r="S1275">
        <v>46266</v>
      </c>
      <c r="T1275" t="str">
        <v>CONSUBANCO, OPCIPRES</v>
      </c>
      <c r="U1275">
        <v>5585.07</v>
      </c>
      <c r="V1275" t="str">
        <v>DANIELLY</v>
      </c>
      <c r="W1275">
        <v>46267</v>
      </c>
      <c r="X1275" t="str">
        <v/>
      </c>
    </row>
    <row r="1276" spans="1:24">
      <c r="A1276" s="26">
        <v>2479</v>
      </c>
      <c r="B1276" s="87">
        <v>46267.665694444397</v>
      </c>
      <c r="C1276" s="87">
        <v>46267.666423611103</v>
      </c>
      <c r="D1276" t="str">
        <v>anónimo</v>
      </c>
      <c r="E1276" t="str">
        <v/>
      </c>
      <c r="F1276" s="68">
        <v>46267</v>
      </c>
      <c r="G1276" s="88">
        <v>46267</v>
      </c>
      <c r="H1276" t="str">
        <v>BEATRIZ DE LA CRUZ</v>
      </c>
      <c r="I1276" t="str">
        <v>JOSE JAVIER RIOS DEL TORO</v>
      </c>
      <c r="J1276" s="82" t="str">
        <v/>
      </c>
      <c r="K1276" t="str">
        <v>RITJ630927HSRSRV00</v>
      </c>
      <c r="L1276" s="82">
        <v>24199942</v>
      </c>
      <c r="M1276" s="82">
        <v>6221226147</v>
      </c>
      <c r="N1276" t="str">
        <v>NUEVO MAYOR</v>
      </c>
      <c r="O1276" s="89">
        <v>7920.51</v>
      </c>
      <c r="P1276" s="89" t="str">
        <v/>
      </c>
      <c r="Q1276" s="89">
        <v>2376.1529999999998</v>
      </c>
      <c r="R1276" s="89">
        <v>2376.1529999999998</v>
      </c>
      <c r="S1276" t="str">
        <v/>
      </c>
      <c r="T1276" t="str">
        <v/>
      </c>
      <c r="U1276" t="str">
        <v/>
      </c>
      <c r="V1276" t="str">
        <v>ANA</v>
      </c>
      <c r="W1276">
        <v>46267</v>
      </c>
      <c r="X1276" t="str">
        <v/>
      </c>
    </row>
    <row r="1277" spans="1:24">
      <c r="A1277" s="26">
        <v>2482</v>
      </c>
      <c r="B1277" s="87">
        <v>46267.668912036999</v>
      </c>
      <c r="C1277" s="87">
        <v>46267.671805555598</v>
      </c>
      <c r="D1277" t="str">
        <v>anónimo</v>
      </c>
      <c r="E1277" t="str">
        <v/>
      </c>
      <c r="F1277" s="68">
        <v>46267</v>
      </c>
      <c r="G1277" s="88">
        <v>46267</v>
      </c>
      <c r="H1277" t="str">
        <v>ROSA CASTRO SUR</v>
      </c>
      <c r="I1277" t="str">
        <v>MANUEL JESUS MATU SULU</v>
      </c>
      <c r="J1277" s="82" t="str">
        <v/>
      </c>
      <c r="K1277" t="str">
        <v>MASM630905HYNTLN01</v>
      </c>
      <c r="L1277" s="82">
        <v>24197900</v>
      </c>
      <c r="M1277" s="82">
        <v>5219993342589</v>
      </c>
      <c r="N1277" t="str">
        <v>NUEVO MAYOR</v>
      </c>
      <c r="O1277" s="89">
        <v>7920.51</v>
      </c>
      <c r="P1277" s="89">
        <v>848</v>
      </c>
      <c r="Q1277" s="89">
        <v>2376.1529999999998</v>
      </c>
      <c r="R1277" s="89">
        <v>1528.1529999999998</v>
      </c>
      <c r="S1277" t="str">
        <v/>
      </c>
      <c r="T1277" t="str">
        <v/>
      </c>
      <c r="U1277" t="str">
        <v/>
      </c>
      <c r="V1277" t="str">
        <v>GLORIA</v>
      </c>
      <c r="W1277">
        <v>46267</v>
      </c>
      <c r="X1277" t="str">
        <v/>
      </c>
    </row>
    <row r="1278" spans="1:24">
      <c r="A1278" s="26">
        <v>2491</v>
      </c>
      <c r="B1278" s="87">
        <v>46267.725937499999</v>
      </c>
      <c r="C1278" s="87">
        <v>46267.729814814797</v>
      </c>
      <c r="D1278" t="str">
        <v>anónimo</v>
      </c>
      <c r="E1278" t="str">
        <v/>
      </c>
      <c r="F1278" s="68">
        <v>46267</v>
      </c>
      <c r="G1278" s="88">
        <v>46268</v>
      </c>
      <c r="H1278" t="str">
        <v>ROSA CASTRO SUR</v>
      </c>
      <c r="I1278" t="str">
        <v xml:space="preserve">ROSA MARIA PINEDA GONZALEZ </v>
      </c>
      <c r="J1278" s="82" t="str">
        <v>06715257322</v>
      </c>
      <c r="K1278" t="str">
        <v>PIGR480827MDFNNS08</v>
      </c>
      <c r="L1278" s="82">
        <v>24201862</v>
      </c>
      <c r="M1278" s="82">
        <v>5216562000884</v>
      </c>
      <c r="N1278" t="str">
        <v>NUEVO MAYOR</v>
      </c>
      <c r="O1278" s="89">
        <v>41608.58</v>
      </c>
      <c r="P1278" s="89" t="str">
        <v/>
      </c>
      <c r="Q1278" s="89">
        <v>12482.574000000001</v>
      </c>
      <c r="R1278" s="89">
        <v>12482.574000000001</v>
      </c>
      <c r="S1278" t="str">
        <v/>
      </c>
      <c r="T1278" t="str">
        <v/>
      </c>
      <c r="U1278" t="str">
        <v/>
      </c>
      <c r="V1278" t="str">
        <v>MIRIAM</v>
      </c>
      <c r="W1278">
        <v>46267</v>
      </c>
      <c r="X1278" t="str">
        <v/>
      </c>
    </row>
    <row r="1279" spans="1:24">
      <c r="A1279" s="26">
        <v>2495</v>
      </c>
      <c r="B1279" s="87">
        <v>46267.729837963001</v>
      </c>
      <c r="C1279" s="87">
        <v>46267.741990740702</v>
      </c>
      <c r="D1279" t="str">
        <v>anónimo</v>
      </c>
      <c r="E1279" t="str">
        <v/>
      </c>
      <c r="F1279" s="68">
        <v>46267</v>
      </c>
      <c r="G1279" s="88">
        <v>46267</v>
      </c>
      <c r="H1279" t="str">
        <v>ROSA CASTRO SUR</v>
      </c>
      <c r="I1279" t="str">
        <v xml:space="preserve">HECTOR IBARGUEN CARMONA </v>
      </c>
      <c r="J1279" s="82" t="str">
        <v/>
      </c>
      <c r="K1279" t="str">
        <v>IACH540928HZSBRC01</v>
      </c>
      <c r="L1279" s="82">
        <v>24202032</v>
      </c>
      <c r="M1279" s="82">
        <v>5213511017007</v>
      </c>
      <c r="N1279" t="str">
        <v>NUEVO MAYOR</v>
      </c>
      <c r="O1279" s="89">
        <v>32632.39</v>
      </c>
      <c r="P1279" s="89" t="str">
        <v/>
      </c>
      <c r="Q1279" s="89">
        <v>9789.7169999999987</v>
      </c>
      <c r="R1279" s="89">
        <v>9789.7169999999987</v>
      </c>
      <c r="S1279" t="str">
        <v/>
      </c>
      <c r="T1279" t="str">
        <v/>
      </c>
      <c r="U1279" t="str">
        <v/>
      </c>
      <c r="V1279" t="str">
        <v>IRASEMA</v>
      </c>
      <c r="W1279">
        <v>46267</v>
      </c>
      <c r="X1279" t="str">
        <v/>
      </c>
    </row>
    <row r="1280" spans="1:24">
      <c r="A1280" s="26">
        <v>2500</v>
      </c>
      <c r="B1280" s="87">
        <v>46268.442557870403</v>
      </c>
      <c r="C1280" s="87">
        <v>46268.443368055603</v>
      </c>
      <c r="D1280" t="str">
        <v>anónimo</v>
      </c>
      <c r="E1280" t="str">
        <v/>
      </c>
      <c r="F1280" s="68">
        <v>46268</v>
      </c>
      <c r="G1280" s="88">
        <v>46268</v>
      </c>
      <c r="H1280" t="str">
        <v>BEATRIZ DE LA CRUZ</v>
      </c>
      <c r="I1280" t="str">
        <v>ERNESTO GUADALUPE SERNA GARCIA</v>
      </c>
      <c r="J1280" s="82" t="str">
        <v/>
      </c>
      <c r="K1280" t="str">
        <v>SEGE601107HZSRRR06</v>
      </c>
      <c r="L1280" s="82">
        <v>24209764</v>
      </c>
      <c r="M1280" s="82">
        <v>8184707021</v>
      </c>
      <c r="N1280" t="str">
        <v>COMPRA MAYOR</v>
      </c>
      <c r="O1280" s="89">
        <v>6116.76</v>
      </c>
      <c r="P1280" s="89">
        <v>1696.24</v>
      </c>
      <c r="Q1280" s="89">
        <v>1835.028</v>
      </c>
      <c r="R1280" s="89">
        <v>138.78800000000001</v>
      </c>
      <c r="S1280">
        <v>46266</v>
      </c>
      <c r="T1280" t="str">
        <v>INBURSA</v>
      </c>
      <c r="U1280">
        <v>1696.24</v>
      </c>
      <c r="V1280" t="str">
        <v>EDNA</v>
      </c>
      <c r="W1280">
        <v>46268</v>
      </c>
      <c r="X1280" t="str">
        <v/>
      </c>
    </row>
    <row r="1281" spans="1:24">
      <c r="A1281" s="26">
        <v>2501</v>
      </c>
      <c r="B1281" s="87">
        <v>46268.423391203702</v>
      </c>
      <c r="C1281" s="87">
        <v>46268.445034722201</v>
      </c>
      <c r="D1281" t="str">
        <v>anónimo</v>
      </c>
      <c r="E1281" t="str">
        <v/>
      </c>
      <c r="F1281" s="68">
        <v>46268</v>
      </c>
      <c r="G1281" s="88">
        <v>46268</v>
      </c>
      <c r="H1281" t="str">
        <v>ROSA CASTRO SUR</v>
      </c>
      <c r="I1281" t="str">
        <v xml:space="preserve">RANULFO GUZMAN TERESO </v>
      </c>
      <c r="J1281" s="82">
        <v>16886411947</v>
      </c>
      <c r="K1281" t="str">
        <v xml:space="preserve">GUTR640527HMCZRN08 </v>
      </c>
      <c r="L1281" s="82">
        <v>24215758</v>
      </c>
      <c r="M1281" s="82">
        <v>5217293087206</v>
      </c>
      <c r="N1281" t="str">
        <v>NUEVO MAYOR</v>
      </c>
      <c r="O1281" s="89">
        <v>9081.52</v>
      </c>
      <c r="P1281" s="89">
        <v>1499.56</v>
      </c>
      <c r="Q1281" s="89">
        <v>2724.4560000000001</v>
      </c>
      <c r="R1281" s="89">
        <v>1224.8960000000002</v>
      </c>
      <c r="S1281">
        <v>46631</v>
      </c>
      <c r="T1281" t="str">
        <v>PROFUTURO</v>
      </c>
      <c r="U1281">
        <v>1499.56</v>
      </c>
      <c r="V1281" t="str">
        <v>GLORIA</v>
      </c>
      <c r="W1281">
        <v>46268</v>
      </c>
      <c r="X1281" t="str">
        <v/>
      </c>
    </row>
    <row r="1282" spans="1:24">
      <c r="A1282" s="26">
        <v>2505</v>
      </c>
      <c r="B1282" s="87">
        <v>46268.450439814798</v>
      </c>
      <c r="C1282" s="87">
        <v>46268.454629629603</v>
      </c>
      <c r="D1282" t="str">
        <v>anónimo</v>
      </c>
      <c r="E1282" t="str">
        <v/>
      </c>
      <c r="F1282" s="68">
        <v>46268</v>
      </c>
      <c r="G1282" s="88">
        <v>46268</v>
      </c>
      <c r="H1282" t="str">
        <v>ROSA CASTRO SUR</v>
      </c>
      <c r="I1282" t="str">
        <v>ALFREDO MEDINA SILVA</v>
      </c>
      <c r="J1282" s="82" t="str">
        <v/>
      </c>
      <c r="K1282" t="str">
        <v>MESA610102HVZDLL08</v>
      </c>
      <c r="L1282" s="82">
        <v>24217048</v>
      </c>
      <c r="M1282" s="82">
        <v>5215580401192</v>
      </c>
      <c r="N1282" t="str">
        <v>NUEVO MENOR</v>
      </c>
      <c r="O1282" s="89">
        <v>43945.88</v>
      </c>
      <c r="P1282" s="89">
        <v>12698.78</v>
      </c>
      <c r="Q1282" s="89">
        <v>13183.763999999999</v>
      </c>
      <c r="R1282" s="89">
        <v>484.98399999999856</v>
      </c>
      <c r="S1282">
        <v>46419</v>
      </c>
      <c r="T1282" t="str">
        <v>INBURSA</v>
      </c>
      <c r="U1282">
        <v>12698.78</v>
      </c>
      <c r="V1282" t="str">
        <v>HANIA</v>
      </c>
      <c r="W1282">
        <v>46268</v>
      </c>
      <c r="X1282" t="str">
        <v/>
      </c>
    </row>
    <row r="1283" spans="1:24">
      <c r="A1283" s="26">
        <v>2506</v>
      </c>
      <c r="B1283" s="87">
        <v>46268.365856481498</v>
      </c>
      <c r="C1283" s="87">
        <v>46268.468402777798</v>
      </c>
      <c r="D1283" t="str">
        <v>anónimo</v>
      </c>
      <c r="E1283" t="str">
        <v/>
      </c>
      <c r="F1283" s="68">
        <v>46268</v>
      </c>
      <c r="G1283" s="88">
        <v>46268</v>
      </c>
      <c r="H1283" t="str">
        <v>YAMILETH CARDONA EXT 2</v>
      </c>
      <c r="I1283" t="str">
        <v>JESUS PALACIO ESTEVEZ</v>
      </c>
      <c r="J1283" s="82">
        <v>92886408373</v>
      </c>
      <c r="K1283" t="str">
        <v>PAEJ640529HDFLSS06</v>
      </c>
      <c r="L1283" s="82">
        <v>2</v>
      </c>
      <c r="M1283" s="82">
        <v>5544794862</v>
      </c>
      <c r="N1283" t="str">
        <v>NUEVO MAYOR</v>
      </c>
      <c r="O1283" s="89">
        <v>9760.32</v>
      </c>
      <c r="P1283" s="89" t="str">
        <v/>
      </c>
      <c r="Q1283" s="89">
        <v>2928.096</v>
      </c>
      <c r="R1283" s="89">
        <v>2928.096</v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</row>
    <row r="1284" spans="1:24">
      <c r="A1284" s="26">
        <v>2511</v>
      </c>
      <c r="B1284" s="87">
        <v>46268.491770833301</v>
      </c>
      <c r="C1284" s="87">
        <v>46268.492581018501</v>
      </c>
      <c r="D1284" t="str">
        <v>anónimo</v>
      </c>
      <c r="E1284" t="str">
        <v/>
      </c>
      <c r="F1284" s="68">
        <v>46268</v>
      </c>
      <c r="G1284" s="88">
        <v>46266</v>
      </c>
      <c r="H1284" t="str">
        <v>BEATRIZ DE LA CRUZ</v>
      </c>
      <c r="I1284" t="str">
        <v xml:space="preserve"> JOSE VENTURA DE LA PAZ MACEDO</v>
      </c>
      <c r="J1284" s="82" t="str">
        <v/>
      </c>
      <c r="K1284" t="str">
        <v>PAMV620714HMNZCN02</v>
      </c>
      <c r="L1284" s="82">
        <v>24156074</v>
      </c>
      <c r="M1284" s="82">
        <v>4439378925</v>
      </c>
      <c r="N1284" t="str">
        <v>NUEVO MAYOR</v>
      </c>
      <c r="O1284" s="89">
        <v>7116.73</v>
      </c>
      <c r="P1284" s="89" t="str">
        <v/>
      </c>
      <c r="Q1284" s="89">
        <v>2135.0189999999998</v>
      </c>
      <c r="R1284" s="89">
        <v>2135.0189999999998</v>
      </c>
      <c r="S1284" t="str">
        <v/>
      </c>
      <c r="T1284" t="str">
        <v/>
      </c>
      <c r="U1284" t="str">
        <v/>
      </c>
      <c r="V1284" t="str">
        <v>PAOLA</v>
      </c>
      <c r="W1284">
        <v>46268</v>
      </c>
      <c r="X1284" t="str">
        <v/>
      </c>
    </row>
    <row r="1285" spans="1:24">
      <c r="A1285" s="26">
        <v>2513</v>
      </c>
      <c r="B1285" s="87">
        <v>46268.513715277797</v>
      </c>
      <c r="C1285" s="87">
        <v>46268.517997685201</v>
      </c>
      <c r="D1285" t="str">
        <v>anónimo</v>
      </c>
      <c r="E1285" t="str">
        <v/>
      </c>
      <c r="F1285" s="68">
        <v>46268</v>
      </c>
      <c r="G1285" s="88">
        <v>46267</v>
      </c>
      <c r="H1285" t="str">
        <v>RUTH MARTINEZ SUR</v>
      </c>
      <c r="I1285" t="str">
        <v>SANTIAGO ESQUIVEL MORENO</v>
      </c>
      <c r="J1285" s="82" t="str">
        <v/>
      </c>
      <c r="K1285" t="str">
        <v>EUMS620725HMCSRN04</v>
      </c>
      <c r="L1285" s="82">
        <v>24194094</v>
      </c>
      <c r="M1285" s="82">
        <v>5217293488555</v>
      </c>
      <c r="N1285" t="str">
        <v>NUEVO MAYOR</v>
      </c>
      <c r="O1285" s="89">
        <v>7144.18</v>
      </c>
      <c r="P1285" s="89" t="str">
        <v/>
      </c>
      <c r="Q1285" s="89">
        <v>2143.2539999999999</v>
      </c>
      <c r="R1285" s="89">
        <v>2143.2539999999999</v>
      </c>
      <c r="S1285" t="str">
        <v/>
      </c>
      <c r="T1285" t="str">
        <v/>
      </c>
      <c r="U1285" t="str">
        <v/>
      </c>
      <c r="V1285" t="str">
        <v>PAOLA</v>
      </c>
      <c r="W1285">
        <v>46268</v>
      </c>
      <c r="X1285" t="str">
        <v/>
      </c>
    </row>
    <row r="1286" spans="1:24">
      <c r="A1286" s="26">
        <v>2514</v>
      </c>
      <c r="B1286" s="87">
        <v>46268.5160763889</v>
      </c>
      <c r="C1286" s="87">
        <v>46268.518298611103</v>
      </c>
      <c r="D1286" t="str">
        <v>anónimo</v>
      </c>
      <c r="E1286" t="str">
        <v/>
      </c>
      <c r="F1286" s="68">
        <v>46268</v>
      </c>
      <c r="G1286" s="88">
        <v>46266</v>
      </c>
      <c r="H1286" t="str">
        <v>MAYTE NAVARRO</v>
      </c>
      <c r="I1286" t="str">
        <v>JOSE FERNANDO MURILLO VALDEZ</v>
      </c>
      <c r="J1286" s="82" t="str">
        <v/>
      </c>
      <c r="K1286" t="str">
        <v>MUVF650427HSLRLR01</v>
      </c>
      <c r="L1286" s="82">
        <v>24156734</v>
      </c>
      <c r="M1286" s="82">
        <v>4495466909</v>
      </c>
      <c r="N1286" t="str">
        <v>NUEVO MAYOR</v>
      </c>
      <c r="O1286" s="89">
        <v>10636.54</v>
      </c>
      <c r="P1286" s="89" t="str">
        <v/>
      </c>
      <c r="Q1286" s="89">
        <v>3190.962</v>
      </c>
      <c r="R1286" s="89">
        <v>3190.962</v>
      </c>
      <c r="S1286" t="str">
        <v/>
      </c>
      <c r="T1286" t="str">
        <v/>
      </c>
      <c r="U1286" t="str">
        <v/>
      </c>
      <c r="V1286" t="str">
        <v>ANA</v>
      </c>
      <c r="W1286">
        <v>46268</v>
      </c>
      <c r="X1286" t="str">
        <v/>
      </c>
    </row>
    <row r="1287" spans="1:24">
      <c r="A1287" s="26">
        <v>2516</v>
      </c>
      <c r="B1287" s="87">
        <v>46268.534745370402</v>
      </c>
      <c r="C1287" s="87">
        <v>46268.535752314798</v>
      </c>
      <c r="D1287" t="str">
        <v>anónimo</v>
      </c>
      <c r="E1287" t="str">
        <v/>
      </c>
      <c r="F1287" s="68">
        <v>46268</v>
      </c>
      <c r="G1287" s="88">
        <v>46247</v>
      </c>
      <c r="H1287" t="str">
        <v>GIOVANNI MELGAR</v>
      </c>
      <c r="I1287" t="str">
        <v>ARTURO MEZA</v>
      </c>
      <c r="J1287" s="82" t="str">
        <v xml:space="preserve">12856506352
</v>
      </c>
      <c r="K1287" t="str">
        <v>MEXA650101HGTZXR05</v>
      </c>
      <c r="L1287" s="82">
        <v>23617548</v>
      </c>
      <c r="M1287" s="82">
        <v>5214774091654</v>
      </c>
      <c r="N1287" t="str">
        <v>NUEVO MAYOR</v>
      </c>
      <c r="O1287" s="89">
        <v>10171.24</v>
      </c>
      <c r="P1287" s="89" t="str">
        <v/>
      </c>
      <c r="Q1287" s="89">
        <v>3051.3719999999998</v>
      </c>
      <c r="R1287" s="89">
        <v>3051.3719999999998</v>
      </c>
      <c r="S1287" t="str">
        <v/>
      </c>
      <c r="T1287" t="str">
        <v/>
      </c>
      <c r="U1287" t="str">
        <v/>
      </c>
      <c r="V1287" t="str">
        <v>MIRIAM</v>
      </c>
      <c r="W1287">
        <v>46268</v>
      </c>
      <c r="X1287" t="str">
        <v/>
      </c>
    </row>
    <row r="1288" spans="1:24">
      <c r="A1288" s="26">
        <v>2519</v>
      </c>
      <c r="B1288" s="87">
        <v>46268.519652777803</v>
      </c>
      <c r="C1288" s="87">
        <v>46268.541238425903</v>
      </c>
      <c r="D1288" t="str">
        <v>anónimo</v>
      </c>
      <c r="E1288" t="str">
        <v/>
      </c>
      <c r="F1288" s="68">
        <v>46268</v>
      </c>
      <c r="G1288" s="88">
        <v>46268</v>
      </c>
      <c r="H1288" t="str">
        <v>RUTH MARTINEZ SUR</v>
      </c>
      <c r="I1288" t="str">
        <v>JOSE GUADALUPE AVILA OLVERA</v>
      </c>
      <c r="J1288" s="82" t="str">
        <v/>
      </c>
      <c r="K1288" t="str">
        <v>AIOG611212HMSVLD08</v>
      </c>
      <c r="L1288" s="82">
        <v>24207466</v>
      </c>
      <c r="M1288" s="82">
        <v>5217773012399</v>
      </c>
      <c r="N1288" t="str">
        <v>NUEVO MAYOR</v>
      </c>
      <c r="O1288" s="89">
        <v>7640.52</v>
      </c>
      <c r="P1288" s="89">
        <v>848</v>
      </c>
      <c r="Q1288" s="89">
        <v>2292.1559999999999</v>
      </c>
      <c r="R1288" s="89">
        <v>1444.1559999999999</v>
      </c>
      <c r="S1288" t="str">
        <v/>
      </c>
      <c r="T1288" t="str">
        <v/>
      </c>
      <c r="U1288" t="str">
        <v/>
      </c>
      <c r="V1288" t="str">
        <v>KARINA</v>
      </c>
      <c r="W1288">
        <v>46268</v>
      </c>
      <c r="X1288" t="str">
        <v/>
      </c>
    </row>
    <row r="1289" spans="1:24">
      <c r="A1289" s="26">
        <v>2521</v>
      </c>
      <c r="B1289" s="87">
        <v>46268.571446759299</v>
      </c>
      <c r="C1289" s="87">
        <v>46268.572175925903</v>
      </c>
      <c r="D1289" t="str">
        <v>anónimo</v>
      </c>
      <c r="E1289" t="str">
        <v/>
      </c>
      <c r="F1289" s="68">
        <v>46268</v>
      </c>
      <c r="G1289" s="88">
        <v>46267</v>
      </c>
      <c r="H1289" t="str">
        <v>BEATRIZ DE LA CRUZ</v>
      </c>
      <c r="I1289" t="str">
        <v>ERNESTINA ZAMORA VEGA</v>
      </c>
      <c r="J1289" s="82" t="str">
        <v/>
      </c>
      <c r="K1289" t="str">
        <v>ZAVE660606MSLMGR05</v>
      </c>
      <c r="L1289" s="82">
        <v>24204480</v>
      </c>
      <c r="M1289" s="82">
        <v>6672088433</v>
      </c>
      <c r="N1289" t="str">
        <v>NUEVO MAYOR</v>
      </c>
      <c r="O1289" s="89">
        <v>10636.54</v>
      </c>
      <c r="P1289" s="89" t="str">
        <v/>
      </c>
      <c r="Q1289" s="89">
        <v>3190.962</v>
      </c>
      <c r="R1289" s="89">
        <v>3190.962</v>
      </c>
      <c r="S1289" t="str">
        <v/>
      </c>
      <c r="T1289" t="str">
        <v/>
      </c>
      <c r="U1289" t="str">
        <v/>
      </c>
      <c r="V1289" t="str">
        <v>ITZELH</v>
      </c>
      <c r="W1289">
        <v>46268</v>
      </c>
      <c r="X1289" t="str">
        <v/>
      </c>
    </row>
    <row r="1290" spans="1:24">
      <c r="A1290" s="26">
        <v>2523</v>
      </c>
      <c r="B1290" s="87">
        <v>46268.588888888902</v>
      </c>
      <c r="C1290" s="87">
        <v>46268.589629629598</v>
      </c>
      <c r="D1290" t="str">
        <v>anónimo</v>
      </c>
      <c r="E1290" t="str">
        <v/>
      </c>
      <c r="F1290" s="68">
        <v>46268</v>
      </c>
      <c r="G1290" s="88">
        <v>46267</v>
      </c>
      <c r="H1290" t="str">
        <v>MAYTE NAVARRO</v>
      </c>
      <c r="I1290" t="str">
        <v>JOSE DE JESUS PEREZ GUTIERREZ</v>
      </c>
      <c r="J1290" s="82" t="str">
        <v/>
      </c>
      <c r="K1290" t="str">
        <v>PEGJ640723HGTRTS08</v>
      </c>
      <c r="L1290" s="82">
        <v>24206450</v>
      </c>
      <c r="M1290" s="82">
        <v>4771327985</v>
      </c>
      <c r="N1290" t="str">
        <v>NUEVO MAYOR</v>
      </c>
      <c r="O1290" s="89">
        <v>37113.620000000003</v>
      </c>
      <c r="P1290" s="89">
        <v>6190.84</v>
      </c>
      <c r="Q1290" s="89">
        <v>11134.086000000001</v>
      </c>
      <c r="R1290" s="89">
        <v>4943.246000000001</v>
      </c>
      <c r="S1290">
        <v>46935</v>
      </c>
      <c r="T1290" t="str">
        <v>CONSUBANCO</v>
      </c>
      <c r="U1290" t="str">
        <v/>
      </c>
      <c r="V1290" t="str">
        <v>MIRIAM</v>
      </c>
      <c r="W1290">
        <v>46268</v>
      </c>
      <c r="X1290" t="str">
        <v/>
      </c>
    </row>
    <row r="1291" spans="1:24">
      <c r="A1291" s="26">
        <v>2527</v>
      </c>
      <c r="B1291" s="87">
        <v>46268.624224537001</v>
      </c>
      <c r="C1291" s="87">
        <v>46268.634062500001</v>
      </c>
      <c r="D1291" t="str">
        <v>anónimo</v>
      </c>
      <c r="E1291" t="str">
        <v/>
      </c>
      <c r="F1291" s="68">
        <v>46268</v>
      </c>
      <c r="G1291" s="88">
        <v>46267</v>
      </c>
      <c r="H1291" t="str">
        <v>LIDIA GARZA</v>
      </c>
      <c r="I1291" t="str">
        <v>Enrique Ruiz Abarca</v>
      </c>
      <c r="J1291" s="82" t="str">
        <v xml:space="preserve">78796110779
</v>
      </c>
      <c r="K1291" t="str">
        <v>RUAE630715HCSZBN07</v>
      </c>
      <c r="L1291" s="82">
        <v>24207116</v>
      </c>
      <c r="M1291" s="82">
        <v>5219626990257</v>
      </c>
      <c r="N1291" t="str">
        <v>NUEVO MAYOR</v>
      </c>
      <c r="O1291" s="89">
        <v>11556.65</v>
      </c>
      <c r="P1291" s="89" t="str">
        <v/>
      </c>
      <c r="Q1291" s="89">
        <v>3466.9949999999999</v>
      </c>
      <c r="R1291" s="89">
        <v>3466.9949999999999</v>
      </c>
      <c r="S1291" t="str">
        <v/>
      </c>
      <c r="T1291" t="str">
        <v/>
      </c>
      <c r="U1291" t="str">
        <v/>
      </c>
      <c r="V1291" t="str">
        <v>ANA</v>
      </c>
      <c r="W1291">
        <v>46268</v>
      </c>
      <c r="X1291" t="str">
        <v/>
      </c>
    </row>
    <row r="1292" spans="1:24">
      <c r="A1292" s="26">
        <v>2532</v>
      </c>
      <c r="B1292" s="87">
        <v>46268.530775462998</v>
      </c>
      <c r="C1292" s="87">
        <v>46268.649884259299</v>
      </c>
      <c r="D1292" t="str">
        <v>anónimo</v>
      </c>
      <c r="E1292" t="str">
        <v/>
      </c>
      <c r="F1292" s="68">
        <v>46268</v>
      </c>
      <c r="G1292" s="88">
        <v>46268</v>
      </c>
      <c r="H1292" t="str">
        <v>ROSA CASTRO SUR</v>
      </c>
      <c r="I1292" t="str">
        <v xml:space="preserve">JESUS GUERRERO MORALES </v>
      </c>
      <c r="J1292" s="82">
        <v>72675111222</v>
      </c>
      <c r="K1292" t="str">
        <v>GUMJ520301HGRRRS05</v>
      </c>
      <c r="L1292" s="82">
        <v>24203946</v>
      </c>
      <c r="M1292" s="82">
        <v>5217441794727</v>
      </c>
      <c r="N1292" t="str">
        <v>NUEVO MAYOR</v>
      </c>
      <c r="O1292" s="89">
        <v>20631.71</v>
      </c>
      <c r="P1292" s="89" t="str">
        <v/>
      </c>
      <c r="Q1292" s="89">
        <v>6189.5129999999999</v>
      </c>
      <c r="R1292" s="89">
        <v>6189.5129999999999</v>
      </c>
      <c r="S1292" t="str">
        <v/>
      </c>
      <c r="T1292" t="str">
        <v/>
      </c>
      <c r="U1292" t="str">
        <v/>
      </c>
      <c r="V1292" t="str">
        <v>ITZELH</v>
      </c>
      <c r="W1292">
        <v>46268</v>
      </c>
      <c r="X1292" t="str">
        <v/>
      </c>
    </row>
    <row r="1293" spans="1:24">
      <c r="A1293" s="26">
        <v>2534</v>
      </c>
      <c r="B1293" s="87">
        <v>46268.680821759299</v>
      </c>
      <c r="C1293" s="87">
        <v>46268.681516203702</v>
      </c>
      <c r="D1293" t="str">
        <v>anónimo</v>
      </c>
      <c r="E1293" t="str">
        <v/>
      </c>
      <c r="F1293" s="68">
        <v>46268</v>
      </c>
      <c r="G1293" s="88">
        <v>46268</v>
      </c>
      <c r="H1293" t="str">
        <v>MAYTE NAVARRO</v>
      </c>
      <c r="I1293" t="str">
        <v>ALFREDO ARROYO ESTRELLA</v>
      </c>
      <c r="J1293" s="82" t="str">
        <v/>
      </c>
      <c r="K1293" t="str">
        <v>AOEA740621HGTRSL09</v>
      </c>
      <c r="L1293" s="82">
        <v>24227018</v>
      </c>
      <c r="M1293" s="82">
        <v>4611268683</v>
      </c>
      <c r="N1293" t="str">
        <v>NUEVO MAYOR</v>
      </c>
      <c r="O1293" s="89">
        <v>10611.5</v>
      </c>
      <c r="P1293" s="89" t="str">
        <v/>
      </c>
      <c r="Q1293" s="89">
        <v>3183.45</v>
      </c>
      <c r="R1293" s="89">
        <v>3183.45</v>
      </c>
      <c r="S1293" t="str">
        <v/>
      </c>
      <c r="T1293" t="str">
        <v/>
      </c>
      <c r="U1293" t="str">
        <v/>
      </c>
      <c r="V1293" t="str">
        <v>IRASEMA</v>
      </c>
      <c r="W1293">
        <v>46268</v>
      </c>
      <c r="X1293" t="str">
        <v/>
      </c>
    </row>
    <row r="1294" spans="1:24">
      <c r="A1294" s="26">
        <v>2537</v>
      </c>
      <c r="B1294" s="87">
        <v>46268.541273148097</v>
      </c>
      <c r="C1294" s="87">
        <v>46268.708703703698</v>
      </c>
      <c r="D1294" t="str">
        <v>anónimo</v>
      </c>
      <c r="E1294" t="str">
        <v/>
      </c>
      <c r="F1294" s="68">
        <v>46268</v>
      </c>
      <c r="G1294" s="88">
        <v>46268</v>
      </c>
      <c r="H1294" t="str">
        <v>RUTH MARTINEZ SUR</v>
      </c>
      <c r="I1294" t="str">
        <v>MARIA ESTHER DIAZ YAÑEZ</v>
      </c>
      <c r="J1294" s="82">
        <v>65965911590</v>
      </c>
      <c r="K1294" t="str">
        <v>DIYE591109MVZZXS00</v>
      </c>
      <c r="L1294" s="82">
        <v>24227606</v>
      </c>
      <c r="M1294" s="82">
        <v>5217821183727</v>
      </c>
      <c r="N1294" t="str">
        <v>NUEVO MENOR</v>
      </c>
      <c r="O1294" s="89">
        <v>4813.6899999999996</v>
      </c>
      <c r="P1294" s="89" t="str">
        <v/>
      </c>
      <c r="Q1294" s="89">
        <v>1444.1069999999997</v>
      </c>
      <c r="R1294" s="89">
        <v>640.71</v>
      </c>
      <c r="S1294" t="str">
        <v/>
      </c>
      <c r="T1294" t="str">
        <v/>
      </c>
      <c r="U1294" t="str">
        <v/>
      </c>
      <c r="V1294" t="str">
        <v>HECTOR</v>
      </c>
      <c r="W1294">
        <v>46268</v>
      </c>
      <c r="X1294" t="str">
        <v/>
      </c>
    </row>
    <row r="1295" spans="1:24">
      <c r="A1295" s="26">
        <v>2538</v>
      </c>
      <c r="B1295" s="87">
        <v>46268.656932870399</v>
      </c>
      <c r="C1295" s="87">
        <v>46268.708715277797</v>
      </c>
      <c r="D1295" t="str">
        <v>anónimo</v>
      </c>
      <c r="E1295" t="str">
        <v/>
      </c>
      <c r="F1295" s="68">
        <v>46268</v>
      </c>
      <c r="G1295" s="88">
        <v>46268</v>
      </c>
      <c r="H1295" t="str">
        <v>ROSA CASTRO SUR</v>
      </c>
      <c r="I1295" t="str">
        <v>ROMUALDO CHACON PERALES</v>
      </c>
      <c r="J1295" s="82" t="str">
        <v/>
      </c>
      <c r="K1295" t="str">
        <v>CAPR600207HNLHRM03</v>
      </c>
      <c r="L1295" s="82">
        <v>24226576</v>
      </c>
      <c r="M1295" s="82">
        <v>5218113875060</v>
      </c>
      <c r="N1295" t="str">
        <v>COMPRA MAYOR</v>
      </c>
      <c r="O1295" s="89">
        <v>27772.47</v>
      </c>
      <c r="P1295" s="89">
        <v>8032.26</v>
      </c>
      <c r="Q1295" s="89">
        <v>8331.741</v>
      </c>
      <c r="R1295" s="89">
        <v>299.48099999999977</v>
      </c>
      <c r="S1295">
        <v>46266</v>
      </c>
      <c r="T1295" t="str">
        <v>MULTIVA</v>
      </c>
      <c r="U1295">
        <v>2093.4699999999998</v>
      </c>
      <c r="V1295" t="str">
        <v>EDNA</v>
      </c>
      <c r="W1295">
        <v>46268</v>
      </c>
      <c r="X1295" t="str">
        <v/>
      </c>
    </row>
    <row r="1296" spans="1:24">
      <c r="A1296" s="26">
        <v>2539</v>
      </c>
      <c r="B1296" s="87">
        <v>46268.707835648202</v>
      </c>
      <c r="C1296" s="87">
        <v>46268.708761574097</v>
      </c>
      <c r="D1296" t="str">
        <v>anónimo</v>
      </c>
      <c r="E1296" t="str">
        <v/>
      </c>
      <c r="F1296" s="68">
        <v>46268</v>
      </c>
      <c r="G1296" s="88">
        <v>46267</v>
      </c>
      <c r="H1296" t="str">
        <v>MAYTE NAVARRO</v>
      </c>
      <c r="I1296" t="str">
        <v xml:space="preserve">ABELARDO VALDIVIA SANDOVAL </v>
      </c>
      <c r="J1296" s="82" t="str">
        <v/>
      </c>
      <c r="K1296" t="str">
        <v>VASA630107HNLLNB00</v>
      </c>
      <c r="L1296" s="82">
        <v>24200218</v>
      </c>
      <c r="M1296" s="82">
        <v>8180918862</v>
      </c>
      <c r="N1296" t="str">
        <v>NUEVO MENOR</v>
      </c>
      <c r="O1296" s="89">
        <v>41653.39</v>
      </c>
      <c r="P1296" s="89">
        <v>11584.38</v>
      </c>
      <c r="Q1296" s="89">
        <v>12496.017</v>
      </c>
      <c r="R1296" s="89">
        <v>911.63700000000063</v>
      </c>
      <c r="S1296">
        <v>46388</v>
      </c>
      <c r="T1296" t="str">
        <v>FORTALEZA</v>
      </c>
      <c r="U1296">
        <v>1212.72</v>
      </c>
      <c r="V1296" t="str">
        <v>HANIA</v>
      </c>
      <c r="W1296">
        <v>46268</v>
      </c>
      <c r="X1296" t="str">
        <v/>
      </c>
    </row>
    <row r="1297" spans="1:24">
      <c r="A1297" s="26">
        <v>2540</v>
      </c>
      <c r="B1297" s="87">
        <v>46268.715324074103</v>
      </c>
      <c r="C1297" s="87">
        <v>46268.716041666703</v>
      </c>
      <c r="D1297" t="str">
        <v>anónimo</v>
      </c>
      <c r="E1297" t="str">
        <v/>
      </c>
      <c r="F1297" s="68">
        <v>46268</v>
      </c>
      <c r="G1297" s="88">
        <v>46266</v>
      </c>
      <c r="H1297" t="str">
        <v>MAYTE NAVARRO</v>
      </c>
      <c r="I1297" t="str">
        <v>VICENTE BELTRAN SERRANO</v>
      </c>
      <c r="J1297" s="82" t="str">
        <v/>
      </c>
      <c r="K1297" t="str">
        <v>BESV631202HDFLRC05</v>
      </c>
      <c r="L1297" s="82">
        <v>24158100</v>
      </c>
      <c r="M1297" s="82">
        <v>5518459927</v>
      </c>
      <c r="N1297" t="str">
        <v>NUEVO MAYOR</v>
      </c>
      <c r="O1297" s="89">
        <v>15349.3</v>
      </c>
      <c r="P1297" s="89" t="str">
        <v/>
      </c>
      <c r="Q1297" s="89">
        <v>4604.79</v>
      </c>
      <c r="R1297" s="89">
        <v>4604.79</v>
      </c>
      <c r="S1297" t="str">
        <v/>
      </c>
      <c r="T1297" t="str">
        <v/>
      </c>
      <c r="U1297" t="str">
        <v/>
      </c>
      <c r="V1297" t="str">
        <v>MIRIAM</v>
      </c>
      <c r="W1297">
        <v>46268</v>
      </c>
      <c r="X1297" t="str">
        <v/>
      </c>
    </row>
    <row r="1298" spans="1:24">
      <c r="A1298" s="26">
        <v>2541</v>
      </c>
      <c r="B1298" s="87">
        <v>46268.715775463003</v>
      </c>
      <c r="C1298" s="87">
        <v>46268.717118055603</v>
      </c>
      <c r="D1298" t="str">
        <v>anónimo</v>
      </c>
      <c r="E1298" t="str">
        <v/>
      </c>
      <c r="F1298" s="68">
        <v>46268</v>
      </c>
      <c r="G1298" s="88">
        <v>46268</v>
      </c>
      <c r="H1298" t="str">
        <v>GIOVANNI MELGAR</v>
      </c>
      <c r="I1298" t="str">
        <v>VICTOR MARTIN VELEZ HERNANDEZ</v>
      </c>
      <c r="J1298" s="82" t="str">
        <v/>
      </c>
      <c r="K1298" t="str">
        <v>VEHV641229HDFLRC03</v>
      </c>
      <c r="L1298" s="82">
        <v>24220810</v>
      </c>
      <c r="M1298" s="82">
        <v>5212292683184</v>
      </c>
      <c r="N1298" t="str">
        <v>NUEVO MENOR</v>
      </c>
      <c r="O1298" s="89">
        <v>4655.9799999999996</v>
      </c>
      <c r="P1298" s="89" t="str">
        <v/>
      </c>
      <c r="Q1298" s="89">
        <v>1396.7939999999999</v>
      </c>
      <c r="R1298" s="89">
        <v>483</v>
      </c>
      <c r="S1298" t="str">
        <v/>
      </c>
      <c r="T1298" t="str">
        <v/>
      </c>
      <c r="U1298" t="str">
        <v/>
      </c>
      <c r="V1298" t="str">
        <v>HECTOR</v>
      </c>
      <c r="W1298">
        <v>46268</v>
      </c>
      <c r="X1298" t="str">
        <v/>
      </c>
    </row>
    <row r="1299" spans="1:24">
      <c r="A1299" s="26">
        <v>2544</v>
      </c>
      <c r="B1299" s="87">
        <v>46268.6492939815</v>
      </c>
      <c r="C1299" s="87">
        <v>46268.735717592601</v>
      </c>
      <c r="D1299" t="str">
        <v>anónimo</v>
      </c>
      <c r="E1299" t="str">
        <v/>
      </c>
      <c r="F1299" s="68">
        <v>46268</v>
      </c>
      <c r="G1299" s="88">
        <v>46268</v>
      </c>
      <c r="H1299" t="str">
        <v>YAMILETH CARDONA EXT 2</v>
      </c>
      <c r="I1299" t="str">
        <v>EDUARDO ACEVEDO PORTILLA</v>
      </c>
      <c r="J1299" s="82">
        <v>67806237359</v>
      </c>
      <c r="K1299" t="str">
        <v>AEPE620318HVZCRD04</v>
      </c>
      <c r="L1299" s="82">
        <v>2</v>
      </c>
      <c r="M1299" s="82" t="str">
        <v>81 3418 4962</v>
      </c>
      <c r="N1299" t="str">
        <v>COMPRA MAYOR</v>
      </c>
      <c r="O1299" s="89">
        <v>7116.73</v>
      </c>
      <c r="P1299" s="89">
        <v>2135.02</v>
      </c>
      <c r="Q1299" s="89">
        <v>2135.0189999999998</v>
      </c>
      <c r="R1299" s="89">
        <v>-1.0000000002037268E-3</v>
      </c>
      <c r="S1299">
        <v>46266</v>
      </c>
      <c r="T1299" t="str">
        <v>FORTALEZA</v>
      </c>
      <c r="U1299">
        <v>1417.34</v>
      </c>
      <c r="V1299" t="str">
        <v/>
      </c>
      <c r="W1299" t="str">
        <v/>
      </c>
      <c r="X1299" t="str">
        <v/>
      </c>
    </row>
    <row r="1300" spans="1:24">
      <c r="A1300" s="26">
        <v>2545</v>
      </c>
      <c r="B1300" s="87">
        <v>46268.7359490741</v>
      </c>
      <c r="C1300" s="87">
        <v>46268.736655092602</v>
      </c>
      <c r="D1300" t="str">
        <v>anónimo</v>
      </c>
      <c r="E1300" t="str">
        <v/>
      </c>
      <c r="F1300" s="68">
        <v>46268</v>
      </c>
      <c r="G1300" s="88">
        <v>46268</v>
      </c>
      <c r="H1300" t="str">
        <v>GIOVANNI MELGAR</v>
      </c>
      <c r="I1300" t="str">
        <v>CARLOS SANCHEZ FERRO</v>
      </c>
      <c r="J1300" s="82" t="str">
        <v xml:space="preserve">49866869446
</v>
      </c>
      <c r="K1300" t="str">
        <v>SAFC680313HTSNRR09</v>
      </c>
      <c r="L1300" s="82">
        <v>24228128</v>
      </c>
      <c r="M1300" s="82">
        <v>5218991198526</v>
      </c>
      <c r="N1300" t="str">
        <v>NUEVO MAYOR</v>
      </c>
      <c r="O1300" s="89">
        <v>14761.91</v>
      </c>
      <c r="P1300" s="89" t="str">
        <v/>
      </c>
      <c r="Q1300" s="89">
        <v>4428.5729999999994</v>
      </c>
      <c r="R1300" s="89">
        <v>4428.5729999999994</v>
      </c>
      <c r="S1300" t="str">
        <v/>
      </c>
      <c r="T1300" t="str">
        <v/>
      </c>
      <c r="U1300" t="str">
        <v/>
      </c>
      <c r="V1300" t="str">
        <v>ITZELH</v>
      </c>
      <c r="W1300">
        <v>46268</v>
      </c>
      <c r="X1300" t="str">
        <v/>
      </c>
    </row>
    <row r="1301" spans="1:24">
      <c r="A1301" s="26">
        <v>2547</v>
      </c>
      <c r="B1301" s="87">
        <v>46268.743981481501</v>
      </c>
      <c r="C1301" s="87">
        <v>46268.7664814815</v>
      </c>
      <c r="D1301" t="str">
        <v>anónimo</v>
      </c>
      <c r="E1301" t="str">
        <v/>
      </c>
      <c r="F1301" s="68">
        <v>46268</v>
      </c>
      <c r="G1301" s="88">
        <v>46268</v>
      </c>
      <c r="H1301" t="str">
        <v>RUTH MARTINEZ SUR</v>
      </c>
      <c r="I1301" t="str">
        <v>SERGIO ROJAS CASTAÑEDA</v>
      </c>
      <c r="J1301" s="82" t="str">
        <v/>
      </c>
      <c r="K1301" t="str">
        <v>ROCS610915HGRJSR02</v>
      </c>
      <c r="L1301" s="82">
        <v>24227570</v>
      </c>
      <c r="M1301" s="82">
        <v>5217531714304</v>
      </c>
      <c r="N1301" t="str">
        <v>NUEVO MAYOR</v>
      </c>
      <c r="O1301" s="89">
        <v>10636.54</v>
      </c>
      <c r="P1301" s="89" t="str">
        <v/>
      </c>
      <c r="Q1301" s="89">
        <v>3190.962</v>
      </c>
      <c r="R1301" s="89">
        <v>3190.962</v>
      </c>
      <c r="S1301" t="str">
        <v/>
      </c>
      <c r="T1301" t="str">
        <v/>
      </c>
      <c r="U1301" t="str">
        <v/>
      </c>
      <c r="V1301" t="str">
        <v>MIRIAM</v>
      </c>
      <c r="W1301">
        <v>46268</v>
      </c>
      <c r="X1301" t="str">
        <v/>
      </c>
    </row>
    <row r="1302" spans="1:24">
      <c r="A1302" s="26">
        <v>2548</v>
      </c>
      <c r="B1302" s="87">
        <v>46269.3835763889</v>
      </c>
      <c r="C1302" s="87">
        <v>46269.396226851903</v>
      </c>
      <c r="D1302" t="str">
        <v>anónimo</v>
      </c>
      <c r="E1302" t="str">
        <v/>
      </c>
      <c r="F1302" s="68">
        <v>46269</v>
      </c>
      <c r="G1302" s="88">
        <v>46268</v>
      </c>
      <c r="H1302" t="str">
        <v>ROSA CASTRO SUR</v>
      </c>
      <c r="I1302" t="str">
        <v xml:space="preserve">LORENA ZUÑIGA JERONIMO </v>
      </c>
      <c r="J1302" s="82">
        <v>49816437963</v>
      </c>
      <c r="K1302" t="str">
        <v>ZUJL680401MTSXRR17</v>
      </c>
      <c r="L1302" s="82">
        <v>24223350</v>
      </c>
      <c r="M1302" s="82">
        <v>5218342451655</v>
      </c>
      <c r="N1302" t="str">
        <v>COMPRA MENOR</v>
      </c>
      <c r="O1302" s="89">
        <v>8867.99</v>
      </c>
      <c r="P1302" s="89">
        <v>2565.4299999999998</v>
      </c>
      <c r="Q1302" s="89">
        <v>2660.3969999999999</v>
      </c>
      <c r="R1302" s="89">
        <v>94.967000000000098</v>
      </c>
      <c r="S1302">
        <v>46113</v>
      </c>
      <c r="T1302" t="str">
        <v>BARACAF</v>
      </c>
      <c r="U1302">
        <v>375.35</v>
      </c>
      <c r="V1302" t="str">
        <v>HECTOR</v>
      </c>
      <c r="W1302">
        <v>46269</v>
      </c>
      <c r="X1302" t="str">
        <v/>
      </c>
    </row>
    <row r="1303" spans="1:24">
      <c r="A1303" s="26">
        <v>2551</v>
      </c>
      <c r="B1303" s="87">
        <v>46269.400717592602</v>
      </c>
      <c r="C1303" s="87">
        <v>46269.4070601852</v>
      </c>
      <c r="D1303" t="str">
        <v>anónimo</v>
      </c>
      <c r="E1303" t="str">
        <v/>
      </c>
      <c r="F1303" s="68">
        <v>46269</v>
      </c>
      <c r="G1303" s="88">
        <v>46268</v>
      </c>
      <c r="H1303" t="str">
        <v>GIOVANNI MELGAR</v>
      </c>
      <c r="I1303" t="str">
        <v>VICENTE ROMAN PALOMO</v>
      </c>
      <c r="J1303" s="82" t="str">
        <v xml:space="preserve">43795726058
</v>
      </c>
      <c r="K1303" t="str">
        <v>ROPV570719HNLMLC03</v>
      </c>
      <c r="L1303" s="82">
        <v>24230346</v>
      </c>
      <c r="M1303" s="82">
        <v>5218140070510</v>
      </c>
      <c r="N1303" t="str">
        <v>COMPRA MAYOR</v>
      </c>
      <c r="O1303" s="89">
        <v>9081.52</v>
      </c>
      <c r="P1303" s="89">
        <v>2521.35</v>
      </c>
      <c r="Q1303" s="89">
        <v>2724.4560000000001</v>
      </c>
      <c r="R1303" s="89">
        <v>203.10600000000022</v>
      </c>
      <c r="S1303">
        <v>46204</v>
      </c>
      <c r="T1303" t="str">
        <v>DIMEX</v>
      </c>
      <c r="U1303">
        <v>2521.35</v>
      </c>
      <c r="V1303" t="str">
        <v>FERNANDA</v>
      </c>
      <c r="W1303">
        <v>46269</v>
      </c>
      <c r="X1303" t="str">
        <v/>
      </c>
    </row>
    <row r="1304" spans="1:24">
      <c r="A1304" s="26">
        <v>2553</v>
      </c>
      <c r="B1304" s="87">
        <v>46269.419594907398</v>
      </c>
      <c r="C1304" s="87">
        <v>46269.421087962997</v>
      </c>
      <c r="D1304" t="str">
        <v>anónimo</v>
      </c>
      <c r="E1304" t="str">
        <v/>
      </c>
      <c r="F1304" s="68">
        <v>46269</v>
      </c>
      <c r="G1304" s="88">
        <v>46230</v>
      </c>
      <c r="H1304" t="str">
        <v>GIOVANNI MELGAR</v>
      </c>
      <c r="I1304" t="str">
        <v>JOSE JESUS DAMIAN</v>
      </c>
      <c r="J1304" s="82" t="str">
        <v/>
      </c>
      <c r="K1304" t="str">
        <v>DAXJ540506HGTMXS05</v>
      </c>
      <c r="L1304" s="82">
        <v>23125936</v>
      </c>
      <c r="M1304" s="82">
        <v>5214561276585</v>
      </c>
      <c r="N1304" t="str">
        <v>NUEVO MAYOR</v>
      </c>
      <c r="O1304" s="89">
        <v>7920.51</v>
      </c>
      <c r="P1304" s="89" t="str">
        <v/>
      </c>
      <c r="Q1304" s="89">
        <v>2376.1529999999998</v>
      </c>
      <c r="R1304" s="89">
        <v>2376.1529999999998</v>
      </c>
      <c r="S1304" t="str">
        <v/>
      </c>
      <c r="T1304" t="str">
        <v/>
      </c>
      <c r="U1304" t="str">
        <v/>
      </c>
      <c r="V1304" t="str">
        <v>PAOLA</v>
      </c>
      <c r="W1304">
        <v>46269</v>
      </c>
      <c r="X1304" t="str">
        <v/>
      </c>
    </row>
    <row r="1305" spans="1:24">
      <c r="A1305" s="26">
        <v>2554</v>
      </c>
      <c r="B1305" s="87">
        <v>46269.422256944403</v>
      </c>
      <c r="C1305" s="87">
        <v>46269.4231365741</v>
      </c>
      <c r="D1305" t="str">
        <v>anónimo</v>
      </c>
      <c r="E1305" t="str">
        <v/>
      </c>
      <c r="F1305" s="68">
        <v>46269</v>
      </c>
      <c r="G1305" s="88">
        <v>46267</v>
      </c>
      <c r="H1305" t="str">
        <v>MAYTE NAVARRO</v>
      </c>
      <c r="I1305" t="str">
        <v>LETICIA GABRIELA CHAVEZ GUTIERREZ</v>
      </c>
      <c r="J1305" s="82">
        <v>62886431477</v>
      </c>
      <c r="K1305" t="str">
        <v>CAGL700909MDFHTT03</v>
      </c>
      <c r="L1305" s="82">
        <v>24214946</v>
      </c>
      <c r="M1305" s="82">
        <v>2214102702</v>
      </c>
      <c r="N1305" t="str">
        <v>NUEVO MENOR</v>
      </c>
      <c r="O1305" s="89">
        <v>5055.87</v>
      </c>
      <c r="P1305" s="89" t="str">
        <v/>
      </c>
      <c r="Q1305" s="89">
        <v>1516.761</v>
      </c>
      <c r="R1305" s="89">
        <v>882.89000000000033</v>
      </c>
      <c r="S1305" t="str">
        <v/>
      </c>
      <c r="T1305" t="str">
        <v/>
      </c>
      <c r="U1305" t="str">
        <v/>
      </c>
      <c r="V1305" t="str">
        <v>HECTOR</v>
      </c>
      <c r="W1305">
        <v>46269</v>
      </c>
      <c r="X1305" t="str">
        <v/>
      </c>
    </row>
    <row r="1306" spans="1:24">
      <c r="A1306" s="26">
        <v>2558</v>
      </c>
      <c r="B1306" s="87">
        <v>46268.767268518503</v>
      </c>
      <c r="C1306" s="87">
        <v>46269.464004629597</v>
      </c>
      <c r="D1306" t="str">
        <v>anónimo</v>
      </c>
      <c r="E1306" t="str">
        <v/>
      </c>
      <c r="F1306" s="68">
        <v>46269</v>
      </c>
      <c r="G1306" s="88">
        <v>46269</v>
      </c>
      <c r="H1306" t="str">
        <v>RUTH MARTINEZ SUR</v>
      </c>
      <c r="I1306" t="str">
        <v>FLAVIO VILLARREAL CEPEDA</v>
      </c>
      <c r="J1306" s="82" t="str">
        <v/>
      </c>
      <c r="K1306" t="str">
        <v>VICF531117HNLLPL01</v>
      </c>
      <c r="L1306" s="82">
        <v>24244176</v>
      </c>
      <c r="M1306" s="82">
        <v>5218123546867</v>
      </c>
      <c r="N1306" t="str">
        <v>NUEVO MAYOR</v>
      </c>
      <c r="O1306" s="89">
        <v>53488.78</v>
      </c>
      <c r="P1306" s="89">
        <v>9330.6299999999992</v>
      </c>
      <c r="Q1306" s="89">
        <v>16046.633999999998</v>
      </c>
      <c r="R1306" s="89">
        <v>6716.003999999999</v>
      </c>
      <c r="S1306">
        <v>46266</v>
      </c>
      <c r="T1306" t="str">
        <v>DIMEX</v>
      </c>
      <c r="U1306">
        <v>2151.67</v>
      </c>
      <c r="V1306" t="str">
        <v>DANIELLY</v>
      </c>
      <c r="W1306">
        <v>46269</v>
      </c>
      <c r="X1306" t="str">
        <v/>
      </c>
    </row>
    <row r="1307" spans="1:24">
      <c r="A1307" s="26">
        <v>2561</v>
      </c>
      <c r="B1307" s="87">
        <v>46269.465335648099</v>
      </c>
      <c r="C1307" s="87">
        <v>46269.466377314799</v>
      </c>
      <c r="D1307" t="str">
        <v>anónimo</v>
      </c>
      <c r="E1307" t="str">
        <v/>
      </c>
      <c r="F1307" s="68">
        <v>46269</v>
      </c>
      <c r="G1307" s="88">
        <v>46269</v>
      </c>
      <c r="H1307" t="str">
        <v>GIOVANNI MELGAR</v>
      </c>
      <c r="I1307" t="str">
        <v>MARCO ANTONIO FLORES NIEBLAS</v>
      </c>
      <c r="J1307" s="82" t="str">
        <v xml:space="preserve">54786102423
</v>
      </c>
      <c r="K1307" t="str">
        <v>FONM610716HJCLBR05</v>
      </c>
      <c r="L1307" s="82">
        <v>24244458</v>
      </c>
      <c r="M1307" s="82">
        <v>5217711597802</v>
      </c>
      <c r="N1307" t="str">
        <v>NUEVO MAYOR</v>
      </c>
      <c r="O1307" s="89">
        <v>9081.52</v>
      </c>
      <c r="P1307" s="89" t="str">
        <v/>
      </c>
      <c r="Q1307" s="89">
        <v>2724.4560000000001</v>
      </c>
      <c r="R1307" s="89">
        <v>2724.4560000000001</v>
      </c>
      <c r="S1307" t="str">
        <v/>
      </c>
      <c r="T1307" t="str">
        <v/>
      </c>
      <c r="U1307" t="str">
        <v/>
      </c>
      <c r="V1307" t="str">
        <v>PAOLA</v>
      </c>
      <c r="W1307">
        <v>46269</v>
      </c>
      <c r="X1307" t="str">
        <v/>
      </c>
    </row>
    <row r="1308" spans="1:24">
      <c r="A1308" s="26">
        <v>2562</v>
      </c>
      <c r="B1308" s="87">
        <v>46269.474733796298</v>
      </c>
      <c r="C1308" s="87">
        <v>46269.475555555597</v>
      </c>
      <c r="D1308" t="str">
        <v>anónimo</v>
      </c>
      <c r="E1308" t="str">
        <v/>
      </c>
      <c r="F1308" s="68">
        <v>46269</v>
      </c>
      <c r="G1308" s="88">
        <v>46267</v>
      </c>
      <c r="H1308" t="str">
        <v>MAYTE NAVARRO</v>
      </c>
      <c r="I1308" t="str">
        <v>CONSTANTINO JOAQUIN SEVERIANO</v>
      </c>
      <c r="J1308" s="82" t="str">
        <v/>
      </c>
      <c r="K1308" t="str">
        <v>JOSC591231HOCQVN04</v>
      </c>
      <c r="L1308" s="82">
        <v>24206152</v>
      </c>
      <c r="M1308" s="82">
        <v>6562784920</v>
      </c>
      <c r="N1308" t="str">
        <v>RESTRINGIDA</v>
      </c>
      <c r="O1308" s="89">
        <v>7130.14</v>
      </c>
      <c r="P1308" s="89">
        <v>1889.44</v>
      </c>
      <c r="Q1308" s="89">
        <v>2139.0419999999999</v>
      </c>
      <c r="R1308" s="89">
        <v>249.60199999999986</v>
      </c>
      <c r="S1308">
        <v>45748</v>
      </c>
      <c r="T1308" t="str">
        <v>CONSUBANCO</v>
      </c>
      <c r="U1308">
        <v>1889.44</v>
      </c>
      <c r="V1308" t="str">
        <v>DULCE</v>
      </c>
      <c r="W1308">
        <v>46269</v>
      </c>
      <c r="X1308" t="str">
        <v/>
      </c>
    </row>
    <row r="1309" spans="1:24">
      <c r="A1309" s="26">
        <v>2564</v>
      </c>
      <c r="B1309" s="87">
        <v>46269.4665046296</v>
      </c>
      <c r="C1309" s="87">
        <v>46269.490590277797</v>
      </c>
      <c r="D1309" t="str">
        <v>anónimo</v>
      </c>
      <c r="E1309" t="str">
        <v/>
      </c>
      <c r="F1309" s="68">
        <v>46269</v>
      </c>
      <c r="G1309" s="88">
        <v>46269</v>
      </c>
      <c r="H1309" t="str">
        <v>LIDIA GARZA</v>
      </c>
      <c r="I1309" t="str">
        <v>Alberto Villalobos García</v>
      </c>
      <c r="J1309" s="82" t="str">
        <v/>
      </c>
      <c r="K1309" t="str">
        <v>VIGA610209HZSLRL00</v>
      </c>
      <c r="L1309" s="82">
        <v>24243322</v>
      </c>
      <c r="M1309" s="82">
        <v>5214921605973</v>
      </c>
      <c r="N1309" t="str">
        <v>NUEVO MAYOR</v>
      </c>
      <c r="O1309" s="89">
        <v>9760.32</v>
      </c>
      <c r="P1309" s="89">
        <v>848</v>
      </c>
      <c r="Q1309" s="89">
        <v>2928.096</v>
      </c>
      <c r="R1309" s="89">
        <v>2080.096</v>
      </c>
      <c r="S1309" t="str">
        <v/>
      </c>
      <c r="T1309" t="str">
        <v/>
      </c>
      <c r="U1309" t="str">
        <v/>
      </c>
      <c r="V1309" t="str">
        <v>ITZEL CARRANZA</v>
      </c>
      <c r="W1309">
        <v>46269</v>
      </c>
      <c r="X1309" t="str">
        <v/>
      </c>
    </row>
    <row r="1310" spans="1:24">
      <c r="A1310" s="26">
        <v>2565</v>
      </c>
      <c r="B1310" s="87">
        <v>46269.396249999998</v>
      </c>
      <c r="C1310" s="87">
        <v>46269.492650462998</v>
      </c>
      <c r="D1310" t="str">
        <v>anónimo</v>
      </c>
      <c r="E1310" t="str">
        <v/>
      </c>
      <c r="F1310" s="68">
        <v>46269</v>
      </c>
      <c r="G1310" s="88">
        <v>46269</v>
      </c>
      <c r="H1310" t="str">
        <v>ROSA CASTRO SUR</v>
      </c>
      <c r="I1310" t="str">
        <v>ERNESTINA DEL CARMEN PIÑA ORTEGA</v>
      </c>
      <c r="J1310" s="82">
        <v>84856207273</v>
      </c>
      <c r="K1310" t="str">
        <v>PIOE661128MYNXRR04</v>
      </c>
      <c r="L1310" s="82">
        <v>24245006</v>
      </c>
      <c r="M1310" s="82">
        <v>5219992633274</v>
      </c>
      <c r="N1310" t="str">
        <v>NUEVO MENOR</v>
      </c>
      <c r="O1310" s="89">
        <v>6597.97</v>
      </c>
      <c r="P1310" s="89">
        <v>879</v>
      </c>
      <c r="Q1310" s="89">
        <v>1979.3910000000001</v>
      </c>
      <c r="R1310" s="89">
        <v>1100.3910000000001</v>
      </c>
      <c r="S1310" t="str">
        <v/>
      </c>
      <c r="T1310" t="str">
        <v/>
      </c>
      <c r="U1310" t="str">
        <v/>
      </c>
      <c r="V1310" t="str">
        <v>HANIA</v>
      </c>
      <c r="W1310">
        <v>46269</v>
      </c>
      <c r="X1310" t="str">
        <v/>
      </c>
    </row>
    <row r="1311" spans="1:24">
      <c r="A1311" s="26">
        <v>2567</v>
      </c>
      <c r="B1311" s="87">
        <v>46269.492557870399</v>
      </c>
      <c r="C1311" s="87">
        <v>46269.495312500003</v>
      </c>
      <c r="D1311" t="str">
        <v>anónimo</v>
      </c>
      <c r="E1311" t="str">
        <v/>
      </c>
      <c r="F1311" s="68">
        <v>46269</v>
      </c>
      <c r="G1311" s="88">
        <v>46268</v>
      </c>
      <c r="H1311" t="str">
        <v>BEATRIZ DE LA CRUZ</v>
      </c>
      <c r="I1311" t="str">
        <v>JOSE CRUZ ALEJANDRO SANCHEZ DELGADO</v>
      </c>
      <c r="J1311" s="82">
        <v>61816400958</v>
      </c>
      <c r="K1311" t="str">
        <v>SADC640503HTLNLR07</v>
      </c>
      <c r="L1311" s="82">
        <v>24226786</v>
      </c>
      <c r="M1311" s="82">
        <v>2462621079</v>
      </c>
      <c r="N1311" t="str">
        <v>COMPRA MAYOR</v>
      </c>
      <c r="O1311" s="89">
        <v>15296.62</v>
      </c>
      <c r="P1311" s="89">
        <v>4233.8500000000004</v>
      </c>
      <c r="Q1311" s="89">
        <v>4588.9859999999999</v>
      </c>
      <c r="R1311" s="89">
        <v>355.13599999999951</v>
      </c>
      <c r="S1311">
        <v>46266</v>
      </c>
      <c r="T1311" t="str">
        <v xml:space="preserve">PROFUTURO </v>
      </c>
      <c r="U1311">
        <v>3136.92</v>
      </c>
      <c r="V1311" t="str">
        <v>MAGALI</v>
      </c>
      <c r="W1311">
        <v>46269</v>
      </c>
      <c r="X1311" t="str">
        <v/>
      </c>
    </row>
    <row r="1312" spans="1:24">
      <c r="A1312" s="26">
        <v>2572</v>
      </c>
      <c r="B1312" s="87">
        <v>46269.522847222201</v>
      </c>
      <c r="C1312" s="87">
        <v>46269.524502314802</v>
      </c>
      <c r="D1312" t="str">
        <v>anónimo</v>
      </c>
      <c r="E1312" t="str">
        <v/>
      </c>
      <c r="F1312" s="68">
        <v>46269</v>
      </c>
      <c r="G1312" s="88">
        <v>46266</v>
      </c>
      <c r="H1312" t="str">
        <v>GIOVANNI MELGAR</v>
      </c>
      <c r="I1312" t="str">
        <v>MARIA DE LOURDES LOPEZ CARRASCO</v>
      </c>
      <c r="J1312" s="82" t="str">
        <v xml:space="preserve">05523501954
</v>
      </c>
      <c r="K1312" t="str">
        <v xml:space="preserve"> LOCL461220MPLPRR02</v>
      </c>
      <c r="L1312" s="82">
        <v>24176964</v>
      </c>
      <c r="M1312" s="82">
        <v>5215568856619</v>
      </c>
      <c r="N1312" t="str">
        <v>COMPRA MENOR</v>
      </c>
      <c r="O1312" s="89">
        <v>19894.73</v>
      </c>
      <c r="P1312" s="89">
        <v>5587.79</v>
      </c>
      <c r="Q1312" s="89">
        <v>5968.4189999999999</v>
      </c>
      <c r="R1312" s="89">
        <v>380.62899999999991</v>
      </c>
      <c r="S1312">
        <v>45689</v>
      </c>
      <c r="T1312" t="str">
        <v>BANCREA</v>
      </c>
      <c r="U1312">
        <v>985</v>
      </c>
      <c r="V1312" t="str">
        <v>DULCE</v>
      </c>
      <c r="W1312">
        <v>46269</v>
      </c>
      <c r="X1312" t="str">
        <v/>
      </c>
    </row>
    <row r="1313" spans="1:24">
      <c r="A1313" s="26">
        <v>2573</v>
      </c>
      <c r="B1313" s="87">
        <v>46269.523912037002</v>
      </c>
      <c r="C1313" s="87">
        <v>46269.534456018497</v>
      </c>
      <c r="D1313" t="str">
        <v>anónimo</v>
      </c>
      <c r="E1313" t="str">
        <v/>
      </c>
      <c r="F1313" s="68">
        <v>46269</v>
      </c>
      <c r="G1313" s="88">
        <v>46268</v>
      </c>
      <c r="H1313" t="str">
        <v>LILIANA MARTINEZ SUR</v>
      </c>
      <c r="I1313" t="str">
        <v>ANGEL PABLO GARFIO OGAZ</v>
      </c>
      <c r="J1313" s="82">
        <v>33826608698</v>
      </c>
      <c r="K1313" t="str">
        <v>GAOA660601HCHRGN00</v>
      </c>
      <c r="L1313" s="82">
        <v>24225990</v>
      </c>
      <c r="M1313" s="82">
        <v>5216141724550</v>
      </c>
      <c r="N1313" t="str">
        <v>NUEVO MAYOR</v>
      </c>
      <c r="O1313" s="89">
        <v>10636.54</v>
      </c>
      <c r="P1313" s="89" t="str">
        <v/>
      </c>
      <c r="Q1313" s="89">
        <v>3190.962</v>
      </c>
      <c r="R1313" s="89">
        <v>3190.962</v>
      </c>
      <c r="S1313" t="str">
        <v/>
      </c>
      <c r="T1313" t="str">
        <v/>
      </c>
      <c r="U1313" t="str">
        <v/>
      </c>
      <c r="V1313" t="str">
        <v>ANA</v>
      </c>
      <c r="W1313">
        <v>46269</v>
      </c>
      <c r="X1313" t="str">
        <v/>
      </c>
    </row>
    <row r="1314" spans="1:24">
      <c r="A1314" s="26">
        <v>2576</v>
      </c>
      <c r="B1314" s="87">
        <v>46269.534629629597</v>
      </c>
      <c r="C1314" s="87">
        <v>46269.610520833303</v>
      </c>
      <c r="D1314" t="str">
        <v>anónimo</v>
      </c>
      <c r="E1314" t="str">
        <v/>
      </c>
      <c r="F1314" s="68">
        <v>46269</v>
      </c>
      <c r="G1314" s="88">
        <v>46269</v>
      </c>
      <c r="H1314" t="str">
        <v>LILIANA MARTINEZ SUR</v>
      </c>
      <c r="I1314" t="str">
        <v>CARLOS GUERRA GUERRA</v>
      </c>
      <c r="J1314" s="82" t="str">
        <v>01675097677</v>
      </c>
      <c r="K1314" t="str">
        <v>GUGC500307HDFRRR00</v>
      </c>
      <c r="L1314" s="82">
        <v>24244374</v>
      </c>
      <c r="M1314" s="82">
        <v>5214443030485</v>
      </c>
      <c r="N1314" t="str">
        <v>NUEVO MENOR</v>
      </c>
      <c r="O1314" s="89">
        <v>35760.720000000001</v>
      </c>
      <c r="P1314" s="89">
        <v>9897.2900000000009</v>
      </c>
      <c r="Q1314" s="89">
        <v>10728.216</v>
      </c>
      <c r="R1314" s="89">
        <v>830.92599999999948</v>
      </c>
      <c r="S1314">
        <v>46388</v>
      </c>
      <c r="T1314" t="str">
        <v>INBURSA</v>
      </c>
      <c r="U1314">
        <v>9897.2900000000009</v>
      </c>
      <c r="V1314" t="str">
        <v>HANIA</v>
      </c>
      <c r="W1314">
        <v>46269</v>
      </c>
      <c r="X1314" t="str">
        <v/>
      </c>
    </row>
    <row r="1315" spans="1:24">
      <c r="A1315" s="26">
        <v>2577</v>
      </c>
      <c r="B1315" s="87">
        <v>46269.610694444404</v>
      </c>
      <c r="C1315" s="87">
        <v>46269.611238425903</v>
      </c>
      <c r="D1315" t="str">
        <v>anónimo</v>
      </c>
      <c r="E1315" t="str">
        <v/>
      </c>
      <c r="F1315" s="68">
        <v>46269</v>
      </c>
      <c r="G1315" s="88">
        <v>46269</v>
      </c>
      <c r="H1315" t="str">
        <v>GIOVANNI MELGAR</v>
      </c>
      <c r="I1315" t="str">
        <v>JOSE ALFONSO BURGOS ROJAS</v>
      </c>
      <c r="J1315" s="82" t="str">
        <v>62816406649</v>
      </c>
      <c r="K1315" t="str">
        <v>BURA640415HPLRJL09</v>
      </c>
      <c r="L1315" s="82">
        <v>24249284</v>
      </c>
      <c r="M1315" s="82">
        <v>5212223303622</v>
      </c>
      <c r="N1315" t="str">
        <v>RESTRINGIDA</v>
      </c>
      <c r="O1315" s="89">
        <v>48861.279999999999</v>
      </c>
      <c r="P1315" s="89">
        <v>14648.88</v>
      </c>
      <c r="Q1315" s="89">
        <v>14658.384</v>
      </c>
      <c r="R1315" s="89">
        <v>9.5040000000008149</v>
      </c>
      <c r="S1315">
        <v>46266</v>
      </c>
      <c r="T1315" t="str">
        <v>CONSUPAGO</v>
      </c>
      <c r="U1315">
        <v>11137.34</v>
      </c>
      <c r="V1315" t="str">
        <v>DANIELLY</v>
      </c>
      <c r="W1315">
        <v>46269</v>
      </c>
      <c r="X1315" t="str">
        <v/>
      </c>
    </row>
    <row r="1316" spans="1:24">
      <c r="A1316" s="26">
        <v>2578</v>
      </c>
      <c r="B1316" s="87">
        <v>46269.627673611103</v>
      </c>
      <c r="C1316" s="87">
        <v>46269.631006944401</v>
      </c>
      <c r="D1316" t="str">
        <v>anónimo</v>
      </c>
      <c r="E1316" t="str">
        <v/>
      </c>
      <c r="F1316" s="68">
        <v>46269</v>
      </c>
      <c r="G1316" s="88">
        <v>46269</v>
      </c>
      <c r="H1316" t="str">
        <v>ROSA CASTRO SUR</v>
      </c>
      <c r="I1316" t="str">
        <v xml:space="preserve">ROBERTO LUCARIO ALVAREZ </v>
      </c>
      <c r="J1316" s="82" t="str">
        <v/>
      </c>
      <c r="K1316" t="str">
        <v>LUAR630512HHGCLB01</v>
      </c>
      <c r="L1316" s="82">
        <v>24249576</v>
      </c>
      <c r="M1316" s="82">
        <v>5214434847427</v>
      </c>
      <c r="N1316" t="str">
        <v>NUEVO MAYOR</v>
      </c>
      <c r="O1316" s="89">
        <v>15040.24</v>
      </c>
      <c r="P1316" s="89" t="str">
        <v/>
      </c>
      <c r="Q1316" s="89">
        <v>4512.0720000000001</v>
      </c>
      <c r="R1316" s="89">
        <v>4512.0720000000001</v>
      </c>
      <c r="S1316" t="str">
        <v/>
      </c>
      <c r="T1316" t="str">
        <v/>
      </c>
      <c r="U1316" t="str">
        <v/>
      </c>
      <c r="V1316" t="str">
        <v>GLORIA</v>
      </c>
      <c r="W1316">
        <v>46269</v>
      </c>
      <c r="X1316" t="str">
        <v/>
      </c>
    </row>
    <row r="1317" spans="1:24">
      <c r="A1317" s="26">
        <v>2581</v>
      </c>
      <c r="B1317" s="87">
        <v>46269.524317129602</v>
      </c>
      <c r="C1317" s="87">
        <v>46269.646481481497</v>
      </c>
      <c r="D1317" t="str">
        <v>anónimo</v>
      </c>
      <c r="E1317" t="str">
        <v/>
      </c>
      <c r="F1317" s="68">
        <v>46269</v>
      </c>
      <c r="G1317" s="88">
        <v>46269</v>
      </c>
      <c r="H1317" t="str">
        <v>RUTH MARTINEZ SUR</v>
      </c>
      <c r="I1317" t="str">
        <v>JOSE ALEJANDRO ALVAREZ CASTAÑEDA</v>
      </c>
      <c r="J1317" s="82" t="str">
        <v/>
      </c>
      <c r="K1317" t="str">
        <v>AACA660120HDFLSL04</v>
      </c>
      <c r="L1317" s="82">
        <v>24234396</v>
      </c>
      <c r="M1317" s="82">
        <v>5215536432694</v>
      </c>
      <c r="N1317" t="str">
        <v>NUEVO MAYOR</v>
      </c>
      <c r="O1317" s="89">
        <v>10636.54</v>
      </c>
      <c r="P1317" s="89" t="str">
        <v/>
      </c>
      <c r="Q1317" s="89">
        <v>3190.962</v>
      </c>
      <c r="R1317" s="89">
        <v>3190.962</v>
      </c>
      <c r="S1317" t="str">
        <v/>
      </c>
      <c r="T1317" t="str">
        <v/>
      </c>
      <c r="U1317" t="str">
        <v/>
      </c>
      <c r="V1317" t="str">
        <v>GLORIA</v>
      </c>
      <c r="W1317">
        <v>46269</v>
      </c>
      <c r="X1317" t="str">
        <v/>
      </c>
    </row>
    <row r="1318" spans="1:24">
      <c r="A1318" s="26">
        <v>2583</v>
      </c>
      <c r="B1318" s="87">
        <v>46269.647164351903</v>
      </c>
      <c r="C1318" s="87">
        <v>46269.652326388903</v>
      </c>
      <c r="D1318" t="str">
        <v>anónimo</v>
      </c>
      <c r="E1318" t="str">
        <v/>
      </c>
      <c r="F1318" s="68">
        <v>46269</v>
      </c>
      <c r="G1318" s="88">
        <v>46269</v>
      </c>
      <c r="H1318" t="str">
        <v>RUTH MARTINEZ SUR</v>
      </c>
      <c r="I1318" t="str">
        <v>CARMEN HERNANDEZ BLANCARTE</v>
      </c>
      <c r="J1318" s="82" t="str">
        <v/>
      </c>
      <c r="K1318" t="str">
        <v>HEBC650716MSRRLR05</v>
      </c>
      <c r="L1318" s="82">
        <v>24244968</v>
      </c>
      <c r="M1318" s="82">
        <v>5216444611461</v>
      </c>
      <c r="N1318" t="str">
        <v>NUEVO MAYOR</v>
      </c>
      <c r="O1318" s="89">
        <v>10636.54</v>
      </c>
      <c r="P1318" s="89">
        <v>1838.87</v>
      </c>
      <c r="Q1318" s="89">
        <v>3190.962</v>
      </c>
      <c r="R1318" s="89">
        <v>1352.0920000000001</v>
      </c>
      <c r="S1318">
        <v>46905</v>
      </c>
      <c r="T1318" t="str">
        <v xml:space="preserve">PROFUTURO </v>
      </c>
      <c r="U1318">
        <v>1838.87</v>
      </c>
      <c r="V1318" t="str">
        <v>EDNA</v>
      </c>
      <c r="W1318">
        <v>46269</v>
      </c>
      <c r="X1318" t="str">
        <v/>
      </c>
    </row>
    <row r="1319" spans="1:24">
      <c r="A1319" s="26">
        <v>2585</v>
      </c>
      <c r="B1319" s="87">
        <v>46269.667939814797</v>
      </c>
      <c r="C1319" s="87">
        <v>46269.669502314799</v>
      </c>
      <c r="D1319" t="str">
        <v>anónimo</v>
      </c>
      <c r="E1319" t="str">
        <v/>
      </c>
      <c r="F1319" s="68">
        <v>46269</v>
      </c>
      <c r="G1319" s="88">
        <v>46268</v>
      </c>
      <c r="H1319" t="str">
        <v>MAYTE NAVARRO</v>
      </c>
      <c r="I1319" t="str">
        <v>ARACELI CRUZ LOPEZ</v>
      </c>
      <c r="J1319" s="82" t="str">
        <v/>
      </c>
      <c r="K1319" t="str">
        <v>CULA650909MCLRPR08</v>
      </c>
      <c r="L1319" s="82">
        <v>24247884</v>
      </c>
      <c r="M1319" s="82">
        <v>8715016732</v>
      </c>
      <c r="N1319" t="str">
        <v>NUEVO MAYOR</v>
      </c>
      <c r="O1319" s="89">
        <v>9760.32</v>
      </c>
      <c r="P1319" s="89" t="str">
        <v/>
      </c>
      <c r="Q1319" s="89">
        <v>2928.096</v>
      </c>
      <c r="R1319" s="89">
        <v>2928.096</v>
      </c>
      <c r="S1319" t="str">
        <v/>
      </c>
      <c r="T1319" t="str">
        <v/>
      </c>
      <c r="U1319" t="str">
        <v/>
      </c>
      <c r="V1319" t="str">
        <v>PAOLA</v>
      </c>
      <c r="W1319">
        <v>46269</v>
      </c>
      <c r="X1319" t="str">
        <v/>
      </c>
    </row>
    <row r="1320" spans="1:24">
      <c r="A1320" s="26">
        <v>2591</v>
      </c>
      <c r="B1320" s="87">
        <v>46269.678888888899</v>
      </c>
      <c r="C1320" s="87">
        <v>46269.6800462963</v>
      </c>
      <c r="D1320" t="str">
        <v>anónimo</v>
      </c>
      <c r="E1320" t="str">
        <v/>
      </c>
      <c r="F1320" s="68">
        <v>46269</v>
      </c>
      <c r="G1320" s="88">
        <v>46267</v>
      </c>
      <c r="H1320" t="str">
        <v>MAYTE NAVARRO</v>
      </c>
      <c r="I1320" t="str">
        <v>TOMAS RUBEN BUENDIA XIU</v>
      </c>
      <c r="J1320" s="82" t="str">
        <v/>
      </c>
      <c r="K1320" t="str">
        <v>BUXT600922HYNNXM04</v>
      </c>
      <c r="L1320" s="82">
        <v>24188300</v>
      </c>
      <c r="M1320" s="82">
        <v>9994168549</v>
      </c>
      <c r="N1320" t="str">
        <v>NUEVO MENOR</v>
      </c>
      <c r="O1320" s="89">
        <v>57164.22</v>
      </c>
      <c r="P1320" s="89">
        <v>16537.990000000002</v>
      </c>
      <c r="Q1320" s="89">
        <v>17149.266</v>
      </c>
      <c r="R1320" s="89">
        <v>611.27599999999802</v>
      </c>
      <c r="S1320">
        <v>46661</v>
      </c>
      <c r="T1320" t="str">
        <v xml:space="preserve">PROFUTURO </v>
      </c>
      <c r="U1320">
        <v>16537.990000000002</v>
      </c>
      <c r="V1320" t="str">
        <v>HANIA</v>
      </c>
      <c r="W1320">
        <v>46269</v>
      </c>
      <c r="X1320" t="str">
        <v/>
      </c>
    </row>
    <row r="1321" spans="1:24">
      <c r="A1321" s="26">
        <v>2594</v>
      </c>
      <c r="B1321" s="87">
        <v>46269.668252314797</v>
      </c>
      <c r="C1321" s="87">
        <v>46269.690868055601</v>
      </c>
      <c r="D1321" t="str">
        <v>anónimo</v>
      </c>
      <c r="E1321" t="str">
        <v/>
      </c>
      <c r="F1321" s="68">
        <v>46269</v>
      </c>
      <c r="G1321" s="88">
        <v>46269</v>
      </c>
      <c r="H1321" t="str">
        <v>LILIANA MARTINEZ SUR</v>
      </c>
      <c r="I1321" t="str">
        <v>CUAUHTEMOC VILLEGAS LICONA</v>
      </c>
      <c r="J1321" s="82" t="str">
        <v/>
      </c>
      <c r="K1321" t="str">
        <v>VILC630803HVZLCH04</v>
      </c>
      <c r="L1321" s="82">
        <v>24241280</v>
      </c>
      <c r="M1321" s="82">
        <v>5217822088561</v>
      </c>
      <c r="N1321" t="str">
        <v>COMPRA MAYOR</v>
      </c>
      <c r="O1321" s="89">
        <v>7920.51</v>
      </c>
      <c r="P1321" s="89">
        <v>2047.45</v>
      </c>
      <c r="Q1321" s="89">
        <v>2376.1529999999998</v>
      </c>
      <c r="R1321" s="89">
        <v>328.70299999999975</v>
      </c>
      <c r="S1321">
        <v>46204</v>
      </c>
      <c r="T1321" t="str">
        <v>INBURSA</v>
      </c>
      <c r="U1321">
        <v>2047.45</v>
      </c>
      <c r="V1321" t="str">
        <v>FERNANDA</v>
      </c>
      <c r="W1321">
        <v>46269</v>
      </c>
      <c r="X1321" t="str">
        <v/>
      </c>
    </row>
    <row r="1322" spans="1:24">
      <c r="A1322" s="26">
        <v>2597</v>
      </c>
      <c r="B1322" s="87">
        <v>46269.692025463002</v>
      </c>
      <c r="C1322" s="87">
        <v>46269.704953703702</v>
      </c>
      <c r="D1322" t="str">
        <v>anónimo</v>
      </c>
      <c r="E1322" t="str">
        <v/>
      </c>
      <c r="F1322" s="68">
        <v>46269</v>
      </c>
      <c r="G1322" s="88">
        <v>46246</v>
      </c>
      <c r="H1322" t="str">
        <v>GIOVANNI MELGAR</v>
      </c>
      <c r="I1322" t="str">
        <v>RAMON FLORES ESTEBAN</v>
      </c>
      <c r="J1322" s="82" t="str">
        <v/>
      </c>
      <c r="K1322" t="str">
        <v>FOER690930HJCLSM03</v>
      </c>
      <c r="L1322" s="82">
        <v>23572932</v>
      </c>
      <c r="M1322" s="82">
        <v>5213171120099</v>
      </c>
      <c r="N1322" t="str">
        <v>NUEVO MAYOR</v>
      </c>
      <c r="O1322" s="89">
        <v>17504.68</v>
      </c>
      <c r="P1322" s="89" t="str">
        <v/>
      </c>
      <c r="Q1322" s="89">
        <v>5251.4039999999995</v>
      </c>
      <c r="R1322" s="89">
        <v>5251.4039999999995</v>
      </c>
      <c r="S1322" t="str">
        <v/>
      </c>
      <c r="T1322" t="str">
        <v/>
      </c>
      <c r="U1322" t="str">
        <v/>
      </c>
      <c r="V1322" t="str">
        <v>ANA</v>
      </c>
      <c r="W1322">
        <v>46269</v>
      </c>
      <c r="X1322" t="str">
        <v/>
      </c>
    </row>
    <row r="1323" spans="1:24">
      <c r="A1323" s="26">
        <v>2601</v>
      </c>
      <c r="B1323" s="87">
        <v>46269.7191550926</v>
      </c>
      <c r="C1323" s="87">
        <v>46269.725833333301</v>
      </c>
      <c r="D1323" t="str">
        <v>anónimo</v>
      </c>
      <c r="E1323" t="str">
        <v/>
      </c>
      <c r="F1323" s="68">
        <v>46269</v>
      </c>
      <c r="G1323" s="88">
        <v>46269</v>
      </c>
      <c r="H1323" t="str">
        <v>LILIANA MARTINEZ SUR</v>
      </c>
      <c r="I1323" t="str">
        <v>JOSE CRUZ GUTIERREZ BARRAGAN</v>
      </c>
      <c r="J1323" s="82" t="str">
        <v/>
      </c>
      <c r="K1323" t="str">
        <v>GUBC650503HJCTRR01</v>
      </c>
      <c r="L1323" s="82">
        <v>24250102</v>
      </c>
      <c r="M1323" s="82">
        <v>5213421078956</v>
      </c>
      <c r="N1323" t="str">
        <v>NUEVO MAYOR</v>
      </c>
      <c r="O1323" s="89">
        <v>10636.54</v>
      </c>
      <c r="P1323" s="89" t="str">
        <v/>
      </c>
      <c r="Q1323" s="89">
        <v>3190.962</v>
      </c>
      <c r="R1323" s="89">
        <v>3190.962</v>
      </c>
      <c r="S1323" t="str">
        <v/>
      </c>
      <c r="T1323" t="str">
        <v/>
      </c>
      <c r="U1323" t="str">
        <v/>
      </c>
      <c r="V1323" t="str">
        <v>ANA</v>
      </c>
      <c r="W1323">
        <v>46269</v>
      </c>
      <c r="X1323" t="str">
        <v/>
      </c>
    </row>
    <row r="1324" spans="1:24">
      <c r="A1324" s="26">
        <v>2604</v>
      </c>
      <c r="B1324" s="87">
        <v>46269.734652777799</v>
      </c>
      <c r="C1324" s="87">
        <v>46269.735000000001</v>
      </c>
      <c r="D1324" t="str">
        <v>anónimo</v>
      </c>
      <c r="E1324" t="str">
        <v/>
      </c>
      <c r="F1324" s="68">
        <v>46269</v>
      </c>
      <c r="G1324" s="88">
        <v>46269</v>
      </c>
      <c r="H1324" t="str">
        <v>GIOVANNI MELGAR</v>
      </c>
      <c r="I1324" t="str">
        <v>JOSE ALFREDO LARES GRANO</v>
      </c>
      <c r="J1324" s="82" t="str">
        <v/>
      </c>
      <c r="K1324" t="str">
        <v>LAGA601213HJCRRL05</v>
      </c>
      <c r="L1324" s="82">
        <v>24241450</v>
      </c>
      <c r="M1324" s="82">
        <v>5213323949104</v>
      </c>
      <c r="N1324" t="str">
        <v>NUEVO MAYOR</v>
      </c>
      <c r="O1324" s="89">
        <v>7116.73</v>
      </c>
      <c r="P1324" s="89">
        <v>879</v>
      </c>
      <c r="Q1324" s="89">
        <v>2135.0189999999998</v>
      </c>
      <c r="R1324" s="89">
        <v>1256.0189999999998</v>
      </c>
      <c r="S1324" t="str">
        <v/>
      </c>
      <c r="T1324" t="str">
        <v/>
      </c>
      <c r="U1324" t="str">
        <v/>
      </c>
      <c r="V1324" t="str">
        <v>CAROLINA</v>
      </c>
      <c r="W1324">
        <v>46269</v>
      </c>
      <c r="X1324" t="str">
        <v/>
      </c>
    </row>
    <row r="1325" spans="1:24">
      <c r="A1325" s="26">
        <v>2605</v>
      </c>
      <c r="B1325" s="87">
        <v>46269.723807870403</v>
      </c>
      <c r="C1325" s="87">
        <v>46269.735775462999</v>
      </c>
      <c r="D1325" t="str">
        <v>anónimo</v>
      </c>
      <c r="E1325" t="str">
        <v/>
      </c>
      <c r="F1325" s="68">
        <v>46269</v>
      </c>
      <c r="G1325" s="88">
        <v>46269</v>
      </c>
      <c r="H1325" t="str">
        <v>ROSA CASTRO SUR</v>
      </c>
      <c r="I1325" t="str">
        <v>JOSE LUIS ROCHA RAMIREZ</v>
      </c>
      <c r="J1325" s="82" t="str">
        <v/>
      </c>
      <c r="K1325" t="str">
        <v>RORL441009HVZCMS06</v>
      </c>
      <c r="L1325" s="82">
        <v>24251922</v>
      </c>
      <c r="M1325" s="82">
        <v>5212222082900</v>
      </c>
      <c r="N1325" t="str">
        <v>NUEVO MAYOR</v>
      </c>
      <c r="O1325" s="89">
        <v>41038.49</v>
      </c>
      <c r="P1325" s="89" t="str">
        <v/>
      </c>
      <c r="Q1325" s="89">
        <v>12311.546999999999</v>
      </c>
      <c r="R1325" s="89">
        <v>12311.546999999999</v>
      </c>
      <c r="S1325" t="str">
        <v/>
      </c>
      <c r="T1325" t="str">
        <v/>
      </c>
      <c r="U1325" t="str">
        <v/>
      </c>
      <c r="V1325" t="str">
        <v>DULCE</v>
      </c>
      <c r="W1325">
        <v>46270</v>
      </c>
      <c r="X1325" t="str">
        <v/>
      </c>
    </row>
    <row r="1326" spans="1:24">
      <c r="A1326" s="26">
        <v>2606</v>
      </c>
      <c r="B1326" s="87">
        <v>46269.743865740696</v>
      </c>
      <c r="C1326" s="87">
        <v>46269.7443055556</v>
      </c>
      <c r="D1326" t="str">
        <v>anónimo</v>
      </c>
      <c r="E1326" t="str">
        <v/>
      </c>
      <c r="F1326" s="68">
        <v>46269</v>
      </c>
      <c r="G1326" s="88">
        <v>46268</v>
      </c>
      <c r="H1326" t="str">
        <v>GIOVANNI MELGAR</v>
      </c>
      <c r="I1326" t="str">
        <v>ROBERTO MARIN GARCIA</v>
      </c>
      <c r="J1326" s="82" t="str">
        <v>01886310422</v>
      </c>
      <c r="K1326" t="str">
        <v>MAGR631227HVZRRB07</v>
      </c>
      <c r="L1326" s="82">
        <v>24233618</v>
      </c>
      <c r="M1326" s="82">
        <v>5215527702203</v>
      </c>
      <c r="N1326" t="str">
        <v>NUEVO MAYOR</v>
      </c>
      <c r="O1326" s="89">
        <v>40117.99</v>
      </c>
      <c r="P1326" s="89" t="str">
        <v/>
      </c>
      <c r="Q1326" s="89">
        <v>12035.396999999999</v>
      </c>
      <c r="R1326" s="89">
        <v>12035.396999999999</v>
      </c>
      <c r="S1326" t="str">
        <v/>
      </c>
      <c r="T1326" t="str">
        <v/>
      </c>
      <c r="U1326" t="str">
        <v/>
      </c>
      <c r="V1326" t="str">
        <v>DANIELLY</v>
      </c>
      <c r="W1326">
        <v>46269</v>
      </c>
      <c r="X1326" t="str">
        <v/>
      </c>
    </row>
    <row r="1327" spans="1:24">
      <c r="A1327" s="26">
        <v>2607</v>
      </c>
      <c r="B1327" s="87">
        <v>46269.735798611102</v>
      </c>
      <c r="C1327" s="87">
        <v>46269.746782407397</v>
      </c>
      <c r="D1327" t="str">
        <v>anónimo</v>
      </c>
      <c r="E1327" t="str">
        <v/>
      </c>
      <c r="F1327" s="68">
        <v>46269</v>
      </c>
      <c r="G1327" s="88">
        <v>46268</v>
      </c>
      <c r="H1327" t="str">
        <v>ROSA CASTRO SUR</v>
      </c>
      <c r="I1327" t="str">
        <v xml:space="preserve">ARMANDO PAREDEZ CRUZ </v>
      </c>
      <c r="J1327" s="82">
        <v>11755890321</v>
      </c>
      <c r="K1327" t="str">
        <v xml:space="preserve">PACA590313HDFRRR00 </v>
      </c>
      <c r="L1327" s="82">
        <v>24229610</v>
      </c>
      <c r="M1327" s="82">
        <v>5215523227383</v>
      </c>
      <c r="N1327" t="str">
        <v>COMPRA MAYOR</v>
      </c>
      <c r="O1327" s="89">
        <v>23587.89</v>
      </c>
      <c r="P1327" s="89">
        <v>6548.63</v>
      </c>
      <c r="Q1327" s="89">
        <v>7076.3669999999993</v>
      </c>
      <c r="R1327" s="89">
        <v>527.73699999999917</v>
      </c>
      <c r="S1327">
        <v>46174</v>
      </c>
      <c r="T1327" t="str">
        <v>MULTIVA</v>
      </c>
      <c r="U1327">
        <v>6548.63</v>
      </c>
      <c r="V1327" t="str">
        <v>MAGALI</v>
      </c>
      <c r="W1327">
        <v>46269</v>
      </c>
      <c r="X1327" t="str">
        <v/>
      </c>
    </row>
    <row r="1328" spans="1:24">
      <c r="A1328" s="26">
        <v>2608</v>
      </c>
      <c r="B1328" s="87">
        <v>46269.744050925903</v>
      </c>
      <c r="C1328" s="87">
        <v>46269.749467592599</v>
      </c>
      <c r="D1328" t="str">
        <v>anónimo</v>
      </c>
      <c r="E1328" t="str">
        <v/>
      </c>
      <c r="F1328" s="68">
        <v>46269</v>
      </c>
      <c r="G1328" s="88">
        <v>46269</v>
      </c>
      <c r="H1328" t="str">
        <v>LILIANA MARTINEZ SUR</v>
      </c>
      <c r="I1328" t="str">
        <v>MARIA LUISA RODRIGUEZ PEREZ</v>
      </c>
      <c r="J1328" s="82" t="str">
        <v/>
      </c>
      <c r="K1328" t="str">
        <v>ROPL610810MGRDRS05</v>
      </c>
      <c r="L1328" s="82">
        <v>24243294</v>
      </c>
      <c r="M1328" s="82">
        <v>5217331258213</v>
      </c>
      <c r="N1328" t="str">
        <v>NUEVO MAYOR</v>
      </c>
      <c r="O1328" s="89">
        <v>7920.51</v>
      </c>
      <c r="P1328" s="89" t="str">
        <v/>
      </c>
      <c r="Q1328" s="89">
        <v>2376.1529999999998</v>
      </c>
      <c r="R1328" s="89">
        <v>2376.1529999999998</v>
      </c>
      <c r="S1328" t="str">
        <v/>
      </c>
      <c r="T1328" t="str">
        <v/>
      </c>
      <c r="U1328" t="str">
        <v/>
      </c>
      <c r="V1328" t="str">
        <v>EDNA</v>
      </c>
      <c r="W1328">
        <v>46269</v>
      </c>
      <c r="X1328" t="str">
        <v/>
      </c>
    </row>
    <row r="1329" spans="1:24">
      <c r="A1329" s="26">
        <v>2611</v>
      </c>
      <c r="B1329" s="87">
        <v>46269.785821759302</v>
      </c>
      <c r="C1329" s="87">
        <v>46269.786203703698</v>
      </c>
      <c r="D1329" t="str">
        <v>anónimo</v>
      </c>
      <c r="E1329" t="str">
        <v/>
      </c>
      <c r="F1329" s="68">
        <v>46269</v>
      </c>
      <c r="G1329" s="88">
        <v>46269</v>
      </c>
      <c r="H1329" t="str">
        <v>LIDIA GARZA</v>
      </c>
      <c r="I1329" t="str">
        <v>Adolfo Jacobo Sanchez</v>
      </c>
      <c r="J1329" s="82" t="str">
        <v/>
      </c>
      <c r="K1329" t="str">
        <v>JASA650829HSPCND00</v>
      </c>
      <c r="L1329" s="82">
        <v>24254260</v>
      </c>
      <c r="M1329" s="82">
        <v>5214443320591</v>
      </c>
      <c r="N1329" t="str">
        <v>NUEVO MAYOR</v>
      </c>
      <c r="O1329" s="89">
        <v>9760.32</v>
      </c>
      <c r="P1329" s="89" t="str">
        <v/>
      </c>
      <c r="Q1329" s="89">
        <v>2928.096</v>
      </c>
      <c r="R1329" s="89">
        <v>2928.096</v>
      </c>
      <c r="S1329" t="str">
        <v/>
      </c>
      <c r="T1329" t="str">
        <v/>
      </c>
      <c r="U1329" t="str">
        <v/>
      </c>
      <c r="V1329" t="str">
        <v>PAOLA</v>
      </c>
      <c r="W1329">
        <v>46270</v>
      </c>
      <c r="X1329" t="str">
        <v/>
      </c>
    </row>
    <row r="1330" spans="1:24">
      <c r="A1330" s="26">
        <v>2612</v>
      </c>
      <c r="B1330" s="87">
        <v>46269.7860069444</v>
      </c>
      <c r="C1330" s="87">
        <v>46269.789849537003</v>
      </c>
      <c r="D1330" t="str">
        <v>anónimo</v>
      </c>
      <c r="E1330" t="str">
        <v/>
      </c>
      <c r="F1330" s="68">
        <v>46269</v>
      </c>
      <c r="G1330" s="88">
        <v>46268</v>
      </c>
      <c r="H1330" t="str">
        <v>GIOVANNI MELGAR</v>
      </c>
      <c r="I1330" t="str">
        <v>ALEJANDRO MARTINEZ HERRERA</v>
      </c>
      <c r="J1330" s="82">
        <v>49947047665</v>
      </c>
      <c r="K1330" t="str">
        <v>MAHA700422HVZRRL01</v>
      </c>
      <c r="L1330" s="82">
        <v>24229404</v>
      </c>
      <c r="M1330" s="82">
        <v>5218332065281</v>
      </c>
      <c r="N1330" t="str">
        <v>NUEVO MAYOR</v>
      </c>
      <c r="O1330" s="89">
        <v>10215.049999999999</v>
      </c>
      <c r="P1330" s="89">
        <v>774.44</v>
      </c>
      <c r="Q1330" s="89">
        <v>3064.5149999999999</v>
      </c>
      <c r="R1330" s="89">
        <v>2290.0749999999998</v>
      </c>
      <c r="S1330">
        <v>46569</v>
      </c>
      <c r="T1330" t="str">
        <v>DIMEX</v>
      </c>
      <c r="U1330" t="str">
        <v/>
      </c>
      <c r="V1330" t="str">
        <v>REYNALDO ALTAMIRA</v>
      </c>
      <c r="W1330" t="str">
        <v/>
      </c>
      <c r="X1330" t="str">
        <v/>
      </c>
    </row>
    <row r="1331" spans="1:24">
      <c r="A1331" s="26">
        <v>2618</v>
      </c>
      <c r="B1331" s="87">
        <v>46270.452025462997</v>
      </c>
      <c r="C1331" s="87">
        <v>46270.452476851897</v>
      </c>
      <c r="D1331" t="str">
        <v>anónimo</v>
      </c>
      <c r="E1331" t="str">
        <v/>
      </c>
      <c r="F1331" s="68">
        <v>46270</v>
      </c>
      <c r="G1331" s="88">
        <v>46269</v>
      </c>
      <c r="H1331" t="str">
        <v>GIOVANNI MELGAR</v>
      </c>
      <c r="I1331" t="str">
        <v>JESUS PEREZ</v>
      </c>
      <c r="J1331" s="82" t="str">
        <v>43796147411</v>
      </c>
      <c r="K1331" t="str">
        <v/>
      </c>
      <c r="L1331" s="82">
        <v>24255814</v>
      </c>
      <c r="M1331" s="82">
        <v>5218124236801</v>
      </c>
      <c r="N1331" t="str">
        <v>NUEVO MAYOR</v>
      </c>
      <c r="O1331" s="89">
        <v>10636.54</v>
      </c>
      <c r="P1331" s="89" t="str">
        <v/>
      </c>
      <c r="Q1331" s="89">
        <v>3190.962</v>
      </c>
      <c r="R1331" s="89">
        <v>3190.962</v>
      </c>
      <c r="S1331" t="str">
        <v/>
      </c>
      <c r="T1331" t="str">
        <v/>
      </c>
      <c r="U1331" t="str">
        <v/>
      </c>
      <c r="V1331" t="str">
        <v>DANIELLY</v>
      </c>
      <c r="W1331">
        <v>46270</v>
      </c>
      <c r="X1331" t="str">
        <v/>
      </c>
    </row>
    <row r="1332" spans="1:24">
      <c r="A1332" s="26">
        <v>2619</v>
      </c>
      <c r="B1332" s="87">
        <v>46270.454537037003</v>
      </c>
      <c r="C1332" s="87">
        <v>46270.456365740698</v>
      </c>
      <c r="D1332" t="str">
        <v>anónimo</v>
      </c>
      <c r="E1332" t="str">
        <v/>
      </c>
      <c r="F1332" s="68">
        <v>46270</v>
      </c>
      <c r="G1332" s="88">
        <v>46268</v>
      </c>
      <c r="H1332" t="str">
        <v>GIOVANNI MELGAR</v>
      </c>
      <c r="I1332" t="str">
        <v>SONIA PEREZ ARAUJO</v>
      </c>
      <c r="J1332" s="82" t="str">
        <v>92906511115</v>
      </c>
      <c r="K1332" t="str">
        <v>LOAS630915MHGPRN03</v>
      </c>
      <c r="L1332" s="82">
        <v>24230042</v>
      </c>
      <c r="M1332" s="82">
        <v>5215525390194</v>
      </c>
      <c r="N1332" t="str">
        <v>NUEVO MAYOR</v>
      </c>
      <c r="O1332" s="89">
        <v>11029.03</v>
      </c>
      <c r="P1332" s="89" t="str">
        <v/>
      </c>
      <c r="Q1332" s="89">
        <v>3308.7090000000003</v>
      </c>
      <c r="R1332" s="89">
        <v>3308.7090000000003</v>
      </c>
      <c r="S1332" t="str">
        <v/>
      </c>
      <c r="T1332" t="str">
        <v/>
      </c>
      <c r="U1332">
        <v>2380.7600000000002</v>
      </c>
      <c r="V1332" t="str">
        <v>ANA</v>
      </c>
      <c r="W1332">
        <v>46270</v>
      </c>
      <c r="X1332" t="str">
        <v/>
      </c>
    </row>
    <row r="1333" spans="1:24">
      <c r="A1333" s="26">
        <v>2620</v>
      </c>
      <c r="B1333" s="87">
        <v>46270.458460648202</v>
      </c>
      <c r="C1333" s="87">
        <v>46270.459328703699</v>
      </c>
      <c r="D1333" t="str">
        <v>anónimo</v>
      </c>
      <c r="E1333" t="str">
        <v/>
      </c>
      <c r="F1333" s="68">
        <v>46270</v>
      </c>
      <c r="G1333" s="88">
        <v>46117</v>
      </c>
      <c r="H1333" t="str">
        <v>GIOVANNI MELGAR</v>
      </c>
      <c r="I1333" t="str">
        <v>JOSE LUIS CORTES RAMIREZ</v>
      </c>
      <c r="J1333" s="82" t="str">
        <v>16816419531</v>
      </c>
      <c r="K1333" t="str">
        <v>CORL640611HDFRMS03</v>
      </c>
      <c r="L1333" s="82">
        <v>19289310</v>
      </c>
      <c r="M1333" s="82">
        <v>5213340952437</v>
      </c>
      <c r="N1333" t="str">
        <v>NUEVO MENOR</v>
      </c>
      <c r="O1333" s="89">
        <v>9081.5300000000007</v>
      </c>
      <c r="P1333" s="89">
        <v>2380.7600000000002</v>
      </c>
      <c r="Q1333" s="89">
        <v>2724.4590000000003</v>
      </c>
      <c r="R1333" s="89">
        <v>343.69900000000007</v>
      </c>
      <c r="S1333">
        <v>46784</v>
      </c>
      <c r="T1333" t="str">
        <v>INBURSA</v>
      </c>
      <c r="U1333" t="str">
        <v/>
      </c>
      <c r="V1333" t="str">
        <v>HECTOR</v>
      </c>
      <c r="W1333">
        <v>46270</v>
      </c>
      <c r="X1333" t="str">
        <v/>
      </c>
    </row>
    <row r="1334" spans="1:24">
      <c r="A1334" s="26">
        <v>2625</v>
      </c>
      <c r="B1334" s="87">
        <v>46270.4824421296</v>
      </c>
      <c r="C1334" s="87">
        <v>46270.483946759297</v>
      </c>
      <c r="D1334" t="str">
        <v>anónimo</v>
      </c>
      <c r="E1334" t="str">
        <v/>
      </c>
      <c r="F1334" s="68">
        <v>46270</v>
      </c>
      <c r="G1334" s="88">
        <v>46270</v>
      </c>
      <c r="H1334" t="str">
        <v>BEATRIZ DE LA CRUZ</v>
      </c>
      <c r="I1334" t="str">
        <v>PABLO LUNA MARTINEZ</v>
      </c>
      <c r="J1334" s="82" t="str">
        <v>06765872988</v>
      </c>
      <c r="K1334" t="str">
        <v>LUMP581030HDFNRB00</v>
      </c>
      <c r="L1334" s="82">
        <v>24258488</v>
      </c>
      <c r="M1334" s="82">
        <v>6641842705</v>
      </c>
      <c r="N1334" t="str">
        <v>RESTRINGIDA</v>
      </c>
      <c r="O1334" s="89">
        <v>5608.61</v>
      </c>
      <c r="P1334" s="89">
        <v>1379.06</v>
      </c>
      <c r="Q1334" s="89">
        <v>1682.5829999999999</v>
      </c>
      <c r="R1334" s="89">
        <v>56.570000000000164</v>
      </c>
      <c r="S1334">
        <v>45352</v>
      </c>
      <c r="T1334" t="str">
        <v>CONSUBANCO</v>
      </c>
      <c r="U1334">
        <v>1379.06</v>
      </c>
      <c r="V1334" t="str">
        <v>DANIELLY</v>
      </c>
      <c r="W1334">
        <v>46270</v>
      </c>
      <c r="X1334" t="str">
        <v/>
      </c>
    </row>
    <row r="1335" spans="1:24">
      <c r="A1335" s="26">
        <v>2627</v>
      </c>
      <c r="B1335" s="87">
        <v>46270.494965277801</v>
      </c>
      <c r="C1335" s="87">
        <v>46270.495925925898</v>
      </c>
      <c r="D1335" t="str">
        <v>anónimo</v>
      </c>
      <c r="E1335" t="str">
        <v/>
      </c>
      <c r="F1335" s="68">
        <v>46270</v>
      </c>
      <c r="G1335" s="88">
        <v>46270</v>
      </c>
      <c r="H1335" t="str">
        <v>GIOVANNI MELGAR</v>
      </c>
      <c r="I1335" t="str">
        <v>VENTURA PEREZ ROBLES</v>
      </c>
      <c r="J1335" s="82" t="str">
        <v>01816432999</v>
      </c>
      <c r="K1335" t="str">
        <v>PERV640714HGTRBN06</v>
      </c>
      <c r="L1335" s="82">
        <v>24259562</v>
      </c>
      <c r="M1335" s="82">
        <v>5215545064181</v>
      </c>
      <c r="N1335" t="str">
        <v>NUEVO MENOR</v>
      </c>
      <c r="O1335" s="89">
        <v>25970.240000000002</v>
      </c>
      <c r="P1335" s="89">
        <v>6950.85</v>
      </c>
      <c r="Q1335" s="89">
        <v>7791.0720000000001</v>
      </c>
      <c r="R1335" s="89">
        <v>840.22199999999975</v>
      </c>
      <c r="S1335">
        <v>46327</v>
      </c>
      <c r="T1335" t="str">
        <v>BANCREA</v>
      </c>
      <c r="U1335">
        <v>6950.85</v>
      </c>
      <c r="V1335" t="str">
        <v>HECTOR</v>
      </c>
      <c r="W1335">
        <v>46270</v>
      </c>
      <c r="X1335" t="str">
        <v/>
      </c>
    </row>
    <row r="1336" spans="1:24">
      <c r="A1336" s="26">
        <v>2631</v>
      </c>
      <c r="B1336" s="87">
        <v>46270.515613425901</v>
      </c>
      <c r="C1336" s="87">
        <v>46270.536574074104</v>
      </c>
      <c r="D1336" t="str">
        <v>anónimo</v>
      </c>
      <c r="E1336" t="str">
        <v/>
      </c>
      <c r="F1336" s="68">
        <v>46270</v>
      </c>
      <c r="G1336" s="88">
        <v>46270</v>
      </c>
      <c r="H1336" t="str">
        <v>RUTH MARTINEZ SUR</v>
      </c>
      <c r="I1336" t="str">
        <v xml:space="preserve">J. JESUS VILLARRUEL HERNANDEZ </v>
      </c>
      <c r="J1336" s="82">
        <v>54887132436</v>
      </c>
      <c r="K1336" t="str">
        <v>VIHJ710816HJCLRS03</v>
      </c>
      <c r="L1336" s="82">
        <v>24262416</v>
      </c>
      <c r="M1336" s="82">
        <v>5213921597416</v>
      </c>
      <c r="N1336" t="str">
        <v>NUEVO MENOR</v>
      </c>
      <c r="O1336" s="89">
        <v>6411.47</v>
      </c>
      <c r="P1336" s="89">
        <v>1288.28</v>
      </c>
      <c r="Q1336" s="89">
        <v>1923.441</v>
      </c>
      <c r="R1336" s="89">
        <v>635.16100000000006</v>
      </c>
      <c r="S1336">
        <v>46508</v>
      </c>
      <c r="T1336" t="str">
        <v>INBURSA</v>
      </c>
      <c r="U1336">
        <v>1288.28</v>
      </c>
      <c r="V1336" t="str">
        <v>HECTOR</v>
      </c>
      <c r="W1336">
        <v>46270</v>
      </c>
      <c r="X1336" t="str">
        <v/>
      </c>
    </row>
    <row r="1337" spans="1:24">
      <c r="A1337" s="26">
        <v>2633</v>
      </c>
      <c r="B1337" s="87">
        <v>46270.602222222202</v>
      </c>
      <c r="C1337" s="87">
        <v>46270.602708333303</v>
      </c>
      <c r="D1337" t="str">
        <v>anónimo</v>
      </c>
      <c r="E1337" t="str">
        <v/>
      </c>
      <c r="F1337" s="68">
        <v>46270</v>
      </c>
      <c r="G1337" s="88">
        <v>46269</v>
      </c>
      <c r="H1337" t="str">
        <v>GIOVANNI MELGAR</v>
      </c>
      <c r="I1337" t="str">
        <v>MANUEL DE JESUS BARRON VALENCIA</v>
      </c>
      <c r="J1337" s="82" t="str">
        <v/>
      </c>
      <c r="K1337" t="str">
        <v>BAVM600701HSRRLN00</v>
      </c>
      <c r="L1337" s="82">
        <v>24258240</v>
      </c>
      <c r="M1337" s="82">
        <v>5216444616096</v>
      </c>
      <c r="N1337" t="str">
        <v>NUEVO MAYOR</v>
      </c>
      <c r="O1337" s="89">
        <v>60491.66</v>
      </c>
      <c r="P1337" s="89" t="str">
        <v/>
      </c>
      <c r="Q1337" s="89">
        <v>18147.498</v>
      </c>
      <c r="R1337" s="89">
        <v>18147.498</v>
      </c>
      <c r="S1337" t="str">
        <v/>
      </c>
      <c r="T1337" t="str">
        <v/>
      </c>
      <c r="U1337" t="str">
        <v/>
      </c>
      <c r="V1337" t="str">
        <v>ITZELH</v>
      </c>
      <c r="W1337">
        <v>46272</v>
      </c>
      <c r="X1337" t="str">
        <v/>
      </c>
    </row>
    <row r="1338" spans="1:24">
      <c r="A1338" s="26">
        <v>2635</v>
      </c>
      <c r="B1338" s="87">
        <v>46270.615543981497</v>
      </c>
      <c r="C1338" s="87">
        <v>46270.6159259259</v>
      </c>
      <c r="D1338" t="str">
        <v>anónimo</v>
      </c>
      <c r="E1338" t="str">
        <v/>
      </c>
      <c r="F1338" s="68">
        <v>46270</v>
      </c>
      <c r="G1338" s="88">
        <v>46270</v>
      </c>
      <c r="H1338" t="str">
        <v>GIOVANNI MELGAR</v>
      </c>
      <c r="I1338" t="str">
        <v>JAVIER OSORIO DOMINGUEZ</v>
      </c>
      <c r="J1338" s="82" t="str">
        <v/>
      </c>
      <c r="K1338" t="str">
        <v>OODJ631120HOCSMV04</v>
      </c>
      <c r="L1338" s="82">
        <v>24264720</v>
      </c>
      <c r="M1338" s="82">
        <v>5219989328276</v>
      </c>
      <c r="N1338" t="str">
        <v>COMPRA MENOR</v>
      </c>
      <c r="O1338" s="89">
        <v>9081.52</v>
      </c>
      <c r="P1338" s="89">
        <v>2504.6999999999998</v>
      </c>
      <c r="Q1338" s="89">
        <v>2724.4560000000001</v>
      </c>
      <c r="R1338" s="89">
        <v>219.75600000000031</v>
      </c>
      <c r="S1338">
        <v>46235</v>
      </c>
      <c r="T1338" t="str">
        <v>DIMEX</v>
      </c>
      <c r="U1338">
        <v>742.22</v>
      </c>
      <c r="V1338" t="str">
        <v>HECTOR</v>
      </c>
      <c r="W1338">
        <v>46272</v>
      </c>
      <c r="X1338" t="str">
        <v/>
      </c>
    </row>
    <row r="1339" spans="1:24">
      <c r="A1339" s="26">
        <v>2639</v>
      </c>
      <c r="B1339" s="87">
        <v>46270.620706018497</v>
      </c>
      <c r="C1339" s="87">
        <v>46270.635787036997</v>
      </c>
      <c r="D1339" t="str">
        <v>anónimo</v>
      </c>
      <c r="E1339" t="str">
        <v/>
      </c>
      <c r="F1339" s="68">
        <v>46270</v>
      </c>
      <c r="G1339" s="88">
        <v>46270</v>
      </c>
      <c r="H1339" t="str">
        <v>RUTH MARTINEZ SUR</v>
      </c>
      <c r="I1339" t="str">
        <v>FRANCISCO JAVIER ESCALERA HERNANDEZ</v>
      </c>
      <c r="J1339" s="82">
        <v>12826421146</v>
      </c>
      <c r="K1339" t="str">
        <v>EAHF641008HGTSRR02</v>
      </c>
      <c r="L1339" s="82">
        <v>24268170</v>
      </c>
      <c r="M1339" s="82">
        <v>5214622356721</v>
      </c>
      <c r="N1339" t="str">
        <v>NUEVO MAYOR</v>
      </c>
      <c r="O1339" s="89">
        <v>9081.52</v>
      </c>
      <c r="P1339" s="89">
        <v>706.77</v>
      </c>
      <c r="Q1339" s="89">
        <v>2724.4560000000001</v>
      </c>
      <c r="R1339" s="89">
        <v>2017.6860000000001</v>
      </c>
      <c r="S1339">
        <v>46600</v>
      </c>
      <c r="T1339" t="str">
        <v>FISOFO</v>
      </c>
      <c r="U1339">
        <v>706.77</v>
      </c>
      <c r="V1339" t="str">
        <v>GLORIA</v>
      </c>
      <c r="W1339">
        <v>46272</v>
      </c>
      <c r="X1339" t="str">
        <v/>
      </c>
    </row>
    <row r="1340" spans="1:24">
      <c r="A1340" s="26">
        <v>2640</v>
      </c>
      <c r="B1340" s="87">
        <v>46270.632662037002</v>
      </c>
      <c r="C1340" s="87">
        <v>46270.636863425898</v>
      </c>
      <c r="D1340" t="str">
        <v>anónimo</v>
      </c>
      <c r="E1340" t="str">
        <v/>
      </c>
      <c r="F1340" s="68">
        <v>46270</v>
      </c>
      <c r="G1340" s="88">
        <v>46269</v>
      </c>
      <c r="H1340" t="str">
        <v>LILIANA MARTINEZ SUR</v>
      </c>
      <c r="I1340" t="str">
        <v>REYNA DEL CARMEN PINTO VERA</v>
      </c>
      <c r="J1340" s="82" t="str">
        <v/>
      </c>
      <c r="K1340" t="str">
        <v>PIVR580105MCSNRY08</v>
      </c>
      <c r="L1340" s="82">
        <v>24254170</v>
      </c>
      <c r="M1340" s="82">
        <v>5219611777400</v>
      </c>
      <c r="N1340" t="str">
        <v>COMPRA MAYOR</v>
      </c>
      <c r="O1340" s="89">
        <v>10841.91</v>
      </c>
      <c r="P1340" s="89">
        <v>2876</v>
      </c>
      <c r="Q1340" s="89">
        <v>3252.5729999999999</v>
      </c>
      <c r="R1340" s="89">
        <v>376.57299999999987</v>
      </c>
      <c r="S1340">
        <v>45809</v>
      </c>
      <c r="T1340" t="str">
        <v>PROFUTURO</v>
      </c>
      <c r="U1340">
        <v>2876</v>
      </c>
      <c r="V1340" t="str">
        <v>FERNANDA</v>
      </c>
      <c r="W1340">
        <v>46272</v>
      </c>
      <c r="X1340" t="str">
        <v/>
      </c>
    </row>
    <row r="1341" spans="1:24">
      <c r="A1341" s="26">
        <v>2641</v>
      </c>
      <c r="B1341" s="87">
        <v>46270.635821759301</v>
      </c>
      <c r="C1341" s="87">
        <v>46270.646724537</v>
      </c>
      <c r="D1341" t="str">
        <v>anónimo</v>
      </c>
      <c r="E1341" t="str">
        <v/>
      </c>
      <c r="F1341" s="68">
        <v>46270</v>
      </c>
      <c r="G1341" s="88">
        <v>46270</v>
      </c>
      <c r="H1341" t="str">
        <v>RUTH MARTINEZ SUR</v>
      </c>
      <c r="I1341" t="str">
        <v>ARMANDO NAVA JIMENEZ</v>
      </c>
      <c r="J1341" s="82">
        <v>52806009842</v>
      </c>
      <c r="K1341" t="str">
        <v>NAJA600627HCMVMR13</v>
      </c>
      <c r="L1341" s="82">
        <v>24268034</v>
      </c>
      <c r="M1341" s="82">
        <v>5213122988767</v>
      </c>
      <c r="N1341" t="str">
        <v>COMPRA MAYOR</v>
      </c>
      <c r="O1341" s="89">
        <v>16760.2</v>
      </c>
      <c r="P1341" s="89">
        <v>4848.95</v>
      </c>
      <c r="Q1341" s="89">
        <v>5028.0600000000004</v>
      </c>
      <c r="R1341" s="89">
        <v>179.11000000000058</v>
      </c>
      <c r="S1341">
        <v>46235</v>
      </c>
      <c r="T1341" t="str">
        <v>EXITUS</v>
      </c>
      <c r="U1341">
        <v>4110.96</v>
      </c>
      <c r="V1341" t="str">
        <v>MAGALI</v>
      </c>
      <c r="W1341">
        <v>46272</v>
      </c>
      <c r="X1341" t="str">
        <v/>
      </c>
    </row>
    <row r="1342" spans="1:24">
      <c r="A1342" s="26">
        <v>2642</v>
      </c>
      <c r="B1342" s="87">
        <v>46270.659027777801</v>
      </c>
      <c r="C1342" s="87">
        <v>46270.659456018497</v>
      </c>
      <c r="D1342" t="str">
        <v>anónimo</v>
      </c>
      <c r="E1342" t="str">
        <v/>
      </c>
      <c r="F1342" s="68">
        <v>46270</v>
      </c>
      <c r="G1342" s="88">
        <v>46270</v>
      </c>
      <c r="H1342" t="str">
        <v>GIOVANNI MELGAR</v>
      </c>
      <c r="I1342" t="str">
        <v>JOSE JAVIER JUAREZ RIVERA</v>
      </c>
      <c r="J1342" s="82" t="str">
        <v/>
      </c>
      <c r="K1342" t="str">
        <v>JURJ611128HPLRVV08</v>
      </c>
      <c r="L1342" s="82">
        <v>24266598</v>
      </c>
      <c r="M1342" s="82">
        <v>5212225933844</v>
      </c>
      <c r="N1342" t="str">
        <v>NUEVO MAYOR</v>
      </c>
      <c r="O1342" s="89">
        <v>7920.51</v>
      </c>
      <c r="P1342" s="89" t="str">
        <v/>
      </c>
      <c r="Q1342" s="89">
        <v>2376.1529999999998</v>
      </c>
      <c r="R1342" s="89">
        <v>2376.1529999999998</v>
      </c>
      <c r="S1342" t="str">
        <v/>
      </c>
      <c r="T1342" t="str">
        <v/>
      </c>
      <c r="U1342" t="str">
        <v/>
      </c>
      <c r="V1342" t="str">
        <v>PAOLA</v>
      </c>
      <c r="W1342">
        <v>46272</v>
      </c>
      <c r="X1342" t="str">
        <v/>
      </c>
    </row>
    <row r="1343" spans="1:24">
      <c r="A1343" s="26">
        <v>2644</v>
      </c>
      <c r="B1343" s="87">
        <v>46270.665601851899</v>
      </c>
      <c r="C1343" s="87">
        <v>46270.675567129598</v>
      </c>
      <c r="D1343" t="str">
        <v>anónimo</v>
      </c>
      <c r="E1343" t="str">
        <v/>
      </c>
      <c r="F1343" s="68">
        <v>46270</v>
      </c>
      <c r="G1343" s="88">
        <v>46270</v>
      </c>
      <c r="H1343" t="str">
        <v>GIOVANNI MELGAR</v>
      </c>
      <c r="I1343" t="str">
        <v>LEANDRO VELEZ LOPEZ</v>
      </c>
      <c r="J1343" s="82" t="str">
        <v>32725211059</v>
      </c>
      <c r="K1343" t="str">
        <v>VELL520409HCLLPN00</v>
      </c>
      <c r="L1343" s="82">
        <v>24265438</v>
      </c>
      <c r="M1343" s="82">
        <v>5218661641656</v>
      </c>
      <c r="N1343" t="str">
        <v>COMPRA MAYOR</v>
      </c>
      <c r="O1343" s="89">
        <v>40834.019999999997</v>
      </c>
      <c r="P1343" s="89">
        <v>11814.26</v>
      </c>
      <c r="Q1343" s="89">
        <v>12250.205999999998</v>
      </c>
      <c r="R1343" s="89">
        <v>435.94599999999809</v>
      </c>
      <c r="S1343">
        <v>46174</v>
      </c>
      <c r="T1343" t="str">
        <v>DIMEX</v>
      </c>
      <c r="U1343">
        <v>5845.91</v>
      </c>
      <c r="V1343" t="str">
        <v>MAGALI</v>
      </c>
      <c r="W1343">
        <v>46272</v>
      </c>
      <c r="X1343" t="str">
        <v/>
      </c>
    </row>
    <row r="1344" spans="1:24">
      <c r="A1344" s="26">
        <v>2645</v>
      </c>
      <c r="B1344" s="87">
        <v>46270.683969907397</v>
      </c>
      <c r="C1344" s="87">
        <v>46270.686319444401</v>
      </c>
      <c r="D1344" t="str">
        <v>anónimo</v>
      </c>
      <c r="E1344" t="str">
        <v/>
      </c>
      <c r="F1344" s="68">
        <v>46270</v>
      </c>
      <c r="G1344" s="88">
        <v>46270</v>
      </c>
      <c r="H1344" t="str">
        <v>BEATRIZ DE LA CRUZ</v>
      </c>
      <c r="I1344" t="str">
        <v>JOSE LUIS VALADEZ CEBALLOS</v>
      </c>
      <c r="J1344" s="82">
        <v>34925400185</v>
      </c>
      <c r="K1344" t="str">
        <v>VACL540707HZSLBS07</v>
      </c>
      <c r="L1344" s="82">
        <v>24267112</v>
      </c>
      <c r="M1344" s="82">
        <v>4922232774</v>
      </c>
      <c r="N1344" t="str">
        <v>COMPRA MENOR</v>
      </c>
      <c r="O1344" s="89">
        <v>17975.75</v>
      </c>
      <c r="P1344" s="89">
        <v>5391.73</v>
      </c>
      <c r="Q1344" s="89">
        <v>5392.7249999999995</v>
      </c>
      <c r="R1344" s="89">
        <v>0.99499999999989086</v>
      </c>
      <c r="S1344">
        <v>46266</v>
      </c>
      <c r="T1344" t="str">
        <v>EXITUS</v>
      </c>
      <c r="U1344">
        <v>1181.45</v>
      </c>
      <c r="V1344" t="str">
        <v>HANIA</v>
      </c>
      <c r="W1344">
        <v>46272</v>
      </c>
      <c r="X1344" t="str">
        <v/>
      </c>
    </row>
    <row r="1345" spans="1:24">
      <c r="A1345" s="26">
        <v>2647</v>
      </c>
      <c r="B1345" s="87">
        <v>46270.692974537</v>
      </c>
      <c r="C1345" s="87">
        <v>46270.693703703699</v>
      </c>
      <c r="D1345" t="str">
        <v>anónimo</v>
      </c>
      <c r="E1345" t="str">
        <v/>
      </c>
      <c r="F1345" s="68">
        <v>46270</v>
      </c>
      <c r="G1345" s="88">
        <v>46269</v>
      </c>
      <c r="H1345" t="str">
        <v>GIOVANNI MELGAR</v>
      </c>
      <c r="I1345" t="str">
        <v>JOSE JUAN AGUILAR RIVERA</v>
      </c>
      <c r="J1345" s="82" t="str">
        <v/>
      </c>
      <c r="K1345" t="str">
        <v>AURJ620307HCLGVN01</v>
      </c>
      <c r="L1345" s="82">
        <v>24269314</v>
      </c>
      <c r="M1345" s="82">
        <v>5218442891043</v>
      </c>
      <c r="N1345" t="str">
        <v>NUEVO MAYOR</v>
      </c>
      <c r="O1345" s="89">
        <v>26539.88</v>
      </c>
      <c r="P1345" s="89" t="str">
        <v/>
      </c>
      <c r="Q1345" s="89">
        <v>7961.9639999999999</v>
      </c>
      <c r="R1345" s="89">
        <v>7961.9639999999999</v>
      </c>
      <c r="S1345" t="str">
        <v/>
      </c>
      <c r="T1345" t="str">
        <v/>
      </c>
      <c r="U1345" t="str">
        <v/>
      </c>
      <c r="V1345" t="str">
        <v>IRASEMA</v>
      </c>
      <c r="W1345">
        <v>46272</v>
      </c>
      <c r="X1345" t="str">
        <v/>
      </c>
    </row>
    <row r="1346" spans="1:24">
      <c r="A1346" s="26">
        <v>2652</v>
      </c>
      <c r="B1346" s="87">
        <v>46270.712581018503</v>
      </c>
      <c r="C1346" s="87">
        <v>46270.713020833296</v>
      </c>
      <c r="D1346" t="str">
        <v>anónimo</v>
      </c>
      <c r="E1346" t="str">
        <v/>
      </c>
      <c r="F1346" s="68">
        <v>46270</v>
      </c>
      <c r="G1346" s="88">
        <v>46269</v>
      </c>
      <c r="H1346" t="str">
        <v>GIOVANNI MELGAR</v>
      </c>
      <c r="I1346" t="str">
        <v>SERGIO GONZALEZ BARRA</v>
      </c>
      <c r="J1346" s="82" t="str">
        <v/>
      </c>
      <c r="K1346" t="str">
        <v>GOBS570214HVZNRR00</v>
      </c>
      <c r="L1346" s="82">
        <v>24257186</v>
      </c>
      <c r="M1346" s="82">
        <v>5212294367273</v>
      </c>
      <c r="N1346" t="str">
        <v>RESTRINGIDA</v>
      </c>
      <c r="O1346" s="89">
        <v>6262.86</v>
      </c>
      <c r="P1346" s="89">
        <v>1811.2</v>
      </c>
      <c r="Q1346" s="89">
        <v>1878.8579999999997</v>
      </c>
      <c r="R1346" s="89">
        <v>67.657999999999674</v>
      </c>
      <c r="S1346">
        <v>45261</v>
      </c>
      <c r="T1346" t="str">
        <v>FISOFO</v>
      </c>
      <c r="U1346">
        <v>1426.26</v>
      </c>
      <c r="V1346" t="str">
        <v>DANIELLY</v>
      </c>
      <c r="W1346">
        <v>46272</v>
      </c>
      <c r="X1346" t="str">
        <v/>
      </c>
    </row>
    <row r="1347" spans="1:24">
      <c r="A1347" s="26">
        <v>2664</v>
      </c>
      <c r="B1347" s="87">
        <v>46271.362569444398</v>
      </c>
      <c r="C1347" s="87">
        <v>46271.365856481498</v>
      </c>
      <c r="D1347" t="str">
        <v>anónimo</v>
      </c>
      <c r="E1347" t="str">
        <v/>
      </c>
      <c r="F1347" s="68">
        <v>46271</v>
      </c>
      <c r="G1347" s="88">
        <v>46270</v>
      </c>
      <c r="H1347" t="str">
        <v>MAYTE NAVARRO</v>
      </c>
      <c r="I1347" t="str">
        <v xml:space="preserve">JUAN MANUEL PEDRERO ACOSTA </v>
      </c>
      <c r="J1347" s="82" t="str">
        <v>83795916515</v>
      </c>
      <c r="K1347" t="str">
        <v>PEAJ590501HTCDCN08</v>
      </c>
      <c r="L1347" s="82">
        <v>24274398</v>
      </c>
      <c r="M1347" s="82">
        <v>9931010266</v>
      </c>
      <c r="N1347" t="str">
        <v>RESTRINGIDA</v>
      </c>
      <c r="O1347" s="89">
        <v>6262.86</v>
      </c>
      <c r="P1347" s="89">
        <v>1810.47</v>
      </c>
      <c r="Q1347" s="89">
        <v>1878.8579999999997</v>
      </c>
      <c r="R1347" s="89">
        <v>68.387999999999693</v>
      </c>
      <c r="S1347">
        <v>45200</v>
      </c>
      <c r="T1347" t="str">
        <v>CONSUBANCO</v>
      </c>
      <c r="U1347">
        <v>1414.49</v>
      </c>
      <c r="V1347" t="str">
        <v>DANIELLY</v>
      </c>
      <c r="W1347">
        <v>46272</v>
      </c>
      <c r="X1347" t="str">
        <v/>
      </c>
    </row>
    <row r="1348" spans="1:24">
      <c r="A1348" s="26">
        <v>2667</v>
      </c>
      <c r="B1348" s="87">
        <v>46271.390092592599</v>
      </c>
      <c r="C1348" s="87">
        <v>46271.396562499998</v>
      </c>
      <c r="D1348" t="str">
        <v>anónimo</v>
      </c>
      <c r="E1348" t="str">
        <v/>
      </c>
      <c r="F1348" s="68">
        <v>46271</v>
      </c>
      <c r="G1348" s="88">
        <v>46271</v>
      </c>
      <c r="H1348" t="str">
        <v>LIDIA GARZA</v>
      </c>
      <c r="I1348" t="str">
        <v>Jose Ibarra Valdez</v>
      </c>
      <c r="J1348" s="82" t="str">
        <v/>
      </c>
      <c r="K1348" t="str">
        <v>IAVJ741102HSRBLS05</v>
      </c>
      <c r="L1348" s="82">
        <v>24245024</v>
      </c>
      <c r="M1348" s="82">
        <v>5216623728731</v>
      </c>
      <c r="N1348" t="str">
        <v>NUEVO MAYOR</v>
      </c>
      <c r="O1348" s="89">
        <v>7363.4</v>
      </c>
      <c r="P1348" s="89" t="str">
        <v/>
      </c>
      <c r="Q1348" s="89">
        <v>2209.02</v>
      </c>
      <c r="R1348" s="89">
        <v>2209.02</v>
      </c>
      <c r="S1348" t="str">
        <v/>
      </c>
      <c r="T1348" t="str">
        <v/>
      </c>
      <c r="U1348" t="str">
        <v/>
      </c>
      <c r="V1348" t="str">
        <v>PAOLA</v>
      </c>
      <c r="W1348">
        <v>46272</v>
      </c>
      <c r="X1348" t="str">
        <v/>
      </c>
    </row>
    <row r="1349" spans="1:24">
      <c r="A1349" s="26">
        <v>2669</v>
      </c>
      <c r="B1349" s="87">
        <v>46271.430532407401</v>
      </c>
      <c r="C1349" s="87">
        <v>46271.431180555599</v>
      </c>
      <c r="D1349" t="str">
        <v>anónimo</v>
      </c>
      <c r="E1349" t="str">
        <v/>
      </c>
      <c r="F1349" s="68">
        <v>46271</v>
      </c>
      <c r="G1349" s="88">
        <v>46268</v>
      </c>
      <c r="H1349" t="str">
        <v>MAYTE NAVARRO</v>
      </c>
      <c r="I1349" t="str">
        <v>CRECENCIANO HIPOLITO HERNANDEZ RODRIGUEZ</v>
      </c>
      <c r="J1349" s="82" t="str">
        <v/>
      </c>
      <c r="K1349" t="str">
        <v>HERC500914HPLRDR03</v>
      </c>
      <c r="L1349" s="82">
        <v>24233252</v>
      </c>
      <c r="M1349" s="82">
        <v>5639772395</v>
      </c>
      <c r="N1349" t="str">
        <v>COMPRA MAYOR</v>
      </c>
      <c r="O1349" s="89">
        <v>8186.09</v>
      </c>
      <c r="P1349" s="89">
        <v>1498.74</v>
      </c>
      <c r="Q1349" s="89">
        <v>2455.8269999999998</v>
      </c>
      <c r="R1349" s="89">
        <v>957.08699999999976</v>
      </c>
      <c r="S1349">
        <v>46143</v>
      </c>
      <c r="T1349" t="str">
        <v>INBURSA</v>
      </c>
      <c r="U1349">
        <v>1498.74</v>
      </c>
      <c r="V1349" t="str">
        <v>FERNANDA</v>
      </c>
      <c r="W1349">
        <v>46272</v>
      </c>
      <c r="X1349" t="str">
        <v/>
      </c>
    </row>
    <row r="1350" spans="1:24">
      <c r="A1350" s="26">
        <v>2671</v>
      </c>
      <c r="B1350" s="87">
        <v>46271.4477430556</v>
      </c>
      <c r="C1350" s="87">
        <v>46271.460914351803</v>
      </c>
      <c r="D1350" t="str">
        <v>anónimo</v>
      </c>
      <c r="E1350" t="str">
        <v/>
      </c>
      <c r="F1350" s="68">
        <v>46271</v>
      </c>
      <c r="G1350" s="88">
        <v>46270</v>
      </c>
      <c r="H1350" t="str">
        <v>LIDIA GARZA</v>
      </c>
      <c r="I1350" t="str">
        <v>Elia Marquez Moctezuma</v>
      </c>
      <c r="J1350" s="82" t="str">
        <v>65654819310</v>
      </c>
      <c r="K1350" t="str">
        <v>MXME480311MVZRCL05</v>
      </c>
      <c r="L1350" s="82">
        <v>24272816</v>
      </c>
      <c r="M1350" s="82">
        <v>5212291631407</v>
      </c>
      <c r="N1350" t="str">
        <v>NUEVO MENOR</v>
      </c>
      <c r="O1350" s="89">
        <v>4661.47</v>
      </c>
      <c r="P1350" s="89" t="str">
        <v/>
      </c>
      <c r="Q1350" s="89">
        <v>1398.441</v>
      </c>
      <c r="R1350" s="89">
        <v>488.49000000000069</v>
      </c>
      <c r="S1350" t="str">
        <v/>
      </c>
      <c r="T1350" t="str">
        <v/>
      </c>
      <c r="U1350" t="str">
        <v/>
      </c>
      <c r="V1350" t="str">
        <v>HECTOR</v>
      </c>
      <c r="W1350">
        <v>46272</v>
      </c>
      <c r="X1350" t="str">
        <v/>
      </c>
    </row>
    <row r="1351" spans="1:24">
      <c r="A1351" s="26">
        <v>2677</v>
      </c>
      <c r="B1351" s="87">
        <v>46271.512453703697</v>
      </c>
      <c r="C1351" s="87">
        <v>46271.513298611098</v>
      </c>
      <c r="D1351" t="str">
        <v>anónimo</v>
      </c>
      <c r="E1351" t="str">
        <v/>
      </c>
      <c r="F1351" s="68">
        <v>46271</v>
      </c>
      <c r="G1351" s="88">
        <v>46270</v>
      </c>
      <c r="H1351" t="str">
        <v>MAYTE NAVARRO</v>
      </c>
      <c r="I1351" t="str">
        <v>IGNACIO RIOS CARDENAS</v>
      </c>
      <c r="J1351" s="82">
        <v>33966019755</v>
      </c>
      <c r="K1351" t="str">
        <v>RICI600912HMNSRG04</v>
      </c>
      <c r="L1351" s="82">
        <v>24272850</v>
      </c>
      <c r="M1351" s="82">
        <v>3515007659</v>
      </c>
      <c r="N1351" t="str">
        <v>NUEVO MENOR</v>
      </c>
      <c r="O1351" s="89">
        <v>5617.63</v>
      </c>
      <c r="P1351" s="89">
        <v>1088.49</v>
      </c>
      <c r="Q1351" s="89">
        <v>1685.289</v>
      </c>
      <c r="R1351" s="89">
        <v>356.16000000000054</v>
      </c>
      <c r="S1351">
        <v>46997</v>
      </c>
      <c r="T1351" t="str">
        <v>FISOFO</v>
      </c>
      <c r="U1351">
        <v>827.49</v>
      </c>
      <c r="V1351" t="str">
        <v>HECTOR</v>
      </c>
      <c r="W1351">
        <v>46272</v>
      </c>
      <c r="X1351" t="str">
        <v/>
      </c>
    </row>
    <row r="1352" spans="1:24">
      <c r="A1352" s="26">
        <v>2680</v>
      </c>
      <c r="B1352" s="87">
        <v>46271.533206018503</v>
      </c>
      <c r="C1352" s="87">
        <v>46271.548935185201</v>
      </c>
      <c r="D1352" t="str">
        <v>anónimo</v>
      </c>
      <c r="E1352" t="str">
        <v/>
      </c>
      <c r="F1352" s="68">
        <v>46271</v>
      </c>
      <c r="G1352" s="88">
        <v>46271</v>
      </c>
      <c r="H1352" t="str">
        <v>LIDIA GARZA</v>
      </c>
      <c r="I1352" t="str">
        <v>Rene Broca Lopez</v>
      </c>
      <c r="J1352" s="82" t="str">
        <v/>
      </c>
      <c r="K1352" t="str">
        <v>BOLR660314HTCRPN09</v>
      </c>
      <c r="L1352" s="82">
        <v>24281378</v>
      </c>
      <c r="M1352" s="82">
        <v>5219372710570</v>
      </c>
      <c r="N1352" t="str">
        <v>NUEVO MAYOR</v>
      </c>
      <c r="O1352" s="89">
        <v>10636.54</v>
      </c>
      <c r="P1352" s="89" t="str">
        <v/>
      </c>
      <c r="Q1352" s="89">
        <v>3190.962</v>
      </c>
      <c r="R1352" s="89">
        <v>3190.962</v>
      </c>
      <c r="S1352" t="str">
        <v/>
      </c>
      <c r="T1352" t="str">
        <v/>
      </c>
      <c r="U1352" t="str">
        <v/>
      </c>
      <c r="V1352" t="str">
        <v>ANA</v>
      </c>
      <c r="W1352">
        <v>46272</v>
      </c>
      <c r="X1352" t="str">
        <v/>
      </c>
    </row>
    <row r="1353" spans="1:24">
      <c r="A1353" s="26">
        <v>2683</v>
      </c>
      <c r="B1353" s="87">
        <v>46271.601087962998</v>
      </c>
      <c r="C1353" s="87">
        <v>46271.601851851898</v>
      </c>
      <c r="D1353" t="str">
        <v>anónimo</v>
      </c>
      <c r="E1353" t="str">
        <v/>
      </c>
      <c r="F1353" s="68">
        <v>46271</v>
      </c>
      <c r="G1353" s="88">
        <v>46271</v>
      </c>
      <c r="H1353" t="str">
        <v>BEATRIZ DE LA CRUZ</v>
      </c>
      <c r="I1353" t="str">
        <v>JUAN FELIPE TORRES MEZA</v>
      </c>
      <c r="J1353" s="82" t="str">
        <v/>
      </c>
      <c r="K1353" t="str">
        <v>TOMJ540205HSPRZN01</v>
      </c>
      <c r="L1353" s="82">
        <v>24278828</v>
      </c>
      <c r="M1353" s="82">
        <v>4811443281</v>
      </c>
      <c r="N1353" t="str">
        <v>NUEVO MENOR</v>
      </c>
      <c r="O1353" s="89">
        <v>24266.61</v>
      </c>
      <c r="P1353" s="89">
        <v>6455.03</v>
      </c>
      <c r="Q1353" s="89">
        <v>7279.9830000000002</v>
      </c>
      <c r="R1353" s="89">
        <v>824.95300000000043</v>
      </c>
      <c r="S1353">
        <v>46813</v>
      </c>
      <c r="T1353" t="str">
        <v>INBURSA</v>
      </c>
      <c r="U1353">
        <v>2154.4499999999998</v>
      </c>
      <c r="V1353" t="str">
        <v>HECTOR</v>
      </c>
      <c r="W1353">
        <v>46272</v>
      </c>
      <c r="X1353" t="str">
        <v/>
      </c>
    </row>
    <row r="1354" spans="1:24">
      <c r="A1354" s="26">
        <v>2684</v>
      </c>
      <c r="B1354" s="87">
        <v>46271.606724537</v>
      </c>
      <c r="C1354" s="87">
        <v>46271.607777777797</v>
      </c>
      <c r="D1354" t="str">
        <v>anónimo</v>
      </c>
      <c r="E1354" t="str">
        <v/>
      </c>
      <c r="F1354" s="68">
        <v>46271</v>
      </c>
      <c r="G1354" s="88">
        <v>46271</v>
      </c>
      <c r="H1354" t="str">
        <v>MAYTE NAVARRO</v>
      </c>
      <c r="I1354" t="str">
        <v>RAUL VALLADARES CRUZ</v>
      </c>
      <c r="J1354" s="82" t="str">
        <v/>
      </c>
      <c r="K1354" t="str">
        <v>VACR580914HTSLRL03</v>
      </c>
      <c r="L1354" s="82">
        <v>24282484</v>
      </c>
      <c r="M1354" s="82">
        <v>8331470411</v>
      </c>
      <c r="N1354" t="str">
        <v>NUEVO MENOR</v>
      </c>
      <c r="O1354" s="89">
        <v>6056.98</v>
      </c>
      <c r="P1354" s="89">
        <v>879</v>
      </c>
      <c r="Q1354" s="89">
        <v>1817.0939999999998</v>
      </c>
      <c r="R1354" s="89">
        <v>938.09399999999982</v>
      </c>
      <c r="S1354" t="str">
        <v/>
      </c>
      <c r="T1354" t="str">
        <v/>
      </c>
      <c r="U1354" t="str">
        <v/>
      </c>
      <c r="V1354" t="str">
        <v>HANIA</v>
      </c>
      <c r="W1354">
        <v>46272</v>
      </c>
      <c r="X1354" t="str">
        <v/>
      </c>
    </row>
    <row r="1355" spans="1:24">
      <c r="A1355" s="26">
        <v>2686</v>
      </c>
      <c r="B1355" s="87">
        <v>46271.620462963001</v>
      </c>
      <c r="C1355" s="87">
        <v>46271.621192129598</v>
      </c>
      <c r="D1355" t="str">
        <v>anónimo</v>
      </c>
      <c r="E1355" t="str">
        <v/>
      </c>
      <c r="F1355" s="68">
        <v>46271</v>
      </c>
      <c r="G1355" s="88">
        <v>46271</v>
      </c>
      <c r="H1355" t="str">
        <v>BEATRIZ DE LA CRUZ</v>
      </c>
      <c r="I1355" t="str">
        <v>FILOGONIO RODRIGUEZ ALVARADO</v>
      </c>
      <c r="J1355" s="82" t="str">
        <v/>
      </c>
      <c r="K1355" t="str">
        <v>ROAF440120HGTDLL07</v>
      </c>
      <c r="L1355" s="82">
        <v>24282456</v>
      </c>
      <c r="M1355" s="82">
        <v>4794138593</v>
      </c>
      <c r="N1355" t="str">
        <v>NUEVO MAYOR</v>
      </c>
      <c r="O1355" s="89">
        <v>13124.95</v>
      </c>
      <c r="P1355" s="89" t="str">
        <v/>
      </c>
      <c r="Q1355" s="89">
        <v>3937.4850000000001</v>
      </c>
      <c r="R1355" s="89">
        <v>3937.4850000000001</v>
      </c>
      <c r="S1355" t="str">
        <v/>
      </c>
      <c r="T1355" t="str">
        <v/>
      </c>
      <c r="U1355" t="str">
        <v/>
      </c>
      <c r="V1355" t="str">
        <v>DULCE</v>
      </c>
      <c r="W1355">
        <v>46272</v>
      </c>
      <c r="X1355" t="str">
        <v/>
      </c>
    </row>
    <row r="1356" spans="1:24">
      <c r="A1356" s="26">
        <v>2687</v>
      </c>
      <c r="B1356" s="87">
        <v>46271.548969907402</v>
      </c>
      <c r="C1356" s="87">
        <v>46271.653969907398</v>
      </c>
      <c r="D1356" t="str">
        <v>anónimo</v>
      </c>
      <c r="E1356" t="str">
        <v/>
      </c>
      <c r="F1356" s="68">
        <v>46271</v>
      </c>
      <c r="G1356" s="88">
        <v>46269</v>
      </c>
      <c r="H1356" t="str">
        <v>LIDIA GARZA</v>
      </c>
      <c r="I1356" t="str">
        <v>Ruth herendida Najera Rocha</v>
      </c>
      <c r="J1356" s="82" t="str">
        <v>47947307345</v>
      </c>
      <c r="K1356" t="str">
        <v>NARR750715MNLJC07</v>
      </c>
      <c r="L1356" s="82">
        <v>24248096</v>
      </c>
      <c r="M1356" s="82">
        <v>5216151141600</v>
      </c>
      <c r="N1356" t="str">
        <v>NUEVO MENOR</v>
      </c>
      <c r="O1356" s="89">
        <v>6664.74</v>
      </c>
      <c r="P1356" s="89">
        <v>879</v>
      </c>
      <c r="Q1356" s="89">
        <v>1999.4219999999998</v>
      </c>
      <c r="R1356" s="89">
        <v>1120.4219999999998</v>
      </c>
      <c r="S1356" t="str">
        <v/>
      </c>
      <c r="T1356" t="str">
        <v/>
      </c>
      <c r="U1356" t="str">
        <v/>
      </c>
      <c r="V1356" t="str">
        <v>HANIA</v>
      </c>
      <c r="W1356">
        <v>46272</v>
      </c>
      <c r="X1356" t="str">
        <v/>
      </c>
    </row>
    <row r="1357" spans="1:24">
      <c r="A1357" s="26">
        <v>2688</v>
      </c>
      <c r="B1357" s="87">
        <v>46271.679560185199</v>
      </c>
      <c r="C1357" s="87">
        <v>46271.681956018503</v>
      </c>
      <c r="D1357" t="str">
        <v>anónimo</v>
      </c>
      <c r="E1357" t="str">
        <v/>
      </c>
      <c r="F1357" s="68">
        <v>46271</v>
      </c>
      <c r="G1357" s="88">
        <v>46270</v>
      </c>
      <c r="H1357" t="str">
        <v>BEATRIZ DE LA CRUZ</v>
      </c>
      <c r="I1357" t="str">
        <v>JOSE PEREZ NAVARRO</v>
      </c>
      <c r="J1357" s="82" t="str">
        <v/>
      </c>
      <c r="K1357" t="str">
        <v>PENJ620309HMNRVS04</v>
      </c>
      <c r="L1357" s="82">
        <v>24272720</v>
      </c>
      <c r="M1357" s="82">
        <v>6221141654</v>
      </c>
      <c r="N1357" t="str">
        <v>COMPRA MAYOR</v>
      </c>
      <c r="O1357" s="89">
        <v>9081.52</v>
      </c>
      <c r="P1357" s="89">
        <v>2353.61</v>
      </c>
      <c r="Q1357" s="89">
        <v>2724.4560000000001</v>
      </c>
      <c r="R1357" s="89">
        <v>370.846</v>
      </c>
      <c r="S1357">
        <v>46266</v>
      </c>
      <c r="T1357" t="str">
        <v>PROFUTURO</v>
      </c>
      <c r="U1357">
        <v>2353.61</v>
      </c>
      <c r="V1357" t="str">
        <v>FERNANDA</v>
      </c>
      <c r="W1357">
        <v>46272</v>
      </c>
      <c r="X1357" t="str">
        <v/>
      </c>
    </row>
    <row r="1358" spans="1:24">
      <c r="A1358" s="26">
        <v>2689</v>
      </c>
      <c r="B1358" s="87">
        <v>46271.692951388897</v>
      </c>
      <c r="C1358" s="87">
        <v>46271.693564814799</v>
      </c>
      <c r="D1358" t="str">
        <v>anónimo</v>
      </c>
      <c r="E1358" t="str">
        <v/>
      </c>
      <c r="F1358" s="68">
        <v>46271</v>
      </c>
      <c r="G1358" s="88">
        <v>46271</v>
      </c>
      <c r="H1358" t="str">
        <v>MAYTE NAVARRO</v>
      </c>
      <c r="I1358" t="str">
        <v>Miguel Angel Sánchez Juárez</v>
      </c>
      <c r="J1358" s="82">
        <v>42976600835</v>
      </c>
      <c r="K1358" t="str">
        <v>SAJM660124HDFNRG03</v>
      </c>
      <c r="L1358" s="82">
        <v>24282944</v>
      </c>
      <c r="M1358" s="82">
        <v>7298240074</v>
      </c>
      <c r="N1358" t="str">
        <v>NUEVO MAYOR</v>
      </c>
      <c r="O1358" s="89">
        <v>11029.03</v>
      </c>
      <c r="P1358" s="89" t="str">
        <v/>
      </c>
      <c r="Q1358" s="89">
        <v>3308.7090000000003</v>
      </c>
      <c r="R1358" s="89">
        <v>3308.7090000000003</v>
      </c>
      <c r="S1358" t="str">
        <v/>
      </c>
      <c r="T1358" t="str">
        <v/>
      </c>
      <c r="U1358" t="str">
        <v/>
      </c>
      <c r="V1358" t="str">
        <v>ANA</v>
      </c>
      <c r="W1358">
        <v>46272</v>
      </c>
      <c r="X1358" t="str">
        <v/>
      </c>
    </row>
    <row r="1359" spans="1:24">
      <c r="A1359" s="26">
        <v>2698</v>
      </c>
      <c r="B1359" s="87">
        <v>46272.432534722197</v>
      </c>
      <c r="C1359" s="87">
        <v>46272.434432870403</v>
      </c>
      <c r="D1359" t="str">
        <v>anónimo</v>
      </c>
      <c r="E1359" t="str">
        <v/>
      </c>
      <c r="F1359" s="68">
        <v>46272</v>
      </c>
      <c r="G1359" s="88">
        <v>46271</v>
      </c>
      <c r="H1359" t="str">
        <v>MAYTE NAVARRO</v>
      </c>
      <c r="I1359" t="str">
        <v>AMADO MONTES MADRIGAL</v>
      </c>
      <c r="J1359" s="82" t="str">
        <v>55735524568</v>
      </c>
      <c r="K1359" t="str">
        <v>MOMA490913HNTNDM08</v>
      </c>
      <c r="L1359" s="82">
        <v>24288538</v>
      </c>
      <c r="M1359" s="82">
        <v>3111171997</v>
      </c>
      <c r="N1359" t="str">
        <v>NUEVO MAYOR</v>
      </c>
      <c r="O1359" s="89">
        <v>9081.52</v>
      </c>
      <c r="P1359" s="89" t="str">
        <v/>
      </c>
      <c r="Q1359" s="89">
        <v>2724.4560000000001</v>
      </c>
      <c r="R1359" s="89">
        <v>2724.4560000000001</v>
      </c>
      <c r="S1359" t="str">
        <v/>
      </c>
      <c r="T1359" t="str">
        <v/>
      </c>
      <c r="U1359">
        <v>5649.35</v>
      </c>
      <c r="V1359" t="str">
        <v>MAGALI</v>
      </c>
      <c r="W1359">
        <v>46272</v>
      </c>
      <c r="X1359" t="str">
        <v/>
      </c>
    </row>
    <row r="1360" spans="1:24">
      <c r="A1360" s="26">
        <v>2700</v>
      </c>
      <c r="B1360" s="87">
        <v>46272.449560185203</v>
      </c>
      <c r="C1360" s="87">
        <v>46272.450810185197</v>
      </c>
      <c r="D1360" t="str">
        <v>anónimo</v>
      </c>
      <c r="E1360" t="str">
        <v/>
      </c>
      <c r="F1360" s="68">
        <v>46272</v>
      </c>
      <c r="G1360" s="88">
        <v>46272</v>
      </c>
      <c r="H1360" t="str">
        <v>GIOVANNI MELGAR</v>
      </c>
      <c r="I1360" t="str">
        <v>ANALAURA HERNANDEZ CAMPOS</v>
      </c>
      <c r="J1360" s="82" t="str">
        <v>72796018389</v>
      </c>
      <c r="K1360" t="str">
        <v>HECA641127MGRRMN09</v>
      </c>
      <c r="L1360" s="82">
        <v>24292442</v>
      </c>
      <c r="M1360" s="82">
        <v>5217551067335</v>
      </c>
      <c r="N1360" t="str">
        <v>NUEVO MAYOR</v>
      </c>
      <c r="O1360" s="89">
        <v>9760.32</v>
      </c>
      <c r="P1360" s="89" t="str">
        <v/>
      </c>
      <c r="Q1360" s="89">
        <v>2928.096</v>
      </c>
      <c r="R1360" s="89">
        <v>2928.096</v>
      </c>
      <c r="S1360" t="str">
        <v/>
      </c>
      <c r="T1360" t="str">
        <v/>
      </c>
      <c r="U1360" t="str">
        <v/>
      </c>
      <c r="V1360" t="str">
        <v>CAROLINA</v>
      </c>
      <c r="W1360">
        <v>46272</v>
      </c>
      <c r="X1360" t="str">
        <v/>
      </c>
    </row>
    <row r="1361" spans="1:24">
      <c r="A1361" s="26">
        <v>2702</v>
      </c>
      <c r="B1361" s="87">
        <v>46270.715173611097</v>
      </c>
      <c r="C1361" s="87">
        <v>46272.459224537</v>
      </c>
      <c r="D1361" t="str">
        <v>anónimo</v>
      </c>
      <c r="E1361" t="str">
        <v/>
      </c>
      <c r="F1361" s="68">
        <v>46272</v>
      </c>
      <c r="G1361" s="88">
        <v>46272</v>
      </c>
      <c r="H1361" t="str">
        <v>RUTH MARTINEZ SUR</v>
      </c>
      <c r="I1361" t="str">
        <v>JUAN CAMPOS GOMEZ</v>
      </c>
      <c r="J1361" s="82" t="str">
        <v>32796203548</v>
      </c>
      <c r="K1361" t="str">
        <v>CAGJ621225HCLMMN01</v>
      </c>
      <c r="L1361" s="82">
        <v>24295476</v>
      </c>
      <c r="M1361" s="82">
        <v>5218781558704</v>
      </c>
      <c r="N1361" t="str">
        <v>RESTRINGIDA</v>
      </c>
      <c r="O1361" s="89">
        <v>8539.89</v>
      </c>
      <c r="P1361" s="89">
        <v>2261.88</v>
      </c>
      <c r="Q1361" s="89">
        <v>2561.9669999999996</v>
      </c>
      <c r="R1361" s="89">
        <v>300.08699999999953</v>
      </c>
      <c r="S1361">
        <v>45717</v>
      </c>
      <c r="T1361" t="str">
        <v>FISOFO</v>
      </c>
      <c r="U1361">
        <v>1781.49</v>
      </c>
      <c r="V1361" t="str">
        <v>DULCE</v>
      </c>
      <c r="W1361">
        <v>46272</v>
      </c>
      <c r="X1361" t="str">
        <v/>
      </c>
    </row>
    <row r="1362" spans="1:24">
      <c r="A1362" s="26">
        <v>2704</v>
      </c>
      <c r="B1362" s="87">
        <v>46272.474340277797</v>
      </c>
      <c r="C1362" s="87">
        <v>46272.475104166697</v>
      </c>
      <c r="D1362" t="str">
        <v>anónimo</v>
      </c>
      <c r="E1362" t="str">
        <v/>
      </c>
      <c r="F1362" s="68">
        <v>46272</v>
      </c>
      <c r="G1362" s="88">
        <v>46271</v>
      </c>
      <c r="H1362" t="str">
        <v>BEATRIZ DE LA CRUZ</v>
      </c>
      <c r="I1362" t="str">
        <v>MARIA DEL TRANSITO ZUÑIGA PAREDES</v>
      </c>
      <c r="J1362" s="82" t="str">
        <v/>
      </c>
      <c r="K1362" t="str">
        <v>ZUPT580912MDGXRR09</v>
      </c>
      <c r="L1362" s="82">
        <v>24283404</v>
      </c>
      <c r="M1362" s="82">
        <v>6678726796</v>
      </c>
      <c r="N1362" t="str">
        <v>COMPRA MENOR</v>
      </c>
      <c r="O1362" s="89">
        <v>6556.41</v>
      </c>
      <c r="P1362" s="89">
        <v>2097.29</v>
      </c>
      <c r="Q1362" s="89">
        <v>1966.9229999999998</v>
      </c>
      <c r="R1362" s="89">
        <v>-130.36700000000019</v>
      </c>
      <c r="S1362">
        <v>46266</v>
      </c>
      <c r="T1362" t="str">
        <v>INBURSA</v>
      </c>
      <c r="U1362">
        <v>680</v>
      </c>
      <c r="V1362" t="str">
        <v>HANIA</v>
      </c>
      <c r="W1362">
        <v>46272</v>
      </c>
      <c r="X1362" t="str">
        <v/>
      </c>
    </row>
    <row r="1363" spans="1:24">
      <c r="A1363" s="26">
        <v>2711</v>
      </c>
      <c r="B1363" s="87">
        <v>46272.459293981497</v>
      </c>
      <c r="C1363" s="87">
        <v>46272.495555555601</v>
      </c>
      <c r="D1363" t="str">
        <v>anónimo</v>
      </c>
      <c r="E1363" t="str">
        <v/>
      </c>
      <c r="F1363" s="68">
        <v>46272</v>
      </c>
      <c r="G1363" s="88">
        <v>46271</v>
      </c>
      <c r="H1363" t="str">
        <v>LIDIA GARZA</v>
      </c>
      <c r="I1363" t="str">
        <v>Ramon Geronimo Flores</v>
      </c>
      <c r="J1363" s="82" t="str">
        <v/>
      </c>
      <c r="K1363" t="str">
        <v>GEFR590917HJCRLM04</v>
      </c>
      <c r="L1363" s="82">
        <v>24283124</v>
      </c>
      <c r="M1363" s="82">
        <v>5213312940712</v>
      </c>
      <c r="N1363" t="str">
        <v>NUEVO MAYOR</v>
      </c>
      <c r="O1363" s="89">
        <v>10636.54</v>
      </c>
      <c r="P1363" s="89" t="str">
        <v/>
      </c>
      <c r="Q1363" s="89">
        <v>3190.962</v>
      </c>
      <c r="R1363" s="89">
        <v>3190.962</v>
      </c>
      <c r="S1363" t="str">
        <v/>
      </c>
      <c r="T1363" t="str">
        <v/>
      </c>
      <c r="U1363" t="str">
        <v/>
      </c>
      <c r="V1363" t="str">
        <v>KARINA</v>
      </c>
      <c r="W1363">
        <v>46272</v>
      </c>
      <c r="X1363" t="str">
        <v/>
      </c>
    </row>
    <row r="1364" spans="1:24">
      <c r="A1364" s="26">
        <v>2713</v>
      </c>
      <c r="B1364" s="87">
        <v>46272.493344907401</v>
      </c>
      <c r="C1364" s="87">
        <v>46272.505034722199</v>
      </c>
      <c r="D1364" t="str">
        <v>anónimo</v>
      </c>
      <c r="E1364" t="str">
        <v/>
      </c>
      <c r="F1364" s="68">
        <v>46272</v>
      </c>
      <c r="G1364" s="88">
        <v>46269</v>
      </c>
      <c r="H1364" t="str">
        <v>ROSA CASTRO SUR</v>
      </c>
      <c r="I1364" t="str">
        <v xml:space="preserve">LUIS MIGUEL HIDALGO MANZO </v>
      </c>
      <c r="J1364" s="82" t="str">
        <v>06805800759</v>
      </c>
      <c r="K1364" t="str">
        <v>HIML580513HDFDNS04</v>
      </c>
      <c r="L1364" s="82">
        <v>24254398</v>
      </c>
      <c r="M1364" s="82">
        <v>5215545889699</v>
      </c>
      <c r="N1364" t="str">
        <v>NUEVO MENOR</v>
      </c>
      <c r="O1364" s="89">
        <v>40143.839999999997</v>
      </c>
      <c r="P1364" s="89">
        <v>11605.36</v>
      </c>
      <c r="Q1364" s="89">
        <v>12043.151999999998</v>
      </c>
      <c r="R1364" s="89">
        <v>437.79199999999764</v>
      </c>
      <c r="S1364">
        <v>46661</v>
      </c>
      <c r="T1364" t="str">
        <v>OPCIPRES</v>
      </c>
      <c r="U1364">
        <v>11605.36</v>
      </c>
      <c r="V1364" t="str">
        <v>HECTOR</v>
      </c>
      <c r="W1364">
        <v>46272</v>
      </c>
      <c r="X1364" t="str">
        <v/>
      </c>
    </row>
    <row r="1365" spans="1:24">
      <c r="A1365" s="26">
        <v>2714</v>
      </c>
      <c r="B1365" s="87">
        <v>46272.5016666667</v>
      </c>
      <c r="C1365" s="87">
        <v>46272.506423611099</v>
      </c>
      <c r="D1365" t="str">
        <v>anónimo</v>
      </c>
      <c r="E1365" t="str">
        <v/>
      </c>
      <c r="F1365" s="68">
        <v>46272</v>
      </c>
      <c r="G1365" s="88">
        <v>46270</v>
      </c>
      <c r="H1365" t="str">
        <v>LIDIA GARZA</v>
      </c>
      <c r="I1365" t="str">
        <v/>
      </c>
      <c r="J1365" s="82" t="str">
        <v>11775941880</v>
      </c>
      <c r="K1365" t="str">
        <v>LOPE590517HDFPLD06</v>
      </c>
      <c r="L1365" s="82">
        <v>24274632</v>
      </c>
      <c r="M1365" s="82">
        <v>5215568781978</v>
      </c>
      <c r="N1365" t="str">
        <v>NUEVO MENOR</v>
      </c>
      <c r="O1365" s="89">
        <v>4813.6899999999996</v>
      </c>
      <c r="P1365" s="89" t="str">
        <v/>
      </c>
      <c r="Q1365" s="89">
        <v>1444.1069999999997</v>
      </c>
      <c r="R1365" s="89">
        <v>640.71</v>
      </c>
      <c r="S1365" t="str">
        <v/>
      </c>
      <c r="T1365" t="str">
        <v/>
      </c>
      <c r="U1365" t="str">
        <v/>
      </c>
      <c r="V1365" t="str">
        <v>HANIA</v>
      </c>
      <c r="W1365">
        <v>46272</v>
      </c>
      <c r="X1365" t="str">
        <v/>
      </c>
    </row>
    <row r="1366" spans="1:24">
      <c r="A1366" s="26">
        <v>2725</v>
      </c>
      <c r="B1366" s="87">
        <v>46272.560763888898</v>
      </c>
      <c r="C1366" s="87">
        <v>46272.561412037001</v>
      </c>
      <c r="D1366" t="str">
        <v>anónimo</v>
      </c>
      <c r="E1366" t="str">
        <v/>
      </c>
      <c r="F1366" s="68">
        <v>46272</v>
      </c>
      <c r="G1366" s="88">
        <v>46272</v>
      </c>
      <c r="H1366" t="str">
        <v>MAYTE NAVARRO</v>
      </c>
      <c r="I1366" t="str">
        <v>ELIAZAR MURILLO PEREZ</v>
      </c>
      <c r="J1366" s="82" t="str">
        <v/>
      </c>
      <c r="K1366" t="str">
        <v>MUPE641202HSPRRL03</v>
      </c>
      <c r="L1366" s="82">
        <v>24297332</v>
      </c>
      <c r="M1366" s="82">
        <v>4492907341</v>
      </c>
      <c r="N1366" t="str">
        <v>NUEVO MENOR</v>
      </c>
      <c r="O1366" s="89">
        <v>9760.32</v>
      </c>
      <c r="P1366" s="89">
        <v>1794.15</v>
      </c>
      <c r="Q1366" s="89">
        <v>2928.096</v>
      </c>
      <c r="R1366" s="89">
        <v>1133.9459999999999</v>
      </c>
      <c r="S1366">
        <v>46844</v>
      </c>
      <c r="T1366" t="str">
        <v>DOMEX</v>
      </c>
      <c r="U1366">
        <v>1794.15</v>
      </c>
      <c r="V1366" t="str">
        <v>HANIA</v>
      </c>
      <c r="W1366">
        <v>46272</v>
      </c>
      <c r="X1366" t="str">
        <v/>
      </c>
    </row>
    <row r="1367" spans="1:24">
      <c r="A1367" s="26">
        <v>2726</v>
      </c>
      <c r="B1367" s="87">
        <v>46272.568842592598</v>
      </c>
      <c r="C1367" s="87">
        <v>46272.5695486111</v>
      </c>
      <c r="D1367" t="str">
        <v>anónimo</v>
      </c>
      <c r="E1367" t="str">
        <v/>
      </c>
      <c r="F1367" s="68">
        <v>46272</v>
      </c>
      <c r="G1367" s="88">
        <v>46270</v>
      </c>
      <c r="H1367" t="str">
        <v>BEATRIZ DE LA CRUZ</v>
      </c>
      <c r="I1367" t="str">
        <v>JOSE DE JESUS ANGELES ARAIZA</v>
      </c>
      <c r="J1367" s="82" t="str">
        <v/>
      </c>
      <c r="K1367" t="str">
        <v>AEAJ571211HDFNRS02</v>
      </c>
      <c r="L1367" s="82">
        <v>24258382</v>
      </c>
      <c r="M1367" s="82">
        <v>5582870035</v>
      </c>
      <c r="N1367" t="str">
        <v>NUEVO MAYOR</v>
      </c>
      <c r="O1367" s="89">
        <v>6508.25</v>
      </c>
      <c r="P1367" s="89" t="str">
        <v/>
      </c>
      <c r="Q1367" s="89">
        <v>1952.4749999999999</v>
      </c>
      <c r="R1367" s="89">
        <v>1952.4749999999999</v>
      </c>
      <c r="S1367" t="str">
        <v/>
      </c>
      <c r="T1367" t="str">
        <v/>
      </c>
      <c r="U1367" t="str">
        <v/>
      </c>
      <c r="V1367" t="str">
        <v>IRASEMA</v>
      </c>
      <c r="W1367">
        <v>46272</v>
      </c>
      <c r="X1367" t="str">
        <v/>
      </c>
    </row>
    <row r="1368" spans="1:24">
      <c r="A1368" s="26">
        <v>2728</v>
      </c>
      <c r="B1368" s="87">
        <v>46272.586238425902</v>
      </c>
      <c r="C1368" s="87">
        <v>46272.589490740698</v>
      </c>
      <c r="D1368" t="str">
        <v>anónimo</v>
      </c>
      <c r="E1368" t="str">
        <v/>
      </c>
      <c r="F1368" s="68">
        <v>46272</v>
      </c>
      <c r="G1368" s="88">
        <v>46272</v>
      </c>
      <c r="H1368" t="str">
        <v>GIOVANNI MELGAR</v>
      </c>
      <c r="I1368" t="str">
        <v>GERARDO DAVID MIER TRUJILLO</v>
      </c>
      <c r="J1368" s="82" t="str">
        <v xml:space="preserve">32815909000
</v>
      </c>
      <c r="K1368" t="str">
        <v>MITG591229HDGRRR07</v>
      </c>
      <c r="L1368" s="82">
        <v>24295750</v>
      </c>
      <c r="M1368" s="82">
        <v>5218715208206</v>
      </c>
      <c r="N1368" t="str">
        <v>NUEVO MAYOR</v>
      </c>
      <c r="O1368" s="89">
        <v>5617.63</v>
      </c>
      <c r="P1368" s="89" t="str">
        <v/>
      </c>
      <c r="Q1368" s="89">
        <v>1685.289</v>
      </c>
      <c r="R1368" s="89">
        <v>1444.6500000000005</v>
      </c>
      <c r="S1368" t="str">
        <v/>
      </c>
      <c r="T1368" t="str">
        <v/>
      </c>
      <c r="U1368" t="str">
        <v/>
      </c>
      <c r="V1368" t="str">
        <v>EDNA</v>
      </c>
      <c r="W1368">
        <v>46272</v>
      </c>
      <c r="X1368" t="str">
        <v/>
      </c>
    </row>
    <row r="1369" spans="1:24">
      <c r="A1369" s="26">
        <v>2729</v>
      </c>
      <c r="B1369" s="87">
        <v>46272.589236111096</v>
      </c>
      <c r="C1369" s="87">
        <v>46272.590231481503</v>
      </c>
      <c r="D1369" t="str">
        <v>anónimo</v>
      </c>
      <c r="E1369" t="str">
        <v/>
      </c>
      <c r="F1369" s="68">
        <v>46272</v>
      </c>
      <c r="G1369" s="88">
        <v>46272</v>
      </c>
      <c r="H1369" t="str">
        <v>BEATRIZ DE LA CRUZ</v>
      </c>
      <c r="I1369" t="str">
        <v>JESUS EDEN  SANCHEZ TORRES</v>
      </c>
      <c r="J1369" s="82" t="str">
        <v/>
      </c>
      <c r="K1369" t="str">
        <v>SATJ660102HVZNRS02</v>
      </c>
      <c r="L1369" s="82">
        <v>24297288</v>
      </c>
      <c r="M1369" s="82">
        <v>2292258905</v>
      </c>
      <c r="N1369" t="str">
        <v>NUEVO MAYOR</v>
      </c>
      <c r="O1369" s="89">
        <v>10636.36</v>
      </c>
      <c r="P1369" s="89" t="str">
        <v/>
      </c>
      <c r="Q1369" s="89">
        <v>3190.9079999999999</v>
      </c>
      <c r="R1369" s="89">
        <v>3190.9079999999999</v>
      </c>
      <c r="S1369" t="str">
        <v/>
      </c>
      <c r="T1369" t="str">
        <v/>
      </c>
      <c r="U1369" t="str">
        <v/>
      </c>
      <c r="V1369" t="str">
        <v>CAROLINA</v>
      </c>
      <c r="W1369">
        <v>46272</v>
      </c>
      <c r="X1369" t="str">
        <v/>
      </c>
    </row>
    <row r="1370" spans="1:24">
      <c r="A1370" s="26">
        <v>2732</v>
      </c>
      <c r="B1370" s="87">
        <v>46272.602592592601</v>
      </c>
      <c r="C1370" s="87">
        <v>46272.608738425901</v>
      </c>
      <c r="D1370" t="str">
        <v>anónimo</v>
      </c>
      <c r="E1370" t="str">
        <v/>
      </c>
      <c r="F1370" s="68">
        <v>46272</v>
      </c>
      <c r="G1370" s="88">
        <v>46271</v>
      </c>
      <c r="H1370" t="str">
        <v>RUTH MARTINEZ SUR</v>
      </c>
      <c r="I1370" t="str">
        <v>FRANCISCO CERON</v>
      </c>
      <c r="J1370" s="82">
        <v>10786035583</v>
      </c>
      <c r="K1370" t="str">
        <v>CEXF611004HDFRXR05</v>
      </c>
      <c r="L1370" s="82">
        <v>24287632</v>
      </c>
      <c r="M1370" s="82">
        <v>5215534164563</v>
      </c>
      <c r="N1370" t="str">
        <v>NUEVO MAYOR</v>
      </c>
      <c r="O1370" s="89">
        <v>35969.39</v>
      </c>
      <c r="P1370" s="89" t="str">
        <v/>
      </c>
      <c r="Q1370" s="89">
        <v>10790.816999999999</v>
      </c>
      <c r="R1370" s="89">
        <v>10790.816999999999</v>
      </c>
      <c r="S1370" t="str">
        <v/>
      </c>
      <c r="T1370" t="str">
        <v/>
      </c>
      <c r="U1370" t="str">
        <v/>
      </c>
      <c r="V1370" t="str">
        <v>PAOLA</v>
      </c>
      <c r="W1370">
        <v>46272</v>
      </c>
      <c r="X1370" t="str">
        <v/>
      </c>
    </row>
    <row r="1371" spans="1:24">
      <c r="A1371" s="26">
        <v>2733</v>
      </c>
      <c r="B1371" s="87">
        <v>46272.607627314799</v>
      </c>
      <c r="C1371" s="87">
        <v>46272.610393518502</v>
      </c>
      <c r="D1371" t="str">
        <v>anónimo</v>
      </c>
      <c r="E1371" t="str">
        <v/>
      </c>
      <c r="F1371" s="68">
        <v>46272</v>
      </c>
      <c r="G1371" s="88">
        <v>46271</v>
      </c>
      <c r="H1371" t="str">
        <v>LILIANA MARTINEZ SUR</v>
      </c>
      <c r="I1371" t="str">
        <v>EVELIA PERALTA ORTEGA</v>
      </c>
      <c r="J1371" s="82" t="str">
        <v/>
      </c>
      <c r="K1371" t="str">
        <v>PEOE600705MDFRRV03</v>
      </c>
      <c r="L1371" s="82">
        <v>24289344</v>
      </c>
      <c r="M1371" s="82">
        <v>5215527709409</v>
      </c>
      <c r="N1371" t="str">
        <v>NUEVO MENOR</v>
      </c>
      <c r="O1371" s="89">
        <v>6262.86</v>
      </c>
      <c r="P1371" s="89">
        <v>879</v>
      </c>
      <c r="Q1371" s="89">
        <v>1878.8579999999997</v>
      </c>
      <c r="R1371" s="89">
        <v>999.85799999999972</v>
      </c>
      <c r="S1371" t="str">
        <v/>
      </c>
      <c r="T1371" t="str">
        <v/>
      </c>
      <c r="U1371" t="str">
        <v/>
      </c>
      <c r="V1371" t="str">
        <v>HECTOR</v>
      </c>
      <c r="W1371">
        <v>46272</v>
      </c>
      <c r="X1371" t="str">
        <v/>
      </c>
    </row>
    <row r="1372" spans="1:24">
      <c r="A1372" s="26">
        <v>2736</v>
      </c>
      <c r="B1372" s="87">
        <v>46272.657743055599</v>
      </c>
      <c r="C1372" s="87">
        <v>46272.658449074101</v>
      </c>
      <c r="D1372" t="str">
        <v>anónimo</v>
      </c>
      <c r="E1372" t="str">
        <v/>
      </c>
      <c r="F1372" s="68">
        <v>46272</v>
      </c>
      <c r="G1372" s="88">
        <v>46272</v>
      </c>
      <c r="H1372" t="str">
        <v>BEATRIZ DE LA CRUZ</v>
      </c>
      <c r="I1372" t="str">
        <v>JOSE ANGEL NIÑO MORIN</v>
      </c>
      <c r="J1372" s="82" t="str">
        <v/>
      </c>
      <c r="K1372" t="str">
        <v>NIMA640412HSPXRN04</v>
      </c>
      <c r="L1372" s="82">
        <v>24292658</v>
      </c>
      <c r="M1372" s="82">
        <v>8124006060</v>
      </c>
      <c r="N1372" t="str">
        <v>COMPRA MAYOR</v>
      </c>
      <c r="O1372" s="89">
        <v>9081.52</v>
      </c>
      <c r="P1372" s="89">
        <v>2516.75</v>
      </c>
      <c r="Q1372" s="89">
        <v>2724.4560000000001</v>
      </c>
      <c r="R1372" s="89">
        <v>207.70600000000013</v>
      </c>
      <c r="S1372">
        <v>46204</v>
      </c>
      <c r="T1372" t="str">
        <v>DIMEX</v>
      </c>
      <c r="U1372">
        <v>2516.75</v>
      </c>
      <c r="V1372" t="str">
        <v>GABRIELA</v>
      </c>
      <c r="W1372">
        <v>46272</v>
      </c>
      <c r="X1372" t="str">
        <v/>
      </c>
    </row>
    <row r="1373" spans="1:24">
      <c r="A1373" s="26">
        <v>2739</v>
      </c>
      <c r="B1373" s="87">
        <v>46272.632986111101</v>
      </c>
      <c r="C1373" s="87">
        <v>46272.667256944398</v>
      </c>
      <c r="D1373" t="str">
        <v>anónimo</v>
      </c>
      <c r="E1373" t="str">
        <v/>
      </c>
      <c r="F1373" s="68">
        <v>46272</v>
      </c>
      <c r="G1373" s="88">
        <v>46271</v>
      </c>
      <c r="H1373" t="str">
        <v>LILIANA MARTINEZ SUR</v>
      </c>
      <c r="I1373" t="str">
        <v>OLEGARIO ARCE VILLEGAS</v>
      </c>
      <c r="J1373" s="82" t="str">
        <v/>
      </c>
      <c r="K1373" t="str">
        <v>AEVO710702HBSRLL05</v>
      </c>
      <c r="L1373" s="82">
        <v>24288606</v>
      </c>
      <c r="M1373" s="82">
        <v>5216151599764</v>
      </c>
      <c r="N1373" t="str">
        <v>NUEVO MAYOR</v>
      </c>
      <c r="O1373" s="89">
        <v>96277.41</v>
      </c>
      <c r="P1373" s="89">
        <v>13700.2</v>
      </c>
      <c r="Q1373" s="89">
        <v>28883.223000000002</v>
      </c>
      <c r="R1373" s="89">
        <v>15183.023000000001</v>
      </c>
      <c r="S1373">
        <v>46023</v>
      </c>
      <c r="T1373" t="str">
        <v>CONSUPAGO</v>
      </c>
      <c r="U1373">
        <v>13700.2</v>
      </c>
      <c r="V1373" t="str">
        <v>DANIELLY</v>
      </c>
      <c r="W1373">
        <v>46272</v>
      </c>
      <c r="X1373" t="str">
        <v/>
      </c>
    </row>
    <row r="1374" spans="1:24">
      <c r="A1374" s="26">
        <v>2741</v>
      </c>
      <c r="B1374" s="87">
        <v>46272.655219907399</v>
      </c>
      <c r="C1374" s="87">
        <v>46272.6768981481</v>
      </c>
      <c r="D1374" t="str">
        <v>anónimo</v>
      </c>
      <c r="E1374" t="str">
        <v/>
      </c>
      <c r="F1374" s="68">
        <v>46272</v>
      </c>
      <c r="G1374" s="88">
        <v>46272</v>
      </c>
      <c r="H1374" t="str">
        <v>LILIANA MARTINEZ SUR</v>
      </c>
      <c r="I1374" t="str">
        <v>RAUL ANTONIO GONZALEZ DURAN</v>
      </c>
      <c r="J1374" s="82">
        <v>67856570576</v>
      </c>
      <c r="K1374" t="str">
        <v>GODR651108HVZNRL09</v>
      </c>
      <c r="L1374" s="82">
        <v>24299364</v>
      </c>
      <c r="M1374" s="82">
        <v>5218122055931</v>
      </c>
      <c r="N1374" t="str">
        <v>NUEVO MAYOR</v>
      </c>
      <c r="O1374" s="89">
        <v>10636.54</v>
      </c>
      <c r="P1374" s="89" t="str">
        <v/>
      </c>
      <c r="Q1374" s="89">
        <v>3190.962</v>
      </c>
      <c r="R1374" s="89">
        <v>3190.962</v>
      </c>
      <c r="S1374" t="str">
        <v/>
      </c>
      <c r="T1374" t="str">
        <v/>
      </c>
      <c r="U1374" t="str">
        <v/>
      </c>
      <c r="V1374" t="str">
        <v>IRASEMA</v>
      </c>
      <c r="W1374">
        <v>46272</v>
      </c>
      <c r="X1374" t="str">
        <v/>
      </c>
    </row>
    <row r="1375" spans="1:24">
      <c r="A1375" s="26">
        <v>2743</v>
      </c>
      <c r="B1375" s="87">
        <v>46272.6930671296</v>
      </c>
      <c r="C1375" s="87">
        <v>46272.693541666697</v>
      </c>
      <c r="D1375" t="str">
        <v>anónimo</v>
      </c>
      <c r="E1375" t="str">
        <v/>
      </c>
      <c r="F1375" s="68">
        <v>46272</v>
      </c>
      <c r="G1375" s="88">
        <v>46272</v>
      </c>
      <c r="H1375" t="str">
        <v>GIOVANNI MELGAR</v>
      </c>
      <c r="I1375" t="str">
        <v>REYNALDO FELIPE GONZALEZ FLORES</v>
      </c>
      <c r="J1375" s="82" t="str">
        <v/>
      </c>
      <c r="K1375" t="str">
        <v>GOFR640314HNLNLY05</v>
      </c>
      <c r="L1375" s="82">
        <v>24300162</v>
      </c>
      <c r="M1375" s="82">
        <v>24300162</v>
      </c>
      <c r="N1375" t="str">
        <v>NUEVO MENOR</v>
      </c>
      <c r="O1375" s="89">
        <v>29304.58</v>
      </c>
      <c r="P1375" s="89">
        <v>8128.52</v>
      </c>
      <c r="Q1375" s="89">
        <v>8791.3739999999998</v>
      </c>
      <c r="R1375" s="89">
        <v>662.85399999999936</v>
      </c>
      <c r="S1375">
        <v>46296</v>
      </c>
      <c r="T1375" t="str">
        <v>OPCIPRES</v>
      </c>
      <c r="U1375">
        <v>8128.52</v>
      </c>
      <c r="V1375" t="str">
        <v>HANIA</v>
      </c>
      <c r="W1375">
        <v>46272</v>
      </c>
      <c r="X1375" t="str">
        <v/>
      </c>
    </row>
    <row r="1376" spans="1:24">
      <c r="A1376" s="26">
        <v>2752</v>
      </c>
      <c r="B1376" s="87">
        <v>46272.696469907401</v>
      </c>
      <c r="C1376" s="87">
        <v>46272.7160532407</v>
      </c>
      <c r="D1376" t="str">
        <v>anónimo</v>
      </c>
      <c r="E1376" t="str">
        <v/>
      </c>
      <c r="F1376" s="68">
        <v>46272</v>
      </c>
      <c r="G1376" s="88">
        <v>46272</v>
      </c>
      <c r="H1376" t="str">
        <v>ROSA CASTRO SUR</v>
      </c>
      <c r="I1376" t="str">
        <v>ROSA ELVA</v>
      </c>
      <c r="J1376" s="82">
        <v>23785612385</v>
      </c>
      <c r="K1376" t="str">
        <v/>
      </c>
      <c r="L1376" s="82">
        <v>24302184</v>
      </c>
      <c r="M1376" s="82">
        <v>5216871299700</v>
      </c>
      <c r="N1376" t="str">
        <v>NUEVO MAYOR</v>
      </c>
      <c r="O1376" s="89">
        <v>7128.48</v>
      </c>
      <c r="P1376" s="89" t="str">
        <v/>
      </c>
      <c r="Q1376" s="89">
        <v>2138.5439999999999</v>
      </c>
      <c r="R1376" s="89">
        <v>2138.5439999999999</v>
      </c>
      <c r="S1376" t="str">
        <v/>
      </c>
      <c r="T1376" t="str">
        <v/>
      </c>
      <c r="U1376" t="str">
        <v/>
      </c>
      <c r="V1376" t="str">
        <v>GABRIELA</v>
      </c>
      <c r="W1376">
        <v>46272</v>
      </c>
      <c r="X1376" t="str">
        <v/>
      </c>
    </row>
    <row r="1377" spans="1:24">
      <c r="A1377" s="26">
        <v>2753</v>
      </c>
      <c r="B1377" s="87">
        <v>46272.716481481497</v>
      </c>
      <c r="C1377" s="87">
        <v>46272.722222222197</v>
      </c>
      <c r="D1377" t="str">
        <v>anónimo</v>
      </c>
      <c r="E1377" t="str">
        <v/>
      </c>
      <c r="F1377" s="68">
        <v>46272</v>
      </c>
      <c r="G1377" s="88">
        <v>46272</v>
      </c>
      <c r="H1377" t="str">
        <v>LILIANA MARTINEZ SUR</v>
      </c>
      <c r="I1377" t="str">
        <v xml:space="preserve">ELOY LEYVA DELGADO </v>
      </c>
      <c r="J1377" s="82" t="str">
        <v>01896201462</v>
      </c>
      <c r="K1377" t="str">
        <v xml:space="preserve"> LEDE621011HDFYLL06</v>
      </c>
      <c r="L1377" s="82">
        <v>24293446</v>
      </c>
      <c r="M1377" s="82">
        <v>5215515049507</v>
      </c>
      <c r="N1377" t="str">
        <v>NUEVO MAYOR</v>
      </c>
      <c r="O1377" s="89">
        <v>37107.230000000003</v>
      </c>
      <c r="P1377" s="89">
        <v>879</v>
      </c>
      <c r="Q1377" s="89">
        <v>11132.169</v>
      </c>
      <c r="R1377" s="89">
        <v>10253.169</v>
      </c>
      <c r="S1377" t="str">
        <v/>
      </c>
      <c r="T1377" t="str">
        <v/>
      </c>
      <c r="U1377" t="str">
        <v/>
      </c>
      <c r="V1377" t="str">
        <v>GABRIELA</v>
      </c>
      <c r="W1377">
        <v>46272</v>
      </c>
      <c r="X1377" t="str">
        <v/>
      </c>
    </row>
    <row r="1378" spans="1:24">
      <c r="A1378" s="26">
        <v>2755</v>
      </c>
      <c r="B1378" s="87">
        <v>46272.729664351798</v>
      </c>
      <c r="C1378" s="87">
        <v>46272.730196759301</v>
      </c>
      <c r="D1378" t="str">
        <v>anónimo</v>
      </c>
      <c r="E1378" t="str">
        <v/>
      </c>
      <c r="F1378" s="68">
        <v>46272</v>
      </c>
      <c r="G1378" s="88">
        <v>46272</v>
      </c>
      <c r="H1378" t="str">
        <v>BEATRIZ DE LA CRUZ</v>
      </c>
      <c r="I1378" t="str">
        <v>MARIO VICUÑA AVILES</v>
      </c>
      <c r="J1378" s="82" t="str">
        <v/>
      </c>
      <c r="K1378" t="str">
        <v>VIAM500101HDFCVR09</v>
      </c>
      <c r="L1378" s="82">
        <v>24289718</v>
      </c>
      <c r="M1378" s="82">
        <v>7777877917</v>
      </c>
      <c r="N1378" t="str">
        <v>NUEVO MENOR</v>
      </c>
      <c r="O1378" s="89">
        <v>12541.61</v>
      </c>
      <c r="P1378" s="89">
        <v>3084.9</v>
      </c>
      <c r="Q1378" s="89">
        <v>3762.4830000000002</v>
      </c>
      <c r="R1378" s="89">
        <v>677.58300000000008</v>
      </c>
      <c r="S1378">
        <v>46508</v>
      </c>
      <c r="T1378" t="str">
        <v>FISOFO</v>
      </c>
      <c r="U1378">
        <v>607.34</v>
      </c>
      <c r="V1378" t="str">
        <v>HANIA</v>
      </c>
      <c r="W1378">
        <v>46272</v>
      </c>
      <c r="X1378" t="str">
        <v/>
      </c>
    </row>
    <row r="1379" spans="1:24">
      <c r="A1379" s="26">
        <v>2756</v>
      </c>
      <c r="B1379" s="87">
        <v>46272.555520833303</v>
      </c>
      <c r="C1379" s="87">
        <v>46272.7344212963</v>
      </c>
      <c r="D1379" t="str">
        <v>anónimo</v>
      </c>
      <c r="E1379" t="str">
        <v/>
      </c>
      <c r="F1379" s="68">
        <v>46272</v>
      </c>
      <c r="G1379" s="88">
        <v>46272</v>
      </c>
      <c r="H1379" t="str">
        <v>LIDIA GARZA</v>
      </c>
      <c r="I1379" t="str">
        <v>José Guadalupe Martinez Aguilar</v>
      </c>
      <c r="J1379" s="82">
        <v>43826629701</v>
      </c>
      <c r="K1379" t="str">
        <v/>
      </c>
      <c r="L1379" s="82">
        <v>24302618</v>
      </c>
      <c r="M1379" s="82">
        <v>5214271277825</v>
      </c>
      <c r="N1379" t="str">
        <v>NUEVO MAYOR</v>
      </c>
      <c r="O1379" s="89">
        <v>10636.54</v>
      </c>
      <c r="P1379" s="89" t="str">
        <v/>
      </c>
      <c r="Q1379" s="89">
        <v>3190.962</v>
      </c>
      <c r="R1379" s="89">
        <v>3190.962</v>
      </c>
      <c r="S1379" t="str">
        <v/>
      </c>
      <c r="T1379" t="str">
        <v/>
      </c>
      <c r="U1379" t="str">
        <v/>
      </c>
      <c r="V1379" t="str">
        <v>GABRIELA</v>
      </c>
      <c r="W1379">
        <v>46272</v>
      </c>
      <c r="X1379" t="str">
        <v/>
      </c>
    </row>
    <row r="1380" spans="1:24">
      <c r="A1380" s="26">
        <v>2760</v>
      </c>
      <c r="B1380" s="87">
        <v>46272.758807870399</v>
      </c>
      <c r="C1380" s="87">
        <v>46272.759606481501</v>
      </c>
      <c r="D1380" t="str">
        <v>anónimo</v>
      </c>
      <c r="E1380" t="str">
        <v/>
      </c>
      <c r="F1380" s="68">
        <v>46272</v>
      </c>
      <c r="G1380" s="88">
        <v>46271</v>
      </c>
      <c r="H1380" t="str">
        <v>MAYTE NAVARRO</v>
      </c>
      <c r="I1380" t="str">
        <v>MIGUEL ANGEL HERNANDEZ LIRA</v>
      </c>
      <c r="J1380" s="82" t="str">
        <v/>
      </c>
      <c r="K1380" t="str">
        <v>HELM660105HJCRRG01</v>
      </c>
      <c r="L1380" s="82">
        <v>24284696</v>
      </c>
      <c r="M1380" s="82">
        <v>3114454831</v>
      </c>
      <c r="N1380" t="str">
        <v>NUEVO MENOR</v>
      </c>
      <c r="O1380" s="89">
        <v>11029.03</v>
      </c>
      <c r="P1380" s="89">
        <v>2410.62</v>
      </c>
      <c r="Q1380" s="89">
        <v>3308.7090000000003</v>
      </c>
      <c r="R1380" s="89">
        <v>898.0890000000004</v>
      </c>
      <c r="S1380">
        <v>46966</v>
      </c>
      <c r="T1380" t="str">
        <v>DIMEX</v>
      </c>
      <c r="U1380">
        <v>2410.62</v>
      </c>
      <c r="V1380" t="str">
        <v>HANIA</v>
      </c>
      <c r="W1380">
        <v>46272</v>
      </c>
      <c r="X1380" t="str">
        <v/>
      </c>
    </row>
    <row r="1381" spans="1:24">
      <c r="A1381" s="26">
        <v>2761</v>
      </c>
      <c r="B1381" s="87">
        <v>46272.762534722198</v>
      </c>
      <c r="C1381" s="87">
        <v>46272.763009259303</v>
      </c>
      <c r="D1381" t="str">
        <v>anónimo</v>
      </c>
      <c r="E1381" t="str">
        <v/>
      </c>
      <c r="F1381" s="68">
        <v>46272</v>
      </c>
      <c r="G1381" s="88">
        <v>46272</v>
      </c>
      <c r="H1381" t="str">
        <v>BEATRIZ DE LA CRUZ</v>
      </c>
      <c r="I1381" t="str">
        <v>LINO GUERRERO TORRES</v>
      </c>
      <c r="J1381" s="82" t="str">
        <v/>
      </c>
      <c r="K1381" t="str">
        <v>GUTL630826HCLRRN08</v>
      </c>
      <c r="L1381" s="82">
        <v>24302664</v>
      </c>
      <c r="M1381" s="82">
        <v>8714689811</v>
      </c>
      <c r="N1381" t="str">
        <v>NUEVO MAYOR</v>
      </c>
      <c r="O1381" s="89">
        <v>10636.54</v>
      </c>
      <c r="P1381" s="89" t="str">
        <v/>
      </c>
      <c r="Q1381" s="89">
        <v>3190.962</v>
      </c>
      <c r="R1381" s="89">
        <v>3190.962</v>
      </c>
      <c r="S1381" t="str">
        <v/>
      </c>
      <c r="T1381" t="str">
        <v/>
      </c>
      <c r="U1381" t="str">
        <v/>
      </c>
      <c r="V1381" t="str">
        <v>ITZELH</v>
      </c>
      <c r="W1381">
        <v>46273</v>
      </c>
      <c r="X1381" t="str">
        <v/>
      </c>
    </row>
    <row r="1382" spans="1:24">
      <c r="A1382" s="26">
        <v>2762</v>
      </c>
      <c r="B1382" s="87">
        <v>46272.734456018501</v>
      </c>
      <c r="C1382" s="87">
        <v>46272.763969907399</v>
      </c>
      <c r="D1382" t="str">
        <v>anónimo</v>
      </c>
      <c r="E1382" t="str">
        <v/>
      </c>
      <c r="F1382" s="68">
        <v>46272</v>
      </c>
      <c r="G1382" s="88">
        <v>46272</v>
      </c>
      <c r="H1382" t="str">
        <v>LIDIA GARZA</v>
      </c>
      <c r="I1382" t="str">
        <v>Pedro Manuel Zazueta Ramos</v>
      </c>
      <c r="J1382" s="82" t="str">
        <v/>
      </c>
      <c r="K1382" t="str">
        <v>ZARP630311HSLZMD07</v>
      </c>
      <c r="L1382" s="82">
        <v>24302978</v>
      </c>
      <c r="M1382" s="82">
        <v>5216677914857</v>
      </c>
      <c r="N1382" t="str">
        <v>RESTRINGIDA</v>
      </c>
      <c r="O1382" s="89">
        <v>18141.43</v>
      </c>
      <c r="P1382" s="89">
        <v>4809.04</v>
      </c>
      <c r="Q1382" s="89">
        <v>5442.4290000000001</v>
      </c>
      <c r="R1382" s="89">
        <v>633.38900000000012</v>
      </c>
      <c r="S1382">
        <v>46054</v>
      </c>
      <c r="T1382" t="str">
        <v>OPCIPRES</v>
      </c>
      <c r="U1382">
        <v>4809.04</v>
      </c>
      <c r="V1382" t="str">
        <v>DULCE</v>
      </c>
      <c r="W1382">
        <v>46273</v>
      </c>
      <c r="X1382" t="str">
        <v/>
      </c>
    </row>
    <row r="1383" spans="1:24">
      <c r="A1383" s="26">
        <v>2763</v>
      </c>
      <c r="B1383" s="87">
        <v>46273.389131944401</v>
      </c>
      <c r="C1383" s="87">
        <v>46273.393587963001</v>
      </c>
      <c r="D1383" t="str">
        <v>anónimo</v>
      </c>
      <c r="E1383" t="str">
        <v/>
      </c>
      <c r="F1383" s="68">
        <v>46273</v>
      </c>
      <c r="G1383" s="88">
        <v>46273</v>
      </c>
      <c r="H1383" t="str">
        <v>ROSA CASTRO SUR</v>
      </c>
      <c r="I1383" t="str">
        <v xml:space="preserve">MARTHA YADIRA MEDINA VAZQUEZ </v>
      </c>
      <c r="J1383" s="82">
        <v>52765701298</v>
      </c>
      <c r="K1383" t="str">
        <v>MEVM721116MCMDZR08</v>
      </c>
      <c r="L1383" s="82">
        <v>24314542</v>
      </c>
      <c r="M1383" s="82">
        <v>5213141658160</v>
      </c>
      <c r="N1383" t="str">
        <v>NUEVO MENOR</v>
      </c>
      <c r="O1383" s="89">
        <v>4820.03</v>
      </c>
      <c r="P1383" s="89" t="str">
        <v/>
      </c>
      <c r="Q1383" s="89">
        <v>1446.0089999999998</v>
      </c>
      <c r="R1383" s="89">
        <v>647.05000000000018</v>
      </c>
      <c r="S1383" t="str">
        <v/>
      </c>
      <c r="T1383" t="str">
        <v/>
      </c>
      <c r="U1383" t="str">
        <v/>
      </c>
      <c r="V1383" t="str">
        <v>HECTOR</v>
      </c>
      <c r="W1383">
        <v>46273</v>
      </c>
      <c r="X1383" t="str">
        <v/>
      </c>
    </row>
    <row r="1384" spans="1:24">
      <c r="A1384" s="26">
        <v>2764</v>
      </c>
      <c r="B1384" s="87">
        <v>46273.394050925897</v>
      </c>
      <c r="C1384" s="87">
        <v>46273.394768518498</v>
      </c>
      <c r="D1384" t="str">
        <v>anónimo</v>
      </c>
      <c r="E1384" t="str">
        <v/>
      </c>
      <c r="F1384" s="68">
        <v>46273</v>
      </c>
      <c r="G1384" s="88">
        <v>46272</v>
      </c>
      <c r="H1384" t="str">
        <v>GIOVANNI MELGAR</v>
      </c>
      <c r="I1384" t="str">
        <v>FRANCISCO DE ASIS LOPEZ BAREA</v>
      </c>
      <c r="J1384" s="82" t="str">
        <v>85724723912</v>
      </c>
      <c r="K1384" t="str">
        <v>LOBF471004HYNPRR06</v>
      </c>
      <c r="L1384" s="82">
        <v>24303880</v>
      </c>
      <c r="M1384" s="82">
        <v>5219911337021</v>
      </c>
      <c r="N1384" t="str">
        <v>NUEVO MAYOR</v>
      </c>
      <c r="O1384" s="89">
        <v>11128.02</v>
      </c>
      <c r="P1384" s="89" t="str">
        <v/>
      </c>
      <c r="Q1384" s="89">
        <v>3338.4059999999999</v>
      </c>
      <c r="R1384" s="89">
        <v>3338.4059999999999</v>
      </c>
      <c r="S1384" t="str">
        <v/>
      </c>
      <c r="T1384" t="str">
        <v/>
      </c>
      <c r="U1384" t="str">
        <v/>
      </c>
      <c r="V1384" t="str">
        <v>DANIELLY</v>
      </c>
      <c r="W1384">
        <v>46273</v>
      </c>
      <c r="X1384" t="str">
        <v/>
      </c>
    </row>
    <row r="1385" spans="1:24">
      <c r="A1385" s="26">
        <v>2765</v>
      </c>
      <c r="B1385" s="87">
        <v>46273.333472222199</v>
      </c>
      <c r="C1385" s="87">
        <v>46273.399803240703</v>
      </c>
      <c r="D1385" t="str">
        <v>anónimo</v>
      </c>
      <c r="E1385" t="str">
        <v/>
      </c>
      <c r="F1385" s="68">
        <v>46273</v>
      </c>
      <c r="G1385" s="88">
        <v>46273</v>
      </c>
      <c r="H1385" t="str">
        <v>YAMILETH CARDONA EXT 2</v>
      </c>
      <c r="I1385" t="str">
        <v>DARIO RODRIGUEZ LOPEZ</v>
      </c>
      <c r="J1385" s="82">
        <v>12684921955</v>
      </c>
      <c r="K1385" t="str">
        <v>ROLD491219HGTDPR01</v>
      </c>
      <c r="L1385" s="82">
        <v>2</v>
      </c>
      <c r="M1385" s="82" t="str">
        <v>464 102 6592</v>
      </c>
      <c r="N1385" t="str">
        <v>NUEVO MENOR</v>
      </c>
      <c r="O1385" s="89">
        <v>5279.63</v>
      </c>
      <c r="P1385" s="89" t="str">
        <v/>
      </c>
      <c r="Q1385" s="89">
        <v>1583.8889999999999</v>
      </c>
      <c r="R1385" s="89">
        <v>1106.6500000000005</v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</row>
    <row r="1386" spans="1:24">
      <c r="A1386" s="26">
        <v>2769</v>
      </c>
      <c r="B1386" s="87">
        <v>46273.410347222198</v>
      </c>
      <c r="C1386" s="87">
        <v>46273.411215277803</v>
      </c>
      <c r="D1386" t="str">
        <v>anónimo</v>
      </c>
      <c r="E1386" t="str">
        <v/>
      </c>
      <c r="F1386" s="68">
        <v>46273</v>
      </c>
      <c r="G1386" s="88">
        <v>46273</v>
      </c>
      <c r="H1386" t="str">
        <v>ALAN ALTAMIRANO EXT</v>
      </c>
      <c r="I1386" t="str">
        <v xml:space="preserve">Fidel López Martínez </v>
      </c>
      <c r="J1386" s="82" t="str">
        <v/>
      </c>
      <c r="K1386" t="str">
        <v>LOMF500323HDGPRD06</v>
      </c>
      <c r="L1386" s="82">
        <v>1</v>
      </c>
      <c r="M1386" s="82">
        <v>8714380309</v>
      </c>
      <c r="N1386" t="str">
        <v>NUEVO MAYOR</v>
      </c>
      <c r="O1386" s="89">
        <v>7111.89</v>
      </c>
      <c r="P1386" s="89" t="str">
        <v/>
      </c>
      <c r="Q1386" s="89">
        <v>2133.567</v>
      </c>
      <c r="R1386" s="89">
        <v>2133.567</v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</row>
    <row r="1387" spans="1:24">
      <c r="A1387" s="26">
        <v>2770</v>
      </c>
      <c r="B1387" s="87">
        <v>46273.437731481499</v>
      </c>
      <c r="C1387" s="87">
        <v>46273.439606481501</v>
      </c>
      <c r="D1387" t="str">
        <v>anónimo</v>
      </c>
      <c r="E1387" t="str">
        <v/>
      </c>
      <c r="F1387" s="68">
        <v>46273</v>
      </c>
      <c r="G1387" s="88">
        <v>46271</v>
      </c>
      <c r="H1387" t="str">
        <v>MAYTE NAVARRO</v>
      </c>
      <c r="I1387" t="str">
        <v/>
      </c>
      <c r="J1387" s="82" t="str">
        <v>06705024187</v>
      </c>
      <c r="K1387" t="str">
        <v>VERL500111HSRLMP05</v>
      </c>
      <c r="L1387" s="82">
        <v>24306106</v>
      </c>
      <c r="M1387" s="82">
        <v>5591007340</v>
      </c>
      <c r="N1387" t="str">
        <v>COMPRA MAYOR</v>
      </c>
      <c r="O1387" s="89">
        <v>30327.4</v>
      </c>
      <c r="P1387" s="89">
        <v>8076.3</v>
      </c>
      <c r="Q1387" s="89">
        <v>9098.2199999999993</v>
      </c>
      <c r="R1387" s="89">
        <v>1021.9199999999992</v>
      </c>
      <c r="S1387">
        <v>45689</v>
      </c>
      <c r="T1387" t="str">
        <v>DIMEX</v>
      </c>
      <c r="U1387">
        <v>8076.3</v>
      </c>
      <c r="V1387" t="str">
        <v>MAGALI</v>
      </c>
      <c r="W1387">
        <v>46273</v>
      </c>
      <c r="X1387" t="str">
        <v/>
      </c>
    </row>
    <row r="1388" spans="1:24">
      <c r="A1388" s="26">
        <v>2773</v>
      </c>
      <c r="B1388" s="87">
        <v>46273.376793981501</v>
      </c>
      <c r="C1388" s="87">
        <v>46273.4551041667</v>
      </c>
      <c r="D1388" t="str">
        <v>anónimo</v>
      </c>
      <c r="E1388" t="str">
        <v/>
      </c>
      <c r="F1388" s="68">
        <v>46273</v>
      </c>
      <c r="G1388" s="88">
        <v>46210</v>
      </c>
      <c r="H1388" t="str">
        <v>GUADALUPE BECERRA</v>
      </c>
      <c r="I1388" t="str">
        <v>MARCO ANTONIO NOVELI BUENFIL</v>
      </c>
      <c r="J1388" s="82">
        <v>82846500427</v>
      </c>
      <c r="K1388" t="str">
        <v>NOBM661107HQRVNR08</v>
      </c>
      <c r="L1388" s="82">
        <v>22442836</v>
      </c>
      <c r="M1388" s="82">
        <v>5219833328426</v>
      </c>
      <c r="N1388" t="str">
        <v>COMPRA MAYOR</v>
      </c>
      <c r="O1388" s="89">
        <v>5500.02</v>
      </c>
      <c r="P1388" s="89">
        <v>1227.94</v>
      </c>
      <c r="Q1388" s="89">
        <v>1650.0060000000001</v>
      </c>
      <c r="R1388" s="89">
        <v>99.100000000000819</v>
      </c>
      <c r="S1388">
        <v>46266</v>
      </c>
      <c r="T1388" t="str">
        <v>DIMEX</v>
      </c>
      <c r="U1388">
        <v>1227.94</v>
      </c>
      <c r="V1388" t="str">
        <v>GUADALUPE</v>
      </c>
      <c r="W1388" t="str">
        <v/>
      </c>
      <c r="X1388" t="str">
        <v/>
      </c>
    </row>
    <row r="1389" spans="1:24">
      <c r="A1389" s="26">
        <v>2776</v>
      </c>
      <c r="B1389" s="87">
        <v>46273.4774189815</v>
      </c>
      <c r="C1389" s="87">
        <v>46273.478483796302</v>
      </c>
      <c r="D1389" t="str">
        <v>anónimo</v>
      </c>
      <c r="E1389" t="str">
        <v/>
      </c>
      <c r="F1389" s="68">
        <v>46273</v>
      </c>
      <c r="G1389" s="88">
        <v>46271</v>
      </c>
      <c r="H1389" t="str">
        <v>MAYTE NAVARRO</v>
      </c>
      <c r="I1389" t="str">
        <v>José Luis Armando de la Garza Sánchez</v>
      </c>
      <c r="J1389" s="82">
        <v>32856442432</v>
      </c>
      <c r="K1389" t="str">
        <v>GASL640426HCLRNS04</v>
      </c>
      <c r="L1389" s="82">
        <v>24282658</v>
      </c>
      <c r="M1389" s="82">
        <v>8781353824</v>
      </c>
      <c r="N1389" t="str">
        <v>NUEVO MAYOR</v>
      </c>
      <c r="O1389" s="89">
        <v>11029.03</v>
      </c>
      <c r="P1389" s="89">
        <v>879</v>
      </c>
      <c r="Q1389" s="89">
        <v>3308.7090000000003</v>
      </c>
      <c r="R1389" s="89">
        <v>2429.7090000000003</v>
      </c>
      <c r="S1389" t="str">
        <v/>
      </c>
      <c r="T1389" t="str">
        <v/>
      </c>
      <c r="U1389" t="str">
        <v/>
      </c>
      <c r="V1389" t="str">
        <v>KARINA</v>
      </c>
      <c r="W1389">
        <v>46273</v>
      </c>
      <c r="X1389" t="str">
        <v/>
      </c>
    </row>
    <row r="1390" spans="1:24">
      <c r="A1390" s="26">
        <v>2778</v>
      </c>
      <c r="B1390" s="87">
        <v>46272.763993055603</v>
      </c>
      <c r="C1390" s="87">
        <v>46273.4919212963</v>
      </c>
      <c r="D1390" t="str">
        <v>anónimo</v>
      </c>
      <c r="E1390" t="str">
        <v/>
      </c>
      <c r="F1390" s="68">
        <v>46273</v>
      </c>
      <c r="G1390" s="88">
        <v>46271</v>
      </c>
      <c r="H1390" t="str">
        <v>LIDIA GARZA</v>
      </c>
      <c r="I1390" t="str">
        <v>Rodrigo Lopez Diaz</v>
      </c>
      <c r="J1390" s="82">
        <v>78826104610</v>
      </c>
      <c r="K1390" t="str">
        <v>LODR610817HOCPZD05</v>
      </c>
      <c r="L1390" s="82">
        <v>24285520</v>
      </c>
      <c r="M1390" s="82">
        <v>5219513046786</v>
      </c>
      <c r="N1390" t="str">
        <v>COMPRA MENOR</v>
      </c>
      <c r="O1390" s="89">
        <v>5055.87</v>
      </c>
      <c r="P1390" s="89">
        <v>1063.3499999999999</v>
      </c>
      <c r="Q1390" s="89">
        <v>1516.761</v>
      </c>
      <c r="R1390" s="89">
        <v>-180.45999999999958</v>
      </c>
      <c r="S1390">
        <v>45474</v>
      </c>
      <c r="T1390" t="str">
        <v>FORTALEZA, BANCREA</v>
      </c>
      <c r="U1390">
        <v>1063.3499999999999</v>
      </c>
      <c r="V1390" t="str">
        <v>HECTOR</v>
      </c>
      <c r="W1390">
        <v>46273</v>
      </c>
      <c r="X1390" t="str">
        <v/>
      </c>
    </row>
    <row r="1391" spans="1:24">
      <c r="A1391" s="26">
        <v>2779</v>
      </c>
      <c r="B1391" s="87">
        <v>46273.447280092601</v>
      </c>
      <c r="C1391" s="87">
        <v>46273.496041666702</v>
      </c>
      <c r="D1391" t="str">
        <v>anónimo</v>
      </c>
      <c r="E1391" t="str">
        <v/>
      </c>
      <c r="F1391" s="68">
        <v>46273</v>
      </c>
      <c r="G1391" s="88">
        <v>46272</v>
      </c>
      <c r="H1391" t="str">
        <v>ROSA CASTRO SUR</v>
      </c>
      <c r="I1391" t="str">
        <v xml:space="preserve">ALFONSO MORALES </v>
      </c>
      <c r="J1391" s="82">
        <v>64836325791</v>
      </c>
      <c r="K1391" t="str">
        <v/>
      </c>
      <c r="L1391" s="82">
        <v>24306348</v>
      </c>
      <c r="M1391" s="82">
        <v>5217771352346</v>
      </c>
      <c r="N1391" t="str">
        <v>NUEVO MENOR</v>
      </c>
      <c r="O1391" s="89">
        <v>58238.879999999997</v>
      </c>
      <c r="P1391" s="89">
        <v>16831.599999999999</v>
      </c>
      <c r="Q1391" s="89">
        <v>17471.663999999997</v>
      </c>
      <c r="R1391" s="89">
        <v>640.06399999999849</v>
      </c>
      <c r="S1391">
        <v>46447</v>
      </c>
      <c r="T1391" t="str">
        <v>CONSUPAGO</v>
      </c>
      <c r="U1391">
        <v>678.73</v>
      </c>
      <c r="V1391" t="str">
        <v>HANIA</v>
      </c>
      <c r="W1391">
        <v>46273</v>
      </c>
      <c r="X1391" t="str">
        <v/>
      </c>
    </row>
    <row r="1392" spans="1:24">
      <c r="A1392" s="26">
        <v>2783</v>
      </c>
      <c r="B1392" s="87">
        <v>46273.496481481503</v>
      </c>
      <c r="C1392" s="87">
        <v>46273.5074074074</v>
      </c>
      <c r="D1392" t="str">
        <v>anónimo</v>
      </c>
      <c r="E1392" t="str">
        <v/>
      </c>
      <c r="F1392" s="68">
        <v>46273</v>
      </c>
      <c r="G1392" s="88">
        <v>46272</v>
      </c>
      <c r="H1392" t="str">
        <v>LIDIA GARZA</v>
      </c>
      <c r="I1392" t="str">
        <v>juan gonzalez hernandez</v>
      </c>
      <c r="J1392" s="82" t="str">
        <v/>
      </c>
      <c r="K1392" t="str">
        <v>GOHJ660314HTLNRN01</v>
      </c>
      <c r="L1392" s="82">
        <v>24305176</v>
      </c>
      <c r="M1392" s="82">
        <v>5215654791021</v>
      </c>
      <c r="N1392" t="str">
        <v>NUEVO MAYOR</v>
      </c>
      <c r="O1392" s="89">
        <v>10636.54</v>
      </c>
      <c r="P1392" s="89" t="str">
        <v/>
      </c>
      <c r="Q1392" s="89">
        <v>3190.962</v>
      </c>
      <c r="R1392" s="89">
        <v>3190.962</v>
      </c>
      <c r="S1392" t="str">
        <v/>
      </c>
      <c r="T1392" t="str">
        <v/>
      </c>
      <c r="U1392" t="str">
        <v/>
      </c>
      <c r="V1392" t="str">
        <v>MIRIAM</v>
      </c>
      <c r="W1392">
        <v>46273</v>
      </c>
      <c r="X1392" t="str">
        <v/>
      </c>
    </row>
    <row r="1393" spans="1:24">
      <c r="A1393" s="26">
        <v>2784</v>
      </c>
      <c r="B1393" s="87">
        <v>46273.496053240699</v>
      </c>
      <c r="C1393" s="87">
        <v>46273.513020833299</v>
      </c>
      <c r="D1393" t="str">
        <v>anónimo</v>
      </c>
      <c r="E1393" t="str">
        <v/>
      </c>
      <c r="F1393" s="68">
        <v>46273</v>
      </c>
      <c r="G1393" s="88">
        <v>46272</v>
      </c>
      <c r="H1393" t="str">
        <v>ROSA CASTRO SUR</v>
      </c>
      <c r="I1393" t="str">
        <v xml:space="preserve">ALICIA ISABEL FUENTES ORTEGA </v>
      </c>
      <c r="J1393" s="82" t="str">
        <v>96937002994</v>
      </c>
      <c r="K1393" t="str">
        <v>FUOA770508MDFNRL00</v>
      </c>
      <c r="L1393" s="82">
        <v>24307352</v>
      </c>
      <c r="M1393" s="82">
        <v>5215613021491</v>
      </c>
      <c r="N1393" t="str">
        <v>NUEVO MAYOR</v>
      </c>
      <c r="O1393" s="89">
        <v>9098.57</v>
      </c>
      <c r="P1393" s="89" t="str">
        <v/>
      </c>
      <c r="Q1393" s="89">
        <v>2729.5709999999999</v>
      </c>
      <c r="R1393" s="89">
        <v>2729.5709999999999</v>
      </c>
      <c r="S1393" t="str">
        <v/>
      </c>
      <c r="T1393" t="str">
        <v/>
      </c>
      <c r="U1393" t="str">
        <v/>
      </c>
      <c r="V1393" t="str">
        <v>IRASEMA</v>
      </c>
      <c r="W1393">
        <v>46273</v>
      </c>
      <c r="X1393" t="str">
        <v/>
      </c>
    </row>
    <row r="1394" spans="1:24">
      <c r="A1394" s="26">
        <v>2786</v>
      </c>
      <c r="B1394" s="87">
        <v>46273.5074537037</v>
      </c>
      <c r="C1394" s="87">
        <v>46273.531064814801</v>
      </c>
      <c r="D1394" t="str">
        <v>anónimo</v>
      </c>
      <c r="E1394" t="str">
        <v/>
      </c>
      <c r="F1394" s="68">
        <v>46273</v>
      </c>
      <c r="G1394" s="88">
        <v>46272</v>
      </c>
      <c r="H1394" t="str">
        <v>LIDIA GARZA</v>
      </c>
      <c r="I1394" t="str">
        <v>Boris Mauricio Reynolds Chávez</v>
      </c>
      <c r="J1394" s="82" t="str">
        <v>65926618573</v>
      </c>
      <c r="K1394" t="str">
        <v/>
      </c>
      <c r="L1394" s="82">
        <v>24298956</v>
      </c>
      <c r="M1394" s="82">
        <v>5212292417134</v>
      </c>
      <c r="N1394" t="str">
        <v>NUEVO MAYOR</v>
      </c>
      <c r="O1394" s="89">
        <v>10636.54</v>
      </c>
      <c r="P1394" s="89" t="str">
        <v/>
      </c>
      <c r="Q1394" s="89">
        <v>3190.962</v>
      </c>
      <c r="R1394" s="89">
        <v>3190.962</v>
      </c>
      <c r="S1394" t="str">
        <v/>
      </c>
      <c r="T1394" t="str">
        <v/>
      </c>
      <c r="U1394" t="str">
        <v/>
      </c>
      <c r="V1394" t="str">
        <v>ITZELH</v>
      </c>
      <c r="W1394">
        <v>46273</v>
      </c>
      <c r="X1394" t="str">
        <v/>
      </c>
    </row>
    <row r="1395" spans="1:24">
      <c r="A1395" s="26">
        <v>2790</v>
      </c>
      <c r="B1395" s="87">
        <v>46273.531099537002</v>
      </c>
      <c r="C1395" s="87">
        <v>46273.566736111097</v>
      </c>
      <c r="D1395" t="str">
        <v>anónimo</v>
      </c>
      <c r="E1395" t="str">
        <v/>
      </c>
      <c r="F1395" s="68">
        <v>46273</v>
      </c>
      <c r="G1395" s="88">
        <v>46271</v>
      </c>
      <c r="H1395" t="str">
        <v>LIDIA GARZA</v>
      </c>
      <c r="I1395" t="str">
        <v>LEOPOLDO RAUL GOMEZ GARCIA</v>
      </c>
      <c r="J1395" s="82" t="str">
        <v>01755771902</v>
      </c>
      <c r="K1395" t="str">
        <v>GOGL571212HDFMRP06</v>
      </c>
      <c r="L1395" s="82">
        <v>24286836</v>
      </c>
      <c r="M1395" s="82">
        <v>5216121573006</v>
      </c>
      <c r="N1395" t="str">
        <v>NUEVO MAYOR</v>
      </c>
      <c r="O1395" s="89">
        <v>9738.67</v>
      </c>
      <c r="P1395" s="89" t="str">
        <v/>
      </c>
      <c r="Q1395" s="89">
        <v>2921.6010000000001</v>
      </c>
      <c r="R1395" s="89">
        <v>2921.6010000000001</v>
      </c>
      <c r="S1395" t="str">
        <v/>
      </c>
      <c r="T1395" t="str">
        <v/>
      </c>
      <c r="U1395" t="str">
        <v/>
      </c>
      <c r="V1395" t="str">
        <v>ANA</v>
      </c>
      <c r="W1395">
        <v>46273</v>
      </c>
      <c r="X1395" t="str">
        <v/>
      </c>
    </row>
    <row r="1396" spans="1:24">
      <c r="A1396" s="26">
        <v>2796</v>
      </c>
      <c r="B1396" s="87">
        <v>46273.599421296298</v>
      </c>
      <c r="C1396" s="87">
        <v>46273.6394097222</v>
      </c>
      <c r="D1396" t="str">
        <v>anónimo</v>
      </c>
      <c r="E1396" t="str">
        <v/>
      </c>
      <c r="F1396" s="68">
        <v>46273</v>
      </c>
      <c r="G1396" s="88">
        <v>46273</v>
      </c>
      <c r="H1396" t="str">
        <v>YAMILETH CARDONA EXT 2</v>
      </c>
      <c r="I1396" t="str">
        <v>JAVIER RIVERA TORRES</v>
      </c>
      <c r="J1396" s="82">
        <v>43796400208</v>
      </c>
      <c r="K1396" t="str">
        <v>RITJ640214HNLVRV00</v>
      </c>
      <c r="L1396" s="82">
        <v>2</v>
      </c>
      <c r="M1396" s="82" t="str">
        <v>81 2911 6742</v>
      </c>
      <c r="N1396" t="str">
        <v>COMPRA MENOR</v>
      </c>
      <c r="O1396" s="89">
        <v>7920.51</v>
      </c>
      <c r="P1396" s="89">
        <v>2266.25</v>
      </c>
      <c r="Q1396" s="89">
        <v>2376.1529999999998</v>
      </c>
      <c r="R1396" s="89">
        <v>109.90299999999979</v>
      </c>
      <c r="S1396">
        <v>46266</v>
      </c>
      <c r="T1396" t="str">
        <v>ATTENDO</v>
      </c>
      <c r="U1396">
        <v>313.47000000000003</v>
      </c>
      <c r="V1396" t="str">
        <v/>
      </c>
      <c r="W1396" t="str">
        <v/>
      </c>
      <c r="X1396" t="str">
        <v/>
      </c>
    </row>
    <row r="1397" spans="1:24">
      <c r="A1397" s="26">
        <v>2798</v>
      </c>
      <c r="B1397" s="87">
        <v>46273.624537037002</v>
      </c>
      <c r="C1397" s="87">
        <v>46273.6422453704</v>
      </c>
      <c r="D1397" t="str">
        <v>anónimo</v>
      </c>
      <c r="E1397" t="str">
        <v/>
      </c>
      <c r="F1397" s="68">
        <v>46273</v>
      </c>
      <c r="G1397" s="88">
        <v>46273</v>
      </c>
      <c r="H1397" t="str">
        <v>RUTH MARTINEZ SUR</v>
      </c>
      <c r="I1397" t="str">
        <v>ISAIAS SANCHEZ PONCE</v>
      </c>
      <c r="J1397" s="82" t="str">
        <v xml:space="preserve">43826314494
</v>
      </c>
      <c r="K1397" t="str">
        <v>SAPI630706HNLNNS01</v>
      </c>
      <c r="L1397" s="82">
        <v>24323240</v>
      </c>
      <c r="M1397" s="82">
        <v>5218115567613</v>
      </c>
      <c r="N1397" t="str">
        <v>NUEVO MENOR</v>
      </c>
      <c r="O1397" s="89">
        <v>9081.52</v>
      </c>
      <c r="P1397" s="89">
        <v>2053.5700000000002</v>
      </c>
      <c r="Q1397" s="89">
        <v>2724.4560000000001</v>
      </c>
      <c r="R1397" s="89">
        <v>670.88599999999997</v>
      </c>
      <c r="S1397">
        <v>46388</v>
      </c>
      <c r="T1397" t="str">
        <v>MULTIVA</v>
      </c>
      <c r="U1397">
        <v>980</v>
      </c>
      <c r="V1397" t="str">
        <v>HECTOR</v>
      </c>
      <c r="W1397">
        <v>46273</v>
      </c>
      <c r="X1397" t="str">
        <v/>
      </c>
    </row>
    <row r="1398" spans="1:24">
      <c r="A1398" s="26">
        <v>2800</v>
      </c>
      <c r="B1398" s="87">
        <v>46273.669259259303</v>
      </c>
      <c r="C1398" s="87">
        <v>46273.669930555603</v>
      </c>
      <c r="D1398" t="str">
        <v>anónimo</v>
      </c>
      <c r="E1398" t="str">
        <v/>
      </c>
      <c r="F1398" s="68">
        <v>46273</v>
      </c>
      <c r="G1398" s="88">
        <v>46273</v>
      </c>
      <c r="H1398" t="str">
        <v>MAYTE NAVARRO</v>
      </c>
      <c r="I1398" t="str">
        <v>FELIPE MARTIN GONZALEZ RAMIREZ</v>
      </c>
      <c r="J1398" s="82" t="str">
        <v/>
      </c>
      <c r="K1398" t="str">
        <v>GORF630518HDFNML01</v>
      </c>
      <c r="L1398" s="82">
        <v>24324380</v>
      </c>
      <c r="M1398" s="82">
        <v>5562321757</v>
      </c>
      <c r="N1398" t="str">
        <v>COMPRA MAYOR</v>
      </c>
      <c r="O1398" s="89">
        <v>9081.52</v>
      </c>
      <c r="P1398" s="89">
        <v>2510.52</v>
      </c>
      <c r="Q1398" s="89">
        <v>2724.4560000000001</v>
      </c>
      <c r="R1398" s="89">
        <v>213.93600000000015</v>
      </c>
      <c r="S1398">
        <v>46174</v>
      </c>
      <c r="T1398" t="str">
        <v>PROFUTURO</v>
      </c>
      <c r="U1398">
        <v>2510.52</v>
      </c>
      <c r="V1398" t="str">
        <v>HANIA</v>
      </c>
      <c r="W1398">
        <v>46273</v>
      </c>
      <c r="X1398" t="str">
        <v/>
      </c>
    </row>
    <row r="1399" spans="1:24">
      <c r="A1399" s="26">
        <v>2806</v>
      </c>
      <c r="B1399" s="87">
        <v>46273.715277777803</v>
      </c>
      <c r="C1399" s="87">
        <v>46273.715937499997</v>
      </c>
      <c r="D1399" t="str">
        <v>anónimo</v>
      </c>
      <c r="E1399" t="str">
        <v/>
      </c>
      <c r="F1399" s="68">
        <v>46273</v>
      </c>
      <c r="G1399" s="88">
        <v>46273</v>
      </c>
      <c r="H1399" t="str">
        <v>BEATRIZ DE LA CRUZ</v>
      </c>
      <c r="I1399" t="str">
        <v>MARIA TERESA JASSO ESTEVEZ</v>
      </c>
      <c r="J1399" s="82">
        <v>1665032387</v>
      </c>
      <c r="K1399" t="str">
        <v>JAET531112MDFSSR02</v>
      </c>
      <c r="L1399" s="82">
        <v>24326482</v>
      </c>
      <c r="M1399" s="82">
        <v>7773635757</v>
      </c>
      <c r="N1399" t="str">
        <v>NUEVO MAYOR</v>
      </c>
      <c r="O1399" s="89">
        <v>13022.67</v>
      </c>
      <c r="P1399" s="89">
        <v>848</v>
      </c>
      <c r="Q1399" s="89">
        <v>3906.8009999999999</v>
      </c>
      <c r="R1399" s="89">
        <v>3058.8009999999999</v>
      </c>
      <c r="S1399" t="str">
        <v/>
      </c>
      <c r="T1399" t="str">
        <v/>
      </c>
      <c r="U1399" t="str">
        <v/>
      </c>
      <c r="V1399" t="str">
        <v>GLORIA</v>
      </c>
      <c r="W1399">
        <v>46273</v>
      </c>
      <c r="X1399" t="str">
        <v/>
      </c>
    </row>
    <row r="1400" spans="1:24">
      <c r="A1400" s="26">
        <v>2808</v>
      </c>
      <c r="B1400" s="87">
        <v>46273.729976851901</v>
      </c>
      <c r="C1400" s="87">
        <v>46273.730833333299</v>
      </c>
      <c r="D1400" t="str">
        <v>anónimo</v>
      </c>
      <c r="E1400" t="str">
        <v/>
      </c>
      <c r="F1400" s="68">
        <v>46273</v>
      </c>
      <c r="G1400" s="88">
        <v>46273</v>
      </c>
      <c r="H1400" t="str">
        <v>MAYTE NAVARRO</v>
      </c>
      <c r="I1400" t="str">
        <v>GILBERTO CASTRO ANGULO</v>
      </c>
      <c r="J1400" s="82" t="str">
        <v/>
      </c>
      <c r="K1400" t="str">
        <v>CAAG650904HSLSNL05</v>
      </c>
      <c r="L1400" s="82">
        <v>24327170</v>
      </c>
      <c r="M1400" s="82">
        <v>6731183381</v>
      </c>
      <c r="N1400" t="str">
        <v>NUEVO MAYOR</v>
      </c>
      <c r="O1400" s="89">
        <v>34118.07</v>
      </c>
      <c r="P1400" s="89">
        <v>8819.91</v>
      </c>
      <c r="Q1400" s="89">
        <v>10235.421</v>
      </c>
      <c r="R1400" s="89">
        <v>1415.5110000000004</v>
      </c>
      <c r="S1400">
        <v>46235</v>
      </c>
      <c r="T1400" t="str">
        <v>MULTIVA</v>
      </c>
      <c r="U1400">
        <v>8819.91</v>
      </c>
      <c r="V1400" t="str">
        <v>GLORIA</v>
      </c>
      <c r="W1400">
        <v>46273</v>
      </c>
      <c r="X1400" t="str">
        <v/>
      </c>
    </row>
    <row r="1401" spans="1:24">
      <c r="A1401" s="26">
        <v>2811</v>
      </c>
      <c r="B1401" s="87">
        <v>46273.746851851902</v>
      </c>
      <c r="C1401" s="87">
        <v>46273.747627314799</v>
      </c>
      <c r="D1401" t="str">
        <v>anónimo</v>
      </c>
      <c r="E1401" t="str">
        <v/>
      </c>
      <c r="F1401" s="68">
        <v>46273</v>
      </c>
      <c r="G1401" s="88">
        <v>46273</v>
      </c>
      <c r="H1401" t="str">
        <v>GIOVANNI MELGAR</v>
      </c>
      <c r="I1401" t="str">
        <v>JOSE MANUEL VAZQUEZ HERNADEZ</v>
      </c>
      <c r="J1401" s="82" t="str">
        <v xml:space="preserve">62826017501
</v>
      </c>
      <c r="K1401" t="str">
        <v>VAHM600315HPLZRN13</v>
      </c>
      <c r="L1401" s="82">
        <v>24314556</v>
      </c>
      <c r="M1401" s="82">
        <v>5212227875193</v>
      </c>
      <c r="N1401" t="str">
        <v>COMPRA MAYOR</v>
      </c>
      <c r="O1401" s="89">
        <v>5617.63</v>
      </c>
      <c r="P1401" s="89">
        <v>1336</v>
      </c>
      <c r="Q1401" s="89">
        <v>1685.289</v>
      </c>
      <c r="R1401" s="89">
        <v>108.65000000000055</v>
      </c>
      <c r="S1401">
        <v>46235</v>
      </c>
      <c r="T1401" t="str">
        <v>MULTIVA</v>
      </c>
      <c r="U1401">
        <v>1336</v>
      </c>
      <c r="V1401" t="str">
        <v>MIRIAM</v>
      </c>
      <c r="W1401">
        <v>46273</v>
      </c>
      <c r="X1401" t="str">
        <v/>
      </c>
    </row>
    <row r="1402" spans="1:24">
      <c r="A1402" s="26">
        <v>2812</v>
      </c>
      <c r="B1402" s="87">
        <v>46273.742974537003</v>
      </c>
      <c r="C1402" s="87">
        <v>46273.748541666697</v>
      </c>
      <c r="D1402" t="str">
        <v>anónimo</v>
      </c>
      <c r="E1402" t="str">
        <v/>
      </c>
      <c r="F1402" s="68">
        <v>46273</v>
      </c>
      <c r="G1402" s="88">
        <v>46273</v>
      </c>
      <c r="H1402" t="str">
        <v>LILIANA MARTINEZ SUR</v>
      </c>
      <c r="I1402" t="str">
        <v>GERARDO SALVADOR HERRERA MURILLO</v>
      </c>
      <c r="J1402" s="82" t="str">
        <v/>
      </c>
      <c r="K1402" t="str">
        <v>HEMG660505HNLRRR03</v>
      </c>
      <c r="L1402" s="82">
        <v>24325512</v>
      </c>
      <c r="M1402" s="82">
        <v>5218121553212</v>
      </c>
      <c r="N1402" t="str">
        <v>NUEVO MAYOR</v>
      </c>
      <c r="O1402" s="89">
        <v>10636.54</v>
      </c>
      <c r="P1402" s="89">
        <v>0</v>
      </c>
      <c r="Q1402" s="89">
        <v>3190.962</v>
      </c>
      <c r="R1402" s="89">
        <v>3190.962</v>
      </c>
      <c r="S1402" t="str">
        <v/>
      </c>
      <c r="T1402" t="str">
        <v/>
      </c>
      <c r="U1402" t="str">
        <v/>
      </c>
      <c r="V1402" t="str">
        <v>ANA</v>
      </c>
      <c r="W1402">
        <v>46273</v>
      </c>
      <c r="X1402" t="str">
        <v/>
      </c>
    </row>
    <row r="1403" spans="1:24">
      <c r="A1403" s="26">
        <v>2813</v>
      </c>
      <c r="B1403" s="87">
        <v>46273.7025810185</v>
      </c>
      <c r="C1403" s="87">
        <v>46273.794513888897</v>
      </c>
      <c r="D1403" t="str">
        <v>anónimo</v>
      </c>
      <c r="E1403" t="str">
        <v/>
      </c>
      <c r="F1403" s="68">
        <v>46273</v>
      </c>
      <c r="G1403" s="88">
        <v>46273</v>
      </c>
      <c r="H1403" t="str">
        <v>LIDIA GARZA</v>
      </c>
      <c r="I1403" t="str">
        <v>ERIC FRANCISCO MONTERO AVILA</v>
      </c>
      <c r="J1403" s="82" t="str">
        <v/>
      </c>
      <c r="K1403" t="str">
        <v>MOAE640705HDFNVR07</v>
      </c>
      <c r="L1403" s="82">
        <v>24328262</v>
      </c>
      <c r="M1403" s="82">
        <v>5219992334759</v>
      </c>
      <c r="N1403" t="str">
        <v>NUEVO MAYOR</v>
      </c>
      <c r="O1403" s="89">
        <v>40466.639999999999</v>
      </c>
      <c r="P1403" s="89" t="str">
        <v/>
      </c>
      <c r="Q1403" s="89">
        <v>12139.992</v>
      </c>
      <c r="R1403" s="89">
        <v>12139.992</v>
      </c>
      <c r="S1403" t="str">
        <v/>
      </c>
      <c r="T1403" t="str">
        <v/>
      </c>
      <c r="U1403" t="str">
        <v/>
      </c>
      <c r="V1403" t="str">
        <v>ITZEL CARRANZA</v>
      </c>
      <c r="W1403">
        <v>46274</v>
      </c>
      <c r="X1403" t="str">
        <v/>
      </c>
    </row>
    <row r="1404" spans="1:24">
      <c r="A1404" s="26">
        <v>2816</v>
      </c>
      <c r="B1404" s="87">
        <v>46274.377604166701</v>
      </c>
      <c r="C1404" s="87">
        <v>46274.378275463001</v>
      </c>
      <c r="D1404" t="str">
        <v>anónimo</v>
      </c>
      <c r="E1404" t="str">
        <v/>
      </c>
      <c r="F1404" s="68">
        <v>46274</v>
      </c>
      <c r="G1404" s="88">
        <v>46273</v>
      </c>
      <c r="H1404" t="str">
        <v>BEATRIZ DE LA CRUZ</v>
      </c>
      <c r="I1404" t="str">
        <v>JOSE DE JESUS TALAVERA RAMOS</v>
      </c>
      <c r="J1404" s="82" t="str">
        <v/>
      </c>
      <c r="K1404" t="str">
        <v>TARJ610730HJCLMS02</v>
      </c>
      <c r="L1404" s="82">
        <v>24332524</v>
      </c>
      <c r="M1404" s="82">
        <v>3321896844</v>
      </c>
      <c r="N1404" t="str">
        <v>NUEVO MAYOR</v>
      </c>
      <c r="O1404" s="89">
        <v>12344</v>
      </c>
      <c r="P1404" s="89" t="str">
        <v/>
      </c>
      <c r="Q1404" s="89">
        <v>3703.2</v>
      </c>
      <c r="R1404" s="89">
        <v>3703.2</v>
      </c>
      <c r="S1404" t="str">
        <v/>
      </c>
      <c r="T1404" t="str">
        <v/>
      </c>
      <c r="U1404" t="str">
        <v/>
      </c>
      <c r="V1404" t="str">
        <v>CAROLINA</v>
      </c>
      <c r="W1404">
        <v>46274</v>
      </c>
      <c r="X1404" t="str">
        <v/>
      </c>
    </row>
    <row r="1405" spans="1:24">
      <c r="A1405" s="26">
        <v>2819</v>
      </c>
      <c r="B1405" s="87">
        <v>46273.642280092601</v>
      </c>
      <c r="C1405" s="87">
        <v>46274.409479166701</v>
      </c>
      <c r="D1405" t="str">
        <v>anónimo</v>
      </c>
      <c r="E1405" t="str">
        <v/>
      </c>
      <c r="F1405" s="68">
        <v>46274</v>
      </c>
      <c r="G1405" s="88">
        <v>46273</v>
      </c>
      <c r="H1405" t="str">
        <v>RUTH MARTINEZ SUR</v>
      </c>
      <c r="I1405" t="str">
        <v>MARIO ALBERTO CAZARES DEL TORO</v>
      </c>
      <c r="J1405" s="82">
        <v>43856579636</v>
      </c>
      <c r="K1405" t="str">
        <v>CATM650301HNLZRR04</v>
      </c>
      <c r="L1405" s="82">
        <v>24324502</v>
      </c>
      <c r="M1405" s="82">
        <v>5218123491198</v>
      </c>
      <c r="N1405" t="str">
        <v>NUEVO MAYOR</v>
      </c>
      <c r="O1405" s="89">
        <v>33780.519999999997</v>
      </c>
      <c r="P1405" s="89">
        <v>4668.6899999999996</v>
      </c>
      <c r="Q1405" s="89">
        <v>10134.155999999999</v>
      </c>
      <c r="R1405" s="89">
        <v>5465.4659999999994</v>
      </c>
      <c r="S1405">
        <v>46905</v>
      </c>
      <c r="T1405" t="str">
        <v>INBURSA</v>
      </c>
      <c r="U1405">
        <v>3820.69</v>
      </c>
      <c r="V1405" t="str">
        <v>MARISOL</v>
      </c>
      <c r="W1405">
        <v>46274</v>
      </c>
      <c r="X1405" t="str">
        <v/>
      </c>
    </row>
    <row r="1406" spans="1:24">
      <c r="A1406" s="26">
        <v>2822</v>
      </c>
      <c r="B1406" s="87">
        <v>46274.431319444397</v>
      </c>
      <c r="C1406" s="87">
        <v>46274.433194444398</v>
      </c>
      <c r="D1406" t="str">
        <v>anónimo</v>
      </c>
      <c r="E1406" t="str">
        <v/>
      </c>
      <c r="F1406" s="68">
        <v>46274</v>
      </c>
      <c r="G1406" s="88">
        <v>46274</v>
      </c>
      <c r="H1406" t="str">
        <v>GIOVANNI MELGAR</v>
      </c>
      <c r="I1406" t="str">
        <v>JUAN ALBERTO BERISTAIN ROJAS</v>
      </c>
      <c r="J1406" s="82" t="str">
        <v/>
      </c>
      <c r="K1406" t="str">
        <v>BERJ651025HPLRJN06</v>
      </c>
      <c r="L1406" s="82">
        <v>24346560</v>
      </c>
      <c r="M1406" s="82">
        <v>5214421240922</v>
      </c>
      <c r="N1406" t="str">
        <v>NUEVO MAYOR</v>
      </c>
      <c r="O1406" s="89">
        <v>10636.54</v>
      </c>
      <c r="P1406" s="89" t="str">
        <v/>
      </c>
      <c r="Q1406" s="89">
        <v>3190.962</v>
      </c>
      <c r="R1406" s="89">
        <v>3190.962</v>
      </c>
      <c r="S1406" t="str">
        <v/>
      </c>
      <c r="T1406" t="str">
        <v/>
      </c>
      <c r="U1406" t="str">
        <v/>
      </c>
      <c r="V1406" t="str">
        <v>CAROLINA</v>
      </c>
      <c r="W1406">
        <v>46274</v>
      </c>
      <c r="X1406" t="str">
        <v/>
      </c>
    </row>
    <row r="1407" spans="1:24">
      <c r="A1407" s="26">
        <v>2825</v>
      </c>
      <c r="B1407" s="87">
        <v>46274.423067129603</v>
      </c>
      <c r="C1407" s="87">
        <v>46274.454236111102</v>
      </c>
      <c r="D1407" t="str">
        <v>anónimo</v>
      </c>
      <c r="E1407" t="str">
        <v/>
      </c>
      <c r="F1407" s="68">
        <v>46274</v>
      </c>
      <c r="G1407" s="88">
        <v>46274</v>
      </c>
      <c r="H1407" t="str">
        <v>RUTH MARTINEZ SUR</v>
      </c>
      <c r="I1407" t="str">
        <v>VICTOR MANZANITA REYES</v>
      </c>
      <c r="J1407" s="82" t="str">
        <v/>
      </c>
      <c r="K1407" t="str">
        <v>MARV550406HDFNYC05</v>
      </c>
      <c r="L1407" s="82">
        <v>24341216</v>
      </c>
      <c r="M1407" s="82">
        <v>5215636915522</v>
      </c>
      <c r="N1407" t="str">
        <v>NUEVO MAYOR</v>
      </c>
      <c r="O1407" s="89">
        <v>25169.454000000002</v>
      </c>
      <c r="P1407" s="89" t="str">
        <v/>
      </c>
      <c r="Q1407" s="89">
        <v>7550.8361999999997</v>
      </c>
      <c r="R1407" s="89">
        <v>7550.8361999999997</v>
      </c>
      <c r="S1407" t="str">
        <v/>
      </c>
      <c r="T1407" t="str">
        <v/>
      </c>
      <c r="U1407" t="str">
        <v/>
      </c>
      <c r="V1407" t="str">
        <v>MARISOL</v>
      </c>
      <c r="W1407">
        <v>46274</v>
      </c>
      <c r="X1407" t="str">
        <v/>
      </c>
    </row>
    <row r="1408" spans="1:24">
      <c r="A1408" s="26">
        <v>2827</v>
      </c>
      <c r="B1408" s="87">
        <v>46274.441296296303</v>
      </c>
      <c r="C1408" s="87">
        <v>46274.455474536997</v>
      </c>
      <c r="D1408" t="str">
        <v>anónimo</v>
      </c>
      <c r="E1408" t="str">
        <v/>
      </c>
      <c r="F1408" s="68">
        <v>46274</v>
      </c>
      <c r="G1408" s="88">
        <v>46274</v>
      </c>
      <c r="H1408" t="str">
        <v>LILIANA MARTINEZ SUR</v>
      </c>
      <c r="I1408" t="str">
        <v>SOCORRO CASTRO HUERTA</v>
      </c>
      <c r="J1408" s="82" t="str">
        <v/>
      </c>
      <c r="K1408" t="str">
        <v>CAHS591012MPLSRC03</v>
      </c>
      <c r="L1408" s="82">
        <v>24342088</v>
      </c>
      <c r="M1408" s="82">
        <v>5212214044150</v>
      </c>
      <c r="N1408" t="str">
        <v>NUEVO MAYOR</v>
      </c>
      <c r="O1408" s="89">
        <v>10636.54</v>
      </c>
      <c r="P1408" s="89" t="str">
        <v/>
      </c>
      <c r="Q1408" s="89">
        <v>3190.962</v>
      </c>
      <c r="R1408" s="89">
        <v>3190.962</v>
      </c>
      <c r="S1408" t="str">
        <v/>
      </c>
      <c r="T1408" t="str">
        <v/>
      </c>
      <c r="U1408" t="str">
        <v/>
      </c>
      <c r="V1408" t="str">
        <v>HANIA</v>
      </c>
      <c r="W1408">
        <v>46274</v>
      </c>
      <c r="X1408" t="str">
        <v/>
      </c>
    </row>
    <row r="1409" spans="1:24">
      <c r="A1409" s="26">
        <v>2828</v>
      </c>
      <c r="B1409" s="87">
        <v>46274.441331018497</v>
      </c>
      <c r="C1409" s="87">
        <v>46274.455810185202</v>
      </c>
      <c r="D1409" t="str">
        <v>anónimo</v>
      </c>
      <c r="E1409" t="str">
        <v/>
      </c>
      <c r="F1409" s="68">
        <v>46274</v>
      </c>
      <c r="G1409" s="88">
        <v>46274</v>
      </c>
      <c r="H1409" t="str">
        <v>LILIANA MARTINEZ SUR</v>
      </c>
      <c r="I1409" t="str">
        <v>MARISOL PATRICIA SERRANO RODRIGUEZ</v>
      </c>
      <c r="J1409" s="82">
        <v>54846518196</v>
      </c>
      <c r="K1409" t="str">
        <v>SERM650426MBCRDR12</v>
      </c>
      <c r="L1409" s="82">
        <v>24346820</v>
      </c>
      <c r="M1409" s="82">
        <v>5216642032811</v>
      </c>
      <c r="N1409" t="str">
        <v>NUEVO MAYOR</v>
      </c>
      <c r="O1409" s="89">
        <v>9760.32</v>
      </c>
      <c r="P1409" s="89" t="str">
        <v/>
      </c>
      <c r="Q1409" s="89">
        <v>2928.096</v>
      </c>
      <c r="R1409" s="89">
        <v>2928.096</v>
      </c>
      <c r="S1409" t="str">
        <v/>
      </c>
      <c r="T1409" t="str">
        <v/>
      </c>
      <c r="U1409" t="str">
        <v/>
      </c>
      <c r="V1409" t="str">
        <v>ITZEL CARRANZA</v>
      </c>
      <c r="W1409">
        <v>46274</v>
      </c>
      <c r="X1409" t="str">
        <v/>
      </c>
    </row>
    <row r="1410" spans="1:24">
      <c r="A1410" s="26">
        <v>2829</v>
      </c>
      <c r="B1410" s="87">
        <v>46274.444791666698</v>
      </c>
      <c r="C1410" s="87">
        <v>46274.457071759301</v>
      </c>
      <c r="D1410" t="str">
        <v>anónimo</v>
      </c>
      <c r="E1410" t="str">
        <v/>
      </c>
      <c r="F1410" s="68">
        <v>46274</v>
      </c>
      <c r="G1410" s="88">
        <v>46274</v>
      </c>
      <c r="H1410" t="str">
        <v>LIDIA GARZA</v>
      </c>
      <c r="I1410" t="str">
        <v>RIGOBERTO MUÑOZ PERALTA</v>
      </c>
      <c r="J1410" s="82" t="str">
        <v>2188700469 1</v>
      </c>
      <c r="K1410" t="str">
        <v>MUPR701018HBCXRG04</v>
      </c>
      <c r="L1410" s="82">
        <v>24334756</v>
      </c>
      <c r="M1410" s="82">
        <v>5216463830788</v>
      </c>
      <c r="N1410" t="str">
        <v>COMPRA MAYOR</v>
      </c>
      <c r="O1410" s="89">
        <v>17722.169999999998</v>
      </c>
      <c r="P1410" s="89">
        <v>4359</v>
      </c>
      <c r="Q1410" s="89">
        <v>5316.6509999999989</v>
      </c>
      <c r="R1410" s="89">
        <v>957.65099999999893</v>
      </c>
      <c r="S1410">
        <v>45444</v>
      </c>
      <c r="T1410" t="str">
        <v>DIMEX</v>
      </c>
      <c r="U1410">
        <v>4359</v>
      </c>
      <c r="V1410" t="str">
        <v>MAGALI</v>
      </c>
      <c r="W1410">
        <v>46274</v>
      </c>
      <c r="X1410" t="str">
        <v/>
      </c>
    </row>
    <row r="1411" spans="1:24">
      <c r="A1411" s="26">
        <v>2831</v>
      </c>
      <c r="B1411" s="87">
        <v>46274.454259259299</v>
      </c>
      <c r="C1411" s="87">
        <v>46274.463819444398</v>
      </c>
      <c r="D1411" t="str">
        <v>anónimo</v>
      </c>
      <c r="E1411" t="str">
        <v/>
      </c>
      <c r="F1411" s="68">
        <v>46274</v>
      </c>
      <c r="G1411" s="88">
        <v>46274</v>
      </c>
      <c r="H1411" t="str">
        <v>RUTH MARTINEZ SUR</v>
      </c>
      <c r="I1411" t="str">
        <v>JULIO CESAR CASTELLANOS ALVAREZ</v>
      </c>
      <c r="J1411" s="82">
        <v>49826459601</v>
      </c>
      <c r="K1411" t="str">
        <v>CAAJ651209HTSSLL03</v>
      </c>
      <c r="L1411" s="82">
        <v>24344264</v>
      </c>
      <c r="M1411" s="82">
        <v>5218334436801</v>
      </c>
      <c r="N1411" t="str">
        <v>NUEVO MAYOR</v>
      </c>
      <c r="O1411" s="89">
        <v>10636.54</v>
      </c>
      <c r="P1411" s="89" t="str">
        <v/>
      </c>
      <c r="Q1411" s="89">
        <v>3190.962</v>
      </c>
      <c r="R1411" s="89">
        <v>3190.962</v>
      </c>
      <c r="S1411" t="str">
        <v/>
      </c>
      <c r="T1411" t="str">
        <v/>
      </c>
      <c r="U1411" t="str">
        <v/>
      </c>
      <c r="V1411" t="str">
        <v>CAROLINA</v>
      </c>
      <c r="W1411">
        <v>46274</v>
      </c>
      <c r="X1411" t="str">
        <v/>
      </c>
    </row>
    <row r="1412" spans="1:24">
      <c r="A1412" s="26">
        <v>2832</v>
      </c>
      <c r="B1412" s="87">
        <v>46274.454513888901</v>
      </c>
      <c r="C1412" s="87">
        <v>46274.465787036999</v>
      </c>
      <c r="D1412" t="str">
        <v>anónimo</v>
      </c>
      <c r="E1412" t="str">
        <v/>
      </c>
      <c r="F1412" s="68">
        <v>46274</v>
      </c>
      <c r="G1412" s="88">
        <v>46274</v>
      </c>
      <c r="H1412" t="str">
        <v>ROSA CASTRO SUR</v>
      </c>
      <c r="I1412" t="str">
        <v>JOSE IGNACIO GUTIERREZ LEAL</v>
      </c>
      <c r="J1412" s="82" t="str">
        <v/>
      </c>
      <c r="K1412" t="str">
        <v>GULI600924HPLTLG04</v>
      </c>
      <c r="L1412" s="82">
        <v>24347364</v>
      </c>
      <c r="M1412" s="82">
        <v>5212211911443</v>
      </c>
      <c r="N1412" t="str">
        <v>NUEVO MAYOR</v>
      </c>
      <c r="O1412" s="89">
        <v>5617.63</v>
      </c>
      <c r="P1412" s="89" t="str">
        <v/>
      </c>
      <c r="Q1412" s="89">
        <v>1685.289</v>
      </c>
      <c r="R1412" s="89">
        <v>1444.6500000000005</v>
      </c>
      <c r="S1412" t="str">
        <v/>
      </c>
      <c r="T1412" t="str">
        <v/>
      </c>
      <c r="U1412" t="str">
        <v/>
      </c>
      <c r="V1412" t="str">
        <v>EDNA</v>
      </c>
      <c r="W1412">
        <v>46274</v>
      </c>
      <c r="X1412" t="str">
        <v/>
      </c>
    </row>
    <row r="1413" spans="1:24">
      <c r="A1413" s="26">
        <v>2833</v>
      </c>
      <c r="B1413" s="87">
        <v>46274.465798611098</v>
      </c>
      <c r="C1413" s="87">
        <v>46274.4702314815</v>
      </c>
      <c r="D1413" t="str">
        <v>anónimo</v>
      </c>
      <c r="E1413" t="str">
        <v/>
      </c>
      <c r="F1413" s="68">
        <v>46274</v>
      </c>
      <c r="G1413" s="88">
        <v>46274</v>
      </c>
      <c r="H1413" t="str">
        <v>ROSA CASTRO SUR</v>
      </c>
      <c r="I1413" t="str">
        <v xml:space="preserve">ANTONIO VAZQUEZ OBANDO </v>
      </c>
      <c r="J1413" s="82" t="str">
        <v/>
      </c>
      <c r="K1413" t="str">
        <v>VAOA580123HPLZBN05</v>
      </c>
      <c r="L1413" s="82">
        <v>24341518</v>
      </c>
      <c r="M1413" s="82">
        <v>5212211928770</v>
      </c>
      <c r="N1413" t="str">
        <v>NUEVO MAYOR</v>
      </c>
      <c r="O1413" s="89">
        <v>6797.51</v>
      </c>
      <c r="P1413" s="89" t="str">
        <v/>
      </c>
      <c r="Q1413" s="89">
        <v>2039.2529999999999</v>
      </c>
      <c r="R1413" s="89">
        <v>2039.2529999999999</v>
      </c>
      <c r="S1413" t="str">
        <v/>
      </c>
      <c r="T1413" t="str">
        <v/>
      </c>
      <c r="U1413" t="str">
        <v/>
      </c>
      <c r="V1413" t="str">
        <v>ANDRE</v>
      </c>
      <c r="W1413">
        <v>46274</v>
      </c>
      <c r="X1413" t="str">
        <v/>
      </c>
    </row>
    <row r="1414" spans="1:24">
      <c r="A1414" s="26">
        <v>2839</v>
      </c>
      <c r="B1414" s="87">
        <v>46274.472060185202</v>
      </c>
      <c r="C1414" s="87">
        <v>46274.484293981499</v>
      </c>
      <c r="D1414" t="str">
        <v>anónimo</v>
      </c>
      <c r="E1414" t="str">
        <v/>
      </c>
      <c r="F1414" s="68">
        <v>46274</v>
      </c>
      <c r="G1414" s="88">
        <v>46273</v>
      </c>
      <c r="H1414" t="str">
        <v>LIDIA GARZA</v>
      </c>
      <c r="I1414" t="str">
        <v>Raymundo Bravo Huerta</v>
      </c>
      <c r="J1414" s="82" t="str">
        <v/>
      </c>
      <c r="K1414" t="str">
        <v>BAHR651025HPLRRY03</v>
      </c>
      <c r="L1414" s="82">
        <v>24330892</v>
      </c>
      <c r="M1414" s="82">
        <v>5212221356482</v>
      </c>
      <c r="N1414" t="str">
        <v>NUEVO MAYOR</v>
      </c>
      <c r="O1414" s="89">
        <v>11886.95</v>
      </c>
      <c r="P1414" s="89" t="str">
        <v/>
      </c>
      <c r="Q1414" s="89">
        <v>3566.085</v>
      </c>
      <c r="R1414" s="89">
        <v>3566.085</v>
      </c>
      <c r="S1414" t="str">
        <v/>
      </c>
      <c r="T1414" t="str">
        <v/>
      </c>
      <c r="U1414" t="str">
        <v/>
      </c>
      <c r="V1414" t="str">
        <v>PAOLA</v>
      </c>
      <c r="W1414">
        <v>46274</v>
      </c>
      <c r="X1414" t="str">
        <v/>
      </c>
    </row>
    <row r="1415" spans="1:24">
      <c r="A1415" s="26">
        <v>2841</v>
      </c>
      <c r="B1415" s="87">
        <v>46274.486006944397</v>
      </c>
      <c r="C1415" s="87">
        <v>46274.486736111103</v>
      </c>
      <c r="D1415" t="str">
        <v>anónimo</v>
      </c>
      <c r="E1415" t="str">
        <v/>
      </c>
      <c r="F1415" s="68">
        <v>46274</v>
      </c>
      <c r="G1415" s="88">
        <v>46274</v>
      </c>
      <c r="H1415" t="str">
        <v>BEATRIZ DE LA CRUZ</v>
      </c>
      <c r="I1415" t="str">
        <v>JUAN MARTIN IBARRA BANDA</v>
      </c>
      <c r="J1415" s="82" t="str">
        <v/>
      </c>
      <c r="K1415" t="str">
        <v>IABJ630414HCHBNN04</v>
      </c>
      <c r="L1415" s="82">
        <v>24348382</v>
      </c>
      <c r="M1415" s="82">
        <v>8715063035</v>
      </c>
      <c r="N1415" t="str">
        <v>NUEVO MAYOR</v>
      </c>
      <c r="O1415" s="89">
        <v>10636.54</v>
      </c>
      <c r="P1415" s="89">
        <v>0</v>
      </c>
      <c r="Q1415" s="89">
        <v>3190.962</v>
      </c>
      <c r="R1415" s="89">
        <v>3190.962</v>
      </c>
      <c r="S1415" t="str">
        <v/>
      </c>
      <c r="T1415" t="str">
        <v/>
      </c>
      <c r="U1415" t="str">
        <v/>
      </c>
      <c r="V1415" t="str">
        <v>GLORIA</v>
      </c>
      <c r="W1415">
        <v>46274</v>
      </c>
      <c r="X1415" t="str">
        <v/>
      </c>
    </row>
    <row r="1416" spans="1:24">
      <c r="A1416" s="26">
        <v>2843</v>
      </c>
      <c r="B1416" s="87">
        <v>46274.484317129602</v>
      </c>
      <c r="C1416" s="87">
        <v>46274.492511574099</v>
      </c>
      <c r="D1416" t="str">
        <v>anónimo</v>
      </c>
      <c r="E1416" t="str">
        <v/>
      </c>
      <c r="F1416" s="68">
        <v>46274</v>
      </c>
      <c r="G1416" s="88">
        <v>46274</v>
      </c>
      <c r="H1416" t="str">
        <v>LIDIA GARZA</v>
      </c>
      <c r="I1416" t="str">
        <v>Rogelio Rodríguez Rojas</v>
      </c>
      <c r="J1416" s="82">
        <v>32796125402</v>
      </c>
      <c r="K1416" t="str">
        <v/>
      </c>
      <c r="L1416" s="82">
        <v>24347928</v>
      </c>
      <c r="M1416" s="82">
        <v>5218777931979</v>
      </c>
      <c r="N1416" t="str">
        <v>COMPRA MAYOR</v>
      </c>
      <c r="O1416" s="89">
        <v>7116.73</v>
      </c>
      <c r="P1416" s="89">
        <v>1936.88</v>
      </c>
      <c r="Q1416" s="89">
        <v>2135.0189999999998</v>
      </c>
      <c r="R1416" s="89">
        <v>198.13899999999967</v>
      </c>
      <c r="S1416">
        <v>46082</v>
      </c>
      <c r="T1416" t="str">
        <v>DIMEX</v>
      </c>
      <c r="U1416">
        <v>1936.88</v>
      </c>
      <c r="V1416" t="str">
        <v>MAGALI</v>
      </c>
      <c r="W1416">
        <v>46274</v>
      </c>
      <c r="X1416" t="str">
        <v/>
      </c>
    </row>
    <row r="1417" spans="1:24">
      <c r="A1417" s="26">
        <v>2853</v>
      </c>
      <c r="B1417" s="87">
        <v>46274.523009259297</v>
      </c>
      <c r="C1417" s="87">
        <v>46274.545497685198</v>
      </c>
      <c r="D1417" t="str">
        <v>anónimo</v>
      </c>
      <c r="E1417" t="str">
        <v/>
      </c>
      <c r="F1417" s="68">
        <v>46274</v>
      </c>
      <c r="G1417" s="88">
        <v>46274</v>
      </c>
      <c r="H1417" t="str">
        <v>LILIANA MARTINEZ SUR</v>
      </c>
      <c r="I1417" t="str">
        <v>MANUEL ANTONIO REYES LOPEZ</v>
      </c>
      <c r="J1417" s="82" t="str">
        <v/>
      </c>
      <c r="K1417" t="str">
        <v>RELM650615HNTYPN07</v>
      </c>
      <c r="L1417" s="82">
        <v>24333672</v>
      </c>
      <c r="M1417" s="82">
        <v>5213171320056</v>
      </c>
      <c r="N1417" t="str">
        <v>NUEVO MAYOR</v>
      </c>
      <c r="O1417" s="89">
        <v>32173.540000000008</v>
      </c>
      <c r="P1417" s="89" t="str">
        <v/>
      </c>
      <c r="Q1417" s="89">
        <v>9652.0620000000017</v>
      </c>
      <c r="R1417" s="89">
        <v>9652.0620000000017</v>
      </c>
      <c r="S1417" t="str">
        <v/>
      </c>
      <c r="T1417" t="str">
        <v/>
      </c>
      <c r="U1417" t="str">
        <v/>
      </c>
      <c r="V1417" t="str">
        <v>GLORIA</v>
      </c>
      <c r="W1417">
        <v>46274</v>
      </c>
      <c r="X1417" t="str">
        <v/>
      </c>
    </row>
    <row r="1418" spans="1:24">
      <c r="A1418" s="26">
        <v>2854</v>
      </c>
      <c r="B1418" s="87">
        <v>46274.534317129597</v>
      </c>
      <c r="C1418" s="87">
        <v>46274.549849536997</v>
      </c>
      <c r="D1418" t="str">
        <v>anónimo</v>
      </c>
      <c r="E1418" t="str">
        <v/>
      </c>
      <c r="F1418" s="68">
        <v>46274</v>
      </c>
      <c r="G1418" s="88">
        <v>46274</v>
      </c>
      <c r="H1418" t="str">
        <v>GIOVANNI MELGAR</v>
      </c>
      <c r="I1418" t="str">
        <v>CELSO CHAVEZ CRUZ</v>
      </c>
      <c r="J1418" s="82" t="str">
        <v>19796106763</v>
      </c>
      <c r="K1418" t="str">
        <v>CACC610406HMCHRL05</v>
      </c>
      <c r="L1418" s="82">
        <v>24350400</v>
      </c>
      <c r="M1418" s="82">
        <v>5215574098165</v>
      </c>
      <c r="N1418" t="str">
        <v>COMPRA MAYOR</v>
      </c>
      <c r="O1418" s="89">
        <v>8497.74</v>
      </c>
      <c r="P1418" s="89">
        <v>2346.96</v>
      </c>
      <c r="Q1418" s="89">
        <v>2549.3219999999997</v>
      </c>
      <c r="R1418" s="89">
        <v>202.36199999999963</v>
      </c>
      <c r="S1418">
        <v>46113</v>
      </c>
      <c r="T1418" t="str">
        <v>GFI APOYO</v>
      </c>
      <c r="U1418">
        <v>2346.96</v>
      </c>
      <c r="V1418" t="str">
        <v>MAGALI</v>
      </c>
      <c r="W1418">
        <v>46274</v>
      </c>
      <c r="X1418" t="str">
        <v/>
      </c>
    </row>
    <row r="1419" spans="1:24">
      <c r="A1419" s="26">
        <v>2855</v>
      </c>
      <c r="B1419" s="87">
        <v>46274.5562615741</v>
      </c>
      <c r="C1419" s="87">
        <v>46274.557083333297</v>
      </c>
      <c r="D1419" t="str">
        <v>anónimo</v>
      </c>
      <c r="E1419" t="str">
        <v/>
      </c>
      <c r="F1419" s="68">
        <v>46274</v>
      </c>
      <c r="G1419" s="88">
        <v>46273</v>
      </c>
      <c r="H1419" t="str">
        <v>BEATRIZ DE LA CRUZ</v>
      </c>
      <c r="I1419" t="str">
        <v>SANTOS EDUARDO RAMIREZ BALLESTEROS</v>
      </c>
      <c r="J1419" s="82" t="str">
        <v xml:space="preserve">24846716074 </v>
      </c>
      <c r="K1419" t="str">
        <v>RABS670323HSRMLN00</v>
      </c>
      <c r="L1419" s="82">
        <v>24328762</v>
      </c>
      <c r="M1419" s="82">
        <v>6313045530</v>
      </c>
      <c r="N1419" t="str">
        <v>COMPRA MAYOR</v>
      </c>
      <c r="O1419" s="89">
        <v>8734.23</v>
      </c>
      <c r="P1419" s="89">
        <v>2316.9299999999998</v>
      </c>
      <c r="Q1419" s="89">
        <v>2620.2689999999998</v>
      </c>
      <c r="R1419" s="89">
        <v>303.33899999999994</v>
      </c>
      <c r="S1419">
        <v>45870</v>
      </c>
      <c r="T1419" t="str">
        <v>BANCREA, PUBLISEG</v>
      </c>
      <c r="U1419">
        <v>2316.9299999999998</v>
      </c>
      <c r="V1419" t="str">
        <v>MAGALI</v>
      </c>
      <c r="W1419">
        <v>46274</v>
      </c>
      <c r="X1419" t="str">
        <v/>
      </c>
    </row>
    <row r="1420" spans="1:24">
      <c r="A1420" s="26">
        <v>2857</v>
      </c>
      <c r="B1420" s="87">
        <v>46274.563958333303</v>
      </c>
      <c r="C1420" s="87">
        <v>46274.570601851898</v>
      </c>
      <c r="D1420" t="str">
        <v>anónimo</v>
      </c>
      <c r="E1420" t="str">
        <v/>
      </c>
      <c r="F1420" s="68">
        <v>46274</v>
      </c>
      <c r="G1420" s="88">
        <v>46273</v>
      </c>
      <c r="H1420" t="str">
        <v>LIDIA GARZA</v>
      </c>
      <c r="I1420" t="str">
        <v>Ma. Guillermina Hernandez Robles</v>
      </c>
      <c r="J1420" s="82" t="str">
        <v>21866600550</v>
      </c>
      <c r="K1420" t="str">
        <v>HERG670619MCMRBL07</v>
      </c>
      <c r="L1420" s="82">
        <v>24330288</v>
      </c>
      <c r="M1420" s="82">
        <v>5216645465341</v>
      </c>
      <c r="N1420" t="str">
        <v>NUEVO MAYOR</v>
      </c>
      <c r="O1420" s="89">
        <v>11554.81</v>
      </c>
      <c r="P1420" s="89">
        <v>848</v>
      </c>
      <c r="Q1420" s="89">
        <v>3466.4429999999998</v>
      </c>
      <c r="R1420" s="89">
        <v>2618.4429999999998</v>
      </c>
      <c r="S1420" t="str">
        <v/>
      </c>
      <c r="T1420" t="str">
        <v/>
      </c>
      <c r="U1420" t="str">
        <v/>
      </c>
      <c r="V1420" t="str">
        <v>PAOLA</v>
      </c>
      <c r="W1420">
        <v>46274</v>
      </c>
      <c r="X1420" t="str">
        <v/>
      </c>
    </row>
    <row r="1421" spans="1:24">
      <c r="A1421" s="26">
        <v>2860</v>
      </c>
      <c r="B1421" s="87">
        <v>46274.5859837963</v>
      </c>
      <c r="C1421" s="87">
        <v>46274.593506944402</v>
      </c>
      <c r="D1421" t="str">
        <v>anónimo</v>
      </c>
      <c r="E1421" t="str">
        <v/>
      </c>
      <c r="F1421" s="68">
        <v>46274</v>
      </c>
      <c r="G1421" s="88">
        <v>46274</v>
      </c>
      <c r="H1421" t="str">
        <v>YAMILETH CARDONA EXT 2</v>
      </c>
      <c r="I1421" t="str">
        <v>JOSE DE JESUS CASTILLO OCHOA</v>
      </c>
      <c r="J1421" s="82" t="str">
        <v>52765701298</v>
      </c>
      <c r="K1421" t="str">
        <v>CAOJ570623HCMSCS03</v>
      </c>
      <c r="L1421" s="82">
        <v>2</v>
      </c>
      <c r="M1421" s="82">
        <v>3141658160</v>
      </c>
      <c r="N1421" t="str">
        <v>NUEVO MENOR</v>
      </c>
      <c r="O1421" s="89">
        <v>4820.03</v>
      </c>
      <c r="P1421" s="89" t="str">
        <v/>
      </c>
      <c r="Q1421" s="89">
        <v>1446.0089999999998</v>
      </c>
      <c r="R1421" s="89">
        <v>647.05000000000018</v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</row>
    <row r="1422" spans="1:24">
      <c r="A1422" s="26">
        <v>2863</v>
      </c>
      <c r="B1422" s="87">
        <v>46274.463854166701</v>
      </c>
      <c r="C1422" s="87">
        <v>46274.629606481503</v>
      </c>
      <c r="D1422" t="str">
        <v>anónimo</v>
      </c>
      <c r="E1422" t="str">
        <v/>
      </c>
      <c r="F1422" s="68">
        <v>46274</v>
      </c>
      <c r="G1422" s="88">
        <v>46270</v>
      </c>
      <c r="H1422" t="str">
        <v>RUTH MARTINEZ SUR</v>
      </c>
      <c r="I1422" t="str">
        <v>MIGUEL BRUNO ESPARZA QUIÑONES</v>
      </c>
      <c r="J1422" s="82" t="str">
        <v/>
      </c>
      <c r="K1422" t="str">
        <v>EAQM640929HDGSXG08</v>
      </c>
      <c r="L1422" s="82">
        <v>24265608</v>
      </c>
      <c r="M1422" s="82">
        <v>5218711997426</v>
      </c>
      <c r="N1422" t="str">
        <v>NUEVO MENOR</v>
      </c>
      <c r="O1422" s="89">
        <v>58681.03</v>
      </c>
      <c r="P1422" s="89">
        <v>16650</v>
      </c>
      <c r="Q1422" s="89">
        <v>17604.308999999997</v>
      </c>
      <c r="R1422" s="89">
        <v>954.30899999999747</v>
      </c>
      <c r="S1422">
        <v>46966</v>
      </c>
      <c r="T1422" t="str">
        <v>CONSUBANCO</v>
      </c>
      <c r="U1422">
        <v>16650</v>
      </c>
      <c r="V1422" t="str">
        <v>HECTOR</v>
      </c>
      <c r="W1422">
        <v>46274</v>
      </c>
      <c r="X1422" t="str">
        <v/>
      </c>
    </row>
    <row r="1423" spans="1:24">
      <c r="A1423" s="26">
        <v>2867</v>
      </c>
      <c r="B1423" s="87">
        <v>46274.651388888902</v>
      </c>
      <c r="C1423" s="87">
        <v>46274.651875000003</v>
      </c>
      <c r="D1423" t="str">
        <v>anónimo</v>
      </c>
      <c r="E1423" t="str">
        <v/>
      </c>
      <c r="F1423" s="68">
        <v>46274</v>
      </c>
      <c r="G1423" s="88">
        <v>46274</v>
      </c>
      <c r="H1423" t="str">
        <v>GIOVANNI MELGAR</v>
      </c>
      <c r="I1423" t="str">
        <v>MARGARITO CARRERA MEDORIO</v>
      </c>
      <c r="J1423" s="82" t="str">
        <v xml:space="preserve">67715404025
</v>
      </c>
      <c r="K1423" t="str">
        <v>CAMM540222HVZRDR08</v>
      </c>
      <c r="L1423" s="82">
        <v>24354070</v>
      </c>
      <c r="M1423" s="82">
        <v>5212714101417</v>
      </c>
      <c r="N1423" t="str">
        <v>NUEVO MENOR</v>
      </c>
      <c r="O1423" s="89">
        <v>15190.53</v>
      </c>
      <c r="P1423" s="89">
        <v>4065.51</v>
      </c>
      <c r="Q1423" s="89">
        <v>4557.1589999999997</v>
      </c>
      <c r="R1423" s="89">
        <v>491.64899999999943</v>
      </c>
      <c r="S1423">
        <v>46327</v>
      </c>
      <c r="T1423" t="str">
        <v>MULTIVA</v>
      </c>
      <c r="U1423">
        <v>4065.51</v>
      </c>
      <c r="V1423" t="str">
        <v>HECTOR</v>
      </c>
      <c r="W1423">
        <v>46274</v>
      </c>
      <c r="X1423" t="str">
        <v/>
      </c>
    </row>
    <row r="1424" spans="1:24">
      <c r="A1424" s="26">
        <v>2869</v>
      </c>
      <c r="B1424" s="87">
        <v>46274.650393518503</v>
      </c>
      <c r="C1424" s="87">
        <v>46274.661712963003</v>
      </c>
      <c r="D1424" t="str">
        <v>anónimo</v>
      </c>
      <c r="E1424" t="str">
        <v/>
      </c>
      <c r="F1424" s="68">
        <v>46274</v>
      </c>
      <c r="G1424" s="88">
        <v>46274</v>
      </c>
      <c r="H1424" t="str">
        <v>ROSA CASTRO SUR</v>
      </c>
      <c r="I1424" t="str">
        <v xml:space="preserve">ANDRES SANCHEZ QUIROZ </v>
      </c>
      <c r="J1424" s="82" t="str">
        <v/>
      </c>
      <c r="K1424" t="str">
        <v>SAQA641130HNLNRN08</v>
      </c>
      <c r="L1424" s="82">
        <v>24354690</v>
      </c>
      <c r="M1424" s="82">
        <v>5218125717335</v>
      </c>
      <c r="N1424" t="str">
        <v>NUEVO MENOR</v>
      </c>
      <c r="O1424" s="89">
        <v>22622.9</v>
      </c>
      <c r="P1424" s="89">
        <v>5757.7</v>
      </c>
      <c r="Q1424" s="89">
        <v>6786.87</v>
      </c>
      <c r="R1424" s="89">
        <v>1029.17</v>
      </c>
      <c r="S1424">
        <v>46935</v>
      </c>
      <c r="T1424" t="str">
        <v>OPCIPRES</v>
      </c>
      <c r="U1424">
        <v>5757.7</v>
      </c>
      <c r="V1424" t="str">
        <v>HECTOR</v>
      </c>
      <c r="W1424">
        <v>46274</v>
      </c>
      <c r="X1424" t="str">
        <v/>
      </c>
    </row>
    <row r="1425" spans="1:24">
      <c r="A1425" s="26">
        <v>2872</v>
      </c>
      <c r="B1425" s="87">
        <v>46274.652835648099</v>
      </c>
      <c r="C1425" s="87">
        <v>46274.666631944398</v>
      </c>
      <c r="D1425" t="str">
        <v>anónimo</v>
      </c>
      <c r="E1425" t="str">
        <v/>
      </c>
      <c r="F1425" s="68">
        <v>46274</v>
      </c>
      <c r="G1425" s="88">
        <v>46274</v>
      </c>
      <c r="H1425" t="str">
        <v>LILIANA MARTINEZ SUR</v>
      </c>
      <c r="I1425" t="str">
        <v>VALENTIN NOYOLA SOSA</v>
      </c>
      <c r="J1425" s="82" t="str">
        <v/>
      </c>
      <c r="K1425" t="str">
        <v>NOSV660214HGRYSL07</v>
      </c>
      <c r="L1425" s="82">
        <v>24351256</v>
      </c>
      <c r="M1425" s="82">
        <v>5216121396071</v>
      </c>
      <c r="N1425" t="str">
        <v>NUEVO MAYOR</v>
      </c>
      <c r="O1425" s="89">
        <v>10636.54</v>
      </c>
      <c r="P1425" s="89" t="str">
        <v/>
      </c>
      <c r="Q1425" s="89">
        <v>3190.962</v>
      </c>
      <c r="R1425" s="89">
        <v>3190.962</v>
      </c>
      <c r="S1425" t="str">
        <v/>
      </c>
      <c r="T1425" t="str">
        <v/>
      </c>
      <c r="U1425" t="str">
        <v/>
      </c>
      <c r="V1425" t="str">
        <v>ANDRE</v>
      </c>
      <c r="W1425">
        <v>46274</v>
      </c>
      <c r="X1425" t="str">
        <v/>
      </c>
    </row>
    <row r="1426" spans="1:24">
      <c r="A1426" s="26">
        <v>2873</v>
      </c>
      <c r="B1426" s="87">
        <v>46274.661724537</v>
      </c>
      <c r="C1426" s="87">
        <v>46274.6691319444</v>
      </c>
      <c r="D1426" t="str">
        <v>anónimo</v>
      </c>
      <c r="E1426" t="str">
        <v/>
      </c>
      <c r="F1426" s="68">
        <v>46274</v>
      </c>
      <c r="G1426" s="88">
        <v>46273</v>
      </c>
      <c r="H1426" t="str">
        <v>ROSA CASTRO SUR</v>
      </c>
      <c r="I1426" t="str">
        <v>DIEGO JUAN CARLOS HERNANDEZ ROMO</v>
      </c>
      <c r="J1426" s="82" t="str">
        <v/>
      </c>
      <c r="K1426" t="str">
        <v>HERD581113HJCRMG02</v>
      </c>
      <c r="L1426" s="82">
        <v>24326098</v>
      </c>
      <c r="M1426" s="82">
        <v>5214445033341</v>
      </c>
      <c r="N1426" t="str">
        <v>COMPRA MENOR</v>
      </c>
      <c r="O1426" s="89">
        <v>4664.38</v>
      </c>
      <c r="P1426" s="89">
        <v>392.1</v>
      </c>
      <c r="Q1426" s="89">
        <v>1399.3140000000001</v>
      </c>
      <c r="R1426" s="89">
        <v>99.300000000000523</v>
      </c>
      <c r="S1426">
        <v>45658</v>
      </c>
      <c r="T1426" t="str">
        <v>PRE15NA</v>
      </c>
      <c r="U1426">
        <v>392.1</v>
      </c>
      <c r="V1426" t="str">
        <v>HECTOR</v>
      </c>
      <c r="W1426">
        <v>46274</v>
      </c>
      <c r="X1426" t="str">
        <v/>
      </c>
    </row>
    <row r="1427" spans="1:24">
      <c r="A1427" s="26">
        <v>2875</v>
      </c>
      <c r="B1427" s="87">
        <v>46274.652870370403</v>
      </c>
      <c r="C1427" s="87">
        <v>46274.681608796302</v>
      </c>
      <c r="D1427" t="str">
        <v>anónimo</v>
      </c>
      <c r="E1427" t="str">
        <v/>
      </c>
      <c r="F1427" s="68">
        <v>46274</v>
      </c>
      <c r="G1427" s="88">
        <v>46274</v>
      </c>
      <c r="H1427" t="str">
        <v>LILIANA MARTINEZ SUR</v>
      </c>
      <c r="I1427" t="str">
        <v>EDUARDO LOPEZ FONSECA</v>
      </c>
      <c r="J1427" s="82">
        <v>12877045000</v>
      </c>
      <c r="K1427" t="str">
        <v>LOFE700320HGTPND07</v>
      </c>
      <c r="L1427" s="82">
        <v>24352398</v>
      </c>
      <c r="M1427" s="82">
        <v>5214641590653</v>
      </c>
      <c r="N1427" t="str">
        <v>COMPRA MAYOR</v>
      </c>
      <c r="O1427" s="89">
        <v>7391.72</v>
      </c>
      <c r="P1427" s="89">
        <v>1957.2</v>
      </c>
      <c r="Q1427" s="89">
        <v>2217.5160000000001</v>
      </c>
      <c r="R1427" s="89">
        <v>260.31600000000003</v>
      </c>
      <c r="S1427">
        <v>45748</v>
      </c>
      <c r="T1427" t="str">
        <v>FORTALEZA, MULTIVA</v>
      </c>
      <c r="U1427">
        <v>1957.2</v>
      </c>
      <c r="V1427" t="str">
        <v>CAROLINA</v>
      </c>
      <c r="W1427">
        <v>46274</v>
      </c>
      <c r="X1427" t="str">
        <v/>
      </c>
    </row>
    <row r="1428" spans="1:24">
      <c r="A1428" s="26">
        <v>2876</v>
      </c>
      <c r="B1428" s="87">
        <v>46274.651435185202</v>
      </c>
      <c r="C1428" s="87">
        <v>46274.685034722199</v>
      </c>
      <c r="D1428" t="str">
        <v>anónimo</v>
      </c>
      <c r="E1428" t="str">
        <v/>
      </c>
      <c r="F1428" s="68">
        <v>46274</v>
      </c>
      <c r="G1428" s="88">
        <v>46274</v>
      </c>
      <c r="H1428" t="str">
        <v>RUTH MARTINEZ SUR</v>
      </c>
      <c r="I1428" t="str">
        <v>HECTOR MARQUEZ RODRIGUEZ</v>
      </c>
      <c r="J1428" s="82" t="str">
        <v/>
      </c>
      <c r="K1428" t="str">
        <v>MARH590426HDFRDC01</v>
      </c>
      <c r="L1428" s="82">
        <v>24352634</v>
      </c>
      <c r="M1428" s="82">
        <v>5217291085374</v>
      </c>
      <c r="N1428" t="str">
        <v>NUEVO MENOR</v>
      </c>
      <c r="O1428" s="89">
        <v>4813.6899999999996</v>
      </c>
      <c r="P1428" s="89" t="str">
        <v/>
      </c>
      <c r="Q1428" s="89">
        <v>1444.1069999999997</v>
      </c>
      <c r="R1428" s="89">
        <v>640.71</v>
      </c>
      <c r="S1428" t="str">
        <v/>
      </c>
      <c r="T1428" t="str">
        <v/>
      </c>
      <c r="U1428" t="str">
        <v/>
      </c>
      <c r="V1428" t="str">
        <v>HECTOR</v>
      </c>
      <c r="W1428">
        <v>46274</v>
      </c>
      <c r="X1428" t="str">
        <v/>
      </c>
    </row>
    <row r="1429" spans="1:24">
      <c r="A1429" s="26">
        <v>2885</v>
      </c>
      <c r="B1429" s="87">
        <v>46274.678194444401</v>
      </c>
      <c r="C1429" s="87">
        <v>46274.735532407401</v>
      </c>
      <c r="D1429" t="str">
        <v>anónimo</v>
      </c>
      <c r="E1429" t="str">
        <v/>
      </c>
      <c r="F1429" s="68">
        <v>46274</v>
      </c>
      <c r="G1429" s="88">
        <v>46273</v>
      </c>
      <c r="H1429" t="str">
        <v>GIOVANNI MELGAR</v>
      </c>
      <c r="I1429" t="str">
        <v>GABRIEL PEREZ IBARRA</v>
      </c>
      <c r="J1429" s="82" t="str">
        <v/>
      </c>
      <c r="K1429" t="str">
        <v>PEIG630324HJCRBB06</v>
      </c>
      <c r="L1429" s="82">
        <v>24330248</v>
      </c>
      <c r="M1429" s="82">
        <v>5213318452357</v>
      </c>
      <c r="N1429" t="str">
        <v>NUEVO MAYOR</v>
      </c>
      <c r="O1429" s="89">
        <v>9760.32</v>
      </c>
      <c r="P1429" s="89" t="str">
        <v/>
      </c>
      <c r="Q1429" s="89">
        <v>2928.096</v>
      </c>
      <c r="R1429" s="89">
        <v>2928.096</v>
      </c>
      <c r="S1429" t="str">
        <v/>
      </c>
      <c r="T1429" t="str">
        <v/>
      </c>
      <c r="U1429" t="str">
        <v/>
      </c>
      <c r="V1429" t="str">
        <v>GABRIELA</v>
      </c>
      <c r="W1429">
        <v>46274</v>
      </c>
      <c r="X1429" t="str">
        <v/>
      </c>
    </row>
    <row r="1430" spans="1:24">
      <c r="A1430" s="26">
        <v>2888</v>
      </c>
      <c r="B1430" s="87">
        <v>46274.734386574099</v>
      </c>
      <c r="C1430" s="87">
        <v>46274.744548611103</v>
      </c>
      <c r="D1430" t="str">
        <v>anónimo</v>
      </c>
      <c r="E1430" t="str">
        <v/>
      </c>
      <c r="F1430" s="68">
        <v>46274</v>
      </c>
      <c r="G1430" s="88">
        <v>46274</v>
      </c>
      <c r="H1430" t="str">
        <v>YAMILETH CARDONA EXT 2</v>
      </c>
      <c r="I1430" t="str">
        <v>AMALIA ARAGON FLORES</v>
      </c>
      <c r="J1430" s="82" t="str">
        <v>63816222713</v>
      </c>
      <c r="K1430" t="str">
        <v>AAFA620617MDGRLM08</v>
      </c>
      <c r="L1430" s="82">
        <v>2</v>
      </c>
      <c r="M1430" s="82" t="str">
        <v>81 1788 1437</v>
      </c>
      <c r="N1430" t="str">
        <v>COMPRA MAYOR</v>
      </c>
      <c r="O1430" s="89">
        <v>7920.51</v>
      </c>
      <c r="P1430" s="89">
        <v>1228.47</v>
      </c>
      <c r="Q1430" s="89">
        <v>2376.1529999999998</v>
      </c>
      <c r="R1430" s="89">
        <v>1147.6829999999998</v>
      </c>
      <c r="S1430">
        <v>46204</v>
      </c>
      <c r="T1430" t="str">
        <v>INBURSA</v>
      </c>
      <c r="U1430">
        <v>1228.47</v>
      </c>
      <c r="V1430" t="str">
        <v/>
      </c>
      <c r="W1430" t="str">
        <v/>
      </c>
      <c r="X1430" t="str">
        <v/>
      </c>
    </row>
    <row r="1431" spans="1:24">
      <c r="A1431" s="26">
        <v>2889</v>
      </c>
      <c r="B1431" s="87">
        <v>46274.6850694444</v>
      </c>
      <c r="C1431" s="87">
        <v>46274.751585648097</v>
      </c>
      <c r="D1431" t="str">
        <v>anónimo</v>
      </c>
      <c r="E1431" t="str">
        <v/>
      </c>
      <c r="F1431" s="68">
        <v>46274</v>
      </c>
      <c r="G1431" s="88">
        <v>46270</v>
      </c>
      <c r="H1431" t="str">
        <v>RUTH MARTINEZ SUR</v>
      </c>
      <c r="I1431" t="str">
        <v xml:space="preserve">JOSE LUIS PEREZ PEREZ </v>
      </c>
      <c r="J1431" s="82" t="str">
        <v/>
      </c>
      <c r="K1431" t="str">
        <v>PEPL600214HDFRRS05</v>
      </c>
      <c r="L1431" s="82">
        <v>24263358</v>
      </c>
      <c r="M1431" s="82">
        <v>5215582945144</v>
      </c>
      <c r="N1431" t="str">
        <v>NUEVO MAYOR</v>
      </c>
      <c r="O1431" s="89">
        <v>6262.86</v>
      </c>
      <c r="P1431" s="89" t="str">
        <v/>
      </c>
      <c r="Q1431" s="89">
        <v>1878.8579999999997</v>
      </c>
      <c r="R1431" s="89">
        <v>1878.8579999999997</v>
      </c>
      <c r="S1431" t="str">
        <v/>
      </c>
      <c r="T1431" t="str">
        <v/>
      </c>
      <c r="U1431" t="str">
        <v/>
      </c>
      <c r="V1431" t="str">
        <v>GABRIELA</v>
      </c>
      <c r="W1431">
        <v>46274</v>
      </c>
      <c r="X1431" t="str">
        <v/>
      </c>
    </row>
    <row r="1432" spans="1:24">
      <c r="A1432" s="26">
        <v>2890</v>
      </c>
      <c r="B1432" s="87">
        <v>46274.6793287037</v>
      </c>
      <c r="C1432" s="87">
        <v>46274.755277777796</v>
      </c>
      <c r="D1432" t="str">
        <v>anónimo</v>
      </c>
      <c r="E1432" t="str">
        <v/>
      </c>
      <c r="F1432" s="68">
        <v>46274</v>
      </c>
      <c r="G1432" s="88">
        <v>46274</v>
      </c>
      <c r="H1432" t="str">
        <v>LIDIA GARZA</v>
      </c>
      <c r="I1432" t="str">
        <v>Guillermo Muñoz Ávila</v>
      </c>
      <c r="J1432" s="82">
        <v>43866620206</v>
      </c>
      <c r="K1432" t="str">
        <v>MUAG660620HNLXVLO5</v>
      </c>
      <c r="L1432" s="82">
        <v>24351770</v>
      </c>
      <c r="M1432" s="82">
        <v>8131218568</v>
      </c>
      <c r="N1432" t="str">
        <v>NUEVO MENOR</v>
      </c>
      <c r="O1432" s="89">
        <v>12329.54</v>
      </c>
      <c r="P1432" s="89">
        <v>2975.95</v>
      </c>
      <c r="Q1432" s="89">
        <v>3698.8620000000001</v>
      </c>
      <c r="R1432" s="89">
        <v>722.91200000000026</v>
      </c>
      <c r="S1432">
        <v>46966</v>
      </c>
      <c r="T1432" t="str">
        <v>CONSUPAGO</v>
      </c>
      <c r="U1432">
        <v>2975.95</v>
      </c>
      <c r="V1432" t="str">
        <v>HECTOR</v>
      </c>
      <c r="W1432">
        <v>46274</v>
      </c>
      <c r="X1432" t="str">
        <v/>
      </c>
    </row>
    <row r="1433" spans="1:24">
      <c r="A1433" s="26">
        <v>2891</v>
      </c>
      <c r="B1433" s="87">
        <v>46274.750532407401</v>
      </c>
      <c r="C1433" s="87">
        <v>46274.757106481498</v>
      </c>
      <c r="D1433" t="str">
        <v>anónimo</v>
      </c>
      <c r="E1433" t="str">
        <v/>
      </c>
      <c r="F1433" s="68">
        <v>46274</v>
      </c>
      <c r="G1433" s="88">
        <v>46274</v>
      </c>
      <c r="H1433" t="str">
        <v>LILIANA MARTINEZ SUR</v>
      </c>
      <c r="I1433" t="str">
        <v>JOSE LUIS LEDESMA JUAREZ</v>
      </c>
      <c r="J1433" s="82" t="str">
        <v/>
      </c>
      <c r="K1433" t="str">
        <v>LEJL640820HDFDRS00</v>
      </c>
      <c r="L1433" s="82">
        <v>24356560</v>
      </c>
      <c r="M1433" s="82">
        <v>5215560251836</v>
      </c>
      <c r="N1433" t="str">
        <v>NUEVO MAYOR</v>
      </c>
      <c r="O1433" s="89">
        <v>9081.52</v>
      </c>
      <c r="P1433" s="89">
        <v>848</v>
      </c>
      <c r="Q1433" s="89">
        <v>2724.4560000000001</v>
      </c>
      <c r="R1433" s="89">
        <v>1876.4560000000001</v>
      </c>
      <c r="S1433" t="str">
        <v/>
      </c>
      <c r="T1433" t="str">
        <v/>
      </c>
      <c r="U1433" t="str">
        <v/>
      </c>
      <c r="V1433" t="str">
        <v>GABRIELA</v>
      </c>
      <c r="W1433">
        <v>46274</v>
      </c>
      <c r="X1433" t="str">
        <v/>
      </c>
    </row>
    <row r="1434" spans="1:24">
      <c r="A1434" s="26">
        <v>2900</v>
      </c>
      <c r="B1434" s="87">
        <v>46275.399363425902</v>
      </c>
      <c r="C1434" s="87">
        <v>46275.404537037</v>
      </c>
      <c r="D1434" t="str">
        <v>anónimo</v>
      </c>
      <c r="E1434" t="str">
        <v/>
      </c>
      <c r="F1434" s="68">
        <v>46275</v>
      </c>
      <c r="G1434" s="88">
        <v>46275</v>
      </c>
      <c r="H1434" t="str">
        <v>YAMILETH CARDONA EXT 2</v>
      </c>
      <c r="I1434" t="str">
        <v>ROSALINDA GUAJARDO ROBLEDO</v>
      </c>
      <c r="J1434" s="82" t="str">
        <v>03816407948</v>
      </c>
      <c r="K1434" t="str">
        <v>GURR640830MNLJBS04</v>
      </c>
      <c r="L1434" s="82">
        <v>2</v>
      </c>
      <c r="M1434" s="82">
        <v>8126034085</v>
      </c>
      <c r="N1434" t="str">
        <v>NUEVO MENOR</v>
      </c>
      <c r="O1434" s="89">
        <v>9081.5499999999993</v>
      </c>
      <c r="P1434" s="89">
        <v>1813</v>
      </c>
      <c r="Q1434" s="89">
        <v>2724.4649999999997</v>
      </c>
      <c r="R1434" s="89">
        <v>911.46499999999969</v>
      </c>
      <c r="S1434">
        <v>46539</v>
      </c>
      <c r="T1434" t="str">
        <v>DIMEX</v>
      </c>
      <c r="U1434">
        <v>1813</v>
      </c>
      <c r="V1434" t="str">
        <v/>
      </c>
      <c r="W1434" t="str">
        <v/>
      </c>
      <c r="X1434" t="str">
        <v/>
      </c>
    </row>
    <row r="1435" spans="1:24">
      <c r="A1435" s="26">
        <v>2901</v>
      </c>
      <c r="B1435" s="87">
        <v>46275.420601851903</v>
      </c>
      <c r="C1435" s="87">
        <v>46275.421435185199</v>
      </c>
      <c r="D1435" t="str">
        <v>anónimo</v>
      </c>
      <c r="E1435" t="str">
        <v/>
      </c>
      <c r="F1435" s="68">
        <v>46275</v>
      </c>
      <c r="G1435" s="88">
        <v>46274</v>
      </c>
      <c r="H1435" t="str">
        <v>GIOVANNI MELGAR</v>
      </c>
      <c r="I1435" t="str">
        <v>RICARDO PEREZ TREJO</v>
      </c>
      <c r="J1435" s="82" t="str">
        <v/>
      </c>
      <c r="K1435" t="str">
        <v>PETR591112HGTRRC00</v>
      </c>
      <c r="L1435" s="82">
        <v>24328874</v>
      </c>
      <c r="M1435" s="82">
        <v>5215587282445</v>
      </c>
      <c r="N1435" t="str">
        <v>NUEVO MAYOR</v>
      </c>
      <c r="O1435" s="89">
        <v>15576.26</v>
      </c>
      <c r="P1435" s="89">
        <v>848</v>
      </c>
      <c r="Q1435" s="89">
        <v>4672.8779999999997</v>
      </c>
      <c r="R1435" s="89">
        <v>3824.8779999999997</v>
      </c>
      <c r="S1435" t="str">
        <v/>
      </c>
      <c r="T1435" t="str">
        <v/>
      </c>
      <c r="U1435" t="str">
        <v/>
      </c>
      <c r="V1435" t="str">
        <v>MIRIAM</v>
      </c>
      <c r="W1435">
        <v>46275</v>
      </c>
      <c r="X1435" t="str">
        <v/>
      </c>
    </row>
    <row r="1436" spans="1:24">
      <c r="A1436" s="26">
        <v>2907</v>
      </c>
      <c r="B1436" s="87">
        <v>46275.468738425901</v>
      </c>
      <c r="C1436" s="87">
        <v>46275.476539351803</v>
      </c>
      <c r="D1436" t="str">
        <v>anónimo</v>
      </c>
      <c r="E1436" t="str">
        <v/>
      </c>
      <c r="F1436" s="68">
        <v>46275</v>
      </c>
      <c r="G1436" s="88">
        <v>46275</v>
      </c>
      <c r="H1436" t="str">
        <v>ROSA CASTRO SUR</v>
      </c>
      <c r="I1436" t="str">
        <v xml:space="preserve">BERTHA ACUÑA GALLAGA </v>
      </c>
      <c r="J1436" s="82">
        <v>75866206123</v>
      </c>
      <c r="K1436" t="str">
        <v>AUGB590513MDFCLR08</v>
      </c>
      <c r="L1436" s="82">
        <v>24372336</v>
      </c>
      <c r="M1436" s="82">
        <v>5215527391861</v>
      </c>
      <c r="N1436" t="str">
        <v>COMPRA MAYOR</v>
      </c>
      <c r="O1436" s="89">
        <v>7920.51</v>
      </c>
      <c r="P1436" s="89">
        <v>2198.9899999999998</v>
      </c>
      <c r="Q1436" s="89">
        <v>2376.1529999999998</v>
      </c>
      <c r="R1436" s="89">
        <v>177.16300000000001</v>
      </c>
      <c r="S1436">
        <v>46266</v>
      </c>
      <c r="T1436" t="str">
        <v>PROFUTURO</v>
      </c>
      <c r="U1436">
        <v>2198.9899999999998</v>
      </c>
      <c r="V1436" t="str">
        <v>MAGALI</v>
      </c>
      <c r="W1436">
        <v>46275</v>
      </c>
      <c r="X1436" t="str">
        <v/>
      </c>
    </row>
    <row r="1437" spans="1:24">
      <c r="A1437" s="26">
        <v>2912</v>
      </c>
      <c r="B1437" s="87">
        <v>46275.4765625</v>
      </c>
      <c r="C1437" s="87">
        <v>46275.490196759303</v>
      </c>
      <c r="D1437" t="str">
        <v>anónimo</v>
      </c>
      <c r="E1437" t="str">
        <v/>
      </c>
      <c r="F1437" s="68">
        <v>46275</v>
      </c>
      <c r="G1437" s="88">
        <v>46274</v>
      </c>
      <c r="H1437" t="str">
        <v>ROSA CASTRO SUR</v>
      </c>
      <c r="I1437" t="str">
        <v xml:space="preserve">JAVIER GARCIA HERNANDEZ </v>
      </c>
      <c r="J1437" s="82" t="str">
        <v/>
      </c>
      <c r="K1437" t="str">
        <v>GAHJ630622HVZRRV04</v>
      </c>
      <c r="L1437" s="82">
        <v>24359330</v>
      </c>
      <c r="M1437" s="82">
        <v>5218334424088</v>
      </c>
      <c r="N1437" t="str">
        <v>NUEVO MAYOR</v>
      </c>
      <c r="O1437" s="89">
        <v>10636.54</v>
      </c>
      <c r="P1437" s="89" t="str">
        <v/>
      </c>
      <c r="Q1437" s="89">
        <v>3190.962</v>
      </c>
      <c r="R1437" s="89">
        <v>3190.962</v>
      </c>
      <c r="S1437" t="str">
        <v/>
      </c>
      <c r="T1437" t="str">
        <v/>
      </c>
      <c r="U1437" t="str">
        <v/>
      </c>
      <c r="V1437" t="str">
        <v>HANIA</v>
      </c>
      <c r="W1437">
        <v>46275</v>
      </c>
      <c r="X1437" t="str">
        <v/>
      </c>
    </row>
    <row r="1438" spans="1:24">
      <c r="A1438" s="26">
        <v>2915</v>
      </c>
      <c r="B1438" s="87">
        <v>46275.505370370403</v>
      </c>
      <c r="C1438" s="87">
        <v>46275.505810185197</v>
      </c>
      <c r="D1438" t="str">
        <v>anónimo</v>
      </c>
      <c r="E1438" t="str">
        <v/>
      </c>
      <c r="F1438" s="68">
        <v>46275</v>
      </c>
      <c r="G1438" s="88">
        <v>46273</v>
      </c>
      <c r="H1438" t="str">
        <v>LIDIA GARZA</v>
      </c>
      <c r="I1438" t="str">
        <v>Efrain Montiel Santiago</v>
      </c>
      <c r="J1438" s="82">
        <v>65856525756</v>
      </c>
      <c r="K1438" t="str">
        <v/>
      </c>
      <c r="L1438" s="82">
        <v>24315204</v>
      </c>
      <c r="M1438" s="82">
        <v>5217822553921</v>
      </c>
      <c r="N1438" t="str">
        <v>NUEVO MAYOR</v>
      </c>
      <c r="O1438" s="89">
        <v>9760.32</v>
      </c>
      <c r="P1438" s="89" t="str">
        <v/>
      </c>
      <c r="Q1438" s="89">
        <v>2928.096</v>
      </c>
      <c r="R1438" s="89">
        <v>2928.096</v>
      </c>
      <c r="S1438" t="str">
        <v/>
      </c>
      <c r="T1438" t="str">
        <v/>
      </c>
      <c r="U1438" t="str">
        <v/>
      </c>
      <c r="V1438" t="str">
        <v>LIDIA</v>
      </c>
      <c r="W1438">
        <v>46275</v>
      </c>
      <c r="X1438" t="str">
        <v/>
      </c>
    </row>
    <row r="1439" spans="1:24">
      <c r="A1439" s="26">
        <v>2917</v>
      </c>
      <c r="B1439" s="87">
        <v>46275.511655092603</v>
      </c>
      <c r="C1439" s="87">
        <v>46275.5133333333</v>
      </c>
      <c r="D1439" t="str">
        <v>anónimo</v>
      </c>
      <c r="E1439" t="str">
        <v/>
      </c>
      <c r="F1439" s="68">
        <v>46275</v>
      </c>
      <c r="G1439" s="88">
        <v>46275</v>
      </c>
      <c r="H1439" t="str">
        <v>JAEL RUIZ</v>
      </c>
      <c r="I1439" t="str">
        <v>HECTOR RAMIREZ HERRERA</v>
      </c>
      <c r="J1439" s="82" t="str">
        <v/>
      </c>
      <c r="K1439" t="str">
        <v>RAHH641021HNLMRC01</v>
      </c>
      <c r="L1439" s="82">
        <v>24369920</v>
      </c>
      <c r="M1439" s="82">
        <v>24369920</v>
      </c>
      <c r="N1439" t="str">
        <v>NUEVO MAYOR</v>
      </c>
      <c r="O1439" s="89">
        <v>10636.54</v>
      </c>
      <c r="P1439" s="89" t="str">
        <v/>
      </c>
      <c r="Q1439" s="89">
        <v>3190.962</v>
      </c>
      <c r="R1439" s="89">
        <v>3190.962</v>
      </c>
      <c r="S1439" t="str">
        <v/>
      </c>
      <c r="T1439" t="str">
        <v/>
      </c>
      <c r="U1439" t="str">
        <v/>
      </c>
      <c r="V1439" t="str">
        <v>CAROLINA</v>
      </c>
      <c r="W1439">
        <v>46275</v>
      </c>
      <c r="X1439" t="str">
        <v/>
      </c>
    </row>
    <row r="1440" spans="1:24">
      <c r="A1440" s="26">
        <v>2924</v>
      </c>
      <c r="B1440" s="87">
        <v>46275.6014236111</v>
      </c>
      <c r="C1440" s="87">
        <v>46275.606365740699</v>
      </c>
      <c r="D1440" t="str">
        <v>anónimo</v>
      </c>
      <c r="E1440" t="str">
        <v/>
      </c>
      <c r="F1440" s="68">
        <v>46275</v>
      </c>
      <c r="G1440" s="88">
        <v>46274</v>
      </c>
      <c r="H1440" t="str">
        <v>ROSA CASTRO SUR</v>
      </c>
      <c r="I1440" t="str">
        <v>MANUEL CUTBERTO CASTRO ROCHIN</v>
      </c>
      <c r="J1440" s="82" t="str">
        <v xml:space="preserve">22796301293
</v>
      </c>
      <c r="K1440" t="str">
        <v>CARM630528HBSSCN07</v>
      </c>
      <c r="L1440" s="82">
        <v>24361422</v>
      </c>
      <c r="M1440" s="82">
        <v>5216121400209</v>
      </c>
      <c r="N1440" t="str">
        <v>NUEVO MAYOR</v>
      </c>
      <c r="O1440" s="89">
        <v>10636.54</v>
      </c>
      <c r="P1440" s="89" t="str">
        <v/>
      </c>
      <c r="Q1440" s="89">
        <v>3190.962</v>
      </c>
      <c r="R1440" s="89">
        <v>3190.962</v>
      </c>
      <c r="S1440" t="str">
        <v/>
      </c>
      <c r="T1440" t="str">
        <v/>
      </c>
      <c r="U1440" t="str">
        <v/>
      </c>
      <c r="V1440" t="str">
        <v>HANIA</v>
      </c>
      <c r="W1440">
        <v>46275</v>
      </c>
      <c r="X1440" t="str">
        <v/>
      </c>
    </row>
    <row r="1441" spans="1:24">
      <c r="A1441" s="26">
        <v>2926</v>
      </c>
      <c r="B1441" s="87">
        <v>46275.617418981499</v>
      </c>
      <c r="C1441" s="87">
        <v>46275.618217592601</v>
      </c>
      <c r="D1441" t="str">
        <v>anónimo</v>
      </c>
      <c r="E1441" t="str">
        <v/>
      </c>
      <c r="F1441" s="68">
        <v>46275</v>
      </c>
      <c r="G1441" s="88">
        <v>46275</v>
      </c>
      <c r="H1441" t="str">
        <v>BEATRIZ DE LA CRUZ</v>
      </c>
      <c r="I1441" t="str">
        <v>OSCAR LOZANO CASTILLO</v>
      </c>
      <c r="J1441" s="82" t="str">
        <v/>
      </c>
      <c r="K1441" t="str">
        <v>LXCO631207HTLZSS02</v>
      </c>
      <c r="L1441" s="82">
        <v>24375688</v>
      </c>
      <c r="M1441" s="82">
        <v>2414101871</v>
      </c>
      <c r="N1441" t="str">
        <v>NUEVO MAYOR</v>
      </c>
      <c r="O1441" s="89">
        <v>9081.51</v>
      </c>
      <c r="P1441" s="89" t="str">
        <v/>
      </c>
      <c r="Q1441" s="89">
        <v>2724.453</v>
      </c>
      <c r="R1441" s="89">
        <v>2724.453</v>
      </c>
      <c r="S1441" t="str">
        <v/>
      </c>
      <c r="T1441" t="str">
        <v/>
      </c>
      <c r="U1441" t="str">
        <v/>
      </c>
      <c r="V1441" t="str">
        <v>MARISOL</v>
      </c>
      <c r="W1441">
        <v>46275</v>
      </c>
      <c r="X1441" t="str">
        <v/>
      </c>
    </row>
    <row r="1442" spans="1:24">
      <c r="A1442" s="26">
        <v>2928</v>
      </c>
      <c r="B1442" s="87">
        <v>46275.532719907402</v>
      </c>
      <c r="C1442" s="87">
        <v>46275.627962963001</v>
      </c>
      <c r="D1442" t="str">
        <v>anónimo</v>
      </c>
      <c r="E1442" t="str">
        <v/>
      </c>
      <c r="F1442" s="68">
        <v>46275</v>
      </c>
      <c r="G1442" s="88">
        <v>46275</v>
      </c>
      <c r="H1442" t="str">
        <v>RUTH MARTINEZ SUR</v>
      </c>
      <c r="I1442" t="str">
        <v>MARIA CRISTINA MUÑOZ HERNANDEZ</v>
      </c>
      <c r="J1442" s="82" t="str">
        <v/>
      </c>
      <c r="K1442" t="str">
        <v>MUHC600531MDFXRR04</v>
      </c>
      <c r="L1442" s="82">
        <v>24376962</v>
      </c>
      <c r="M1442" s="82">
        <v>5217226561796</v>
      </c>
      <c r="N1442" t="str">
        <v>RESTRINGIDA</v>
      </c>
      <c r="O1442" s="89">
        <v>5617.63</v>
      </c>
      <c r="P1442" s="89">
        <v>1265.56</v>
      </c>
      <c r="Q1442" s="89">
        <v>1685.289</v>
      </c>
      <c r="R1442" s="89">
        <v>179.0900000000006</v>
      </c>
      <c r="S1442">
        <v>45839</v>
      </c>
      <c r="T1442" t="str">
        <v>CONSUBANCO</v>
      </c>
      <c r="U1442">
        <v>1265.56</v>
      </c>
      <c r="V1442" t="str">
        <v>DULCE</v>
      </c>
      <c r="W1442">
        <v>46275</v>
      </c>
      <c r="X1442" t="str">
        <v/>
      </c>
    </row>
    <row r="1443" spans="1:24">
      <c r="A1443" s="26">
        <v>2929</v>
      </c>
      <c r="B1443" s="87">
        <v>46275.562418981499</v>
      </c>
      <c r="C1443" s="87">
        <v>46275.632233796299</v>
      </c>
      <c r="D1443" t="str">
        <v>anónimo</v>
      </c>
      <c r="E1443" t="str">
        <v/>
      </c>
      <c r="F1443" s="68">
        <v>46275</v>
      </c>
      <c r="G1443" s="88">
        <v>46275</v>
      </c>
      <c r="H1443" t="str">
        <v>LUZ BANDA</v>
      </c>
      <c r="I1443" t="str">
        <v xml:space="preserve">JOSE EMILIANO MARTINEZ ORTEGA </v>
      </c>
      <c r="J1443" s="82">
        <v>67885900901</v>
      </c>
      <c r="K1443" t="str">
        <v>MAOE590720HVZRRM06</v>
      </c>
      <c r="L1443" s="82">
        <v>24378904</v>
      </c>
      <c r="M1443" s="82">
        <v>5212721803334</v>
      </c>
      <c r="N1443" t="str">
        <v>NUEVO MAYOR</v>
      </c>
      <c r="O1443" s="89">
        <v>9760.32</v>
      </c>
      <c r="P1443" s="89">
        <v>1694.35</v>
      </c>
      <c r="Q1443" s="89">
        <v>2928.096</v>
      </c>
      <c r="R1443" s="89">
        <v>1233.7460000000001</v>
      </c>
      <c r="S1443">
        <v>46661</v>
      </c>
      <c r="T1443" t="str">
        <v>PROFUTURO</v>
      </c>
      <c r="U1443">
        <v>1694.35</v>
      </c>
      <c r="V1443" t="str">
        <v>CAROLINA</v>
      </c>
      <c r="W1443">
        <v>46275</v>
      </c>
      <c r="X1443" t="str">
        <v/>
      </c>
    </row>
    <row r="1444" spans="1:24">
      <c r="A1444" s="26">
        <v>2932</v>
      </c>
      <c r="B1444" s="87">
        <v>46275.623414351903</v>
      </c>
      <c r="C1444" s="87">
        <v>46275.6456481481</v>
      </c>
      <c r="D1444" t="str">
        <v>anónimo</v>
      </c>
      <c r="E1444" t="str">
        <v/>
      </c>
      <c r="F1444" s="68">
        <v>46275</v>
      </c>
      <c r="G1444" s="88">
        <v>46275</v>
      </c>
      <c r="H1444" t="str">
        <v>ROSA CASTRO SUR</v>
      </c>
      <c r="I1444" t="str">
        <v>JORGE RODRIGO SIGALA</v>
      </c>
      <c r="J1444" s="82" t="str">
        <v/>
      </c>
      <c r="K1444" t="str">
        <v>SIXJ550313HJCGXR07</v>
      </c>
      <c r="L1444" s="82">
        <v>24379392</v>
      </c>
      <c r="M1444" s="82">
        <v>5213321123815</v>
      </c>
      <c r="N1444" t="str">
        <v>NUEVO MENOR</v>
      </c>
      <c r="O1444" s="89">
        <v>5617.63</v>
      </c>
      <c r="P1444" s="89">
        <v>848</v>
      </c>
      <c r="Q1444" s="89">
        <v>1685.289</v>
      </c>
      <c r="R1444" s="89">
        <v>596.65000000000055</v>
      </c>
      <c r="S1444" t="str">
        <v/>
      </c>
      <c r="T1444" t="str">
        <v/>
      </c>
      <c r="U1444" t="str">
        <v/>
      </c>
      <c r="V1444" t="str">
        <v>HECTOR</v>
      </c>
      <c r="W1444">
        <v>46275</v>
      </c>
      <c r="X1444" t="str">
        <v/>
      </c>
    </row>
    <row r="1445" spans="1:24">
      <c r="A1445" s="26">
        <v>2935</v>
      </c>
      <c r="B1445" s="87">
        <v>46275.628009259301</v>
      </c>
      <c r="C1445" s="87">
        <v>46275.656770833302</v>
      </c>
      <c r="D1445" t="str">
        <v>anónimo</v>
      </c>
      <c r="E1445" t="str">
        <v/>
      </c>
      <c r="F1445" s="68">
        <v>46275</v>
      </c>
      <c r="G1445" s="88">
        <v>46275</v>
      </c>
      <c r="H1445" t="str">
        <v>RUTH MARTINEZ SUR</v>
      </c>
      <c r="I1445" t="str">
        <v>JUAN CHACON PULIDO</v>
      </c>
      <c r="J1445" s="82" t="str">
        <v xml:space="preserve">24886060235
</v>
      </c>
      <c r="K1445" t="str">
        <v>CAPJ600623HVZHLN02</v>
      </c>
      <c r="L1445" s="82">
        <v>24375538</v>
      </c>
      <c r="M1445" s="82">
        <v>5212741411936</v>
      </c>
      <c r="N1445" t="str">
        <v>NUEVO MAYOR</v>
      </c>
      <c r="O1445" s="89">
        <v>6262.86</v>
      </c>
      <c r="P1445" s="89" t="str">
        <v/>
      </c>
      <c r="Q1445" s="89">
        <v>1878.8579999999997</v>
      </c>
      <c r="R1445" s="89">
        <v>1878.8579999999997</v>
      </c>
      <c r="S1445" t="str">
        <v/>
      </c>
      <c r="T1445" t="str">
        <v/>
      </c>
      <c r="U1445" t="str">
        <v/>
      </c>
      <c r="V1445" t="str">
        <v>MAYTE</v>
      </c>
      <c r="W1445">
        <v>46275</v>
      </c>
      <c r="X1445" t="str">
        <v/>
      </c>
    </row>
    <row r="1446" spans="1:24">
      <c r="A1446" s="26">
        <v>2938</v>
      </c>
      <c r="B1446" s="87">
        <v>46275.672754629602</v>
      </c>
      <c r="C1446" s="87">
        <v>46275.673842592601</v>
      </c>
      <c r="D1446" t="str">
        <v>anónimo</v>
      </c>
      <c r="E1446" t="str">
        <v/>
      </c>
      <c r="F1446" s="68">
        <v>46275</v>
      </c>
      <c r="G1446" s="88">
        <v>46272</v>
      </c>
      <c r="H1446" t="str">
        <v>GIOVANNI MELGAR</v>
      </c>
      <c r="I1446" t="str">
        <v>EMMANUEL MONTOYA DEL HOYO</v>
      </c>
      <c r="J1446" s="82" t="str">
        <v xml:space="preserve">51755904318
</v>
      </c>
      <c r="K1446" t="str">
        <v/>
      </c>
      <c r="L1446" s="82">
        <v>24307394</v>
      </c>
      <c r="M1446" s="82">
        <v>5214494575601</v>
      </c>
      <c r="N1446" t="str">
        <v>RESTRINGIDA</v>
      </c>
      <c r="O1446" s="89">
        <v>7116.73</v>
      </c>
      <c r="P1446" s="89">
        <v>1894.2</v>
      </c>
      <c r="Q1446" s="89">
        <v>2135.0189999999998</v>
      </c>
      <c r="R1446" s="89">
        <v>240.81899999999973</v>
      </c>
      <c r="S1446">
        <v>46113</v>
      </c>
      <c r="T1446" t="str">
        <v>CONSUBANCO</v>
      </c>
      <c r="U1446">
        <v>1894.2</v>
      </c>
      <c r="V1446" t="str">
        <v>DULCE</v>
      </c>
      <c r="W1446">
        <v>46275</v>
      </c>
      <c r="X1446" t="str">
        <v/>
      </c>
    </row>
    <row r="1447" spans="1:24">
      <c r="A1447" s="26">
        <v>2941</v>
      </c>
      <c r="B1447" s="87">
        <v>46275.645659722199</v>
      </c>
      <c r="C1447" s="87">
        <v>46275.682175925896</v>
      </c>
      <c r="D1447" t="str">
        <v>anónimo</v>
      </c>
      <c r="E1447" t="str">
        <v/>
      </c>
      <c r="F1447" s="68">
        <v>46275</v>
      </c>
      <c r="G1447" s="88">
        <v>46275</v>
      </c>
      <c r="H1447" t="str">
        <v>ROSA CASTRO SUR</v>
      </c>
      <c r="I1447" t="str">
        <v xml:space="preserve">BEINTO CAMPOS MEDINA </v>
      </c>
      <c r="J1447" s="82" t="str">
        <v/>
      </c>
      <c r="K1447" t="str">
        <v>CAMB500321HZSMDN02</v>
      </c>
      <c r="L1447" s="82">
        <v>24368196</v>
      </c>
      <c r="M1447" s="82">
        <v>5213320414861</v>
      </c>
      <c r="N1447" t="str">
        <v>NUEVO MAYOR</v>
      </c>
      <c r="O1447" s="89">
        <v>8690.2800000000007</v>
      </c>
      <c r="P1447" s="89" t="str">
        <v/>
      </c>
      <c r="Q1447" s="89">
        <v>2607.0840000000003</v>
      </c>
      <c r="R1447" s="89">
        <v>2607.0840000000003</v>
      </c>
      <c r="S1447" t="str">
        <v/>
      </c>
      <c r="T1447" t="str">
        <v/>
      </c>
      <c r="U1447" t="str">
        <v/>
      </c>
      <c r="V1447" t="str">
        <v>MIRIAM</v>
      </c>
      <c r="W1447">
        <v>46275</v>
      </c>
      <c r="X1447" t="str">
        <v/>
      </c>
    </row>
    <row r="1448" spans="1:24">
      <c r="A1448" s="26">
        <v>2942</v>
      </c>
      <c r="B1448" s="87">
        <v>46275.686840277798</v>
      </c>
      <c r="C1448" s="87">
        <v>46275.687442129602</v>
      </c>
      <c r="D1448" t="str">
        <v>anónimo</v>
      </c>
      <c r="E1448" t="str">
        <v/>
      </c>
      <c r="F1448" s="68">
        <v>46275</v>
      </c>
      <c r="G1448" s="88">
        <v>46275</v>
      </c>
      <c r="H1448" t="str">
        <v>BEATRIZ DE LA CRUZ</v>
      </c>
      <c r="I1448" t="str">
        <v>ALVARO CRUZ HERNANDEZ</v>
      </c>
      <c r="J1448" s="82" t="str">
        <v/>
      </c>
      <c r="K1448" t="str">
        <v>CUHA621204HCSRRL06</v>
      </c>
      <c r="L1448" s="82">
        <v>24374234</v>
      </c>
      <c r="M1448" s="82">
        <v>9612465948</v>
      </c>
      <c r="N1448" t="str">
        <v>NUEVO MAYOR</v>
      </c>
      <c r="O1448" s="89">
        <v>10171.24</v>
      </c>
      <c r="P1448" s="89" t="str">
        <v/>
      </c>
      <c r="Q1448" s="89">
        <v>3051.3719999999998</v>
      </c>
      <c r="R1448" s="89">
        <v>3051.3719999999998</v>
      </c>
      <c r="S1448" t="str">
        <v/>
      </c>
      <c r="T1448" t="str">
        <v/>
      </c>
      <c r="U1448" t="str">
        <v/>
      </c>
      <c r="V1448" t="str">
        <v>MARISOL</v>
      </c>
      <c r="W1448">
        <v>46275</v>
      </c>
      <c r="X1448" t="str">
        <v/>
      </c>
    </row>
    <row r="1449" spans="1:24">
      <c r="A1449" s="26">
        <v>2944</v>
      </c>
      <c r="B1449" s="87">
        <v>46275.656805555598</v>
      </c>
      <c r="C1449" s="87">
        <v>46275.703067129602</v>
      </c>
      <c r="D1449" t="str">
        <v>anónimo</v>
      </c>
      <c r="E1449" t="str">
        <v/>
      </c>
      <c r="F1449" s="68">
        <v>46275</v>
      </c>
      <c r="G1449" s="88">
        <v>46274</v>
      </c>
      <c r="H1449" t="str">
        <v>RUTH MARTINEZ SUR</v>
      </c>
      <c r="I1449" t="str">
        <v>SAMUEL DE ANDA MACIEL</v>
      </c>
      <c r="J1449" s="82">
        <v>4675106522</v>
      </c>
      <c r="K1449" t="str">
        <v>AAMS491123HJCNCM00</v>
      </c>
      <c r="L1449" s="82">
        <v>24361520</v>
      </c>
      <c r="M1449" s="82">
        <v>5213312633746</v>
      </c>
      <c r="N1449" t="str">
        <v>NUEVO MENOR</v>
      </c>
      <c r="O1449" s="89">
        <v>48251.94</v>
      </c>
      <c r="P1449" s="89">
        <v>13956.28</v>
      </c>
      <c r="Q1449" s="89">
        <v>14475.582</v>
      </c>
      <c r="R1449" s="89">
        <v>519.30199999999968</v>
      </c>
      <c r="S1449">
        <v>46569</v>
      </c>
      <c r="T1449" t="str">
        <v>BANCREA</v>
      </c>
      <c r="U1449">
        <v>3339</v>
      </c>
      <c r="V1449" t="str">
        <v>HECTOR</v>
      </c>
      <c r="W1449">
        <v>46275</v>
      </c>
      <c r="X1449" t="str">
        <v/>
      </c>
    </row>
    <row r="1450" spans="1:24">
      <c r="A1450" s="26">
        <v>2946</v>
      </c>
      <c r="B1450" s="87">
        <v>46275.7206365741</v>
      </c>
      <c r="C1450" s="87">
        <v>46275.728020833303</v>
      </c>
      <c r="D1450" t="str">
        <v>anónimo</v>
      </c>
      <c r="E1450" t="str">
        <v/>
      </c>
      <c r="F1450" s="68">
        <v>46275</v>
      </c>
      <c r="G1450" s="88">
        <v>46275</v>
      </c>
      <c r="H1450" t="str">
        <v>GUADALUPE CRUZ SUR</v>
      </c>
      <c r="I1450" t="str">
        <v xml:space="preserve">CELSO GUTIÉRREZ PÉREZ </v>
      </c>
      <c r="J1450" s="82" t="str">
        <v/>
      </c>
      <c r="K1450" t="str">
        <v>GUAC650406HDFTRL06</v>
      </c>
      <c r="L1450" s="82">
        <v>24368158</v>
      </c>
      <c r="M1450" s="82">
        <v>5215546708582</v>
      </c>
      <c r="N1450" t="str">
        <v>NUEVO MAYOR</v>
      </c>
      <c r="O1450" s="89">
        <v>9760.32</v>
      </c>
      <c r="P1450" s="89" t="str">
        <v/>
      </c>
      <c r="Q1450" s="89">
        <v>2928.096</v>
      </c>
      <c r="R1450" s="89">
        <v>2928.096</v>
      </c>
      <c r="S1450" t="str">
        <v/>
      </c>
      <c r="T1450" t="str">
        <v/>
      </c>
      <c r="U1450" t="str">
        <v/>
      </c>
      <c r="V1450" t="str">
        <v>HANIA</v>
      </c>
      <c r="W1450">
        <v>46275</v>
      </c>
      <c r="X1450" t="str">
        <v/>
      </c>
    </row>
    <row r="1451" spans="1:24">
      <c r="A1451" s="26">
        <v>2948</v>
      </c>
      <c r="B1451" s="87">
        <v>46275.756921296299</v>
      </c>
      <c r="C1451" s="87">
        <v>46275.757384259297</v>
      </c>
      <c r="D1451" t="str">
        <v>anónimo</v>
      </c>
      <c r="E1451" t="str">
        <v/>
      </c>
      <c r="F1451" s="68">
        <v>46275</v>
      </c>
      <c r="G1451" s="88">
        <v>46275</v>
      </c>
      <c r="H1451" t="str">
        <v>BEATRIZ DE LA CRUZ</v>
      </c>
      <c r="I1451" t="str">
        <v xml:space="preserve"> YSIDRO RODRIGUEZ GARCIA</v>
      </c>
      <c r="J1451" s="82" t="str">
        <v/>
      </c>
      <c r="K1451" t="str">
        <v>ROGY580824HSPDRS03</v>
      </c>
      <c r="L1451" s="82">
        <v>24382562</v>
      </c>
      <c r="M1451" s="82">
        <v>8120029265</v>
      </c>
      <c r="N1451" t="str">
        <v>NUEVO MAYOR</v>
      </c>
      <c r="O1451" s="89">
        <v>52003.97</v>
      </c>
      <c r="P1451" s="89" t="str">
        <v/>
      </c>
      <c r="Q1451" s="89">
        <v>15601.190999999999</v>
      </c>
      <c r="R1451" s="89">
        <v>15601.190999999999</v>
      </c>
      <c r="S1451" t="str">
        <v/>
      </c>
      <c r="T1451" t="str">
        <v/>
      </c>
      <c r="U1451" t="str">
        <v/>
      </c>
      <c r="V1451" t="str">
        <v>GABRIELA</v>
      </c>
      <c r="W1451">
        <v>46275</v>
      </c>
      <c r="X1451" t="str">
        <v/>
      </c>
    </row>
    <row r="1452" spans="1:24">
      <c r="A1452" s="26">
        <v>2953</v>
      </c>
      <c r="B1452" s="87">
        <v>46276.411030092597</v>
      </c>
      <c r="C1452" s="87">
        <v>46276.413472222201</v>
      </c>
      <c r="D1452" t="str">
        <v>anónimo</v>
      </c>
      <c r="E1452" t="str">
        <v/>
      </c>
      <c r="F1452" s="68">
        <v>46276</v>
      </c>
      <c r="G1452" s="88">
        <v>46275</v>
      </c>
      <c r="H1452" t="str">
        <v>ROSA CASTRO SUR</v>
      </c>
      <c r="I1452" t="str">
        <v>JOSE LUIS ESPINOZA VIDAL</v>
      </c>
      <c r="J1452" s="82" t="str">
        <v/>
      </c>
      <c r="K1452" t="str">
        <v>EIVL660415HVZSDS04</v>
      </c>
      <c r="L1452" s="82">
        <v>24383414</v>
      </c>
      <c r="M1452" s="82">
        <v>5212831116647</v>
      </c>
      <c r="N1452" t="str">
        <v>NUEVO MAYOR</v>
      </c>
      <c r="O1452" s="89">
        <v>10636.55</v>
      </c>
      <c r="P1452" s="89">
        <v>0</v>
      </c>
      <c r="Q1452" s="89">
        <v>3190.9649999999997</v>
      </c>
      <c r="R1452" s="89">
        <v>3190.9649999999997</v>
      </c>
      <c r="S1452" t="str">
        <v/>
      </c>
      <c r="T1452" t="str">
        <v/>
      </c>
      <c r="U1452" t="str">
        <v/>
      </c>
      <c r="V1452" t="str">
        <v>HANIA</v>
      </c>
      <c r="W1452">
        <v>46276</v>
      </c>
      <c r="X1452" t="str">
        <v/>
      </c>
    </row>
    <row r="1453" spans="1:24">
      <c r="A1453" s="26">
        <v>2954</v>
      </c>
      <c r="B1453" s="87">
        <v>46276.406875000001</v>
      </c>
      <c r="C1453" s="87">
        <v>46276.421759259298</v>
      </c>
      <c r="D1453" t="str">
        <v>anónimo</v>
      </c>
      <c r="E1453" t="str">
        <v/>
      </c>
      <c r="F1453" s="68">
        <v>46276</v>
      </c>
      <c r="G1453" s="88">
        <v>46276</v>
      </c>
      <c r="H1453" t="str">
        <v>JAEL RUIZ</v>
      </c>
      <c r="I1453" t="str">
        <v xml:space="preserve"> JOEL PEREZ SOTO</v>
      </c>
      <c r="J1453" s="82">
        <v>13725206083</v>
      </c>
      <c r="K1453" t="str">
        <v/>
      </c>
      <c r="L1453" s="82">
        <v>24395670</v>
      </c>
      <c r="M1453" s="82">
        <v>7716848154</v>
      </c>
      <c r="N1453" t="str">
        <v>RESTRINGIDA</v>
      </c>
      <c r="O1453" s="89">
        <v>26478.23</v>
      </c>
      <c r="P1453" s="89">
        <v>7940.63</v>
      </c>
      <c r="Q1453" s="89">
        <v>7943.4689999999991</v>
      </c>
      <c r="R1453" s="89">
        <v>2.8389999999990323</v>
      </c>
      <c r="S1453">
        <v>46235</v>
      </c>
      <c r="T1453" t="str">
        <v>OPCIPRES</v>
      </c>
      <c r="U1453">
        <v>2864.68</v>
      </c>
      <c r="V1453" t="str">
        <v>DULCE</v>
      </c>
      <c r="W1453">
        <v>46276</v>
      </c>
      <c r="X1453" t="str">
        <v/>
      </c>
    </row>
    <row r="1454" spans="1:24">
      <c r="A1454" s="26">
        <v>2957</v>
      </c>
      <c r="B1454" s="87">
        <v>46276.413483796299</v>
      </c>
      <c r="C1454" s="87">
        <v>46276.430520833303</v>
      </c>
      <c r="D1454" t="str">
        <v>anónimo</v>
      </c>
      <c r="E1454" t="str">
        <v/>
      </c>
      <c r="F1454" s="68">
        <v>46276</v>
      </c>
      <c r="G1454" s="88">
        <v>46276</v>
      </c>
      <c r="H1454" t="str">
        <v>ROSA CASTRO SUR</v>
      </c>
      <c r="I1454" t="str">
        <v>ELSA NIDIYARI ARROYO MAGAÑA</v>
      </c>
      <c r="J1454" s="82" t="str">
        <v/>
      </c>
      <c r="K1454" t="str">
        <v>AOME580321MSLRGL05</v>
      </c>
      <c r="L1454" s="82">
        <v>24392654</v>
      </c>
      <c r="M1454" s="82">
        <v>5217775646107</v>
      </c>
      <c r="N1454" t="str">
        <v>NUEVO MAYOR</v>
      </c>
      <c r="O1454" s="89">
        <v>37463.39</v>
      </c>
      <c r="P1454" s="89" t="str">
        <v/>
      </c>
      <c r="Q1454" s="89">
        <v>11239.017</v>
      </c>
      <c r="R1454" s="89">
        <v>11239.017</v>
      </c>
      <c r="S1454" t="str">
        <v/>
      </c>
      <c r="T1454" t="str">
        <v/>
      </c>
      <c r="U1454" t="str">
        <v/>
      </c>
      <c r="V1454" t="str">
        <v>CAROLINA</v>
      </c>
      <c r="W1454">
        <v>46276</v>
      </c>
      <c r="X1454" t="str">
        <v/>
      </c>
    </row>
    <row r="1455" spans="1:24">
      <c r="A1455" s="26">
        <v>2960</v>
      </c>
      <c r="B1455" s="87">
        <v>46276.347013888902</v>
      </c>
      <c r="C1455" s="87">
        <v>46276.465798611098</v>
      </c>
      <c r="D1455" t="str">
        <v>anónimo</v>
      </c>
      <c r="E1455" t="str">
        <v/>
      </c>
      <c r="F1455" s="68">
        <v>46276</v>
      </c>
      <c r="G1455" s="88">
        <v>46276</v>
      </c>
      <c r="H1455" t="str">
        <v>YAMILETH CARDONA EXT 2</v>
      </c>
      <c r="I1455" t="str">
        <v>EDUARDO LUCIANO HERNANDEZ ORTEGA</v>
      </c>
      <c r="J1455" s="82">
        <v>88806010752</v>
      </c>
      <c r="K1455" t="str">
        <v>HEOE600107HDFRRD00</v>
      </c>
      <c r="L1455" s="82">
        <v>2</v>
      </c>
      <c r="M1455" s="82" t="str">
        <v>55 4734 1271</v>
      </c>
      <c r="N1455" t="str">
        <v>COMPRA MAYOR</v>
      </c>
      <c r="O1455" s="89">
        <v>11297.4</v>
      </c>
      <c r="P1455" s="89">
        <v>3381.56</v>
      </c>
      <c r="Q1455" s="89">
        <v>3389.22</v>
      </c>
      <c r="R1455" s="89">
        <v>7.6599999999998545</v>
      </c>
      <c r="S1455">
        <v>46266</v>
      </c>
      <c r="T1455" t="str">
        <v>DIMEX</v>
      </c>
      <c r="U1455">
        <v>3136.56</v>
      </c>
      <c r="V1455" t="str">
        <v/>
      </c>
      <c r="W1455" t="str">
        <v/>
      </c>
      <c r="X1455" t="str">
        <v/>
      </c>
    </row>
    <row r="1456" spans="1:24">
      <c r="A1456" s="26">
        <v>2961</v>
      </c>
      <c r="B1456" s="87">
        <v>46276.466481481497</v>
      </c>
      <c r="C1456" s="87">
        <v>46276.468668981499</v>
      </c>
      <c r="D1456" t="str">
        <v>anónimo</v>
      </c>
      <c r="E1456" t="str">
        <v/>
      </c>
      <c r="F1456" s="68">
        <v>46276</v>
      </c>
      <c r="G1456" s="88">
        <v>46276</v>
      </c>
      <c r="H1456" t="str">
        <v>KATE MALPICA</v>
      </c>
      <c r="I1456" t="str">
        <v>JUAN MARTIN CAMPA MORENO</v>
      </c>
      <c r="J1456" s="82" t="str">
        <v/>
      </c>
      <c r="K1456" t="str">
        <v>CAMJ620927HNLMRN01</v>
      </c>
      <c r="L1456" s="82">
        <v>24397608</v>
      </c>
      <c r="M1456" s="82">
        <v>8123497411</v>
      </c>
      <c r="N1456" t="str">
        <v>NUEVO MENOR</v>
      </c>
      <c r="O1456" s="89">
        <v>7920.51</v>
      </c>
      <c r="P1456" s="89">
        <v>1794.15</v>
      </c>
      <c r="Q1456" s="89">
        <v>2376.1529999999998</v>
      </c>
      <c r="R1456" s="89">
        <v>582.0029999999997</v>
      </c>
      <c r="S1456">
        <v>46813</v>
      </c>
      <c r="T1456" t="str">
        <v>DIMEX</v>
      </c>
      <c r="U1456">
        <v>1794.15</v>
      </c>
      <c r="V1456" t="str">
        <v>HECTOR</v>
      </c>
      <c r="W1456">
        <v>46276</v>
      </c>
      <c r="X1456" t="str">
        <v/>
      </c>
    </row>
    <row r="1457" spans="1:24">
      <c r="A1457" s="26">
        <v>2962</v>
      </c>
      <c r="B1457" s="87">
        <v>46276.470196759299</v>
      </c>
      <c r="C1457" s="87">
        <v>46276.470914351899</v>
      </c>
      <c r="D1457" t="str">
        <v>anónimo</v>
      </c>
      <c r="E1457" t="str">
        <v/>
      </c>
      <c r="F1457" s="68">
        <v>46276</v>
      </c>
      <c r="G1457" s="88">
        <v>46275</v>
      </c>
      <c r="H1457" t="str">
        <v>BEATRIZ DE LA CRUZ</v>
      </c>
      <c r="I1457" t="str">
        <v>MONICA ARCELIA VEGA GUTIERREZ</v>
      </c>
      <c r="J1457" s="82" t="str">
        <v/>
      </c>
      <c r="K1457" t="str">
        <v>VEGM721230MSRGTN06</v>
      </c>
      <c r="L1457" s="82">
        <v>24386144</v>
      </c>
      <c r="M1457" s="82">
        <v>6623596230</v>
      </c>
      <c r="N1457" t="str">
        <v>RESTRINGIDA</v>
      </c>
      <c r="O1457" s="89">
        <v>6411.47</v>
      </c>
      <c r="P1457" s="89">
        <v>1843.68</v>
      </c>
      <c r="Q1457" s="89">
        <v>1923.441</v>
      </c>
      <c r="R1457" s="89">
        <v>79.760999999999967</v>
      </c>
      <c r="S1457">
        <v>45870</v>
      </c>
      <c r="T1457" t="str">
        <v>CONSUBANCO</v>
      </c>
      <c r="U1457">
        <v>412.85</v>
      </c>
      <c r="V1457" t="str">
        <v>DULCE</v>
      </c>
      <c r="W1457">
        <v>46276</v>
      </c>
      <c r="X1457" t="str">
        <v/>
      </c>
    </row>
    <row r="1458" spans="1:24">
      <c r="A1458" s="26">
        <v>2963</v>
      </c>
      <c r="B1458" s="87">
        <v>46276.4305439815</v>
      </c>
      <c r="C1458" s="87">
        <v>46276.474699074097</v>
      </c>
      <c r="D1458" t="str">
        <v>anónimo</v>
      </c>
      <c r="E1458" t="str">
        <v/>
      </c>
      <c r="F1458" s="68">
        <v>46276</v>
      </c>
      <c r="G1458" s="88">
        <v>46275</v>
      </c>
      <c r="H1458" t="str">
        <v>ROSA CASTRO SUR</v>
      </c>
      <c r="I1458" t="str">
        <v>VICTOR MANUEL LUNA MATA</v>
      </c>
      <c r="J1458" s="82" t="str">
        <v/>
      </c>
      <c r="K1458" t="str">
        <v>LUMV600525HCHNTC06</v>
      </c>
      <c r="L1458" s="82">
        <v>24386248</v>
      </c>
      <c r="M1458" s="82">
        <v>5216271491671</v>
      </c>
      <c r="N1458" t="str">
        <v>COMPRA MAYOR</v>
      </c>
      <c r="O1458" s="89">
        <v>6248.08</v>
      </c>
      <c r="P1458" s="89">
        <v>1497.29</v>
      </c>
      <c r="Q1458" s="89">
        <v>1874.424</v>
      </c>
      <c r="R1458" s="89">
        <v>377.13400000000001</v>
      </c>
      <c r="S1458">
        <v>45383</v>
      </c>
      <c r="T1458" t="str">
        <v>EXITUS</v>
      </c>
      <c r="U1458">
        <v>1497.29</v>
      </c>
      <c r="V1458" t="str">
        <v>ITZEL CARRANZA</v>
      </c>
      <c r="W1458">
        <v>46276</v>
      </c>
      <c r="X1458" t="str">
        <v/>
      </c>
    </row>
    <row r="1459" spans="1:24">
      <c r="A1459" s="26">
        <v>2964</v>
      </c>
      <c r="B1459" s="87">
        <v>46276.465208333299</v>
      </c>
      <c r="C1459" s="87">
        <v>46276.479050925896</v>
      </c>
      <c r="D1459" t="str">
        <v>anónimo</v>
      </c>
      <c r="E1459" t="str">
        <v/>
      </c>
      <c r="F1459" s="68">
        <v>46276</v>
      </c>
      <c r="G1459" s="88">
        <v>46276</v>
      </c>
      <c r="H1459" t="str">
        <v>JAEL RUIZ</v>
      </c>
      <c r="I1459" t="str">
        <v>GLAUDENCIO TONTON PACHECO</v>
      </c>
      <c r="J1459" s="82" t="str">
        <v/>
      </c>
      <c r="K1459" t="str">
        <v>POPG660122HGRNCD02</v>
      </c>
      <c r="L1459" s="82">
        <v>24397820</v>
      </c>
      <c r="M1459" s="82">
        <v>6691008482</v>
      </c>
      <c r="N1459" t="str">
        <v>NUEVO MAYOR</v>
      </c>
      <c r="O1459" s="89">
        <v>11029.03</v>
      </c>
      <c r="P1459" s="89" t="str">
        <v/>
      </c>
      <c r="Q1459" s="89">
        <v>3308.7090000000003</v>
      </c>
      <c r="R1459" s="89">
        <v>3308.7090000000003</v>
      </c>
      <c r="S1459" t="str">
        <v/>
      </c>
      <c r="T1459" t="str">
        <v/>
      </c>
      <c r="U1459" t="str">
        <v/>
      </c>
      <c r="V1459" t="str">
        <v>MARISOL</v>
      </c>
      <c r="W1459">
        <v>46276</v>
      </c>
      <c r="X1459" t="str">
        <v/>
      </c>
    </row>
    <row r="1460" spans="1:24">
      <c r="A1460" s="26">
        <v>2966</v>
      </c>
      <c r="B1460" s="87">
        <v>46276.482858796298</v>
      </c>
      <c r="C1460" s="87">
        <v>46276.488912036999</v>
      </c>
      <c r="D1460" t="str">
        <v>anónimo</v>
      </c>
      <c r="E1460" t="str">
        <v/>
      </c>
      <c r="F1460" s="68">
        <v>46276</v>
      </c>
      <c r="G1460" s="88">
        <v>46215</v>
      </c>
      <c r="H1460" t="str">
        <v>DULCE FRANCO C/C</v>
      </c>
      <c r="I1460" t="str">
        <v>IGNACIO PEÑA RAMOS</v>
      </c>
      <c r="J1460" s="82" t="str">
        <v/>
      </c>
      <c r="K1460" t="str">
        <v>PERI490201HGRXMG00</v>
      </c>
      <c r="L1460" s="82">
        <v>22591716</v>
      </c>
      <c r="M1460" s="82">
        <v>7445061746</v>
      </c>
      <c r="N1460" t="str">
        <v>COMPRA MAYOR</v>
      </c>
      <c r="O1460" s="89">
        <v>11832.27</v>
      </c>
      <c r="P1460" s="89">
        <v>3421.76</v>
      </c>
      <c r="Q1460" s="89">
        <v>3549.681</v>
      </c>
      <c r="R1460" s="89">
        <v>127.92099999999982</v>
      </c>
      <c r="S1460">
        <v>45748</v>
      </c>
      <c r="T1460" t="str">
        <v>DIMEX</v>
      </c>
      <c r="U1460">
        <v>1301.3699999999999</v>
      </c>
      <c r="V1460" t="str">
        <v>DULCE</v>
      </c>
      <c r="W1460">
        <v>46276</v>
      </c>
      <c r="X1460" t="str">
        <v/>
      </c>
    </row>
    <row r="1461" spans="1:24">
      <c r="A1461" s="26">
        <v>2970</v>
      </c>
      <c r="B1461" s="87">
        <v>46276.408217592601</v>
      </c>
      <c r="C1461" s="87">
        <v>46276.512893518498</v>
      </c>
      <c r="D1461" t="str">
        <v>anónimo</v>
      </c>
      <c r="E1461" t="str">
        <v/>
      </c>
      <c r="F1461" s="68">
        <v>46276</v>
      </c>
      <c r="G1461" s="88">
        <v>46276</v>
      </c>
      <c r="H1461" t="str">
        <v>LIDIA GARZA</v>
      </c>
      <c r="I1461" t="str">
        <v>JOSUE HERNANDEZ CORNELIO</v>
      </c>
      <c r="J1461" s="82">
        <v>83816416495</v>
      </c>
      <c r="K1461" t="str">
        <v>HECJ640716HTCRRS05</v>
      </c>
      <c r="L1461" s="82">
        <v>24204694</v>
      </c>
      <c r="M1461" s="82">
        <v>5219991079496</v>
      </c>
      <c r="N1461" t="str">
        <v>NUEVO MAYOR</v>
      </c>
      <c r="O1461" s="89">
        <v>9081.52</v>
      </c>
      <c r="P1461" s="89">
        <v>1510.61</v>
      </c>
      <c r="Q1461" s="89">
        <v>2724.4560000000001</v>
      </c>
      <c r="R1461" s="89">
        <v>1213.8460000000002</v>
      </c>
      <c r="S1461">
        <v>46539</v>
      </c>
      <c r="T1461" t="str">
        <v>FISOFO</v>
      </c>
      <c r="U1461">
        <v>758.14</v>
      </c>
      <c r="V1461" t="str">
        <v>LIDIA</v>
      </c>
      <c r="W1461">
        <v>46276</v>
      </c>
      <c r="X1461" t="str">
        <v/>
      </c>
    </row>
    <row r="1462" spans="1:24">
      <c r="A1462" s="26">
        <v>2972</v>
      </c>
      <c r="B1462" s="87">
        <v>46276.522256944401</v>
      </c>
      <c r="C1462" s="87">
        <v>46276.527164351799</v>
      </c>
      <c r="D1462" t="str">
        <v>anónimo</v>
      </c>
      <c r="E1462" t="str">
        <v/>
      </c>
      <c r="F1462" s="68">
        <v>46276</v>
      </c>
      <c r="G1462" s="88">
        <v>46275</v>
      </c>
      <c r="H1462" t="str">
        <v>LILIANA MARTINEZ SUR</v>
      </c>
      <c r="I1462" t="str">
        <v>RAFAEL RODRIGUEZ GALAN</v>
      </c>
      <c r="J1462" s="82" t="str">
        <v>01644860239</v>
      </c>
      <c r="K1462" t="str">
        <v>ROGR481124HDFDLF05</v>
      </c>
      <c r="L1462" s="82">
        <v>24383926</v>
      </c>
      <c r="M1462" s="82">
        <v>5216647483912</v>
      </c>
      <c r="N1462" t="str">
        <v>RESTRINGIDA</v>
      </c>
      <c r="O1462" s="89">
        <v>7007.26</v>
      </c>
      <c r="P1462" s="89">
        <v>940.64</v>
      </c>
      <c r="Q1462" s="89">
        <v>2102.1779999999999</v>
      </c>
      <c r="R1462" s="89">
        <v>1161.538</v>
      </c>
      <c r="S1462">
        <v>46054</v>
      </c>
      <c r="T1462" t="str">
        <v>CONSUBANCO</v>
      </c>
      <c r="U1462">
        <v>940.64</v>
      </c>
      <c r="V1462" t="str">
        <v>DULCE</v>
      </c>
      <c r="W1462">
        <v>46276</v>
      </c>
      <c r="X1462" t="str">
        <v/>
      </c>
    </row>
    <row r="1463" spans="1:24">
      <c r="A1463" s="26">
        <v>2974</v>
      </c>
      <c r="B1463" s="87">
        <v>46276.572511574101</v>
      </c>
      <c r="C1463" s="87">
        <v>46276.573993055601</v>
      </c>
      <c r="D1463" t="str">
        <v>anónimo</v>
      </c>
      <c r="E1463" t="str">
        <v/>
      </c>
      <c r="F1463" s="68">
        <v>46276</v>
      </c>
      <c r="G1463" s="88">
        <v>46276</v>
      </c>
      <c r="H1463" t="str">
        <v>KATE MALPICA</v>
      </c>
      <c r="I1463" t="str">
        <v>FILOMENO GAYTAN GARCIA</v>
      </c>
      <c r="J1463" s="82" t="str">
        <v/>
      </c>
      <c r="K1463" t="str">
        <v>GAGF600705HCLYRL09</v>
      </c>
      <c r="L1463" s="82">
        <v>24395944</v>
      </c>
      <c r="M1463" s="82">
        <v>8713507509</v>
      </c>
      <c r="N1463" t="str">
        <v>RESTRINGIDA</v>
      </c>
      <c r="O1463" s="89">
        <v>25364.48</v>
      </c>
      <c r="P1463" s="89">
        <v>7492.06</v>
      </c>
      <c r="Q1463" s="89">
        <v>7609.3439999999991</v>
      </c>
      <c r="R1463" s="89">
        <v>117.28399999999874</v>
      </c>
      <c r="S1463">
        <v>45627</v>
      </c>
      <c r="T1463" t="str">
        <v>CONSUBANCO</v>
      </c>
      <c r="U1463">
        <v>5127.4799999999996</v>
      </c>
      <c r="V1463" t="str">
        <v>DULCE</v>
      </c>
      <c r="W1463">
        <v>46276</v>
      </c>
      <c r="X1463" t="str">
        <v/>
      </c>
    </row>
    <row r="1464" spans="1:24">
      <c r="A1464" s="26">
        <v>2976</v>
      </c>
      <c r="B1464" s="87">
        <v>46276.5808217593</v>
      </c>
      <c r="C1464" s="87">
        <v>46276.601238425901</v>
      </c>
      <c r="D1464" t="str">
        <v>anónimo</v>
      </c>
      <c r="E1464" t="str">
        <v/>
      </c>
      <c r="F1464" s="68">
        <v>46276</v>
      </c>
      <c r="G1464" s="88">
        <v>46276</v>
      </c>
      <c r="H1464" t="str">
        <v>KATE MALPICA</v>
      </c>
      <c r="I1464" t="str">
        <v>JOSE DE JESUS MUÑOZ GUTIERREZ</v>
      </c>
      <c r="J1464" s="82" t="str">
        <v/>
      </c>
      <c r="K1464" t="str">
        <v xml:space="preserve">MUGJ650210HGRXTS02	</v>
      </c>
      <c r="L1464" s="82">
        <v>24397974</v>
      </c>
      <c r="M1464" s="82">
        <v>7551415589</v>
      </c>
      <c r="N1464" t="str">
        <v>NUEVO MAYOR</v>
      </c>
      <c r="O1464" s="89">
        <v>9760.32</v>
      </c>
      <c r="P1464" s="89" t="str">
        <v/>
      </c>
      <c r="Q1464" s="89">
        <v>2928.096</v>
      </c>
      <c r="R1464" s="89">
        <v>2928.096</v>
      </c>
      <c r="S1464" t="str">
        <v/>
      </c>
      <c r="T1464" t="str">
        <v/>
      </c>
      <c r="U1464" t="str">
        <v/>
      </c>
      <c r="V1464" t="str">
        <v>PAOLA</v>
      </c>
      <c r="W1464">
        <v>46276</v>
      </c>
      <c r="X1464" t="str">
        <v/>
      </c>
    </row>
    <row r="1465" spans="1:24">
      <c r="A1465" s="26">
        <v>2977</v>
      </c>
      <c r="B1465" s="87">
        <v>46276.600821759297</v>
      </c>
      <c r="C1465" s="87">
        <v>46276.601388888899</v>
      </c>
      <c r="D1465" t="str">
        <v>anónimo</v>
      </c>
      <c r="E1465" t="str">
        <v/>
      </c>
      <c r="F1465" s="68">
        <v>46276</v>
      </c>
      <c r="G1465" s="88">
        <v>46275</v>
      </c>
      <c r="H1465" t="str">
        <v>BEATRIZ DE LA CRUZ</v>
      </c>
      <c r="I1465" t="str">
        <v>DAVID RAMOS LOPEZ</v>
      </c>
      <c r="J1465" s="82" t="str">
        <v/>
      </c>
      <c r="K1465" t="str">
        <v>RALD630914HGTMPV09</v>
      </c>
      <c r="L1465" s="82">
        <v>24383666</v>
      </c>
      <c r="M1465" s="82">
        <v>4771551490</v>
      </c>
      <c r="N1465" t="str">
        <v>NUEVO MAYOR</v>
      </c>
      <c r="O1465" s="89">
        <v>31443.91</v>
      </c>
      <c r="P1465" s="89">
        <v>7500</v>
      </c>
      <c r="Q1465" s="89">
        <v>9433.1729999999989</v>
      </c>
      <c r="R1465" s="89">
        <v>1933.1729999999989</v>
      </c>
      <c r="S1465">
        <v>46966</v>
      </c>
      <c r="T1465" t="str">
        <v>BANCREA</v>
      </c>
      <c r="U1465">
        <v>7500</v>
      </c>
      <c r="V1465" t="str">
        <v>CAROLINA</v>
      </c>
      <c r="W1465">
        <v>46276</v>
      </c>
      <c r="X1465" t="str">
        <v/>
      </c>
    </row>
    <row r="1466" spans="1:24">
      <c r="A1466" s="26">
        <v>2979</v>
      </c>
      <c r="B1466" s="87">
        <v>46276.6073032407</v>
      </c>
      <c r="C1466" s="87">
        <v>46276.612731481502</v>
      </c>
      <c r="D1466" t="str">
        <v>anónimo</v>
      </c>
      <c r="E1466" t="str">
        <v/>
      </c>
      <c r="F1466" s="68">
        <v>46276</v>
      </c>
      <c r="G1466" s="88">
        <v>46274</v>
      </c>
      <c r="H1466" t="str">
        <v>ROSA CASTRO SUR</v>
      </c>
      <c r="I1466" t="str">
        <v xml:space="preserve">JOSE ANGEL LOPEZ ALCARAZ </v>
      </c>
      <c r="J1466" s="82" t="str">
        <v/>
      </c>
      <c r="K1466" t="str">
        <v>LOAA551215HCHPLN08</v>
      </c>
      <c r="L1466" s="82">
        <v>24358246</v>
      </c>
      <c r="M1466" s="82">
        <v>5216391239442</v>
      </c>
      <c r="N1466" t="str">
        <v>NUEVO MAYOR</v>
      </c>
      <c r="O1466" s="89">
        <v>6494.38</v>
      </c>
      <c r="P1466" s="89" t="str">
        <v/>
      </c>
      <c r="Q1466" s="89">
        <v>1948.3139999999999</v>
      </c>
      <c r="R1466" s="89">
        <v>1948.3139999999999</v>
      </c>
      <c r="S1466" t="str">
        <v/>
      </c>
      <c r="T1466" t="str">
        <v/>
      </c>
      <c r="U1466" t="str">
        <v/>
      </c>
      <c r="V1466" t="str">
        <v>KARINA</v>
      </c>
      <c r="W1466">
        <v>46276</v>
      </c>
      <c r="X1466" t="str">
        <v/>
      </c>
    </row>
    <row r="1467" spans="1:24">
      <c r="A1467" s="26">
        <v>2981</v>
      </c>
      <c r="B1467" s="87">
        <v>46276.605486111097</v>
      </c>
      <c r="C1467" s="87">
        <v>46276.630300925899</v>
      </c>
      <c r="D1467" t="str">
        <v>anónimo</v>
      </c>
      <c r="E1467" t="str">
        <v/>
      </c>
      <c r="F1467" s="68">
        <v>46276</v>
      </c>
      <c r="G1467" s="88">
        <v>46275</v>
      </c>
      <c r="H1467" t="str">
        <v>RUTH MARTINEZ SUR</v>
      </c>
      <c r="I1467" t="str">
        <v>MANUEL MURILLO LOPEZ</v>
      </c>
      <c r="J1467" s="82">
        <v>34796005220</v>
      </c>
      <c r="K1467" t="str">
        <v>MULM600128HZSRPN09</v>
      </c>
      <c r="L1467" s="82">
        <v>24384450</v>
      </c>
      <c r="M1467" s="82">
        <v>5214781051522</v>
      </c>
      <c r="N1467" t="str">
        <v>COMPRA MAYOR</v>
      </c>
      <c r="O1467" s="89">
        <v>5617.63</v>
      </c>
      <c r="P1467" s="89">
        <v>1334.29</v>
      </c>
      <c r="Q1467" s="89">
        <v>1685.289</v>
      </c>
      <c r="R1467" s="89">
        <v>110.36000000000058</v>
      </c>
      <c r="S1467">
        <v>46204</v>
      </c>
      <c r="T1467" t="str">
        <v>INBURSA</v>
      </c>
      <c r="U1467">
        <v>1334.29</v>
      </c>
      <c r="V1467" t="str">
        <v>MAGALI</v>
      </c>
      <c r="W1467">
        <v>46276</v>
      </c>
      <c r="X1467" t="str">
        <v/>
      </c>
    </row>
    <row r="1468" spans="1:24">
      <c r="A1468" s="26">
        <v>2984</v>
      </c>
      <c r="B1468" s="87">
        <v>46276.635034722203</v>
      </c>
      <c r="C1468" s="87">
        <v>46276.637604166703</v>
      </c>
      <c r="D1468" t="str">
        <v>anónimo</v>
      </c>
      <c r="E1468" t="str">
        <v/>
      </c>
      <c r="F1468" s="68">
        <v>46276</v>
      </c>
      <c r="G1468" s="88">
        <v>46276</v>
      </c>
      <c r="H1468" t="str">
        <v>ROSA CASTRO SUR</v>
      </c>
      <c r="I1468" t="str">
        <v xml:space="preserve">ANTONIO GARCIA GONZALEZ </v>
      </c>
      <c r="J1468" s="82" t="str">
        <v/>
      </c>
      <c r="K1468" t="str">
        <v>GAGA640410HTSRNN05</v>
      </c>
      <c r="L1468" s="82">
        <v>24394700</v>
      </c>
      <c r="M1468" s="82">
        <v>5218991242033</v>
      </c>
      <c r="N1468" t="str">
        <v>COMPRA MAYOR</v>
      </c>
      <c r="O1468" s="89">
        <v>9081.52</v>
      </c>
      <c r="P1468" s="89">
        <v>2723.63</v>
      </c>
      <c r="Q1468" s="89">
        <v>2724.4560000000001</v>
      </c>
      <c r="R1468" s="89">
        <v>0.82600000000002183</v>
      </c>
      <c r="S1468">
        <v>46143</v>
      </c>
      <c r="T1468" t="str">
        <v>ATTENDO</v>
      </c>
      <c r="U1468">
        <v>1922.57</v>
      </c>
      <c r="V1468" t="str">
        <v>LIDIA</v>
      </c>
      <c r="W1468">
        <v>46276</v>
      </c>
      <c r="X1468" t="str">
        <v/>
      </c>
    </row>
    <row r="1469" spans="1:24">
      <c r="A1469" s="26">
        <v>2985</v>
      </c>
      <c r="B1469" s="87">
        <v>46276.641805555599</v>
      </c>
      <c r="C1469" s="87">
        <v>46276.642523148097</v>
      </c>
      <c r="D1469" t="str">
        <v>anónimo</v>
      </c>
      <c r="E1469" t="str">
        <v/>
      </c>
      <c r="F1469" s="68">
        <v>46276</v>
      </c>
      <c r="G1469" s="88">
        <v>46276</v>
      </c>
      <c r="H1469" t="str">
        <v>BEATRIZ DE LA CRUZ</v>
      </c>
      <c r="I1469" t="str">
        <v>JUAN JOSE ARGUELLES GONZALEZ</v>
      </c>
      <c r="J1469" s="82" t="str">
        <v/>
      </c>
      <c r="K1469" t="str">
        <v>AUGJ610111HVZRNN08</v>
      </c>
      <c r="L1469" s="82">
        <v>24401682</v>
      </c>
      <c r="M1469" s="82">
        <v>9211722085</v>
      </c>
      <c r="N1469" t="str">
        <v>NUEVO MAYOR</v>
      </c>
      <c r="O1469" s="89">
        <v>22892.720000000001</v>
      </c>
      <c r="P1469" s="89" t="str">
        <v/>
      </c>
      <c r="Q1469" s="89">
        <v>6867.8159999999998</v>
      </c>
      <c r="R1469" s="89">
        <v>6867.8159999999998</v>
      </c>
      <c r="S1469" t="str">
        <v/>
      </c>
      <c r="T1469" t="str">
        <v/>
      </c>
      <c r="U1469" t="str">
        <v/>
      </c>
      <c r="V1469" t="str">
        <v>PAOLA</v>
      </c>
      <c r="W1469">
        <v>46276</v>
      </c>
      <c r="X1469" t="str">
        <v/>
      </c>
    </row>
    <row r="1470" spans="1:24">
      <c r="A1470" s="26">
        <v>2987</v>
      </c>
      <c r="B1470" s="87">
        <v>46276.6499652778</v>
      </c>
      <c r="C1470" s="87">
        <v>46276.650578703702</v>
      </c>
      <c r="D1470" t="str">
        <v>anónimo</v>
      </c>
      <c r="E1470" t="str">
        <v/>
      </c>
      <c r="F1470" s="68">
        <v>46276</v>
      </c>
      <c r="G1470" s="88">
        <v>46276</v>
      </c>
      <c r="H1470" t="str">
        <v>BEATRIZ DE LA CRUZ</v>
      </c>
      <c r="I1470" t="str">
        <v>PEDRO REYES CASTILLO</v>
      </c>
      <c r="J1470" s="82" t="str">
        <v/>
      </c>
      <c r="K1470" t="str">
        <v>RECP660429HVZYSD03</v>
      </c>
      <c r="L1470" s="82">
        <v>24403058</v>
      </c>
      <c r="M1470" s="82">
        <v>2294638928</v>
      </c>
      <c r="N1470" t="str">
        <v>NUEVO MAYOR</v>
      </c>
      <c r="O1470" s="89">
        <v>10636.54</v>
      </c>
      <c r="P1470" s="89" t="str">
        <v/>
      </c>
      <c r="Q1470" s="89">
        <v>3190.962</v>
      </c>
      <c r="R1470" s="89">
        <v>3190.962</v>
      </c>
      <c r="S1470" t="str">
        <v/>
      </c>
      <c r="T1470" t="str">
        <v/>
      </c>
      <c r="U1470" t="str">
        <v/>
      </c>
      <c r="V1470" t="str">
        <v>KARINA</v>
      </c>
      <c r="W1470">
        <v>46276</v>
      </c>
      <c r="X1470" t="str">
        <v/>
      </c>
    </row>
    <row r="1471" spans="1:24">
      <c r="A1471" s="26">
        <v>2993</v>
      </c>
      <c r="B1471" s="87">
        <v>46276.637615740699</v>
      </c>
      <c r="C1471" s="87">
        <v>46276.695914351803</v>
      </c>
      <c r="D1471" t="str">
        <v>anónimo</v>
      </c>
      <c r="E1471" t="str">
        <v/>
      </c>
      <c r="F1471" s="68">
        <v>46276</v>
      </c>
      <c r="G1471" s="88">
        <v>46276</v>
      </c>
      <c r="H1471" t="str">
        <v>ROSA CASTRO SUR</v>
      </c>
      <c r="I1471" t="str">
        <v xml:space="preserve">NORBERTO ROSAS GONZALEZ </v>
      </c>
      <c r="J1471" s="82" t="str">
        <v/>
      </c>
      <c r="K1471" t="str">
        <v>ROGN540606HMCSNR05</v>
      </c>
      <c r="L1471" s="82">
        <v>24401792</v>
      </c>
      <c r="M1471" s="82">
        <v>5215534454925</v>
      </c>
      <c r="N1471" t="str">
        <v>NUEVO MAYOR</v>
      </c>
      <c r="O1471" s="89">
        <v>29672.1</v>
      </c>
      <c r="P1471" s="89" t="str">
        <v/>
      </c>
      <c r="Q1471" s="89">
        <v>8901.6299999999992</v>
      </c>
      <c r="R1471" s="89">
        <v>8901.6299999999992</v>
      </c>
      <c r="S1471" t="str">
        <v/>
      </c>
      <c r="T1471" t="str">
        <v/>
      </c>
      <c r="U1471" t="str">
        <v/>
      </c>
      <c r="V1471" t="str">
        <v>PAOLA</v>
      </c>
      <c r="W1471">
        <v>46276</v>
      </c>
      <c r="X1471" t="str">
        <v/>
      </c>
    </row>
    <row r="1472" spans="1:24">
      <c r="A1472" s="26">
        <v>2994</v>
      </c>
      <c r="B1472" s="87">
        <v>46276.681284722203</v>
      </c>
      <c r="C1472" s="87">
        <v>46276.698391203703</v>
      </c>
      <c r="D1472" t="str">
        <v>anónimo</v>
      </c>
      <c r="E1472" t="str">
        <v/>
      </c>
      <c r="F1472" s="68">
        <v>46276</v>
      </c>
      <c r="G1472" s="88">
        <v>46276</v>
      </c>
      <c r="H1472" t="str">
        <v>LILIANA MARTINEZ SUR</v>
      </c>
      <c r="I1472" t="str">
        <v>ARNULFO TIRADO BARRAZA</v>
      </c>
      <c r="J1472" s="82" t="str">
        <v>23796238006</v>
      </c>
      <c r="K1472" t="str">
        <v>TIBA620513HSLRRR05</v>
      </c>
      <c r="L1472" s="82">
        <v>24401808</v>
      </c>
      <c r="M1472" s="82">
        <v>5216691231303</v>
      </c>
      <c r="N1472" t="str">
        <v>COMPRA MENOR</v>
      </c>
      <c r="O1472" s="89">
        <v>65409.37</v>
      </c>
      <c r="P1472" s="89">
        <v>19621.07</v>
      </c>
      <c r="Q1472" s="89">
        <v>19622.811000000002</v>
      </c>
      <c r="R1472" s="89">
        <v>1.7410000000018044</v>
      </c>
      <c r="S1472">
        <v>46082</v>
      </c>
      <c r="T1472" t="str">
        <v>EXITUS</v>
      </c>
      <c r="U1472">
        <v>374.89</v>
      </c>
      <c r="V1472" t="str">
        <v>HECTOR</v>
      </c>
      <c r="W1472">
        <v>46276</v>
      </c>
      <c r="X1472" t="str">
        <v/>
      </c>
    </row>
    <row r="1473" spans="1:24">
      <c r="A1473" s="26">
        <v>2995</v>
      </c>
      <c r="B1473" s="87">
        <v>46276.677685185197</v>
      </c>
      <c r="C1473" s="87">
        <v>46276.698738425897</v>
      </c>
      <c r="D1473" t="str">
        <v>anónimo</v>
      </c>
      <c r="E1473" t="str">
        <v/>
      </c>
      <c r="F1473" s="68">
        <v>46276</v>
      </c>
      <c r="G1473" s="88">
        <v>46275</v>
      </c>
      <c r="H1473" t="str">
        <v>LILIANA MARTINEZ SUR</v>
      </c>
      <c r="I1473" t="str">
        <v>MAYOR AGUILAR</v>
      </c>
      <c r="J1473" s="82">
        <v>88806010653</v>
      </c>
      <c r="K1473" t="str">
        <v/>
      </c>
      <c r="L1473" s="82">
        <v>24385800</v>
      </c>
      <c r="M1473" s="82">
        <v>5215624170186</v>
      </c>
      <c r="N1473" t="str">
        <v>NUEVO MENOR</v>
      </c>
      <c r="O1473" s="89">
        <v>6496.63</v>
      </c>
      <c r="P1473" s="89">
        <v>879</v>
      </c>
      <c r="Q1473" s="89">
        <v>1948.989</v>
      </c>
      <c r="R1473" s="89">
        <v>1069.989</v>
      </c>
      <c r="S1473" t="str">
        <v/>
      </c>
      <c r="T1473" t="str">
        <v/>
      </c>
      <c r="U1473" t="str">
        <v/>
      </c>
      <c r="V1473" t="str">
        <v>HECTOR</v>
      </c>
      <c r="W1473">
        <v>46276</v>
      </c>
      <c r="X1473" t="str">
        <v/>
      </c>
    </row>
    <row r="1474" spans="1:24">
      <c r="A1474" s="26">
        <v>2996</v>
      </c>
      <c r="B1474" s="87">
        <v>46276.691782407397</v>
      </c>
      <c r="C1474" s="87">
        <v>46276.699270833298</v>
      </c>
      <c r="D1474" t="str">
        <v>anónimo</v>
      </c>
      <c r="E1474" t="str">
        <v/>
      </c>
      <c r="F1474" s="68">
        <v>46276</v>
      </c>
      <c r="G1474" s="88">
        <v>46276</v>
      </c>
      <c r="H1474" t="str">
        <v>LILIANA MARTINEZ SUR</v>
      </c>
      <c r="I1474" t="str">
        <v xml:space="preserve"> GILBERTO GABRIEL RODRIGUEZ ZAMORA</v>
      </c>
      <c r="J1474" s="82">
        <v>33826312689</v>
      </c>
      <c r="K1474" t="str">
        <v>ROZG630101HCHDML04</v>
      </c>
      <c r="L1474" s="82">
        <v>24402274</v>
      </c>
      <c r="M1474" s="82">
        <v>5216564122604</v>
      </c>
      <c r="N1474" t="str">
        <v>COMPRA MAYOR</v>
      </c>
      <c r="O1474" s="89">
        <v>7920.51</v>
      </c>
      <c r="P1474" s="89">
        <v>2099.5500000000002</v>
      </c>
      <c r="Q1474" s="89">
        <v>2376.1529999999998</v>
      </c>
      <c r="R1474" s="89">
        <v>276.60299999999961</v>
      </c>
      <c r="S1474">
        <v>45809</v>
      </c>
      <c r="T1474" t="str">
        <v>SCOTIABANK</v>
      </c>
      <c r="U1474">
        <v>2099.5500000000002</v>
      </c>
      <c r="V1474" t="str">
        <v>LIDIA</v>
      </c>
      <c r="W1474">
        <v>46276</v>
      </c>
      <c r="X1474" t="str">
        <v/>
      </c>
    </row>
    <row r="1475" spans="1:24">
      <c r="A1475" s="26">
        <v>2998</v>
      </c>
      <c r="B1475" s="87">
        <v>46276.630624999998</v>
      </c>
      <c r="C1475" s="87">
        <v>46276.703055555598</v>
      </c>
      <c r="D1475" t="str">
        <v>anónimo</v>
      </c>
      <c r="E1475" t="str">
        <v/>
      </c>
      <c r="F1475" s="68">
        <v>46276</v>
      </c>
      <c r="G1475" s="88">
        <v>46276</v>
      </c>
      <c r="H1475" t="str">
        <v>RUTH MARTINEZ SUR</v>
      </c>
      <c r="I1475" t="str">
        <v>LEOPOLDO BRAVO MACIAS</v>
      </c>
      <c r="J1475" s="82">
        <v>11674978843</v>
      </c>
      <c r="K1475" t="str">
        <v>BAML490610HDFRCP03</v>
      </c>
      <c r="L1475" s="82">
        <v>24391084</v>
      </c>
      <c r="M1475" s="82">
        <v>5215549982200</v>
      </c>
      <c r="N1475" t="str">
        <v>NUEVO MAYOR</v>
      </c>
      <c r="O1475" s="89">
        <v>9760.32</v>
      </c>
      <c r="P1475" s="89" t="str">
        <v/>
      </c>
      <c r="Q1475" s="89">
        <v>2928.096</v>
      </c>
      <c r="R1475" s="89">
        <v>2928.096</v>
      </c>
      <c r="S1475" t="str">
        <v/>
      </c>
      <c r="T1475" t="str">
        <v/>
      </c>
      <c r="U1475" t="str">
        <v/>
      </c>
      <c r="V1475" t="str">
        <v>MIRIAM</v>
      </c>
      <c r="W1475">
        <v>46276</v>
      </c>
      <c r="X1475" t="str">
        <v/>
      </c>
    </row>
    <row r="1476" spans="1:24">
      <c r="A1476" s="26">
        <v>3000</v>
      </c>
      <c r="B1476" s="87">
        <v>46276.7047453704</v>
      </c>
      <c r="C1476" s="87">
        <v>46276.706446759301</v>
      </c>
      <c r="D1476" t="str">
        <v>anónimo</v>
      </c>
      <c r="E1476" t="str">
        <v/>
      </c>
      <c r="F1476" s="68">
        <v>46276</v>
      </c>
      <c r="G1476" s="88">
        <v>46276</v>
      </c>
      <c r="H1476" t="str">
        <v>GIOVANNI MELGAR</v>
      </c>
      <c r="I1476" t="str">
        <v>ISIDRO VELASCO IBARRA</v>
      </c>
      <c r="J1476" s="82" t="str">
        <v/>
      </c>
      <c r="K1476" t="str">
        <v>VEII541209HDFLBS08</v>
      </c>
      <c r="L1476" s="82">
        <v>24399870</v>
      </c>
      <c r="M1476" s="82">
        <v>5219611944342</v>
      </c>
      <c r="N1476" t="str">
        <v>NUEVO MAYOR</v>
      </c>
      <c r="O1476" s="89">
        <v>10636.54</v>
      </c>
      <c r="P1476" s="89" t="str">
        <v/>
      </c>
      <c r="Q1476" s="89">
        <v>3190.962</v>
      </c>
      <c r="R1476" s="89">
        <v>3190.962</v>
      </c>
      <c r="S1476" t="str">
        <v/>
      </c>
      <c r="T1476" t="str">
        <v/>
      </c>
      <c r="U1476" t="str">
        <v/>
      </c>
      <c r="V1476" t="str">
        <v>MAYTE</v>
      </c>
      <c r="W1476">
        <v>46276</v>
      </c>
      <c r="X1476" t="str">
        <v/>
      </c>
    </row>
    <row r="1477" spans="1:24">
      <c r="A1477" s="26">
        <v>3001</v>
      </c>
      <c r="B1477" s="87">
        <v>46276.702488425901</v>
      </c>
      <c r="C1477" s="87">
        <v>46276.720613425903</v>
      </c>
      <c r="D1477" t="str">
        <v>anónimo</v>
      </c>
      <c r="E1477" t="str">
        <v/>
      </c>
      <c r="F1477" s="68">
        <v>46276</v>
      </c>
      <c r="G1477" s="88">
        <v>46273</v>
      </c>
      <c r="H1477" t="str">
        <v>LILIANA MARTINEZ SUR</v>
      </c>
      <c r="I1477" t="str">
        <v>MANUEL TERAN GARAY</v>
      </c>
      <c r="J1477" s="82">
        <v>19846103299</v>
      </c>
      <c r="K1477" t="str">
        <v>TEGM610925HMCRRN02</v>
      </c>
      <c r="L1477" s="82">
        <v>24322594</v>
      </c>
      <c r="M1477" s="82">
        <v>5215513299212</v>
      </c>
      <c r="N1477" t="str">
        <v>COMPRA MAYOR</v>
      </c>
      <c r="O1477" s="89">
        <v>29697.16</v>
      </c>
      <c r="P1477" s="89">
        <v>8909.15</v>
      </c>
      <c r="Q1477" s="89">
        <v>8909.1479999999992</v>
      </c>
      <c r="R1477" s="89">
        <v>-2.0000000004074536E-3</v>
      </c>
      <c r="S1477">
        <v>46235</v>
      </c>
      <c r="T1477" t="str">
        <v>MULTIVA</v>
      </c>
      <c r="U1477">
        <v>7000</v>
      </c>
      <c r="V1477" t="str">
        <v>LIDIA</v>
      </c>
      <c r="W1477">
        <v>46276</v>
      </c>
      <c r="X1477" t="str">
        <v/>
      </c>
    </row>
    <row r="1478" spans="1:24">
      <c r="A1478" s="26">
        <v>3002</v>
      </c>
      <c r="B1478" s="87">
        <v>46276.695937500001</v>
      </c>
      <c r="C1478" s="87">
        <v>46276.730428240699</v>
      </c>
      <c r="D1478" t="str">
        <v>anónimo</v>
      </c>
      <c r="E1478" t="str">
        <v/>
      </c>
      <c r="F1478" s="68">
        <v>46276</v>
      </c>
      <c r="G1478" s="88">
        <v>46276</v>
      </c>
      <c r="H1478" t="str">
        <v>ROSA CASTRO SUR</v>
      </c>
      <c r="I1478" t="str">
        <v>CESAR ANTONIO GUIDO</v>
      </c>
      <c r="J1478" s="82" t="str">
        <v/>
      </c>
      <c r="K1478" t="str">
        <v>GUXC610828HBSDXS09</v>
      </c>
      <c r="L1478" s="82">
        <v>24405160</v>
      </c>
      <c r="M1478" s="82">
        <v>5216123788851</v>
      </c>
      <c r="N1478" t="str">
        <v>NUEVO MAYOR</v>
      </c>
      <c r="O1478" s="89">
        <v>7283.61</v>
      </c>
      <c r="P1478" s="89" t="str">
        <v/>
      </c>
      <c r="Q1478" s="89">
        <v>2185.0829999999996</v>
      </c>
      <c r="R1478" s="89">
        <v>2185.0829999999996</v>
      </c>
      <c r="S1478" t="str">
        <v/>
      </c>
      <c r="T1478" t="str">
        <v/>
      </c>
      <c r="U1478" t="str">
        <v/>
      </c>
      <c r="V1478" t="str">
        <v>ANDRE</v>
      </c>
      <c r="W1478">
        <v>46276</v>
      </c>
      <c r="X1478" t="str">
        <v/>
      </c>
    </row>
    <row r="1479" spans="1:24">
      <c r="A1479" s="26">
        <v>3004</v>
      </c>
      <c r="B1479" s="87">
        <v>46276.703090277799</v>
      </c>
      <c r="C1479" s="87">
        <v>46276.739861111098</v>
      </c>
      <c r="D1479" t="str">
        <v>anónimo</v>
      </c>
      <c r="E1479" t="str">
        <v/>
      </c>
      <c r="F1479" s="68">
        <v>46276</v>
      </c>
      <c r="G1479" s="88">
        <v>46270</v>
      </c>
      <c r="H1479" t="str">
        <v>RUTH MARTINEZ SUR</v>
      </c>
      <c r="I1479" t="str">
        <v>WILFRIDO MORALES HERNANDEZ</v>
      </c>
      <c r="J1479" s="82">
        <v>67795924306</v>
      </c>
      <c r="K1479" t="str">
        <v>MOHW590408HTCRRL14</v>
      </c>
      <c r="L1479" s="82">
        <v>24266570</v>
      </c>
      <c r="M1479" s="82">
        <v>5216391287576</v>
      </c>
      <c r="N1479" t="str">
        <v>COMPRA MAYOR</v>
      </c>
      <c r="O1479" s="89">
        <v>17083.41</v>
      </c>
      <c r="P1479" s="89">
        <v>5124.43</v>
      </c>
      <c r="Q1479" s="89">
        <v>5125.0230000000001</v>
      </c>
      <c r="R1479" s="89">
        <v>0.5929999999998472</v>
      </c>
      <c r="S1479">
        <v>46266</v>
      </c>
      <c r="T1479" t="str">
        <v>FORTALEZA</v>
      </c>
      <c r="U1479">
        <v>3578.78</v>
      </c>
      <c r="V1479" t="str">
        <v>MAYTE</v>
      </c>
      <c r="W1479">
        <v>46276</v>
      </c>
      <c r="X1479" t="str">
        <v/>
      </c>
    </row>
    <row r="1480" spans="1:24">
      <c r="A1480" s="26">
        <v>3005</v>
      </c>
      <c r="B1480" s="87">
        <v>46276.715243055602</v>
      </c>
      <c r="C1480" s="87">
        <v>46276.745682870402</v>
      </c>
      <c r="D1480" t="str">
        <v>anónimo</v>
      </c>
      <c r="E1480" t="str">
        <v/>
      </c>
      <c r="F1480" s="68">
        <v>46276</v>
      </c>
      <c r="G1480" s="88">
        <v>46275</v>
      </c>
      <c r="H1480" t="str">
        <v>GUADALUPE CRUZ SUR</v>
      </c>
      <c r="I1480" t="str">
        <v>MARCELA LOPEZ VALDIVIA</v>
      </c>
      <c r="J1480" s="82" t="str">
        <v/>
      </c>
      <c r="K1480" t="str">
        <v>LOVM641225MDFPLR05</v>
      </c>
      <c r="L1480" s="82">
        <v>24365640</v>
      </c>
      <c r="M1480" s="82">
        <v>5631304679</v>
      </c>
      <c r="N1480" t="str">
        <v>NUEVO MAYOR</v>
      </c>
      <c r="O1480" s="89">
        <v>9760.320000000007</v>
      </c>
      <c r="P1480" s="89" t="str">
        <v/>
      </c>
      <c r="Q1480" s="89">
        <v>2928.0960000000018</v>
      </c>
      <c r="R1480" s="89">
        <v>2928.0960000000018</v>
      </c>
      <c r="S1480" t="str">
        <v/>
      </c>
      <c r="T1480" t="str">
        <v/>
      </c>
      <c r="U1480" t="str">
        <v/>
      </c>
      <c r="V1480" t="str">
        <v>GABRIELA</v>
      </c>
      <c r="W1480">
        <v>46276</v>
      </c>
      <c r="X1480" t="str">
        <v/>
      </c>
    </row>
    <row r="1481" spans="1:24">
      <c r="A1481" s="26">
        <v>3007</v>
      </c>
      <c r="B1481" s="87">
        <v>46276.739953703698</v>
      </c>
      <c r="C1481" s="87">
        <v>46276.753020833297</v>
      </c>
      <c r="D1481" t="str">
        <v>anónimo</v>
      </c>
      <c r="E1481" t="str">
        <v/>
      </c>
      <c r="F1481" s="68">
        <v>46276</v>
      </c>
      <c r="G1481" s="88">
        <v>46276</v>
      </c>
      <c r="H1481" t="str">
        <v>RUTH MARTINEZ SUR</v>
      </c>
      <c r="I1481" t="str">
        <v>PEDRO ALONSO CADENAS</v>
      </c>
      <c r="J1481" s="82" t="str">
        <v/>
      </c>
      <c r="K1481" t="str">
        <v>AOCP570725HGTLDD06</v>
      </c>
      <c r="L1481" s="82">
        <v>24393582</v>
      </c>
      <c r="M1481" s="82">
        <v>5214111540583</v>
      </c>
      <c r="N1481" t="str">
        <v>NUEVO MAYOR</v>
      </c>
      <c r="O1481" s="89">
        <v>7715.83</v>
      </c>
      <c r="P1481" s="89">
        <v>879</v>
      </c>
      <c r="Q1481" s="89">
        <v>2314.7489999999998</v>
      </c>
      <c r="R1481" s="89">
        <v>1435.7489999999998</v>
      </c>
      <c r="S1481" t="str">
        <v/>
      </c>
      <c r="T1481" t="str">
        <v/>
      </c>
      <c r="U1481" t="str">
        <v/>
      </c>
      <c r="V1481" t="str">
        <v>EDNA</v>
      </c>
      <c r="W1481">
        <v>46277</v>
      </c>
      <c r="X1481" t="str">
        <v/>
      </c>
    </row>
    <row r="1482" spans="1:24">
      <c r="A1482" s="26">
        <v>3009</v>
      </c>
      <c r="B1482" s="87">
        <v>46277.451412037</v>
      </c>
      <c r="C1482" s="87">
        <v>46277.452303240701</v>
      </c>
      <c r="D1482" t="str">
        <v>anónimo</v>
      </c>
      <c r="E1482" t="str">
        <v/>
      </c>
      <c r="F1482" s="68">
        <v>46277</v>
      </c>
      <c r="G1482" s="88">
        <v>46277</v>
      </c>
      <c r="H1482" t="str">
        <v>GIOVANNI MELGAR</v>
      </c>
      <c r="I1482" t="str">
        <v>FORTINO RAMIREZ ESCOBAR</v>
      </c>
      <c r="J1482" s="82" t="str">
        <v/>
      </c>
      <c r="K1482" t="str">
        <v>RAEF530811HCSMSR07</v>
      </c>
      <c r="L1482" s="82">
        <v>24409818</v>
      </c>
      <c r="M1482" s="82">
        <v>5216634834532</v>
      </c>
      <c r="N1482" t="str">
        <v>NUEVO MAYOR</v>
      </c>
      <c r="O1482" s="89">
        <v>6576.05</v>
      </c>
      <c r="P1482" s="89" t="str">
        <v/>
      </c>
      <c r="Q1482" s="89">
        <v>1972.8150000000001</v>
      </c>
      <c r="R1482" s="89">
        <v>1972.8150000000001</v>
      </c>
      <c r="S1482" t="str">
        <v/>
      </c>
      <c r="T1482" t="str">
        <v/>
      </c>
      <c r="U1482" t="str">
        <v/>
      </c>
      <c r="V1482" t="str">
        <v>EDNA</v>
      </c>
      <c r="W1482">
        <v>46277</v>
      </c>
      <c r="X1482" t="str">
        <v/>
      </c>
    </row>
    <row r="1483" spans="1:24">
      <c r="A1483" s="26">
        <v>3010</v>
      </c>
      <c r="B1483" s="87">
        <v>46277.4543402778</v>
      </c>
      <c r="C1483" s="87">
        <v>46277.455000000002</v>
      </c>
      <c r="D1483" t="str">
        <v>anónimo</v>
      </c>
      <c r="E1483" t="str">
        <v/>
      </c>
      <c r="F1483" s="68">
        <v>46277</v>
      </c>
      <c r="G1483" s="88">
        <v>46276</v>
      </c>
      <c r="H1483" t="str">
        <v>GIOVANNI MELGAR</v>
      </c>
      <c r="I1483" t="str">
        <v>ALMA NELI RAMIREZ VAZQUEZ</v>
      </c>
      <c r="J1483" s="82" t="str">
        <v>55937524704</v>
      </c>
      <c r="K1483" t="str">
        <v>RAVA740425MGTMZL00</v>
      </c>
      <c r="L1483" s="82">
        <v>24408688</v>
      </c>
      <c r="M1483" s="82">
        <v>5213522436313</v>
      </c>
      <c r="N1483" t="str">
        <v>NUEVO MAYOR</v>
      </c>
      <c r="O1483" s="89">
        <v>10011.879999999999</v>
      </c>
      <c r="P1483" s="89" t="str">
        <v/>
      </c>
      <c r="Q1483" s="89">
        <v>3003.5639999999999</v>
      </c>
      <c r="R1483" s="89">
        <v>3003.5639999999999</v>
      </c>
      <c r="S1483" t="str">
        <v/>
      </c>
      <c r="T1483" t="str">
        <v/>
      </c>
      <c r="U1483" t="str">
        <v/>
      </c>
      <c r="V1483" t="str">
        <v>LIDIA</v>
      </c>
      <c r="W1483">
        <v>46277</v>
      </c>
      <c r="X1483" t="str">
        <v/>
      </c>
    </row>
    <row r="1484" spans="1:24">
      <c r="A1484" s="26">
        <v>3016</v>
      </c>
      <c r="B1484" s="87">
        <v>46277.474108796298</v>
      </c>
      <c r="C1484" s="87">
        <v>46277.494675925896</v>
      </c>
      <c r="D1484" t="str">
        <v>anónimo</v>
      </c>
      <c r="E1484" t="str">
        <v/>
      </c>
      <c r="F1484" s="68">
        <v>46277</v>
      </c>
      <c r="G1484" s="88">
        <v>46276</v>
      </c>
      <c r="H1484" t="str">
        <v>LILIANA MARTINEZ SUR</v>
      </c>
      <c r="I1484" t="str">
        <v>JESUS SALVADOR LEON AVILES</v>
      </c>
      <c r="J1484" s="82" t="str">
        <v/>
      </c>
      <c r="K1484" t="str">
        <v>LEAJ610510HBSNVS00</v>
      </c>
      <c r="L1484" s="82">
        <v>24406980</v>
      </c>
      <c r="M1484" s="82">
        <v>5216128687004</v>
      </c>
      <c r="N1484" t="str">
        <v>NUEVO MAYOR</v>
      </c>
      <c r="O1484" s="89">
        <v>6262.86</v>
      </c>
      <c r="P1484" s="89" t="str">
        <v/>
      </c>
      <c r="Q1484" s="89">
        <v>1878.8579999999997</v>
      </c>
      <c r="R1484" s="89">
        <v>1878.8579999999997</v>
      </c>
      <c r="S1484" t="str">
        <v/>
      </c>
      <c r="T1484" t="str">
        <v/>
      </c>
      <c r="U1484" t="str">
        <v/>
      </c>
      <c r="V1484" t="str">
        <v>EDNA</v>
      </c>
      <c r="W1484">
        <v>46277</v>
      </c>
      <c r="X1484" t="str">
        <v/>
      </c>
    </row>
    <row r="1485" spans="1:24">
      <c r="A1485" s="26">
        <v>3017</v>
      </c>
      <c r="B1485" s="87">
        <v>46277.505185185197</v>
      </c>
      <c r="C1485" s="87">
        <v>46277.505659722199</v>
      </c>
      <c r="D1485" t="str">
        <v>anónimo</v>
      </c>
      <c r="E1485" t="str">
        <v/>
      </c>
      <c r="F1485" s="68">
        <v>46277</v>
      </c>
      <c r="G1485" s="88">
        <v>46276</v>
      </c>
      <c r="H1485" t="str">
        <v>GIOVANNI MELGAR</v>
      </c>
      <c r="I1485" t="str">
        <v>ABIEL ALMANZA VALLE</v>
      </c>
      <c r="J1485" s="82" t="str">
        <v>32846683079</v>
      </c>
      <c r="K1485" t="str">
        <v>AAVA661107HCLLLB02</v>
      </c>
      <c r="L1485" s="82">
        <v>24403818</v>
      </c>
      <c r="M1485" s="82">
        <v>5218662569600</v>
      </c>
      <c r="N1485" t="str">
        <v>NUEVO MENOR</v>
      </c>
      <c r="O1485" s="89">
        <v>11995.34</v>
      </c>
      <c r="P1485" s="89">
        <v>2769.32</v>
      </c>
      <c r="Q1485" s="89">
        <v>3598.6019999999999</v>
      </c>
      <c r="R1485" s="89">
        <v>829.2819999999997</v>
      </c>
      <c r="S1485">
        <v>46447</v>
      </c>
      <c r="T1485" t="str">
        <v>INBURSA</v>
      </c>
      <c r="U1485">
        <v>2297.3200000000002</v>
      </c>
      <c r="V1485" t="str">
        <v>DANIELA</v>
      </c>
      <c r="W1485">
        <v>46277</v>
      </c>
      <c r="X1485" t="str">
        <v/>
      </c>
    </row>
    <row r="1486" spans="1:24">
      <c r="A1486" s="26">
        <v>3019</v>
      </c>
      <c r="B1486" s="87">
        <v>46277.3521064815</v>
      </c>
      <c r="C1486" s="87">
        <v>46277.534259259301</v>
      </c>
      <c r="D1486" t="str">
        <v>anónimo</v>
      </c>
      <c r="E1486" t="str">
        <v/>
      </c>
      <c r="F1486" s="68">
        <v>46277</v>
      </c>
      <c r="G1486" s="88">
        <v>46274</v>
      </c>
      <c r="H1486" t="str">
        <v>LIDIA GARZA</v>
      </c>
      <c r="I1486" t="str">
        <v>Higinio Ramírez cruz</v>
      </c>
      <c r="J1486" s="82">
        <v>4282660614</v>
      </c>
      <c r="K1486" t="str">
        <v/>
      </c>
      <c r="L1486" s="82">
        <v>23808686</v>
      </c>
      <c r="M1486" s="82">
        <v>5215652802887</v>
      </c>
      <c r="N1486" t="str">
        <v>NUEVO MAYOR</v>
      </c>
      <c r="O1486" s="89">
        <v>10663.02</v>
      </c>
      <c r="P1486" s="89" t="str">
        <v/>
      </c>
      <c r="Q1486" s="89">
        <v>3198.9059999999999</v>
      </c>
      <c r="R1486" s="89">
        <v>3198.9059999999999</v>
      </c>
      <c r="S1486" t="str">
        <v/>
      </c>
      <c r="T1486" t="str">
        <v/>
      </c>
      <c r="U1486" t="str">
        <v/>
      </c>
      <c r="V1486" t="str">
        <v>LIDIA</v>
      </c>
      <c r="W1486">
        <v>46277</v>
      </c>
      <c r="X1486" t="str">
        <v/>
      </c>
    </row>
    <row r="1487" spans="1:24">
      <c r="A1487" s="26">
        <v>3021</v>
      </c>
      <c r="B1487" s="87">
        <v>46277.613912036999</v>
      </c>
      <c r="C1487" s="87">
        <v>46277.617210648197</v>
      </c>
      <c r="D1487" t="str">
        <v>anónimo</v>
      </c>
      <c r="E1487" t="str">
        <v/>
      </c>
      <c r="F1487" s="68">
        <v>46277</v>
      </c>
      <c r="G1487" s="88">
        <v>46277</v>
      </c>
      <c r="H1487" t="str">
        <v>LILIANA MARTINEZ SUR</v>
      </c>
      <c r="I1487" t="str">
        <v>HECTOR ALCARAZ GALVEZ</v>
      </c>
      <c r="J1487" s="82">
        <v>52725415666</v>
      </c>
      <c r="K1487" t="str">
        <v>AAGH560106HJCLLC00</v>
      </c>
      <c r="L1487" s="82">
        <v>24416270</v>
      </c>
      <c r="M1487" s="82">
        <v>5213121007483</v>
      </c>
      <c r="N1487" t="str">
        <v>NUEVO MAYOR</v>
      </c>
      <c r="O1487" s="89">
        <v>7920.5099999999984</v>
      </c>
      <c r="P1487" s="89">
        <v>879</v>
      </c>
      <c r="Q1487" s="89">
        <v>2376.1529999999993</v>
      </c>
      <c r="R1487" s="89">
        <v>1497.1529999999993</v>
      </c>
      <c r="S1487" t="str">
        <v/>
      </c>
      <c r="T1487" t="str">
        <v/>
      </c>
      <c r="U1487" t="str">
        <v/>
      </c>
      <c r="V1487" t="str">
        <v>MAYTE</v>
      </c>
      <c r="W1487">
        <v>46278</v>
      </c>
      <c r="X1487" t="str">
        <v/>
      </c>
    </row>
    <row r="1488" spans="1:24">
      <c r="A1488" s="26">
        <v>3023</v>
      </c>
      <c r="B1488" s="87">
        <v>46277.625983796301</v>
      </c>
      <c r="C1488" s="87">
        <v>46277.6358680556</v>
      </c>
      <c r="D1488" t="str">
        <v>anónimo</v>
      </c>
      <c r="E1488" t="str">
        <v/>
      </c>
      <c r="F1488" s="68">
        <v>46277</v>
      </c>
      <c r="G1488" s="88">
        <v>46277</v>
      </c>
      <c r="H1488" t="str">
        <v>GUADALUPE CRUZ SUR</v>
      </c>
      <c r="I1488" t="str">
        <v>FIDEL MORALES ALONZO</v>
      </c>
      <c r="J1488" s="82" t="str">
        <v xml:space="preserve">678164540228
</v>
      </c>
      <c r="K1488" t="str">
        <v>MOAF640822HVZRLD03</v>
      </c>
      <c r="L1488" s="82">
        <v>24416608</v>
      </c>
      <c r="M1488" s="82">
        <v>5219844681272</v>
      </c>
      <c r="N1488" t="str">
        <v>NUEVO MAYOR</v>
      </c>
      <c r="O1488" s="89">
        <v>10636.54</v>
      </c>
      <c r="P1488" s="89" t="str">
        <v/>
      </c>
      <c r="Q1488" s="89">
        <v>3190.962</v>
      </c>
      <c r="R1488" s="89">
        <v>3190.962</v>
      </c>
      <c r="S1488" t="str">
        <v/>
      </c>
      <c r="T1488" t="str">
        <v/>
      </c>
      <c r="U1488" t="str">
        <v/>
      </c>
      <c r="V1488" t="str">
        <v>ITZEL CARRANZA</v>
      </c>
      <c r="W1488">
        <v>46278</v>
      </c>
      <c r="X1488" t="str">
        <v/>
      </c>
    </row>
    <row r="1489" spans="1:24">
      <c r="A1489" s="26">
        <v>3024</v>
      </c>
      <c r="B1489" s="87">
        <v>46277.655694444402</v>
      </c>
      <c r="C1489" s="87">
        <v>46277.6613194444</v>
      </c>
      <c r="D1489" t="str">
        <v>anónimo</v>
      </c>
      <c r="E1489" t="str">
        <v/>
      </c>
      <c r="F1489" s="68">
        <v>46277</v>
      </c>
      <c r="G1489" s="88">
        <v>46276</v>
      </c>
      <c r="H1489" t="str">
        <v>GUADALUPE CRUZ SUR</v>
      </c>
      <c r="I1489" t="str">
        <v>GUILLERMINA MADRID BUSTAMANTE</v>
      </c>
      <c r="J1489" s="82" t="str">
        <v/>
      </c>
      <c r="K1489" t="str">
        <v>MABG611229MSRDSL05</v>
      </c>
      <c r="L1489" s="82">
        <v>24409114</v>
      </c>
      <c r="M1489" s="82">
        <v>5216121685371</v>
      </c>
      <c r="N1489" t="str">
        <v>NUEVO MAYOR</v>
      </c>
      <c r="O1489" s="89">
        <v>9760.32</v>
      </c>
      <c r="P1489" s="89" t="str">
        <v/>
      </c>
      <c r="Q1489" s="89">
        <v>2928.096</v>
      </c>
      <c r="R1489" s="89">
        <v>2928.096</v>
      </c>
      <c r="S1489" t="str">
        <v/>
      </c>
      <c r="T1489" t="str">
        <v/>
      </c>
      <c r="U1489" t="str">
        <v/>
      </c>
      <c r="V1489" t="str">
        <v>MAYTE</v>
      </c>
      <c r="W1489">
        <v>46278</v>
      </c>
      <c r="X1489" t="str">
        <v/>
      </c>
    </row>
    <row r="1490" spans="1:24">
      <c r="A1490" s="26">
        <v>3026</v>
      </c>
      <c r="B1490" s="87">
        <v>46277.723043981503</v>
      </c>
      <c r="C1490" s="87">
        <v>46277.723425925898</v>
      </c>
      <c r="D1490" t="str">
        <v>anónimo</v>
      </c>
      <c r="E1490" t="str">
        <v/>
      </c>
      <c r="F1490" s="68">
        <v>46277</v>
      </c>
      <c r="G1490" s="88">
        <v>46277</v>
      </c>
      <c r="H1490" t="str">
        <v>GIOVANNI MELGAR</v>
      </c>
      <c r="I1490" t="str">
        <v>MARISELA DE JESUS PINACHO</v>
      </c>
      <c r="J1490" s="82" t="str">
        <v xml:space="preserve">78745603023
</v>
      </c>
      <c r="K1490" t="str">
        <v>PIXM551101MOCNXR07</v>
      </c>
      <c r="L1490" s="82">
        <v>24418318</v>
      </c>
      <c r="M1490" s="82">
        <v>5219513405776</v>
      </c>
      <c r="N1490" t="str">
        <v>RESTRINGIDA</v>
      </c>
      <c r="O1490" s="89">
        <v>11722.7</v>
      </c>
      <c r="P1490" s="89">
        <v>3388.95</v>
      </c>
      <c r="Q1490" s="89">
        <v>3516.81</v>
      </c>
      <c r="R1490" s="89">
        <v>127.86000000000013</v>
      </c>
      <c r="S1490">
        <v>46082</v>
      </c>
      <c r="T1490" t="str">
        <v>CONSUBANCO</v>
      </c>
      <c r="U1490">
        <v>3103.03</v>
      </c>
      <c r="V1490" t="str">
        <v>DULCE</v>
      </c>
      <c r="W1490">
        <v>46279</v>
      </c>
      <c r="X1490" t="str">
        <v/>
      </c>
    </row>
    <row r="1491" spans="1:24">
      <c r="A1491" s="26">
        <v>3027</v>
      </c>
      <c r="B1491" s="87">
        <v>46277.724236111098</v>
      </c>
      <c r="C1491" s="87">
        <v>46277.724560185197</v>
      </c>
      <c r="D1491" t="str">
        <v>anónimo</v>
      </c>
      <c r="E1491" t="str">
        <v/>
      </c>
      <c r="F1491" s="68">
        <v>46277</v>
      </c>
      <c r="G1491" s="88">
        <v>46277</v>
      </c>
      <c r="H1491" t="str">
        <v>GIOVANNI MELGAR</v>
      </c>
      <c r="I1491" t="str">
        <v>NICOLAS AMARO ROJAS</v>
      </c>
      <c r="J1491" s="82" t="str">
        <v xml:space="preserve">67806437033
</v>
      </c>
      <c r="K1491" t="str">
        <v/>
      </c>
      <c r="L1491" s="82">
        <v>24417200</v>
      </c>
      <c r="M1491" s="82">
        <v>5214271491785</v>
      </c>
      <c r="N1491" t="str">
        <v>NUEVO MAYOR</v>
      </c>
      <c r="O1491" s="89">
        <v>29453.33</v>
      </c>
      <c r="P1491" s="89" t="str">
        <v/>
      </c>
      <c r="Q1491" s="89">
        <v>8835.9989999999998</v>
      </c>
      <c r="R1491" s="89">
        <v>8835.9989999999998</v>
      </c>
      <c r="S1491" t="str">
        <v/>
      </c>
      <c r="T1491" t="str">
        <v/>
      </c>
      <c r="U1491" t="str">
        <v/>
      </c>
      <c r="V1491" t="str">
        <v>ANA</v>
      </c>
      <c r="W1491">
        <v>46278</v>
      </c>
      <c r="X1491" t="str">
        <v/>
      </c>
    </row>
    <row r="1492" spans="1:24">
      <c r="A1492" s="26">
        <v>3028</v>
      </c>
      <c r="B1492" s="87">
        <v>46277.725231481498</v>
      </c>
      <c r="C1492" s="87">
        <v>46277.725555555597</v>
      </c>
      <c r="D1492" t="str">
        <v>anónimo</v>
      </c>
      <c r="E1492" t="str">
        <v/>
      </c>
      <c r="F1492" s="68">
        <v>46277</v>
      </c>
      <c r="G1492" s="88">
        <v>46277</v>
      </c>
      <c r="H1492" t="str">
        <v>GIOVANNI MELGAR</v>
      </c>
      <c r="I1492" t="str">
        <v>RODOLFO GUILLEN ABARCA</v>
      </c>
      <c r="J1492" s="82" t="str">
        <v/>
      </c>
      <c r="K1492" t="str">
        <v>GUAR570209HCSLBD09</v>
      </c>
      <c r="L1492" s="82">
        <v>24416912</v>
      </c>
      <c r="M1492" s="82">
        <v>5215530587908</v>
      </c>
      <c r="N1492" t="str">
        <v>NUEVO MAYOR</v>
      </c>
      <c r="O1492" s="89">
        <v>15274.2</v>
      </c>
      <c r="P1492" s="89" t="str">
        <v/>
      </c>
      <c r="Q1492" s="89">
        <v>4582.26</v>
      </c>
      <c r="R1492" s="89">
        <v>4582.26</v>
      </c>
      <c r="S1492" t="str">
        <v/>
      </c>
      <c r="T1492" t="str">
        <v/>
      </c>
      <c r="U1492" t="str">
        <v/>
      </c>
      <c r="V1492" t="str">
        <v>GLORIA</v>
      </c>
      <c r="W1492">
        <v>46278</v>
      </c>
      <c r="X1492" t="str">
        <v/>
      </c>
    </row>
    <row r="1493" spans="1:24">
      <c r="A1493" s="26">
        <v>3030</v>
      </c>
      <c r="B1493" s="87">
        <v>46277.727962962999</v>
      </c>
      <c r="C1493" s="87">
        <v>46277.728391203702</v>
      </c>
      <c r="D1493" t="str">
        <v>anónimo</v>
      </c>
      <c r="E1493" t="str">
        <v/>
      </c>
      <c r="F1493" s="68">
        <v>46277</v>
      </c>
      <c r="G1493" s="88">
        <v>46277</v>
      </c>
      <c r="H1493" t="str">
        <v>GIOVANNI MELGAR</v>
      </c>
      <c r="I1493" t="str">
        <v>MAXIMILIANO AÑORVE TORRES</v>
      </c>
      <c r="J1493" s="82" t="str">
        <v xml:space="preserve">72775914103
</v>
      </c>
      <c r="K1493" t="str">
        <v>AOTM610327HGRXRX02</v>
      </c>
      <c r="L1493" s="82">
        <v>24415868</v>
      </c>
      <c r="M1493" s="82">
        <v>5213222179157</v>
      </c>
      <c r="N1493" t="str">
        <v>COMPRA MAYOR</v>
      </c>
      <c r="O1493" s="89">
        <v>24261.17</v>
      </c>
      <c r="P1493" s="89">
        <v>5337.68</v>
      </c>
      <c r="Q1493" s="89">
        <v>7278.3509999999997</v>
      </c>
      <c r="R1493" s="89">
        <v>1940.6709999999994</v>
      </c>
      <c r="S1493">
        <v>45839</v>
      </c>
      <c r="T1493" t="str">
        <v>DIMEX</v>
      </c>
      <c r="U1493">
        <v>5337.68</v>
      </c>
      <c r="V1493" t="str">
        <v>ANA</v>
      </c>
      <c r="W1493">
        <v>46278</v>
      </c>
      <c r="X1493" t="str">
        <v/>
      </c>
    </row>
    <row r="1494" spans="1:24">
      <c r="A1494" s="26">
        <v>3032</v>
      </c>
      <c r="B1494" s="87">
        <v>46277.725057870397</v>
      </c>
      <c r="C1494" s="87">
        <v>46277.730486111097</v>
      </c>
      <c r="D1494" t="str">
        <v>anónimo</v>
      </c>
      <c r="E1494" t="str">
        <v/>
      </c>
      <c r="F1494" s="68">
        <v>46277</v>
      </c>
      <c r="G1494" s="88">
        <v>46277</v>
      </c>
      <c r="H1494" t="str">
        <v>LILIANA MARTINEZ SUR</v>
      </c>
      <c r="I1494" t="str">
        <v>JOSE CONCEPCION GARCIA AVILEZ</v>
      </c>
      <c r="J1494" s="82" t="str">
        <v/>
      </c>
      <c r="K1494" t="str">
        <v>GAAC631208HMCRVN04</v>
      </c>
      <c r="L1494" s="82">
        <v>24417396</v>
      </c>
      <c r="M1494" s="82">
        <v>5215646779474</v>
      </c>
      <c r="N1494" t="str">
        <v>NUEVO MAYOR</v>
      </c>
      <c r="O1494" s="89">
        <v>12579.91</v>
      </c>
      <c r="P1494" s="89" t="str">
        <v/>
      </c>
      <c r="Q1494" s="89">
        <v>3773.973</v>
      </c>
      <c r="R1494" s="89">
        <v>3773.973</v>
      </c>
      <c r="S1494" t="str">
        <v/>
      </c>
      <c r="T1494" t="str">
        <v/>
      </c>
      <c r="U1494" t="str">
        <v/>
      </c>
      <c r="V1494" t="str">
        <v>IRASEMA</v>
      </c>
      <c r="W1494">
        <v>46278</v>
      </c>
      <c r="X1494" t="str">
        <v/>
      </c>
    </row>
    <row r="1495" spans="1:24">
      <c r="A1495" s="26">
        <v>3033</v>
      </c>
      <c r="B1495" s="87">
        <v>46277.725023148101</v>
      </c>
      <c r="C1495" s="87">
        <v>46277.730775463002</v>
      </c>
      <c r="D1495" t="str">
        <v>anónimo</v>
      </c>
      <c r="E1495" t="str">
        <v/>
      </c>
      <c r="F1495" s="68">
        <v>46277</v>
      </c>
      <c r="G1495" s="88">
        <v>46277</v>
      </c>
      <c r="H1495" t="str">
        <v>LILIANA MARTINEZ SUR</v>
      </c>
      <c r="I1495" t="str">
        <v>VICTOR HUGO BALLESTEROS MARTINEZ</v>
      </c>
      <c r="J1495" s="82">
        <v>24856439146</v>
      </c>
      <c r="K1495" t="str">
        <v>BAMV640331HSRLRC02</v>
      </c>
      <c r="L1495" s="82">
        <v>24419368</v>
      </c>
      <c r="M1495" s="82">
        <v>5216624166808</v>
      </c>
      <c r="N1495" t="str">
        <v>NUEVO MAYOR</v>
      </c>
      <c r="O1495" s="89">
        <v>10636.54</v>
      </c>
      <c r="P1495" s="89" t="str">
        <v/>
      </c>
      <c r="Q1495" s="89">
        <v>3190.962</v>
      </c>
      <c r="R1495" s="89">
        <v>3190.962</v>
      </c>
      <c r="S1495" t="str">
        <v/>
      </c>
      <c r="T1495" t="str">
        <v/>
      </c>
      <c r="U1495" t="str">
        <v/>
      </c>
      <c r="V1495" t="str">
        <v>DANIELLY</v>
      </c>
      <c r="W1495">
        <v>46278</v>
      </c>
      <c r="X1495" t="str">
        <v/>
      </c>
    </row>
    <row r="1496" spans="1:24">
      <c r="A1496" s="26">
        <v>3035</v>
      </c>
      <c r="B1496" s="87">
        <v>46277.458275463003</v>
      </c>
      <c r="C1496" s="87">
        <v>46277.740810185198</v>
      </c>
      <c r="D1496" t="str">
        <v>anónimo</v>
      </c>
      <c r="E1496" t="str">
        <v/>
      </c>
      <c r="F1496" s="68">
        <v>46277</v>
      </c>
      <c r="G1496" s="88">
        <v>46277</v>
      </c>
      <c r="H1496" t="str">
        <v>RUTH MARTINEZ SUR</v>
      </c>
      <c r="I1496" t="str">
        <v>RAMON MADRID ESQUIVEL</v>
      </c>
      <c r="J1496" s="82" t="str">
        <v xml:space="preserve">33755917771
</v>
      </c>
      <c r="K1496" t="str">
        <v>MAER590710HCHDSM07</v>
      </c>
      <c r="L1496" s="82">
        <v>24417880</v>
      </c>
      <c r="M1496" s="82">
        <v>5216145326145</v>
      </c>
      <c r="N1496" t="str">
        <v>NUEVO MAYOR</v>
      </c>
      <c r="O1496" s="89">
        <v>5617.63</v>
      </c>
      <c r="P1496" s="89" t="str">
        <v/>
      </c>
      <c r="Q1496" s="89">
        <v>1685.289</v>
      </c>
      <c r="R1496" s="89">
        <v>1444.6500000000005</v>
      </c>
      <c r="S1496" t="str">
        <v/>
      </c>
      <c r="T1496" t="str">
        <v/>
      </c>
      <c r="U1496" t="str">
        <v/>
      </c>
      <c r="V1496" t="str">
        <v>GLORIA</v>
      </c>
      <c r="W1496">
        <v>46278</v>
      </c>
      <c r="X1496" t="str">
        <v/>
      </c>
    </row>
    <row r="1497" spans="1:24">
      <c r="A1497" s="26">
        <v>3038</v>
      </c>
      <c r="B1497" s="87">
        <v>46277.743171296301</v>
      </c>
      <c r="C1497" s="87">
        <v>46277.745833333298</v>
      </c>
      <c r="D1497" t="str">
        <v>anónimo</v>
      </c>
      <c r="E1497" t="str">
        <v/>
      </c>
      <c r="F1497" s="68">
        <v>46277</v>
      </c>
      <c r="G1497" s="88">
        <v>46277</v>
      </c>
      <c r="H1497" t="str">
        <v>RUTH MARTINEZ SUR</v>
      </c>
      <c r="I1497" t="str">
        <v>ALFONSO CASTILLO SYMONDS</v>
      </c>
      <c r="J1497" s="82" t="str">
        <v xml:space="preserve">24845903079
</v>
      </c>
      <c r="K1497" t="str">
        <v>CASA590103HSRSYL00</v>
      </c>
      <c r="L1497" s="82">
        <v>24419370</v>
      </c>
      <c r="M1497" s="82">
        <v>5216629347930</v>
      </c>
      <c r="N1497" t="str">
        <v>NUEVO MENOR</v>
      </c>
      <c r="O1497" s="89">
        <v>61828.47</v>
      </c>
      <c r="P1497" s="89">
        <v>17813</v>
      </c>
      <c r="Q1497" s="89">
        <v>18548.541000000001</v>
      </c>
      <c r="R1497" s="89">
        <v>735.54100000000108</v>
      </c>
      <c r="S1497">
        <v>46661</v>
      </c>
      <c r="T1497" t="str">
        <v>MULTIVA</v>
      </c>
      <c r="U1497">
        <v>17813</v>
      </c>
      <c r="V1497" t="str">
        <v>HECTOR</v>
      </c>
      <c r="W1497">
        <v>46278</v>
      </c>
      <c r="X1497" t="str">
        <v/>
      </c>
    </row>
    <row r="1498" spans="1:24">
      <c r="A1498" s="26">
        <v>3041</v>
      </c>
      <c r="B1498" s="87">
        <v>46277.839293981502</v>
      </c>
      <c r="C1498" s="87">
        <v>46277.839745370402</v>
      </c>
      <c r="D1498" t="str">
        <v>anónimo</v>
      </c>
      <c r="E1498" t="str">
        <v/>
      </c>
      <c r="F1498" s="68">
        <v>46277</v>
      </c>
      <c r="G1498" s="88">
        <v>46277</v>
      </c>
      <c r="H1498" t="str">
        <v>GIOVANNI MELGAR</v>
      </c>
      <c r="I1498" t="str">
        <v>JAIME ARTURO NUÑEZ ARREDONDO</v>
      </c>
      <c r="J1498" s="82" t="str">
        <v xml:space="preserve">24765918982
</v>
      </c>
      <c r="K1498" t="str">
        <v>NUAJ601221HSRXRM02</v>
      </c>
      <c r="L1498" s="82">
        <v>24414092</v>
      </c>
      <c r="M1498" s="82">
        <v>5216444629186</v>
      </c>
      <c r="N1498" t="str">
        <v>NUEVO MENOR</v>
      </c>
      <c r="O1498" s="89">
        <v>6277.93</v>
      </c>
      <c r="P1498" s="89">
        <v>1035.3</v>
      </c>
      <c r="Q1498" s="89">
        <v>1883.3789999999999</v>
      </c>
      <c r="R1498" s="89">
        <v>848.07899999999995</v>
      </c>
      <c r="S1498">
        <v>46813</v>
      </c>
      <c r="T1498" t="str">
        <v>DIMEX</v>
      </c>
      <c r="U1498">
        <v>1035.3</v>
      </c>
      <c r="V1498" t="str">
        <v>HECTOR</v>
      </c>
      <c r="W1498">
        <v>46278</v>
      </c>
      <c r="X1498" t="str">
        <v/>
      </c>
    </row>
    <row r="1499" spans="1:24">
      <c r="A1499" s="26">
        <v>3044</v>
      </c>
      <c r="B1499" s="87">
        <v>46278.430879629603</v>
      </c>
      <c r="C1499" s="87">
        <v>46278.433842592603</v>
      </c>
      <c r="D1499" t="str">
        <v>anónimo</v>
      </c>
      <c r="E1499" t="str">
        <v/>
      </c>
      <c r="F1499" s="68">
        <v>46278</v>
      </c>
      <c r="G1499" s="88">
        <v>46277</v>
      </c>
      <c r="H1499" t="str">
        <v>JAEL RUIZ</v>
      </c>
      <c r="I1499" t="str">
        <v>Félix González Rodríguez</v>
      </c>
      <c r="J1499" s="82" t="str">
        <v/>
      </c>
      <c r="K1499" t="str">
        <v>GORF560216HVZNDL04</v>
      </c>
      <c r="L1499" s="82">
        <v>24422146</v>
      </c>
      <c r="M1499" s="82">
        <v>2215350615</v>
      </c>
      <c r="N1499" t="str">
        <v>NUEVO MAYOR</v>
      </c>
      <c r="O1499" s="89">
        <v>62108.17</v>
      </c>
      <c r="P1499" s="89" t="str">
        <v/>
      </c>
      <c r="Q1499" s="89">
        <v>18632.450999999997</v>
      </c>
      <c r="R1499" s="89">
        <v>18632.450999999997</v>
      </c>
      <c r="S1499" t="str">
        <v/>
      </c>
      <c r="T1499" t="str">
        <v/>
      </c>
      <c r="U1499" t="str">
        <v/>
      </c>
      <c r="V1499" t="str">
        <v>GABRIELA</v>
      </c>
      <c r="W1499">
        <v>46278</v>
      </c>
      <c r="X1499" t="str">
        <v/>
      </c>
    </row>
    <row r="1500" spans="1:24">
      <c r="A1500" s="26">
        <v>3047</v>
      </c>
      <c r="B1500" s="87">
        <v>46278.512094907397</v>
      </c>
      <c r="C1500" s="87">
        <v>46278.513321759303</v>
      </c>
      <c r="D1500" t="str">
        <v>anónimo</v>
      </c>
      <c r="E1500" t="str">
        <v/>
      </c>
      <c r="F1500" s="68">
        <v>46278</v>
      </c>
      <c r="G1500" s="88">
        <v>46270</v>
      </c>
      <c r="H1500" t="str">
        <v>MAYTE NAVARRO</v>
      </c>
      <c r="I1500" t="str">
        <v>MARIA GUADALUPE CERVANTES MAYO</v>
      </c>
      <c r="J1500" s="82" t="str">
        <v/>
      </c>
      <c r="K1500" t="str">
        <v>CEMG561212MDFRYD08</v>
      </c>
      <c r="L1500" s="82">
        <v>24274678</v>
      </c>
      <c r="M1500" s="82">
        <v>7702095111</v>
      </c>
      <c r="N1500" t="str">
        <v>NUEVO MAYOR</v>
      </c>
      <c r="O1500" s="89">
        <v>5617.63</v>
      </c>
      <c r="P1500" s="89" t="str">
        <v/>
      </c>
      <c r="Q1500" s="89">
        <v>1685.289</v>
      </c>
      <c r="R1500" s="89">
        <v>1444.6500000000005</v>
      </c>
      <c r="S1500" t="str">
        <v/>
      </c>
      <c r="T1500" t="str">
        <v/>
      </c>
      <c r="U1500" t="str">
        <v/>
      </c>
      <c r="V1500" t="str">
        <v>GLORIA</v>
      </c>
      <c r="W1500">
        <v>46278</v>
      </c>
      <c r="X1500" t="str">
        <v/>
      </c>
    </row>
    <row r="1501" spans="1:24">
      <c r="A1501">
        <v>3049</v>
      </c>
      <c r="B1501">
        <v>46278.559131944399</v>
      </c>
      <c r="C1501">
        <v>46278.5616435185</v>
      </c>
      <c r="D1501" t="str">
        <v>anónimo</v>
      </c>
      <c r="E1501" t="str">
        <v/>
      </c>
      <c r="F1501" s="68">
        <v>46278</v>
      </c>
      <c r="G1501">
        <v>46277</v>
      </c>
      <c r="H1501" t="str">
        <v>JAEL RUIZ</v>
      </c>
      <c r="I1501" t="str">
        <v>ROGELIO JOAQUIN OLIVARES</v>
      </c>
      <c r="J1501" t="str">
        <v/>
      </c>
      <c r="K1501" t="str">
        <v>OIAR520827HMNLVG08</v>
      </c>
      <c r="L1501">
        <v>24422408</v>
      </c>
      <c r="M1501">
        <v>4422304825</v>
      </c>
      <c r="N1501" t="str">
        <v>NUEVO MAYOR</v>
      </c>
      <c r="O1501">
        <v>26510.63</v>
      </c>
      <c r="P1501">
        <v>6329.93</v>
      </c>
      <c r="Q1501">
        <v>7953.1890000000003</v>
      </c>
      <c r="R1501">
        <v>1623.259</v>
      </c>
      <c r="S1501">
        <v>46753</v>
      </c>
      <c r="T1501" t="str">
        <v>MULTIVA</v>
      </c>
      <c r="U1501">
        <v>3029.97</v>
      </c>
      <c r="V1501" t="str">
        <v>MAYTE</v>
      </c>
      <c r="W1501">
        <v>46278</v>
      </c>
      <c r="X1501" t="str">
        <v/>
      </c>
    </row>
    <row r="1502" spans="1:24">
      <c r="A1502">
        <v>3051</v>
      </c>
      <c r="B1502">
        <v>46278.615196759303</v>
      </c>
      <c r="C1502">
        <v>46278.616597222201</v>
      </c>
      <c r="D1502" t="str">
        <v>anónimo</v>
      </c>
      <c r="E1502" t="str">
        <v/>
      </c>
      <c r="F1502" s="68">
        <v>46278</v>
      </c>
      <c r="G1502">
        <v>46277</v>
      </c>
      <c r="H1502" t="str">
        <v>KATE MALPICA</v>
      </c>
      <c r="I1502" t="str">
        <v>Francisco Alemán Gómez</v>
      </c>
      <c r="J1502" t="str">
        <v/>
      </c>
      <c r="K1502" t="str">
        <v xml:space="preserve">AEGF641203HVZLMR01 </v>
      </c>
      <c r="L1502">
        <v>24424018</v>
      </c>
      <c r="M1502">
        <v>9211235157</v>
      </c>
      <c r="N1502" t="str">
        <v>NUEVO MAYOR</v>
      </c>
      <c r="O1502">
        <v>19664.919999999998</v>
      </c>
      <c r="P1502" t="str">
        <v/>
      </c>
      <c r="Q1502">
        <v>5899.4759999999997</v>
      </c>
      <c r="R1502">
        <v>5899.4759999999997</v>
      </c>
      <c r="S1502" t="str">
        <v/>
      </c>
      <c r="T1502" t="str">
        <v/>
      </c>
      <c r="U1502" t="str">
        <v/>
      </c>
      <c r="V1502" t="str">
        <v>ANDRE</v>
      </c>
      <c r="W1502">
        <v>46279</v>
      </c>
      <c r="X1502" t="str">
        <v/>
      </c>
    </row>
    <row r="1503" spans="1:24">
      <c r="A1503">
        <v>3056</v>
      </c>
      <c r="B1503">
        <v>46278.613981481503</v>
      </c>
      <c r="C1503">
        <v>46278.689583333296</v>
      </c>
      <c r="D1503" t="str">
        <v>anónimo</v>
      </c>
      <c r="E1503" t="str">
        <v/>
      </c>
      <c r="F1503" s="68">
        <v>46278</v>
      </c>
      <c r="G1503">
        <v>46278</v>
      </c>
      <c r="H1503" t="str">
        <v>JAEL RUIZ</v>
      </c>
      <c r="I1503" t="str">
        <v>MANUEL SOLORZANO SOLORZANO</v>
      </c>
      <c r="J1503" t="str">
        <v/>
      </c>
      <c r="K1503" t="str">
        <v>SOSM640910HMNLLN08</v>
      </c>
      <c r="L1503">
        <v>24428180</v>
      </c>
      <c r="M1503">
        <v>4252048615</v>
      </c>
      <c r="N1503" t="str">
        <v>NUEVO MAYOR</v>
      </c>
      <c r="O1503">
        <v>9760.32</v>
      </c>
      <c r="P1503" t="str">
        <v/>
      </c>
      <c r="Q1503">
        <v>2928.096</v>
      </c>
      <c r="R1503">
        <v>2928.096</v>
      </c>
      <c r="S1503" t="str">
        <v/>
      </c>
      <c r="T1503" t="str">
        <v/>
      </c>
      <c r="U1503" t="str">
        <v/>
      </c>
      <c r="V1503" t="str">
        <v>MAYTE</v>
      </c>
      <c r="W1503">
        <v>46279</v>
      </c>
      <c r="X1503" t="str">
        <v/>
      </c>
    </row>
    <row r="1504" spans="1:24">
      <c r="A1504">
        <v>3061</v>
      </c>
      <c r="B1504">
        <v>46279.368298611102</v>
      </c>
      <c r="C1504">
        <v>46279.370393518497</v>
      </c>
      <c r="D1504" t="str">
        <v>anónimo</v>
      </c>
      <c r="E1504" t="str">
        <v/>
      </c>
      <c r="F1504" s="68">
        <v>46279</v>
      </c>
      <c r="G1504">
        <v>46279</v>
      </c>
      <c r="H1504" t="str">
        <v>YAMILETH CARDONA EXT 2</v>
      </c>
      <c r="I1504" t="str">
        <v>ISMAEL RAMIREZ SIGUENZA</v>
      </c>
      <c r="J1504">
        <v>42806382703</v>
      </c>
      <c r="K1504" t="str">
        <v>RASI630518HDFMGS12</v>
      </c>
      <c r="L1504">
        <v>2</v>
      </c>
      <c r="M1504" t="str">
        <v>55 6680 2991</v>
      </c>
      <c r="N1504" t="str">
        <v>RESTRINGIDA</v>
      </c>
      <c r="O1504">
        <v>7920.51</v>
      </c>
      <c r="P1504">
        <v>2375.9</v>
      </c>
      <c r="Q1504">
        <v>2376.1529999999998</v>
      </c>
      <c r="R1504">
        <v>0.25299999999970169</v>
      </c>
      <c r="S1504">
        <v>45931</v>
      </c>
      <c r="T1504" t="str">
        <v>CONSUBANCO</v>
      </c>
      <c r="U1504">
        <v>2080.9</v>
      </c>
      <c r="V1504" t="str">
        <v/>
      </c>
      <c r="W1504" t="str">
        <v/>
      </c>
      <c r="X1504" t="str">
        <v/>
      </c>
    </row>
    <row r="1505" spans="1:24">
      <c r="A1505">
        <v>3069</v>
      </c>
      <c r="B1505">
        <v>46279.434097222198</v>
      </c>
      <c r="C1505">
        <v>46279.434641203698</v>
      </c>
      <c r="D1505" t="str">
        <v>anónimo</v>
      </c>
      <c r="E1505" t="str">
        <v/>
      </c>
      <c r="F1505" s="68">
        <v>46279</v>
      </c>
      <c r="G1505">
        <v>46279</v>
      </c>
      <c r="H1505" t="str">
        <v>GIOVANNI MELGAR</v>
      </c>
      <c r="I1505" t="str">
        <v>ENRIQUE VALDEZ VASQUEZ</v>
      </c>
      <c r="J1505" t="str">
        <v xml:space="preserve">24765810148
</v>
      </c>
      <c r="K1505" t="str">
        <v/>
      </c>
      <c r="L1505">
        <v>24436594</v>
      </c>
      <c r="M1505">
        <v>5216645749097</v>
      </c>
      <c r="N1505" t="str">
        <v>COMPRA MAYOR</v>
      </c>
      <c r="O1505">
        <v>8108.29</v>
      </c>
      <c r="P1505">
        <v>2247.1999999999998</v>
      </c>
      <c r="Q1505">
        <v>2432.4870000000001</v>
      </c>
      <c r="R1505">
        <v>185.28700000000026</v>
      </c>
      <c r="S1505">
        <v>46235</v>
      </c>
      <c r="T1505" t="str">
        <v xml:space="preserve">BANCREA </v>
      </c>
      <c r="U1505">
        <v>2247.1999999999998</v>
      </c>
      <c r="V1505" t="str">
        <v>MAGALI</v>
      </c>
      <c r="W1505">
        <v>46279</v>
      </c>
      <c r="X1505" t="str">
        <v/>
      </c>
    </row>
    <row r="1506" spans="1:24">
      <c r="A1506">
        <v>3070</v>
      </c>
      <c r="B1506">
        <v>46279.433738425898</v>
      </c>
      <c r="C1506">
        <v>46279.440891203703</v>
      </c>
      <c r="D1506" t="str">
        <v>anónimo</v>
      </c>
      <c r="E1506" t="str">
        <v/>
      </c>
      <c r="F1506" s="68">
        <v>46279</v>
      </c>
      <c r="G1506">
        <v>46279</v>
      </c>
      <c r="H1506" t="str">
        <v>ROSA CASTRO SUR</v>
      </c>
      <c r="I1506" t="str">
        <v xml:space="preserve">AGUSTIN ESPINOSA LEON </v>
      </c>
      <c r="J1506" t="str">
        <v/>
      </c>
      <c r="K1506" t="str">
        <v>EILA600502HPLSNG00</v>
      </c>
      <c r="L1506">
        <v>24444508</v>
      </c>
      <c r="M1506">
        <v>5212221883452</v>
      </c>
      <c r="N1506" t="str">
        <v>RESTRINGIDA</v>
      </c>
      <c r="O1506">
        <v>7116.73</v>
      </c>
      <c r="P1506">
        <v>1885.86</v>
      </c>
      <c r="Q1506">
        <v>2135.0189999999998</v>
      </c>
      <c r="R1506">
        <v>249.15899999999988</v>
      </c>
      <c r="S1506">
        <v>45870</v>
      </c>
      <c r="T1506" t="str">
        <v>CONSUBANCO</v>
      </c>
      <c r="U1506">
        <v>1885.86</v>
      </c>
      <c r="V1506" t="str">
        <v>DANIELLY</v>
      </c>
      <c r="W1506">
        <v>46279</v>
      </c>
      <c r="X1506" t="str">
        <v/>
      </c>
    </row>
    <row r="1507" spans="1:24">
      <c r="A1507">
        <v>3073</v>
      </c>
      <c r="B1507">
        <v>46279.440960648099</v>
      </c>
      <c r="C1507">
        <v>46279.4624189815</v>
      </c>
      <c r="D1507" t="str">
        <v>anónimo</v>
      </c>
      <c r="E1507" t="str">
        <v/>
      </c>
      <c r="F1507" s="68">
        <v>46279</v>
      </c>
      <c r="G1507">
        <v>46279</v>
      </c>
      <c r="H1507" t="str">
        <v>ROSA CASTRO SUR</v>
      </c>
      <c r="I1507" t="str">
        <v xml:space="preserve">MODESTO GUIERREZ CASTELn </v>
      </c>
      <c r="J1507" t="str">
        <v/>
      </c>
      <c r="K1507" t="str">
        <v>GUCM570224HPLTSD05</v>
      </c>
      <c r="L1507">
        <v>24436100</v>
      </c>
      <c r="M1507">
        <v>5217752581148</v>
      </c>
      <c r="N1507" t="str">
        <v>NUEVO MAYOR</v>
      </c>
      <c r="O1507">
        <v>23442.54</v>
      </c>
      <c r="P1507" t="str">
        <v/>
      </c>
      <c r="Q1507">
        <v>7032.7619999999997</v>
      </c>
      <c r="R1507">
        <v>7032.7619999999997</v>
      </c>
      <c r="S1507" t="str">
        <v/>
      </c>
      <c r="T1507" t="str">
        <v/>
      </c>
      <c r="U1507" t="str">
        <v/>
      </c>
      <c r="V1507" t="str">
        <v>CAROLINA</v>
      </c>
      <c r="W1507">
        <v>46279</v>
      </c>
      <c r="X1507" t="str">
        <v/>
      </c>
    </row>
    <row r="1508" spans="1:24">
      <c r="A1508">
        <v>3074</v>
      </c>
      <c r="B1508">
        <v>46277.748483796298</v>
      </c>
      <c r="C1508">
        <v>46279.462986111103</v>
      </c>
      <c r="D1508" t="str">
        <v>anónimo</v>
      </c>
      <c r="E1508" t="str">
        <v/>
      </c>
      <c r="F1508" s="68">
        <v>46279</v>
      </c>
      <c r="G1508">
        <v>46279</v>
      </c>
      <c r="H1508" t="str">
        <v>RUTH MARTINEZ SUR</v>
      </c>
      <c r="I1508" t="str">
        <v>RUBEN ROBLEDO GAVIA</v>
      </c>
      <c r="J1508" t="str">
        <v xml:space="preserve">12816523083
</v>
      </c>
      <c r="K1508" t="str">
        <v>ROGR650901HGTBVB04</v>
      </c>
      <c r="L1508">
        <v>24436222</v>
      </c>
      <c r="M1508">
        <v>5214774133233</v>
      </c>
      <c r="N1508" t="str">
        <v>NUEVO MAYOR</v>
      </c>
      <c r="O1508">
        <v>9760.32</v>
      </c>
      <c r="P1508" t="str">
        <v/>
      </c>
      <c r="Q1508">
        <v>2928.096</v>
      </c>
      <c r="R1508">
        <v>2928.096</v>
      </c>
      <c r="S1508" t="str">
        <v/>
      </c>
      <c r="T1508" t="str">
        <v/>
      </c>
      <c r="U1508" t="str">
        <v/>
      </c>
      <c r="V1508" t="str">
        <v>IRASEMA</v>
      </c>
      <c r="W1508">
        <v>46279</v>
      </c>
      <c r="X1508" t="str">
        <v/>
      </c>
    </row>
    <row r="1509" spans="1:24">
      <c r="A1509">
        <v>3075</v>
      </c>
      <c r="B1509">
        <v>46279.462662037004</v>
      </c>
      <c r="C1509">
        <v>46279.467858796299</v>
      </c>
      <c r="D1509" t="str">
        <v>anónimo</v>
      </c>
      <c r="E1509" t="str">
        <v/>
      </c>
      <c r="F1509" s="68">
        <v>46279</v>
      </c>
      <c r="G1509">
        <v>46266</v>
      </c>
      <c r="H1509" t="str">
        <v>ROSA CASTRO SUR</v>
      </c>
      <c r="I1509" t="str">
        <v xml:space="preserve">RUBEN JUAN CHAVEZ VALDEZ </v>
      </c>
      <c r="J1509" t="str">
        <v/>
      </c>
      <c r="K1509" t="str">
        <v>CAVR630122HDFHLB01</v>
      </c>
      <c r="L1509">
        <v>24174154</v>
      </c>
      <c r="M1509">
        <v>5215543635717</v>
      </c>
      <c r="N1509" t="str">
        <v>NUEVO MAYOR</v>
      </c>
      <c r="O1509">
        <v>8539.91</v>
      </c>
      <c r="P1509" t="str">
        <v/>
      </c>
      <c r="Q1509">
        <v>2561.973</v>
      </c>
      <c r="R1509">
        <v>2561.973</v>
      </c>
      <c r="S1509" t="str">
        <v/>
      </c>
      <c r="T1509" t="str">
        <v/>
      </c>
      <c r="U1509" t="str">
        <v/>
      </c>
      <c r="V1509" t="str">
        <v>ANA</v>
      </c>
      <c r="W1509">
        <v>46279</v>
      </c>
      <c r="X1509" t="str">
        <v/>
      </c>
    </row>
    <row r="1510" spans="1:24">
      <c r="A1510">
        <v>3076</v>
      </c>
      <c r="B1510">
        <v>46279.467870370398</v>
      </c>
      <c r="C1510">
        <v>46279.477523148104</v>
      </c>
      <c r="D1510" t="str">
        <v>anónimo</v>
      </c>
      <c r="E1510" t="str">
        <v/>
      </c>
      <c r="F1510" s="68">
        <v>46279</v>
      </c>
      <c r="G1510">
        <v>46278</v>
      </c>
      <c r="H1510" t="str">
        <v>ROSA CASTRO SUR</v>
      </c>
      <c r="I1510" t="str">
        <v>ALFREDO KURI BARRERA</v>
      </c>
      <c r="J1510" t="str">
        <v/>
      </c>
      <c r="K1510" t="str">
        <v>KUBA590511HDFRRL04</v>
      </c>
      <c r="L1510">
        <v>24431628</v>
      </c>
      <c r="M1510">
        <v>5219999554448</v>
      </c>
      <c r="N1510" t="str">
        <v>COMPRA MAYOR</v>
      </c>
      <c r="O1510">
        <v>42073.32</v>
      </c>
      <c r="P1510">
        <v>12172.41</v>
      </c>
      <c r="Q1510">
        <v>12621.995999999999</v>
      </c>
      <c r="R1510">
        <v>449.58599999999933</v>
      </c>
      <c r="S1510">
        <v>46266</v>
      </c>
      <c r="T1510" t="str">
        <v>EXITUS</v>
      </c>
      <c r="U1510">
        <v>3024.41</v>
      </c>
      <c r="V1510" t="str">
        <v>FERNANDA</v>
      </c>
      <c r="W1510">
        <v>46279</v>
      </c>
      <c r="X1510" t="str">
        <v/>
      </c>
    </row>
    <row r="1511" spans="1:24">
      <c r="A1511">
        <v>3078</v>
      </c>
      <c r="B1511">
        <v>46279.477546296301</v>
      </c>
      <c r="C1511">
        <v>46279.493865740696</v>
      </c>
      <c r="D1511" t="str">
        <v>anónimo</v>
      </c>
      <c r="E1511" t="str">
        <v/>
      </c>
      <c r="F1511" s="68">
        <v>46279</v>
      </c>
      <c r="G1511">
        <v>46276</v>
      </c>
      <c r="H1511" t="str">
        <v>ROSA CASTRO SUR</v>
      </c>
      <c r="I1511" t="str">
        <v>SILVIA ZAVALA ALONSO</v>
      </c>
      <c r="J1511" t="str">
        <v xml:space="preserve">33877082876
</v>
      </c>
      <c r="K1511" t="str">
        <v>ZAAS700402MCHVLL08</v>
      </c>
      <c r="L1511">
        <v>24400734</v>
      </c>
      <c r="M1511">
        <v>5216141006292</v>
      </c>
      <c r="N1511" t="str">
        <v>NUEVO MAYOR</v>
      </c>
      <c r="O1511">
        <v>8173.36</v>
      </c>
      <c r="P1511" t="str">
        <v/>
      </c>
      <c r="Q1511">
        <v>2452.0079999999998</v>
      </c>
      <c r="R1511">
        <v>2452.0079999999998</v>
      </c>
      <c r="S1511" t="str">
        <v/>
      </c>
      <c r="T1511" t="str">
        <v/>
      </c>
      <c r="U1511" t="str">
        <v/>
      </c>
      <c r="V1511" t="str">
        <v>HANIA</v>
      </c>
      <c r="W1511">
        <v>46279</v>
      </c>
      <c r="X1511" t="str">
        <v/>
      </c>
    </row>
    <row r="1512" spans="1:24">
      <c r="A1512">
        <v>3083</v>
      </c>
      <c r="B1512">
        <v>46279.500104166698</v>
      </c>
      <c r="C1512">
        <v>46279.534965277802</v>
      </c>
      <c r="D1512" t="str">
        <v>anónimo</v>
      </c>
      <c r="E1512" t="str">
        <v/>
      </c>
      <c r="F1512" s="68">
        <v>46279</v>
      </c>
      <c r="G1512">
        <v>46278</v>
      </c>
      <c r="H1512" t="str">
        <v>ROSA CASTRO SUR</v>
      </c>
      <c r="I1512" t="str">
        <v xml:space="preserve">BLANCA LILIA SANTANA SAUCEDO </v>
      </c>
      <c r="J1512" t="str">
        <v/>
      </c>
      <c r="K1512" t="str">
        <v>SASB750511MMNNCL08</v>
      </c>
      <c r="L1512">
        <v>24435678</v>
      </c>
      <c r="M1512">
        <v>5216681358393</v>
      </c>
      <c r="N1512" t="str">
        <v>NUEVO MAYOR</v>
      </c>
      <c r="O1512">
        <v>8912.7900000000009</v>
      </c>
      <c r="P1512" t="str">
        <v/>
      </c>
      <c r="Q1512">
        <v>2673.837</v>
      </c>
      <c r="R1512">
        <v>2673.837</v>
      </c>
      <c r="S1512" t="str">
        <v/>
      </c>
      <c r="T1512" t="str">
        <v/>
      </c>
      <c r="U1512" t="str">
        <v/>
      </c>
      <c r="V1512" t="str">
        <v>MARISOL</v>
      </c>
      <c r="W1512">
        <v>46279</v>
      </c>
      <c r="X1512" t="str">
        <v/>
      </c>
    </row>
    <row r="1513" spans="1:24">
      <c r="A1513">
        <v>3085</v>
      </c>
      <c r="B1513">
        <v>46279.531168981499</v>
      </c>
      <c r="C1513">
        <v>46279.540011574099</v>
      </c>
      <c r="D1513" t="str">
        <v>anónimo</v>
      </c>
      <c r="E1513" t="str">
        <v/>
      </c>
      <c r="F1513" s="68">
        <v>46279</v>
      </c>
      <c r="G1513">
        <v>46279</v>
      </c>
      <c r="H1513" t="str">
        <v>ROSA CASTRO SUR</v>
      </c>
      <c r="I1513" t="str">
        <v xml:space="preserve">RICARDO RODRIGUEZ ROSAS </v>
      </c>
      <c r="J1513" t="str">
        <v/>
      </c>
      <c r="K1513" t="str">
        <v>RORR560403HTSDSC07</v>
      </c>
      <c r="L1513">
        <v>24442956</v>
      </c>
      <c r="M1513">
        <v>5219321118626</v>
      </c>
      <c r="N1513" t="str">
        <v>NUEVO MAYOR</v>
      </c>
      <c r="O1513">
        <v>25862.51</v>
      </c>
      <c r="P1513" t="str">
        <v/>
      </c>
      <c r="Q1513">
        <v>7758.7529999999988</v>
      </c>
      <c r="R1513">
        <v>7758.7529999999988</v>
      </c>
      <c r="S1513" t="str">
        <v/>
      </c>
      <c r="T1513" t="str">
        <v/>
      </c>
      <c r="U1513" t="str">
        <v/>
      </c>
      <c r="V1513" t="str">
        <v>KARINA</v>
      </c>
      <c r="W1513">
        <v>46279</v>
      </c>
      <c r="X1513" t="str">
        <v/>
      </c>
    </row>
    <row r="1514" spans="1:24">
      <c r="A1514">
        <v>3086</v>
      </c>
      <c r="B1514">
        <v>46279.463668981502</v>
      </c>
      <c r="C1514">
        <v>46279.5488078704</v>
      </c>
      <c r="D1514" t="str">
        <v>anónimo</v>
      </c>
      <c r="E1514" t="str">
        <v/>
      </c>
      <c r="F1514" s="68">
        <v>46279</v>
      </c>
      <c r="G1514">
        <v>46279</v>
      </c>
      <c r="H1514" t="str">
        <v>RUTH MARTINEZ SUR</v>
      </c>
      <c r="I1514" t="str">
        <v>MA. DE LOURDES NUÑEZ NUÑEZ</v>
      </c>
      <c r="J1514">
        <v>33664512663</v>
      </c>
      <c r="K1514" t="str">
        <v>NUNL490809MCHXXR02</v>
      </c>
      <c r="L1514">
        <v>24443860</v>
      </c>
      <c r="M1514">
        <v>5216143444178</v>
      </c>
      <c r="N1514" t="str">
        <v>NUEVO MAYOR</v>
      </c>
      <c r="O1514">
        <v>9170.91</v>
      </c>
      <c r="P1514" t="str">
        <v/>
      </c>
      <c r="Q1514">
        <v>2751.2729999999997</v>
      </c>
      <c r="R1514">
        <v>2751.2729999999997</v>
      </c>
      <c r="S1514" t="str">
        <v/>
      </c>
      <c r="T1514" t="str">
        <v/>
      </c>
      <c r="U1514" t="str">
        <v/>
      </c>
      <c r="V1514" t="str">
        <v>DANIELLY</v>
      </c>
      <c r="W1514">
        <v>46279</v>
      </c>
      <c r="X1514" t="str">
        <v/>
      </c>
    </row>
    <row r="1515" spans="1:24">
      <c r="A1515">
        <v>3091</v>
      </c>
      <c r="B1515">
        <v>46279.540023148104</v>
      </c>
      <c r="C1515">
        <v>46279.5933449074</v>
      </c>
      <c r="D1515" t="str">
        <v>anónimo</v>
      </c>
      <c r="E1515" t="str">
        <v/>
      </c>
      <c r="F1515" s="68">
        <v>46279</v>
      </c>
      <c r="G1515">
        <v>46279</v>
      </c>
      <c r="H1515" t="str">
        <v>ROSA CASTRO SUR</v>
      </c>
      <c r="I1515" t="str">
        <v xml:space="preserve">RAMIRO ALMARAZ DAVILA </v>
      </c>
      <c r="J1515" t="str">
        <v>51855400696</v>
      </c>
      <c r="K1515" t="str">
        <v>VAOA580123HPLZBN05</v>
      </c>
      <c r="L1515">
        <v>24450184</v>
      </c>
      <c r="M1515">
        <v>5214494023776</v>
      </c>
      <c r="N1515" t="str">
        <v>COMPRA MAYOR</v>
      </c>
      <c r="O1515">
        <v>23722.58</v>
      </c>
      <c r="P1515">
        <v>6862.67</v>
      </c>
      <c r="Q1515">
        <v>7116.7740000000003</v>
      </c>
      <c r="R1515">
        <v>254.10400000000027</v>
      </c>
      <c r="S1515">
        <v>45870</v>
      </c>
      <c r="T1515" t="str">
        <v>MULTIVA</v>
      </c>
      <c r="U1515">
        <v>2569.92</v>
      </c>
      <c r="V1515" t="str">
        <v>MAGALI</v>
      </c>
      <c r="W1515">
        <v>46279</v>
      </c>
      <c r="X1515" t="str">
        <v/>
      </c>
    </row>
    <row r="1516" spans="1:24">
      <c r="A1516">
        <v>3092</v>
      </c>
      <c r="B1516">
        <v>46279.596481481502</v>
      </c>
      <c r="C1516">
        <v>46279.597025463001</v>
      </c>
      <c r="D1516" t="str">
        <v>anónimo</v>
      </c>
      <c r="E1516" t="str">
        <v/>
      </c>
      <c r="F1516" s="68">
        <v>46279</v>
      </c>
      <c r="G1516">
        <v>46279</v>
      </c>
      <c r="H1516" t="str">
        <v>GIOVANNI MELGAR</v>
      </c>
      <c r="I1516" t="str">
        <v>OSCAR ALBERTO TORRES ARENAL</v>
      </c>
      <c r="J1516" t="str">
        <v xml:space="preserve">01765476997
</v>
      </c>
      <c r="K1516" t="str">
        <v>TOAO541126HMNRRS04</v>
      </c>
      <c r="L1516">
        <v>24450614</v>
      </c>
      <c r="M1516">
        <v>5212227149293</v>
      </c>
      <c r="N1516" t="str">
        <v>NUEVO MAYOR</v>
      </c>
      <c r="O1516">
        <v>29032.15</v>
      </c>
      <c r="P1516" t="str">
        <v/>
      </c>
      <c r="Q1516">
        <v>8709.6450000000004</v>
      </c>
      <c r="R1516">
        <v>8709.6450000000004</v>
      </c>
      <c r="S1516" t="str">
        <v/>
      </c>
      <c r="T1516" t="str">
        <v/>
      </c>
      <c r="U1516" t="str">
        <v/>
      </c>
      <c r="V1516" t="str">
        <v>GLORIA</v>
      </c>
      <c r="W1516">
        <v>46279</v>
      </c>
      <c r="X1516" t="str">
        <v/>
      </c>
    </row>
    <row r="1517" spans="1:24">
      <c r="A1517">
        <v>3094</v>
      </c>
      <c r="B1517">
        <v>46279.606712963003</v>
      </c>
      <c r="C1517">
        <v>46279.607372685197</v>
      </c>
      <c r="D1517" t="str">
        <v>anónimo</v>
      </c>
      <c r="E1517" t="str">
        <v/>
      </c>
      <c r="F1517" s="68">
        <v>46279</v>
      </c>
      <c r="G1517">
        <v>46275</v>
      </c>
      <c r="H1517" t="str">
        <v>GIOVANNI MELGAR</v>
      </c>
      <c r="I1517" t="str">
        <v>MIGUEL ANGEL GARCEZ BECERRIL</v>
      </c>
      <c r="J1517" t="str">
        <v>11826220417</v>
      </c>
      <c r="K1517" t="str">
        <v>GABM640410HDFRCG03</v>
      </c>
      <c r="L1517">
        <v>24362654</v>
      </c>
      <c r="M1517">
        <v>5215524059451</v>
      </c>
      <c r="N1517" t="str">
        <v>NUEVO MAYOR</v>
      </c>
      <c r="O1517">
        <v>10636.54</v>
      </c>
      <c r="P1517" t="str">
        <v/>
      </c>
      <c r="Q1517">
        <v>3190.962</v>
      </c>
      <c r="R1517">
        <v>3190.962</v>
      </c>
      <c r="S1517" t="str">
        <v/>
      </c>
      <c r="T1517" t="str">
        <v/>
      </c>
      <c r="U1517" t="str">
        <v/>
      </c>
      <c r="V1517" t="str">
        <v>MARISOL</v>
      </c>
      <c r="W1517">
        <v>46279</v>
      </c>
      <c r="X1517" t="str">
        <v/>
      </c>
    </row>
    <row r="1518" spans="1:24">
      <c r="A1518">
        <v>3097</v>
      </c>
      <c r="B1518">
        <v>46279.601956018501</v>
      </c>
      <c r="C1518">
        <v>46279.6242361111</v>
      </c>
      <c r="D1518" t="str">
        <v>anónimo</v>
      </c>
      <c r="E1518" t="str">
        <v/>
      </c>
      <c r="F1518" s="68">
        <v>46279</v>
      </c>
      <c r="G1518">
        <v>46278</v>
      </c>
      <c r="H1518" t="str">
        <v>ROSA CASTRO SUR</v>
      </c>
      <c r="I1518" t="str">
        <v xml:space="preserve">MANUEL JESUS CORTAZAR HERNANDEZ </v>
      </c>
      <c r="J1518" t="str">
        <v/>
      </c>
      <c r="K1518" t="str">
        <v>COHM640425HTCRRN03</v>
      </c>
      <c r="L1518">
        <v>24433052</v>
      </c>
      <c r="M1518">
        <v>5219373787986</v>
      </c>
      <c r="N1518" t="str">
        <v>NUEVO MAYOR</v>
      </c>
      <c r="O1518">
        <v>9760.32</v>
      </c>
      <c r="P1518" t="str">
        <v/>
      </c>
      <c r="Q1518">
        <v>2928.096</v>
      </c>
      <c r="R1518">
        <v>2928.096</v>
      </c>
      <c r="S1518" t="str">
        <v/>
      </c>
      <c r="T1518" t="str">
        <v/>
      </c>
      <c r="U1518" t="str">
        <v/>
      </c>
      <c r="V1518" t="str">
        <v>CAROLINA</v>
      </c>
      <c r="W1518">
        <v>46279</v>
      </c>
      <c r="X1518" t="str">
        <v/>
      </c>
    </row>
    <row r="1519" spans="1:24">
      <c r="A1519">
        <v>3099</v>
      </c>
      <c r="B1519">
        <v>46279.589178240698</v>
      </c>
      <c r="C1519">
        <v>46279.631863425901</v>
      </c>
      <c r="D1519" t="str">
        <v>anónimo</v>
      </c>
      <c r="E1519" t="str">
        <v/>
      </c>
      <c r="F1519" s="68">
        <v>46279</v>
      </c>
      <c r="G1519">
        <v>46279</v>
      </c>
      <c r="H1519" t="str">
        <v>LILIANA MARTINEZ SUR</v>
      </c>
      <c r="I1519" t="str">
        <v>HERIBERTO ARIAS SAENZ</v>
      </c>
      <c r="J1519" t="str">
        <v/>
      </c>
      <c r="K1519" t="str">
        <v>AISH611214HCHRNR00</v>
      </c>
      <c r="L1519">
        <v>24436210</v>
      </c>
      <c r="M1519">
        <v>5216143636659</v>
      </c>
      <c r="N1519" t="str">
        <v>NUEVO MAYOR</v>
      </c>
      <c r="O1519">
        <v>40172.75</v>
      </c>
      <c r="P1519" t="str">
        <v/>
      </c>
      <c r="Q1519">
        <v>12051.824999999999</v>
      </c>
      <c r="R1519">
        <v>12051.824999999999</v>
      </c>
      <c r="S1519" t="str">
        <v/>
      </c>
      <c r="T1519" t="str">
        <v/>
      </c>
      <c r="U1519" t="str">
        <v/>
      </c>
      <c r="V1519" t="str">
        <v>ANA</v>
      </c>
      <c r="W1519">
        <v>46279</v>
      </c>
      <c r="X1519" t="str">
        <v/>
      </c>
    </row>
    <row r="1520" spans="1:24">
      <c r="A1520">
        <v>3101</v>
      </c>
      <c r="B1520">
        <v>46279.420717592599</v>
      </c>
      <c r="C1520">
        <v>46279.6487962963</v>
      </c>
      <c r="D1520" t="str">
        <v>anónimo</v>
      </c>
      <c r="E1520" t="str">
        <v/>
      </c>
      <c r="F1520" s="68">
        <v>46279</v>
      </c>
      <c r="G1520">
        <v>46279</v>
      </c>
      <c r="H1520" t="str">
        <v>YAMILETH CARDONA EXT 2</v>
      </c>
      <c r="I1520" t="str">
        <v>MARTIN SOSTENES ARREDONDO GOMEZ</v>
      </c>
      <c r="J1520">
        <v>43826222242</v>
      </c>
      <c r="K1520" t="str">
        <v>AEGM620610HNLRMR05</v>
      </c>
      <c r="L1520">
        <v>2</v>
      </c>
      <c r="M1520" t="str">
        <v>81 3429 3021</v>
      </c>
      <c r="N1520" t="str">
        <v>COMPRA MAYOR</v>
      </c>
      <c r="O1520">
        <v>5636.59</v>
      </c>
      <c r="P1520">
        <v>1544.05</v>
      </c>
      <c r="Q1520">
        <v>1690.9770000000001</v>
      </c>
      <c r="R1520">
        <v>-80.439999999999372</v>
      </c>
      <c r="S1520">
        <v>46143</v>
      </c>
      <c r="T1520" t="str">
        <v>BARACAF</v>
      </c>
      <c r="U1520">
        <v>1544.05</v>
      </c>
      <c r="V1520" t="str">
        <v/>
      </c>
      <c r="W1520" t="str">
        <v/>
      </c>
      <c r="X1520" t="str">
        <v/>
      </c>
    </row>
    <row r="1521" spans="1:24">
      <c r="A1521">
        <v>3103</v>
      </c>
      <c r="B1521">
        <v>46279.650451388901</v>
      </c>
      <c r="C1521">
        <v>46279.651504629597</v>
      </c>
      <c r="D1521" t="str">
        <v>anónimo</v>
      </c>
      <c r="E1521" t="str">
        <v/>
      </c>
      <c r="F1521" s="68">
        <v>46279</v>
      </c>
      <c r="G1521">
        <v>46276</v>
      </c>
      <c r="H1521" t="str">
        <v>CLAUDIA LAGUNES</v>
      </c>
      <c r="I1521" t="str">
        <v>OLGA LYDIA	GONZALEZ HERVERT</v>
      </c>
      <c r="J1521" t="str">
        <v/>
      </c>
      <c r="K1521" t="str">
        <v>GOHO620806MVZNRL02</v>
      </c>
      <c r="L1521">
        <v>24398088</v>
      </c>
      <c r="M1521">
        <v>6681141616</v>
      </c>
      <c r="N1521" t="str">
        <v>COMPRA MENOR</v>
      </c>
      <c r="O1521">
        <v>36621.78</v>
      </c>
      <c r="P1521">
        <v>10595.5</v>
      </c>
      <c r="Q1521">
        <v>10986.534</v>
      </c>
      <c r="R1521">
        <v>391.03399999999965</v>
      </c>
      <c r="S1521">
        <v>46054</v>
      </c>
      <c r="T1521" t="str">
        <v>HINV</v>
      </c>
      <c r="U1521">
        <v>454.3</v>
      </c>
      <c r="V1521" t="str">
        <v>HECTOR</v>
      </c>
      <c r="W1521">
        <v>46279</v>
      </c>
      <c r="X1521" t="str">
        <v/>
      </c>
    </row>
    <row r="1522" spans="1:24">
      <c r="A1522">
        <v>3112</v>
      </c>
      <c r="B1522">
        <v>46279.7288078704</v>
      </c>
      <c r="C1522">
        <v>46279.745879629598</v>
      </c>
      <c r="D1522" t="str">
        <v>anónimo</v>
      </c>
      <c r="E1522" t="str">
        <v/>
      </c>
      <c r="F1522" s="68">
        <v>46279</v>
      </c>
      <c r="G1522">
        <v>46279</v>
      </c>
      <c r="H1522" t="str">
        <v>LILIANA MARTINEZ SUR</v>
      </c>
      <c r="I1522" t="str">
        <v>ROBERTO GUIZAR GUERRERO</v>
      </c>
      <c r="J1522" t="str">
        <v/>
      </c>
      <c r="K1522" t="str">
        <v>GUGR620507HBCZRG06</v>
      </c>
      <c r="L1522">
        <v>24453148</v>
      </c>
      <c r="M1522">
        <v>5216672355141</v>
      </c>
      <c r="N1522" t="str">
        <v>NUEVO MAYOR</v>
      </c>
      <c r="O1522">
        <v>10636.54</v>
      </c>
      <c r="P1522" t="str">
        <v/>
      </c>
      <c r="Q1522">
        <v>3190.962</v>
      </c>
      <c r="R1522">
        <v>3190.962</v>
      </c>
      <c r="S1522" t="str">
        <v/>
      </c>
      <c r="T1522" t="str">
        <v/>
      </c>
      <c r="U1522" t="str">
        <v/>
      </c>
      <c r="V1522" t="str">
        <v>MIRIAM</v>
      </c>
      <c r="W1522">
        <v>46279</v>
      </c>
      <c r="X1522" t="str">
        <v/>
      </c>
    </row>
    <row r="1523" spans="1:24">
      <c r="A1523">
        <v>3113</v>
      </c>
      <c r="B1523">
        <v>46279.756585648203</v>
      </c>
      <c r="C1523">
        <v>46279.757442129601</v>
      </c>
      <c r="D1523" t="str">
        <v>anónimo</v>
      </c>
      <c r="E1523" t="str">
        <v/>
      </c>
      <c r="F1523" s="68">
        <v>46279</v>
      </c>
      <c r="G1523">
        <v>46279</v>
      </c>
      <c r="H1523" t="str">
        <v>GIOVANNI MELGAR</v>
      </c>
      <c r="I1523" t="str">
        <v>GILBERTO DE JESUS RIVAS SANCHEZ</v>
      </c>
      <c r="J1523" t="str">
        <v xml:space="preserve">84826404372
</v>
      </c>
      <c r="K1523" t="str">
        <v>RISG650306HYNVNL06</v>
      </c>
      <c r="L1523">
        <v>24456524</v>
      </c>
      <c r="M1523">
        <v>24456524</v>
      </c>
      <c r="N1523" t="str">
        <v>NUEVO MAYOR</v>
      </c>
      <c r="O1523">
        <v>10636.54</v>
      </c>
      <c r="P1523" t="str">
        <v/>
      </c>
      <c r="Q1523">
        <v>3190.962</v>
      </c>
      <c r="R1523">
        <v>3190.962</v>
      </c>
      <c r="S1523" t="str">
        <v/>
      </c>
      <c r="T1523" t="str">
        <v/>
      </c>
      <c r="U1523" t="str">
        <v/>
      </c>
      <c r="V1523" t="str">
        <v>LIDIA</v>
      </c>
      <c r="W1523">
        <v>46279</v>
      </c>
      <c r="X1523" t="str">
        <v/>
      </c>
    </row>
    <row r="1524" spans="1:24">
      <c r="A1524">
        <v>3114</v>
      </c>
      <c r="B1524">
        <v>46279.773414351803</v>
      </c>
      <c r="C1524">
        <v>46279.774074074099</v>
      </c>
      <c r="D1524" t="str">
        <v>anónimo</v>
      </c>
      <c r="E1524" t="str">
        <v/>
      </c>
      <c r="F1524" s="68">
        <v>46279</v>
      </c>
      <c r="G1524">
        <v>46277</v>
      </c>
      <c r="H1524" t="str">
        <v>BEATRIZ DE LA CRUZ</v>
      </c>
      <c r="I1524" t="str">
        <v>MARCO ANTONIO HERNANDEZ FLORES</v>
      </c>
      <c r="J1524" t="str">
        <v/>
      </c>
      <c r="K1524" t="str">
        <v>HEFM650524HDFRLR01</v>
      </c>
      <c r="L1524">
        <v>24423322</v>
      </c>
      <c r="M1524">
        <v>5518126696</v>
      </c>
      <c r="N1524" t="str">
        <v>NUEVO MENOR</v>
      </c>
      <c r="O1524">
        <v>41132.89</v>
      </c>
      <c r="P1524">
        <v>11898.98</v>
      </c>
      <c r="Q1524">
        <v>12339.867</v>
      </c>
      <c r="R1524">
        <v>440.88700000000063</v>
      </c>
      <c r="S1524">
        <v>46661</v>
      </c>
      <c r="T1524" t="str">
        <v>PROFUTURO</v>
      </c>
      <c r="U1524">
        <v>11898.98</v>
      </c>
      <c r="V1524" t="str">
        <v>MARISOL</v>
      </c>
      <c r="W1524">
        <v>46279</v>
      </c>
      <c r="X1524" t="str">
        <v/>
      </c>
    </row>
    <row r="1525" spans="1:24">
      <c r="A1525">
        <v>3117</v>
      </c>
      <c r="B1525">
        <v>46280.393738425897</v>
      </c>
      <c r="C1525">
        <v>46280.394270833298</v>
      </c>
      <c r="D1525" t="str">
        <v>anónimo</v>
      </c>
      <c r="E1525" t="str">
        <v/>
      </c>
      <c r="F1525" s="68">
        <v>46280</v>
      </c>
      <c r="G1525">
        <v>46278</v>
      </c>
      <c r="H1525" t="str">
        <v>GIOVANNI MELGAR</v>
      </c>
      <c r="I1525" t="str">
        <v>CARLOS AURELIO BADILLO ROSALES</v>
      </c>
      <c r="J1525" t="str">
        <v>67806212568</v>
      </c>
      <c r="K1525" t="str">
        <v/>
      </c>
      <c r="L1525">
        <v>24433794</v>
      </c>
      <c r="M1525">
        <v>5212282284613</v>
      </c>
      <c r="N1525" t="str">
        <v>COMPRA MAYOR</v>
      </c>
      <c r="O1525">
        <v>18588.330000000002</v>
      </c>
      <c r="P1525">
        <v>5373.54</v>
      </c>
      <c r="Q1525">
        <v>5576.4990000000007</v>
      </c>
      <c r="R1525">
        <v>202.95900000000074</v>
      </c>
      <c r="S1525">
        <v>46266</v>
      </c>
      <c r="T1525" t="str">
        <v>BANCREA</v>
      </c>
      <c r="U1525">
        <v>3060.26</v>
      </c>
      <c r="V1525" t="str">
        <v>YESSENIA</v>
      </c>
      <c r="W1525">
        <v>46280</v>
      </c>
      <c r="X1525" t="str">
        <v/>
      </c>
    </row>
    <row r="1526" spans="1:24">
      <c r="A1526">
        <v>3121</v>
      </c>
      <c r="B1526">
        <v>46279.656527777799</v>
      </c>
      <c r="C1526">
        <v>46280.4469328704</v>
      </c>
      <c r="D1526" t="str">
        <v>anónimo</v>
      </c>
      <c r="E1526" t="str">
        <v/>
      </c>
      <c r="F1526" s="68">
        <v>46280</v>
      </c>
      <c r="G1526">
        <v>46275</v>
      </c>
      <c r="H1526" t="str">
        <v>KATE MALPICA</v>
      </c>
      <c r="I1526" t="str">
        <v>ALEJANDRO RUBEN HUERTA 	BALDERAS</v>
      </c>
      <c r="J1526" t="str">
        <v/>
      </c>
      <c r="K1526" t="str">
        <v>HUBA600826HDFRLL01</v>
      </c>
      <c r="L1526">
        <v>24371460</v>
      </c>
      <c r="M1526">
        <v>5657851969</v>
      </c>
      <c r="N1526" t="str">
        <v>COMPRA MENOR</v>
      </c>
      <c r="O1526">
        <v>5617.64</v>
      </c>
      <c r="P1526">
        <v>1387.65</v>
      </c>
      <c r="Q1526">
        <v>1685.2920000000001</v>
      </c>
      <c r="R1526">
        <v>57.010000000000673</v>
      </c>
      <c r="S1526">
        <v>45444</v>
      </c>
      <c r="T1526" t="str">
        <v>DIRECTODO</v>
      </c>
      <c r="U1526">
        <v>444.72</v>
      </c>
      <c r="V1526" t="str">
        <v>HECTOR</v>
      </c>
      <c r="W1526">
        <v>46280</v>
      </c>
      <c r="X1526" t="str">
        <v/>
      </c>
    </row>
    <row r="1527" spans="1:24">
      <c r="A1527">
        <v>3123</v>
      </c>
      <c r="B1527">
        <v>46280.455451388902</v>
      </c>
      <c r="C1527">
        <v>46280.456354166701</v>
      </c>
      <c r="D1527" t="str">
        <v>anónimo</v>
      </c>
      <c r="E1527" t="str">
        <v/>
      </c>
      <c r="F1527" s="68">
        <v>46280</v>
      </c>
      <c r="G1527">
        <v>46280</v>
      </c>
      <c r="H1527" t="str">
        <v>GIOVANNI MELGAR</v>
      </c>
      <c r="I1527" t="str">
        <v>JOSE NOE PALMA RODRIGUEZ</v>
      </c>
      <c r="J1527" t="str">
        <v/>
      </c>
      <c r="K1527" t="str">
        <v>PARN621203HDFLDX02</v>
      </c>
      <c r="L1527">
        <v>24471826</v>
      </c>
      <c r="M1527">
        <v>5215579470898</v>
      </c>
      <c r="N1527" t="str">
        <v>NUEVO MENOR</v>
      </c>
      <c r="O1527">
        <v>24862.55</v>
      </c>
      <c r="P1527">
        <v>6595</v>
      </c>
      <c r="Q1527">
        <v>7458.7649999999994</v>
      </c>
      <c r="R1527">
        <v>863.76499999999942</v>
      </c>
      <c r="S1527">
        <v>46569</v>
      </c>
      <c r="T1527" t="str">
        <v>DIMEX</v>
      </c>
      <c r="U1527">
        <v>6595</v>
      </c>
      <c r="V1527" t="str">
        <v>HECTOR</v>
      </c>
      <c r="W1527">
        <v>46280</v>
      </c>
      <c r="X1527" t="str">
        <v/>
      </c>
    </row>
    <row r="1528" spans="1:24">
      <c r="A1528">
        <v>3125</v>
      </c>
      <c r="B1528">
        <v>46280.408981481502</v>
      </c>
      <c r="C1528">
        <v>46280.460277777798</v>
      </c>
      <c r="D1528" t="str">
        <v>anónimo</v>
      </c>
      <c r="E1528" t="str">
        <v/>
      </c>
      <c r="F1528" s="68">
        <v>46280</v>
      </c>
      <c r="G1528">
        <v>46279</v>
      </c>
      <c r="H1528" t="str">
        <v>ROSA CASTRO SUR</v>
      </c>
      <c r="I1528" t="str">
        <v xml:space="preserve">JORGE TORIBIO LOOPEZ HINOJOSA </v>
      </c>
      <c r="J1528" t="str">
        <v/>
      </c>
      <c r="K1528" t="str">
        <v>LOHJ610628HNLPNR06</v>
      </c>
      <c r="L1528">
        <v>24456608</v>
      </c>
      <c r="M1528">
        <v>5218113206966</v>
      </c>
      <c r="N1528" t="str">
        <v>COMPRA MAYOR</v>
      </c>
      <c r="O1528">
        <v>9418.66</v>
      </c>
      <c r="P1528">
        <v>2317.29</v>
      </c>
      <c r="Q1528">
        <v>2825.598</v>
      </c>
      <c r="R1528">
        <v>508.30799999999999</v>
      </c>
      <c r="S1528">
        <v>45627</v>
      </c>
      <c r="T1528" t="str">
        <v>INBURSA</v>
      </c>
      <c r="U1528">
        <v>2317.29</v>
      </c>
      <c r="V1528" t="str">
        <v>YESSENIA</v>
      </c>
      <c r="W1528">
        <v>46280</v>
      </c>
      <c r="X1528" t="str">
        <v/>
      </c>
    </row>
    <row r="1529" spans="1:24">
      <c r="A1529">
        <v>3129</v>
      </c>
      <c r="B1529">
        <v>46280.460289351897</v>
      </c>
      <c r="C1529">
        <v>46280.493599537003</v>
      </c>
      <c r="D1529" t="str">
        <v>anónimo</v>
      </c>
      <c r="E1529" t="str">
        <v/>
      </c>
      <c r="F1529" s="68">
        <v>46280</v>
      </c>
      <c r="G1529">
        <v>46265</v>
      </c>
      <c r="H1529" t="str">
        <v>ROSA CASTRO SUR</v>
      </c>
      <c r="I1529" t="str">
        <v>MARTHA ROSA SANTOS GONZALEZ</v>
      </c>
      <c r="J1529">
        <v>41916000015</v>
      </c>
      <c r="K1529" t="str">
        <v>SAGM600331MSPNNR00</v>
      </c>
      <c r="L1529">
        <v>24140424</v>
      </c>
      <c r="M1529">
        <v>5214811441557</v>
      </c>
      <c r="N1529" t="str">
        <v>NUEVO MAYOR</v>
      </c>
      <c r="O1529">
        <v>10636.54</v>
      </c>
      <c r="P1529" t="str">
        <v/>
      </c>
      <c r="Q1529">
        <v>3190.962</v>
      </c>
      <c r="R1529">
        <v>3190.962</v>
      </c>
      <c r="S1529" t="str">
        <v/>
      </c>
      <c r="T1529" t="str">
        <v/>
      </c>
      <c r="U1529" t="str">
        <v/>
      </c>
      <c r="V1529" t="str">
        <v>LIDIA</v>
      </c>
      <c r="W1529">
        <v>46280</v>
      </c>
      <c r="X1529" t="str">
        <v/>
      </c>
    </row>
    <row r="1530" spans="1:24">
      <c r="A1530">
        <v>3130</v>
      </c>
      <c r="B1530">
        <v>46280.493101851898</v>
      </c>
      <c r="C1530">
        <v>46280.4992361111</v>
      </c>
      <c r="D1530" t="str">
        <v>anónimo</v>
      </c>
      <c r="E1530" t="str">
        <v/>
      </c>
      <c r="F1530" s="68">
        <v>46280</v>
      </c>
      <c r="G1530">
        <v>46267</v>
      </c>
      <c r="H1530" t="str">
        <v>LILIANA MARTINEZ SUR</v>
      </c>
      <c r="I1530" t="str">
        <v>MARTIN HERNANDEZ GODINEZ</v>
      </c>
      <c r="J1530" t="str">
        <v/>
      </c>
      <c r="K1530" t="str">
        <v>HEGM620130HDFRDR06</v>
      </c>
      <c r="L1530">
        <v>24194850</v>
      </c>
      <c r="M1530">
        <v>5213322147621</v>
      </c>
      <c r="N1530" t="str">
        <v>NUEVO MAYOR</v>
      </c>
      <c r="O1530">
        <v>10636.539999999997</v>
      </c>
      <c r="P1530" t="str">
        <v/>
      </c>
      <c r="Q1530">
        <v>3190.9619999999991</v>
      </c>
      <c r="R1530">
        <v>3190.9619999999991</v>
      </c>
      <c r="S1530" t="str">
        <v/>
      </c>
      <c r="T1530" t="str">
        <v/>
      </c>
      <c r="U1530" t="str">
        <v/>
      </c>
      <c r="V1530" t="str">
        <v>DANIELLY</v>
      </c>
      <c r="W1530">
        <v>46280</v>
      </c>
      <c r="X1530" t="str">
        <v/>
      </c>
    </row>
    <row r="1531" spans="1:24">
      <c r="A1531">
        <v>3131</v>
      </c>
      <c r="B1531">
        <v>46280.498912037001</v>
      </c>
      <c r="C1531">
        <v>46280.507939814801</v>
      </c>
      <c r="D1531" t="str">
        <v>anónimo</v>
      </c>
      <c r="E1531" t="str">
        <v/>
      </c>
      <c r="F1531" s="68">
        <v>46280</v>
      </c>
      <c r="G1531">
        <v>46275</v>
      </c>
      <c r="H1531" t="str">
        <v>LILIANA MARTINEZ SUR</v>
      </c>
      <c r="I1531" t="str">
        <v>ROMAN CERVANTES REYES</v>
      </c>
      <c r="J1531">
        <v>53806208137</v>
      </c>
      <c r="K1531" t="str">
        <v>CERR620809HGTRYM05</v>
      </c>
      <c r="L1531">
        <v>24377376</v>
      </c>
      <c r="M1531">
        <v>5214531377821</v>
      </c>
      <c r="N1531" t="str">
        <v>NUEVO MAYOR</v>
      </c>
      <c r="O1531">
        <v>10636.54</v>
      </c>
      <c r="P1531" t="str">
        <v/>
      </c>
      <c r="Q1531">
        <v>3190.962</v>
      </c>
      <c r="R1531">
        <v>3190.962</v>
      </c>
      <c r="S1531" t="str">
        <v/>
      </c>
      <c r="T1531" t="str">
        <v/>
      </c>
      <c r="U1531" t="str">
        <v/>
      </c>
      <c r="V1531" t="str">
        <v>PAOLA</v>
      </c>
      <c r="W1531">
        <v>46280</v>
      </c>
      <c r="X1531" t="str">
        <v/>
      </c>
    </row>
    <row r="1532" spans="1:24">
      <c r="A1532">
        <v>3132</v>
      </c>
      <c r="B1532">
        <v>46280.493611111102</v>
      </c>
      <c r="C1532">
        <v>46280.508842592601</v>
      </c>
      <c r="D1532" t="str">
        <v>anónimo</v>
      </c>
      <c r="E1532" t="str">
        <v/>
      </c>
      <c r="F1532" s="68">
        <v>46280</v>
      </c>
      <c r="G1532">
        <v>46265</v>
      </c>
      <c r="H1532" t="str">
        <v>ROSA CASTRO SUR</v>
      </c>
      <c r="I1532" t="str">
        <v>PATRICIA ESQUIVEL LOPEZ</v>
      </c>
      <c r="J1532">
        <v>53846631009</v>
      </c>
      <c r="K1532" t="str">
        <v>EULP660107MDFSPT03</v>
      </c>
      <c r="L1532">
        <v>24140380</v>
      </c>
      <c r="M1532">
        <v>5214434006657</v>
      </c>
      <c r="N1532" t="str">
        <v>NUEVO MAYOR</v>
      </c>
      <c r="O1532">
        <v>10636.539999999997</v>
      </c>
      <c r="P1532" t="str">
        <v/>
      </c>
      <c r="Q1532">
        <v>3190.9619999999991</v>
      </c>
      <c r="R1532">
        <v>3190.9619999999991</v>
      </c>
      <c r="S1532" t="str">
        <v/>
      </c>
      <c r="T1532" t="str">
        <v/>
      </c>
      <c r="U1532" t="str">
        <v/>
      </c>
      <c r="V1532" t="str">
        <v>IRASEMA</v>
      </c>
      <c r="W1532">
        <v>46280</v>
      </c>
      <c r="X1532" t="str">
        <v/>
      </c>
    </row>
    <row r="1533" spans="1:24">
      <c r="A1533">
        <v>3136</v>
      </c>
      <c r="B1533">
        <v>46280.5872453704</v>
      </c>
      <c r="C1533">
        <v>46280.587754629603</v>
      </c>
      <c r="D1533" t="str">
        <v>anónimo</v>
      </c>
      <c r="E1533" t="str">
        <v/>
      </c>
      <c r="F1533" s="68">
        <v>46280</v>
      </c>
      <c r="G1533">
        <v>46275</v>
      </c>
      <c r="H1533" t="str">
        <v>LIDIA GARZA</v>
      </c>
      <c r="I1533" t="str">
        <v>segovia alcaraz juana</v>
      </c>
      <c r="J1533">
        <v>23865205209</v>
      </c>
      <c r="K1533" t="str">
        <v/>
      </c>
      <c r="L1533">
        <v>24363678</v>
      </c>
      <c r="M1533">
        <v>5216692643582</v>
      </c>
      <c r="N1533" t="str">
        <v>NUEVO MENOR</v>
      </c>
      <c r="O1533">
        <v>4813.6899999999996</v>
      </c>
      <c r="P1533" t="str">
        <v/>
      </c>
      <c r="Q1533">
        <v>1444.1069999999997</v>
      </c>
      <c r="R1533">
        <v>640.71</v>
      </c>
      <c r="S1533" t="str">
        <v/>
      </c>
      <c r="T1533" t="str">
        <v/>
      </c>
      <c r="U1533" t="str">
        <v/>
      </c>
      <c r="V1533" t="str">
        <v>LIDIA</v>
      </c>
      <c r="W1533">
        <v>46280</v>
      </c>
      <c r="X1533" t="str">
        <v/>
      </c>
    </row>
    <row r="1534" spans="1:24">
      <c r="A1534">
        <v>3139</v>
      </c>
      <c r="B1534">
        <v>46280.522650462997</v>
      </c>
      <c r="C1534">
        <v>46280.653113425898</v>
      </c>
      <c r="D1534" t="str">
        <v>anónimo</v>
      </c>
      <c r="E1534" t="str">
        <v/>
      </c>
      <c r="F1534" s="68">
        <v>46280</v>
      </c>
      <c r="G1534">
        <v>46268</v>
      </c>
      <c r="H1534" t="str">
        <v>RUTH MARTINEZ SUR</v>
      </c>
      <c r="I1534" t="str">
        <v>MIGUEL ANGEL GONZALEZ ROMERO</v>
      </c>
      <c r="J1534">
        <v>19856615075</v>
      </c>
      <c r="K1534" t="str">
        <v>GORM660802HDFNMG03</v>
      </c>
      <c r="L1534">
        <v>24232976</v>
      </c>
      <c r="M1534">
        <v>5215513107083</v>
      </c>
      <c r="N1534" t="str">
        <v>NUEVO MAYOR</v>
      </c>
      <c r="O1534">
        <v>10636.54</v>
      </c>
      <c r="P1534" t="str">
        <v/>
      </c>
      <c r="Q1534">
        <v>3190.962</v>
      </c>
      <c r="R1534">
        <v>3190.962</v>
      </c>
      <c r="S1534" t="str">
        <v/>
      </c>
      <c r="T1534" t="str">
        <v/>
      </c>
      <c r="U1534" t="str">
        <v/>
      </c>
      <c r="V1534" t="str">
        <v>FERNANDA</v>
      </c>
      <c r="W1534">
        <v>46280</v>
      </c>
      <c r="X1534" t="str">
        <v/>
      </c>
    </row>
    <row r="1535" spans="1:24">
      <c r="A1535">
        <v>3143</v>
      </c>
      <c r="B1535">
        <v>46280.703703703701</v>
      </c>
      <c r="C1535">
        <v>46280.730011574102</v>
      </c>
      <c r="D1535" t="str">
        <v>anónimo</v>
      </c>
      <c r="E1535" t="str">
        <v/>
      </c>
      <c r="F1535" s="68">
        <v>46280</v>
      </c>
      <c r="G1535">
        <v>46280</v>
      </c>
      <c r="H1535" t="str">
        <v>ROSA CASTRO SUR</v>
      </c>
      <c r="I1535" t="str">
        <v>CARLOS GONZALEZ ANGUIANO</v>
      </c>
      <c r="J1535" t="str">
        <v/>
      </c>
      <c r="K1535" t="str">
        <v>GOAC490910HCMNNR02</v>
      </c>
      <c r="L1535">
        <v>24490714</v>
      </c>
      <c r="M1535">
        <v>5213133294251</v>
      </c>
      <c r="N1535" t="str">
        <v>NUEVO MAYOR</v>
      </c>
      <c r="O1535">
        <v>8539.77</v>
      </c>
      <c r="P1535" t="str">
        <v/>
      </c>
      <c r="Q1535">
        <v>2561.931</v>
      </c>
      <c r="R1535">
        <v>2561.931</v>
      </c>
      <c r="S1535" t="str">
        <v/>
      </c>
      <c r="T1535" t="str">
        <v/>
      </c>
      <c r="U1535" t="str">
        <v/>
      </c>
      <c r="V1535" t="str">
        <v>PAOLA</v>
      </c>
      <c r="W1535">
        <v>46282</v>
      </c>
      <c r="X1535" t="str">
        <v/>
      </c>
    </row>
    <row r="1536" spans="1:24">
      <c r="A1536">
        <v>3144</v>
      </c>
      <c r="B1536">
        <v>46280.653148148202</v>
      </c>
      <c r="C1536">
        <v>46280.731793981497</v>
      </c>
      <c r="D1536" t="str">
        <v>anónimo</v>
      </c>
      <c r="E1536" t="str">
        <v/>
      </c>
      <c r="F1536" s="68">
        <v>46280</v>
      </c>
      <c r="G1536">
        <v>46280</v>
      </c>
      <c r="H1536" t="str">
        <v>RUTH MARTINEZ SUR</v>
      </c>
      <c r="I1536" t="str">
        <v>FERNANDO MOROYOQUI GALVEZ</v>
      </c>
      <c r="J1536">
        <v>24836467969</v>
      </c>
      <c r="K1536" t="str">
        <v>MOGF631028HSRRLR06</v>
      </c>
      <c r="L1536">
        <v>24488246</v>
      </c>
      <c r="M1536">
        <v>5216421426329</v>
      </c>
      <c r="N1536" t="str">
        <v>NUEVO MAYOR</v>
      </c>
      <c r="O1536">
        <v>7920.51</v>
      </c>
      <c r="P1536">
        <v>848</v>
      </c>
      <c r="Q1536">
        <v>2376.1529999999998</v>
      </c>
      <c r="R1536">
        <v>1528.1529999999998</v>
      </c>
      <c r="S1536" t="str">
        <v/>
      </c>
      <c r="T1536" t="str">
        <v/>
      </c>
      <c r="U1536" t="str">
        <v/>
      </c>
      <c r="V1536" t="str">
        <v>GLORIA</v>
      </c>
      <c r="W1536">
        <v>46282</v>
      </c>
      <c r="X1536" t="str">
        <v/>
      </c>
    </row>
    <row r="1537" spans="1:24">
      <c r="A1537">
        <v>3145</v>
      </c>
      <c r="B1537">
        <v>46280.731817129599</v>
      </c>
      <c r="C1537">
        <v>46280.742060185199</v>
      </c>
      <c r="D1537" t="str">
        <v>anónimo</v>
      </c>
      <c r="E1537" t="str">
        <v/>
      </c>
      <c r="F1537" s="68">
        <v>46280</v>
      </c>
      <c r="G1537">
        <v>46279</v>
      </c>
      <c r="H1537" t="str">
        <v>RUTH MARTINEZ SUR</v>
      </c>
      <c r="I1537" t="str">
        <v>JORGE ARTURO MUÑOZ FAVA</v>
      </c>
      <c r="J1537" t="str">
        <v/>
      </c>
      <c r="K1537" t="str">
        <v>MUFJ610302HCHXVR00</v>
      </c>
      <c r="L1537">
        <v>24463860</v>
      </c>
      <c r="M1537">
        <v>5216145221416</v>
      </c>
      <c r="N1537" t="str">
        <v>NUEVO MAYOR</v>
      </c>
      <c r="O1537">
        <v>23314.61</v>
      </c>
      <c r="P1537" t="str">
        <v/>
      </c>
      <c r="Q1537">
        <v>6994.3829999999998</v>
      </c>
      <c r="R1537">
        <v>6994.3829999999998</v>
      </c>
      <c r="S1537" t="str">
        <v/>
      </c>
      <c r="T1537" t="str">
        <v/>
      </c>
      <c r="U1537" t="str">
        <v/>
      </c>
      <c r="V1537" t="str">
        <v>GLORIA</v>
      </c>
      <c r="W1537">
        <v>46282</v>
      </c>
      <c r="X1537" t="str">
        <v/>
      </c>
    </row>
    <row r="1538" spans="1:24">
      <c r="A1538">
        <v>3146</v>
      </c>
      <c r="B1538">
        <v>46281.436122685198</v>
      </c>
      <c r="C1538">
        <v>46281.4382638889</v>
      </c>
      <c r="D1538" t="str">
        <v>anónimo</v>
      </c>
      <c r="E1538" t="str">
        <v/>
      </c>
      <c r="F1538" s="68">
        <v>46281</v>
      </c>
      <c r="G1538">
        <v>46281</v>
      </c>
      <c r="H1538" t="str">
        <v>KATE MALPICA</v>
      </c>
      <c r="I1538" t="str">
        <v xml:space="preserve">MARIO CESAR LOPEZ CONSTANTINO  </v>
      </c>
      <c r="J1538" t="str">
        <v>71806205242</v>
      </c>
      <c r="K1538" t="str">
        <v>COLM610121HCSNPR09</v>
      </c>
      <c r="L1538">
        <v>24497374</v>
      </c>
      <c r="M1538">
        <v>6462419600</v>
      </c>
      <c r="N1538" t="str">
        <v>COMPRA MAYOR</v>
      </c>
      <c r="O1538">
        <v>17210.88</v>
      </c>
      <c r="P1538">
        <v>4979.5200000000004</v>
      </c>
      <c r="Q1538">
        <v>5163.2640000000001</v>
      </c>
      <c r="R1538">
        <v>183.74399999999969</v>
      </c>
      <c r="S1538">
        <v>46266</v>
      </c>
      <c r="T1538" t="str">
        <v>INBURSA</v>
      </c>
      <c r="U1538">
        <v>4456.84</v>
      </c>
      <c r="V1538" t="str">
        <v>YESSENIA</v>
      </c>
      <c r="W1538">
        <v>46282</v>
      </c>
      <c r="X1538" t="str">
        <v/>
      </c>
    </row>
    <row r="1539" spans="1:24">
      <c r="A1539">
        <v>3148</v>
      </c>
      <c r="B1539">
        <v>46281.464953703697</v>
      </c>
      <c r="C1539">
        <v>46281.491481481498</v>
      </c>
      <c r="D1539" t="str">
        <v>anónimo</v>
      </c>
      <c r="E1539" t="str">
        <v/>
      </c>
      <c r="F1539" s="68">
        <v>46281</v>
      </c>
      <c r="G1539">
        <v>46280</v>
      </c>
      <c r="H1539" t="str">
        <v>ROSA CASTRO SUR</v>
      </c>
      <c r="I1539" t="str">
        <v>M.BERENICE ORTEGA SÁNCHEZ</v>
      </c>
      <c r="J1539" t="str">
        <v>557660O3143</v>
      </c>
      <c r="K1539" t="str">
        <v xml:space="preserve">OESB590208MJCRNR05 </v>
      </c>
      <c r="L1539">
        <v>24496366</v>
      </c>
      <c r="M1539">
        <v>5213312807264</v>
      </c>
      <c r="N1539" t="str">
        <v>NUEVO MAYOR</v>
      </c>
      <c r="O1539">
        <v>19475.54</v>
      </c>
      <c r="P1539" t="str">
        <v/>
      </c>
      <c r="Q1539">
        <v>5842.6620000000003</v>
      </c>
      <c r="R1539">
        <v>5842.6620000000003</v>
      </c>
      <c r="S1539" t="str">
        <v/>
      </c>
      <c r="T1539" t="str">
        <v/>
      </c>
      <c r="U1539" t="str">
        <v/>
      </c>
      <c r="V1539" t="str">
        <v>HANIA</v>
      </c>
      <c r="W1539">
        <v>46282</v>
      </c>
      <c r="X1539" t="str">
        <v/>
      </c>
    </row>
    <row r="1540" spans="1:24">
      <c r="A1540">
        <v>3149</v>
      </c>
      <c r="B1540">
        <v>46281.495613425897</v>
      </c>
      <c r="C1540">
        <v>46281.498356481497</v>
      </c>
      <c r="D1540" t="str">
        <v>anónimo</v>
      </c>
      <c r="E1540" t="str">
        <v/>
      </c>
      <c r="F1540" s="68">
        <v>46281</v>
      </c>
      <c r="G1540">
        <v>46281</v>
      </c>
      <c r="H1540" t="str">
        <v>CLAUDIA LAGUNES</v>
      </c>
      <c r="I1540" t="str">
        <v xml:space="preserve"> FRANCISCO SALINAS DIAZ</v>
      </c>
      <c r="J1540">
        <v>7172550035</v>
      </c>
      <c r="K1540" t="str">
        <v/>
      </c>
      <c r="L1540">
        <v>24508078</v>
      </c>
      <c r="M1540">
        <v>9661066887</v>
      </c>
      <c r="N1540" t="str">
        <v>NUEVO MAYOR</v>
      </c>
      <c r="O1540">
        <v>6262.86</v>
      </c>
      <c r="P1540" t="str">
        <v/>
      </c>
      <c r="Q1540">
        <v>1878.8579999999997</v>
      </c>
      <c r="R1540">
        <v>1878.8579999999997</v>
      </c>
      <c r="S1540" t="str">
        <v/>
      </c>
      <c r="T1540" t="str">
        <v/>
      </c>
      <c r="U1540" t="str">
        <v/>
      </c>
      <c r="V1540" t="str">
        <v>HANIA</v>
      </c>
      <c r="W1540">
        <v>46282</v>
      </c>
      <c r="X1540" t="str">
        <v/>
      </c>
    </row>
    <row r="1541" spans="1:24">
      <c r="A1541">
        <v>3150</v>
      </c>
      <c r="B1541">
        <v>46281.502488425896</v>
      </c>
      <c r="C1541">
        <v>46281.508055555598</v>
      </c>
      <c r="D1541" t="str">
        <v>anónimo</v>
      </c>
      <c r="E1541" t="str">
        <v/>
      </c>
      <c r="F1541" s="68">
        <v>46281</v>
      </c>
      <c r="G1541">
        <v>46281</v>
      </c>
      <c r="H1541" t="str">
        <v>KATE MALPICA</v>
      </c>
      <c r="I1541" t="str">
        <v>GABINO REYES BENITEZ</v>
      </c>
      <c r="J1541">
        <v>13816212289</v>
      </c>
      <c r="K1541" t="str">
        <v>REBG620219HHGYNB08</v>
      </c>
      <c r="L1541">
        <v>24505658</v>
      </c>
      <c r="M1541">
        <v>7731043133</v>
      </c>
      <c r="N1541" t="str">
        <v>NUEVO MAYOR</v>
      </c>
      <c r="O1541">
        <v>10636.54</v>
      </c>
      <c r="P1541" t="str">
        <v/>
      </c>
      <c r="Q1541">
        <v>3190.962</v>
      </c>
      <c r="R1541">
        <v>3190.962</v>
      </c>
      <c r="S1541" t="str">
        <v/>
      </c>
      <c r="T1541" t="str">
        <v/>
      </c>
      <c r="U1541" t="str">
        <v/>
      </c>
      <c r="V1541" t="str">
        <v>ANA</v>
      </c>
      <c r="W1541">
        <v>46282</v>
      </c>
      <c r="X1541" t="str">
        <v/>
      </c>
    </row>
    <row r="1542" spans="1:24">
      <c r="A1542">
        <v>3151</v>
      </c>
      <c r="B1542">
        <v>46281.512118055602</v>
      </c>
      <c r="C1542">
        <v>46281.513460648101</v>
      </c>
      <c r="D1542" t="str">
        <v>anónimo</v>
      </c>
      <c r="E1542" t="str">
        <v/>
      </c>
      <c r="F1542" s="68">
        <v>46281</v>
      </c>
      <c r="G1542">
        <v>46281</v>
      </c>
      <c r="H1542" t="str">
        <v>KATE MALPICA</v>
      </c>
      <c r="I1542" t="str">
        <v>LUIS PEREZ JIMENEZ</v>
      </c>
      <c r="J1542" t="str">
        <v>41805908815</v>
      </c>
      <c r="K1542" t="str">
        <v>PEJL590825HSPRMS05</v>
      </c>
      <c r="L1542">
        <v>24507922</v>
      </c>
      <c r="M1542">
        <v>4445748342</v>
      </c>
      <c r="N1542" t="str">
        <v>COMPRA MENOR</v>
      </c>
      <c r="O1542">
        <v>5617.63</v>
      </c>
      <c r="P1542">
        <v>1443.58</v>
      </c>
      <c r="Q1542">
        <v>1685.289</v>
      </c>
      <c r="R1542">
        <v>1.0700000000006185</v>
      </c>
      <c r="S1542">
        <v>46266</v>
      </c>
      <c r="T1542" t="str">
        <v>EXITUS</v>
      </c>
      <c r="U1542">
        <v>1191.58</v>
      </c>
      <c r="V1542" t="str">
        <v>HECTOR</v>
      </c>
      <c r="W1542">
        <v>46282</v>
      </c>
      <c r="X1542" t="str">
        <v/>
      </c>
    </row>
    <row r="1543" spans="1:24">
      <c r="A1543">
        <v>3155</v>
      </c>
      <c r="B1543">
        <v>46281.491493055597</v>
      </c>
      <c r="C1543">
        <v>46281.597858796304</v>
      </c>
      <c r="D1543" t="str">
        <v>anónimo</v>
      </c>
      <c r="E1543" t="str">
        <v/>
      </c>
      <c r="F1543" s="68">
        <v>46281</v>
      </c>
      <c r="G1543">
        <v>46281</v>
      </c>
      <c r="H1543" t="str">
        <v>ROSA CASTRO SUR</v>
      </c>
      <c r="I1543" t="str">
        <v xml:space="preserve">CONSUELO CARRILLO OLIVARES </v>
      </c>
      <c r="J1543" t="str">
        <v>31664613481</v>
      </c>
      <c r="K1543" t="str">
        <v>CAOC530801MDGRLN01</v>
      </c>
      <c r="L1543">
        <v>24509532</v>
      </c>
      <c r="M1543">
        <v>5216561747299</v>
      </c>
      <c r="N1543" t="str">
        <v>COMPRA MAYOR</v>
      </c>
      <c r="O1543">
        <v>6422.04</v>
      </c>
      <c r="P1543">
        <v>1700.33</v>
      </c>
      <c r="Q1543">
        <v>1926.6119999999999</v>
      </c>
      <c r="R1543">
        <v>226.28199999999993</v>
      </c>
      <c r="S1543">
        <v>45839</v>
      </c>
      <c r="T1543" t="str">
        <v>DIMEX</v>
      </c>
      <c r="U1543">
        <v>1700.33</v>
      </c>
      <c r="V1543" t="str">
        <v>ITZEL CARRANZA</v>
      </c>
      <c r="W1543">
        <v>46282</v>
      </c>
      <c r="X1543" t="str">
        <v/>
      </c>
    </row>
    <row r="1544" spans="1:24">
      <c r="A1544">
        <v>3156</v>
      </c>
      <c r="B1544">
        <v>46281.597870370402</v>
      </c>
      <c r="C1544">
        <v>46281.600011574097</v>
      </c>
      <c r="D1544" t="str">
        <v>anónimo</v>
      </c>
      <c r="E1544" t="str">
        <v/>
      </c>
      <c r="F1544" s="68">
        <v>46281</v>
      </c>
      <c r="G1544">
        <v>46281</v>
      </c>
      <c r="H1544" t="str">
        <v>ROSA CASTRO SUR</v>
      </c>
      <c r="I1544" t="str">
        <v xml:space="preserve">ROSARIO JUAREZ FRANCO </v>
      </c>
      <c r="J1544" t="str">
        <v>33846369214</v>
      </c>
      <c r="K1544" t="str">
        <v>JUFR631108HCHRRS02</v>
      </c>
      <c r="L1544">
        <v>24508832</v>
      </c>
      <c r="M1544">
        <v>5216142196223</v>
      </c>
      <c r="N1544" t="str">
        <v>NUEVO MAYOR</v>
      </c>
      <c r="O1544">
        <v>9760.32</v>
      </c>
      <c r="P1544" t="str">
        <v/>
      </c>
      <c r="Q1544">
        <v>2928.096</v>
      </c>
      <c r="R1544">
        <v>2928.096</v>
      </c>
      <c r="S1544" t="str">
        <v/>
      </c>
      <c r="T1544" t="str">
        <v/>
      </c>
      <c r="U1544" t="str">
        <v/>
      </c>
      <c r="V1544" t="str">
        <v>ANA</v>
      </c>
      <c r="W1544">
        <v>46282</v>
      </c>
      <c r="X1544" t="str">
        <v/>
      </c>
    </row>
    <row r="1545" spans="1:24">
      <c r="A1545">
        <v>3159</v>
      </c>
      <c r="B1545">
        <v>46281.602962962999</v>
      </c>
      <c r="C1545">
        <v>46281.612974536998</v>
      </c>
      <c r="D1545" t="str">
        <v>anónimo</v>
      </c>
      <c r="E1545" t="str">
        <v/>
      </c>
      <c r="F1545" s="68">
        <v>46281</v>
      </c>
      <c r="G1545">
        <v>46281</v>
      </c>
      <c r="H1545" t="str">
        <v>ROSA CASTRO SUR</v>
      </c>
      <c r="I1545" t="str">
        <v>EFRAIN HERNANDEZ PEREZ</v>
      </c>
      <c r="J1545">
        <v>65695227416</v>
      </c>
      <c r="K1545" t="str">
        <v>HEPE520205HVZRRF04</v>
      </c>
      <c r="L1545">
        <v>24500766</v>
      </c>
      <c r="M1545">
        <v>5212282364165</v>
      </c>
      <c r="N1545" t="str">
        <v>COMPRA MAYOR</v>
      </c>
      <c r="O1545">
        <v>13932.79</v>
      </c>
      <c r="P1545">
        <v>4025.34</v>
      </c>
      <c r="Q1545">
        <v>4179.8370000000004</v>
      </c>
      <c r="R1545">
        <v>154.4970000000003</v>
      </c>
      <c r="S1545">
        <v>46266</v>
      </c>
      <c r="T1545" t="str">
        <v>INBURSA</v>
      </c>
      <c r="U1545">
        <v>1489</v>
      </c>
      <c r="V1545" t="str">
        <v>ITZEL CARRANZA</v>
      </c>
      <c r="W1545">
        <v>46282</v>
      </c>
      <c r="X1545" t="str">
        <v/>
      </c>
    </row>
    <row r="1546" spans="1:24">
      <c r="A1546">
        <v>3162</v>
      </c>
      <c r="B1546">
        <v>46281.623587962997</v>
      </c>
      <c r="C1546">
        <v>46281.659884259301</v>
      </c>
      <c r="D1546" t="str">
        <v>anónimo</v>
      </c>
      <c r="E1546" t="str">
        <v/>
      </c>
      <c r="F1546" s="68">
        <v>46281</v>
      </c>
      <c r="G1546">
        <v>46280</v>
      </c>
      <c r="H1546" t="str">
        <v>CLAUDIA LAGUNES</v>
      </c>
      <c r="I1546" t="str">
        <v>EFREN MORENO PEREZ</v>
      </c>
      <c r="J1546" t="str">
        <v/>
      </c>
      <c r="K1546" t="str">
        <v>MOPE620625HSLRRF00</v>
      </c>
      <c r="L1546">
        <v>24492356</v>
      </c>
      <c r="M1546">
        <v>6731033249</v>
      </c>
      <c r="N1546" t="str">
        <v>NUEVO MENOR</v>
      </c>
      <c r="O1546">
        <v>7116.73</v>
      </c>
      <c r="P1546">
        <v>1198.94</v>
      </c>
      <c r="Q1546">
        <v>2135.0189999999998</v>
      </c>
      <c r="R1546">
        <v>936.07899999999972</v>
      </c>
      <c r="S1546">
        <v>46539</v>
      </c>
      <c r="T1546" t="str">
        <v>INBURSA</v>
      </c>
      <c r="U1546">
        <v>1198.94</v>
      </c>
      <c r="V1546" t="str">
        <v>HECTOR</v>
      </c>
      <c r="W1546">
        <v>46282</v>
      </c>
      <c r="X1546" t="str">
        <v/>
      </c>
    </row>
    <row r="1547" spans="1:24">
      <c r="A1547">
        <v>3164</v>
      </c>
      <c r="B1547">
        <v>46281.6272453704</v>
      </c>
      <c r="C1547">
        <v>46281.670451388898</v>
      </c>
      <c r="D1547" t="str">
        <v>anónimo</v>
      </c>
      <c r="E1547" t="str">
        <v/>
      </c>
      <c r="F1547" s="68">
        <v>46281</v>
      </c>
      <c r="G1547">
        <v>46281</v>
      </c>
      <c r="H1547" t="str">
        <v>ROSA CASTRO SUR</v>
      </c>
      <c r="I1547" t="str">
        <v>HERMINIO VARGAS HERRERA</v>
      </c>
      <c r="J1547">
        <v>23815902178</v>
      </c>
      <c r="K1547" t="str">
        <v>VAHH590101HCHRRR10</v>
      </c>
      <c r="L1547">
        <v>24506160</v>
      </c>
      <c r="M1547">
        <v>5216145100893</v>
      </c>
      <c r="N1547" t="str">
        <v>COMPRA MENOR</v>
      </c>
      <c r="O1547">
        <v>6261.96</v>
      </c>
      <c r="P1547">
        <v>1806.85</v>
      </c>
      <c r="Q1547">
        <v>1878.588</v>
      </c>
      <c r="R1547">
        <v>71.738000000000056</v>
      </c>
      <c r="S1547">
        <v>46204</v>
      </c>
      <c r="T1547" t="str">
        <v>BANCREA</v>
      </c>
      <c r="U1547">
        <v>1067.8499999999999</v>
      </c>
      <c r="V1547" t="str">
        <v>HECTOR</v>
      </c>
      <c r="W1547">
        <v>46282</v>
      </c>
      <c r="X1547" t="str">
        <v/>
      </c>
    </row>
    <row r="1548" spans="1:24">
      <c r="A1548">
        <v>3166</v>
      </c>
      <c r="B1548">
        <v>46280.742071759298</v>
      </c>
      <c r="C1548">
        <v>46281.722650463002</v>
      </c>
      <c r="D1548" t="str">
        <v>anónimo</v>
      </c>
      <c r="E1548" t="str">
        <v/>
      </c>
      <c r="F1548" s="68">
        <v>46281</v>
      </c>
      <c r="G1548">
        <v>46280</v>
      </c>
      <c r="H1548" t="str">
        <v>RUTH MARTINEZ SUR</v>
      </c>
      <c r="I1548" t="str">
        <v>FELIPE AGUILAR GARCIA</v>
      </c>
      <c r="J1548" t="str">
        <v>32715413863</v>
      </c>
      <c r="K1548" t="str">
        <v>AUGF550715HCLGRL04</v>
      </c>
      <c r="L1548">
        <v>24491252</v>
      </c>
      <c r="M1548">
        <v>5218661015469</v>
      </c>
      <c r="N1548" t="str">
        <v>COMPRA MAYOR</v>
      </c>
      <c r="O1548">
        <v>23463.16</v>
      </c>
      <c r="P1548">
        <v>7038.15</v>
      </c>
      <c r="Q1548">
        <v>7038.9479999999994</v>
      </c>
      <c r="R1548">
        <v>0.79799999999977445</v>
      </c>
      <c r="S1548">
        <v>46266</v>
      </c>
      <c r="T1548" t="str">
        <v>GFI APOYO</v>
      </c>
      <c r="U1548">
        <v>1412.88</v>
      </c>
      <c r="V1548" t="str">
        <v>FERNANDA</v>
      </c>
      <c r="W1548">
        <v>46282</v>
      </c>
      <c r="X1548" t="str">
        <v/>
      </c>
    </row>
    <row r="1549" spans="1:24">
      <c r="A1549">
        <v>3168</v>
      </c>
      <c r="B1549">
        <v>46281.725983796299</v>
      </c>
      <c r="C1549">
        <v>46281.729097222204</v>
      </c>
      <c r="D1549" t="str">
        <v>anónimo</v>
      </c>
      <c r="E1549" t="str">
        <v/>
      </c>
      <c r="F1549" s="68">
        <v>46281</v>
      </c>
      <c r="G1549">
        <v>46280</v>
      </c>
      <c r="H1549" t="str">
        <v>RUTH MARTINEZ SUR</v>
      </c>
      <c r="I1549" t="str">
        <v>JUAN FELIX ORTEGA RODRIGUEZ</v>
      </c>
      <c r="J1549" t="str">
        <v>01886205309</v>
      </c>
      <c r="K1549" t="str">
        <v>OERJ620624HDFRDN09</v>
      </c>
      <c r="L1549">
        <v>24492772</v>
      </c>
      <c r="M1549">
        <v>5217491065607</v>
      </c>
      <c r="N1549" t="str">
        <v>NUEVO MAYOR</v>
      </c>
      <c r="O1549">
        <v>8346.31</v>
      </c>
      <c r="P1549" t="str">
        <v/>
      </c>
      <c r="Q1549">
        <v>2503.8929999999996</v>
      </c>
      <c r="R1549">
        <v>2503.8929999999996</v>
      </c>
      <c r="S1549" t="str">
        <v/>
      </c>
      <c r="T1549" t="str">
        <v/>
      </c>
      <c r="U1549" t="str">
        <v/>
      </c>
      <c r="V1549" t="str">
        <v>PAOLA</v>
      </c>
      <c r="W1549">
        <v>46282</v>
      </c>
      <c r="X1549" t="str">
        <v/>
      </c>
    </row>
    <row r="1550" spans="1:24">
      <c r="A1550">
        <v>3169</v>
      </c>
      <c r="B1550">
        <v>46281.729120370401</v>
      </c>
      <c r="C1550">
        <v>46281.731608796297</v>
      </c>
      <c r="D1550" t="str">
        <v>anónimo</v>
      </c>
      <c r="E1550" t="str">
        <v/>
      </c>
      <c r="F1550" s="68">
        <v>46281</v>
      </c>
      <c r="G1550">
        <v>46281</v>
      </c>
      <c r="H1550" t="str">
        <v>RUTH MARTINEZ SUR</v>
      </c>
      <c r="I1550" t="str">
        <v>FELIX CORTEZ MEDRANO</v>
      </c>
      <c r="J1550" t="str">
        <v>16826600492</v>
      </c>
      <c r="K1550" t="str">
        <v>COMF660301HMCRDL01</v>
      </c>
      <c r="L1550">
        <v>24507444</v>
      </c>
      <c r="M1550">
        <v>5217208496312</v>
      </c>
      <c r="N1550" t="str">
        <v>NUEVO MAYOR</v>
      </c>
      <c r="O1550">
        <v>10636.54</v>
      </c>
      <c r="P1550" t="str">
        <v/>
      </c>
      <c r="Q1550">
        <v>3190.962</v>
      </c>
      <c r="R1550">
        <v>3190.962</v>
      </c>
      <c r="S1550" t="str">
        <v/>
      </c>
      <c r="T1550" t="str">
        <v/>
      </c>
      <c r="U1550" t="str">
        <v/>
      </c>
      <c r="V1550" t="str">
        <v>MIRIAM</v>
      </c>
      <c r="W1550">
        <v>46282</v>
      </c>
      <c r="X1550" t="str">
        <v/>
      </c>
    </row>
    <row r="1551" spans="1:24">
      <c r="A1551">
        <v>3185</v>
      </c>
      <c r="B1551">
        <v>46282.408391203702</v>
      </c>
      <c r="C1551">
        <v>46282.411157407398</v>
      </c>
      <c r="D1551" t="str">
        <v>anónimo</v>
      </c>
      <c r="E1551" t="str">
        <v/>
      </c>
      <c r="F1551" s="68">
        <v>46282</v>
      </c>
      <c r="G1551">
        <v>46281</v>
      </c>
      <c r="H1551" t="str">
        <v>KATE MALPICA</v>
      </c>
      <c r="I1551" t="str">
        <v/>
      </c>
      <c r="J1551">
        <v>55815701614</v>
      </c>
      <c r="K1551" t="str">
        <v/>
      </c>
      <c r="L1551">
        <v>24514518</v>
      </c>
      <c r="M1551">
        <v>3222322925</v>
      </c>
      <c r="N1551" t="str">
        <v>COMPRA MENOR</v>
      </c>
      <c r="O1551">
        <v>4342.43</v>
      </c>
      <c r="P1551">
        <v>355.85</v>
      </c>
      <c r="Q1551">
        <v>1302.729</v>
      </c>
      <c r="R1551">
        <v>-186.3999999999993</v>
      </c>
      <c r="S1551">
        <v>45352</v>
      </c>
      <c r="T1551" t="str">
        <v>DIMEX</v>
      </c>
      <c r="U1551">
        <v>355.85</v>
      </c>
      <c r="V1551" t="str">
        <v>HECTOR</v>
      </c>
      <c r="W1551">
        <v>46282</v>
      </c>
      <c r="X1551" t="str">
        <v/>
      </c>
    </row>
    <row r="1552" spans="1:24">
      <c r="A1552">
        <v>3187</v>
      </c>
      <c r="B1552">
        <v>46282.423275462999</v>
      </c>
      <c r="C1552">
        <v>46282.4241666667</v>
      </c>
      <c r="D1552" t="str">
        <v>anónimo</v>
      </c>
      <c r="E1552" t="str">
        <v/>
      </c>
      <c r="F1552" s="68">
        <v>46282</v>
      </c>
      <c r="G1552">
        <v>46281</v>
      </c>
      <c r="H1552" t="str">
        <v>BEATRIZ DE LA CRUZ</v>
      </c>
      <c r="I1552" t="str">
        <v>HONORIO ALCANTARA PINEDA</v>
      </c>
      <c r="J1552" t="str">
        <v/>
      </c>
      <c r="K1552" t="str">
        <v>AAPH601028HCMLNN03</v>
      </c>
      <c r="L1552">
        <v>24532874</v>
      </c>
      <c r="M1552">
        <v>3411065844</v>
      </c>
      <c r="N1552" t="str">
        <v>NUEVO MAYOR</v>
      </c>
      <c r="O1552">
        <v>9760.32</v>
      </c>
      <c r="P1552" t="str">
        <v/>
      </c>
      <c r="Q1552">
        <v>2928.096</v>
      </c>
      <c r="R1552">
        <v>2928.096</v>
      </c>
      <c r="S1552" t="str">
        <v/>
      </c>
      <c r="T1552" t="str">
        <v/>
      </c>
      <c r="U1552" t="str">
        <v/>
      </c>
      <c r="V1552" t="str">
        <v>ITZELH</v>
      </c>
      <c r="W1552">
        <v>46282</v>
      </c>
      <c r="X1552" t="str">
        <v/>
      </c>
    </row>
    <row r="1553" spans="1:24">
      <c r="A1553">
        <v>3190</v>
      </c>
      <c r="B1553">
        <v>46282.465601851902</v>
      </c>
      <c r="C1553">
        <v>46282.466585648101</v>
      </c>
      <c r="D1553" t="str">
        <v>anónimo</v>
      </c>
      <c r="E1553" t="str">
        <v/>
      </c>
      <c r="F1553" s="68">
        <v>46282</v>
      </c>
      <c r="G1553">
        <v>46281</v>
      </c>
      <c r="H1553" t="str">
        <v>BEATRIZ DE LA CRUZ</v>
      </c>
      <c r="I1553" t="str">
        <v>JOSE MARIA GRANIEL Y ZALDIVAR</v>
      </c>
      <c r="J1553">
        <v>84745505556</v>
      </c>
      <c r="K1553" t="str">
        <v>GAZM550206HYNRLR08</v>
      </c>
      <c r="L1553">
        <v>24496764</v>
      </c>
      <c r="M1553">
        <v>9991524991</v>
      </c>
      <c r="N1553" t="str">
        <v>COMPRA MAYOR</v>
      </c>
      <c r="O1553">
        <v>17409.240000000002</v>
      </c>
      <c r="P1553">
        <v>5035.3</v>
      </c>
      <c r="Q1553">
        <v>5222.7719999999999</v>
      </c>
      <c r="R1553">
        <v>187.47199999999975</v>
      </c>
      <c r="S1553">
        <v>45901</v>
      </c>
      <c r="T1553" t="str">
        <v>DIMEX</v>
      </c>
      <c r="U1553">
        <v>4617.3500000000004</v>
      </c>
      <c r="V1553" t="str">
        <v>MAGALI</v>
      </c>
      <c r="W1553">
        <v>46282</v>
      </c>
      <c r="X1553" t="str">
        <v/>
      </c>
    </row>
    <row r="1554" spans="1:24">
      <c r="A1554">
        <v>3198</v>
      </c>
      <c r="B1554">
        <v>46282.4891319444</v>
      </c>
      <c r="C1554">
        <v>46282.497499999998</v>
      </c>
      <c r="D1554" t="str">
        <v>anónimo</v>
      </c>
      <c r="E1554" t="str">
        <v/>
      </c>
      <c r="F1554" s="68">
        <v>46282</v>
      </c>
      <c r="G1554">
        <v>46282</v>
      </c>
      <c r="H1554" t="str">
        <v>ROSA CASTRO SUR</v>
      </c>
      <c r="I1554" t="str">
        <v xml:space="preserve">MARCIAL AQUINO HERNANDEZ </v>
      </c>
      <c r="J1554" t="str">
        <v/>
      </c>
      <c r="K1554" t="str">
        <v>AUHM610703HOCQRR06</v>
      </c>
      <c r="L1554">
        <v>24548536</v>
      </c>
      <c r="M1554">
        <v>5219515879283</v>
      </c>
      <c r="N1554" t="str">
        <v>NUEVO MENOR</v>
      </c>
      <c r="O1554">
        <v>5260.82</v>
      </c>
      <c r="P1554" t="str">
        <v/>
      </c>
      <c r="Q1554">
        <v>1578.2459999999999</v>
      </c>
      <c r="R1554">
        <v>1087.8400000000001</v>
      </c>
      <c r="S1554" t="str">
        <v/>
      </c>
      <c r="T1554" t="str">
        <v/>
      </c>
      <c r="U1554" t="str">
        <v/>
      </c>
      <c r="V1554" t="str">
        <v>HECTOR</v>
      </c>
      <c r="W1554">
        <v>46282</v>
      </c>
      <c r="X1554" t="str">
        <v/>
      </c>
    </row>
    <row r="1555" spans="1:24">
      <c r="A1555">
        <v>3201</v>
      </c>
      <c r="B1555">
        <v>46282.518599536997</v>
      </c>
      <c r="C1555">
        <v>46282.519826388903</v>
      </c>
      <c r="D1555" t="str">
        <v>anónimo</v>
      </c>
      <c r="E1555" t="str">
        <v/>
      </c>
      <c r="F1555" s="68">
        <v>46282</v>
      </c>
      <c r="G1555">
        <v>46282</v>
      </c>
      <c r="H1555" t="str">
        <v>GIOVANNI MELGAR</v>
      </c>
      <c r="I1555" t="str">
        <v>MISAEL PACHUCA GARCIA</v>
      </c>
      <c r="J1555" t="str">
        <v>32876125181</v>
      </c>
      <c r="K1555" t="str">
        <v>PAGM610108HCLCRS01</v>
      </c>
      <c r="L1555">
        <v>24552002</v>
      </c>
      <c r="M1555">
        <v>5218444982859</v>
      </c>
      <c r="N1555" t="str">
        <v>NUEVO MAYOR</v>
      </c>
      <c r="O1555">
        <v>6262.86</v>
      </c>
      <c r="P1555" t="str">
        <v/>
      </c>
      <c r="Q1555">
        <v>1878.8579999999997</v>
      </c>
      <c r="R1555">
        <v>1878.8579999999997</v>
      </c>
      <c r="S1555" t="str">
        <v/>
      </c>
      <c r="T1555" t="str">
        <v/>
      </c>
      <c r="U1555" t="str">
        <v/>
      </c>
      <c r="V1555" t="str">
        <v>EDNA</v>
      </c>
      <c r="W1555">
        <v>46282</v>
      </c>
      <c r="X1555" t="str">
        <v/>
      </c>
    </row>
    <row r="1556" spans="1:24">
      <c r="A1556">
        <v>3202</v>
      </c>
      <c r="B1556">
        <v>46282.511307870402</v>
      </c>
      <c r="C1556">
        <v>46282.525277777801</v>
      </c>
      <c r="D1556" t="str">
        <v>anónimo</v>
      </c>
      <c r="E1556" t="str">
        <v/>
      </c>
      <c r="F1556" s="68">
        <v>46282</v>
      </c>
      <c r="G1556">
        <v>46282</v>
      </c>
      <c r="H1556" t="str">
        <v>LILIANA MARTINEZ SUR</v>
      </c>
      <c r="I1556" t="str">
        <v>LUIS HERNANDEZ BERNAL</v>
      </c>
      <c r="J1556">
        <v>72826450222</v>
      </c>
      <c r="K1556" t="str">
        <v>HEBL641102HGRRRS03</v>
      </c>
      <c r="L1556">
        <v>24550038</v>
      </c>
      <c r="M1556">
        <v>5213221350020</v>
      </c>
      <c r="N1556" t="str">
        <v>NUEVO MAYOR</v>
      </c>
      <c r="O1556">
        <v>9760.32</v>
      </c>
      <c r="P1556">
        <v>879</v>
      </c>
      <c r="Q1556">
        <v>2928.096</v>
      </c>
      <c r="R1556">
        <v>2049.096</v>
      </c>
      <c r="S1556" t="str">
        <v/>
      </c>
      <c r="T1556" t="str">
        <v/>
      </c>
      <c r="U1556" t="str">
        <v/>
      </c>
      <c r="V1556" t="str">
        <v>MARISOL</v>
      </c>
      <c r="W1556">
        <v>46282</v>
      </c>
      <c r="X1556" t="str">
        <v/>
      </c>
    </row>
    <row r="1557" spans="1:24">
      <c r="A1557">
        <v>3203</v>
      </c>
      <c r="B1557">
        <v>46282.510798611103</v>
      </c>
      <c r="C1557">
        <v>46282.525543981501</v>
      </c>
      <c r="D1557" t="str">
        <v>anónimo</v>
      </c>
      <c r="E1557" t="str">
        <v/>
      </c>
      <c r="F1557" s="68">
        <v>46282</v>
      </c>
      <c r="G1557">
        <v>46282</v>
      </c>
      <c r="H1557" t="str">
        <v>ROSA CASTRO SUR</v>
      </c>
      <c r="I1557" t="str">
        <v xml:space="preserve">SANTIAGO GONZALEZ HERNANDEZ  </v>
      </c>
      <c r="J1557" t="str">
        <v/>
      </c>
      <c r="K1557" t="str">
        <v xml:space="preserve">GOHS640725HDFNRN09 </v>
      </c>
      <c r="L1557">
        <v>24549898</v>
      </c>
      <c r="M1557">
        <v>5215572254660</v>
      </c>
      <c r="N1557" t="str">
        <v>COMPRA MAYOR</v>
      </c>
      <c r="O1557">
        <v>9081.52</v>
      </c>
      <c r="P1557">
        <v>2515.1</v>
      </c>
      <c r="Q1557">
        <v>2724.4560000000001</v>
      </c>
      <c r="R1557">
        <v>209.35600000000022</v>
      </c>
      <c r="S1557">
        <v>46266</v>
      </c>
      <c r="T1557" t="str">
        <v>PROFUTURO</v>
      </c>
      <c r="U1557">
        <v>2515.1</v>
      </c>
      <c r="V1557" t="str">
        <v>MAGALI</v>
      </c>
      <c r="W1557">
        <v>46282</v>
      </c>
      <c r="X1557" t="str">
        <v/>
      </c>
    </row>
    <row r="1558" spans="1:24">
      <c r="A1558">
        <v>3204</v>
      </c>
      <c r="B1558">
        <v>46282.424710648098</v>
      </c>
      <c r="C1558">
        <v>46282.543576388904</v>
      </c>
      <c r="D1558" t="str">
        <v>anónimo</v>
      </c>
      <c r="E1558" t="str">
        <v/>
      </c>
      <c r="F1558" s="68">
        <v>46282</v>
      </c>
      <c r="G1558">
        <v>46282</v>
      </c>
      <c r="H1558" t="str">
        <v>YAMILETH CARDONA EXT 2</v>
      </c>
      <c r="I1558" t="str">
        <v>GUILLERMO ALVAREZ ROMERO</v>
      </c>
      <c r="J1558">
        <v>43866624448</v>
      </c>
      <c r="K1558" t="str">
        <v>AARG660726HMNLML05</v>
      </c>
      <c r="L1558">
        <v>2</v>
      </c>
      <c r="M1558" t="str">
        <v>56 1015 3501</v>
      </c>
      <c r="N1558" t="str">
        <v>NUEVO MAYOR</v>
      </c>
      <c r="O1558">
        <v>10636.599999999999</v>
      </c>
      <c r="P1558" t="str">
        <v/>
      </c>
      <c r="Q1558">
        <v>3190.9799999999996</v>
      </c>
      <c r="R1558">
        <v>3190.9799999999996</v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</row>
    <row r="1559" spans="1:24">
      <c r="A1559">
        <v>3206</v>
      </c>
      <c r="B1559">
        <v>46282.566087963001</v>
      </c>
      <c r="C1559">
        <v>46282.566979166702</v>
      </c>
      <c r="D1559" t="str">
        <v>anónimo</v>
      </c>
      <c r="E1559" t="str">
        <v/>
      </c>
      <c r="F1559" s="68">
        <v>46282</v>
      </c>
      <c r="G1559">
        <v>46271</v>
      </c>
      <c r="H1559" t="str">
        <v>BEATRIZ DE LA CRUZ</v>
      </c>
      <c r="I1559" t="str">
        <v>ALBERTO MORENO JUNQUERA</v>
      </c>
      <c r="J1559" t="str">
        <v/>
      </c>
      <c r="K1559" t="str">
        <v>MOJA550313HDFRNL08</v>
      </c>
      <c r="L1559">
        <v>24280566</v>
      </c>
      <c r="M1559">
        <v>5576947140</v>
      </c>
      <c r="N1559" t="str">
        <v>COMPRA MENOR</v>
      </c>
      <c r="O1559">
        <v>20796.63</v>
      </c>
      <c r="P1559">
        <v>6016.96</v>
      </c>
      <c r="Q1559">
        <v>6238.9890000000005</v>
      </c>
      <c r="R1559">
        <v>222.02900000000045</v>
      </c>
      <c r="S1559">
        <v>45778</v>
      </c>
      <c r="T1559" t="str">
        <v>PROFUTURO</v>
      </c>
      <c r="U1559">
        <v>400</v>
      </c>
      <c r="V1559" t="str">
        <v>HECTOR</v>
      </c>
      <c r="W1559">
        <v>46282</v>
      </c>
      <c r="X1559" t="str">
        <v/>
      </c>
    </row>
    <row r="1560" spans="1:24">
      <c r="A1560">
        <v>3210</v>
      </c>
      <c r="B1560">
        <v>46280.5886805556</v>
      </c>
      <c r="C1560">
        <v>46282.585104166697</v>
      </c>
      <c r="D1560" t="str">
        <v>anónimo</v>
      </c>
      <c r="E1560" t="str">
        <v/>
      </c>
      <c r="F1560" s="68">
        <v>46282</v>
      </c>
      <c r="G1560">
        <v>46282</v>
      </c>
      <c r="H1560" t="str">
        <v>LUZ BANDA</v>
      </c>
      <c r="I1560" t="str">
        <v>Hugo Romero Lopez</v>
      </c>
      <c r="J1560">
        <v>6580610024</v>
      </c>
      <c r="K1560" t="str">
        <v>ROLH610607HVZMPG06</v>
      </c>
      <c r="L1560">
        <v>24551744</v>
      </c>
      <c r="M1560">
        <v>2297230617</v>
      </c>
      <c r="N1560" t="str">
        <v>COMPRA MENOR</v>
      </c>
      <c r="O1560">
        <v>7062.68</v>
      </c>
      <c r="P1560">
        <v>2043</v>
      </c>
      <c r="Q1560">
        <v>2118.8040000000001</v>
      </c>
      <c r="R1560">
        <v>75.804000000000087</v>
      </c>
      <c r="S1560">
        <v>46204</v>
      </c>
      <c r="T1560" t="str">
        <v>DIMEX</v>
      </c>
      <c r="U1560">
        <v>1128</v>
      </c>
      <c r="V1560" t="str">
        <v>HANIA</v>
      </c>
      <c r="W1560">
        <v>46282</v>
      </c>
      <c r="X1560" t="str">
        <v/>
      </c>
    </row>
    <row r="1561" spans="1:24">
      <c r="A1561">
        <v>3211</v>
      </c>
      <c r="B1561">
        <v>46282.583796296298</v>
      </c>
      <c r="C1561">
        <v>46282.5863888889</v>
      </c>
      <c r="D1561" t="str">
        <v>anónimo</v>
      </c>
      <c r="E1561" t="str">
        <v/>
      </c>
      <c r="F1561" s="68">
        <v>46282</v>
      </c>
      <c r="G1561">
        <v>46282</v>
      </c>
      <c r="H1561" t="str">
        <v>JAEL RUIZ</v>
      </c>
      <c r="I1561" t="str">
        <v>AURORA MENDOZA SABORI</v>
      </c>
      <c r="J1561">
        <v>24956325450</v>
      </c>
      <c r="K1561" t="str">
        <v/>
      </c>
      <c r="L1561">
        <v>24552364</v>
      </c>
      <c r="M1561">
        <v>6622982918</v>
      </c>
      <c r="N1561" t="str">
        <v>COMPRA MAYOR</v>
      </c>
      <c r="O1561">
        <v>9081.52</v>
      </c>
      <c r="P1561">
        <v>2521.35</v>
      </c>
      <c r="Q1561">
        <v>2724.4560000000001</v>
      </c>
      <c r="R1561">
        <v>203.10600000000022</v>
      </c>
      <c r="S1561">
        <v>46266</v>
      </c>
      <c r="T1561" t="str">
        <v>PROFUTURO</v>
      </c>
      <c r="U1561">
        <v>2521.35</v>
      </c>
      <c r="V1561" t="str">
        <v>ITZEL CARRANZA</v>
      </c>
      <c r="W1561">
        <v>46282</v>
      </c>
      <c r="X1561" t="str">
        <v/>
      </c>
    </row>
    <row r="1562" spans="1:24">
      <c r="A1562">
        <v>3212</v>
      </c>
      <c r="B1562">
        <v>46282.586412037002</v>
      </c>
      <c r="C1562">
        <v>46282.593043981498</v>
      </c>
      <c r="D1562" t="str">
        <v>anónimo</v>
      </c>
      <c r="E1562" t="str">
        <v/>
      </c>
      <c r="F1562" s="68">
        <v>46282</v>
      </c>
      <c r="G1562">
        <v>46282</v>
      </c>
      <c r="H1562" t="str">
        <v>JAEL RUIZ</v>
      </c>
      <c r="I1562" t="str">
        <v>AURORA DEL CARMEN OCHOA MEJIA</v>
      </c>
      <c r="J1562" t="str">
        <v/>
      </c>
      <c r="K1562" t="str">
        <v>OOMA621117MCLCJR01</v>
      </c>
      <c r="L1562">
        <v>24554254</v>
      </c>
      <c r="M1562">
        <v>8713274358</v>
      </c>
      <c r="N1562" t="str">
        <v>NUEVO MAYOR</v>
      </c>
      <c r="O1562">
        <v>9081.52</v>
      </c>
      <c r="P1562">
        <v>879</v>
      </c>
      <c r="Q1562">
        <v>2724.4560000000001</v>
      </c>
      <c r="R1562">
        <v>1845.4560000000001</v>
      </c>
      <c r="S1562" t="str">
        <v/>
      </c>
      <c r="T1562" t="str">
        <v/>
      </c>
      <c r="U1562" t="str">
        <v/>
      </c>
      <c r="V1562" t="str">
        <v>GLORIA</v>
      </c>
      <c r="W1562">
        <v>46282</v>
      </c>
      <c r="X1562" t="str">
        <v/>
      </c>
    </row>
    <row r="1563" spans="1:24">
      <c r="A1563">
        <v>3215</v>
      </c>
      <c r="B1563">
        <v>46282.598576388897</v>
      </c>
      <c r="C1563">
        <v>46282.599571759303</v>
      </c>
      <c r="D1563" t="str">
        <v>anónimo</v>
      </c>
      <c r="E1563" t="str">
        <v/>
      </c>
      <c r="F1563" s="68">
        <v>46282</v>
      </c>
      <c r="G1563">
        <v>46282</v>
      </c>
      <c r="H1563" t="str">
        <v>GIOVANNI MELGAR</v>
      </c>
      <c r="I1563" t="str">
        <v>MARIA ESPERANZA LOPEZ ALVAREZ</v>
      </c>
      <c r="J1563" t="str">
        <v>23744902083</v>
      </c>
      <c r="K1563" t="str">
        <v>LOAE690801MCHPLS06</v>
      </c>
      <c r="L1563">
        <v>24510454</v>
      </c>
      <c r="M1563">
        <v>5216676991645</v>
      </c>
      <c r="N1563" t="str">
        <v>NUEVO MAYOR</v>
      </c>
      <c r="O1563">
        <v>5617.64</v>
      </c>
      <c r="P1563" t="str">
        <v/>
      </c>
      <c r="Q1563">
        <v>1685.2920000000001</v>
      </c>
      <c r="R1563">
        <v>1444.6600000000008</v>
      </c>
      <c r="S1563" t="str">
        <v/>
      </c>
      <c r="T1563" t="str">
        <v/>
      </c>
      <c r="U1563" t="str">
        <v/>
      </c>
      <c r="V1563" t="str">
        <v>EDNA</v>
      </c>
      <c r="W1563">
        <v>46282</v>
      </c>
      <c r="X1563" t="str">
        <v/>
      </c>
    </row>
    <row r="1564" spans="1:24">
      <c r="A1564">
        <v>3218</v>
      </c>
      <c r="B1564">
        <v>46282.614780092597</v>
      </c>
      <c r="C1564">
        <v>46282.617164351803</v>
      </c>
      <c r="D1564" t="str">
        <v>anónimo</v>
      </c>
      <c r="E1564" t="str">
        <v/>
      </c>
      <c r="F1564" s="68">
        <v>46282</v>
      </c>
      <c r="G1564">
        <v>46282</v>
      </c>
      <c r="H1564" t="str">
        <v>GIOVANNI MELGAR</v>
      </c>
      <c r="I1564" t="str">
        <v>JULIO ROSALES CASAS</v>
      </c>
      <c r="J1564" t="str">
        <v/>
      </c>
      <c r="K1564" t="str">
        <v>ROCJ650412HZSSSL07</v>
      </c>
      <c r="L1564">
        <v>24552596</v>
      </c>
      <c r="M1564">
        <v>5214921744450</v>
      </c>
      <c r="N1564" t="str">
        <v>NUEVO MAYOR</v>
      </c>
      <c r="O1564">
        <v>9760.32</v>
      </c>
      <c r="P1564" t="str">
        <v/>
      </c>
      <c r="Q1564">
        <v>2928.096</v>
      </c>
      <c r="R1564">
        <v>2928.096</v>
      </c>
      <c r="S1564" t="str">
        <v/>
      </c>
      <c r="T1564" t="str">
        <v/>
      </c>
      <c r="U1564" t="str">
        <v/>
      </c>
      <c r="V1564" t="str">
        <v>MARISOL</v>
      </c>
      <c r="W1564">
        <v>46282</v>
      </c>
      <c r="X1564" t="str">
        <v/>
      </c>
    </row>
    <row r="1565" spans="1:24">
      <c r="A1565">
        <v>3219</v>
      </c>
      <c r="B1565">
        <v>46282.621701388904</v>
      </c>
      <c r="C1565">
        <v>46282.624259259297</v>
      </c>
      <c r="D1565" t="str">
        <v>anónimo</v>
      </c>
      <c r="E1565" t="str">
        <v/>
      </c>
      <c r="F1565" s="68">
        <v>46282</v>
      </c>
      <c r="G1565">
        <v>46282</v>
      </c>
      <c r="H1565" t="str">
        <v>BEATRIZ DE LA CRUZ</v>
      </c>
      <c r="I1565" t="str">
        <v/>
      </c>
      <c r="J1565">
        <v>32816611373</v>
      </c>
      <c r="K1565" t="str">
        <v/>
      </c>
      <c r="L1565">
        <v>24547718</v>
      </c>
      <c r="M1565">
        <v>32816611373</v>
      </c>
      <c r="N1565" t="str">
        <v>NUEVO MAYOR</v>
      </c>
      <c r="O1565">
        <v>10636.54</v>
      </c>
      <c r="P1565">
        <v>879</v>
      </c>
      <c r="Q1565">
        <v>3190.962</v>
      </c>
      <c r="R1565">
        <v>2311.962</v>
      </c>
      <c r="S1565" t="str">
        <v/>
      </c>
      <c r="T1565" t="str">
        <v/>
      </c>
      <c r="U1565" t="str">
        <v/>
      </c>
      <c r="V1565" t="str">
        <v>ANDRE</v>
      </c>
      <c r="W1565">
        <v>46282</v>
      </c>
      <c r="X1565" t="str">
        <v/>
      </c>
    </row>
    <row r="1566" spans="1:24">
      <c r="A1566">
        <v>3220</v>
      </c>
      <c r="B1566">
        <v>46282.6343865741</v>
      </c>
      <c r="C1566">
        <v>46282.640462962998</v>
      </c>
      <c r="D1566" t="str">
        <v>anónimo</v>
      </c>
      <c r="E1566" t="str">
        <v/>
      </c>
      <c r="F1566" s="68">
        <v>46282</v>
      </c>
      <c r="G1566">
        <v>46282</v>
      </c>
      <c r="H1566" t="str">
        <v>LILIANA MARTINEZ SUR</v>
      </c>
      <c r="I1566" t="str">
        <v>ERNESTO TRINIDAD DAVILA</v>
      </c>
      <c r="J1566">
        <v>30876309532</v>
      </c>
      <c r="K1566" t="str">
        <v>TIDE630828HDFRVR04</v>
      </c>
      <c r="L1566">
        <v>24552776</v>
      </c>
      <c r="M1566">
        <v>5215521116827</v>
      </c>
      <c r="N1566" t="str">
        <v>NUEVO MAYOR</v>
      </c>
      <c r="O1566">
        <v>10636.54</v>
      </c>
      <c r="P1566" t="str">
        <v/>
      </c>
      <c r="Q1566">
        <v>3190.962</v>
      </c>
      <c r="R1566">
        <v>3190.962</v>
      </c>
      <c r="S1566" t="str">
        <v/>
      </c>
      <c r="T1566" t="str">
        <v/>
      </c>
      <c r="U1566" t="str">
        <v/>
      </c>
      <c r="V1566" t="str">
        <v xml:space="preserve">LIDIA </v>
      </c>
      <c r="W1566">
        <v>46282</v>
      </c>
      <c r="X1566" t="str">
        <v/>
      </c>
    </row>
    <row r="1567" spans="1:24">
      <c r="A1567">
        <v>3221</v>
      </c>
      <c r="B1567">
        <v>46282.640844907401</v>
      </c>
      <c r="C1567">
        <v>46282.644444444399</v>
      </c>
      <c r="D1567" t="str">
        <v>anónimo</v>
      </c>
      <c r="E1567" t="str">
        <v/>
      </c>
      <c r="F1567" s="68">
        <v>46282</v>
      </c>
      <c r="G1567">
        <v>46282</v>
      </c>
      <c r="H1567" t="str">
        <v>LUZ BANDA</v>
      </c>
      <c r="I1567" t="str">
        <v xml:space="preserve">JOSE EMILIO GOMEZ URIBE </v>
      </c>
      <c r="J1567">
        <v>8482660286</v>
      </c>
      <c r="K1567" t="str">
        <v/>
      </c>
      <c r="L1567">
        <v>24554820</v>
      </c>
      <c r="M1567">
        <v>9991587394</v>
      </c>
      <c r="N1567" t="str">
        <v>NUEVO MENOR</v>
      </c>
      <c r="O1567">
        <v>10636.54</v>
      </c>
      <c r="P1567">
        <v>2600.0100000000002</v>
      </c>
      <c r="Q1567">
        <v>3190.962</v>
      </c>
      <c r="R1567">
        <v>590.95199999999977</v>
      </c>
      <c r="S1567">
        <v>46905</v>
      </c>
      <c r="T1567" t="str">
        <v>DIMEX</v>
      </c>
      <c r="U1567">
        <v>2600.0100000000002</v>
      </c>
      <c r="V1567" t="str">
        <v>HANIA</v>
      </c>
      <c r="W1567">
        <v>46282</v>
      </c>
      <c r="X1567" t="str">
        <v/>
      </c>
    </row>
    <row r="1568" spans="1:24">
      <c r="A1568">
        <v>3229</v>
      </c>
      <c r="B1568">
        <v>46282.700856481497</v>
      </c>
      <c r="C1568">
        <v>46282.701273148203</v>
      </c>
      <c r="D1568" t="str">
        <v>anónimo</v>
      </c>
      <c r="E1568" t="str">
        <v/>
      </c>
      <c r="F1568" s="68">
        <v>46282</v>
      </c>
      <c r="G1568">
        <v>46282</v>
      </c>
      <c r="H1568" t="str">
        <v>BEATRIZ DE LA CRUZ</v>
      </c>
      <c r="I1568" t="str">
        <v>MARIO CANO</v>
      </c>
      <c r="J1568" t="str">
        <v/>
      </c>
      <c r="K1568" t="str">
        <v>CAXM600726HVZNXR04</v>
      </c>
      <c r="L1568">
        <v>24552270</v>
      </c>
      <c r="M1568">
        <v>2971042454</v>
      </c>
      <c r="N1568" t="str">
        <v>RESTRINGIDA</v>
      </c>
      <c r="O1568">
        <v>9081.52</v>
      </c>
      <c r="P1568">
        <v>2514.25</v>
      </c>
      <c r="Q1568">
        <v>2724.4560000000001</v>
      </c>
      <c r="R1568">
        <v>210.20600000000013</v>
      </c>
      <c r="S1568">
        <v>46266</v>
      </c>
      <c r="T1568" t="str">
        <v>CONSUBANCO</v>
      </c>
      <c r="U1568">
        <v>2514.25</v>
      </c>
      <c r="V1568" t="str">
        <v>DANIELLY</v>
      </c>
      <c r="W1568">
        <v>46282</v>
      </c>
      <c r="X1568" t="str">
        <v/>
      </c>
    </row>
    <row r="1569" spans="1:24">
      <c r="A1569">
        <v>3232</v>
      </c>
      <c r="B1569">
        <v>46282.525567129604</v>
      </c>
      <c r="C1569">
        <v>46282.710925925901</v>
      </c>
      <c r="D1569" t="str">
        <v>anónimo</v>
      </c>
      <c r="E1569" t="str">
        <v/>
      </c>
      <c r="F1569" s="68">
        <v>46282</v>
      </c>
      <c r="G1569">
        <v>46282</v>
      </c>
      <c r="H1569" t="str">
        <v>ROSA CASTRO SUR</v>
      </c>
      <c r="I1569" t="str">
        <v>DANIEL CRUS SALAS</v>
      </c>
      <c r="J1569" t="str">
        <v/>
      </c>
      <c r="K1569" t="str">
        <v>CUSD660425HCSRLN00</v>
      </c>
      <c r="L1569">
        <v>24555554</v>
      </c>
      <c r="M1569">
        <v>5214448658730</v>
      </c>
      <c r="N1569" t="str">
        <v>NUEVO MAYOR</v>
      </c>
      <c r="O1569">
        <v>10636.54</v>
      </c>
      <c r="P1569" t="str">
        <v/>
      </c>
      <c r="Q1569">
        <v>3190.962</v>
      </c>
      <c r="R1569">
        <v>3190.962</v>
      </c>
      <c r="S1569" t="str">
        <v/>
      </c>
      <c r="T1569" t="str">
        <v/>
      </c>
      <c r="U1569" t="str">
        <v/>
      </c>
      <c r="V1569" t="str">
        <v>IRASEMA</v>
      </c>
      <c r="W1569">
        <v>46282</v>
      </c>
      <c r="X1569" t="str">
        <v/>
      </c>
    </row>
    <row r="1570" spans="1:24">
      <c r="A1570">
        <v>3235</v>
      </c>
      <c r="B1570">
        <v>46282.733726851897</v>
      </c>
      <c r="C1570">
        <v>46282.744965277801</v>
      </c>
      <c r="D1570" t="str">
        <v>anónimo</v>
      </c>
      <c r="E1570" t="str">
        <v/>
      </c>
      <c r="F1570" s="68">
        <v>46282</v>
      </c>
      <c r="G1570">
        <v>46282</v>
      </c>
      <c r="H1570" t="str">
        <v>LILIANA MARTINEZ SUR</v>
      </c>
      <c r="I1570" t="str">
        <v>JOSE ANTONIO LOPEZ ESTRADA</v>
      </c>
      <c r="J1570">
        <v>54937743364</v>
      </c>
      <c r="K1570" t="str">
        <v>LOEA770627HJCPSN09</v>
      </c>
      <c r="L1570">
        <v>24555696</v>
      </c>
      <c r="M1570">
        <v>5213412152475</v>
      </c>
      <c r="N1570" t="str">
        <v>NUEVO MENOR</v>
      </c>
      <c r="O1570">
        <v>5642.22</v>
      </c>
      <c r="P1570">
        <v>848</v>
      </c>
      <c r="Q1570">
        <v>1692.6659999999999</v>
      </c>
      <c r="R1570">
        <v>621.24000000000069</v>
      </c>
      <c r="S1570" t="str">
        <v/>
      </c>
      <c r="T1570" t="str">
        <v/>
      </c>
      <c r="U1570" t="str">
        <v/>
      </c>
      <c r="V1570" t="str">
        <v>HANIA</v>
      </c>
      <c r="W1570">
        <v>46282</v>
      </c>
      <c r="X1570" t="str">
        <v/>
      </c>
    </row>
    <row r="1571" spans="1:24">
      <c r="A1571">
        <v>3236</v>
      </c>
      <c r="B1571">
        <v>46282.751458333303</v>
      </c>
      <c r="C1571">
        <v>46282.757280092599</v>
      </c>
      <c r="D1571" t="str">
        <v>anónimo</v>
      </c>
      <c r="E1571" t="str">
        <v/>
      </c>
      <c r="F1571" s="68">
        <v>46282</v>
      </c>
      <c r="G1571">
        <v>46281</v>
      </c>
      <c r="H1571" t="str">
        <v>GUADALUPE CRUZ SUR</v>
      </c>
      <c r="I1571" t="str">
        <v xml:space="preserve">JOSE RUBEN LEON MORALES </v>
      </c>
      <c r="J1571" t="str">
        <v/>
      </c>
      <c r="K1571" t="str">
        <v>LEMR570915HBCNRB02</v>
      </c>
      <c r="L1571">
        <v>24559020</v>
      </c>
      <c r="M1571">
        <v>5216331000622</v>
      </c>
      <c r="N1571" t="str">
        <v>NUEVO MENOR</v>
      </c>
      <c r="O1571">
        <v>4813.6899999999996</v>
      </c>
      <c r="P1571" t="str">
        <v/>
      </c>
      <c r="Q1571">
        <v>1444.1069999999997</v>
      </c>
      <c r="R1571">
        <v>640.71</v>
      </c>
      <c r="S1571" t="str">
        <v/>
      </c>
      <c r="T1571" t="str">
        <v/>
      </c>
      <c r="U1571" t="str">
        <v/>
      </c>
      <c r="V1571" t="str">
        <v>HANIA</v>
      </c>
      <c r="W1571">
        <v>46282</v>
      </c>
      <c r="X1571" t="str">
        <v/>
      </c>
    </row>
    <row r="1572" spans="1:24">
      <c r="A1572">
        <v>3237</v>
      </c>
      <c r="B1572">
        <v>46282.670312499999</v>
      </c>
      <c r="C1572">
        <v>46282.774421296301</v>
      </c>
      <c r="D1572" t="str">
        <v>anónimo</v>
      </c>
      <c r="E1572" t="str">
        <v/>
      </c>
      <c r="F1572" s="68">
        <v>46282</v>
      </c>
      <c r="G1572">
        <v>46281</v>
      </c>
      <c r="H1572" t="str">
        <v>GUADALUPE CRUZ SUR</v>
      </c>
      <c r="I1572" t="str">
        <v>MARIA ROSARIO ZAZUETA MEDINA</v>
      </c>
      <c r="J1572">
        <v>24893101808</v>
      </c>
      <c r="K1572" t="str">
        <v>ZAMR430201MSLZDS00</v>
      </c>
      <c r="L1572">
        <v>24537472</v>
      </c>
      <c r="M1572">
        <v>5216621281150</v>
      </c>
      <c r="N1572" t="str">
        <v>NUEVO MENOR</v>
      </c>
      <c r="O1572">
        <v>5636.59</v>
      </c>
      <c r="P1572">
        <v>879</v>
      </c>
      <c r="Q1572">
        <v>1690.9770000000001</v>
      </c>
      <c r="R1572">
        <v>584.61000000000058</v>
      </c>
      <c r="S1572" t="str">
        <v/>
      </c>
      <c r="T1572" t="str">
        <v/>
      </c>
      <c r="U1572" t="str">
        <v/>
      </c>
      <c r="V1572" t="str">
        <v>DANIELLY</v>
      </c>
      <c r="W1572">
        <v>46282</v>
      </c>
      <c r="X1572" t="str">
        <v/>
      </c>
    </row>
    <row r="1573" spans="1:24">
      <c r="A1573">
        <v>3238</v>
      </c>
      <c r="B1573">
        <v>46283.341886574097</v>
      </c>
      <c r="C1573">
        <v>46283.343495370398</v>
      </c>
      <c r="D1573" t="str">
        <v>anónimo</v>
      </c>
      <c r="E1573" t="str">
        <v/>
      </c>
      <c r="F1573" s="68">
        <v>46283</v>
      </c>
      <c r="G1573">
        <v>46283</v>
      </c>
      <c r="H1573" t="str">
        <v>LIDIA GARZA</v>
      </c>
      <c r="I1573" t="str">
        <v>Juan ignacio gutierrez rubio</v>
      </c>
      <c r="J1573">
        <v>4866223581</v>
      </c>
      <c r="K1573" t="str">
        <v>GURJ620731HJCTBN02</v>
      </c>
      <c r="L1573">
        <v>24283370</v>
      </c>
      <c r="M1573">
        <v>5213411292090</v>
      </c>
      <c r="N1573" t="str">
        <v>NUEVO MAYOR</v>
      </c>
      <c r="O1573">
        <v>10636.54</v>
      </c>
      <c r="P1573" t="str">
        <v/>
      </c>
      <c r="Q1573">
        <v>3190.962</v>
      </c>
      <c r="R1573">
        <v>3190.962</v>
      </c>
      <c r="S1573" t="str">
        <v/>
      </c>
      <c r="T1573" t="str">
        <v/>
      </c>
      <c r="U1573" t="str">
        <v/>
      </c>
      <c r="V1573" t="str">
        <v xml:space="preserve">LIDIA </v>
      </c>
      <c r="W1573">
        <v>46283</v>
      </c>
      <c r="X1573" t="str">
        <v/>
      </c>
    </row>
    <row r="1574" spans="1:24">
      <c r="A1574">
        <v>3242</v>
      </c>
      <c r="B1574">
        <v>46283.429490740702</v>
      </c>
      <c r="C1574">
        <v>46283.430694444403</v>
      </c>
      <c r="D1574" t="str">
        <v>anónimo</v>
      </c>
      <c r="E1574" t="str">
        <v/>
      </c>
      <c r="F1574" s="68">
        <v>46283</v>
      </c>
      <c r="G1574">
        <v>46282</v>
      </c>
      <c r="H1574" t="str">
        <v>GIOVANNI MELGAR</v>
      </c>
      <c r="I1574" t="str">
        <v>YOLANDA DELGADO CORDERO</v>
      </c>
      <c r="J1574" t="str">
        <v/>
      </c>
      <c r="K1574" t="str">
        <v>DECY720425MZSLRL06</v>
      </c>
      <c r="L1574">
        <v>24562834</v>
      </c>
      <c r="M1574">
        <v>5216563049747</v>
      </c>
      <c r="N1574" t="str">
        <v>NUEVO MAYOR</v>
      </c>
      <c r="O1574">
        <v>8181.5500000000011</v>
      </c>
      <c r="P1574" t="str">
        <v/>
      </c>
      <c r="Q1574">
        <v>2454.4650000000001</v>
      </c>
      <c r="R1574">
        <v>2454.4650000000001</v>
      </c>
      <c r="S1574" t="str">
        <v/>
      </c>
      <c r="T1574" t="str">
        <v/>
      </c>
      <c r="U1574" t="str">
        <v/>
      </c>
      <c r="V1574" t="str">
        <v>HANIA</v>
      </c>
      <c r="W1574">
        <v>46283</v>
      </c>
      <c r="X1574" t="str">
        <v/>
      </c>
    </row>
    <row r="1575" spans="1:24">
      <c r="A1575">
        <v>3243</v>
      </c>
      <c r="B1575">
        <v>46283.436469907399</v>
      </c>
      <c r="C1575">
        <v>46283.4370486111</v>
      </c>
      <c r="D1575" t="str">
        <v>anónimo</v>
      </c>
      <c r="E1575" t="str">
        <v/>
      </c>
      <c r="F1575" s="68">
        <v>46283</v>
      </c>
      <c r="G1575">
        <v>46282</v>
      </c>
      <c r="H1575" t="str">
        <v>GIOVANNI MELGAR</v>
      </c>
      <c r="I1575" t="str">
        <v>NORMA ANGELICA GLORIA BARRERA</v>
      </c>
      <c r="J1575" t="str">
        <v/>
      </c>
      <c r="K1575" t="str">
        <v>GOBN640414MCLLRR03</v>
      </c>
      <c r="L1575">
        <v>24558084</v>
      </c>
      <c r="M1575">
        <v>5218666517569</v>
      </c>
      <c r="N1575" t="str">
        <v>NUEVO MAYOR</v>
      </c>
      <c r="O1575">
        <v>10636.54</v>
      </c>
      <c r="P1575" t="str">
        <v/>
      </c>
      <c r="Q1575">
        <v>3190.962</v>
      </c>
      <c r="R1575">
        <v>3190.962</v>
      </c>
      <c r="S1575" t="str">
        <v/>
      </c>
      <c r="T1575" t="str">
        <v/>
      </c>
      <c r="U1575" t="str">
        <v/>
      </c>
      <c r="V1575" t="str">
        <v>PAOLA</v>
      </c>
      <c r="W1575">
        <v>46283</v>
      </c>
      <c r="X1575" t="str">
        <v/>
      </c>
    </row>
    <row r="1576" spans="1:24">
      <c r="A1576">
        <v>3246</v>
      </c>
      <c r="B1576">
        <v>46283.461377314801</v>
      </c>
      <c r="C1576">
        <v>46283.4618402778</v>
      </c>
      <c r="D1576" t="str">
        <v>anónimo</v>
      </c>
      <c r="E1576" t="str">
        <v/>
      </c>
      <c r="F1576" s="68">
        <v>46283</v>
      </c>
      <c r="G1576">
        <v>46283</v>
      </c>
      <c r="H1576" t="str">
        <v>LUZ BANDA</v>
      </c>
      <c r="I1576" t="str">
        <v/>
      </c>
      <c r="J1576">
        <v>31826611001</v>
      </c>
      <c r="K1576" t="str">
        <v/>
      </c>
      <c r="L1576">
        <v>24636432</v>
      </c>
      <c r="M1576">
        <v>8712404121</v>
      </c>
      <c r="N1576" t="str">
        <v>NUEVO MAYOR</v>
      </c>
      <c r="O1576">
        <v>10636.54</v>
      </c>
      <c r="P1576" t="str">
        <v/>
      </c>
      <c r="Q1576">
        <v>3190.962</v>
      </c>
      <c r="R1576">
        <v>3190.962</v>
      </c>
      <c r="S1576" t="str">
        <v/>
      </c>
      <c r="T1576" t="str">
        <v/>
      </c>
      <c r="U1576" t="str">
        <v/>
      </c>
      <c r="V1576" t="str">
        <v>GLORIA</v>
      </c>
      <c r="W1576">
        <v>46283</v>
      </c>
      <c r="X1576" t="str">
        <v/>
      </c>
    </row>
    <row r="1577" spans="1:24">
      <c r="A1577">
        <v>3252</v>
      </c>
      <c r="B1577">
        <v>46283.482048611098</v>
      </c>
      <c r="C1577">
        <v>46283.5053819444</v>
      </c>
      <c r="D1577" t="str">
        <v>anónimo</v>
      </c>
      <c r="E1577" t="str">
        <v/>
      </c>
      <c r="F1577" s="68">
        <v>46283</v>
      </c>
      <c r="G1577">
        <v>46283</v>
      </c>
      <c r="H1577" t="str">
        <v>RUTH MARTINEZ SUR</v>
      </c>
      <c r="I1577" t="str">
        <v xml:space="preserve">LEONEL ALMANZA CISNEROS </v>
      </c>
      <c r="J1577">
        <v>33856641312</v>
      </c>
      <c r="K1577" t="str">
        <v/>
      </c>
      <c r="L1577">
        <v>24636206</v>
      </c>
      <c r="M1577">
        <v>5216391749185</v>
      </c>
      <c r="N1577" t="str">
        <v>NUEVO MAYOR</v>
      </c>
      <c r="O1577">
        <v>10636.54</v>
      </c>
      <c r="P1577" t="str">
        <v/>
      </c>
      <c r="Q1577">
        <v>3190.962</v>
      </c>
      <c r="R1577">
        <v>3190.962</v>
      </c>
      <c r="S1577" t="str">
        <v/>
      </c>
      <c r="T1577" t="str">
        <v/>
      </c>
      <c r="U1577" t="str">
        <v/>
      </c>
      <c r="V1577" t="str">
        <v xml:space="preserve">LIDIA </v>
      </c>
      <c r="W1577">
        <v>46283</v>
      </c>
      <c r="X1577" t="str">
        <v/>
      </c>
    </row>
    <row r="1578" spans="1:24">
      <c r="A1578">
        <v>3253</v>
      </c>
      <c r="B1578">
        <v>46283.535648148099</v>
      </c>
      <c r="C1578">
        <v>46283.536284722199</v>
      </c>
      <c r="D1578" t="str">
        <v>anónimo</v>
      </c>
      <c r="E1578" t="str">
        <v/>
      </c>
      <c r="F1578" s="68">
        <v>46283</v>
      </c>
      <c r="G1578">
        <v>46281</v>
      </c>
      <c r="H1578" t="str">
        <v>BEATRIZ DE LA CRUZ</v>
      </c>
      <c r="I1578" t="str">
        <v>VICTOR FRANCISCO VILLAESCUSA CAZARES</v>
      </c>
      <c r="J1578" t="str">
        <v/>
      </c>
      <c r="K1578" t="str">
        <v>VICV631124HSRLZC02</v>
      </c>
      <c r="L1578">
        <v>24506056</v>
      </c>
      <c r="M1578">
        <v>6623940209</v>
      </c>
      <c r="N1578" t="str">
        <v>NUEVO MAYOR</v>
      </c>
      <c r="O1578">
        <v>11908.03</v>
      </c>
      <c r="P1578">
        <v>879</v>
      </c>
      <c r="Q1578">
        <v>3572.4090000000001</v>
      </c>
      <c r="R1578">
        <v>2693.4090000000001</v>
      </c>
      <c r="S1578" t="str">
        <v/>
      </c>
      <c r="T1578" t="str">
        <v/>
      </c>
      <c r="U1578" t="str">
        <v/>
      </c>
      <c r="V1578" t="str">
        <v>HANIA</v>
      </c>
      <c r="W1578">
        <v>46283</v>
      </c>
      <c r="X1578" t="str">
        <v/>
      </c>
    </row>
    <row r="1579" spans="1:24">
      <c r="A1579">
        <v>3254</v>
      </c>
      <c r="B1579">
        <v>46283.535810185203</v>
      </c>
      <c r="C1579">
        <v>46283.536655092597</v>
      </c>
      <c r="D1579" t="str">
        <v>anónimo</v>
      </c>
      <c r="E1579" t="str">
        <v/>
      </c>
      <c r="F1579" s="68">
        <v>46283</v>
      </c>
      <c r="G1579">
        <v>46283</v>
      </c>
      <c r="H1579" t="str">
        <v>GIOVANNI MELGAR</v>
      </c>
      <c r="I1579" t="str">
        <v>PABLO URBANO MONTIEL HERNNADEZ</v>
      </c>
      <c r="J1579" t="str">
        <v xml:space="preserve">06766014085
</v>
      </c>
      <c r="K1579" t="str">
        <v>MOHP600525HDFNRB06</v>
      </c>
      <c r="L1579">
        <v>24639144</v>
      </c>
      <c r="M1579">
        <v>5215627609993</v>
      </c>
      <c r="N1579" t="str">
        <v>NUEVO MENOR</v>
      </c>
      <c r="O1579">
        <v>5617.63</v>
      </c>
      <c r="P1579">
        <v>579.23</v>
      </c>
      <c r="Q1579">
        <v>1685.289</v>
      </c>
      <c r="R1579">
        <v>865.42000000000053</v>
      </c>
      <c r="S1579">
        <v>46478</v>
      </c>
      <c r="T1579" t="str">
        <v>DIMEX</v>
      </c>
      <c r="U1579">
        <v>579.23</v>
      </c>
      <c r="V1579" t="str">
        <v>HECTOR</v>
      </c>
      <c r="W1579">
        <v>46283</v>
      </c>
      <c r="X1579" t="str">
        <v/>
      </c>
    </row>
    <row r="1580" spans="1:24">
      <c r="A1580">
        <v>3259</v>
      </c>
      <c r="B1580">
        <v>46283.678819444402</v>
      </c>
      <c r="C1580">
        <v>46283.679618055598</v>
      </c>
      <c r="D1580" t="str">
        <v>anónimo</v>
      </c>
      <c r="E1580" t="str">
        <v/>
      </c>
      <c r="F1580" s="68">
        <v>46283</v>
      </c>
      <c r="G1580">
        <v>46283</v>
      </c>
      <c r="H1580" t="str">
        <v>LUZ BANDA</v>
      </c>
      <c r="I1580" t="str">
        <v xml:space="preserve">Lopez Ma Del Carmen </v>
      </c>
      <c r="J1580">
        <v>41896504085</v>
      </c>
      <c r="K1580" t="str">
        <v/>
      </c>
      <c r="L1580">
        <v>24643024</v>
      </c>
      <c r="M1580">
        <v>6182599205</v>
      </c>
      <c r="N1580" t="str">
        <v>NUEVO MAYOR</v>
      </c>
      <c r="O1580">
        <v>10636.54</v>
      </c>
      <c r="P1580" t="str">
        <v/>
      </c>
      <c r="Q1580">
        <v>3190.962</v>
      </c>
      <c r="R1580">
        <v>3190.962</v>
      </c>
      <c r="S1580" t="str">
        <v/>
      </c>
      <c r="T1580" t="str">
        <v/>
      </c>
      <c r="U1580" t="str">
        <v/>
      </c>
      <c r="V1580" t="str">
        <v>MIRIAM</v>
      </c>
      <c r="W1580">
        <v>46283</v>
      </c>
      <c r="X1580" t="str">
        <v/>
      </c>
    </row>
    <row r="1581" spans="1:24">
      <c r="A1581">
        <v>3260</v>
      </c>
      <c r="B1581">
        <v>46283.674837963001</v>
      </c>
      <c r="C1581">
        <v>46283.690856481502</v>
      </c>
      <c r="D1581" t="str">
        <v>anónimo</v>
      </c>
      <c r="E1581" t="str">
        <v/>
      </c>
      <c r="F1581" s="68">
        <v>46283</v>
      </c>
      <c r="G1581">
        <v>46283</v>
      </c>
      <c r="H1581" t="str">
        <v>LILIANA MARTINEZ SUR</v>
      </c>
      <c r="I1581" t="str">
        <v>JAIME TRENADO PIÑA</v>
      </c>
      <c r="J1581" t="str">
        <v/>
      </c>
      <c r="K1581" t="str">
        <v>TEPJ540211HGTRXM08</v>
      </c>
      <c r="L1581">
        <v>24637060</v>
      </c>
      <c r="M1581">
        <v>5215544544770</v>
      </c>
      <c r="N1581" t="str">
        <v>NUEVO MAYOR</v>
      </c>
      <c r="O1581">
        <v>31455.54</v>
      </c>
      <c r="P1581" t="str">
        <v/>
      </c>
      <c r="Q1581">
        <v>9436.6620000000003</v>
      </c>
      <c r="R1581">
        <v>9436.6620000000003</v>
      </c>
      <c r="S1581" t="str">
        <v/>
      </c>
      <c r="T1581" t="str">
        <v/>
      </c>
      <c r="U1581" t="str">
        <v/>
      </c>
      <c r="V1581" t="str">
        <v>IRASEMA</v>
      </c>
      <c r="W1581">
        <v>46283</v>
      </c>
      <c r="X1581" t="str">
        <v/>
      </c>
    </row>
    <row r="1582" spans="1:24">
      <c r="A1582">
        <v>3267</v>
      </c>
      <c r="B1582">
        <v>46283.729594907403</v>
      </c>
      <c r="C1582">
        <v>46283.734259259298</v>
      </c>
      <c r="D1582" t="str">
        <v>anónimo</v>
      </c>
      <c r="E1582" t="str">
        <v/>
      </c>
      <c r="F1582" s="68">
        <v>46283</v>
      </c>
      <c r="G1582">
        <v>46283</v>
      </c>
      <c r="H1582" t="str">
        <v>LILIANA MARTINEZ SUR</v>
      </c>
      <c r="I1582" t="str">
        <v>DAVID HERNANDEZ FIGUEROA</v>
      </c>
      <c r="J1582" t="str">
        <v/>
      </c>
      <c r="K1582" t="str">
        <v>HEFD660307HCLRGV07</v>
      </c>
      <c r="L1582">
        <v>24583688</v>
      </c>
      <c r="M1582">
        <v>5218771925967</v>
      </c>
      <c r="N1582" t="str">
        <v>NUEVO MAYOR</v>
      </c>
      <c r="O1582">
        <v>13095.44</v>
      </c>
      <c r="P1582" t="str">
        <v/>
      </c>
      <c r="Q1582">
        <v>3928.6320000000001</v>
      </c>
      <c r="R1582">
        <v>3928.6320000000001</v>
      </c>
      <c r="S1582" t="str">
        <v/>
      </c>
      <c r="T1582" t="str">
        <v/>
      </c>
      <c r="U1582" t="str">
        <v/>
      </c>
      <c r="V1582" t="str">
        <v>PAOLA</v>
      </c>
      <c r="W1582">
        <v>46283</v>
      </c>
      <c r="X1582" t="str">
        <v/>
      </c>
    </row>
    <row r="1583" spans="1:24">
      <c r="A1583">
        <v>3268</v>
      </c>
      <c r="B1583">
        <v>46283.736412036997</v>
      </c>
      <c r="C1583">
        <v>46283.739699074104</v>
      </c>
      <c r="D1583" t="str">
        <v>anónimo</v>
      </c>
      <c r="E1583" t="str">
        <v/>
      </c>
      <c r="F1583" s="68">
        <v>46283</v>
      </c>
      <c r="G1583">
        <v>46283</v>
      </c>
      <c r="H1583" t="str">
        <v>GIOVANNI MELGAR</v>
      </c>
      <c r="I1583" t="str">
        <v>FABIOLA ROSARIO PEREZ BECERRA</v>
      </c>
      <c r="J1583" t="str">
        <v xml:space="preserve">74927610381
</v>
      </c>
      <c r="K1583" t="str">
        <v>PEBF771110MJCRCB09</v>
      </c>
      <c r="L1583">
        <v>24642240</v>
      </c>
      <c r="M1583">
        <v>5213329469233</v>
      </c>
      <c r="N1583" t="str">
        <v>RESTRINGIDA</v>
      </c>
      <c r="O1583">
        <v>4332.32</v>
      </c>
      <c r="P1583">
        <v>671.85</v>
      </c>
      <c r="Q1583">
        <v>1299.6959999999999</v>
      </c>
      <c r="R1583">
        <v>-512.50999999999988</v>
      </c>
      <c r="S1583">
        <v>45352</v>
      </c>
      <c r="T1583" t="str">
        <v>CONSUBANCO</v>
      </c>
      <c r="U1583">
        <v>671.85</v>
      </c>
      <c r="V1583" t="str">
        <v>DANIELLY</v>
      </c>
      <c r="W1583">
        <v>46283</v>
      </c>
      <c r="X1583" t="str">
        <v/>
      </c>
    </row>
    <row r="1584" spans="1:24">
      <c r="A1584">
        <v>3269</v>
      </c>
      <c r="B1584">
        <v>46283.7416435185</v>
      </c>
      <c r="C1584">
        <v>46283.743611111102</v>
      </c>
      <c r="D1584" t="str">
        <v>anónimo</v>
      </c>
      <c r="E1584" t="str">
        <v/>
      </c>
      <c r="F1584" s="68">
        <v>46283</v>
      </c>
      <c r="G1584">
        <v>46283</v>
      </c>
      <c r="H1584" t="str">
        <v>GIOVANNI MELGAR</v>
      </c>
      <c r="I1584" t="str">
        <v>DENNIS ARMANDO CALDERON ZELAYA</v>
      </c>
      <c r="J1584" t="str">
        <v/>
      </c>
      <c r="K1584" t="str">
        <v>CAZD590205HNELLN00</v>
      </c>
      <c r="L1584">
        <v>24645494</v>
      </c>
      <c r="M1584">
        <v>5218183961245</v>
      </c>
      <c r="N1584" t="str">
        <v>NUEVO MAYOR</v>
      </c>
      <c r="O1584">
        <v>47125</v>
      </c>
      <c r="P1584" t="str">
        <v/>
      </c>
      <c r="Q1584">
        <v>14137.5</v>
      </c>
      <c r="R1584">
        <v>14137.5</v>
      </c>
      <c r="S1584" t="str">
        <v/>
      </c>
      <c r="T1584" t="str">
        <v/>
      </c>
      <c r="U1584" t="str">
        <v/>
      </c>
      <c r="V1584" t="str">
        <v>IRASEMA</v>
      </c>
      <c r="W1584">
        <v>46283</v>
      </c>
      <c r="X1584" t="str">
        <v/>
      </c>
    </row>
    <row r="1585" spans="1:24">
      <c r="A1585">
        <v>3270</v>
      </c>
      <c r="B1585">
        <v>46283.717604166697</v>
      </c>
      <c r="C1585">
        <v>46283.745173611103</v>
      </c>
      <c r="D1585" t="str">
        <v>anónimo</v>
      </c>
      <c r="E1585" t="str">
        <v/>
      </c>
      <c r="F1585" s="68">
        <v>46283</v>
      </c>
      <c r="G1585">
        <v>46283</v>
      </c>
      <c r="H1585" t="str">
        <v>RUTH MARTINEZ SUR</v>
      </c>
      <c r="I1585" t="str">
        <v>ALFREDO ORTIZ MAGALLANES</v>
      </c>
      <c r="J1585" t="str">
        <v/>
      </c>
      <c r="K1585" t="str">
        <v>OIMA570208HCHRGL08</v>
      </c>
      <c r="L1585">
        <v>24638484</v>
      </c>
      <c r="M1585">
        <v>5216561314354</v>
      </c>
      <c r="N1585" t="str">
        <v>NUEVO MAYOR</v>
      </c>
      <c r="O1585">
        <v>42234.79</v>
      </c>
      <c r="P1585" t="str">
        <v/>
      </c>
      <c r="Q1585">
        <v>12670.437</v>
      </c>
      <c r="R1585">
        <v>12670.437</v>
      </c>
      <c r="S1585" t="str">
        <v/>
      </c>
      <c r="T1585" t="str">
        <v/>
      </c>
      <c r="U1585" t="str">
        <v/>
      </c>
      <c r="V1585" t="str">
        <v>MIRIAM</v>
      </c>
      <c r="W1585">
        <v>46283</v>
      </c>
      <c r="X1585" t="str">
        <v/>
      </c>
    </row>
    <row r="1586" spans="1:24">
      <c r="A1586">
        <v>3275</v>
      </c>
      <c r="B1586">
        <v>46283.759467592601</v>
      </c>
      <c r="C1586">
        <v>46284.423483796301</v>
      </c>
      <c r="D1586" t="str">
        <v>anónimo</v>
      </c>
      <c r="E1586" t="str">
        <v/>
      </c>
      <c r="F1586" s="68">
        <v>46284</v>
      </c>
      <c r="G1586">
        <v>46282</v>
      </c>
      <c r="H1586" t="str">
        <v>LILIANA MARTINEZ SUR</v>
      </c>
      <c r="I1586" t="str">
        <v>MIGUEL ANGEL RAUL PECH AVILEZ</v>
      </c>
      <c r="J1586">
        <v>82806304133</v>
      </c>
      <c r="K1586" t="str">
        <v>PEAM650925HQRCVG02</v>
      </c>
      <c r="L1586">
        <v>24649886</v>
      </c>
      <c r="M1586">
        <v>5212228439060</v>
      </c>
      <c r="N1586" t="str">
        <v>NUEVO MAYOR</v>
      </c>
      <c r="O1586">
        <v>9760.32</v>
      </c>
      <c r="P1586" t="str">
        <v/>
      </c>
      <c r="Q1586">
        <v>2928.096</v>
      </c>
      <c r="R1586">
        <v>2928.096</v>
      </c>
      <c r="S1586" t="str">
        <v/>
      </c>
      <c r="T1586" t="str">
        <v/>
      </c>
      <c r="U1586" t="str">
        <v/>
      </c>
      <c r="V1586" t="str">
        <v>MARISOL</v>
      </c>
      <c r="W1586">
        <v>46284</v>
      </c>
      <c r="X1586" t="str">
        <v/>
      </c>
    </row>
    <row r="1587" spans="1:24">
      <c r="A1587">
        <v>3277</v>
      </c>
      <c r="B1587">
        <v>46284.400740740697</v>
      </c>
      <c r="C1587">
        <v>46284.442893518499</v>
      </c>
      <c r="D1587" t="str">
        <v>anónimo</v>
      </c>
      <c r="E1587" t="str">
        <v/>
      </c>
      <c r="F1587" s="68">
        <v>46284</v>
      </c>
      <c r="G1587">
        <v>46279</v>
      </c>
      <c r="H1587" t="str">
        <v>ROSA CASTRO SUR</v>
      </c>
      <c r="I1587" t="str">
        <v xml:space="preserve">CARLOS ALBERTO INTERIAN BE </v>
      </c>
      <c r="J1587" t="str">
        <v xml:space="preserve">82806301543
</v>
      </c>
      <c r="K1587" t="str">
        <v>IEBC641114HYNNXR03</v>
      </c>
      <c r="L1587">
        <v>24447812</v>
      </c>
      <c r="M1587">
        <v>5219844345912</v>
      </c>
      <c r="N1587" t="str">
        <v>NUEVO MAYOR</v>
      </c>
      <c r="O1587">
        <v>21419.040000000001</v>
      </c>
      <c r="P1587">
        <v>879</v>
      </c>
      <c r="Q1587">
        <v>6425.7120000000004</v>
      </c>
      <c r="R1587">
        <v>5546.7120000000004</v>
      </c>
      <c r="S1587" t="str">
        <v/>
      </c>
      <c r="T1587" t="str">
        <v/>
      </c>
      <c r="U1587" t="str">
        <v/>
      </c>
      <c r="V1587" t="str">
        <v>IRASEMA</v>
      </c>
      <c r="W1587">
        <v>46284</v>
      </c>
      <c r="X1587" t="str">
        <v/>
      </c>
    </row>
    <row r="1588" spans="1:24">
      <c r="A1588">
        <v>3278</v>
      </c>
      <c r="B1588">
        <v>46284.418657407397</v>
      </c>
      <c r="C1588">
        <v>46284.451296296298</v>
      </c>
      <c r="D1588" t="str">
        <v>anónimo</v>
      </c>
      <c r="E1588" t="str">
        <v/>
      </c>
      <c r="F1588" s="68">
        <v>46284</v>
      </c>
      <c r="G1588">
        <v>46283</v>
      </c>
      <c r="H1588" t="str">
        <v>LILIANA MARTINEZ SUR</v>
      </c>
      <c r="I1588" t="str">
        <v>FRANCISCO HERNANDEZ</v>
      </c>
      <c r="J1588" t="str">
        <v/>
      </c>
      <c r="K1588" t="str">
        <v>HEXF580220HDFRXR04</v>
      </c>
      <c r="L1588">
        <v>24643228</v>
      </c>
      <c r="M1588">
        <v>5215543730520</v>
      </c>
      <c r="N1588" t="str">
        <v>NUEVO MAYOR</v>
      </c>
      <c r="O1588">
        <v>29188.38</v>
      </c>
      <c r="P1588">
        <v>4775.8599999999997</v>
      </c>
      <c r="Q1588">
        <v>8756.5139999999992</v>
      </c>
      <c r="R1588">
        <v>3980.6539999999995</v>
      </c>
      <c r="S1588">
        <v>46813</v>
      </c>
      <c r="T1588" t="str">
        <v>INBURSA</v>
      </c>
      <c r="U1588">
        <v>4775.8599999999997</v>
      </c>
      <c r="V1588" t="str">
        <v>MAYTE</v>
      </c>
      <c r="W1588">
        <v>46284</v>
      </c>
      <c r="X1588" t="str">
        <v/>
      </c>
    </row>
    <row r="1589" spans="1:24">
      <c r="A1589">
        <v>3279</v>
      </c>
      <c r="B1589">
        <v>46284.442847222199</v>
      </c>
      <c r="C1589">
        <v>46284.462280092601</v>
      </c>
      <c r="D1589" t="str">
        <v>anónimo</v>
      </c>
      <c r="E1589" t="str">
        <v/>
      </c>
      <c r="F1589" s="68">
        <v>46284</v>
      </c>
      <c r="G1589">
        <v>46284</v>
      </c>
      <c r="H1589" t="str">
        <v>RUTH MARTINEZ SUR</v>
      </c>
      <c r="I1589" t="str">
        <v xml:space="preserve">ARTURO VELA QUINTANAR </v>
      </c>
      <c r="J1589" t="str">
        <v/>
      </c>
      <c r="K1589" t="str">
        <v>VEQA630522HDFLNR00</v>
      </c>
      <c r="L1589">
        <v>24652330</v>
      </c>
      <c r="M1589">
        <v>5215528508604</v>
      </c>
      <c r="N1589" t="str">
        <v>NUEVO MAYOR</v>
      </c>
      <c r="O1589">
        <v>9760.32</v>
      </c>
      <c r="P1589" t="str">
        <v/>
      </c>
      <c r="Q1589">
        <v>2928.096</v>
      </c>
      <c r="R1589">
        <v>2928.096</v>
      </c>
      <c r="S1589" t="str">
        <v/>
      </c>
      <c r="T1589" t="str">
        <v/>
      </c>
      <c r="U1589" t="str">
        <v/>
      </c>
      <c r="V1589" t="str">
        <v>ANA</v>
      </c>
      <c r="W1589">
        <v>46284</v>
      </c>
      <c r="X1589" t="str">
        <v/>
      </c>
    </row>
    <row r="1590" spans="1:24">
      <c r="A1590">
        <v>3280</v>
      </c>
      <c r="B1590">
        <v>46284.462175925903</v>
      </c>
      <c r="C1590">
        <v>46284.462546296301</v>
      </c>
      <c r="D1590" t="str">
        <v>anónimo</v>
      </c>
      <c r="E1590" t="str">
        <v/>
      </c>
      <c r="F1590" s="68">
        <v>46284</v>
      </c>
      <c r="G1590">
        <v>46284</v>
      </c>
      <c r="H1590" t="str">
        <v>GIOVANNI MELGAR</v>
      </c>
      <c r="I1590" t="str">
        <v>BEATRIZ AMALIA TOVAR RAMIREZ</v>
      </c>
      <c r="J1590" t="str">
        <v/>
      </c>
      <c r="K1590" t="str">
        <v>TORB650818MNLVMT02</v>
      </c>
      <c r="L1590">
        <v>24646242</v>
      </c>
      <c r="M1590">
        <v>5218128612039</v>
      </c>
      <c r="N1590" t="str">
        <v>NUEVO MENOR</v>
      </c>
      <c r="O1590">
        <v>28013.52</v>
      </c>
      <c r="P1590">
        <v>8104</v>
      </c>
      <c r="Q1590">
        <v>8404.0560000000005</v>
      </c>
      <c r="R1590">
        <v>300.05600000000049</v>
      </c>
      <c r="S1590">
        <v>46753</v>
      </c>
      <c r="T1590" t="str">
        <v>CONSUBANCO</v>
      </c>
      <c r="U1590">
        <v>8104</v>
      </c>
      <c r="V1590" t="str">
        <v>HECTOR</v>
      </c>
      <c r="W1590">
        <v>46284</v>
      </c>
      <c r="X1590" t="str">
        <v/>
      </c>
    </row>
    <row r="1591" spans="1:24">
      <c r="A1591">
        <v>3281</v>
      </c>
      <c r="B1591">
        <v>46284.4774652778</v>
      </c>
      <c r="C1591">
        <v>46284.480451388903</v>
      </c>
      <c r="D1591" t="str">
        <v>anónimo</v>
      </c>
      <c r="E1591" t="str">
        <v/>
      </c>
      <c r="F1591" s="68">
        <v>46284</v>
      </c>
      <c r="G1591">
        <v>46280</v>
      </c>
      <c r="H1591" t="str">
        <v>ROSA CASTRO SUR</v>
      </c>
      <c r="I1591" t="str">
        <v xml:space="preserve">VICTOR MANUEL LOAEZA HERNANDEZ </v>
      </c>
      <c r="J1591" t="str">
        <v/>
      </c>
      <c r="K1591" t="str">
        <v>LOHV580309HGRZRC03</v>
      </c>
      <c r="L1591">
        <v>24494990</v>
      </c>
      <c r="M1591">
        <v>18566736205</v>
      </c>
      <c r="N1591" t="str">
        <v>RESTRINGIDA</v>
      </c>
      <c r="O1591">
        <v>4981.78</v>
      </c>
      <c r="P1591">
        <v>746.77</v>
      </c>
      <c r="Q1591">
        <v>1494.5339999999999</v>
      </c>
      <c r="R1591">
        <v>62.0300000000002</v>
      </c>
      <c r="S1591">
        <v>46266</v>
      </c>
      <c r="T1591" t="str">
        <v>CONSUBANCO</v>
      </c>
      <c r="U1591">
        <v>746.77</v>
      </c>
      <c r="V1591" t="str">
        <v>DANIELLY</v>
      </c>
      <c r="W1591">
        <v>46284</v>
      </c>
      <c r="X1591" t="str">
        <v/>
      </c>
    </row>
    <row r="1592" spans="1:24">
      <c r="A1592">
        <v>3282</v>
      </c>
      <c r="B1592">
        <v>46284.415497685201</v>
      </c>
      <c r="C1592">
        <v>46284.487453703703</v>
      </c>
      <c r="D1592" t="str">
        <v>anónimo</v>
      </c>
      <c r="E1592" t="str">
        <v/>
      </c>
      <c r="F1592" s="68">
        <v>46284</v>
      </c>
      <c r="G1592">
        <v>46284</v>
      </c>
      <c r="H1592" t="str">
        <v>YAMILETH CARDONA EXT 2</v>
      </c>
      <c r="I1592" t="str">
        <v>SILVIA PAZ MARQUEZ</v>
      </c>
      <c r="J1592">
        <v>52846509983</v>
      </c>
      <c r="K1592" t="str">
        <v>PAMS650405MCMZRL00</v>
      </c>
      <c r="L1592">
        <v>2</v>
      </c>
      <c r="M1592">
        <v>3131201818</v>
      </c>
      <c r="N1592" t="str">
        <v>NUEVO MENOR</v>
      </c>
      <c r="O1592">
        <v>40528.559999999998</v>
      </c>
      <c r="P1592">
        <v>11724.56</v>
      </c>
      <c r="Q1592">
        <v>12158.567999999999</v>
      </c>
      <c r="R1592">
        <v>434.00799999999981</v>
      </c>
      <c r="S1592">
        <v>46753</v>
      </c>
      <c r="T1592" t="str">
        <v>INBURSA</v>
      </c>
      <c r="U1592">
        <v>11724.56</v>
      </c>
      <c r="V1592" t="str">
        <v/>
      </c>
      <c r="W1592" t="str">
        <v/>
      </c>
      <c r="X1592" t="str">
        <v/>
      </c>
    </row>
    <row r="1593" spans="1:24">
      <c r="A1593">
        <v>3283</v>
      </c>
      <c r="B1593">
        <v>46284.492650462998</v>
      </c>
      <c r="C1593">
        <v>46284.493240740703</v>
      </c>
      <c r="D1593" t="str">
        <v>anónimo</v>
      </c>
      <c r="E1593" t="str">
        <v/>
      </c>
      <c r="F1593" s="68">
        <v>46284</v>
      </c>
      <c r="G1593">
        <v>46283</v>
      </c>
      <c r="H1593" t="str">
        <v>GIOVANNI MELGAR</v>
      </c>
      <c r="I1593" t="str">
        <v>LAURO BUSTAMANTE RUBIO</v>
      </c>
      <c r="J1593" t="str">
        <v/>
      </c>
      <c r="K1593" t="str">
        <v>BURL521030HMNSBR03</v>
      </c>
      <c r="L1593">
        <v>24645856</v>
      </c>
      <c r="M1593">
        <v>5215545141722</v>
      </c>
      <c r="N1593" t="str">
        <v>COMPRA MENOR</v>
      </c>
      <c r="O1593">
        <v>4604.68</v>
      </c>
      <c r="P1593">
        <v>380</v>
      </c>
      <c r="Q1593">
        <v>1381.404</v>
      </c>
      <c r="R1593">
        <v>51.700000000000728</v>
      </c>
      <c r="S1593">
        <v>45839</v>
      </c>
      <c r="T1593" t="str">
        <v>INBURSA</v>
      </c>
      <c r="U1593">
        <v>380</v>
      </c>
      <c r="V1593" t="str">
        <v>HECTOR</v>
      </c>
      <c r="W1593">
        <v>46284</v>
      </c>
      <c r="X1593" t="str">
        <v/>
      </c>
    </row>
    <row r="1594" spans="1:24">
      <c r="A1594">
        <v>3284</v>
      </c>
      <c r="B1594">
        <v>46284.480497685203</v>
      </c>
      <c r="C1594">
        <v>46284.4994560185</v>
      </c>
      <c r="D1594" t="str">
        <v>anónimo</v>
      </c>
      <c r="E1594" t="str">
        <v/>
      </c>
      <c r="F1594" s="68">
        <v>46284</v>
      </c>
      <c r="G1594">
        <v>46284</v>
      </c>
      <c r="H1594" t="str">
        <v>ROSA CASTRO SUR</v>
      </c>
      <c r="I1594" t="str">
        <v>ROMAN ACOSTA CHAN</v>
      </c>
      <c r="J1594" t="str">
        <v/>
      </c>
      <c r="K1594" t="str">
        <v>AOCR591129HYNCHM09</v>
      </c>
      <c r="L1594">
        <v>24660712</v>
      </c>
      <c r="M1594">
        <v>5219994099040</v>
      </c>
      <c r="N1594" t="str">
        <v>RESTRINGIDA</v>
      </c>
      <c r="O1594">
        <v>24733.74</v>
      </c>
      <c r="P1594">
        <v>6479.56</v>
      </c>
      <c r="Q1594">
        <v>7420.1220000000003</v>
      </c>
      <c r="R1594">
        <v>940.5619999999999</v>
      </c>
      <c r="S1594">
        <v>46266</v>
      </c>
      <c r="T1594" t="str">
        <v>BANCREA, CONSUPAGO</v>
      </c>
      <c r="U1594">
        <v>6479.56</v>
      </c>
      <c r="V1594" t="str">
        <v>DANIELLY</v>
      </c>
      <c r="W1594">
        <v>46284</v>
      </c>
      <c r="X1594" t="str">
        <v/>
      </c>
    </row>
    <row r="1595" spans="1:24">
      <c r="A1595">
        <v>3285</v>
      </c>
      <c r="B1595">
        <v>46284.486342592601</v>
      </c>
      <c r="C1595">
        <v>46284.502824074101</v>
      </c>
      <c r="D1595" t="str">
        <v>anónimo</v>
      </c>
      <c r="E1595" t="str">
        <v/>
      </c>
      <c r="F1595" s="68">
        <v>46284</v>
      </c>
      <c r="G1595">
        <v>46283</v>
      </c>
      <c r="H1595" t="str">
        <v>LILIANA MARTINEZ SUR</v>
      </c>
      <c r="I1595" t="str">
        <v/>
      </c>
      <c r="J1595">
        <v>56886729385</v>
      </c>
      <c r="K1595" t="str">
        <v/>
      </c>
      <c r="L1595">
        <v>24646198</v>
      </c>
      <c r="M1595">
        <v>5213324070149</v>
      </c>
      <c r="N1595" t="str">
        <v>RESTRINGIDA</v>
      </c>
      <c r="O1595">
        <v>5819.95</v>
      </c>
      <c r="P1595">
        <v>1523.56</v>
      </c>
      <c r="Q1595">
        <v>1745.9849999999999</v>
      </c>
      <c r="R1595">
        <v>123.41000000000031</v>
      </c>
      <c r="S1595">
        <v>46235</v>
      </c>
      <c r="T1595" t="str">
        <v>CONSUBANCO</v>
      </c>
      <c r="U1595">
        <v>1523.56</v>
      </c>
      <c r="V1595" t="str">
        <v>DANIELLY</v>
      </c>
      <c r="W1595">
        <v>46284</v>
      </c>
      <c r="X1595" t="str">
        <v/>
      </c>
    </row>
    <row r="1596" spans="1:24">
      <c r="A1596">
        <v>3287</v>
      </c>
      <c r="B1596">
        <v>46284.514166666697</v>
      </c>
      <c r="C1596">
        <v>46284.5153125</v>
      </c>
      <c r="D1596" t="str">
        <v>anónimo</v>
      </c>
      <c r="E1596" t="str">
        <v/>
      </c>
      <c r="F1596" s="68">
        <v>46284</v>
      </c>
      <c r="G1596">
        <v>46284</v>
      </c>
      <c r="H1596" t="str">
        <v>GIOVANNI MELGAR</v>
      </c>
      <c r="I1596" t="str">
        <v>JUAN MADRID ESCOBEDO</v>
      </c>
      <c r="J1596" t="str">
        <v/>
      </c>
      <c r="K1596" t="str">
        <v>MAEJ641130HDGDSN03</v>
      </c>
      <c r="L1596">
        <v>24660770</v>
      </c>
      <c r="M1596">
        <v>5218713637555</v>
      </c>
      <c r="N1596" t="str">
        <v>NUEVO MAYOR</v>
      </c>
      <c r="O1596">
        <v>9760.3700000000008</v>
      </c>
      <c r="P1596" t="str">
        <v/>
      </c>
      <c r="Q1596">
        <v>2928.1110000000003</v>
      </c>
      <c r="R1596">
        <v>2928.1110000000003</v>
      </c>
      <c r="S1596" t="str">
        <v/>
      </c>
      <c r="T1596" t="str">
        <v/>
      </c>
      <c r="U1596" t="str">
        <v/>
      </c>
      <c r="V1596" t="str">
        <v>GLORIA</v>
      </c>
      <c r="W1596">
        <v>46284</v>
      </c>
      <c r="X1596" t="str">
        <v/>
      </c>
    </row>
    <row r="1597" spans="1:24">
      <c r="A1597">
        <v>3288</v>
      </c>
      <c r="B1597">
        <v>46284.5301273148</v>
      </c>
      <c r="C1597">
        <v>46284.530821759297</v>
      </c>
      <c r="D1597" t="str">
        <v>anónimo</v>
      </c>
      <c r="E1597" t="str">
        <v/>
      </c>
      <c r="F1597" s="68">
        <v>46284</v>
      </c>
      <c r="G1597">
        <v>46282</v>
      </c>
      <c r="H1597" t="str">
        <v>GIOVANNI MELGAR</v>
      </c>
      <c r="I1597" t="str">
        <v>ISABEL HERNANDEZ HERNANDEZ</v>
      </c>
      <c r="J1597" t="str">
        <v/>
      </c>
      <c r="K1597" t="str">
        <v>HEHI570708HNLRRS02</v>
      </c>
      <c r="L1597">
        <v>24562668</v>
      </c>
      <c r="M1597">
        <v>5218123293238</v>
      </c>
      <c r="N1597" t="str">
        <v>COMPRA MAYOR</v>
      </c>
      <c r="O1597">
        <v>47214.66</v>
      </c>
      <c r="P1597">
        <v>12765.19</v>
      </c>
      <c r="Q1597">
        <v>14164.398000000001</v>
      </c>
      <c r="R1597">
        <v>1399.2080000000005</v>
      </c>
      <c r="S1597">
        <v>46235</v>
      </c>
      <c r="T1597" t="str">
        <v>INBURSA</v>
      </c>
      <c r="U1597">
        <v>1433.22</v>
      </c>
      <c r="V1597" t="str">
        <v>FERNANDA</v>
      </c>
      <c r="W1597">
        <v>46284</v>
      </c>
      <c r="X1597" t="str">
        <v/>
      </c>
    </row>
    <row r="1598" spans="1:24">
      <c r="A1598">
        <v>3290</v>
      </c>
      <c r="B1598">
        <v>46284.529710648101</v>
      </c>
      <c r="C1598">
        <v>46284.533819444398</v>
      </c>
      <c r="D1598" t="str">
        <v>anónimo</v>
      </c>
      <c r="E1598" t="str">
        <v/>
      </c>
      <c r="F1598" s="68">
        <v>46284</v>
      </c>
      <c r="G1598">
        <v>46284</v>
      </c>
      <c r="H1598" t="str">
        <v>LILIANA MARTINEZ SUR</v>
      </c>
      <c r="I1598" t="str">
        <v xml:space="preserve">FELIPE CASTRO VARAS </v>
      </c>
      <c r="J1598" t="str">
        <v/>
      </c>
      <c r="K1598" t="str">
        <v>CAVF610205HMCSRL01</v>
      </c>
      <c r="L1598">
        <v>24659888</v>
      </c>
      <c r="M1598">
        <v>5215669528935</v>
      </c>
      <c r="N1598" t="str">
        <v>COMPRA MAYOR</v>
      </c>
      <c r="O1598">
        <v>6262.86</v>
      </c>
      <c r="P1598">
        <v>1539.17</v>
      </c>
      <c r="Q1598">
        <v>1878.8579999999997</v>
      </c>
      <c r="R1598">
        <v>339.68799999999965</v>
      </c>
      <c r="S1598">
        <v>45566</v>
      </c>
      <c r="T1598" t="str">
        <v xml:space="preserve">BANCREA </v>
      </c>
      <c r="U1598">
        <v>1539.17</v>
      </c>
      <c r="V1598" t="str">
        <v>ITZEL CARRANZA</v>
      </c>
      <c r="W1598">
        <v>46284</v>
      </c>
      <c r="X1598" t="str">
        <v/>
      </c>
    </row>
    <row r="1599" spans="1:24">
      <c r="A1599">
        <v>3292</v>
      </c>
      <c r="B1599">
        <v>46284.462303240703</v>
      </c>
      <c r="C1599">
        <v>46284.542129629597</v>
      </c>
      <c r="D1599" t="str">
        <v>anónimo</v>
      </c>
      <c r="E1599" t="str">
        <v/>
      </c>
      <c r="F1599" s="68">
        <v>46284</v>
      </c>
      <c r="G1599">
        <v>46284</v>
      </c>
      <c r="H1599" t="str">
        <v>RUTH MARTINEZ SUR</v>
      </c>
      <c r="I1599" t="str">
        <v xml:space="preserve">JOSE ZAVALA MENDOZA </v>
      </c>
      <c r="J1599" t="str">
        <v/>
      </c>
      <c r="K1599" t="str">
        <v>ZAMJ440810HMNVNS02</v>
      </c>
      <c r="L1599">
        <v>24659478</v>
      </c>
      <c r="M1599">
        <v>5214381179859</v>
      </c>
      <c r="N1599" t="str">
        <v>COMPRA MENOR</v>
      </c>
      <c r="O1599">
        <v>8190.07</v>
      </c>
      <c r="P1599">
        <v>2369.58</v>
      </c>
      <c r="Q1599">
        <v>2457.0209999999997</v>
      </c>
      <c r="R1599">
        <v>87.440999999999804</v>
      </c>
      <c r="S1599">
        <v>46113</v>
      </c>
      <c r="T1599" t="str">
        <v xml:space="preserve">EXITUS, BANCREA </v>
      </c>
      <c r="U1599">
        <v>549.28</v>
      </c>
      <c r="V1599" t="str">
        <v>HECTOR</v>
      </c>
      <c r="W1599">
        <v>46284</v>
      </c>
      <c r="X1599" t="str">
        <v/>
      </c>
    </row>
    <row r="1600" spans="1:24">
      <c r="A1600">
        <v>3295</v>
      </c>
      <c r="B1600">
        <v>46284.542164351798</v>
      </c>
      <c r="C1600">
        <v>46284.6419328704</v>
      </c>
      <c r="D1600" t="str">
        <v>anónimo</v>
      </c>
      <c r="E1600" t="str">
        <v/>
      </c>
      <c r="F1600" s="68">
        <v>46284</v>
      </c>
      <c r="G1600">
        <v>46284</v>
      </c>
      <c r="H1600" t="str">
        <v>RUTH MARTINEZ SUR</v>
      </c>
      <c r="I1600" t="str">
        <v>RAFAEL JIMENEZ DOMINGUEZ</v>
      </c>
      <c r="J1600" t="str">
        <v/>
      </c>
      <c r="K1600" t="str">
        <v>JIDR600520HTCMMF04</v>
      </c>
      <c r="L1600">
        <v>24662326</v>
      </c>
      <c r="M1600">
        <v>5219371707707</v>
      </c>
      <c r="N1600" t="str">
        <v>NUEVO MAYOR</v>
      </c>
      <c r="O1600">
        <v>5617.63</v>
      </c>
      <c r="P1600" t="str">
        <v/>
      </c>
      <c r="Q1600">
        <v>1685.289</v>
      </c>
      <c r="R1600">
        <v>1444.6500000000005</v>
      </c>
      <c r="S1600" t="str">
        <v/>
      </c>
      <c r="T1600" t="str">
        <v/>
      </c>
      <c r="U1600" t="str">
        <v/>
      </c>
      <c r="V1600" t="str">
        <v>HANIA</v>
      </c>
      <c r="W1600">
        <v>46286</v>
      </c>
      <c r="X1600" t="str">
        <v/>
      </c>
    </row>
    <row r="1601" spans="1:24">
      <c r="A1601">
        <v>3296</v>
      </c>
      <c r="B1601">
        <v>46284.5924884259</v>
      </c>
      <c r="C1601">
        <v>46284.653645833299</v>
      </c>
      <c r="D1601" t="str">
        <v>anónimo</v>
      </c>
      <c r="E1601" t="str">
        <v/>
      </c>
      <c r="F1601" s="68">
        <v>46284</v>
      </c>
      <c r="G1601">
        <v>46284</v>
      </c>
      <c r="H1601" t="str">
        <v>ROSA CASTRO SUR</v>
      </c>
      <c r="I1601" t="str">
        <v>ERASMO RODRIGUEZ VAQUERA</v>
      </c>
      <c r="J1601" t="str">
        <v/>
      </c>
      <c r="K1601" t="str">
        <v>ROVE610817HTSDQR04</v>
      </c>
      <c r="L1601">
        <v>24663178</v>
      </c>
      <c r="M1601">
        <v>5218677279347</v>
      </c>
      <c r="N1601" t="str">
        <v>NUEVO MAYOR</v>
      </c>
      <c r="O1601">
        <v>7116.7330000000002</v>
      </c>
      <c r="P1601" t="str">
        <v/>
      </c>
      <c r="Q1601">
        <v>2135.0198999999998</v>
      </c>
      <c r="R1601">
        <v>2135.0198999999998</v>
      </c>
      <c r="S1601" t="str">
        <v/>
      </c>
      <c r="T1601" t="str">
        <v/>
      </c>
      <c r="U1601" t="str">
        <v/>
      </c>
      <c r="V1601" t="str">
        <v>CAROLINA</v>
      </c>
      <c r="W1601">
        <v>46286</v>
      </c>
      <c r="X1601" t="str">
        <v/>
      </c>
    </row>
    <row r="1602" spans="1:24">
      <c r="A1602">
        <v>3297</v>
      </c>
      <c r="B1602">
        <v>46284.641956018502</v>
      </c>
      <c r="C1602">
        <v>46284.660011574102</v>
      </c>
      <c r="D1602" t="str">
        <v>anónimo</v>
      </c>
      <c r="E1602" t="str">
        <v/>
      </c>
      <c r="F1602" s="68">
        <v>46284</v>
      </c>
      <c r="G1602">
        <v>46284</v>
      </c>
      <c r="H1602" t="str">
        <v>RUTH MARTINEZ SUR</v>
      </c>
      <c r="I1602" t="str">
        <v xml:space="preserve">JOSE EDUARDO BORQUEZ PUEBLA </v>
      </c>
      <c r="J1602" t="str">
        <v/>
      </c>
      <c r="K1602" t="str">
        <v>BOPE580327HSRRBD01</v>
      </c>
      <c r="L1602">
        <v>24663452</v>
      </c>
      <c r="M1602">
        <v>5216621286508</v>
      </c>
      <c r="N1602" t="str">
        <v>COMPRA MAYOR</v>
      </c>
      <c r="O1602">
        <v>5729.6900000000005</v>
      </c>
      <c r="P1602">
        <v>1276.48</v>
      </c>
      <c r="Q1602">
        <v>1718.9070000000002</v>
      </c>
      <c r="R1602">
        <v>280.23000000000093</v>
      </c>
      <c r="S1602">
        <v>45536</v>
      </c>
      <c r="T1602" t="str">
        <v>PROFUTURO</v>
      </c>
      <c r="U1602">
        <v>1276.48</v>
      </c>
      <c r="V1602" t="str">
        <v>MAGALI</v>
      </c>
      <c r="W1602">
        <v>46286</v>
      </c>
      <c r="X1602" t="str">
        <v/>
      </c>
    </row>
    <row r="1603" spans="1:24">
      <c r="A1603">
        <v>3299</v>
      </c>
      <c r="B1603">
        <v>46284.663113425901</v>
      </c>
      <c r="C1603">
        <v>46284.6691319444</v>
      </c>
      <c r="D1603" t="str">
        <v>anónimo</v>
      </c>
      <c r="E1603" t="str">
        <v/>
      </c>
      <c r="F1603" s="68">
        <v>46284</v>
      </c>
      <c r="G1603">
        <v>46284</v>
      </c>
      <c r="H1603" t="str">
        <v>ROSA CASTRO SUR</v>
      </c>
      <c r="I1603" t="str">
        <v>ANTONIO CASAMENI CRUZ</v>
      </c>
      <c r="J1603" t="str">
        <v/>
      </c>
      <c r="K1603" t="str">
        <v>CXCA600130HTSSRN03</v>
      </c>
      <c r="L1603">
        <v>24663042</v>
      </c>
      <c r="M1603">
        <v>5217891004992</v>
      </c>
      <c r="N1603" t="str">
        <v>NUEVO MAYOR</v>
      </c>
      <c r="O1603">
        <v>24929.67</v>
      </c>
      <c r="P1603" t="str">
        <v/>
      </c>
      <c r="Q1603">
        <v>7478.9009999999989</v>
      </c>
      <c r="R1603">
        <v>7478.9009999999989</v>
      </c>
      <c r="S1603" t="str">
        <v/>
      </c>
      <c r="T1603" t="str">
        <v/>
      </c>
      <c r="U1603" t="str">
        <v/>
      </c>
      <c r="V1603" t="str">
        <v>ANDRE</v>
      </c>
      <c r="W1603">
        <v>46286</v>
      </c>
      <c r="X1603" t="str">
        <v/>
      </c>
    </row>
    <row r="1604" spans="1:24">
      <c r="A1604">
        <v>3301</v>
      </c>
      <c r="B1604">
        <v>46284.701388888898</v>
      </c>
      <c r="C1604">
        <v>46284.705543981501</v>
      </c>
      <c r="D1604" t="str">
        <v>anónimo</v>
      </c>
      <c r="E1604" t="str">
        <v/>
      </c>
      <c r="F1604" s="68">
        <v>46284</v>
      </c>
      <c r="G1604">
        <v>46282</v>
      </c>
      <c r="H1604" t="str">
        <v>LILIANA MARTINEZ SUR</v>
      </c>
      <c r="I1604" t="str">
        <v>RUBEN CANALES BAÑUELOS</v>
      </c>
      <c r="J1604">
        <v>3376593308</v>
      </c>
      <c r="K1604" t="str">
        <v>CABR590630HCHNXB09</v>
      </c>
      <c r="L1604">
        <v>24560966</v>
      </c>
      <c r="M1604">
        <v>5216141760640</v>
      </c>
      <c r="N1604" t="str">
        <v>NUEVO MAYOR</v>
      </c>
      <c r="O1604">
        <v>25812.14</v>
      </c>
      <c r="P1604">
        <v>1191.3699999999999</v>
      </c>
      <c r="Q1604">
        <v>7743.6419999999998</v>
      </c>
      <c r="R1604">
        <v>6552.2719999999999</v>
      </c>
      <c r="S1604">
        <v>46905</v>
      </c>
      <c r="T1604" t="str">
        <v>DIMEX</v>
      </c>
      <c r="U1604">
        <v>1191.3699999999999</v>
      </c>
      <c r="V1604" t="str">
        <v>IRASEMA</v>
      </c>
      <c r="W1604">
        <v>46286</v>
      </c>
      <c r="X1604" t="str">
        <v/>
      </c>
    </row>
    <row r="1605" spans="1:24">
      <c r="A1605">
        <v>3302</v>
      </c>
      <c r="B1605">
        <v>46284.706863425898</v>
      </c>
      <c r="C1605">
        <v>46284.707349536999</v>
      </c>
      <c r="D1605" t="str">
        <v>anónimo</v>
      </c>
      <c r="E1605" t="str">
        <v/>
      </c>
      <c r="F1605" s="68">
        <v>46284</v>
      </c>
      <c r="G1605">
        <v>46283</v>
      </c>
      <c r="H1605" t="str">
        <v>GIOVANNI MELGAR</v>
      </c>
      <c r="I1605" t="str">
        <v>ROLANDO GARCIA MARTINEZ</v>
      </c>
      <c r="J1605" t="str">
        <v/>
      </c>
      <c r="K1605" t="str">
        <v>GAMR520425HYNRRL01</v>
      </c>
      <c r="L1605">
        <v>24648992</v>
      </c>
      <c r="M1605">
        <v>5219993940010</v>
      </c>
      <c r="N1605" t="str">
        <v>NUEVO MAYOR</v>
      </c>
      <c r="O1605">
        <v>7343.52</v>
      </c>
      <c r="P1605" t="str">
        <v/>
      </c>
      <c r="Q1605">
        <v>2203.056</v>
      </c>
      <c r="R1605">
        <v>2203.056</v>
      </c>
      <c r="S1605" t="str">
        <v/>
      </c>
      <c r="T1605" t="str">
        <v/>
      </c>
      <c r="U1605" t="str">
        <v/>
      </c>
      <c r="V1605" t="str">
        <v>GLORIA</v>
      </c>
      <c r="W1605">
        <v>46286</v>
      </c>
      <c r="X1605" t="str">
        <v/>
      </c>
    </row>
    <row r="1606" spans="1:24">
      <c r="A1606">
        <v>3303</v>
      </c>
      <c r="B1606">
        <v>46284.709236111099</v>
      </c>
      <c r="C1606">
        <v>46284.717152777797</v>
      </c>
      <c r="D1606" t="str">
        <v>anónimo</v>
      </c>
      <c r="E1606" t="str">
        <v/>
      </c>
      <c r="F1606" s="68">
        <v>46284</v>
      </c>
      <c r="G1606">
        <v>46284</v>
      </c>
      <c r="H1606" t="str">
        <v>GUADALUPE CRUZ SUR</v>
      </c>
      <c r="I1606" t="str">
        <v>ARACELI LEIVA HERNANDEZ</v>
      </c>
      <c r="J1606" t="str">
        <v/>
      </c>
      <c r="K1606" t="str">
        <v>LEHA620615MJCVRR04</v>
      </c>
      <c r="L1606">
        <v>24664610</v>
      </c>
      <c r="M1606">
        <v>5213310205764</v>
      </c>
      <c r="N1606" t="str">
        <v>NUEVO MAYOR</v>
      </c>
      <c r="O1606">
        <v>19788.03</v>
      </c>
      <c r="P1606">
        <v>848</v>
      </c>
      <c r="Q1606">
        <v>5936.4089999999997</v>
      </c>
      <c r="R1606">
        <v>5088.4089999999997</v>
      </c>
      <c r="S1606" t="str">
        <v/>
      </c>
      <c r="T1606" t="str">
        <v/>
      </c>
      <c r="U1606" t="str">
        <v/>
      </c>
      <c r="V1606" t="str">
        <v>MIRIAM</v>
      </c>
      <c r="W1606">
        <v>46286</v>
      </c>
      <c r="X1606" t="str">
        <v/>
      </c>
    </row>
    <row r="1607" spans="1:24">
      <c r="A1607">
        <v>3304</v>
      </c>
      <c r="B1607">
        <v>46284.7058217593</v>
      </c>
      <c r="C1607">
        <v>46284.718900462998</v>
      </c>
      <c r="D1607" t="str">
        <v>anónimo</v>
      </c>
      <c r="E1607" t="str">
        <v/>
      </c>
      <c r="F1607" s="68">
        <v>46284</v>
      </c>
      <c r="G1607">
        <v>46282</v>
      </c>
      <c r="H1607" t="str">
        <v>LILIANA MARTINEZ SUR</v>
      </c>
      <c r="I1607" t="str">
        <v>TRINIDAD AMAYA JIMENEZ</v>
      </c>
      <c r="J1607" t="str">
        <v/>
      </c>
      <c r="K1607" t="str">
        <v>AAJT610521HSRMMR06</v>
      </c>
      <c r="L1607">
        <v>24561580</v>
      </c>
      <c r="M1607">
        <v>5216622247571</v>
      </c>
      <c r="N1607" t="str">
        <v>COMPRA MAYOR</v>
      </c>
      <c r="O1607">
        <v>7920.51</v>
      </c>
      <c r="P1607">
        <v>2101.11</v>
      </c>
      <c r="Q1607">
        <v>2376.1529999999998</v>
      </c>
      <c r="R1607">
        <v>275.04299999999967</v>
      </c>
      <c r="S1607">
        <v>45962</v>
      </c>
      <c r="T1607" t="str">
        <v>DIMEX</v>
      </c>
      <c r="U1607">
        <v>2101.11</v>
      </c>
      <c r="V1607" t="str">
        <v>FERNANDA</v>
      </c>
      <c r="W1607">
        <v>46286</v>
      </c>
      <c r="X1607" t="str">
        <v/>
      </c>
    </row>
    <row r="1608" spans="1:24">
      <c r="A1608">
        <v>3306</v>
      </c>
      <c r="B1608">
        <v>46284.725520833301</v>
      </c>
      <c r="C1608">
        <v>46284.729780092603</v>
      </c>
      <c r="D1608" t="str">
        <v>anónimo</v>
      </c>
      <c r="E1608" t="str">
        <v/>
      </c>
      <c r="F1608" s="68">
        <v>46284</v>
      </c>
      <c r="G1608">
        <v>46284</v>
      </c>
      <c r="H1608" t="str">
        <v>LILIANA MARTINEZ SUR</v>
      </c>
      <c r="I1608" t="str">
        <v>LORENZO MERAZ MESTA</v>
      </c>
      <c r="J1608">
        <v>31846205537</v>
      </c>
      <c r="K1608" t="str">
        <v>MEML620905HDGRSR02</v>
      </c>
      <c r="L1608">
        <v>24663518</v>
      </c>
      <c r="M1608">
        <v>5218714656322</v>
      </c>
      <c r="N1608" t="str">
        <v>COMPRA MAYOR</v>
      </c>
      <c r="O1608">
        <v>13092.66</v>
      </c>
      <c r="P1608">
        <v>3634.9300000000003</v>
      </c>
      <c r="Q1608">
        <v>3927.7979999999998</v>
      </c>
      <c r="R1608">
        <v>292.86799999999948</v>
      </c>
      <c r="S1608">
        <v>46082</v>
      </c>
      <c r="T1608" t="str">
        <v>BANCREA</v>
      </c>
      <c r="U1608">
        <v>2856.9</v>
      </c>
      <c r="V1608" t="str">
        <v>YESSENIA</v>
      </c>
      <c r="W1608">
        <v>46286</v>
      </c>
      <c r="X1608" t="str">
        <v/>
      </c>
    </row>
    <row r="1609" spans="1:24">
      <c r="A1609">
        <v>3310</v>
      </c>
      <c r="B1609">
        <v>46284.660046296303</v>
      </c>
      <c r="C1609">
        <v>46284.7433564815</v>
      </c>
      <c r="D1609" t="str">
        <v>anónimo</v>
      </c>
      <c r="E1609" t="str">
        <v/>
      </c>
      <c r="F1609" s="68">
        <v>46284</v>
      </c>
      <c r="G1609">
        <v>46281</v>
      </c>
      <c r="H1609" t="str">
        <v>RUTH MARTINEZ SUR</v>
      </c>
      <c r="I1609" t="str">
        <v>J. JESUS FLORES MORENO</v>
      </c>
      <c r="J1609">
        <v>49825824367</v>
      </c>
      <c r="K1609" t="str">
        <v>FOMJ581002HMNLRS02</v>
      </c>
      <c r="L1609">
        <v>24498862</v>
      </c>
      <c r="M1609">
        <v>5213541130527</v>
      </c>
      <c r="N1609" t="str">
        <v>COMPRA MENOR</v>
      </c>
      <c r="O1609">
        <v>4342.43</v>
      </c>
      <c r="P1609">
        <v>371.76</v>
      </c>
      <c r="Q1609">
        <v>1302.729</v>
      </c>
      <c r="R1609">
        <v>-202.30999999999926</v>
      </c>
      <c r="S1609">
        <v>45323</v>
      </c>
      <c r="T1609" t="str">
        <v>BANCREA</v>
      </c>
      <c r="U1609">
        <v>371.76</v>
      </c>
      <c r="V1609" t="str">
        <v>HECTOR</v>
      </c>
      <c r="W1609">
        <v>46286</v>
      </c>
      <c r="X1609" t="str">
        <v/>
      </c>
    </row>
    <row r="1610" spans="1:24">
      <c r="A1610">
        <v>3313</v>
      </c>
      <c r="B1610">
        <v>46285.389791666697</v>
      </c>
      <c r="C1610">
        <v>46285.419918981497</v>
      </c>
      <c r="D1610" t="str">
        <v>anónimo</v>
      </c>
      <c r="E1610" t="str">
        <v/>
      </c>
      <c r="F1610" s="68">
        <v>46285</v>
      </c>
      <c r="G1610">
        <v>46284</v>
      </c>
      <c r="H1610" t="str">
        <v>KATE MALPICA</v>
      </c>
      <c r="I1610" t="str">
        <v>MARCELINO	ORTIZ CORTES</v>
      </c>
      <c r="J1610" t="str">
        <v/>
      </c>
      <c r="K1610" t="str">
        <v>OICM640528HVZRRR07</v>
      </c>
      <c r="L1610">
        <v>24668264</v>
      </c>
      <c r="M1610">
        <v>6624281422</v>
      </c>
      <c r="N1610" t="str">
        <v>NUEVO MAYOR</v>
      </c>
      <c r="O1610">
        <v>10171.24</v>
      </c>
      <c r="P1610">
        <v>1500</v>
      </c>
      <c r="Q1610">
        <v>3051.3719999999998</v>
      </c>
      <c r="R1610">
        <v>1551.3719999999998</v>
      </c>
      <c r="S1610">
        <v>46631</v>
      </c>
      <c r="T1610" t="str">
        <v>PROFUTURO</v>
      </c>
      <c r="U1610">
        <v>1500</v>
      </c>
      <c r="V1610" t="str">
        <v>KARINA</v>
      </c>
      <c r="W1610">
        <v>46286</v>
      </c>
      <c r="X1610" t="str">
        <v/>
      </c>
    </row>
    <row r="1611" spans="1:24">
      <c r="A1611">
        <v>3314</v>
      </c>
      <c r="B1611">
        <v>46285.416898148098</v>
      </c>
      <c r="C1611">
        <v>46285.420127314799</v>
      </c>
      <c r="D1611" t="str">
        <v>anónimo</v>
      </c>
      <c r="E1611" t="str">
        <v/>
      </c>
      <c r="F1611" s="68">
        <v>46285</v>
      </c>
      <c r="G1611">
        <v>46285</v>
      </c>
      <c r="H1611" t="str">
        <v>JAEL RUIZ</v>
      </c>
      <c r="I1611" t="str">
        <v>FRANCO PANTALEON AMBROSIO</v>
      </c>
      <c r="J1611">
        <v>67877171446</v>
      </c>
      <c r="K1611" t="str">
        <v>PAAF701217HVZNMR09</v>
      </c>
      <c r="L1611">
        <v>24671442</v>
      </c>
      <c r="M1611">
        <v>9241505122</v>
      </c>
      <c r="N1611" t="str">
        <v>NUEVO MAYOR</v>
      </c>
      <c r="O1611">
        <v>7718.73</v>
      </c>
      <c r="P1611" t="str">
        <v/>
      </c>
      <c r="Q1611">
        <v>2315.6189999999997</v>
      </c>
      <c r="R1611">
        <v>2315.6189999999997</v>
      </c>
      <c r="S1611" t="str">
        <v/>
      </c>
      <c r="T1611" t="str">
        <v/>
      </c>
      <c r="U1611" t="str">
        <v/>
      </c>
      <c r="V1611" t="str">
        <v>PAOLA</v>
      </c>
      <c r="W1611">
        <v>46286</v>
      </c>
      <c r="X1611" t="str">
        <v/>
      </c>
    </row>
    <row r="1612" spans="1:24">
      <c r="A1612">
        <v>3317</v>
      </c>
      <c r="B1612">
        <v>46285.473206018498</v>
      </c>
      <c r="C1612">
        <v>46285.473888888897</v>
      </c>
      <c r="D1612" t="str">
        <v>anónimo</v>
      </c>
      <c r="E1612" t="str">
        <v/>
      </c>
      <c r="F1612" s="68">
        <v>46285</v>
      </c>
      <c r="G1612">
        <v>46271</v>
      </c>
      <c r="H1612" t="str">
        <v>BEATRIZ DE LA CRUZ</v>
      </c>
      <c r="I1612" t="str">
        <v>RAUL ALBERTO IBARRA BUENO</v>
      </c>
      <c r="J1612" t="str">
        <v/>
      </c>
      <c r="K1612" t="str">
        <v xml:space="preserve">IABR640709HNTBNL09  </v>
      </c>
      <c r="L1612">
        <v>24285568</v>
      </c>
      <c r="M1612">
        <v>3222378254</v>
      </c>
      <c r="N1612" t="str">
        <v>NUEVO MAYOR</v>
      </c>
      <c r="O1612">
        <v>11029.03</v>
      </c>
      <c r="P1612" t="str">
        <v/>
      </c>
      <c r="Q1612">
        <v>3308.7090000000003</v>
      </c>
      <c r="R1612">
        <v>3308.7090000000003</v>
      </c>
      <c r="S1612" t="str">
        <v/>
      </c>
      <c r="T1612" t="str">
        <v/>
      </c>
      <c r="U1612" t="str">
        <v/>
      </c>
      <c r="V1612" t="str">
        <v>ANA</v>
      </c>
      <c r="W1612">
        <v>46286</v>
      </c>
      <c r="X1612" t="str">
        <v/>
      </c>
    </row>
    <row r="1613" spans="1:24">
      <c r="A1613">
        <v>3321</v>
      </c>
      <c r="B1613">
        <v>46285.582893518498</v>
      </c>
      <c r="C1613">
        <v>46285.584027777797</v>
      </c>
      <c r="D1613" t="str">
        <v>anónimo</v>
      </c>
      <c r="E1613" t="str">
        <v/>
      </c>
      <c r="F1613" s="68">
        <v>46285</v>
      </c>
      <c r="G1613">
        <v>46285</v>
      </c>
      <c r="H1613" t="str">
        <v>KATE MALPICA</v>
      </c>
      <c r="I1613" t="str">
        <v/>
      </c>
      <c r="J1613">
        <v>42806024586</v>
      </c>
      <c r="K1613" t="str">
        <v/>
      </c>
      <c r="L1613">
        <v>24672388</v>
      </c>
      <c r="M1613">
        <v>5512696370</v>
      </c>
      <c r="N1613" t="str">
        <v>NUEVO MAYOR</v>
      </c>
      <c r="O1613">
        <v>6262.86</v>
      </c>
      <c r="P1613" t="str">
        <v/>
      </c>
      <c r="Q1613">
        <v>1878.8579999999997</v>
      </c>
      <c r="R1613">
        <v>1878.8579999999997</v>
      </c>
      <c r="S1613" t="str">
        <v/>
      </c>
      <c r="T1613" t="str">
        <v/>
      </c>
      <c r="U1613" t="str">
        <v/>
      </c>
      <c r="V1613" t="str">
        <v>EDNA</v>
      </c>
      <c r="W1613">
        <v>46286</v>
      </c>
      <c r="X1613" t="str">
        <v/>
      </c>
    </row>
    <row r="1614" spans="1:24">
      <c r="A1614">
        <v>3333</v>
      </c>
      <c r="B1614">
        <v>46286.414953703701</v>
      </c>
      <c r="C1614">
        <v>46286.420416666697</v>
      </c>
      <c r="D1614" t="str">
        <v>anónimo</v>
      </c>
      <c r="E1614" t="str">
        <v/>
      </c>
      <c r="F1614" s="68">
        <v>46286</v>
      </c>
      <c r="G1614">
        <v>46286</v>
      </c>
      <c r="H1614" t="str">
        <v>ROSA CASTRO SUR</v>
      </c>
      <c r="I1614" t="str">
        <v xml:space="preserve">ROSA MARIA HINOJOSA DOMINGUEZ </v>
      </c>
      <c r="J1614" t="str">
        <v/>
      </c>
      <c r="K1614" t="str">
        <v>HIDR520901MDFNMS09</v>
      </c>
      <c r="L1614">
        <v>24688502</v>
      </c>
      <c r="M1614">
        <v>5215561052216</v>
      </c>
      <c r="N1614" t="str">
        <v>NUEVO MAYOR</v>
      </c>
      <c r="O1614">
        <v>39336.11</v>
      </c>
      <c r="P1614" t="str">
        <v/>
      </c>
      <c r="Q1614">
        <v>11800.833000000001</v>
      </c>
      <c r="R1614">
        <v>11800.833000000001</v>
      </c>
      <c r="S1614" t="str">
        <v/>
      </c>
      <c r="T1614" t="str">
        <v/>
      </c>
      <c r="U1614" t="str">
        <v/>
      </c>
      <c r="V1614" t="str">
        <v>MIRIAM</v>
      </c>
      <c r="W1614">
        <v>46286</v>
      </c>
      <c r="X1614" t="str">
        <v/>
      </c>
    </row>
    <row r="1615" spans="1:24">
      <c r="A1615">
        <v>3340</v>
      </c>
      <c r="B1615">
        <v>46286.471261574101</v>
      </c>
      <c r="C1615">
        <v>46286.471817129597</v>
      </c>
      <c r="D1615" t="str">
        <v>anónimo</v>
      </c>
      <c r="E1615" t="str">
        <v/>
      </c>
      <c r="F1615" s="68">
        <v>46286</v>
      </c>
      <c r="G1615">
        <v>46274</v>
      </c>
      <c r="H1615" t="str">
        <v>GIOVANNI MELGAR</v>
      </c>
      <c r="I1615" t="str">
        <v>HUMBERTO LIMAS HERNANDEZ</v>
      </c>
      <c r="J1615" t="str">
        <v>16806006660</v>
      </c>
      <c r="K1615" t="str">
        <v/>
      </c>
      <c r="L1615">
        <v>24360134</v>
      </c>
      <c r="M1615">
        <v>5217299744772</v>
      </c>
      <c r="N1615" t="str">
        <v>NUEVO MAYOR</v>
      </c>
      <c r="O1615">
        <v>10636.539999999997</v>
      </c>
      <c r="P1615" t="str">
        <v/>
      </c>
      <c r="Q1615">
        <v>3190.9619999999991</v>
      </c>
      <c r="R1615">
        <v>3190.9619999999991</v>
      </c>
      <c r="S1615" t="str">
        <v/>
      </c>
      <c r="T1615" t="str">
        <v/>
      </c>
      <c r="U1615" t="str">
        <v/>
      </c>
      <c r="V1615" t="str">
        <v>CAROLINA</v>
      </c>
      <c r="W1615">
        <v>46286</v>
      </c>
      <c r="X1615" t="str">
        <v/>
      </c>
    </row>
    <row r="1616" spans="1:24">
      <c r="A1616">
        <v>3346</v>
      </c>
      <c r="B1616">
        <v>46286.468472222201</v>
      </c>
      <c r="C1616">
        <v>46286.4910648148</v>
      </c>
      <c r="D1616" t="str">
        <v>anónimo</v>
      </c>
      <c r="E1616" t="str">
        <v/>
      </c>
      <c r="F1616" s="68">
        <v>46286</v>
      </c>
      <c r="G1616">
        <v>46286</v>
      </c>
      <c r="H1616" t="str">
        <v>LILIANA MARTINEZ SUR</v>
      </c>
      <c r="I1616" t="str">
        <v>ARACELY VAZQUEZ VAZQUEZ</v>
      </c>
      <c r="J1616">
        <v>43826704876</v>
      </c>
      <c r="K1616" t="str">
        <v>VAVA710817MNLZZR09</v>
      </c>
      <c r="L1616">
        <v>24694794</v>
      </c>
      <c r="M1616">
        <v>5218135662619</v>
      </c>
      <c r="N1616" t="str">
        <v>NUEVO MAYOR</v>
      </c>
      <c r="O1616">
        <v>8784.27</v>
      </c>
      <c r="P1616" t="str">
        <v/>
      </c>
      <c r="Q1616">
        <v>2635.2809999999999</v>
      </c>
      <c r="R1616">
        <v>2635.2809999999999</v>
      </c>
      <c r="S1616" t="str">
        <v/>
      </c>
      <c r="T1616" t="str">
        <v/>
      </c>
      <c r="U1616" t="str">
        <v/>
      </c>
      <c r="V1616" t="str">
        <v>LIDIA</v>
      </c>
      <c r="W1616">
        <v>46286</v>
      </c>
      <c r="X1616" t="str">
        <v/>
      </c>
    </row>
    <row r="1617" spans="1:24">
      <c r="A1617">
        <v>3349</v>
      </c>
      <c r="B1617">
        <v>46286.479097222204</v>
      </c>
      <c r="C1617">
        <v>46286.505104166703</v>
      </c>
      <c r="D1617" t="str">
        <v>anónimo</v>
      </c>
      <c r="E1617" t="str">
        <v/>
      </c>
      <c r="F1617" s="68">
        <v>46286</v>
      </c>
      <c r="G1617">
        <v>46286</v>
      </c>
      <c r="H1617" t="str">
        <v>RUTH MARTINEZ SUR</v>
      </c>
      <c r="I1617" t="str">
        <v>HECTOR RAMOS SANCHEZ</v>
      </c>
      <c r="J1617" t="str">
        <v/>
      </c>
      <c r="K1617" t="str">
        <v>RASH610706HDFMNC04</v>
      </c>
      <c r="L1617">
        <v>24690640</v>
      </c>
      <c r="M1617">
        <v>5217774122435</v>
      </c>
      <c r="N1617" t="str">
        <v>NUEVO MAYOR</v>
      </c>
      <c r="O1617">
        <v>10636.54</v>
      </c>
      <c r="P1617" t="str">
        <v/>
      </c>
      <c r="Q1617">
        <v>3190.962</v>
      </c>
      <c r="R1617">
        <v>3190.962</v>
      </c>
      <c r="S1617" t="str">
        <v/>
      </c>
      <c r="T1617" t="str">
        <v/>
      </c>
      <c r="U1617" t="str">
        <v/>
      </c>
      <c r="V1617" t="str">
        <v>LIDIA</v>
      </c>
      <c r="W1617">
        <v>46286</v>
      </c>
      <c r="X1617" t="str">
        <v/>
      </c>
    </row>
    <row r="1618" spans="1:24">
      <c r="A1618">
        <v>3350</v>
      </c>
      <c r="B1618">
        <v>46286.515625</v>
      </c>
      <c r="C1618">
        <v>46286.516064814801</v>
      </c>
      <c r="D1618" t="str">
        <v>anónimo</v>
      </c>
      <c r="E1618" t="str">
        <v/>
      </c>
      <c r="F1618" s="68">
        <v>46286</v>
      </c>
      <c r="G1618">
        <v>46286</v>
      </c>
      <c r="H1618" t="str">
        <v>GIOVANNI MELGAR</v>
      </c>
      <c r="I1618" t="str">
        <v>JOSE MARTINEZ ESPINOZA</v>
      </c>
      <c r="J1618" t="str">
        <v>78786103040</v>
      </c>
      <c r="K1618" t="str">
        <v>MAEJ611118HOCRSS07</v>
      </c>
      <c r="L1618">
        <v>24663894</v>
      </c>
      <c r="M1618">
        <v>5219341899260</v>
      </c>
      <c r="N1618" t="str">
        <v>COMPRA MENOR</v>
      </c>
      <c r="O1618">
        <v>6262.86</v>
      </c>
      <c r="P1618">
        <v>1810.99</v>
      </c>
      <c r="Q1618">
        <v>1878.8579999999997</v>
      </c>
      <c r="R1618">
        <v>67.867999999999711</v>
      </c>
      <c r="S1618">
        <v>45839</v>
      </c>
      <c r="T1618" t="str">
        <v>EXITUS</v>
      </c>
      <c r="U1618">
        <v>828.71</v>
      </c>
      <c r="V1618" t="str">
        <v>HECTOR</v>
      </c>
      <c r="W1618">
        <v>46286</v>
      </c>
      <c r="X1618" t="str">
        <v/>
      </c>
    </row>
    <row r="1619" spans="1:24">
      <c r="A1619">
        <v>3351</v>
      </c>
      <c r="B1619">
        <v>46286.480416666702</v>
      </c>
      <c r="C1619">
        <v>46286.519976851901</v>
      </c>
      <c r="D1619" t="str">
        <v>anónimo</v>
      </c>
      <c r="E1619" t="str">
        <v/>
      </c>
      <c r="F1619" s="68">
        <v>46286</v>
      </c>
      <c r="G1619">
        <v>46284</v>
      </c>
      <c r="H1619" t="str">
        <v>ROSA CASTRO SUR</v>
      </c>
      <c r="I1619" t="str">
        <v>LEA MARBELLA CAMACHO RAYGOZA</v>
      </c>
      <c r="J1619" t="str">
        <v>23735300198</v>
      </c>
      <c r="K1619" t="str">
        <v>CARL521104MSLMYX09</v>
      </c>
      <c r="L1619">
        <v>24663446</v>
      </c>
      <c r="M1619">
        <v>5216672033856</v>
      </c>
      <c r="N1619" t="str">
        <v>NUEVO MENOR</v>
      </c>
      <c r="O1619">
        <v>5278.13</v>
      </c>
      <c r="P1619" t="str">
        <v/>
      </c>
      <c r="Q1619">
        <v>1583.4390000000001</v>
      </c>
      <c r="R1619">
        <v>1105.1500000000005</v>
      </c>
      <c r="S1619">
        <v>46539</v>
      </c>
      <c r="T1619" t="str">
        <v>GFI</v>
      </c>
      <c r="U1619">
        <v>1064</v>
      </c>
      <c r="V1619" t="str">
        <v>BEATRIZ</v>
      </c>
      <c r="W1619">
        <v>46286</v>
      </c>
      <c r="X1619" t="str">
        <v/>
      </c>
    </row>
    <row r="1620" spans="1:24">
      <c r="A1620">
        <v>3352</v>
      </c>
      <c r="B1620">
        <v>46286.519988425898</v>
      </c>
      <c r="C1620">
        <v>46286.530856481499</v>
      </c>
      <c r="D1620" t="str">
        <v>anónimo</v>
      </c>
      <c r="E1620" t="str">
        <v/>
      </c>
      <c r="F1620" s="68">
        <v>46286</v>
      </c>
      <c r="G1620">
        <v>46286</v>
      </c>
      <c r="H1620" t="str">
        <v>ROSA CASTRO SUR</v>
      </c>
      <c r="I1620" t="str">
        <v xml:space="preserve">SERGIO BALLESTEROS RIVAS </v>
      </c>
      <c r="J1620">
        <v>33816295852</v>
      </c>
      <c r="K1620" t="str">
        <v>BARS620726HCHLVR09</v>
      </c>
      <c r="L1620">
        <v>24457790</v>
      </c>
      <c r="M1620">
        <v>5216143443265</v>
      </c>
      <c r="N1620" t="str">
        <v>NUEVO MAYOR</v>
      </c>
      <c r="O1620">
        <v>34372.21</v>
      </c>
      <c r="P1620" t="str">
        <v/>
      </c>
      <c r="Q1620">
        <v>10311.662999999999</v>
      </c>
      <c r="R1620">
        <v>10311.662999999999</v>
      </c>
      <c r="S1620" t="str">
        <v/>
      </c>
      <c r="T1620" t="str">
        <v/>
      </c>
      <c r="U1620" t="str">
        <v/>
      </c>
      <c r="V1620" t="str">
        <v>IRASEMA</v>
      </c>
      <c r="W1620">
        <v>46286</v>
      </c>
      <c r="X1620" t="str">
        <v/>
      </c>
    </row>
    <row r="1621" spans="1:24">
      <c r="A1621">
        <v>3356</v>
      </c>
      <c r="B1621">
        <v>46286.572060185201</v>
      </c>
      <c r="C1621">
        <v>46286.572986111103</v>
      </c>
      <c r="D1621" t="str">
        <v>anónimo</v>
      </c>
      <c r="E1621" t="str">
        <v/>
      </c>
      <c r="F1621" s="68">
        <v>46286</v>
      </c>
      <c r="G1621">
        <v>46285</v>
      </c>
      <c r="H1621" t="str">
        <v>CLAUDIA LAGUNES</v>
      </c>
      <c r="I1621" t="str">
        <v>ANA MARIA BARBOSA ALVAREZ</v>
      </c>
      <c r="J1621">
        <v>75956000030</v>
      </c>
      <c r="K1621" t="str">
        <v>BAAA600614MJCRLN02</v>
      </c>
      <c r="L1621">
        <v>24684426</v>
      </c>
      <c r="M1621">
        <v>3321852663</v>
      </c>
      <c r="N1621" t="str">
        <v>RESTRINGIDA</v>
      </c>
      <c r="O1621">
        <v>5617.6299999999992</v>
      </c>
      <c r="P1621">
        <v>1166.9000000000001</v>
      </c>
      <c r="Q1621">
        <v>1685.2889999999998</v>
      </c>
      <c r="R1621">
        <v>277.74999999999955</v>
      </c>
      <c r="S1621">
        <v>45383</v>
      </c>
      <c r="T1621" t="str">
        <v>CONSUBANCO</v>
      </c>
      <c r="U1621">
        <v>1166.9000000000001</v>
      </c>
      <c r="V1621" t="str">
        <v>DANIELLY</v>
      </c>
      <c r="W1621">
        <v>46286</v>
      </c>
      <c r="X1621" t="str">
        <v/>
      </c>
    </row>
    <row r="1622" spans="1:24">
      <c r="A1622">
        <v>3359</v>
      </c>
      <c r="B1622">
        <v>46286.592569444401</v>
      </c>
      <c r="C1622">
        <v>46286.595312500001</v>
      </c>
      <c r="D1622" t="str">
        <v>anónimo</v>
      </c>
      <c r="E1622" t="str">
        <v/>
      </c>
      <c r="F1622" s="68">
        <v>46286</v>
      </c>
      <c r="G1622">
        <v>46286</v>
      </c>
      <c r="H1622" t="str">
        <v>JAEL RUIZ</v>
      </c>
      <c r="I1622" t="str">
        <v>LAURO MANUEL ROJAS ALMAZAN</v>
      </c>
      <c r="J1622">
        <v>11805700645</v>
      </c>
      <c r="K1622" t="str">
        <v/>
      </c>
      <c r="L1622">
        <v>24701674</v>
      </c>
      <c r="M1622">
        <v>7223502206</v>
      </c>
      <c r="N1622" t="str">
        <v>COMPRA MAYOR</v>
      </c>
      <c r="O1622">
        <v>15479.43</v>
      </c>
      <c r="P1622">
        <v>4643.83</v>
      </c>
      <c r="Q1622">
        <v>4643.8289999999997</v>
      </c>
      <c r="R1622">
        <v>-1.0000000002037268E-3</v>
      </c>
      <c r="S1622">
        <v>45839</v>
      </c>
      <c r="T1622" t="str">
        <v>EXITUS</v>
      </c>
      <c r="U1622">
        <v>2132.5500000000002</v>
      </c>
      <c r="V1622" t="str">
        <v>ITZEL CARRANZA</v>
      </c>
      <c r="W1622">
        <v>46286</v>
      </c>
      <c r="X1622" t="str">
        <v/>
      </c>
    </row>
    <row r="1623" spans="1:24">
      <c r="A1623">
        <v>3361</v>
      </c>
      <c r="B1623">
        <v>46286.602557870399</v>
      </c>
      <c r="C1623">
        <v>46286.608460648102</v>
      </c>
      <c r="D1623" t="str">
        <v>anónimo</v>
      </c>
      <c r="E1623" t="str">
        <v/>
      </c>
      <c r="F1623" s="68">
        <v>46286</v>
      </c>
      <c r="G1623">
        <v>46286</v>
      </c>
      <c r="H1623" t="str">
        <v>GUADALUPE CRUZ SUR</v>
      </c>
      <c r="I1623" t="str">
        <v xml:space="preserve">MANUEL ADAME LOPEZ </v>
      </c>
      <c r="J1623" t="str">
        <v>06836104049</v>
      </c>
      <c r="K1623" t="str">
        <v/>
      </c>
      <c r="L1623">
        <v>24702308</v>
      </c>
      <c r="M1623">
        <v>5215561816827</v>
      </c>
      <c r="N1623" t="str">
        <v>NUEVO MAYOR</v>
      </c>
      <c r="O1623">
        <v>9760.32</v>
      </c>
      <c r="P1623">
        <v>879</v>
      </c>
      <c r="Q1623">
        <v>2928.096</v>
      </c>
      <c r="R1623">
        <v>2049.096</v>
      </c>
      <c r="S1623" t="str">
        <v/>
      </c>
      <c r="T1623" t="str">
        <v/>
      </c>
      <c r="U1623" t="str">
        <v/>
      </c>
      <c r="V1623" t="str">
        <v>ITZELH</v>
      </c>
      <c r="W1623">
        <v>46286</v>
      </c>
      <c r="X1623" t="str">
        <v/>
      </c>
    </row>
    <row r="1624" spans="1:24">
      <c r="A1624">
        <v>3362</v>
      </c>
      <c r="B1624">
        <v>46286.5999884259</v>
      </c>
      <c r="C1624">
        <v>46286.609710648103</v>
      </c>
      <c r="D1624" t="str">
        <v>anónimo</v>
      </c>
      <c r="E1624" t="str">
        <v/>
      </c>
      <c r="F1624" s="68">
        <v>46286</v>
      </c>
      <c r="G1624">
        <v>46284</v>
      </c>
      <c r="H1624" t="str">
        <v>GUADALUPE CRUZ SUR</v>
      </c>
      <c r="I1624" t="str">
        <v>CARMEN OLIVIA VAZQUEZ HERNANDEZ</v>
      </c>
      <c r="J1624">
        <v>5284610026</v>
      </c>
      <c r="K1624" t="str">
        <v>VAHC610412MCMZRR05</v>
      </c>
      <c r="L1624">
        <v>24664114</v>
      </c>
      <c r="M1624">
        <v>5213143586340</v>
      </c>
      <c r="N1624" t="str">
        <v>NUEVO MAYOR</v>
      </c>
      <c r="O1624">
        <v>6262.86</v>
      </c>
      <c r="P1624" t="str">
        <v/>
      </c>
      <c r="Q1624">
        <v>1878.8579999999997</v>
      </c>
      <c r="R1624">
        <v>1878.8579999999997</v>
      </c>
      <c r="S1624" t="str">
        <v/>
      </c>
      <c r="T1624" t="str">
        <v/>
      </c>
      <c r="U1624" t="str">
        <v/>
      </c>
      <c r="V1624" t="str">
        <v>KARINA</v>
      </c>
      <c r="W1624">
        <v>46286</v>
      </c>
      <c r="X1624" t="str">
        <v/>
      </c>
    </row>
    <row r="1625" spans="1:24">
      <c r="A1625">
        <v>3365</v>
      </c>
      <c r="B1625">
        <v>46286.653298611098</v>
      </c>
      <c r="C1625">
        <v>46286.656284722201</v>
      </c>
      <c r="D1625" t="str">
        <v>anónimo</v>
      </c>
      <c r="E1625" t="str">
        <v/>
      </c>
      <c r="F1625" s="68">
        <v>46286</v>
      </c>
      <c r="G1625">
        <v>46283</v>
      </c>
      <c r="H1625" t="str">
        <v>GIOVANNI MELGAR</v>
      </c>
      <c r="I1625" t="str">
        <v>DIONISIO TRINIDAD CHAVEZ PERDOMO</v>
      </c>
      <c r="J1625" t="str">
        <v>06755530349</v>
      </c>
      <c r="K1625" t="str">
        <v>CAPD551116HMCHRN03</v>
      </c>
      <c r="L1625">
        <v>24640862</v>
      </c>
      <c r="M1625">
        <v>5217222864535</v>
      </c>
      <c r="N1625" t="str">
        <v>NUEVO MAYOR</v>
      </c>
      <c r="O1625">
        <v>7343.62</v>
      </c>
      <c r="P1625" t="str">
        <v/>
      </c>
      <c r="Q1625">
        <v>2203.0859999999998</v>
      </c>
      <c r="R1625">
        <v>2203.0859999999998</v>
      </c>
      <c r="S1625" t="str">
        <v/>
      </c>
      <c r="T1625" t="str">
        <v/>
      </c>
      <c r="U1625" t="str">
        <v/>
      </c>
      <c r="V1625" t="str">
        <v>ANDRE</v>
      </c>
      <c r="W1625">
        <v>46286</v>
      </c>
      <c r="X1625" t="str">
        <v/>
      </c>
    </row>
    <row r="1626" spans="1:24">
      <c r="A1626">
        <v>3367</v>
      </c>
      <c r="B1626">
        <v>46286.657164351898</v>
      </c>
      <c r="C1626">
        <v>46286.657962963</v>
      </c>
      <c r="D1626" t="str">
        <v>anónimo</v>
      </c>
      <c r="E1626" t="str">
        <v/>
      </c>
      <c r="F1626" s="68">
        <v>46286</v>
      </c>
      <c r="G1626">
        <v>46286</v>
      </c>
      <c r="H1626" t="str">
        <v>KATE MALPICA</v>
      </c>
      <c r="I1626" t="str">
        <v/>
      </c>
      <c r="J1626" t="str">
        <v>32796257494</v>
      </c>
      <c r="K1626" t="str">
        <v/>
      </c>
      <c r="L1626">
        <v>24699018</v>
      </c>
      <c r="M1626">
        <v>3141024036</v>
      </c>
      <c r="N1626" t="str">
        <v>NUEVO MAYOR</v>
      </c>
      <c r="O1626">
        <v>20225.28</v>
      </c>
      <c r="P1626" t="str">
        <v/>
      </c>
      <c r="Q1626">
        <v>6067.5839999999998</v>
      </c>
      <c r="R1626">
        <v>6067.5839999999998</v>
      </c>
      <c r="S1626" t="str">
        <v/>
      </c>
      <c r="T1626" t="str">
        <v/>
      </c>
      <c r="U1626" t="str">
        <v/>
      </c>
      <c r="V1626" t="str">
        <v>ANA</v>
      </c>
      <c r="W1626">
        <v>46286</v>
      </c>
      <c r="X1626" t="str">
        <v/>
      </c>
    </row>
    <row r="1627" spans="1:24">
      <c r="A1627">
        <v>3368</v>
      </c>
      <c r="B1627">
        <v>46286.657222222202</v>
      </c>
      <c r="C1627">
        <v>46286.658958333297</v>
      </c>
      <c r="D1627" t="str">
        <v>anónimo</v>
      </c>
      <c r="E1627" t="str">
        <v/>
      </c>
      <c r="F1627" s="68">
        <v>46286</v>
      </c>
      <c r="G1627">
        <v>46286</v>
      </c>
      <c r="H1627" t="str">
        <v>JAEL RUIZ</v>
      </c>
      <c r="I1627" t="str">
        <v>PETRA LETICIA VALVEZ REYES</v>
      </c>
      <c r="J1627">
        <v>24856513171</v>
      </c>
      <c r="K1627" t="str">
        <v/>
      </c>
      <c r="L1627">
        <v>24704306</v>
      </c>
      <c r="M1627">
        <v>6442365758</v>
      </c>
      <c r="N1627" t="str">
        <v>NUEVO MAYOR</v>
      </c>
      <c r="O1627">
        <v>16013.99</v>
      </c>
      <c r="P1627" t="str">
        <v/>
      </c>
      <c r="Q1627">
        <v>4804.1970000000001</v>
      </c>
      <c r="R1627">
        <v>4804.1970000000001</v>
      </c>
      <c r="S1627" t="str">
        <v/>
      </c>
      <c r="T1627" t="str">
        <v/>
      </c>
      <c r="U1627" t="str">
        <v/>
      </c>
      <c r="V1627" t="str">
        <v>PAOLA</v>
      </c>
      <c r="W1627">
        <v>46286</v>
      </c>
      <c r="X1627" t="str">
        <v/>
      </c>
    </row>
    <row r="1628" spans="1:24">
      <c r="A1628">
        <v>3369</v>
      </c>
      <c r="B1628">
        <v>46286.658113425903</v>
      </c>
      <c r="C1628">
        <v>46286.665509259299</v>
      </c>
      <c r="D1628" t="str">
        <v>anónimo</v>
      </c>
      <c r="E1628" t="str">
        <v/>
      </c>
      <c r="F1628" s="68">
        <v>46286</v>
      </c>
      <c r="G1628">
        <v>46286</v>
      </c>
      <c r="H1628" t="str">
        <v>GUADALUPE CRUZ SUR</v>
      </c>
      <c r="I1628" t="str">
        <v xml:space="preserve">ALEJANDRO PLATA MARTÍNEZ </v>
      </c>
      <c r="J1628" t="str">
        <v/>
      </c>
      <c r="K1628" t="str">
        <v>PAMA651207HDFLRL07</v>
      </c>
      <c r="L1628">
        <v>24702914</v>
      </c>
      <c r="M1628">
        <v>5215643581041</v>
      </c>
      <c r="N1628" t="str">
        <v>NUEVO MAYOR</v>
      </c>
      <c r="O1628">
        <v>11029.03</v>
      </c>
      <c r="P1628" t="str">
        <v/>
      </c>
      <c r="Q1628">
        <v>3308.7090000000003</v>
      </c>
      <c r="R1628">
        <v>3308.7090000000003</v>
      </c>
      <c r="S1628" t="str">
        <v/>
      </c>
      <c r="T1628" t="str">
        <v/>
      </c>
      <c r="U1628" t="str">
        <v/>
      </c>
      <c r="V1628" t="str">
        <v>MIRIAM</v>
      </c>
      <c r="W1628">
        <v>46286</v>
      </c>
      <c r="X1628" t="str">
        <v/>
      </c>
    </row>
    <row r="1629" spans="1:24">
      <c r="A1629">
        <v>3371</v>
      </c>
      <c r="B1629">
        <v>46286.6733564815</v>
      </c>
      <c r="C1629">
        <v>46286.677129629599</v>
      </c>
      <c r="D1629" t="str">
        <v>anónimo</v>
      </c>
      <c r="E1629" t="str">
        <v/>
      </c>
      <c r="F1629" s="68">
        <v>46286</v>
      </c>
      <c r="G1629">
        <v>46286</v>
      </c>
      <c r="H1629" t="str">
        <v>LILIANA MARTINEZ SUR</v>
      </c>
      <c r="I1629" t="str">
        <v>GUSTAVO LARA BUSTOS</v>
      </c>
      <c r="J1629" t="str">
        <v/>
      </c>
      <c r="K1629" t="str">
        <v>LABG580609HGTRSS04</v>
      </c>
      <c r="L1629">
        <v>24691360</v>
      </c>
      <c r="M1629">
        <v>5214767375737</v>
      </c>
      <c r="N1629" t="str">
        <v>NUEVO MAYOR</v>
      </c>
      <c r="O1629">
        <v>10636.54</v>
      </c>
      <c r="P1629" t="str">
        <v/>
      </c>
      <c r="Q1629">
        <v>3190.962</v>
      </c>
      <c r="R1629">
        <v>3190.962</v>
      </c>
      <c r="S1629" t="str">
        <v/>
      </c>
      <c r="T1629" t="str">
        <v/>
      </c>
      <c r="U1629" t="str">
        <v/>
      </c>
      <c r="V1629" t="str">
        <v>EDNA</v>
      </c>
      <c r="W1629">
        <v>46286</v>
      </c>
      <c r="X1629" t="str">
        <v/>
      </c>
    </row>
    <row r="1630" spans="1:24">
      <c r="A1630">
        <v>3373</v>
      </c>
      <c r="B1630">
        <v>46286.686874999999</v>
      </c>
      <c r="C1630">
        <v>46286.687430555598</v>
      </c>
      <c r="D1630" t="str">
        <v>anónimo</v>
      </c>
      <c r="E1630" t="str">
        <v/>
      </c>
      <c r="F1630" s="68">
        <v>46286</v>
      </c>
      <c r="G1630">
        <v>46286</v>
      </c>
      <c r="H1630" t="str">
        <v>CLAUDIA LAGUNES</v>
      </c>
      <c r="I1630" t="str">
        <v>MARTHA SOLEDAD VARGAS LÓPEZ</v>
      </c>
      <c r="J1630">
        <v>65775700787</v>
      </c>
      <c r="K1630" t="str">
        <v/>
      </c>
      <c r="L1630">
        <v>24704434</v>
      </c>
      <c r="M1630">
        <v>2291612011</v>
      </c>
      <c r="N1630" t="str">
        <v>NUEVO MAYOR</v>
      </c>
      <c r="O1630">
        <v>25710.6</v>
      </c>
      <c r="P1630" t="str">
        <v/>
      </c>
      <c r="Q1630">
        <v>7713.1799999999994</v>
      </c>
      <c r="R1630">
        <v>7713.1799999999994</v>
      </c>
      <c r="S1630" t="str">
        <v/>
      </c>
      <c r="T1630" t="str">
        <v/>
      </c>
      <c r="U1630" t="str">
        <v/>
      </c>
      <c r="V1630" t="str">
        <v>IRASEMA</v>
      </c>
      <c r="W1630">
        <v>46286</v>
      </c>
      <c r="X1630" t="str">
        <v/>
      </c>
    </row>
    <row r="1631" spans="1:24">
      <c r="A1631">
        <v>3374</v>
      </c>
      <c r="B1631">
        <v>46286.689085648097</v>
      </c>
      <c r="C1631">
        <v>46286.690891203703</v>
      </c>
      <c r="D1631" t="str">
        <v>anónimo</v>
      </c>
      <c r="E1631" t="str">
        <v/>
      </c>
      <c r="F1631" s="68">
        <v>46286</v>
      </c>
      <c r="G1631">
        <v>46286</v>
      </c>
      <c r="H1631" t="str">
        <v>KATE MALPICA</v>
      </c>
      <c r="I1631" t="str">
        <v>BERNARDO 	RODRIGUEZ 	GONZALEZ</v>
      </c>
      <c r="J1631">
        <v>23876658016</v>
      </c>
      <c r="K1631" t="str">
        <v>ROGB660819HSLDNR03</v>
      </c>
      <c r="L1631">
        <v>24695688</v>
      </c>
      <c r="M1631">
        <v>6692525519</v>
      </c>
      <c r="N1631" t="str">
        <v>NUEVO MAYOR</v>
      </c>
      <c r="O1631">
        <v>10636.539999999999</v>
      </c>
      <c r="P1631" t="str">
        <v/>
      </c>
      <c r="Q1631">
        <v>3190.9619999999995</v>
      </c>
      <c r="R1631">
        <v>3190.9619999999995</v>
      </c>
      <c r="S1631" t="str">
        <v/>
      </c>
      <c r="T1631" t="str">
        <v/>
      </c>
      <c r="U1631" t="str">
        <v/>
      </c>
      <c r="V1631" t="str">
        <v>LIDIA</v>
      </c>
      <c r="W1631">
        <v>46286</v>
      </c>
      <c r="X1631" t="str">
        <v/>
      </c>
    </row>
    <row r="1632" spans="1:24">
      <c r="A1632">
        <v>3375</v>
      </c>
      <c r="B1632">
        <v>46286.6262615741</v>
      </c>
      <c r="C1632">
        <v>46286.695497685199</v>
      </c>
      <c r="D1632" t="str">
        <v>anónimo</v>
      </c>
      <c r="E1632" t="str">
        <v/>
      </c>
      <c r="F1632" s="68">
        <v>46286</v>
      </c>
      <c r="G1632">
        <v>46286</v>
      </c>
      <c r="H1632" t="str">
        <v>LUZ BANDA</v>
      </c>
      <c r="I1632" t="str">
        <v xml:space="preserve">Luis Arturo Romo Hernandez </v>
      </c>
      <c r="J1632" t="str">
        <v>32998061256</v>
      </c>
      <c r="K1632" t="str">
        <v>ROHL800702HCLMRS02</v>
      </c>
      <c r="L1632">
        <v>24674454</v>
      </c>
      <c r="M1632">
        <v>8663473095</v>
      </c>
      <c r="N1632" t="str">
        <v>NUEVO MAYOR</v>
      </c>
      <c r="O1632">
        <v>6089.18</v>
      </c>
      <c r="P1632" t="str">
        <v/>
      </c>
      <c r="Q1632">
        <v>1826.7540000000001</v>
      </c>
      <c r="R1632">
        <v>1826.7540000000001</v>
      </c>
      <c r="S1632" t="str">
        <v/>
      </c>
      <c r="T1632" t="str">
        <v/>
      </c>
      <c r="U1632" t="str">
        <v/>
      </c>
      <c r="V1632" t="str">
        <v>CAROLINA</v>
      </c>
      <c r="W1632">
        <v>46286</v>
      </c>
      <c r="X1632" t="str">
        <v/>
      </c>
    </row>
    <row r="1633" spans="1:24">
      <c r="A1633">
        <v>3381</v>
      </c>
      <c r="B1633">
        <v>46286.748194444401</v>
      </c>
      <c r="C1633">
        <v>46286.75</v>
      </c>
      <c r="D1633" t="str">
        <v>anónimo</v>
      </c>
      <c r="E1633" t="str">
        <v/>
      </c>
      <c r="F1633" s="68">
        <v>46286</v>
      </c>
      <c r="G1633">
        <v>46286</v>
      </c>
      <c r="H1633" t="str">
        <v>ROSA CASTRO SUR</v>
      </c>
      <c r="I1633" t="str">
        <v>MARIA DE LOS ANGELES MENDOZA JIMENEZ</v>
      </c>
      <c r="J1633" t="str">
        <v/>
      </c>
      <c r="K1633" t="str">
        <v>MEJA601115MMNNMN00</v>
      </c>
      <c r="L1633">
        <v>24706956</v>
      </c>
      <c r="M1633">
        <v>5217151044474</v>
      </c>
      <c r="N1633" t="str">
        <v>NUEVO MAYOR</v>
      </c>
      <c r="O1633">
        <v>20033.3</v>
      </c>
      <c r="P1633" t="str">
        <v/>
      </c>
      <c r="Q1633">
        <v>6009.99</v>
      </c>
      <c r="R1633">
        <v>6009.99</v>
      </c>
      <c r="S1633" t="str">
        <v/>
      </c>
      <c r="T1633" t="str">
        <v/>
      </c>
      <c r="U1633" t="str">
        <v/>
      </c>
      <c r="V1633" t="str">
        <v>KARINA</v>
      </c>
      <c r="W1633">
        <v>46286</v>
      </c>
      <c r="X1633" t="str">
        <v/>
      </c>
    </row>
    <row r="1634" spans="1:24">
      <c r="A1634">
        <v>3382</v>
      </c>
      <c r="B1634">
        <v>46286.752280092602</v>
      </c>
      <c r="C1634">
        <v>46286.7526967593</v>
      </c>
      <c r="D1634" t="str">
        <v>anónimo</v>
      </c>
      <c r="E1634" t="str">
        <v/>
      </c>
      <c r="F1634" s="68">
        <v>46286</v>
      </c>
      <c r="G1634">
        <v>46286</v>
      </c>
      <c r="H1634" t="str">
        <v>GIOVANNI MELGAR</v>
      </c>
      <c r="I1634" t="str">
        <v>JAVIER MARTINEZ ROMERO</v>
      </c>
      <c r="J1634" t="str">
        <v/>
      </c>
      <c r="K1634" t="str">
        <v>MARJ640525HPLRMV07</v>
      </c>
      <c r="L1634">
        <v>24707244</v>
      </c>
      <c r="M1634">
        <v>5212213543279</v>
      </c>
      <c r="N1634" t="str">
        <v>NUEVO MAYOR</v>
      </c>
      <c r="O1634">
        <v>22522.6</v>
      </c>
      <c r="P1634" t="str">
        <v/>
      </c>
      <c r="Q1634">
        <v>6756.78</v>
      </c>
      <c r="R1634">
        <v>6756.78</v>
      </c>
      <c r="S1634" t="str">
        <v/>
      </c>
      <c r="T1634" t="str">
        <v/>
      </c>
      <c r="U1634" t="str">
        <v/>
      </c>
      <c r="V1634" t="str">
        <v>MARISOL</v>
      </c>
      <c r="W1634">
        <v>46286</v>
      </c>
      <c r="X1634" t="str">
        <v/>
      </c>
    </row>
    <row r="1635" spans="1:24">
      <c r="A1635">
        <v>3385</v>
      </c>
      <c r="B1635">
        <v>46287.343055555597</v>
      </c>
      <c r="C1635">
        <v>46287.346192129597</v>
      </c>
      <c r="D1635" t="str">
        <v>anónimo</v>
      </c>
      <c r="E1635" t="str">
        <v/>
      </c>
      <c r="F1635" s="68">
        <v>46287</v>
      </c>
      <c r="G1635">
        <v>46285</v>
      </c>
      <c r="H1635" t="str">
        <v>KATE MALPICA</v>
      </c>
      <c r="I1635" t="str">
        <v>EUSEBIO URDIANO SEGURA</v>
      </c>
      <c r="J1635" t="str">
        <v/>
      </c>
      <c r="K1635" t="str">
        <v>UISE780623HJCRGS05</v>
      </c>
      <c r="L1635">
        <v>24680220</v>
      </c>
      <c r="M1635">
        <v>3321541078</v>
      </c>
      <c r="N1635" t="str">
        <v>NUEVO MAYOR</v>
      </c>
      <c r="O1635">
        <v>8706.24</v>
      </c>
      <c r="P1635" t="str">
        <v/>
      </c>
      <c r="Q1635">
        <v>2611.8719999999998</v>
      </c>
      <c r="R1635">
        <v>2611.8719999999998</v>
      </c>
      <c r="S1635" t="str">
        <v/>
      </c>
      <c r="T1635" t="str">
        <v/>
      </c>
      <c r="U1635" t="str">
        <v/>
      </c>
      <c r="V1635" t="str">
        <v>CAROLINA</v>
      </c>
      <c r="W1635">
        <v>46287</v>
      </c>
      <c r="X1635" t="str">
        <v/>
      </c>
    </row>
    <row r="1636" spans="1:24">
      <c r="A1636">
        <v>3388</v>
      </c>
      <c r="B1636">
        <v>46287.385439814803</v>
      </c>
      <c r="C1636">
        <v>46287.415428240703</v>
      </c>
      <c r="D1636" t="str">
        <v>anónimo</v>
      </c>
      <c r="E1636" t="str">
        <v/>
      </c>
      <c r="F1636" s="68">
        <v>46287</v>
      </c>
      <c r="G1636">
        <v>46287</v>
      </c>
      <c r="H1636" t="str">
        <v>YAMILETH CARDONA EXT 2</v>
      </c>
      <c r="I1636" t="str">
        <v>LEOBARDO LUGO SALAS</v>
      </c>
      <c r="J1636">
        <v>43806513685</v>
      </c>
      <c r="K1636" t="str">
        <v>LUSL650118HZSGLB05</v>
      </c>
      <c r="L1636">
        <v>2</v>
      </c>
      <c r="M1636" t="str">
        <v>844 340 0488</v>
      </c>
      <c r="N1636" t="str">
        <v>NUEVO MAYOR</v>
      </c>
      <c r="O1636">
        <v>10978.38</v>
      </c>
      <c r="P1636" t="str">
        <v/>
      </c>
      <c r="Q1636">
        <v>3293.5139999999997</v>
      </c>
      <c r="R1636">
        <v>3293.5139999999997</v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</row>
    <row r="1637" spans="1:24">
      <c r="A1637">
        <v>3389</v>
      </c>
      <c r="B1637">
        <v>46287.417094907403</v>
      </c>
      <c r="C1637">
        <v>46287.417986111097</v>
      </c>
      <c r="D1637" t="str">
        <v>anónimo</v>
      </c>
      <c r="E1637" t="str">
        <v/>
      </c>
      <c r="F1637" s="68">
        <v>46287</v>
      </c>
      <c r="G1637">
        <v>46287</v>
      </c>
      <c r="H1637" t="str">
        <v>GIOVANNI MELGAR</v>
      </c>
      <c r="I1637" t="str">
        <v>HORTENCIA VARGAS GONZALEZ</v>
      </c>
      <c r="J1637" t="str">
        <v xml:space="preserve">11826307891
</v>
      </c>
      <c r="K1637" t="str">
        <v>VAGH630917MMCRNR00</v>
      </c>
      <c r="L1637">
        <v>24737898</v>
      </c>
      <c r="M1637">
        <v>5214421272379</v>
      </c>
      <c r="N1637" t="str">
        <v>NUEVO MAYOR</v>
      </c>
      <c r="O1637">
        <v>53271.57</v>
      </c>
      <c r="P1637" t="str">
        <v/>
      </c>
      <c r="Q1637">
        <v>15981.471</v>
      </c>
      <c r="R1637">
        <v>15981.471</v>
      </c>
      <c r="S1637" t="str">
        <v/>
      </c>
      <c r="T1637" t="str">
        <v/>
      </c>
      <c r="U1637" t="str">
        <v/>
      </c>
      <c r="V1637" t="str">
        <v>MARISOL</v>
      </c>
      <c r="W1637">
        <v>46287</v>
      </c>
      <c r="X1637" t="str">
        <v/>
      </c>
    </row>
    <row r="1638" spans="1:24">
      <c r="A1638">
        <v>3395</v>
      </c>
      <c r="B1638">
        <v>46287.4429282407</v>
      </c>
      <c r="C1638">
        <v>46287.444270833301</v>
      </c>
      <c r="D1638" t="str">
        <v>anónimo</v>
      </c>
      <c r="E1638" t="str">
        <v/>
      </c>
      <c r="F1638" s="68">
        <v>46287</v>
      </c>
      <c r="G1638">
        <v>46287</v>
      </c>
      <c r="H1638" t="str">
        <v>ALAN ALTAMIRANO EXT</v>
      </c>
      <c r="I1638" t="str">
        <v xml:space="preserve">HUMBERTO FERNÁNDEZ LÓPEZ </v>
      </c>
      <c r="J1638">
        <v>65835932560</v>
      </c>
      <c r="K1638" t="str">
        <v/>
      </c>
      <c r="L1638">
        <v>1</v>
      </c>
      <c r="M1638">
        <v>2285917782</v>
      </c>
      <c r="N1638" t="str">
        <v>COMPRA MAYOR</v>
      </c>
      <c r="O1638">
        <v>5547.14</v>
      </c>
      <c r="P1638">
        <v>1374.15</v>
      </c>
      <c r="Q1638">
        <v>1664.1420000000001</v>
      </c>
      <c r="R1638">
        <v>1.0000000000673026E-2</v>
      </c>
      <c r="S1638">
        <v>45597</v>
      </c>
      <c r="T1638" t="str">
        <v>BANCREA</v>
      </c>
      <c r="U1638">
        <v>1125.72</v>
      </c>
      <c r="V1638" t="str">
        <v/>
      </c>
      <c r="W1638" t="str">
        <v/>
      </c>
      <c r="X1638" t="str">
        <v/>
      </c>
    </row>
    <row r="1639" spans="1:24">
      <c r="A1639">
        <v>3396</v>
      </c>
      <c r="B1639">
        <v>46287.3546180556</v>
      </c>
      <c r="C1639">
        <v>46287.449143518497</v>
      </c>
      <c r="D1639" t="str">
        <v>anónimo</v>
      </c>
      <c r="E1639" t="str">
        <v/>
      </c>
      <c r="F1639" s="68">
        <v>46287</v>
      </c>
      <c r="G1639">
        <v>46286</v>
      </c>
      <c r="H1639" t="str">
        <v>CLAUDIA LAGUNES</v>
      </c>
      <c r="I1639" t="str">
        <v>JUAN MARTIN MAURICIO RAMIREZ</v>
      </c>
      <c r="J1639">
        <v>328160811</v>
      </c>
      <c r="K1639" t="str">
        <v>MARJ600917HCLRMN02</v>
      </c>
      <c r="L1639">
        <v>24696360</v>
      </c>
      <c r="M1639">
        <v>8442111989</v>
      </c>
      <c r="N1639" t="str">
        <v>NUEVO MENOR</v>
      </c>
      <c r="O1639">
        <v>23207.47</v>
      </c>
      <c r="P1639">
        <v>5794.93</v>
      </c>
      <c r="Q1639">
        <v>6962.241</v>
      </c>
      <c r="R1639">
        <v>1167.3109999999997</v>
      </c>
      <c r="S1639">
        <v>46296</v>
      </c>
      <c r="T1639" t="str">
        <v>DNX EXPRESS</v>
      </c>
      <c r="U1639">
        <v>1500</v>
      </c>
      <c r="V1639" t="str">
        <v>BEATRIZ</v>
      </c>
      <c r="W1639">
        <v>46287</v>
      </c>
      <c r="X1639" t="str">
        <v/>
      </c>
    </row>
    <row r="1640" spans="1:24">
      <c r="A1640">
        <v>3398</v>
      </c>
      <c r="B1640">
        <v>46287.442916666703</v>
      </c>
      <c r="C1640">
        <v>46287.4683449074</v>
      </c>
      <c r="D1640" t="str">
        <v>anónimo</v>
      </c>
      <c r="E1640" t="str">
        <v/>
      </c>
      <c r="F1640" s="68">
        <v>46287</v>
      </c>
      <c r="G1640">
        <v>46286</v>
      </c>
      <c r="H1640" t="str">
        <v>ROSA CASTRO SUR</v>
      </c>
      <c r="I1640" t="str">
        <v>JORGE ESTEBAN SANTILLAN RUIZ</v>
      </c>
      <c r="J1640" t="str">
        <v xml:space="preserve">24897345443
</v>
      </c>
      <c r="K1640" t="str">
        <v>SARJ740227HSRNZR00</v>
      </c>
      <c r="L1640">
        <v>24712390</v>
      </c>
      <c r="M1640">
        <v>5216622915673</v>
      </c>
      <c r="N1640" t="str">
        <v>RESTRINGIDA</v>
      </c>
      <c r="O1640">
        <v>18845.43</v>
      </c>
      <c r="P1640">
        <v>5653.63</v>
      </c>
      <c r="Q1640">
        <v>5653.6289999999999</v>
      </c>
      <c r="R1640">
        <v>-1.0000000002037268E-3</v>
      </c>
      <c r="S1640">
        <v>46235</v>
      </c>
      <c r="T1640" t="str">
        <v>CONSUBANCO</v>
      </c>
      <c r="U1640">
        <v>2739.4</v>
      </c>
      <c r="V1640" t="str">
        <v>DANIELLY</v>
      </c>
      <c r="W1640">
        <v>46287</v>
      </c>
      <c r="X1640" t="str">
        <v/>
      </c>
    </row>
    <row r="1641" spans="1:24">
      <c r="A1641">
        <v>3402</v>
      </c>
      <c r="B1641">
        <v>46287.476342592599</v>
      </c>
      <c r="C1641">
        <v>46287.498171296298</v>
      </c>
      <c r="D1641" t="str">
        <v>anónimo</v>
      </c>
      <c r="E1641" t="str">
        <v/>
      </c>
      <c r="F1641" s="68">
        <v>46287</v>
      </c>
      <c r="G1641">
        <v>46286</v>
      </c>
      <c r="H1641" t="str">
        <v>RUTH MARTINEZ SUR</v>
      </c>
      <c r="I1641" t="str">
        <v>ENRIQUE MARISCAL ALPIREZ</v>
      </c>
      <c r="J1641" t="str">
        <v/>
      </c>
      <c r="K1641" t="str">
        <v>MAAE630523HVZRLN00</v>
      </c>
      <c r="L1641">
        <v>24708666</v>
      </c>
      <c r="M1641">
        <v>5212291148677</v>
      </c>
      <c r="N1641" t="str">
        <v>COMPRA MAYOR</v>
      </c>
      <c r="O1641">
        <v>7919.53</v>
      </c>
      <c r="P1641">
        <v>2047.45</v>
      </c>
      <c r="Q1641">
        <v>2375.8589999999999</v>
      </c>
      <c r="R1641">
        <v>328.40899999999988</v>
      </c>
      <c r="S1641">
        <v>45992</v>
      </c>
      <c r="T1641" t="str">
        <v>INBURSA</v>
      </c>
      <c r="U1641">
        <v>2047.45</v>
      </c>
      <c r="V1641" t="str">
        <v>YESSENIA</v>
      </c>
      <c r="W1641">
        <v>46287</v>
      </c>
      <c r="X1641" t="str">
        <v/>
      </c>
    </row>
    <row r="1642" spans="1:24">
      <c r="A1642">
        <v>3405</v>
      </c>
      <c r="B1642">
        <v>46287.514664351896</v>
      </c>
      <c r="C1642">
        <v>46287.521307870396</v>
      </c>
      <c r="D1642" t="str">
        <v>anónimo</v>
      </c>
      <c r="E1642" t="str">
        <v/>
      </c>
      <c r="F1642" s="68">
        <v>46287</v>
      </c>
      <c r="G1642">
        <v>46287</v>
      </c>
      <c r="H1642" t="str">
        <v>LILIANA MARTINEZ SUR</v>
      </c>
      <c r="I1642" t="str">
        <v>REYNALDO ESPINOZA OJEDA</v>
      </c>
      <c r="J1642">
        <v>22836405369</v>
      </c>
      <c r="K1642" t="str">
        <v/>
      </c>
      <c r="L1642">
        <v>24733372</v>
      </c>
      <c r="M1642">
        <v>5216151616090</v>
      </c>
      <c r="N1642" t="str">
        <v>NUEVO MAYOR</v>
      </c>
      <c r="O1642">
        <v>9081.52</v>
      </c>
      <c r="P1642" t="str">
        <v/>
      </c>
      <c r="Q1642">
        <v>2724.4560000000001</v>
      </c>
      <c r="R1642">
        <v>2724.4560000000001</v>
      </c>
      <c r="S1642" t="str">
        <v/>
      </c>
      <c r="T1642" t="str">
        <v/>
      </c>
      <c r="U1642" t="str">
        <v/>
      </c>
      <c r="V1642" t="str">
        <v>CAROLINA</v>
      </c>
      <c r="W1642">
        <v>46287</v>
      </c>
      <c r="X1642" t="str">
        <v/>
      </c>
    </row>
    <row r="1643" spans="1:24">
      <c r="A1643">
        <v>3406</v>
      </c>
      <c r="B1643">
        <v>46287.515925925902</v>
      </c>
      <c r="C1643">
        <v>46287.5213657407</v>
      </c>
      <c r="D1643" t="str">
        <v>anónimo</v>
      </c>
      <c r="E1643" t="str">
        <v/>
      </c>
      <c r="F1643" s="68">
        <v>46287</v>
      </c>
      <c r="G1643">
        <v>46287</v>
      </c>
      <c r="H1643" t="str">
        <v>LILIANA MARTINEZ SUR</v>
      </c>
      <c r="I1643" t="str">
        <v>CARLOS CESAR MEDINA HERNANDEZ</v>
      </c>
      <c r="J1643">
        <v>32856304863</v>
      </c>
      <c r="K1643" t="str">
        <v>MEHC650909HCLDRR08</v>
      </c>
      <c r="L1643">
        <v>24739472</v>
      </c>
      <c r="M1643">
        <v>5218711053502</v>
      </c>
      <c r="N1643" t="str">
        <v>NUEVO MAYOR</v>
      </c>
      <c r="O1643">
        <v>9760.32</v>
      </c>
      <c r="P1643" t="str">
        <v/>
      </c>
      <c r="Q1643">
        <v>2928.096</v>
      </c>
      <c r="R1643">
        <v>2928.096</v>
      </c>
      <c r="S1643" t="str">
        <v/>
      </c>
      <c r="T1643" t="str">
        <v/>
      </c>
      <c r="U1643" t="str">
        <v/>
      </c>
      <c r="V1643" t="str">
        <v>EDNA</v>
      </c>
      <c r="W1643">
        <v>46287</v>
      </c>
      <c r="X1643" t="str">
        <v/>
      </c>
    </row>
    <row r="1644" spans="1:24">
      <c r="A1644">
        <v>3410</v>
      </c>
      <c r="B1644">
        <v>46287.498194444401</v>
      </c>
      <c r="C1644">
        <v>46287.527951388904</v>
      </c>
      <c r="D1644" t="str">
        <v>anónimo</v>
      </c>
      <c r="E1644" t="str">
        <v/>
      </c>
      <c r="F1644" s="68">
        <v>46287</v>
      </c>
      <c r="G1644">
        <v>46287</v>
      </c>
      <c r="H1644" t="str">
        <v>RUTH MARTINEZ SUR</v>
      </c>
      <c r="I1644" t="str">
        <v>MARIA TRINIDAD ESPINOZA GONZALEZ</v>
      </c>
      <c r="J1644" t="str">
        <v/>
      </c>
      <c r="K1644" t="str">
        <v>EIGT651114MPLSNR03</v>
      </c>
      <c r="L1644">
        <v>24733076</v>
      </c>
      <c r="M1644">
        <v>5213221901613</v>
      </c>
      <c r="N1644" t="str">
        <v>NUEVO MAYOR</v>
      </c>
      <c r="O1644">
        <v>5617.63</v>
      </c>
      <c r="P1644" t="str">
        <v/>
      </c>
      <c r="Q1644">
        <v>1685.289</v>
      </c>
      <c r="R1644">
        <v>1444.6500000000005</v>
      </c>
      <c r="S1644">
        <v>45748</v>
      </c>
      <c r="T1644" t="str">
        <v/>
      </c>
      <c r="U1644" t="str">
        <v/>
      </c>
      <c r="V1644" t="str">
        <v>EDNA</v>
      </c>
      <c r="W1644">
        <v>46287</v>
      </c>
      <c r="X1644" t="str">
        <v/>
      </c>
    </row>
    <row r="1645" spans="1:24">
      <c r="A1645">
        <v>3414</v>
      </c>
      <c r="B1645">
        <v>46287.564687500002</v>
      </c>
      <c r="C1645">
        <v>46287.565370370401</v>
      </c>
      <c r="D1645" t="str">
        <v>anónimo</v>
      </c>
      <c r="E1645" t="str">
        <v/>
      </c>
      <c r="F1645" s="68">
        <v>46287</v>
      </c>
      <c r="G1645">
        <v>46284</v>
      </c>
      <c r="H1645" t="str">
        <v>CLAUDIA LAGUNES</v>
      </c>
      <c r="I1645" t="str">
        <v>VICTOR DELGADO DIAZ</v>
      </c>
      <c r="J1645" t="str">
        <v/>
      </c>
      <c r="K1645" t="str">
        <v>DEDV550708HSLLZC14</v>
      </c>
      <c r="L1645">
        <v>24668210</v>
      </c>
      <c r="M1645">
        <v>6671284863</v>
      </c>
      <c r="N1645" t="str">
        <v>NUEVO MAYOR</v>
      </c>
      <c r="O1645">
        <v>6750.17</v>
      </c>
      <c r="P1645" t="str">
        <v/>
      </c>
      <c r="Q1645">
        <v>2025.0509999999999</v>
      </c>
      <c r="R1645">
        <v>2025.0509999999999</v>
      </c>
      <c r="S1645" t="str">
        <v/>
      </c>
      <c r="T1645" t="str">
        <v/>
      </c>
      <c r="U1645" t="str">
        <v/>
      </c>
      <c r="V1645" t="str">
        <v>KARINA</v>
      </c>
      <c r="W1645">
        <v>46287</v>
      </c>
      <c r="X1645" t="str">
        <v/>
      </c>
    </row>
    <row r="1646" spans="1:24">
      <c r="A1646">
        <v>3416</v>
      </c>
      <c r="B1646">
        <v>46287.576574074097</v>
      </c>
      <c r="C1646">
        <v>46287.596597222197</v>
      </c>
      <c r="D1646" t="str">
        <v>anónimo</v>
      </c>
      <c r="E1646" t="str">
        <v/>
      </c>
      <c r="F1646" s="68">
        <v>46287</v>
      </c>
      <c r="G1646">
        <v>46287</v>
      </c>
      <c r="H1646" t="str">
        <v>GUADALUPE CRUZ SUR</v>
      </c>
      <c r="I1646" t="str">
        <v>CARMEN ADAME ARENAS</v>
      </c>
      <c r="J1646">
        <v>10825404733</v>
      </c>
      <c r="K1646" t="str">
        <v>AAAC630530MCHDRR09</v>
      </c>
      <c r="L1646">
        <v>24745156</v>
      </c>
      <c r="M1646">
        <v>5216565046064</v>
      </c>
      <c r="N1646" t="str">
        <v>NUEVO MENOR</v>
      </c>
      <c r="O1646">
        <v>5055.87</v>
      </c>
      <c r="P1646" t="str">
        <v/>
      </c>
      <c r="Q1646">
        <v>1516.761</v>
      </c>
      <c r="R1646">
        <v>882.89000000000033</v>
      </c>
      <c r="S1646" t="str">
        <v/>
      </c>
      <c r="T1646" t="str">
        <v/>
      </c>
      <c r="U1646" t="str">
        <v/>
      </c>
      <c r="V1646" t="str">
        <v>HECTOR</v>
      </c>
      <c r="W1646">
        <v>46287</v>
      </c>
      <c r="X1646" t="str">
        <v/>
      </c>
    </row>
    <row r="1647" spans="1:24">
      <c r="A1647">
        <v>3425</v>
      </c>
      <c r="B1647">
        <v>46287.669479166703</v>
      </c>
      <c r="C1647">
        <v>46287.670150462996</v>
      </c>
      <c r="D1647" t="str">
        <v>anónimo</v>
      </c>
      <c r="E1647" t="str">
        <v/>
      </c>
      <c r="F1647" s="68">
        <v>46287</v>
      </c>
      <c r="G1647">
        <v>46287</v>
      </c>
      <c r="H1647" t="str">
        <v>KATE MALPICA</v>
      </c>
      <c r="I1647" t="str">
        <v>BONIFACIO GARCIA YAÑEZ</v>
      </c>
      <c r="J1647" t="str">
        <v/>
      </c>
      <c r="K1647" t="str">
        <v>GAYB560514HMCRXN01</v>
      </c>
      <c r="L1647">
        <v>24742840</v>
      </c>
      <c r="M1647">
        <v>5631205945</v>
      </c>
      <c r="N1647" t="str">
        <v>RESTRINGIDA</v>
      </c>
      <c r="O1647">
        <v>5617.93</v>
      </c>
      <c r="P1647">
        <v>1096.48</v>
      </c>
      <c r="Q1647">
        <v>1685.3790000000001</v>
      </c>
      <c r="R1647">
        <v>348.47000000000071</v>
      </c>
      <c r="S1647">
        <v>45261</v>
      </c>
      <c r="T1647" t="str">
        <v xml:space="preserve">CONSUBANCO </v>
      </c>
      <c r="U1647">
        <v>1096.48</v>
      </c>
      <c r="V1647" t="str">
        <v>DANIELLY</v>
      </c>
      <c r="W1647">
        <v>46287</v>
      </c>
      <c r="X1647" t="str">
        <v/>
      </c>
    </row>
    <row r="1648" spans="1:24">
      <c r="A1648">
        <v>3433</v>
      </c>
      <c r="B1648">
        <v>46287.705347222203</v>
      </c>
      <c r="C1648">
        <v>46287.706018518496</v>
      </c>
      <c r="D1648" t="str">
        <v>anónimo</v>
      </c>
      <c r="E1648" t="str">
        <v/>
      </c>
      <c r="F1648" s="68">
        <v>46287</v>
      </c>
      <c r="G1648">
        <v>46287</v>
      </c>
      <c r="H1648" t="str">
        <v>GIOVANNI MELGAR</v>
      </c>
      <c r="I1648" t="str">
        <v>EDUARDO PADILLA GUTIERREZ</v>
      </c>
      <c r="J1648" t="str">
        <v/>
      </c>
      <c r="K1648" t="str">
        <v>PAGE640610HDFDTD03</v>
      </c>
      <c r="L1648">
        <v>24746860</v>
      </c>
      <c r="M1648">
        <v>5215544710646</v>
      </c>
      <c r="N1648" t="str">
        <v>NUEVO MAYOR</v>
      </c>
      <c r="O1648">
        <v>9081.52</v>
      </c>
      <c r="P1648" t="str">
        <v/>
      </c>
      <c r="Q1648">
        <v>2724.4560000000001</v>
      </c>
      <c r="R1648">
        <v>2724.4560000000001</v>
      </c>
      <c r="S1648" t="str">
        <v/>
      </c>
      <c r="T1648" t="str">
        <v/>
      </c>
      <c r="U1648" t="str">
        <v/>
      </c>
      <c r="V1648" t="str">
        <v>MARISOL</v>
      </c>
      <c r="W1648">
        <v>46287</v>
      </c>
      <c r="X1648" t="str">
        <v/>
      </c>
    </row>
    <row r="1649" spans="1:24">
      <c r="A1649">
        <v>3437</v>
      </c>
      <c r="B1649">
        <v>46288.380972222199</v>
      </c>
      <c r="C1649">
        <v>46288.381412037001</v>
      </c>
      <c r="D1649" t="str">
        <v>anónimo</v>
      </c>
      <c r="E1649" t="str">
        <v/>
      </c>
      <c r="F1649" s="68">
        <v>46288</v>
      </c>
      <c r="G1649">
        <v>46287</v>
      </c>
      <c r="H1649" t="str">
        <v>CLAUDIA LAGUNES</v>
      </c>
      <c r="I1649" t="str">
        <v/>
      </c>
      <c r="J1649" t="str">
        <v>04826434351</v>
      </c>
      <c r="K1649" t="str">
        <v/>
      </c>
      <c r="L1649">
        <v>24749710</v>
      </c>
      <c r="M1649">
        <v>6242440450</v>
      </c>
      <c r="N1649" t="str">
        <v>NUEVO MENOR</v>
      </c>
      <c r="O1649">
        <v>9081.52</v>
      </c>
      <c r="P1649">
        <v>1777.69</v>
      </c>
      <c r="Q1649">
        <v>2724.4560000000001</v>
      </c>
      <c r="R1649">
        <v>946.76600000000008</v>
      </c>
      <c r="S1649">
        <v>46722</v>
      </c>
      <c r="T1649" t="str">
        <v>OPCIPRES</v>
      </c>
      <c r="U1649">
        <v>1777.69</v>
      </c>
      <c r="V1649" t="str">
        <v>HECTOR</v>
      </c>
      <c r="W1649">
        <v>46288</v>
      </c>
      <c r="X1649" t="str">
        <v/>
      </c>
    </row>
    <row r="1650" spans="1:24">
      <c r="A1650">
        <v>3442</v>
      </c>
      <c r="B1650">
        <v>46288.430798611102</v>
      </c>
      <c r="C1650">
        <v>46288.449166666702</v>
      </c>
      <c r="D1650" t="str">
        <v>anónimo</v>
      </c>
      <c r="E1650" t="str">
        <v/>
      </c>
      <c r="F1650" s="68">
        <v>46288</v>
      </c>
      <c r="G1650">
        <v>46287</v>
      </c>
      <c r="H1650" t="str">
        <v>LILIANA MARTINEZ SUR</v>
      </c>
      <c r="I1650" t="str">
        <v>JOSE LUIS ASTORGA DUEÑAS</v>
      </c>
      <c r="J1650" t="str">
        <v/>
      </c>
      <c r="K1650" t="str">
        <v>AODL490328HNTSXS09</v>
      </c>
      <c r="L1650">
        <v>24708476</v>
      </c>
      <c r="M1650">
        <v>5216648186486</v>
      </c>
      <c r="N1650" t="str">
        <v>NUEVO MENOR</v>
      </c>
      <c r="O1650">
        <v>4853.54</v>
      </c>
      <c r="P1650" t="str">
        <v/>
      </c>
      <c r="Q1650">
        <v>1456.0619999999999</v>
      </c>
      <c r="R1650">
        <v>680.5600000000004</v>
      </c>
      <c r="S1650" t="str">
        <v/>
      </c>
      <c r="T1650" t="str">
        <v/>
      </c>
      <c r="U1650" t="str">
        <v/>
      </c>
      <c r="V1650" t="str">
        <v>HECTOR</v>
      </c>
      <c r="W1650">
        <v>46288</v>
      </c>
      <c r="X1650" t="str">
        <v/>
      </c>
    </row>
    <row r="1651" spans="1:24">
      <c r="A1651">
        <v>3449</v>
      </c>
      <c r="B1651">
        <v>46288.481608796297</v>
      </c>
      <c r="C1651">
        <v>46288.482511574097</v>
      </c>
      <c r="D1651" t="str">
        <v>anónimo</v>
      </c>
      <c r="E1651" t="str">
        <v/>
      </c>
      <c r="F1651" s="68">
        <v>46288</v>
      </c>
      <c r="G1651">
        <v>46288</v>
      </c>
      <c r="H1651" t="str">
        <v>CLAUDIA LAGUNES</v>
      </c>
      <c r="I1651" t="str">
        <v>GUSTAVO ACOSTA RAMOS</v>
      </c>
      <c r="J1651" t="str">
        <v/>
      </c>
      <c r="K1651" t="str">
        <v>AORG700531HCLCMS04</v>
      </c>
      <c r="L1651">
        <v>24781244</v>
      </c>
      <c r="M1651">
        <v>8713584238</v>
      </c>
      <c r="N1651" t="str">
        <v>COMPRA MAYOR</v>
      </c>
      <c r="O1651">
        <v>6411.47</v>
      </c>
      <c r="P1651">
        <v>1854</v>
      </c>
      <c r="Q1651">
        <v>1923.441</v>
      </c>
      <c r="R1651">
        <v>69.441000000000031</v>
      </c>
      <c r="S1651">
        <v>46204</v>
      </c>
      <c r="T1651" t="str">
        <v>EXITUS</v>
      </c>
      <c r="U1651">
        <v>1655</v>
      </c>
      <c r="V1651" t="str">
        <v>FERNANDA</v>
      </c>
      <c r="W1651">
        <v>46288</v>
      </c>
      <c r="X1651" t="str">
        <v/>
      </c>
    </row>
    <row r="1652" spans="1:24">
      <c r="A1652">
        <v>3451</v>
      </c>
      <c r="B1652">
        <v>46288.486423611103</v>
      </c>
      <c r="C1652">
        <v>46288.486979166701</v>
      </c>
      <c r="D1652" t="str">
        <v>anónimo</v>
      </c>
      <c r="E1652" t="str">
        <v/>
      </c>
      <c r="F1652" s="68">
        <v>46288</v>
      </c>
      <c r="G1652">
        <v>46287</v>
      </c>
      <c r="H1652" t="str">
        <v>CLAUDIA LAGUNES</v>
      </c>
      <c r="I1652" t="str">
        <v>BEATRIZ GOMEZ RUIZ</v>
      </c>
      <c r="J1652" t="str">
        <v/>
      </c>
      <c r="K1652" t="str">
        <v>GORB610606MJCMZT02</v>
      </c>
      <c r="L1652">
        <v>24754280</v>
      </c>
      <c r="M1652">
        <v>3334881675</v>
      </c>
      <c r="N1652" t="str">
        <v>NUEVO MAYOR</v>
      </c>
      <c r="O1652">
        <v>9760.32</v>
      </c>
      <c r="P1652" t="str">
        <v/>
      </c>
      <c r="Q1652">
        <v>2928.096</v>
      </c>
      <c r="R1652">
        <v>2928.096</v>
      </c>
      <c r="S1652" t="str">
        <v/>
      </c>
      <c r="T1652" t="str">
        <v/>
      </c>
      <c r="U1652" t="str">
        <v/>
      </c>
      <c r="V1652" t="str">
        <v>PAOLA</v>
      </c>
      <c r="W1652">
        <v>46288</v>
      </c>
      <c r="X1652" t="str">
        <v/>
      </c>
    </row>
    <row r="1653" spans="1:24">
      <c r="A1653">
        <v>3452</v>
      </c>
      <c r="B1653">
        <v>46288.491585648197</v>
      </c>
      <c r="C1653">
        <v>46288.492199074099</v>
      </c>
      <c r="D1653" t="str">
        <v>anónimo</v>
      </c>
      <c r="E1653" t="str">
        <v/>
      </c>
      <c r="F1653" s="68">
        <v>46288</v>
      </c>
      <c r="G1653">
        <v>46288</v>
      </c>
      <c r="H1653" t="str">
        <v>GIOVANNI MELGAR</v>
      </c>
      <c r="I1653" t="str">
        <v>MARIA FELIX DURAN RUIZ</v>
      </c>
      <c r="J1653" t="str">
        <v/>
      </c>
      <c r="K1653" t="str">
        <v>DURF590614MVZRZL04</v>
      </c>
      <c r="L1653">
        <v>24780510</v>
      </c>
      <c r="M1653">
        <v>5219211431623</v>
      </c>
      <c r="N1653" t="str">
        <v>NUEVO MAYOR</v>
      </c>
      <c r="O1653">
        <v>8633.51</v>
      </c>
      <c r="P1653" t="str">
        <v/>
      </c>
      <c r="Q1653">
        <v>2590.0529999999999</v>
      </c>
      <c r="R1653">
        <v>2590.0529999999999</v>
      </c>
      <c r="S1653" t="str">
        <v/>
      </c>
      <c r="T1653" t="str">
        <v/>
      </c>
      <c r="U1653" t="str">
        <v/>
      </c>
      <c r="V1653" t="str">
        <v>HANIA</v>
      </c>
      <c r="W1653">
        <v>46288</v>
      </c>
      <c r="X1653" t="str">
        <v/>
      </c>
    </row>
    <row r="1654" spans="1:24">
      <c r="A1654">
        <v>3453</v>
      </c>
      <c r="B1654">
        <v>46287.702164351896</v>
      </c>
      <c r="C1654">
        <v>46288.495833333298</v>
      </c>
      <c r="D1654" t="str">
        <v>anónimo</v>
      </c>
      <c r="E1654" t="str">
        <v/>
      </c>
      <c r="F1654" s="68">
        <v>46288</v>
      </c>
      <c r="G1654">
        <v>46287</v>
      </c>
      <c r="H1654" t="str">
        <v>RUTH MARTINEZ SUR</v>
      </c>
      <c r="I1654" t="str">
        <v xml:space="preserve">ARTURO PIEDRAS RIOS </v>
      </c>
      <c r="J1654" t="str">
        <v/>
      </c>
      <c r="K1654" t="str">
        <v>PIRA650504HDFDSR06</v>
      </c>
      <c r="L1654">
        <v>24746116</v>
      </c>
      <c r="M1654">
        <v>5215534443333</v>
      </c>
      <c r="N1654" t="str">
        <v>NUEVO MAYOR</v>
      </c>
      <c r="O1654">
        <v>29483.98</v>
      </c>
      <c r="P1654" t="str">
        <v/>
      </c>
      <c r="Q1654">
        <v>8845.1939999999995</v>
      </c>
      <c r="R1654">
        <v>8845.1939999999995</v>
      </c>
      <c r="S1654" t="str">
        <v/>
      </c>
      <c r="T1654" t="str">
        <v/>
      </c>
      <c r="U1654" t="str">
        <v/>
      </c>
      <c r="V1654" t="str">
        <v>LIDIA</v>
      </c>
      <c r="W1654">
        <v>46288</v>
      </c>
      <c r="X1654" t="str">
        <v/>
      </c>
    </row>
    <row r="1655" spans="1:24">
      <c r="A1655">
        <v>3455</v>
      </c>
      <c r="B1655">
        <v>46288.503368055601</v>
      </c>
      <c r="C1655">
        <v>46288.517465277801</v>
      </c>
      <c r="D1655" t="str">
        <v>anónimo</v>
      </c>
      <c r="E1655" t="str">
        <v/>
      </c>
      <c r="F1655" s="68">
        <v>46288</v>
      </c>
      <c r="G1655">
        <v>46288</v>
      </c>
      <c r="H1655" t="str">
        <v>YAMILETH CARDONA EXT 2</v>
      </c>
      <c r="I1655" t="str">
        <v>AURELIO DUQUE GUZMAN</v>
      </c>
      <c r="J1655" t="str">
        <v>01796088696</v>
      </c>
      <c r="K1655" t="str">
        <v>DUGA610925HDFQZR02</v>
      </c>
      <c r="L1655">
        <v>2</v>
      </c>
      <c r="M1655" t="str">
        <v>55 1973 5842</v>
      </c>
      <c r="N1655" t="str">
        <v>NUEVO MAYOR</v>
      </c>
      <c r="O1655">
        <v>9081.52</v>
      </c>
      <c r="P1655" t="str">
        <v/>
      </c>
      <c r="Q1655">
        <v>2724.4560000000001</v>
      </c>
      <c r="R1655">
        <v>2724.4560000000001</v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</row>
    <row r="1656" spans="1:24">
      <c r="A1656">
        <v>3457</v>
      </c>
      <c r="B1656">
        <v>46288.517048611102</v>
      </c>
      <c r="C1656">
        <v>46288.522060185198</v>
      </c>
      <c r="D1656" t="str">
        <v>anónimo</v>
      </c>
      <c r="E1656" t="str">
        <v/>
      </c>
      <c r="F1656" s="68">
        <v>46288</v>
      </c>
      <c r="G1656">
        <v>46245</v>
      </c>
      <c r="H1656" t="str">
        <v>ROSA CASTRO SUR</v>
      </c>
      <c r="I1656" t="str">
        <v>SAMUEL ARMENGOL MARTINEZ</v>
      </c>
      <c r="J1656">
        <v>10826481599</v>
      </c>
      <c r="K1656" t="str">
        <v>AEMS640415HOCRRM09</v>
      </c>
      <c r="L1656">
        <v>23555868</v>
      </c>
      <c r="M1656">
        <v>5219513338866</v>
      </c>
      <c r="N1656" t="str">
        <v>COMPRA MAYOR</v>
      </c>
      <c r="O1656">
        <v>9081.5</v>
      </c>
      <c r="P1656">
        <v>2521.3000000000002</v>
      </c>
      <c r="Q1656">
        <v>2724.45</v>
      </c>
      <c r="R1656">
        <v>203.14999999999964</v>
      </c>
      <c r="S1656">
        <v>46235</v>
      </c>
      <c r="T1656" t="str">
        <v>INBURSA</v>
      </c>
      <c r="U1656">
        <v>2521.3000000000002</v>
      </c>
      <c r="V1656" t="str">
        <v>YESSENIA</v>
      </c>
      <c r="W1656">
        <v>46288</v>
      </c>
      <c r="X1656" t="str">
        <v/>
      </c>
    </row>
    <row r="1657" spans="1:24">
      <c r="A1657">
        <v>3458</v>
      </c>
      <c r="B1657">
        <v>46288.537164351903</v>
      </c>
      <c r="C1657">
        <v>46288.538379629601</v>
      </c>
      <c r="D1657" t="str">
        <v>anónimo</v>
      </c>
      <c r="E1657" t="str">
        <v/>
      </c>
      <c r="F1657" s="68">
        <v>46288</v>
      </c>
      <c r="G1657">
        <v>46288</v>
      </c>
      <c r="H1657" t="str">
        <v>GIOVANNI MELGAR</v>
      </c>
      <c r="I1657" t="str">
        <v>JESUS ARELLANO MEZA</v>
      </c>
      <c r="J1657" t="str">
        <v/>
      </c>
      <c r="K1657" t="str">
        <v>AEMJ661026HCHRZS04</v>
      </c>
      <c r="L1657">
        <v>24782818</v>
      </c>
      <c r="M1657">
        <v>5216568542351</v>
      </c>
      <c r="N1657" t="str">
        <v>NUEVO MAYOR</v>
      </c>
      <c r="O1657">
        <v>8181.55</v>
      </c>
      <c r="P1657" t="str">
        <v/>
      </c>
      <c r="Q1657">
        <v>2454.4650000000001</v>
      </c>
      <c r="R1657">
        <v>2454.4650000000001</v>
      </c>
      <c r="S1657" t="str">
        <v/>
      </c>
      <c r="T1657" t="str">
        <v/>
      </c>
      <c r="U1657" t="str">
        <v/>
      </c>
      <c r="V1657" t="str">
        <v>LIDIA</v>
      </c>
      <c r="W1657">
        <v>46288</v>
      </c>
      <c r="X1657" t="str">
        <v/>
      </c>
    </row>
    <row r="1658" spans="1:24">
      <c r="A1658">
        <v>3459</v>
      </c>
      <c r="B1658">
        <v>46288.520844907398</v>
      </c>
      <c r="C1658">
        <v>46288.539849537003</v>
      </c>
      <c r="D1658" t="str">
        <v>anónimo</v>
      </c>
      <c r="E1658" t="str">
        <v/>
      </c>
      <c r="F1658" s="68">
        <v>46288</v>
      </c>
      <c r="G1658">
        <v>46287</v>
      </c>
      <c r="H1658" t="str">
        <v>RUTH MARTINEZ SUR</v>
      </c>
      <c r="I1658" t="str">
        <v>JOSE ALVARADO CASTRO</v>
      </c>
      <c r="J1658" t="str">
        <v/>
      </c>
      <c r="K1658" t="str">
        <v>AACJ570517HMNLSS08</v>
      </c>
      <c r="L1658">
        <v>24754950</v>
      </c>
      <c r="M1658">
        <v>5215520544479</v>
      </c>
      <c r="N1658" t="str">
        <v>COMPRA MAYOR</v>
      </c>
      <c r="O1658">
        <v>21111.31</v>
      </c>
      <c r="P1658">
        <v>6105.32</v>
      </c>
      <c r="Q1658">
        <v>6333.393</v>
      </c>
      <c r="R1658">
        <v>228.07300000000032</v>
      </c>
      <c r="S1658">
        <v>46235</v>
      </c>
      <c r="T1658" t="str">
        <v>MULTIVA</v>
      </c>
      <c r="U1658">
        <v>5214.4799999999996</v>
      </c>
      <c r="V1658" t="str">
        <v>MAGALI</v>
      </c>
      <c r="W1658">
        <v>46288</v>
      </c>
      <c r="X1658" t="str">
        <v/>
      </c>
    </row>
    <row r="1659" spans="1:24">
      <c r="A1659">
        <v>3460</v>
      </c>
      <c r="B1659">
        <v>46287.7023611111</v>
      </c>
      <c r="C1659">
        <v>46288.581562500003</v>
      </c>
      <c r="D1659" t="str">
        <v>anónimo</v>
      </c>
      <c r="E1659" t="str">
        <v/>
      </c>
      <c r="F1659" s="68">
        <v>46288</v>
      </c>
      <c r="G1659">
        <v>46285</v>
      </c>
      <c r="H1659" t="str">
        <v>KATE MALPICA</v>
      </c>
      <c r="I1659" t="str">
        <v>JESUS GONZALEZ GALICIA</v>
      </c>
      <c r="J1659">
        <v>43815804620</v>
      </c>
      <c r="K1659" t="str">
        <v>GOGJ601218HNLNLS07</v>
      </c>
      <c r="L1659">
        <v>24673622</v>
      </c>
      <c r="M1659">
        <v>8184654141</v>
      </c>
      <c r="N1659" t="str">
        <v>COMPRA MENOR</v>
      </c>
      <c r="O1659">
        <v>13026.08</v>
      </c>
      <c r="P1659">
        <v>3615.82</v>
      </c>
      <c r="Q1659">
        <v>3907.8239999999996</v>
      </c>
      <c r="R1659">
        <v>292.00399999999945</v>
      </c>
      <c r="S1659">
        <v>45689</v>
      </c>
      <c r="T1659" t="str">
        <v>DIMEX</v>
      </c>
      <c r="U1659">
        <v>373.64</v>
      </c>
      <c r="V1659" t="str">
        <v>BEATRIZ</v>
      </c>
      <c r="W1659">
        <v>46288</v>
      </c>
      <c r="X1659" t="str">
        <v/>
      </c>
    </row>
    <row r="1660" spans="1:24">
      <c r="A1660">
        <v>3463</v>
      </c>
      <c r="B1660">
        <v>46288.603761574101</v>
      </c>
      <c r="C1660">
        <v>46288.604687500003</v>
      </c>
      <c r="D1660" t="str">
        <v>anónimo</v>
      </c>
      <c r="E1660" t="str">
        <v/>
      </c>
      <c r="F1660" s="68">
        <v>46288</v>
      </c>
      <c r="G1660">
        <v>46288</v>
      </c>
      <c r="H1660" t="str">
        <v>ALAN ALTAMIRANO EXT</v>
      </c>
      <c r="I1660" t="str">
        <v xml:space="preserve">FRANCISCO GUEVARA VICENTE </v>
      </c>
      <c r="J1660">
        <v>11755639207</v>
      </c>
      <c r="K1660" t="str">
        <v/>
      </c>
      <c r="L1660">
        <v>1</v>
      </c>
      <c r="M1660">
        <v>5582634151</v>
      </c>
      <c r="N1660" t="str">
        <v>RESTRINGIDA</v>
      </c>
      <c r="O1660">
        <v>21098.59</v>
      </c>
      <c r="P1660">
        <v>5188.93</v>
      </c>
      <c r="Q1660">
        <v>6329.5770000000002</v>
      </c>
      <c r="R1660">
        <v>1140.6469999999999</v>
      </c>
      <c r="S1660">
        <v>45658</v>
      </c>
      <c r="T1660" t="str">
        <v xml:space="preserve">CONSUBANCO </v>
      </c>
      <c r="U1660">
        <v>5188.93</v>
      </c>
      <c r="V1660" t="str">
        <v/>
      </c>
      <c r="W1660" t="str">
        <v/>
      </c>
      <c r="X1660" t="str">
        <v/>
      </c>
    </row>
    <row r="1661" spans="1:24">
      <c r="A1661">
        <v>3468</v>
      </c>
      <c r="B1661">
        <v>46288.644641203697</v>
      </c>
      <c r="C1661">
        <v>46288.651574074102</v>
      </c>
      <c r="D1661" t="str">
        <v>anónimo</v>
      </c>
      <c r="E1661" t="str">
        <v/>
      </c>
      <c r="F1661" s="68">
        <v>46288</v>
      </c>
      <c r="G1661">
        <v>46277</v>
      </c>
      <c r="H1661" t="str">
        <v>LILIANA MARTINEZ SUR</v>
      </c>
      <c r="I1661" t="str">
        <v>JORGE KERBER MARTINEZ</v>
      </c>
      <c r="J1661" t="str">
        <v/>
      </c>
      <c r="K1661" t="str">
        <v>KEMJ610515HVZRRR06</v>
      </c>
      <c r="L1661">
        <v>24412556</v>
      </c>
      <c r="M1661">
        <v>5219212012607</v>
      </c>
      <c r="N1661" t="str">
        <v>NUEVO MAYOR</v>
      </c>
      <c r="O1661">
        <v>11029.03</v>
      </c>
      <c r="P1661" t="str">
        <v/>
      </c>
      <c r="Q1661">
        <v>3308.7090000000003</v>
      </c>
      <c r="R1661">
        <v>3308.7090000000003</v>
      </c>
      <c r="S1661" t="str">
        <v/>
      </c>
      <c r="T1661" t="str">
        <v/>
      </c>
      <c r="U1661" t="str">
        <v/>
      </c>
      <c r="V1661" t="str">
        <v>MARISOL</v>
      </c>
      <c r="W1661">
        <v>46288</v>
      </c>
      <c r="X1661" t="str">
        <v/>
      </c>
    </row>
    <row r="1662" spans="1:24">
      <c r="A1662">
        <v>3469</v>
      </c>
      <c r="B1662">
        <v>46288.655868055597</v>
      </c>
      <c r="C1662">
        <v>46288.656979166699</v>
      </c>
      <c r="D1662" t="str">
        <v>anónimo</v>
      </c>
      <c r="E1662" t="str">
        <v/>
      </c>
      <c r="F1662" s="68">
        <v>46288</v>
      </c>
      <c r="G1662">
        <v>46288</v>
      </c>
      <c r="H1662" t="str">
        <v>GIOVANNI MELGAR</v>
      </c>
      <c r="I1662" t="str">
        <v>J. LUIS OPUEBLITO NUÑEZ BAUTISTA</v>
      </c>
      <c r="J1662" t="str">
        <v xml:space="preserve">1480632365
</v>
      </c>
      <c r="K1662" t="str">
        <v>NUBL630411HQTXTS00</v>
      </c>
      <c r="L1662">
        <v>24790916</v>
      </c>
      <c r="M1662">
        <v>5214428100178</v>
      </c>
      <c r="N1662" t="str">
        <v>NUEVO MAYOR</v>
      </c>
      <c r="O1662">
        <v>24645.03</v>
      </c>
      <c r="P1662">
        <v>4541.3500000000004</v>
      </c>
      <c r="Q1662">
        <v>7393.5089999999991</v>
      </c>
      <c r="R1662">
        <v>2852.1589999999987</v>
      </c>
      <c r="S1662">
        <v>46600</v>
      </c>
      <c r="T1662" t="str">
        <v>INBURSA</v>
      </c>
      <c r="U1662">
        <v>4541.3500000000004</v>
      </c>
      <c r="V1662" t="str">
        <v>ANDRE</v>
      </c>
      <c r="W1662">
        <v>46288</v>
      </c>
      <c r="X1662" t="str">
        <v/>
      </c>
    </row>
    <row r="1663" spans="1:24">
      <c r="A1663">
        <v>3470</v>
      </c>
      <c r="B1663">
        <v>46288.6386921296</v>
      </c>
      <c r="C1663">
        <v>46288.668240740699</v>
      </c>
      <c r="D1663" t="str">
        <v>anónimo</v>
      </c>
      <c r="E1663" t="str">
        <v/>
      </c>
      <c r="F1663" s="68">
        <v>46288</v>
      </c>
      <c r="G1663">
        <v>46288</v>
      </c>
      <c r="H1663" t="str">
        <v>RUTH MARTINEZ SUR</v>
      </c>
      <c r="I1663" t="str">
        <v>AMADA SANCHEZ MORALES</v>
      </c>
      <c r="J1663" t="str">
        <v xml:space="preserve">23836307084
</v>
      </c>
      <c r="K1663" t="str">
        <v>SAMA630215MSLNRM08</v>
      </c>
      <c r="L1663">
        <v>24763584</v>
      </c>
      <c r="M1663">
        <v>5218112717610</v>
      </c>
      <c r="N1663" t="str">
        <v>NUEVO MAYOR</v>
      </c>
      <c r="O1663">
        <v>7920.51</v>
      </c>
      <c r="P1663" t="str">
        <v/>
      </c>
      <c r="Q1663">
        <v>2376.1529999999998</v>
      </c>
      <c r="R1663">
        <v>2376.1529999999998</v>
      </c>
      <c r="S1663" t="str">
        <v/>
      </c>
      <c r="T1663" t="str">
        <v/>
      </c>
      <c r="U1663" t="str">
        <v/>
      </c>
      <c r="V1663" t="str">
        <v>PAOLA</v>
      </c>
      <c r="W1663">
        <v>46288</v>
      </c>
      <c r="X1663" t="str">
        <v/>
      </c>
    </row>
    <row r="1664" spans="1:24">
      <c r="A1664">
        <v>3475</v>
      </c>
      <c r="B1664">
        <v>46288.6976967593</v>
      </c>
      <c r="C1664">
        <v>46288.698125000003</v>
      </c>
      <c r="D1664" t="str">
        <v>anónimo</v>
      </c>
      <c r="E1664" t="str">
        <v/>
      </c>
      <c r="F1664" s="68">
        <v>46288</v>
      </c>
      <c r="G1664">
        <v>46287</v>
      </c>
      <c r="H1664" t="str">
        <v>CLAUDIA LAGUNES</v>
      </c>
      <c r="I1664" t="str">
        <v>LUDWIG RENE MOROATO HERRERA</v>
      </c>
      <c r="J1664">
        <v>11927108800</v>
      </c>
      <c r="K1664" t="str">
        <v/>
      </c>
      <c r="L1664">
        <v>24756884</v>
      </c>
      <c r="M1664">
        <v>6141569688</v>
      </c>
      <c r="N1664" t="str">
        <v>RESTRINGIDA</v>
      </c>
      <c r="O1664">
        <v>6548.83</v>
      </c>
      <c r="P1664">
        <v>1414.42</v>
      </c>
      <c r="Q1664">
        <v>1964.6489999999999</v>
      </c>
      <c r="R1664">
        <v>550.22899999999981</v>
      </c>
      <c r="S1664">
        <v>45413</v>
      </c>
      <c r="T1664" t="str">
        <v xml:space="preserve">CONSUBANCO </v>
      </c>
      <c r="U1664">
        <v>1414.42</v>
      </c>
      <c r="V1664" t="str">
        <v>DANIELLY</v>
      </c>
      <c r="W1664">
        <v>46288</v>
      </c>
      <c r="X1664" t="str">
        <v/>
      </c>
    </row>
    <row r="1665" spans="1:24">
      <c r="A1665">
        <v>3477</v>
      </c>
      <c r="B1665">
        <v>46288.707129629598</v>
      </c>
      <c r="C1665">
        <v>46288.708738425899</v>
      </c>
      <c r="D1665" t="str">
        <v>anónimo</v>
      </c>
      <c r="E1665" t="str">
        <v/>
      </c>
      <c r="F1665" s="68">
        <v>46288</v>
      </c>
      <c r="G1665">
        <v>46288</v>
      </c>
      <c r="H1665" t="str">
        <v>GIOVANNI MELGAR</v>
      </c>
      <c r="I1665" t="str">
        <v>SILVIA BALLESTEROS SAAVEDRA</v>
      </c>
      <c r="J1665" t="str">
        <v xml:space="preserve">14916205009
</v>
      </c>
      <c r="K1665" t="str">
        <v>BASS620625MGTLVL08</v>
      </c>
      <c r="L1665">
        <v>24757362</v>
      </c>
      <c r="M1665">
        <v>5214421573386</v>
      </c>
      <c r="N1665" t="str">
        <v>NUEVO MENOR</v>
      </c>
      <c r="O1665">
        <v>22710.68</v>
      </c>
      <c r="P1665">
        <v>6305.29</v>
      </c>
      <c r="Q1665">
        <v>6813.2039999999997</v>
      </c>
      <c r="R1665">
        <v>507.91399999999976</v>
      </c>
      <c r="S1665">
        <v>46327</v>
      </c>
      <c r="T1665" t="str">
        <v>PROFUTURO</v>
      </c>
      <c r="U1665">
        <v>6305.29</v>
      </c>
      <c r="V1665" t="str">
        <v>BEATRIZ</v>
      </c>
      <c r="W1665">
        <v>46288</v>
      </c>
      <c r="X1665" t="str">
        <v/>
      </c>
    </row>
    <row r="1666" spans="1:24">
      <c r="A1666">
        <v>3478</v>
      </c>
      <c r="B1666">
        <v>46288.695231481499</v>
      </c>
      <c r="C1666">
        <v>46288.716828703698</v>
      </c>
      <c r="D1666" t="str">
        <v>anónimo</v>
      </c>
      <c r="E1666" t="str">
        <v/>
      </c>
      <c r="F1666" s="68">
        <v>46288</v>
      </c>
      <c r="G1666">
        <v>46288</v>
      </c>
      <c r="H1666" t="str">
        <v>RUTH MARTINEZ SUR</v>
      </c>
      <c r="I1666" t="str">
        <v xml:space="preserve">RUBEN GUTIERREZ BUSTAMANTE </v>
      </c>
      <c r="J1666" t="str">
        <v>01785891126</v>
      </c>
      <c r="K1666" t="str">
        <v>GUBR580221HDFTSB08</v>
      </c>
      <c r="L1666">
        <v>24791334</v>
      </c>
      <c r="M1666">
        <v>5214271118085</v>
      </c>
      <c r="N1666" t="str">
        <v>RESTRINGIDA</v>
      </c>
      <c r="O1666">
        <v>16732.37</v>
      </c>
      <c r="P1666">
        <v>5019.71</v>
      </c>
      <c r="Q1666">
        <v>5019.7109999999993</v>
      </c>
      <c r="R1666">
        <v>9.9999999929423211E-4</v>
      </c>
      <c r="S1666">
        <v>45505</v>
      </c>
      <c r="T1666" t="str">
        <v>GFI APOYO, CONSUBANCO</v>
      </c>
      <c r="U1666">
        <v>4110.93</v>
      </c>
      <c r="V1666" t="str">
        <v>GUADALUPE</v>
      </c>
      <c r="W1666">
        <v>46288</v>
      </c>
      <c r="X1666" t="str">
        <v/>
      </c>
    </row>
    <row r="1667" spans="1:24">
      <c r="A1667">
        <v>3479</v>
      </c>
      <c r="B1667">
        <v>46288.722187500003</v>
      </c>
      <c r="C1667">
        <v>46288.723888888897</v>
      </c>
      <c r="D1667" t="str">
        <v>anónimo</v>
      </c>
      <c r="E1667" t="str">
        <v/>
      </c>
      <c r="F1667" s="68">
        <v>46288</v>
      </c>
      <c r="G1667">
        <v>46288</v>
      </c>
      <c r="H1667" t="str">
        <v>GIOVANNI MELGAR</v>
      </c>
      <c r="I1667" t="str">
        <v>MARIA DEL ROSARIO LORENZA GRANADOS BOTELLO</v>
      </c>
      <c r="J1667" t="str">
        <v xml:space="preserve">2392671743
</v>
      </c>
      <c r="K1667" t="str">
        <v/>
      </c>
      <c r="L1667">
        <v>24757628</v>
      </c>
      <c r="M1667">
        <v>5216671992375</v>
      </c>
      <c r="N1667" t="str">
        <v>NUEVO MENOR</v>
      </c>
      <c r="O1667">
        <v>7727.95</v>
      </c>
      <c r="P1667">
        <v>1775</v>
      </c>
      <c r="Q1667">
        <v>2318.3849999999998</v>
      </c>
      <c r="R1667">
        <v>543.38499999999976</v>
      </c>
      <c r="S1667">
        <v>46296</v>
      </c>
      <c r="T1667" t="str">
        <v>EXITUS</v>
      </c>
      <c r="U1667">
        <v>1775</v>
      </c>
      <c r="V1667" t="str">
        <v>BEATRIZ</v>
      </c>
      <c r="W1667">
        <v>46288</v>
      </c>
      <c r="X1667" t="str">
        <v/>
      </c>
    </row>
    <row r="1668" spans="1:24">
      <c r="A1668">
        <v>3481</v>
      </c>
      <c r="B1668">
        <v>46288.743275462999</v>
      </c>
      <c r="C1668">
        <v>46288.752407407403</v>
      </c>
      <c r="D1668" t="str">
        <v>anónimo</v>
      </c>
      <c r="E1668" t="str">
        <v/>
      </c>
      <c r="F1668" s="68">
        <v>46288</v>
      </c>
      <c r="G1668">
        <v>46274</v>
      </c>
      <c r="H1668" t="str">
        <v>RUTH MARTINEZ SUR</v>
      </c>
      <c r="I1668" t="str">
        <v>ROSALBA LUEVANO ZUÑIGA</v>
      </c>
      <c r="J1668">
        <v>32877013386</v>
      </c>
      <c r="K1668" t="str">
        <v>LUZR790316MCLVXS08</v>
      </c>
      <c r="L1668">
        <v>24355042</v>
      </c>
      <c r="M1668">
        <v>5216182323045</v>
      </c>
      <c r="N1668" t="str">
        <v>COMPRA MAYOR</v>
      </c>
      <c r="O1668">
        <v>9993.1299999999992</v>
      </c>
      <c r="P1668">
        <v>2457.2199999999998</v>
      </c>
      <c r="Q1668">
        <v>2997.9389999999999</v>
      </c>
      <c r="R1668">
        <v>540.71900000000005</v>
      </c>
      <c r="S1668">
        <v>45597</v>
      </c>
      <c r="T1668" t="str">
        <v>FORTALEZA</v>
      </c>
      <c r="U1668">
        <v>2457.2199999999998</v>
      </c>
      <c r="V1668" t="str">
        <v>MAGALI</v>
      </c>
      <c r="W1668">
        <v>46288</v>
      </c>
      <c r="X1668" t="str">
        <v/>
      </c>
    </row>
    <row r="1669" spans="1:24">
      <c r="A1669">
        <v>3482</v>
      </c>
      <c r="B1669">
        <v>46288.751273148097</v>
      </c>
      <c r="C1669">
        <v>46288.754733796297</v>
      </c>
      <c r="D1669" t="str">
        <v>anónimo</v>
      </c>
      <c r="E1669" t="str">
        <v/>
      </c>
      <c r="F1669" s="68">
        <v>46288</v>
      </c>
      <c r="G1669">
        <v>46283</v>
      </c>
      <c r="H1669" t="str">
        <v>LILIANA MARTINEZ SUR</v>
      </c>
      <c r="I1669" t="str">
        <v>JOSE CARLOS MUÑOZ ROSAS</v>
      </c>
      <c r="J1669">
        <v>21826304822</v>
      </c>
      <c r="K1669" t="str">
        <v>MURC651124HNTXSR04</v>
      </c>
      <c r="L1669">
        <v>24643638</v>
      </c>
      <c r="M1669">
        <v>5216643188445</v>
      </c>
      <c r="N1669" t="str">
        <v>NUEVO MAYOR</v>
      </c>
      <c r="O1669">
        <v>9760.32</v>
      </c>
      <c r="P1669" t="str">
        <v/>
      </c>
      <c r="Q1669">
        <v>2928.096</v>
      </c>
      <c r="R1669">
        <v>2928.096</v>
      </c>
      <c r="S1669" t="str">
        <v/>
      </c>
      <c r="T1669" t="str">
        <v/>
      </c>
      <c r="U1669" t="str">
        <v/>
      </c>
      <c r="V1669" t="str">
        <v>GABRIELA</v>
      </c>
      <c r="W1669">
        <v>46288</v>
      </c>
      <c r="X1669" t="str">
        <v/>
      </c>
    </row>
    <row r="1670" spans="1:24">
      <c r="A1670">
        <v>3490</v>
      </c>
      <c r="B1670">
        <v>46288.752418981501</v>
      </c>
      <c r="C1670">
        <v>46289.458796296298</v>
      </c>
      <c r="D1670" t="str">
        <v>anónimo</v>
      </c>
      <c r="E1670" t="str">
        <v/>
      </c>
      <c r="F1670" s="68">
        <v>46289</v>
      </c>
      <c r="G1670">
        <v>46288</v>
      </c>
      <c r="H1670" t="str">
        <v>RUTH MARTINEZ SUR</v>
      </c>
      <c r="I1670" t="str">
        <v>ERNESTO HERNANDEZ MARTINEZ</v>
      </c>
      <c r="J1670" t="str">
        <v/>
      </c>
      <c r="K1670" t="str">
        <v>HEME660716HDFRRR08</v>
      </c>
      <c r="L1670">
        <v>24800070</v>
      </c>
      <c r="M1670">
        <v>5215515930722</v>
      </c>
      <c r="N1670" t="str">
        <v>NUEVO MAYOR</v>
      </c>
      <c r="O1670">
        <v>10636.54</v>
      </c>
      <c r="P1670" t="str">
        <v/>
      </c>
      <c r="Q1670">
        <v>3190.962</v>
      </c>
      <c r="R1670">
        <v>3190.962</v>
      </c>
      <c r="S1670" t="str">
        <v/>
      </c>
      <c r="T1670" t="str">
        <v/>
      </c>
      <c r="U1670" t="str">
        <v/>
      </c>
      <c r="V1670" t="str">
        <v>PAOLA</v>
      </c>
      <c r="W1670">
        <v>46289</v>
      </c>
      <c r="X1670" t="str">
        <v/>
      </c>
    </row>
    <row r="1671" spans="1:24">
      <c r="A1671">
        <v>3491</v>
      </c>
      <c r="B1671">
        <v>46289.464004629597</v>
      </c>
      <c r="C1671">
        <v>46289.464513888903</v>
      </c>
      <c r="D1671" t="str">
        <v>anónimo</v>
      </c>
      <c r="E1671" t="str">
        <v/>
      </c>
      <c r="F1671" s="68">
        <v>46289</v>
      </c>
      <c r="G1671">
        <v>46289</v>
      </c>
      <c r="H1671" t="str">
        <v>CLAUDIA LAGUNES</v>
      </c>
      <c r="I1671" t="str">
        <v>MIGUEL ANGEL GAXIOLA AVILA</v>
      </c>
      <c r="J1671">
        <v>1185660853</v>
      </c>
      <c r="K1671" t="str">
        <v>GAAM660726HDFXVG06</v>
      </c>
      <c r="L1671">
        <v>24802282</v>
      </c>
      <c r="M1671">
        <v>5613526431</v>
      </c>
      <c r="N1671" t="str">
        <v>NUEVO MAYOR</v>
      </c>
      <c r="O1671">
        <v>12803.380000000001</v>
      </c>
      <c r="P1671" t="str">
        <v/>
      </c>
      <c r="Q1671">
        <v>3841.0140000000001</v>
      </c>
      <c r="R1671">
        <v>3841.0140000000001</v>
      </c>
      <c r="S1671" t="str">
        <v/>
      </c>
      <c r="T1671" t="str">
        <v/>
      </c>
      <c r="U1671" t="str">
        <v/>
      </c>
      <c r="V1671" t="str">
        <v>KARINA</v>
      </c>
      <c r="W1671">
        <v>46289</v>
      </c>
      <c r="X1671" t="str">
        <v/>
      </c>
    </row>
    <row r="1672" spans="1:24">
      <c r="A1672">
        <v>3492</v>
      </c>
      <c r="B1672">
        <v>46289.428865740701</v>
      </c>
      <c r="C1672">
        <v>46289.479340277801</v>
      </c>
      <c r="D1672" t="str">
        <v>anónimo</v>
      </c>
      <c r="E1672" t="str">
        <v/>
      </c>
      <c r="F1672" s="68">
        <v>46289</v>
      </c>
      <c r="G1672">
        <v>46289</v>
      </c>
      <c r="H1672" t="str">
        <v>GIOVANNI MELGAR</v>
      </c>
      <c r="I1672" t="str">
        <v>IDELFONOS GALLEGOS GUEMEZ</v>
      </c>
      <c r="J1672" t="str">
        <v>83836505244</v>
      </c>
      <c r="K1672" t="str">
        <v/>
      </c>
      <c r="L1672">
        <v>24810288</v>
      </c>
      <c r="M1672">
        <v>5219331522757</v>
      </c>
      <c r="N1672" t="str">
        <v>NUEVO MAYOR</v>
      </c>
      <c r="O1672">
        <v>10171.23</v>
      </c>
      <c r="P1672" t="str">
        <v/>
      </c>
      <c r="Q1672">
        <v>3051.3689999999997</v>
      </c>
      <c r="R1672">
        <v>3051.3689999999997</v>
      </c>
      <c r="S1672" t="str">
        <v/>
      </c>
      <c r="T1672" t="str">
        <v/>
      </c>
      <c r="U1672" t="str">
        <v/>
      </c>
      <c r="V1672" t="str">
        <v>HANIA</v>
      </c>
      <c r="W1672">
        <v>46289</v>
      </c>
      <c r="X1672" t="str">
        <v/>
      </c>
    </row>
    <row r="1673" spans="1:24">
      <c r="A1673">
        <v>3494</v>
      </c>
      <c r="B1673">
        <v>46289.486087963</v>
      </c>
      <c r="C1673">
        <v>46289.487314814804</v>
      </c>
      <c r="D1673" t="str">
        <v>anónimo</v>
      </c>
      <c r="E1673" t="str">
        <v/>
      </c>
      <c r="F1673" s="68">
        <v>46289</v>
      </c>
      <c r="G1673">
        <v>46280</v>
      </c>
      <c r="H1673" t="str">
        <v>GIOVANNI MELGAR</v>
      </c>
      <c r="I1673" t="str">
        <v>LUZ MARIA VAZQUEZ CRISOSTOMO</v>
      </c>
      <c r="J1673" t="str">
        <v xml:space="preserve">51816423555
</v>
      </c>
      <c r="K1673" t="str">
        <v>VACL640513MDFZRZ02</v>
      </c>
      <c r="L1673">
        <v>24488398</v>
      </c>
      <c r="M1673">
        <v>5214495898160</v>
      </c>
      <c r="N1673" t="str">
        <v>NUEVO MAYOR</v>
      </c>
      <c r="O1673">
        <v>11029.03</v>
      </c>
      <c r="P1673" t="str">
        <v/>
      </c>
      <c r="Q1673">
        <v>3308.7090000000003</v>
      </c>
      <c r="R1673">
        <v>3308.7090000000003</v>
      </c>
      <c r="S1673" t="str">
        <v/>
      </c>
      <c r="T1673" t="str">
        <v/>
      </c>
      <c r="U1673" t="str">
        <v/>
      </c>
      <c r="V1673" t="str">
        <v>HANIA</v>
      </c>
      <c r="W1673">
        <v>46289</v>
      </c>
      <c r="X1673" t="str">
        <v/>
      </c>
    </row>
    <row r="1674" spans="1:24">
      <c r="A1674">
        <v>3495</v>
      </c>
      <c r="B1674">
        <v>46289.494050925903</v>
      </c>
      <c r="C1674">
        <v>46289.494560185201</v>
      </c>
      <c r="D1674" t="str">
        <v>anónimo</v>
      </c>
      <c r="E1674" t="str">
        <v/>
      </c>
      <c r="F1674" s="68">
        <v>46289</v>
      </c>
      <c r="G1674">
        <v>46289</v>
      </c>
      <c r="H1674" t="str">
        <v>CLAUDIA LAGUNES</v>
      </c>
      <c r="I1674" t="str">
        <v/>
      </c>
      <c r="J1674">
        <v>65675018264</v>
      </c>
      <c r="K1674" t="str">
        <v/>
      </c>
      <c r="L1674">
        <v>24811230</v>
      </c>
      <c r="M1674">
        <v>8994962705</v>
      </c>
      <c r="N1674" t="str">
        <v>RESTRINGIDA</v>
      </c>
      <c r="O1674">
        <v>8146.82</v>
      </c>
      <c r="P1674">
        <v>2258.4699999999998</v>
      </c>
      <c r="Q1674">
        <v>2444.0459999999998</v>
      </c>
      <c r="R1674">
        <v>185.57600000000002</v>
      </c>
      <c r="S1674">
        <v>46174</v>
      </c>
      <c r="T1674" t="str">
        <v>FISOFO</v>
      </c>
      <c r="U1674">
        <v>2258.4699999999998</v>
      </c>
      <c r="V1674" t="str">
        <v>GUADALUPE</v>
      </c>
      <c r="W1674">
        <v>46289</v>
      </c>
      <c r="X1674" t="str">
        <v/>
      </c>
    </row>
    <row r="1675" spans="1:24">
      <c r="A1675">
        <v>3496</v>
      </c>
      <c r="B1675">
        <v>46289.493923611102</v>
      </c>
      <c r="C1675">
        <v>46289.501550925903</v>
      </c>
      <c r="D1675" t="str">
        <v>anónimo</v>
      </c>
      <c r="E1675" t="str">
        <v/>
      </c>
      <c r="F1675" s="68">
        <v>46289</v>
      </c>
      <c r="G1675">
        <v>46284</v>
      </c>
      <c r="H1675" t="str">
        <v>ROSA CASTRO SUR</v>
      </c>
      <c r="I1675" t="str">
        <v xml:space="preserve">FELIPE EDUARDO CABELLO GONZALEZ </v>
      </c>
      <c r="J1675" t="str">
        <v/>
      </c>
      <c r="K1675" t="str">
        <v>CAGF660610HDFBNL08</v>
      </c>
      <c r="L1675">
        <v>24512994</v>
      </c>
      <c r="M1675">
        <v>5215540988746</v>
      </c>
      <c r="N1675" t="str">
        <v>NUEVO MAYOR</v>
      </c>
      <c r="O1675">
        <v>48443.45</v>
      </c>
      <c r="P1675">
        <v>10479.31</v>
      </c>
      <c r="Q1675">
        <v>14533.034999999998</v>
      </c>
      <c r="R1675">
        <v>4053.7249999999985</v>
      </c>
      <c r="S1675">
        <v>46997</v>
      </c>
      <c r="T1675" t="str">
        <v>BANCREA</v>
      </c>
      <c r="U1675">
        <v>10479.31</v>
      </c>
      <c r="V1675" t="str">
        <v>CAROLINA</v>
      </c>
      <c r="W1675">
        <v>46289</v>
      </c>
      <c r="X1675" t="str">
        <v/>
      </c>
    </row>
    <row r="1676" spans="1:24">
      <c r="A1676">
        <v>3498</v>
      </c>
      <c r="B1676">
        <v>46289.4588194444</v>
      </c>
      <c r="C1676">
        <v>46289.528229166703</v>
      </c>
      <c r="D1676" t="str">
        <v>anónimo</v>
      </c>
      <c r="E1676" t="str">
        <v/>
      </c>
      <c r="F1676" s="68">
        <v>46289</v>
      </c>
      <c r="G1676">
        <v>46288</v>
      </c>
      <c r="H1676" t="str">
        <v>RUTH MARTINEZ SUR</v>
      </c>
      <c r="I1676" t="str">
        <v>MANUEL VALDIVIA VALLEJO</v>
      </c>
      <c r="J1676">
        <v>32806407931</v>
      </c>
      <c r="K1676" t="str">
        <v/>
      </c>
      <c r="L1676">
        <v>24798358</v>
      </c>
      <c r="M1676">
        <v>5218717845861</v>
      </c>
      <c r="N1676" t="str">
        <v>NUEVO MAYOR</v>
      </c>
      <c r="O1676">
        <v>21450.71</v>
      </c>
      <c r="P1676" t="str">
        <v/>
      </c>
      <c r="Q1676">
        <v>6435.2129999999997</v>
      </c>
      <c r="R1676">
        <v>6435.2129999999997</v>
      </c>
      <c r="S1676" t="str">
        <v/>
      </c>
      <c r="T1676" t="str">
        <v/>
      </c>
      <c r="U1676" t="str">
        <v/>
      </c>
      <c r="V1676" t="str">
        <v>MARISOL</v>
      </c>
      <c r="W1676">
        <v>46289</v>
      </c>
      <c r="X1676" t="str">
        <v/>
      </c>
    </row>
    <row r="1677" spans="1:24">
      <c r="A1677">
        <v>3501</v>
      </c>
      <c r="B1677">
        <v>46289.616597222201</v>
      </c>
      <c r="C1677">
        <v>46289.6171875</v>
      </c>
      <c r="D1677" t="str">
        <v>anónimo</v>
      </c>
      <c r="E1677" t="str">
        <v/>
      </c>
      <c r="F1677" s="68">
        <v>46289</v>
      </c>
      <c r="G1677">
        <v>46289</v>
      </c>
      <c r="H1677" t="str">
        <v>CLAUDIA LAGUNES</v>
      </c>
      <c r="I1677" t="str">
        <v>FERNANDO MARTINEZ COVARRUBIAS</v>
      </c>
      <c r="J1677">
        <v>16846405401</v>
      </c>
      <c r="K1677" t="str">
        <v>MACF640302HDFRVR01</v>
      </c>
      <c r="L1677">
        <v>24815046</v>
      </c>
      <c r="M1677">
        <v>5626088170</v>
      </c>
      <c r="N1677" t="str">
        <v>NUEVO MAYOR</v>
      </c>
      <c r="O1677">
        <v>9081.52</v>
      </c>
      <c r="P1677">
        <v>1482.45</v>
      </c>
      <c r="Q1677">
        <v>2724.4560000000001</v>
      </c>
      <c r="R1677">
        <v>1242.0060000000001</v>
      </c>
      <c r="S1677">
        <v>46813</v>
      </c>
      <c r="T1677" t="str">
        <v>PROFUTURO</v>
      </c>
      <c r="U1677">
        <v>1482.45</v>
      </c>
      <c r="V1677" t="str">
        <v>KARINA</v>
      </c>
      <c r="W1677">
        <v>46289</v>
      </c>
      <c r="X1677" t="str">
        <v/>
      </c>
    </row>
    <row r="1678" spans="1:24">
      <c r="A1678">
        <v>3503</v>
      </c>
      <c r="B1678">
        <v>46289.637372685203</v>
      </c>
      <c r="C1678">
        <v>46289.637824074103</v>
      </c>
      <c r="D1678" t="str">
        <v>anónimo</v>
      </c>
      <c r="E1678" t="str">
        <v/>
      </c>
      <c r="F1678" s="68">
        <v>46289</v>
      </c>
      <c r="G1678">
        <v>46289</v>
      </c>
      <c r="H1678" t="str">
        <v>GIOVANNI MELGAR</v>
      </c>
      <c r="I1678" t="str">
        <v>TEOFILO ZAVALA ABREGO</v>
      </c>
      <c r="J1678" t="str">
        <v/>
      </c>
      <c r="K1678" t="str">
        <v>ZAAT650913HGTVBF00</v>
      </c>
      <c r="L1678">
        <v>24806836</v>
      </c>
      <c r="M1678">
        <v>5214451585108</v>
      </c>
      <c r="N1678" t="str">
        <v>NUEVO MAYOR</v>
      </c>
      <c r="O1678">
        <v>10636.54</v>
      </c>
      <c r="P1678" t="str">
        <v/>
      </c>
      <c r="Q1678">
        <v>3190.962</v>
      </c>
      <c r="R1678">
        <v>3190.962</v>
      </c>
      <c r="S1678" t="str">
        <v/>
      </c>
      <c r="T1678" t="str">
        <v/>
      </c>
      <c r="U1678" t="str">
        <v/>
      </c>
      <c r="V1678" t="str">
        <v>KATE</v>
      </c>
      <c r="W1678">
        <v>46289</v>
      </c>
      <c r="X1678" t="str">
        <v/>
      </c>
    </row>
    <row r="1679" spans="1:24">
      <c r="A1679">
        <v>3505</v>
      </c>
      <c r="B1679">
        <v>46289.650428240697</v>
      </c>
      <c r="C1679">
        <v>46289.650856481501</v>
      </c>
      <c r="D1679" t="str">
        <v>anónimo</v>
      </c>
      <c r="E1679" t="str">
        <v/>
      </c>
      <c r="F1679" s="68">
        <v>46289</v>
      </c>
      <c r="G1679">
        <v>46289</v>
      </c>
      <c r="H1679" t="str">
        <v>GIOVANNI MELGAR</v>
      </c>
      <c r="I1679" t="str">
        <v>RAFAEL ALARCON DIAZ</v>
      </c>
      <c r="J1679" t="str">
        <v xml:space="preserve">65795311250
</v>
      </c>
      <c r="K1679" t="str">
        <v/>
      </c>
      <c r="L1679">
        <v>24816960</v>
      </c>
      <c r="M1679">
        <v>5212969640074</v>
      </c>
      <c r="N1679" t="str">
        <v>NUEVO MENOR</v>
      </c>
      <c r="O1679">
        <v>4561.97</v>
      </c>
      <c r="P1679" t="str">
        <v/>
      </c>
      <c r="Q1679">
        <v>1368.5910000000001</v>
      </c>
      <c r="R1679">
        <v>388.99000000000069</v>
      </c>
      <c r="S1679" t="str">
        <v/>
      </c>
      <c r="T1679" t="str">
        <v/>
      </c>
      <c r="U1679" t="str">
        <v/>
      </c>
      <c r="V1679" t="str">
        <v>HECTOR</v>
      </c>
      <c r="W1679">
        <v>46289</v>
      </c>
      <c r="X1679" t="str">
        <v/>
      </c>
    </row>
    <row r="1680" spans="1:24">
      <c r="A1680">
        <v>3511</v>
      </c>
      <c r="B1680">
        <v>46289.721307870401</v>
      </c>
      <c r="C1680">
        <v>46289.722928240699</v>
      </c>
      <c r="D1680" t="str">
        <v>anónimo</v>
      </c>
      <c r="E1680" t="str">
        <v/>
      </c>
      <c r="F1680" s="68">
        <v>46289</v>
      </c>
      <c r="G1680">
        <v>46281</v>
      </c>
      <c r="H1680" t="str">
        <v>JAEL RUIZ</v>
      </c>
      <c r="I1680" t="str">
        <v>MIGUEL SANCHEZ TREJO</v>
      </c>
      <c r="J1680">
        <v>19806215034</v>
      </c>
      <c r="K1680" t="str">
        <v/>
      </c>
      <c r="L1680">
        <v>24509568</v>
      </c>
      <c r="M1680">
        <v>5643625344</v>
      </c>
      <c r="N1680" t="str">
        <v>RESTRINGIDA</v>
      </c>
      <c r="O1680">
        <v>76352.17</v>
      </c>
      <c r="P1680">
        <v>19849.46</v>
      </c>
      <c r="Q1680">
        <v>22905.650999999998</v>
      </c>
      <c r="R1680">
        <v>3056.1909999999989</v>
      </c>
      <c r="S1680">
        <v>45748</v>
      </c>
      <c r="T1680" t="str">
        <v xml:space="preserve">CONSUBANCO </v>
      </c>
      <c r="U1680">
        <v>19849.46</v>
      </c>
      <c r="V1680" t="str">
        <v>DANIELLY</v>
      </c>
      <c r="W1680">
        <v>46289</v>
      </c>
      <c r="X1680" t="str">
        <v/>
      </c>
    </row>
    <row r="1681" spans="1:24">
      <c r="A1681">
        <v>3512</v>
      </c>
      <c r="B1681">
        <v>46289.715231481503</v>
      </c>
      <c r="C1681">
        <v>46289.725624999999</v>
      </c>
      <c r="D1681" t="str">
        <v>anónimo</v>
      </c>
      <c r="E1681" t="str">
        <v/>
      </c>
      <c r="F1681" s="68">
        <v>46289</v>
      </c>
      <c r="G1681">
        <v>46289</v>
      </c>
      <c r="H1681" t="str">
        <v>GUADALUPE CRUZ SUR</v>
      </c>
      <c r="I1681" t="str">
        <v>MARGARITO ESCOBEDO CUENTAS</v>
      </c>
      <c r="J1681" t="str">
        <v/>
      </c>
      <c r="K1681" t="str">
        <v>EOCM620406HNTSNR05</v>
      </c>
      <c r="L1681">
        <v>24818116</v>
      </c>
      <c r="M1681">
        <v>5213222423204</v>
      </c>
      <c r="N1681" t="str">
        <v>COMPRA MAYOR</v>
      </c>
      <c r="O1681">
        <v>9081.52</v>
      </c>
      <c r="P1681">
        <v>2521.35</v>
      </c>
      <c r="Q1681">
        <v>2724.4560000000001</v>
      </c>
      <c r="R1681">
        <v>203.10600000000022</v>
      </c>
      <c r="S1681">
        <v>46235</v>
      </c>
      <c r="T1681" t="str">
        <v>DIMEX</v>
      </c>
      <c r="U1681">
        <v>2521.35</v>
      </c>
      <c r="V1681" t="str">
        <v>YESSENIA</v>
      </c>
      <c r="W1681">
        <v>46289</v>
      </c>
      <c r="X1681" t="str">
        <v/>
      </c>
    </row>
    <row r="1682" spans="1:24">
      <c r="A1682">
        <v>3513</v>
      </c>
      <c r="B1682">
        <v>46289.627731481502</v>
      </c>
      <c r="C1682">
        <v>46289.725937499999</v>
      </c>
      <c r="D1682" t="str">
        <v>anónimo</v>
      </c>
      <c r="E1682" t="str">
        <v/>
      </c>
      <c r="F1682" s="68">
        <v>46289</v>
      </c>
      <c r="G1682">
        <v>46289</v>
      </c>
      <c r="H1682" t="str">
        <v>GUADALUPE CRUZ SUR</v>
      </c>
      <c r="I1682" t="str">
        <v>EDITA CIPRIANO BASULTO</v>
      </c>
      <c r="J1682">
        <v>65725601028</v>
      </c>
      <c r="K1682" t="str">
        <v>CIBE600916MVZPSD04</v>
      </c>
      <c r="L1682">
        <v>24816418</v>
      </c>
      <c r="M1682">
        <v>5219222075901</v>
      </c>
      <c r="N1682" t="str">
        <v>COMPRA MENOR</v>
      </c>
      <c r="O1682">
        <v>4723.55</v>
      </c>
      <c r="P1682">
        <v>855</v>
      </c>
      <c r="Q1682">
        <v>1417.0650000000001</v>
      </c>
      <c r="R1682">
        <v>-304.42999999999938</v>
      </c>
      <c r="S1682">
        <v>45778</v>
      </c>
      <c r="T1682" t="str">
        <v>BANCREA</v>
      </c>
      <c r="U1682">
        <v>855</v>
      </c>
      <c r="V1682" t="str">
        <v>HECTOR</v>
      </c>
      <c r="W1682">
        <v>46289</v>
      </c>
      <c r="X1682" t="str">
        <v/>
      </c>
    </row>
    <row r="1683" spans="1:24">
      <c r="A1683">
        <v>3520</v>
      </c>
      <c r="B1683">
        <v>46289.779606481497</v>
      </c>
      <c r="C1683">
        <v>46289.780358796299</v>
      </c>
      <c r="D1683" t="str">
        <v>anónimo</v>
      </c>
      <c r="E1683" t="str">
        <v/>
      </c>
      <c r="F1683" s="68">
        <v>46289</v>
      </c>
      <c r="G1683">
        <v>46289</v>
      </c>
      <c r="H1683" t="str">
        <v>GUADALUPE CRUZ SUR</v>
      </c>
      <c r="I1683" t="str">
        <v>J. NATIVIDAD ALVAREZ ALVAREZ</v>
      </c>
      <c r="J1683" t="str">
        <v/>
      </c>
      <c r="K1683" t="str">
        <v>AAAN650109HZSLLT03</v>
      </c>
      <c r="L1683">
        <v>24820162</v>
      </c>
      <c r="M1683">
        <v>5214491118373</v>
      </c>
      <c r="N1683" t="str">
        <v>NUEVO MAYOR</v>
      </c>
      <c r="O1683">
        <v>30393.61</v>
      </c>
      <c r="P1683">
        <v>3201.74</v>
      </c>
      <c r="Q1683">
        <v>9118.0830000000005</v>
      </c>
      <c r="R1683">
        <v>5916.3430000000008</v>
      </c>
      <c r="S1683">
        <v>46722</v>
      </c>
      <c r="T1683" t="str">
        <v>INBURSA</v>
      </c>
      <c r="U1683">
        <v>1179.5899999999999</v>
      </c>
      <c r="V1683" t="str">
        <v>MARISOL</v>
      </c>
      <c r="W1683">
        <v>46289</v>
      </c>
      <c r="X1683" t="str">
        <v/>
      </c>
    </row>
    <row r="1684" spans="1:24">
      <c r="A1684">
        <v>3526</v>
      </c>
      <c r="B1684">
        <v>46290.4312615741</v>
      </c>
      <c r="C1684">
        <v>46290.432094907403</v>
      </c>
      <c r="D1684" t="str">
        <v>anónimo</v>
      </c>
      <c r="E1684" t="str">
        <v/>
      </c>
      <c r="F1684" s="68">
        <v>46290</v>
      </c>
      <c r="G1684">
        <v>46290</v>
      </c>
      <c r="H1684" t="str">
        <v>GIOVANNI MELGAR</v>
      </c>
      <c r="I1684" t="str">
        <v>MARTIN RENE RUIZ VIZCARRA</v>
      </c>
      <c r="J1684" t="str">
        <v>33967825960</v>
      </c>
      <c r="K1684" t="str">
        <v>RUVM751111HCHZZR02</v>
      </c>
      <c r="L1684">
        <v>24832784</v>
      </c>
      <c r="M1684">
        <v>5216145378090</v>
      </c>
      <c r="N1684" t="str">
        <v>RESTRINGIDA</v>
      </c>
      <c r="O1684">
        <v>5077.9799999999996</v>
      </c>
      <c r="P1684">
        <v>1078.5</v>
      </c>
      <c r="Q1684">
        <v>1523.3939999999998</v>
      </c>
      <c r="R1684">
        <v>-173.5</v>
      </c>
      <c r="S1684">
        <v>45444</v>
      </c>
      <c r="T1684" t="str">
        <v xml:space="preserve">CONSUBANCO </v>
      </c>
      <c r="U1684">
        <v>1078.5</v>
      </c>
      <c r="V1684" t="str">
        <v>GUADALUPE</v>
      </c>
      <c r="W1684">
        <v>46290</v>
      </c>
      <c r="X1684" t="str">
        <v/>
      </c>
    </row>
    <row r="1685" spans="1:24">
      <c r="A1685">
        <v>3530</v>
      </c>
      <c r="B1685">
        <v>46290.504826388897</v>
      </c>
      <c r="C1685">
        <v>46290.514849537001</v>
      </c>
      <c r="D1685" t="str">
        <v>anónimo</v>
      </c>
      <c r="E1685" t="str">
        <v/>
      </c>
      <c r="F1685" s="68">
        <v>46290</v>
      </c>
      <c r="G1685">
        <v>46270</v>
      </c>
      <c r="H1685" t="str">
        <v>LILIANA MARTINEZ SUR</v>
      </c>
      <c r="I1685" t="str">
        <v>VICTOR MANUEL ZAMORA BARRIOS</v>
      </c>
      <c r="J1685">
        <v>49856204778</v>
      </c>
      <c r="K1685" t="str">
        <v>ZABV621225HVZMRC03</v>
      </c>
      <c r="L1685">
        <v>24268712</v>
      </c>
      <c r="M1685">
        <v>5219381377239</v>
      </c>
      <c r="N1685" t="str">
        <v>NUEVO MENOR</v>
      </c>
      <c r="O1685">
        <v>50512.14</v>
      </c>
      <c r="P1685">
        <v>14146.06</v>
      </c>
      <c r="Q1685">
        <v>15153.642</v>
      </c>
      <c r="R1685">
        <v>1007.5820000000003</v>
      </c>
      <c r="S1685">
        <v>46692</v>
      </c>
      <c r="T1685" t="str">
        <v xml:space="preserve">CONSUBANCO </v>
      </c>
      <c r="U1685">
        <v>14146.06</v>
      </c>
      <c r="V1685" t="str">
        <v>HECTOR</v>
      </c>
      <c r="W1685">
        <v>46290</v>
      </c>
      <c r="X1685" t="str">
        <v/>
      </c>
    </row>
    <row r="1686" spans="1:24">
      <c r="A1686">
        <v>3532</v>
      </c>
      <c r="B1686">
        <v>46290.568182870396</v>
      </c>
      <c r="C1686">
        <v>46290.569027777798</v>
      </c>
      <c r="D1686" t="str">
        <v>anónimo</v>
      </c>
      <c r="E1686" t="str">
        <v/>
      </c>
      <c r="F1686" s="68">
        <v>46290</v>
      </c>
      <c r="G1686">
        <v>46290</v>
      </c>
      <c r="H1686" t="str">
        <v>ALAN ALTAMIRANO EXT</v>
      </c>
      <c r="I1686" t="str">
        <v>MIRIAM GARCÍA CRUZ</v>
      </c>
      <c r="J1686">
        <v>67957050916</v>
      </c>
      <c r="K1686" t="str">
        <v/>
      </c>
      <c r="L1686">
        <v>1</v>
      </c>
      <c r="M1686">
        <v>2293215607</v>
      </c>
      <c r="N1686" t="str">
        <v>RESTRINGIDA</v>
      </c>
      <c r="O1686">
        <v>13165.74</v>
      </c>
      <c r="P1686">
        <v>3636.53</v>
      </c>
      <c r="Q1686">
        <v>3949.7219999999998</v>
      </c>
      <c r="R1686">
        <v>313.19199999999955</v>
      </c>
      <c r="S1686">
        <v>46266</v>
      </c>
      <c r="T1686" t="str">
        <v>OPCIPRES, CONSUBANCO</v>
      </c>
      <c r="U1686">
        <v>3636.53</v>
      </c>
      <c r="V1686" t="str">
        <v/>
      </c>
      <c r="W1686" t="str">
        <v/>
      </c>
      <c r="X1686" t="str">
        <v/>
      </c>
    </row>
    <row r="1687" spans="1:24">
      <c r="A1687">
        <v>3534</v>
      </c>
      <c r="B1687">
        <v>46290.4300925926</v>
      </c>
      <c r="C1687">
        <v>46290.650092592601</v>
      </c>
      <c r="D1687" t="str">
        <v>anónimo</v>
      </c>
      <c r="E1687" t="str">
        <v/>
      </c>
      <c r="F1687" s="68">
        <v>46290</v>
      </c>
      <c r="G1687">
        <v>46290</v>
      </c>
      <c r="H1687" t="str">
        <v>YAMILETH CARDONA EXT 2</v>
      </c>
      <c r="I1687" t="str">
        <v>ANA MARIA CHAVEZ LOPEZ</v>
      </c>
      <c r="J1687">
        <v>54786016144</v>
      </c>
      <c r="K1687" t="str">
        <v>CALA600110MSLHPN00</v>
      </c>
      <c r="L1687">
        <v>2</v>
      </c>
      <c r="M1687">
        <v>3322910448</v>
      </c>
      <c r="N1687" t="str">
        <v>NUEVO MAYOR</v>
      </c>
      <c r="O1687">
        <v>7920.51</v>
      </c>
      <c r="P1687" t="str">
        <v/>
      </c>
      <c r="Q1687">
        <v>2376.1529999999998</v>
      </c>
      <c r="R1687">
        <v>2376.1529999999998</v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</row>
    <row r="1688" spans="1:24">
      <c r="A1688">
        <v>3535</v>
      </c>
      <c r="B1688">
        <v>46290.6497453704</v>
      </c>
      <c r="C1688">
        <v>46290.657025462999</v>
      </c>
      <c r="D1688" t="str">
        <v>anónimo</v>
      </c>
      <c r="E1688" t="str">
        <v/>
      </c>
      <c r="F1688" s="68">
        <v>46290</v>
      </c>
      <c r="G1688">
        <v>46290</v>
      </c>
      <c r="H1688" t="str">
        <v>GUADALUPE CRUZ SUR</v>
      </c>
      <c r="I1688" t="str">
        <v>JOSE LAMBERTO LUNA COVARRUBIAS</v>
      </c>
      <c r="J1688" t="str">
        <v/>
      </c>
      <c r="K1688" t="str">
        <v>LUCL610726HBCNVM06</v>
      </c>
      <c r="L1688">
        <v>24841244</v>
      </c>
      <c r="M1688">
        <v>5216461215655</v>
      </c>
      <c r="N1688" t="str">
        <v>NUEVO MENOR</v>
      </c>
      <c r="O1688">
        <v>6812.39</v>
      </c>
      <c r="P1688">
        <v>879</v>
      </c>
      <c r="Q1688">
        <v>2043.7170000000001</v>
      </c>
      <c r="R1688">
        <v>1164.7170000000001</v>
      </c>
      <c r="S1688" t="str">
        <v/>
      </c>
      <c r="T1688" t="str">
        <v/>
      </c>
      <c r="U1688" t="str">
        <v/>
      </c>
      <c r="V1688" t="str">
        <v>BEATRIZ</v>
      </c>
      <c r="W1688">
        <v>46290</v>
      </c>
      <c r="X1688" t="str">
        <v/>
      </c>
    </row>
    <row r="1689" spans="1:24">
      <c r="A1689">
        <v>3539</v>
      </c>
      <c r="B1689">
        <v>46290.683159722197</v>
      </c>
      <c r="C1689">
        <v>46290.687870370399</v>
      </c>
      <c r="D1689" t="str">
        <v>anónimo</v>
      </c>
      <c r="E1689" t="str">
        <v/>
      </c>
      <c r="F1689" s="68">
        <v>46290</v>
      </c>
      <c r="G1689">
        <v>46290</v>
      </c>
      <c r="H1689" t="str">
        <v>RUTH MARTINEZ SUR</v>
      </c>
      <c r="I1689" t="str">
        <v>DOLORES COTA NEYOY</v>
      </c>
      <c r="J1689" t="str">
        <v/>
      </c>
      <c r="K1689" t="str">
        <v>COND690211HSRTYL04</v>
      </c>
      <c r="L1689">
        <v>24834106</v>
      </c>
      <c r="M1689">
        <v>5216531205818</v>
      </c>
      <c r="N1689" t="str">
        <v>NUEVO MAYOR</v>
      </c>
      <c r="O1689">
        <v>8181.55</v>
      </c>
      <c r="P1689" t="str">
        <v/>
      </c>
      <c r="Q1689">
        <v>2454.4650000000001</v>
      </c>
      <c r="R1689">
        <v>2454.4650000000001</v>
      </c>
      <c r="S1689" t="str">
        <v/>
      </c>
      <c r="T1689" t="str">
        <v/>
      </c>
      <c r="U1689" t="str">
        <v/>
      </c>
      <c r="V1689" t="str">
        <v>ANDRE</v>
      </c>
      <c r="W1689">
        <v>46290</v>
      </c>
      <c r="X1689" t="str">
        <v/>
      </c>
    </row>
    <row r="1690" spans="1:24">
      <c r="A1690">
        <v>3543</v>
      </c>
      <c r="B1690">
        <v>46290.709907407399</v>
      </c>
      <c r="C1690">
        <v>46290.7110300926</v>
      </c>
      <c r="D1690" t="str">
        <v>anónimo</v>
      </c>
      <c r="E1690" t="str">
        <v/>
      </c>
      <c r="F1690" s="68">
        <v>46290</v>
      </c>
      <c r="G1690">
        <v>46290</v>
      </c>
      <c r="H1690" t="str">
        <v>ALAN ALTAMIRANO EXT</v>
      </c>
      <c r="I1690" t="str">
        <v>JESÚS ANGEL HERNANDEZ MARTINEZ</v>
      </c>
      <c r="J1690" t="str">
        <v>03654927593</v>
      </c>
      <c r="K1690" t="str">
        <v/>
      </c>
      <c r="L1690">
        <v>1</v>
      </c>
      <c r="M1690">
        <v>8114746025</v>
      </c>
      <c r="N1690" t="str">
        <v>NUEVO MAYOR</v>
      </c>
      <c r="O1690">
        <v>36506.21</v>
      </c>
      <c r="P1690">
        <v>9562.5400000000009</v>
      </c>
      <c r="Q1690">
        <v>10951.862999999999</v>
      </c>
      <c r="R1690">
        <v>1389.3229999999985</v>
      </c>
      <c r="S1690">
        <v>46631</v>
      </c>
      <c r="T1690" t="str">
        <v>OPCIPRES</v>
      </c>
      <c r="U1690">
        <v>1151.54</v>
      </c>
      <c r="V1690" t="str">
        <v/>
      </c>
      <c r="W1690" t="str">
        <v/>
      </c>
      <c r="X1690" t="str">
        <v/>
      </c>
    </row>
    <row r="1691" spans="1:24">
      <c r="A1691">
        <v>3549</v>
      </c>
      <c r="B1691">
        <v>46290.748252314799</v>
      </c>
      <c r="C1691">
        <v>46290.753113425897</v>
      </c>
      <c r="D1691" t="str">
        <v>anónimo</v>
      </c>
      <c r="E1691" t="str">
        <v/>
      </c>
      <c r="F1691" s="68">
        <v>46290</v>
      </c>
      <c r="G1691">
        <v>46290</v>
      </c>
      <c r="H1691" t="str">
        <v>GUADALUPE CRUZ SUR</v>
      </c>
      <c r="I1691" t="str">
        <v>MAGDALENA CHAVEZ SANCHEZ</v>
      </c>
      <c r="J1691" t="str">
        <v/>
      </c>
      <c r="K1691" t="str">
        <v>CASM500513MNLHNG00</v>
      </c>
      <c r="L1691">
        <v>24843042</v>
      </c>
      <c r="M1691">
        <v>5218126351730</v>
      </c>
      <c r="N1691" t="str">
        <v>NUEVO MENOR</v>
      </c>
      <c r="O1691">
        <v>4547.1499999999996</v>
      </c>
      <c r="P1691" t="str">
        <v/>
      </c>
      <c r="Q1691">
        <v>1364.1449999999998</v>
      </c>
      <c r="R1691">
        <v>374.17000000000007</v>
      </c>
      <c r="S1691" t="str">
        <v/>
      </c>
      <c r="T1691" t="str">
        <v/>
      </c>
      <c r="U1691" t="str">
        <v/>
      </c>
      <c r="V1691" t="str">
        <v>LUIS</v>
      </c>
      <c r="W1691">
        <v>46290</v>
      </c>
      <c r="X1691" t="str">
        <v/>
      </c>
    </row>
    <row r="1692" spans="1:24">
      <c r="A1692">
        <v>3550</v>
      </c>
      <c r="B1692">
        <v>46290.753287036998</v>
      </c>
      <c r="C1692">
        <v>46290.778136574103</v>
      </c>
      <c r="D1692" t="str">
        <v>anónimo</v>
      </c>
      <c r="E1692" t="str">
        <v/>
      </c>
      <c r="F1692" s="68">
        <v>46290</v>
      </c>
      <c r="G1692">
        <v>46290</v>
      </c>
      <c r="H1692" t="str">
        <v>GUADALUPE CRUZ SUR</v>
      </c>
      <c r="I1692" t="str">
        <v>ANTONIO CARRILLO PACHECO</v>
      </c>
      <c r="J1692">
        <v>2478571623</v>
      </c>
      <c r="K1692" t="str">
        <v/>
      </c>
      <c r="L1692">
        <v>24842778</v>
      </c>
      <c r="M1692">
        <v>5216621829126</v>
      </c>
      <c r="N1692" t="str">
        <v>NUEVO MAYOR</v>
      </c>
      <c r="O1692">
        <v>21890.16</v>
      </c>
      <c r="P1692">
        <v>879</v>
      </c>
      <c r="Q1692">
        <v>6567.0479999999998</v>
      </c>
      <c r="R1692">
        <v>5688.0479999999998</v>
      </c>
      <c r="S1692" t="str">
        <v/>
      </c>
      <c r="T1692" t="str">
        <v/>
      </c>
      <c r="U1692" t="str">
        <v/>
      </c>
      <c r="V1692" t="str">
        <v>CAROLINA</v>
      </c>
      <c r="W1692">
        <v>46290</v>
      </c>
      <c r="X1692" t="str">
        <v/>
      </c>
    </row>
    <row r="1693" spans="1:24">
      <c r="A1693">
        <v>3554</v>
      </c>
      <c r="B1693">
        <v>46291.3839814815</v>
      </c>
      <c r="C1693">
        <v>46291.385902777802</v>
      </c>
      <c r="D1693" t="str">
        <v>anónimo</v>
      </c>
      <c r="E1693" t="str">
        <v/>
      </c>
      <c r="F1693" s="68">
        <v>46291</v>
      </c>
      <c r="G1693">
        <v>46291</v>
      </c>
      <c r="H1693" t="str">
        <v>ALAN ALTAMIRANO EXT</v>
      </c>
      <c r="I1693" t="str">
        <v>Enrique Martín Pérez López</v>
      </c>
      <c r="J1693">
        <v>14876411068</v>
      </c>
      <c r="K1693" t="str">
        <v/>
      </c>
      <c r="L1693">
        <v>1</v>
      </c>
      <c r="M1693">
        <v>2295244063</v>
      </c>
      <c r="N1693" t="str">
        <v>NUEVO MAYOR</v>
      </c>
      <c r="O1693">
        <v>18751.45</v>
      </c>
      <c r="P1693" t="str">
        <v/>
      </c>
      <c r="Q1693">
        <v>5625.4350000000004</v>
      </c>
      <c r="R1693">
        <v>5625.4350000000004</v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</row>
    <row r="1694" spans="1:24">
      <c r="A1694">
        <v>3558</v>
      </c>
      <c r="B1694">
        <v>46290.750868055598</v>
      </c>
      <c r="C1694">
        <v>46291.443287037</v>
      </c>
      <c r="D1694" t="str">
        <v>anónimo</v>
      </c>
      <c r="E1694" t="str">
        <v/>
      </c>
      <c r="F1694" s="68">
        <v>46291</v>
      </c>
      <c r="G1694">
        <v>46291</v>
      </c>
      <c r="H1694" t="str">
        <v>RUTH MARTINEZ SUR</v>
      </c>
      <c r="I1694" t="str">
        <v xml:space="preserve">LUIS IGNACIO GOMEZ ESTRADA </v>
      </c>
      <c r="J1694" t="str">
        <v>32816301298</v>
      </c>
      <c r="K1694" t="str">
        <v>GOEL631129HCLMSS02</v>
      </c>
      <c r="L1694">
        <v>24849454</v>
      </c>
      <c r="M1694">
        <v>5218716065003</v>
      </c>
      <c r="N1694" t="str">
        <v>NUEVO MAYOR</v>
      </c>
      <c r="O1694">
        <v>13853.05</v>
      </c>
      <c r="P1694" t="str">
        <v/>
      </c>
      <c r="Q1694">
        <v>4155.915</v>
      </c>
      <c r="R1694">
        <v>4155.915</v>
      </c>
      <c r="S1694" t="str">
        <v/>
      </c>
      <c r="T1694" t="str">
        <v/>
      </c>
      <c r="U1694" t="str">
        <v/>
      </c>
      <c r="V1694" t="str">
        <v xml:space="preserve">KARINA </v>
      </c>
      <c r="W1694">
        <v>46291</v>
      </c>
      <c r="X1694" t="str">
        <v/>
      </c>
    </row>
    <row r="1695" spans="1:24">
      <c r="A1695">
        <v>3565</v>
      </c>
      <c r="B1695">
        <v>46291.518726851798</v>
      </c>
      <c r="C1695">
        <v>46291.519062500003</v>
      </c>
      <c r="D1695" t="str">
        <v>anónimo</v>
      </c>
      <c r="E1695" t="str">
        <v/>
      </c>
      <c r="F1695" s="68">
        <v>46291</v>
      </c>
      <c r="G1695">
        <v>46291</v>
      </c>
      <c r="H1695" t="str">
        <v>GIOVANNI MELGAR</v>
      </c>
      <c r="I1695" t="str">
        <v>PAQUER BULMARO AVALOS GALLEGOS</v>
      </c>
      <c r="J1695" t="str">
        <v/>
      </c>
      <c r="K1695" t="str">
        <v>AAGP660504HCSVLQ02</v>
      </c>
      <c r="L1695">
        <v>24854170</v>
      </c>
      <c r="M1695">
        <v>5219641007844</v>
      </c>
      <c r="N1695" t="str">
        <v>NUEVO MAYOR</v>
      </c>
      <c r="O1695">
        <v>10636.539999999997</v>
      </c>
      <c r="P1695" t="str">
        <v/>
      </c>
      <c r="Q1695">
        <v>3190.9619999999991</v>
      </c>
      <c r="R1695">
        <v>3190.9619999999991</v>
      </c>
      <c r="S1695" t="str">
        <v/>
      </c>
      <c r="T1695" t="str">
        <v/>
      </c>
      <c r="U1695" t="str">
        <v/>
      </c>
      <c r="V1695" t="str">
        <v>ANDRE</v>
      </c>
      <c r="W1695">
        <v>46291</v>
      </c>
      <c r="X1695" t="str">
        <v/>
      </c>
    </row>
    <row r="1696" spans="1:24">
      <c r="A1696">
        <v>3567</v>
      </c>
      <c r="B1696">
        <v>46291.5301736111</v>
      </c>
      <c r="C1696">
        <v>46291.530694444402</v>
      </c>
      <c r="D1696" t="str">
        <v>anónimo</v>
      </c>
      <c r="E1696" t="str">
        <v/>
      </c>
      <c r="F1696" s="68">
        <v>46291</v>
      </c>
      <c r="G1696">
        <v>46291</v>
      </c>
      <c r="H1696" t="str">
        <v>GIOVANNI MELGAR</v>
      </c>
      <c r="I1696" t="str">
        <v>HERMENEGILDO LEDESMA VILLAGOMEZ</v>
      </c>
      <c r="J1696" t="str">
        <v/>
      </c>
      <c r="K1696" t="str">
        <v>LEVH630617HMNDLR12</v>
      </c>
      <c r="L1696">
        <v>24846058</v>
      </c>
      <c r="M1696">
        <v>5215532824918</v>
      </c>
      <c r="N1696" t="str">
        <v>RESTRINGIDA</v>
      </c>
      <c r="O1696">
        <v>7920.51</v>
      </c>
      <c r="P1696">
        <v>2195.2800000000002</v>
      </c>
      <c r="Q1696">
        <v>2376.1529999999998</v>
      </c>
      <c r="R1696">
        <v>180.87299999999959</v>
      </c>
      <c r="S1696">
        <v>46143</v>
      </c>
      <c r="T1696" t="str">
        <v xml:space="preserve">CONSUBANCO </v>
      </c>
      <c r="U1696">
        <v>2195.2800000000002</v>
      </c>
      <c r="V1696" t="str">
        <v>DANIELLY</v>
      </c>
      <c r="W1696">
        <v>46291</v>
      </c>
      <c r="X1696" t="str">
        <v/>
      </c>
    </row>
    <row r="1697" spans="1:24">
      <c r="A1697">
        <v>3569</v>
      </c>
      <c r="B1697">
        <v>46291.545023148203</v>
      </c>
      <c r="C1697">
        <v>46291.545694444401</v>
      </c>
      <c r="D1697" t="str">
        <v>anónimo</v>
      </c>
      <c r="E1697" t="str">
        <v/>
      </c>
      <c r="F1697" s="68">
        <v>46291</v>
      </c>
      <c r="G1697">
        <v>46291</v>
      </c>
      <c r="H1697" t="str">
        <v>GIOVANNI MELGAR</v>
      </c>
      <c r="I1697" t="str">
        <v>JOSE GONZALEZ SALAZAR</v>
      </c>
      <c r="J1697" t="str">
        <v>43745418210</v>
      </c>
      <c r="K1697" t="str">
        <v>GOSJ540320HSPNLS02</v>
      </c>
      <c r="L1697">
        <v>24852902</v>
      </c>
      <c r="M1697">
        <v>5218113998249</v>
      </c>
      <c r="N1697" t="str">
        <v>NUEVO MAYOR</v>
      </c>
      <c r="O1697">
        <v>12026.54</v>
      </c>
      <c r="P1697" t="str">
        <v/>
      </c>
      <c r="Q1697">
        <v>3607.962</v>
      </c>
      <c r="R1697">
        <v>3607.962</v>
      </c>
      <c r="S1697" t="str">
        <v/>
      </c>
      <c r="T1697" t="str">
        <v/>
      </c>
      <c r="U1697" t="str">
        <v/>
      </c>
      <c r="V1697" t="str">
        <v>CAROLINA</v>
      </c>
      <c r="W1697">
        <v>46291</v>
      </c>
      <c r="X1697" t="str">
        <v/>
      </c>
    </row>
    <row r="1698" spans="1:24">
      <c r="A1698">
        <v>3572</v>
      </c>
      <c r="B1698">
        <v>46291.505706018499</v>
      </c>
      <c r="C1698">
        <v>46291.619687500002</v>
      </c>
      <c r="D1698" t="str">
        <v>anónimo</v>
      </c>
      <c r="E1698" t="str">
        <v/>
      </c>
      <c r="F1698" s="68">
        <v>46291</v>
      </c>
      <c r="G1698">
        <v>46291</v>
      </c>
      <c r="H1698" t="str">
        <v>RUTH MARTINEZ SUR</v>
      </c>
      <c r="I1698" t="str">
        <v>ARMANDO ARZATE RODRIGUEZ</v>
      </c>
      <c r="J1698" t="str">
        <v xml:space="preserve">19816401764
</v>
      </c>
      <c r="K1698" t="str">
        <v>AARA660118HDFRDR04</v>
      </c>
      <c r="L1698">
        <v>24854068</v>
      </c>
      <c r="M1698">
        <v>5219564777244</v>
      </c>
      <c r="N1698" t="str">
        <v>NUEVO MAYOR</v>
      </c>
      <c r="O1698">
        <v>38594.6</v>
      </c>
      <c r="P1698" t="str">
        <v/>
      </c>
      <c r="Q1698">
        <v>11578.38</v>
      </c>
      <c r="R1698">
        <v>11578.38</v>
      </c>
      <c r="S1698" t="str">
        <v/>
      </c>
      <c r="T1698" t="str">
        <v/>
      </c>
      <c r="U1698" t="str">
        <v/>
      </c>
      <c r="V1698" t="str">
        <v>PAOLA</v>
      </c>
      <c r="W1698">
        <v>46292</v>
      </c>
      <c r="X1698" t="str">
        <v/>
      </c>
    </row>
    <row r="1699" spans="1:24">
      <c r="A1699">
        <v>3573</v>
      </c>
      <c r="B1699">
        <v>46291.635439814803</v>
      </c>
      <c r="C1699">
        <v>46291.646874999999</v>
      </c>
      <c r="D1699" t="str">
        <v>anónimo</v>
      </c>
      <c r="E1699" t="str">
        <v/>
      </c>
      <c r="F1699" s="68">
        <v>46291</v>
      </c>
      <c r="G1699">
        <v>46287</v>
      </c>
      <c r="H1699" t="str">
        <v>GUADALUPE CRUZ SUR</v>
      </c>
      <c r="I1699" t="str">
        <v>FERNANDO PINEDA MIRANDA</v>
      </c>
      <c r="J1699" t="str">
        <v/>
      </c>
      <c r="K1699" t="str">
        <v>PIMF621201HDFNRR08</v>
      </c>
      <c r="L1699">
        <v>24747080</v>
      </c>
      <c r="M1699">
        <v>5214433188738</v>
      </c>
      <c r="N1699" t="str">
        <v>NUEVO MAYOR</v>
      </c>
      <c r="O1699">
        <v>9760.32</v>
      </c>
      <c r="P1699" t="str">
        <v/>
      </c>
      <c r="Q1699">
        <v>2928.096</v>
      </c>
      <c r="R1699">
        <v>2928.096</v>
      </c>
      <c r="S1699" t="str">
        <v/>
      </c>
      <c r="T1699" t="str">
        <v/>
      </c>
      <c r="U1699" t="str">
        <v/>
      </c>
      <c r="V1699" t="str">
        <v>KATE</v>
      </c>
      <c r="W1699">
        <v>46292</v>
      </c>
      <c r="X1699" t="str">
        <v/>
      </c>
    </row>
    <row r="1700" spans="1:24">
      <c r="A1700">
        <v>3576</v>
      </c>
      <c r="B1700">
        <v>46291.702372685198</v>
      </c>
      <c r="C1700">
        <v>46291.702754629601</v>
      </c>
      <c r="D1700" t="str">
        <v>anónimo</v>
      </c>
      <c r="E1700" t="str">
        <v/>
      </c>
      <c r="F1700" s="68">
        <v>46291</v>
      </c>
      <c r="G1700">
        <v>46290</v>
      </c>
      <c r="H1700" t="str">
        <v>GIOVANNI MELGAR</v>
      </c>
      <c r="I1700" t="str">
        <v>HECTOR GERARDO CARMONA REYES</v>
      </c>
      <c r="J1700" t="str">
        <v/>
      </c>
      <c r="K1700" t="str">
        <v>CARH640529HNLRYC00</v>
      </c>
      <c r="L1700">
        <v>24845400</v>
      </c>
      <c r="M1700">
        <v>5218114743468</v>
      </c>
      <c r="N1700" t="str">
        <v>NUEVO MAYOR</v>
      </c>
      <c r="O1700">
        <v>40685.53</v>
      </c>
      <c r="P1700" t="str">
        <v/>
      </c>
      <c r="Q1700">
        <v>12205.659</v>
      </c>
      <c r="R1700">
        <v>12205.659</v>
      </c>
      <c r="S1700" t="str">
        <v/>
      </c>
      <c r="T1700" t="str">
        <v/>
      </c>
      <c r="U1700" t="str">
        <v/>
      </c>
      <c r="V1700" t="str">
        <v>IRASEMA</v>
      </c>
      <c r="W1700">
        <v>46292</v>
      </c>
      <c r="X1700" t="str">
        <v/>
      </c>
    </row>
    <row r="1701" spans="1:24">
      <c r="A1701">
        <v>3578</v>
      </c>
      <c r="B1701">
        <v>46291.706192129597</v>
      </c>
      <c r="C1701">
        <v>46291.706527777802</v>
      </c>
      <c r="D1701" t="str">
        <v>anónimo</v>
      </c>
      <c r="E1701" t="str">
        <v/>
      </c>
      <c r="F1701" s="68">
        <v>46291</v>
      </c>
      <c r="G1701">
        <v>46291</v>
      </c>
      <c r="H1701" t="str">
        <v>GIOVANNI MELGAR</v>
      </c>
      <c r="I1701" t="str">
        <v>JUAN CARLOS FLORES FLORES</v>
      </c>
      <c r="J1701" t="str">
        <v/>
      </c>
      <c r="K1701" t="str">
        <v>FOFJ710123HVZLLN07</v>
      </c>
      <c r="L1701">
        <v>24855266</v>
      </c>
      <c r="M1701">
        <v>5212711205400</v>
      </c>
      <c r="N1701" t="str">
        <v>NUEVO MAYOR</v>
      </c>
      <c r="O1701">
        <v>9582.4699999999993</v>
      </c>
      <c r="P1701" t="str">
        <v/>
      </c>
      <c r="Q1701">
        <v>2874.7409999999995</v>
      </c>
      <c r="R1701">
        <v>2874.7409999999995</v>
      </c>
      <c r="S1701" t="str">
        <v/>
      </c>
      <c r="T1701" t="str">
        <v/>
      </c>
      <c r="U1701" t="str">
        <v/>
      </c>
      <c r="V1701" t="str">
        <v>JAEL</v>
      </c>
      <c r="W1701">
        <v>46292</v>
      </c>
      <c r="X1701" t="str">
        <v/>
      </c>
    </row>
    <row r="1702" spans="1:24">
      <c r="A1702">
        <v>3579</v>
      </c>
      <c r="B1702">
        <v>46291.707349536999</v>
      </c>
      <c r="C1702">
        <v>46291.707743055602</v>
      </c>
      <c r="D1702" t="str">
        <v>anónimo</v>
      </c>
      <c r="E1702" t="str">
        <v/>
      </c>
      <c r="F1702" s="68">
        <v>46291</v>
      </c>
      <c r="G1702">
        <v>46291</v>
      </c>
      <c r="H1702" t="str">
        <v>GIOVANNI MELGAR</v>
      </c>
      <c r="I1702" t="str">
        <v>JOSE GUADALUPE GUTIERREZ LOPEZ</v>
      </c>
      <c r="J1702" t="str">
        <v/>
      </c>
      <c r="K1702" t="str">
        <v>GULG660409HGTTPD01</v>
      </c>
      <c r="L1702">
        <v>24855670</v>
      </c>
      <c r="M1702">
        <v>5214779166694</v>
      </c>
      <c r="N1702" t="str">
        <v>NUEVO MAYOR</v>
      </c>
      <c r="O1702">
        <v>10636.54</v>
      </c>
      <c r="P1702" t="str">
        <v/>
      </c>
      <c r="Q1702">
        <v>3190.962</v>
      </c>
      <c r="R1702">
        <v>3190.962</v>
      </c>
      <c r="S1702" t="str">
        <v/>
      </c>
      <c r="T1702" t="str">
        <v/>
      </c>
      <c r="U1702" t="str">
        <v/>
      </c>
      <c r="V1702" t="str">
        <v>LUZ</v>
      </c>
      <c r="W1702">
        <v>46292</v>
      </c>
      <c r="X1702" t="str">
        <v/>
      </c>
    </row>
    <row r="1703" spans="1:24">
      <c r="A1703">
        <v>3580</v>
      </c>
      <c r="B1703">
        <v>46291.721932870401</v>
      </c>
      <c r="C1703">
        <v>46291.722245370402</v>
      </c>
      <c r="D1703" t="str">
        <v>anónimo</v>
      </c>
      <c r="E1703" t="str">
        <v/>
      </c>
      <c r="F1703" s="68">
        <v>46291</v>
      </c>
      <c r="G1703">
        <v>46291</v>
      </c>
      <c r="H1703" t="str">
        <v>GIOVANNI MELGAR</v>
      </c>
      <c r="I1703" t="str">
        <v>ADAN PEREZ BANDA</v>
      </c>
      <c r="J1703" t="str">
        <v/>
      </c>
      <c r="K1703" t="str">
        <v>PEBA580420HCLRND03</v>
      </c>
      <c r="L1703">
        <v>24832226</v>
      </c>
      <c r="M1703">
        <v>5218672440649</v>
      </c>
      <c r="N1703" t="str">
        <v>NUEVO MAYOR</v>
      </c>
      <c r="O1703">
        <v>9760.32</v>
      </c>
      <c r="P1703" t="str">
        <v/>
      </c>
      <c r="Q1703">
        <v>2928.096</v>
      </c>
      <c r="R1703">
        <v>2928.096</v>
      </c>
      <c r="S1703" t="str">
        <v/>
      </c>
      <c r="T1703" t="str">
        <v/>
      </c>
      <c r="U1703" t="str">
        <v/>
      </c>
      <c r="V1703" t="str">
        <v>KATE</v>
      </c>
      <c r="W1703">
        <v>46292</v>
      </c>
      <c r="X1703" t="str">
        <v/>
      </c>
    </row>
    <row r="1704" spans="1:24">
      <c r="A1704">
        <v>3581</v>
      </c>
      <c r="B1704">
        <v>46291.619710648098</v>
      </c>
      <c r="C1704">
        <v>46291.72625</v>
      </c>
      <c r="D1704" t="str">
        <v>anónimo</v>
      </c>
      <c r="E1704" t="str">
        <v/>
      </c>
      <c r="F1704" s="68">
        <v>46291</v>
      </c>
      <c r="G1704">
        <v>46291</v>
      </c>
      <c r="H1704" t="str">
        <v>RUTH MARTINEZ SUR</v>
      </c>
      <c r="I1704" t="str">
        <v>JOSE FRANCISCO NORBERTO BONILLA GONZALEZ</v>
      </c>
      <c r="J1704" t="str">
        <v/>
      </c>
      <c r="K1704" t="str">
        <v>BOGF700220HPLNNR01</v>
      </c>
      <c r="L1704">
        <v>24848912</v>
      </c>
      <c r="M1704">
        <v>5212228280933</v>
      </c>
      <c r="N1704" t="str">
        <v>NUEVO MAYOR</v>
      </c>
      <c r="O1704">
        <v>28924</v>
      </c>
      <c r="P1704">
        <v>6490.94</v>
      </c>
      <c r="Q1704">
        <v>8677.1999999999989</v>
      </c>
      <c r="R1704">
        <v>2186.2599999999993</v>
      </c>
      <c r="S1704">
        <v>46966</v>
      </c>
      <c r="T1704" t="str">
        <v>FFORTALEZA</v>
      </c>
      <c r="U1704">
        <v>2923.92</v>
      </c>
      <c r="V1704" t="str">
        <v>JAEL</v>
      </c>
      <c r="W1704">
        <v>46292</v>
      </c>
      <c r="X1704" t="str">
        <v/>
      </c>
    </row>
    <row r="1705" spans="1:24">
      <c r="A1705">
        <v>3582</v>
      </c>
      <c r="B1705">
        <v>46291.713310185201</v>
      </c>
      <c r="C1705">
        <v>46291.7274652778</v>
      </c>
      <c r="D1705" t="str">
        <v>anónimo</v>
      </c>
      <c r="E1705" t="str">
        <v/>
      </c>
      <c r="F1705" s="68">
        <v>46291</v>
      </c>
      <c r="G1705">
        <v>46276</v>
      </c>
      <c r="H1705" t="str">
        <v>LILIANA MARTINEZ SUR</v>
      </c>
      <c r="I1705" t="str">
        <v>ESTELA SALINAS DELGADO</v>
      </c>
      <c r="J1705" t="str">
        <v/>
      </c>
      <c r="K1705" t="str">
        <v>SADE761016MSPLLS07</v>
      </c>
      <c r="L1705">
        <v>24388108</v>
      </c>
      <c r="M1705">
        <v>5214444985489</v>
      </c>
      <c r="N1705" t="str">
        <v>NUEVO MENOR</v>
      </c>
      <c r="O1705">
        <v>6337.52</v>
      </c>
      <c r="P1705">
        <v>1522.15</v>
      </c>
      <c r="Q1705">
        <v>1901.2560000000001</v>
      </c>
      <c r="R1705">
        <v>379.10599999999999</v>
      </c>
      <c r="S1705">
        <v>46784</v>
      </c>
      <c r="T1705" t="str">
        <v>PROFUTURO</v>
      </c>
      <c r="U1705">
        <v>1522.15</v>
      </c>
      <c r="V1705" t="str">
        <v>HECTOR</v>
      </c>
      <c r="W1705">
        <v>46292</v>
      </c>
      <c r="X1705" t="str">
        <v/>
      </c>
    </row>
    <row r="1706" spans="1:24">
      <c r="A1706">
        <v>3584</v>
      </c>
      <c r="B1706">
        <v>46291.726273148102</v>
      </c>
      <c r="C1706">
        <v>46291.729432870401</v>
      </c>
      <c r="D1706" t="str">
        <v>anónimo</v>
      </c>
      <c r="E1706" t="str">
        <v/>
      </c>
      <c r="F1706" s="68">
        <v>46291</v>
      </c>
      <c r="G1706">
        <v>46291</v>
      </c>
      <c r="H1706" t="str">
        <v>RUTH MARTINEZ SUR</v>
      </c>
      <c r="I1706" t="str">
        <v xml:space="preserve">FELIPE DE JESUS GOMEZ SILVA </v>
      </c>
      <c r="J1706">
        <v>94754402099</v>
      </c>
      <c r="K1706" t="str">
        <v>GOSF440913HJCMLL06</v>
      </c>
      <c r="L1706">
        <v>24855346</v>
      </c>
      <c r="M1706">
        <v>5213312450847</v>
      </c>
      <c r="N1706" t="str">
        <v>RESTRINGIDA</v>
      </c>
      <c r="O1706">
        <v>6308.73</v>
      </c>
      <c r="P1706">
        <v>1631.99</v>
      </c>
      <c r="Q1706">
        <v>1892.6189999999997</v>
      </c>
      <c r="R1706">
        <v>260.62899999999968</v>
      </c>
      <c r="S1706">
        <v>46296</v>
      </c>
      <c r="T1706" t="str">
        <v xml:space="preserve">CONSUBANCO </v>
      </c>
      <c r="U1706">
        <v>1254.9100000000001</v>
      </c>
      <c r="V1706" t="str">
        <v>GUADALUPE</v>
      </c>
      <c r="W1706">
        <v>46293</v>
      </c>
      <c r="X1706" t="str">
        <v/>
      </c>
    </row>
    <row r="1707" spans="1:24">
      <c r="A1707">
        <v>3585</v>
      </c>
      <c r="B1707">
        <v>46291.728171296301</v>
      </c>
      <c r="C1707">
        <v>46291.730729166702</v>
      </c>
      <c r="D1707" t="str">
        <v>anónimo</v>
      </c>
      <c r="E1707" t="str">
        <v/>
      </c>
      <c r="F1707" s="68">
        <v>46291</v>
      </c>
      <c r="G1707">
        <v>46291</v>
      </c>
      <c r="H1707" t="str">
        <v>RUTH MARTINEZ SUR</v>
      </c>
      <c r="I1707" t="str">
        <v>FAUSTO HERNAN SOTO ROSAS</v>
      </c>
      <c r="J1707" t="str">
        <v/>
      </c>
      <c r="K1707" t="str">
        <v>SORF640217HSLTSS01</v>
      </c>
      <c r="L1707">
        <v>24852260</v>
      </c>
      <c r="M1707">
        <v>5216671425649</v>
      </c>
      <c r="N1707" t="str">
        <v>NUEVO MAYOR</v>
      </c>
      <c r="O1707">
        <v>44464.29</v>
      </c>
      <c r="P1707" t="str">
        <v/>
      </c>
      <c r="Q1707">
        <v>13339.287</v>
      </c>
      <c r="R1707">
        <v>13339.287</v>
      </c>
      <c r="S1707" t="str">
        <v/>
      </c>
      <c r="T1707" t="str">
        <v/>
      </c>
      <c r="U1707" t="str">
        <v/>
      </c>
      <c r="V1707" t="str">
        <v>PAOLA</v>
      </c>
      <c r="W1707">
        <v>46292</v>
      </c>
      <c r="X1707" t="str">
        <v/>
      </c>
    </row>
    <row r="1708" spans="1:24">
      <c r="A1708">
        <v>3586</v>
      </c>
      <c r="B1708">
        <v>46291.729456018496</v>
      </c>
      <c r="C1708">
        <v>46291.732812499999</v>
      </c>
      <c r="D1708" t="str">
        <v>anónimo</v>
      </c>
      <c r="E1708" t="str">
        <v/>
      </c>
      <c r="F1708" s="68">
        <v>46291</v>
      </c>
      <c r="G1708">
        <v>46291</v>
      </c>
      <c r="H1708" t="str">
        <v>RUTH MARTINEZ SUR</v>
      </c>
      <c r="I1708" t="str">
        <v xml:space="preserve">MANUEL ENRIQUE BARBACHANO GRANADOS </v>
      </c>
      <c r="J1708" t="str">
        <v/>
      </c>
      <c r="K1708" t="str">
        <v>BAGM631228HYNRRN07</v>
      </c>
      <c r="L1708">
        <v>24852680</v>
      </c>
      <c r="M1708">
        <v>5219992441322</v>
      </c>
      <c r="N1708" t="str">
        <v>NUEVO MENOR</v>
      </c>
      <c r="O1708">
        <v>5337.15</v>
      </c>
      <c r="P1708">
        <v>848</v>
      </c>
      <c r="Q1708">
        <v>1601.1449999999998</v>
      </c>
      <c r="R1708">
        <v>316.17000000000007</v>
      </c>
      <c r="S1708" t="str">
        <v/>
      </c>
      <c r="T1708" t="str">
        <v/>
      </c>
      <c r="U1708" t="str">
        <v/>
      </c>
      <c r="V1708" t="str">
        <v>HECTOR</v>
      </c>
      <c r="W1708">
        <v>46292</v>
      </c>
      <c r="X1708" t="str">
        <v/>
      </c>
    </row>
    <row r="1709" spans="1:24">
      <c r="A1709">
        <v>3587</v>
      </c>
      <c r="B1709">
        <v>46291.730740740699</v>
      </c>
      <c r="C1709">
        <v>46291.7331597222</v>
      </c>
      <c r="D1709" t="str">
        <v>anónimo</v>
      </c>
      <c r="E1709" t="str">
        <v/>
      </c>
      <c r="F1709" s="68">
        <v>46291</v>
      </c>
      <c r="G1709">
        <v>46291</v>
      </c>
      <c r="H1709" t="str">
        <v>RUTH MARTINEZ SUR</v>
      </c>
      <c r="I1709" t="str">
        <v>MAURO DELGADO CASTILLO</v>
      </c>
      <c r="J1709" t="str">
        <v/>
      </c>
      <c r="K1709" t="str">
        <v>DECM460115HVZLSR05</v>
      </c>
      <c r="L1709">
        <v>24853670</v>
      </c>
      <c r="M1709">
        <v>5212216620470</v>
      </c>
      <c r="N1709" t="str">
        <v>COMPRA MENOR</v>
      </c>
      <c r="O1709">
        <v>8337.02</v>
      </c>
      <c r="P1709">
        <v>2464.09</v>
      </c>
      <c r="Q1709">
        <v>2501.1060000000002</v>
      </c>
      <c r="R1709">
        <v>37.016000000000076</v>
      </c>
      <c r="S1709">
        <v>46266</v>
      </c>
      <c r="T1709" t="str">
        <v>DIMEX</v>
      </c>
      <c r="U1709">
        <v>792.03</v>
      </c>
      <c r="V1709" t="str">
        <v>GUADALUPE</v>
      </c>
      <c r="W1709">
        <v>46292</v>
      </c>
      <c r="X1709" t="str">
        <v/>
      </c>
    </row>
    <row r="1710" spans="1:24">
      <c r="A1710">
        <v>3590</v>
      </c>
      <c r="B1710">
        <v>46291.740173611099</v>
      </c>
      <c r="C1710">
        <v>46291.748043981497</v>
      </c>
      <c r="D1710" t="str">
        <v>anónimo</v>
      </c>
      <c r="E1710" t="str">
        <v/>
      </c>
      <c r="F1710" s="68">
        <v>46291</v>
      </c>
      <c r="G1710">
        <v>46291</v>
      </c>
      <c r="H1710" t="str">
        <v>GUADALUPE CRUZ SUR</v>
      </c>
      <c r="I1710" t="str">
        <v xml:space="preserve">LUIS ENRIQUE GONZALEZ GARCÍA </v>
      </c>
      <c r="J1710" t="str">
        <v/>
      </c>
      <c r="K1710" t="str">
        <v>GOGL610714HSRNRS05</v>
      </c>
      <c r="L1710">
        <v>24858148</v>
      </c>
      <c r="M1710">
        <v>5216441033453</v>
      </c>
      <c r="N1710" t="str">
        <v>COMPRA MAYOR</v>
      </c>
      <c r="O1710">
        <v>14361.17</v>
      </c>
      <c r="P1710">
        <v>4304.41</v>
      </c>
      <c r="Q1710">
        <v>4308.3509999999997</v>
      </c>
      <c r="R1710">
        <v>3.9409999999998035</v>
      </c>
      <c r="S1710">
        <v>46266</v>
      </c>
      <c r="T1710" t="str">
        <v>FIMUBAC, INBURSA</v>
      </c>
      <c r="U1710">
        <v>1805.2</v>
      </c>
      <c r="V1710" t="str">
        <v>MAGALI</v>
      </c>
      <c r="W1710">
        <v>46292</v>
      </c>
      <c r="X1710" t="str">
        <v/>
      </c>
    </row>
    <row r="1711" spans="1:24">
      <c r="A1711">
        <v>3592</v>
      </c>
      <c r="B1711">
        <v>46291.750844907401</v>
      </c>
      <c r="C1711">
        <v>46291.753414351901</v>
      </c>
      <c r="D1711" t="str">
        <v>anónimo</v>
      </c>
      <c r="E1711" t="str">
        <v/>
      </c>
      <c r="F1711" s="68">
        <v>46291</v>
      </c>
      <c r="G1711">
        <v>46291</v>
      </c>
      <c r="H1711" t="str">
        <v>LILIANA MARTINEZ SUR</v>
      </c>
      <c r="I1711" t="str">
        <v>JOSE ABEL LUQUIN VELAZQUEZ</v>
      </c>
      <c r="J1711" t="str">
        <v/>
      </c>
      <c r="K1711" t="str">
        <v>LUVA630717HNTQLB01</v>
      </c>
      <c r="L1711">
        <v>24853960</v>
      </c>
      <c r="M1711">
        <v>5216647618296</v>
      </c>
      <c r="N1711" t="str">
        <v>NUEVO MAYOR</v>
      </c>
      <c r="O1711">
        <v>10636.54</v>
      </c>
      <c r="P1711" t="str">
        <v/>
      </c>
      <c r="Q1711">
        <v>3190.962</v>
      </c>
      <c r="R1711">
        <v>3190.962</v>
      </c>
      <c r="S1711" t="str">
        <v/>
      </c>
      <c r="T1711" t="str">
        <v/>
      </c>
      <c r="U1711" t="str">
        <v/>
      </c>
      <c r="V1711" t="str">
        <v>LUZ</v>
      </c>
      <c r="W1711">
        <v>46292</v>
      </c>
      <c r="X1711" t="str">
        <v/>
      </c>
    </row>
    <row r="1712" spans="1:24">
      <c r="A1712">
        <v>3593</v>
      </c>
      <c r="B1712">
        <v>46292.367395833302</v>
      </c>
      <c r="C1712">
        <v>46292.368391203701</v>
      </c>
      <c r="D1712" t="str">
        <v>anónimo</v>
      </c>
      <c r="E1712" t="str">
        <v/>
      </c>
      <c r="F1712" s="68">
        <v>46291</v>
      </c>
      <c r="G1712">
        <v>46292</v>
      </c>
      <c r="H1712" t="str">
        <v>KATE MALPICA</v>
      </c>
      <c r="I1712" t="str">
        <v>ARTURO ISABEL SOTO ANDRADE</v>
      </c>
      <c r="J1712" t="str">
        <v/>
      </c>
      <c r="K1712" t="str">
        <v>SOAA630106HSRTNR02</v>
      </c>
      <c r="L1712">
        <v>24859170</v>
      </c>
      <c r="M1712">
        <v>6624034639</v>
      </c>
      <c r="N1712" t="str">
        <v>NUEVO MAYOR</v>
      </c>
      <c r="O1712">
        <v>7920.51</v>
      </c>
      <c r="P1712">
        <v>848</v>
      </c>
      <c r="Q1712">
        <v>2376.1529999999998</v>
      </c>
      <c r="R1712">
        <v>1528.1529999999998</v>
      </c>
      <c r="S1712" t="str">
        <v/>
      </c>
      <c r="T1712" t="str">
        <v/>
      </c>
      <c r="U1712" t="str">
        <v/>
      </c>
      <c r="V1712" t="str">
        <v>KATE</v>
      </c>
      <c r="W1712">
        <v>46292</v>
      </c>
      <c r="X1712" t="str">
        <v/>
      </c>
    </row>
    <row r="1713" spans="1:24">
      <c r="A1713">
        <v>3599</v>
      </c>
      <c r="B1713">
        <v>46292.5634027778</v>
      </c>
      <c r="C1713">
        <v>46292.587025462999</v>
      </c>
      <c r="D1713" t="str">
        <v>anónimo</v>
      </c>
      <c r="E1713" t="str">
        <v/>
      </c>
      <c r="F1713" s="68">
        <v>46292</v>
      </c>
      <c r="G1713">
        <v>46292</v>
      </c>
      <c r="H1713" t="str">
        <v>LUZ BANDA</v>
      </c>
      <c r="I1713" t="str">
        <v>ARTURO</v>
      </c>
      <c r="J1713" t="str">
        <v>0-7805804296</v>
      </c>
      <c r="K1713" t="str">
        <v/>
      </c>
      <c r="L1713">
        <v>24868248</v>
      </c>
      <c r="M1713">
        <v>5538917163</v>
      </c>
      <c r="N1713" t="str">
        <v>NUEVO MAYOR</v>
      </c>
      <c r="O1713">
        <v>46992.75</v>
      </c>
      <c r="P1713" t="str">
        <v/>
      </c>
      <c r="Q1713">
        <v>14097.824999999999</v>
      </c>
      <c r="R1713">
        <v>14097.824999999999</v>
      </c>
      <c r="S1713" t="str">
        <v/>
      </c>
      <c r="T1713" t="str">
        <v/>
      </c>
      <c r="U1713" t="str">
        <v/>
      </c>
      <c r="V1713" t="str">
        <v>LIDIA</v>
      </c>
      <c r="W1713">
        <v>46293</v>
      </c>
      <c r="X1713" t="str">
        <v/>
      </c>
    </row>
    <row r="1714" spans="1:24">
      <c r="A1714">
        <v>3600</v>
      </c>
      <c r="B1714">
        <v>46292.576944444401</v>
      </c>
      <c r="C1714">
        <v>46292.592372685198</v>
      </c>
      <c r="D1714" t="str">
        <v>anónimo</v>
      </c>
      <c r="E1714" t="str">
        <v/>
      </c>
      <c r="F1714" s="68">
        <v>46292</v>
      </c>
      <c r="G1714">
        <v>46291</v>
      </c>
      <c r="H1714" t="str">
        <v>KATE MALPICA</v>
      </c>
      <c r="I1714" t="str">
        <v>HILARIO SANTOS</v>
      </c>
      <c r="J1714" t="str">
        <v>0-6776017565</v>
      </c>
      <c r="K1714" t="str">
        <v/>
      </c>
      <c r="L1714">
        <v>24859664</v>
      </c>
      <c r="M1714">
        <v>7772521138</v>
      </c>
      <c r="N1714" t="str">
        <v>RESTRINGIDA</v>
      </c>
      <c r="O1714">
        <v>5617.63</v>
      </c>
      <c r="P1714" t="str">
        <v/>
      </c>
      <c r="Q1714">
        <v>1685.289</v>
      </c>
      <c r="R1714">
        <v>1444.6500000000005</v>
      </c>
      <c r="S1714" t="str">
        <v>FISOFO</v>
      </c>
      <c r="T1714" t="str">
        <v>FISOFO</v>
      </c>
      <c r="U1714">
        <v>499.92</v>
      </c>
      <c r="V1714" t="str">
        <v>DANIELLY</v>
      </c>
      <c r="W1714">
        <v>46293</v>
      </c>
      <c r="X1714" t="str">
        <v/>
      </c>
    </row>
    <row r="1715" spans="1:24">
      <c r="A1715">
        <v>3602</v>
      </c>
      <c r="B1715">
        <v>46292.641631944403</v>
      </c>
      <c r="C1715">
        <v>46292.6421064815</v>
      </c>
      <c r="D1715" t="str">
        <v>anónimo</v>
      </c>
      <c r="E1715" t="str">
        <v/>
      </c>
      <c r="F1715" s="68">
        <v>46292</v>
      </c>
      <c r="G1715">
        <v>46292</v>
      </c>
      <c r="H1715" t="str">
        <v>CLAUDIA LAGUNES</v>
      </c>
      <c r="I1715" t="str">
        <v>FERNANDO ALEMAN SUSANO</v>
      </c>
      <c r="J1715" t="str">
        <v/>
      </c>
      <c r="K1715" t="str">
        <v>AESF770704HMCLSR04</v>
      </c>
      <c r="L1715">
        <v>24870536</v>
      </c>
      <c r="M1715">
        <v>4561881233</v>
      </c>
      <c r="N1715" t="str">
        <v>NUEVO MENOR</v>
      </c>
      <c r="O1715">
        <v>4605.67</v>
      </c>
      <c r="P1715" t="str">
        <v/>
      </c>
      <c r="Q1715">
        <v>1381.701</v>
      </c>
      <c r="R1715">
        <v>432.69000000000051</v>
      </c>
      <c r="S1715" t="str">
        <v/>
      </c>
      <c r="T1715" t="str">
        <v/>
      </c>
      <c r="U1715" t="str">
        <v/>
      </c>
      <c r="V1715" t="str">
        <v>BEATRIZ</v>
      </c>
      <c r="W1715">
        <v>46293</v>
      </c>
      <c r="X1715" t="str">
        <v/>
      </c>
    </row>
    <row r="1716" spans="1:24">
      <c r="A1716">
        <v>3606</v>
      </c>
      <c r="B1716">
        <v>46293.3441087963</v>
      </c>
      <c r="C1716">
        <v>46293.3448726852</v>
      </c>
      <c r="D1716" t="str">
        <v>anónimo</v>
      </c>
      <c r="E1716" t="str">
        <v/>
      </c>
      <c r="F1716" s="68">
        <v>46293</v>
      </c>
      <c r="G1716">
        <v>46292</v>
      </c>
      <c r="H1716" t="str">
        <v>CLAUDIA LAGUNES</v>
      </c>
      <c r="I1716" t="str">
        <v>PEDRO ESPINOZA MERCADO</v>
      </c>
      <c r="J1716">
        <v>22816103638</v>
      </c>
      <c r="K1716" t="str">
        <v>EIMP611218HBSSRD04</v>
      </c>
      <c r="L1716">
        <v>24872360</v>
      </c>
      <c r="M1716">
        <v>6121766037</v>
      </c>
      <c r="N1716" t="str">
        <v>NUEVO MAYOR</v>
      </c>
      <c r="O1716">
        <v>10571.63</v>
      </c>
      <c r="P1716" t="str">
        <v/>
      </c>
      <c r="Q1716">
        <v>3171.4889999999996</v>
      </c>
      <c r="R1716">
        <v>3171.4889999999996</v>
      </c>
      <c r="S1716" t="str">
        <v/>
      </c>
      <c r="T1716" t="str">
        <v/>
      </c>
      <c r="U1716" t="str">
        <v/>
      </c>
      <c r="V1716" t="str">
        <v>MAYTE</v>
      </c>
      <c r="W1716">
        <v>46293</v>
      </c>
      <c r="X1716" t="str">
        <v/>
      </c>
    </row>
    <row r="1717" spans="1:24">
      <c r="A1717">
        <v>3607</v>
      </c>
      <c r="B1717">
        <v>46293.364282407398</v>
      </c>
      <c r="C1717">
        <v>46293.3672800926</v>
      </c>
      <c r="D1717" t="str">
        <v>anónimo</v>
      </c>
      <c r="E1717" t="str">
        <v/>
      </c>
      <c r="F1717" s="68">
        <v>46293</v>
      </c>
      <c r="G1717">
        <v>46291</v>
      </c>
      <c r="H1717" t="str">
        <v>JAEL RUIZ</v>
      </c>
      <c r="I1717" t="str">
        <v>ALEJANDRO CARDENAS GONZALEZ</v>
      </c>
      <c r="J1717" t="str">
        <v/>
      </c>
      <c r="K1717" t="str">
        <v>CXGA650416HCLRNL02</v>
      </c>
      <c r="L1717">
        <v>24863224</v>
      </c>
      <c r="M1717">
        <v>8444277019</v>
      </c>
      <c r="N1717" t="str">
        <v>NUEVO MAYOR</v>
      </c>
      <c r="O1717">
        <v>44312.04</v>
      </c>
      <c r="P1717" t="str">
        <v/>
      </c>
      <c r="Q1717">
        <v>13293.611999999999</v>
      </c>
      <c r="R1717">
        <v>13293.611999999999</v>
      </c>
      <c r="S1717" t="str">
        <v/>
      </c>
      <c r="T1717" t="str">
        <v/>
      </c>
      <c r="U1717" t="str">
        <v/>
      </c>
      <c r="V1717" t="str">
        <v>JAEL</v>
      </c>
      <c r="W1717">
        <v>46293</v>
      </c>
      <c r="X1717" t="str">
        <v/>
      </c>
    </row>
    <row r="1718" spans="1:24">
      <c r="A1718">
        <v>3610</v>
      </c>
      <c r="B1718">
        <v>46293.449212963002</v>
      </c>
      <c r="C1718">
        <v>46293.449768518498</v>
      </c>
      <c r="D1718" t="str">
        <v>anónimo</v>
      </c>
      <c r="E1718" t="str">
        <v/>
      </c>
      <c r="F1718" s="68">
        <v>46293</v>
      </c>
      <c r="G1718">
        <v>46292</v>
      </c>
      <c r="H1718" t="str">
        <v>CLAUDIA LAGUNES</v>
      </c>
      <c r="I1718" t="str">
        <v/>
      </c>
      <c r="J1718" t="str">
        <v>23786213506</v>
      </c>
      <c r="K1718" t="str">
        <v/>
      </c>
      <c r="L1718">
        <v>24874688</v>
      </c>
      <c r="M1718">
        <v>6731306789</v>
      </c>
      <c r="N1718" t="str">
        <v>COMPRA MAYOR</v>
      </c>
      <c r="O1718">
        <v>9504.16</v>
      </c>
      <c r="P1718">
        <v>2638.3</v>
      </c>
      <c r="Q1718">
        <v>2851.248</v>
      </c>
      <c r="R1718">
        <v>212.94799999999987</v>
      </c>
      <c r="S1718">
        <v>46143</v>
      </c>
      <c r="T1718" t="str">
        <v>DIMEX</v>
      </c>
      <c r="U1718">
        <v>2638.3</v>
      </c>
      <c r="V1718" t="str">
        <v>MAGALI</v>
      </c>
      <c r="W1718">
        <v>46293</v>
      </c>
      <c r="X1718" t="str">
        <v/>
      </c>
    </row>
    <row r="1719" spans="1:24">
      <c r="A1719">
        <v>3617</v>
      </c>
      <c r="B1719">
        <v>46291.746770833299</v>
      </c>
      <c r="C1719">
        <v>46293.474872685198</v>
      </c>
      <c r="D1719" t="str">
        <v>anónimo</v>
      </c>
      <c r="E1719" t="str">
        <v/>
      </c>
      <c r="F1719" s="68">
        <v>46293</v>
      </c>
      <c r="G1719">
        <v>46293</v>
      </c>
      <c r="H1719" t="str">
        <v>RUTH MARTINEZ SUR</v>
      </c>
      <c r="I1719" t="str">
        <v>MARIO PAZ JIMENEZ</v>
      </c>
      <c r="J1719" t="str">
        <v xml:space="preserve">49947584386
</v>
      </c>
      <c r="K1719" t="str">
        <v>PAJM741125HTSZMR08</v>
      </c>
      <c r="L1719">
        <v>24885112</v>
      </c>
      <c r="M1719">
        <v>5218311106680</v>
      </c>
      <c r="N1719" t="str">
        <v>NUEVO MAYOR</v>
      </c>
      <c r="O1719">
        <v>14627.59</v>
      </c>
      <c r="P1719" t="str">
        <v/>
      </c>
      <c r="Q1719">
        <v>4388.277</v>
      </c>
      <c r="R1719">
        <v>4388.277</v>
      </c>
      <c r="S1719" t="str">
        <v/>
      </c>
      <c r="T1719" t="str">
        <v/>
      </c>
      <c r="U1719" t="str">
        <v/>
      </c>
      <c r="V1719" t="str">
        <v>KARINA</v>
      </c>
      <c r="W1719">
        <v>46293</v>
      </c>
      <c r="X1719" t="str">
        <v/>
      </c>
    </row>
    <row r="1720" spans="1:24">
      <c r="A1720">
        <v>3619</v>
      </c>
      <c r="B1720">
        <v>46293.4851388889</v>
      </c>
      <c r="C1720">
        <v>46293.486226851797</v>
      </c>
      <c r="D1720" t="str">
        <v>anónimo</v>
      </c>
      <c r="E1720" t="str">
        <v/>
      </c>
      <c r="F1720" s="68">
        <v>46293</v>
      </c>
      <c r="G1720">
        <v>46291</v>
      </c>
      <c r="H1720" t="str">
        <v>CLAUDIA LAGUNES</v>
      </c>
      <c r="I1720" t="str">
        <v>ADAN FRANCO SERVIN</v>
      </c>
      <c r="J1720" t="str">
        <v/>
      </c>
      <c r="K1720" t="str">
        <v>FASA491223HDFRRD04</v>
      </c>
      <c r="L1720">
        <v>24863308</v>
      </c>
      <c r="M1720">
        <v>5521298598</v>
      </c>
      <c r="N1720" t="str">
        <v>COMPRA MAYOR</v>
      </c>
      <c r="O1720">
        <v>7628.26</v>
      </c>
      <c r="P1720">
        <v>2116.46</v>
      </c>
      <c r="Q1720">
        <v>2288.4780000000001</v>
      </c>
      <c r="R1720">
        <v>172.01800000000003</v>
      </c>
      <c r="S1720">
        <v>46174</v>
      </c>
      <c r="T1720" t="str">
        <v>INBURSA</v>
      </c>
      <c r="U1720">
        <v>2116.46</v>
      </c>
      <c r="V1720" t="str">
        <v>ITZEL CARRANZA</v>
      </c>
      <c r="W1720">
        <v>46293</v>
      </c>
      <c r="X1720" t="str">
        <v/>
      </c>
    </row>
    <row r="1721" spans="1:24">
      <c r="A1721">
        <v>3622</v>
      </c>
      <c r="B1721">
        <v>46293.504525463002</v>
      </c>
      <c r="C1721">
        <v>46293.511064814797</v>
      </c>
      <c r="D1721" t="str">
        <v>anónimo</v>
      </c>
      <c r="E1721" t="str">
        <v/>
      </c>
      <c r="F1721" s="68">
        <v>46293</v>
      </c>
      <c r="G1721">
        <v>46236</v>
      </c>
      <c r="H1721" t="str">
        <v>LILIANA MARTINEZ SUR</v>
      </c>
      <c r="I1721" t="str">
        <v>ARNULFO JULIO MERINO HERNANDEZ</v>
      </c>
      <c r="J1721">
        <v>62836501411</v>
      </c>
      <c r="K1721" t="str">
        <v>MEHA650412HPLRRR03</v>
      </c>
      <c r="L1721">
        <v>23300822</v>
      </c>
      <c r="M1721">
        <v>5212225125599</v>
      </c>
      <c r="N1721" t="str">
        <v>NUEVO MAYOR</v>
      </c>
      <c r="O1721">
        <v>9760.32</v>
      </c>
      <c r="P1721" t="str">
        <v/>
      </c>
      <c r="Q1721">
        <v>2928.096</v>
      </c>
      <c r="R1721">
        <v>2928.096</v>
      </c>
      <c r="S1721" t="str">
        <v/>
      </c>
      <c r="T1721" t="str">
        <v/>
      </c>
      <c r="U1721" t="str">
        <v/>
      </c>
      <c r="V1721" t="str">
        <v>CAROLINA</v>
      </c>
      <c r="W1721">
        <v>46293</v>
      </c>
      <c r="X1721" t="str">
        <v/>
      </c>
    </row>
    <row r="1722" spans="1:24">
      <c r="A1722">
        <v>3624</v>
      </c>
      <c r="B1722">
        <v>46293.518807870401</v>
      </c>
      <c r="C1722">
        <v>46293.519212963001</v>
      </c>
      <c r="D1722" t="str">
        <v>anónimo</v>
      </c>
      <c r="E1722" t="str">
        <v/>
      </c>
      <c r="F1722" s="68">
        <v>46293</v>
      </c>
      <c r="G1722">
        <v>46293</v>
      </c>
      <c r="H1722" t="str">
        <v>GIOVANNI MELGAR</v>
      </c>
      <c r="I1722" t="str">
        <v>BLAS FELIPE ROSEY PADILLA</v>
      </c>
      <c r="J1722" t="str">
        <v xml:space="preserve">01816335549
</v>
      </c>
      <c r="K1722" t="str">
        <v>ROPB630203HDFSDL01</v>
      </c>
      <c r="L1722">
        <v>24874478</v>
      </c>
      <c r="M1722">
        <v>5215644664528</v>
      </c>
      <c r="N1722" t="str">
        <v>RESTRINGIDA</v>
      </c>
      <c r="O1722">
        <v>27132.26</v>
      </c>
      <c r="P1722">
        <v>8136.76</v>
      </c>
      <c r="Q1722">
        <v>8139.677999999999</v>
      </c>
      <c r="R1722">
        <v>2.9179999999987558</v>
      </c>
      <c r="S1722">
        <v>46054</v>
      </c>
      <c r="T1722" t="str">
        <v>FISOFO</v>
      </c>
      <c r="U1722">
        <v>337.73</v>
      </c>
      <c r="V1722" t="str">
        <v>DANIELLY</v>
      </c>
      <c r="W1722">
        <v>46293</v>
      </c>
      <c r="X1722" t="str">
        <v/>
      </c>
    </row>
    <row r="1723" spans="1:24">
      <c r="A1723">
        <v>3625</v>
      </c>
      <c r="B1723">
        <v>46293.521493055603</v>
      </c>
      <c r="C1723">
        <v>46293.521886574097</v>
      </c>
      <c r="D1723" t="str">
        <v>anónimo</v>
      </c>
      <c r="E1723" t="str">
        <v/>
      </c>
      <c r="F1723" s="68">
        <v>46293</v>
      </c>
      <c r="G1723">
        <v>46293</v>
      </c>
      <c r="H1723" t="str">
        <v>GIOVANNI MELGAR</v>
      </c>
      <c r="I1723" t="str">
        <v>DIONICIO GUTIERREZ SEPULVEDA</v>
      </c>
      <c r="J1723" t="str">
        <v xml:space="preserve">03806231902
</v>
      </c>
      <c r="K1723" t="str">
        <v>GUSD620907HNLTPN08</v>
      </c>
      <c r="L1723">
        <v>24885250</v>
      </c>
      <c r="M1723">
        <v>5218119148505</v>
      </c>
      <c r="N1723" t="str">
        <v>NUEVO MAYOR</v>
      </c>
      <c r="O1723">
        <v>7920.51</v>
      </c>
      <c r="P1723">
        <v>992.67</v>
      </c>
      <c r="Q1723">
        <v>2376.1529999999998</v>
      </c>
      <c r="R1723">
        <v>1383.4829999999997</v>
      </c>
      <c r="S1723">
        <v>46784</v>
      </c>
      <c r="T1723" t="str">
        <v>MULTIVA</v>
      </c>
      <c r="U1723">
        <v>992.67</v>
      </c>
      <c r="V1723" t="str">
        <v>KARINA</v>
      </c>
      <c r="W1723">
        <v>46293</v>
      </c>
      <c r="X1723" t="str">
        <v/>
      </c>
    </row>
    <row r="1724" spans="1:24">
      <c r="A1724">
        <v>3627</v>
      </c>
      <c r="B1724">
        <v>46293.535601851901</v>
      </c>
      <c r="C1724">
        <v>46293.536087963003</v>
      </c>
      <c r="D1724" t="str">
        <v>anónimo</v>
      </c>
      <c r="E1724" t="str">
        <v/>
      </c>
      <c r="F1724" s="68">
        <v>46293</v>
      </c>
      <c r="G1724">
        <v>46293</v>
      </c>
      <c r="H1724" t="str">
        <v>GIOVANNI MELGAR</v>
      </c>
      <c r="I1724" t="str">
        <v>SONIA SILVA OJEDA</v>
      </c>
      <c r="J1724" t="str">
        <v xml:space="preserve">72866321473
</v>
      </c>
      <c r="K1724" t="str">
        <v>SIOS670110MGRLJN05</v>
      </c>
      <c r="L1724">
        <v>24878674</v>
      </c>
      <c r="M1724">
        <v>5216241611823</v>
      </c>
      <c r="N1724" t="str">
        <v>COMPRA MAYOR</v>
      </c>
      <c r="O1724">
        <v>6876.47</v>
      </c>
      <c r="P1724">
        <v>1235.9000000000001</v>
      </c>
      <c r="Q1724">
        <v>2062.9409999999998</v>
      </c>
      <c r="R1724">
        <v>827.04099999999971</v>
      </c>
      <c r="S1724">
        <v>46266</v>
      </c>
      <c r="T1724" t="str">
        <v>DIMEX</v>
      </c>
      <c r="U1724">
        <v>1235.9000000000001</v>
      </c>
      <c r="V1724" t="str">
        <v>MAGALI</v>
      </c>
      <c r="W1724">
        <v>46293</v>
      </c>
      <c r="X1724" t="str">
        <v/>
      </c>
    </row>
    <row r="1725" spans="1:24">
      <c r="A1725">
        <v>3633</v>
      </c>
      <c r="B1725">
        <v>46293.651597222197</v>
      </c>
      <c r="C1725">
        <v>46293.6644675926</v>
      </c>
      <c r="D1725" t="str">
        <v>anónimo</v>
      </c>
      <c r="E1725" t="str">
        <v/>
      </c>
      <c r="F1725" s="68">
        <v>46293</v>
      </c>
      <c r="G1725">
        <v>46291</v>
      </c>
      <c r="H1725" t="str">
        <v>GUADALUPE CRUZ SUR</v>
      </c>
      <c r="I1725" t="str">
        <v>LIBERTAD DEL SOCORRO DE LA CRUZ RAMON</v>
      </c>
      <c r="J1725" t="str">
        <v/>
      </c>
      <c r="K1725" t="str">
        <v>CURL540419MTCRMB16</v>
      </c>
      <c r="L1725">
        <v>24856488</v>
      </c>
      <c r="M1725">
        <v>5219931179217</v>
      </c>
      <c r="N1725" t="str">
        <v>NUEVO MAYOR</v>
      </c>
      <c r="O1725">
        <v>12595.73</v>
      </c>
      <c r="P1725" t="str">
        <v/>
      </c>
      <c r="Q1725">
        <v>3778.7189999999996</v>
      </c>
      <c r="R1725">
        <v>3778.7189999999996</v>
      </c>
      <c r="S1725" t="str">
        <v/>
      </c>
      <c r="T1725" t="str">
        <v/>
      </c>
      <c r="U1725" t="str">
        <v/>
      </c>
      <c r="V1725" t="str">
        <v>PAOLA</v>
      </c>
      <c r="W1725">
        <v>46293</v>
      </c>
      <c r="X1725" t="str">
        <v/>
      </c>
    </row>
    <row r="1726" spans="1:24">
      <c r="A1726">
        <v>3636</v>
      </c>
      <c r="B1726">
        <v>46293.510775463001</v>
      </c>
      <c r="C1726">
        <v>46293.6797337963</v>
      </c>
      <c r="D1726" t="str">
        <v>anónimo</v>
      </c>
      <c r="E1726" t="str">
        <v/>
      </c>
      <c r="F1726" s="68">
        <v>46293</v>
      </c>
      <c r="G1726">
        <v>46293</v>
      </c>
      <c r="H1726" t="str">
        <v>YAMILETH CARDONA EXT 2</v>
      </c>
      <c r="I1726" t="str">
        <v>DIEGO LEZAMA SALAZAR</v>
      </c>
      <c r="J1726">
        <v>15845900842</v>
      </c>
      <c r="K1726" t="str">
        <v>LESD590113HPLZLGG04</v>
      </c>
      <c r="L1726">
        <v>2</v>
      </c>
      <c r="M1726">
        <v>7351926671</v>
      </c>
      <c r="N1726" t="str">
        <v>NUEVO MENOR</v>
      </c>
      <c r="O1726">
        <v>8780.67</v>
      </c>
      <c r="P1726">
        <v>2321.2199999999998</v>
      </c>
      <c r="Q1726">
        <v>2634.201</v>
      </c>
      <c r="R1726">
        <v>312.98100000000022</v>
      </c>
      <c r="S1726">
        <v>46600</v>
      </c>
      <c r="T1726" t="str">
        <v>HINV</v>
      </c>
      <c r="U1726">
        <v>1958</v>
      </c>
      <c r="V1726" t="str">
        <v/>
      </c>
      <c r="W1726" t="str">
        <v/>
      </c>
      <c r="X1726" t="str">
        <v/>
      </c>
    </row>
    <row r="1727" spans="1:24">
      <c r="A1727">
        <v>3638</v>
      </c>
      <c r="B1727">
        <v>46293.6797800926</v>
      </c>
      <c r="C1727">
        <v>46293.716932870397</v>
      </c>
      <c r="D1727" t="str">
        <v>anónimo</v>
      </c>
      <c r="E1727" t="str">
        <v/>
      </c>
      <c r="F1727" s="68">
        <v>46293</v>
      </c>
      <c r="G1727">
        <v>46293</v>
      </c>
      <c r="H1727" t="str">
        <v>YAMILETH CARDONA EXT 2</v>
      </c>
      <c r="I1727" t="str">
        <v>RODOLFO PEÑA GUTIERREZ</v>
      </c>
      <c r="J1727" t="str">
        <v>06674975781</v>
      </c>
      <c r="K1727" t="str">
        <v>PEGR490813HDFXTD04</v>
      </c>
      <c r="L1727">
        <v>2</v>
      </c>
      <c r="M1727">
        <v>5551013084</v>
      </c>
      <c r="N1727" t="str">
        <v>NUEVO MENOR</v>
      </c>
      <c r="O1727">
        <v>19891.189999999999</v>
      </c>
      <c r="P1727">
        <v>5369.72</v>
      </c>
      <c r="Q1727">
        <v>5967.3569999999991</v>
      </c>
      <c r="R1727">
        <v>597.63699999999881</v>
      </c>
      <c r="S1727">
        <v>46874</v>
      </c>
      <c r="T1727" t="str">
        <v xml:space="preserve">CONSUBANCO </v>
      </c>
      <c r="U1727">
        <v>5102.72</v>
      </c>
      <c r="V1727" t="str">
        <v/>
      </c>
      <c r="W1727" t="str">
        <v/>
      </c>
      <c r="X1727" t="str">
        <v/>
      </c>
    </row>
    <row r="1728" spans="1:24">
      <c r="A1728">
        <v>3641</v>
      </c>
      <c r="B1728">
        <v>46293.737222222197</v>
      </c>
      <c r="C1728">
        <v>46293.750069444402</v>
      </c>
      <c r="D1728" t="str">
        <v>anónimo</v>
      </c>
      <c r="E1728" t="str">
        <v/>
      </c>
      <c r="F1728" s="68">
        <v>46293</v>
      </c>
      <c r="G1728">
        <v>46293</v>
      </c>
      <c r="H1728" t="str">
        <v>RUTH MARTINEZ SUR</v>
      </c>
      <c r="I1728" t="str">
        <v>FIDENCIO ARENZANA SOLEDAD</v>
      </c>
      <c r="J1728" t="str">
        <v/>
      </c>
      <c r="K1728" t="str">
        <v>AESF541116HPLRLD07</v>
      </c>
      <c r="L1728">
        <v>24892878</v>
      </c>
      <c r="M1728">
        <v>5212481146476</v>
      </c>
      <c r="N1728" t="str">
        <v>NUEVO MENOR</v>
      </c>
      <c r="O1728">
        <v>4480.25</v>
      </c>
      <c r="P1728" t="str">
        <v/>
      </c>
      <c r="Q1728">
        <v>1344.075</v>
      </c>
      <c r="R1728">
        <v>307.27000000000044</v>
      </c>
      <c r="S1728" t="str">
        <v/>
      </c>
      <c r="T1728" t="str">
        <v/>
      </c>
      <c r="U1728" t="str">
        <v/>
      </c>
      <c r="V1728" t="str">
        <v>BEATRIZ</v>
      </c>
      <c r="W1728">
        <v>46293</v>
      </c>
      <c r="X1728" t="str">
        <v/>
      </c>
    </row>
    <row r="1729" spans="1:24">
      <c r="A1729">
        <v>3644</v>
      </c>
      <c r="B1729">
        <v>46293.791689814803</v>
      </c>
      <c r="C1729">
        <v>46293.792372685202</v>
      </c>
      <c r="D1729" t="str">
        <v>anónimo</v>
      </c>
      <c r="E1729" t="str">
        <v/>
      </c>
      <c r="F1729" s="68">
        <v>46293</v>
      </c>
      <c r="G1729">
        <v>46293</v>
      </c>
      <c r="H1729" t="str">
        <v>GUADALUPE CRUZ SUR</v>
      </c>
      <c r="I1729" t="str">
        <v>LUIS CRESCENCIO NARCIO GARCIA</v>
      </c>
      <c r="J1729" t="str">
        <v/>
      </c>
      <c r="K1729" t="str">
        <v>NAGL610225HOCRRS09</v>
      </c>
      <c r="L1729">
        <v>24901938</v>
      </c>
      <c r="M1729">
        <v>5219515043360</v>
      </c>
      <c r="N1729" t="str">
        <v>NUEVO MENOR</v>
      </c>
      <c r="O1729">
        <v>9081.52</v>
      </c>
      <c r="P1729">
        <v>1876.44</v>
      </c>
      <c r="Q1729">
        <v>2724.4560000000001</v>
      </c>
      <c r="R1729">
        <v>848.01600000000008</v>
      </c>
      <c r="S1729">
        <v>46935</v>
      </c>
      <c r="T1729" t="str">
        <v>CONSUPAGO</v>
      </c>
      <c r="U1729">
        <v>1876.44</v>
      </c>
      <c r="V1729" t="str">
        <v>BEATRIZ</v>
      </c>
      <c r="W1729">
        <v>46294</v>
      </c>
      <c r="X1729" t="str">
        <v/>
      </c>
    </row>
    <row r="1730" spans="1:24">
      <c r="A1730">
        <v>3652</v>
      </c>
      <c r="B1730">
        <v>46294.503807870402</v>
      </c>
      <c r="C1730">
        <v>46294.504537036999</v>
      </c>
      <c r="D1730" t="str">
        <v>anónimo</v>
      </c>
      <c r="E1730" t="str">
        <v/>
      </c>
      <c r="F1730" s="68">
        <v>46294</v>
      </c>
      <c r="G1730">
        <v>46294</v>
      </c>
      <c r="H1730" t="str">
        <v>ALAN ALTAMIRANO EXT</v>
      </c>
      <c r="I1730" t="str">
        <v xml:space="preserve">JORGE LÓPEZ CASTILLO </v>
      </c>
      <c r="J1730">
        <v>82776000208</v>
      </c>
      <c r="K1730" t="str">
        <v/>
      </c>
      <c r="L1730">
        <v>1</v>
      </c>
      <c r="M1730">
        <v>3314071911</v>
      </c>
      <c r="N1730" t="str">
        <v>NUEVO MAYOR</v>
      </c>
      <c r="O1730">
        <v>9760.32</v>
      </c>
      <c r="P1730" t="str">
        <v/>
      </c>
      <c r="Q1730">
        <v>2928.096</v>
      </c>
      <c r="R1730">
        <v>2928.096</v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</row>
    <row r="1731" spans="1:24">
      <c r="A1731">
        <v>3653</v>
      </c>
      <c r="B1731">
        <v>46294.479143518503</v>
      </c>
      <c r="C1731">
        <v>46294.519884259302</v>
      </c>
      <c r="D1731" t="str">
        <v>anónimo</v>
      </c>
      <c r="E1731" t="str">
        <v/>
      </c>
      <c r="F1731" s="68">
        <v>46294</v>
      </c>
      <c r="G1731">
        <v>46294</v>
      </c>
      <c r="H1731" t="str">
        <v>RUTH MARTINEZ SUR</v>
      </c>
      <c r="I1731" t="str">
        <v>SERGIO LEAL TORRE</v>
      </c>
      <c r="J1731" t="str">
        <v/>
      </c>
      <c r="K1731" t="str">
        <v>LETS560802HDFLRR07</v>
      </c>
      <c r="L1731">
        <v>24926032</v>
      </c>
      <c r="M1731">
        <v>5219981629709</v>
      </c>
      <c r="N1731" t="str">
        <v>NUEVO MAYOR</v>
      </c>
      <c r="O1731">
        <v>9135.7999999999993</v>
      </c>
      <c r="P1731" t="str">
        <v/>
      </c>
      <c r="Q1731">
        <v>2740.74</v>
      </c>
      <c r="R1731">
        <v>2740.74</v>
      </c>
      <c r="S1731" t="str">
        <v/>
      </c>
      <c r="T1731" t="str">
        <v/>
      </c>
      <c r="U1731" t="str">
        <v/>
      </c>
      <c r="V1731" t="str">
        <v>MAYTE</v>
      </c>
      <c r="W1731">
        <v>46294</v>
      </c>
      <c r="X1731" t="str">
        <v/>
      </c>
    </row>
    <row r="1732" spans="1:24">
      <c r="A1732">
        <v>3654</v>
      </c>
      <c r="B1732">
        <v>46294.535891203697</v>
      </c>
      <c r="C1732">
        <v>46294.536712963003</v>
      </c>
      <c r="D1732" t="str">
        <v>anónimo</v>
      </c>
      <c r="E1732" t="str">
        <v/>
      </c>
      <c r="F1732" s="68">
        <v>46294</v>
      </c>
      <c r="G1732">
        <v>46294</v>
      </c>
      <c r="H1732" t="str">
        <v>YAMILETH CARDONA EXT 2</v>
      </c>
      <c r="I1732" t="str">
        <v>GLORIA CARRILLO</v>
      </c>
      <c r="J1732">
        <v>14926305542</v>
      </c>
      <c r="K1732" t="str">
        <v>CAXG630215MJCRXL00</v>
      </c>
      <c r="L1732">
        <v>2</v>
      </c>
      <c r="M1732">
        <v>3351211784</v>
      </c>
      <c r="N1732" t="str">
        <v>COMPRA MAYOR</v>
      </c>
      <c r="O1732">
        <v>9081.52</v>
      </c>
      <c r="P1732">
        <v>2521.35</v>
      </c>
      <c r="Q1732">
        <v>2724.4560000000001</v>
      </c>
      <c r="R1732">
        <v>203.10600000000022</v>
      </c>
      <c r="S1732">
        <v>46266</v>
      </c>
      <c r="T1732" t="str">
        <v>DIMEX</v>
      </c>
      <c r="U1732">
        <v>2521.35</v>
      </c>
      <c r="V1732" t="str">
        <v/>
      </c>
      <c r="W1732" t="str">
        <v/>
      </c>
      <c r="X1732" t="str">
        <v/>
      </c>
    </row>
    <row r="1733" spans="1:24">
      <c r="A1733">
        <v>3655</v>
      </c>
      <c r="B1733">
        <v>46294.519907407397</v>
      </c>
      <c r="C1733">
        <v>46294.546053240701</v>
      </c>
      <c r="D1733" t="str">
        <v>anónimo</v>
      </c>
      <c r="E1733" t="str">
        <v/>
      </c>
      <c r="F1733" s="68">
        <v>46294</v>
      </c>
      <c r="G1733">
        <v>46294</v>
      </c>
      <c r="H1733" t="str">
        <v>RUTH MARTINEZ SUR</v>
      </c>
      <c r="I1733" t="str">
        <v>JOSE DE JESUS AVALOS LOPEZ</v>
      </c>
      <c r="J1733">
        <v>54866757104</v>
      </c>
      <c r="K1733" t="str">
        <v>AALJ670703HJCVPS08</v>
      </c>
      <c r="L1733">
        <v>24930576</v>
      </c>
      <c r="M1733">
        <v>5213411596451</v>
      </c>
      <c r="N1733" t="str">
        <v>NUEVO MAYOR</v>
      </c>
      <c r="O1733">
        <v>16437</v>
      </c>
      <c r="P1733">
        <v>2050</v>
      </c>
      <c r="Q1733">
        <v>4931.0999999999995</v>
      </c>
      <c r="R1733">
        <v>2881.0999999999995</v>
      </c>
      <c r="S1733">
        <v>46508</v>
      </c>
      <c r="T1733" t="str">
        <v>INBURSA</v>
      </c>
      <c r="U1733">
        <v>2050</v>
      </c>
      <c r="V1733" t="str">
        <v>LUZ</v>
      </c>
      <c r="W1733">
        <v>46294</v>
      </c>
      <c r="X1733" t="str">
        <v/>
      </c>
    </row>
  </sheetData>
  <autoFilter ref="A1:V695" xr:uid="{BB310BEB-01F1-49D3-B644-ED9DE8968B3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F7A5-B341-4DE2-AAB0-4875E4CA6E4C}">
  <dimension ref="A1:A12"/>
  <sheetViews>
    <sheetView topLeftCell="W1" workbookViewId="0">
      <selection activeCell="A11" sqref="A11"/>
    </sheetView>
  </sheetViews>
  <sheetFormatPr defaultRowHeight="15"/>
  <sheetData>
    <row r="1" spans="1:1">
      <c r="A1" s="26" t="s">
        <v>28</v>
      </c>
    </row>
    <row r="2" spans="1:1">
      <c r="A2" s="26" t="s">
        <v>98</v>
      </c>
    </row>
    <row r="3" spans="1:1">
      <c r="A3" s="26" t="s">
        <v>37</v>
      </c>
    </row>
    <row r="4" spans="1:1">
      <c r="A4" s="26" t="s">
        <v>106</v>
      </c>
    </row>
    <row r="5" spans="1:1">
      <c r="A5" s="26" t="s">
        <v>47</v>
      </c>
    </row>
    <row r="6" spans="1:1">
      <c r="A6" s="26" t="s">
        <v>32</v>
      </c>
    </row>
    <row r="7" spans="1:1">
      <c r="A7" s="26" t="s">
        <v>263</v>
      </c>
    </row>
    <row r="8" spans="1:1">
      <c r="A8" s="26" t="s">
        <v>130</v>
      </c>
    </row>
    <row r="9" spans="1:1">
      <c r="A9" s="26" t="s">
        <v>74</v>
      </c>
    </row>
    <row r="10" spans="1:1">
      <c r="A10" s="26" t="s">
        <v>235</v>
      </c>
    </row>
    <row r="11" spans="1:1">
      <c r="A11" s="26" t="s">
        <v>1149</v>
      </c>
    </row>
    <row r="12" spans="1:1">
      <c r="A12" s="26" t="s">
        <v>11623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5E2B-DDD0-4D63-902F-C30D9C1193F0}">
  <dimension ref="A1:O892"/>
  <sheetViews>
    <sheetView workbookViewId="0">
      <pane ySplit="5" topLeftCell="A235" activePane="bottomLeft" state="frozen"/>
      <selection pane="bottomLeft" activeCell="H241" sqref="H241"/>
    </sheetView>
  </sheetViews>
  <sheetFormatPr defaultRowHeight="15"/>
  <cols>
    <col min="1" max="1" width="38.140625" customWidth="1"/>
    <col min="2" max="15" width="17.140625" customWidth="1"/>
    <col min="17" max="17" width="36.140625" customWidth="1"/>
    <col min="18" max="18" width="38.140625" customWidth="1"/>
    <col min="19" max="19" width="15.28515625" customWidth="1"/>
    <col min="20" max="20" width="36.140625" customWidth="1"/>
    <col min="27" max="27" width="36.140625" customWidth="1"/>
  </cols>
  <sheetData>
    <row r="1" spans="1:15" ht="21">
      <c r="A1" s="128" t="s">
        <v>11624</v>
      </c>
    </row>
    <row r="2" spans="1:15">
      <c r="A2" s="129" t="s">
        <v>11625</v>
      </c>
    </row>
    <row r="3" spans="1:15">
      <c r="A3" s="150" t="str">
        <f>"Periodo: "&amp;TEXT('SELECCIÓN YAMI'!$B$4,"dd/mm/yyyy")&amp;" al "&amp;TEXT('SELECCIÓN YAMI'!$B$6,"dd/mm/yyyy")&amp;"   —   Tarifa: "&amp;TEXT('SELECCIÓN YAMI'!$B$7,"$#,##0.00")&amp;"   —   Asesoras: "&amp;IF(COUNTIF('SELECCIÓN YAMI'!$B$14:$B$81,"X")=0,"TODAS las del periodo",COUNTIF('SELECCIÓN YAMI'!$B$14:$B$81,"X")&amp;" marcadas en SELECCIÓN")</f>
        <v>Periodo: 30/07/2026 al 05/08/2026   —   Tarifa: $10.00   —   Asesoras: 3 marcadas en SELECCIÓN</v>
      </c>
    </row>
    <row r="4" spans="1:15" ht="32.25" customHeight="1">
      <c r="A4" s="138" t="s">
        <v>11626</v>
      </c>
      <c r="B4" s="138" t="s">
        <v>28</v>
      </c>
      <c r="C4" s="138" t="s">
        <v>37</v>
      </c>
      <c r="D4" s="138" t="s">
        <v>106</v>
      </c>
      <c r="E4" s="138" t="s">
        <v>47</v>
      </c>
      <c r="F4" s="138" t="s">
        <v>32</v>
      </c>
      <c r="G4" s="138" t="s">
        <v>263</v>
      </c>
      <c r="H4" s="138" t="s">
        <v>130</v>
      </c>
      <c r="I4" s="138" t="s">
        <v>235</v>
      </c>
      <c r="J4" s="139" t="s">
        <v>11627</v>
      </c>
      <c r="K4" s="139" t="s">
        <v>11628</v>
      </c>
      <c r="L4" s="140" t="s">
        <v>1149</v>
      </c>
      <c r="M4" s="140" t="s">
        <v>98</v>
      </c>
      <c r="N4" s="140" t="s">
        <v>74</v>
      </c>
      <c r="O4" s="140" t="s">
        <v>11629</v>
      </c>
    </row>
    <row r="5" spans="1:15">
      <c r="A5" s="141" t="s">
        <v>11630</v>
      </c>
      <c r="B5" s="142">
        <f>SUM(B6:B72)</f>
        <v>33</v>
      </c>
      <c r="C5" s="142">
        <f t="shared" ref="C5:O5" si="0">SUM(C6:C72)</f>
        <v>64</v>
      </c>
      <c r="D5" s="142">
        <f t="shared" si="0"/>
        <v>5</v>
      </c>
      <c r="E5" s="142">
        <f t="shared" si="0"/>
        <v>12</v>
      </c>
      <c r="F5" s="142">
        <f t="shared" si="0"/>
        <v>22</v>
      </c>
      <c r="G5" s="142">
        <f t="shared" si="0"/>
        <v>5</v>
      </c>
      <c r="H5" s="142">
        <f t="shared" si="0"/>
        <v>9</v>
      </c>
      <c r="I5" s="142">
        <f t="shared" si="0"/>
        <v>0</v>
      </c>
      <c r="J5" s="142">
        <f t="shared" si="0"/>
        <v>150</v>
      </c>
      <c r="K5" s="143">
        <f t="shared" si="0"/>
        <v>1500</v>
      </c>
      <c r="L5" s="142">
        <f t="shared" si="0"/>
        <v>0</v>
      </c>
      <c r="M5" s="142">
        <f t="shared" si="0"/>
        <v>8</v>
      </c>
      <c r="N5" s="142">
        <f t="shared" si="0"/>
        <v>1</v>
      </c>
      <c r="O5" s="142">
        <f t="shared" si="0"/>
        <v>159</v>
      </c>
    </row>
    <row r="6" spans="1:15">
      <c r="A6" s="144" t="str" cm="1">
        <f t="array" ref="A6:A8">IFERROR(_xlfn._xlws.FILTER('SELECCIÓN YAMI'!$A$14:$A$81,('SELECCIÓN YAMI'!$A$14:$A$81&lt;&gt;"")*((COUNTIF('SELECCIÓN YAMI'!$B$14:$B$81,"X")=0)+('SELECCIÓN YAMI'!$B$14:$B$81="X"))),"Sin resultados")</f>
        <v>GIOVANNI MELGAR</v>
      </c>
      <c r="B6" s="145">
        <f>IF($A6="","",COUNTIFS(Sheet1!$H$2:$H$5214,$A6,Sheet1!$N$2:$N$5214,B$4,Sheet1!$F$2:$F$5214,"&gt;="&amp;'SELECCIÓN YAMI'!$B$4,Sheet1!$F$2:$F$5214,"&lt;="&amp;'SELECCIÓN YAMI'!$B$6))</f>
        <v>10</v>
      </c>
      <c r="C6" s="145">
        <f>IF($A6="","",COUNTIFS(Sheet1!$H$2:$H$5214,$A6,Sheet1!$N$2:$N$5214,C$4,Sheet1!$F$2:$F$5214,"&gt;="&amp;'SELECCIÓN YAMI'!$B$4,Sheet1!$F$2:$F$5214,"&lt;="&amp;'SELECCIÓN YAMI'!$B$6))</f>
        <v>27</v>
      </c>
      <c r="D6" s="145">
        <f>IF($A6="","",COUNTIFS(Sheet1!$H$2:$H$5214,$A6,Sheet1!$N$2:$N$5214,D$4,Sheet1!$F$2:$F$5214,"&gt;="&amp;'SELECCIÓN YAMI'!$B$4,Sheet1!$F$2:$F$5214,"&lt;="&amp;'SELECCIÓN YAMI'!$B$6))</f>
        <v>3</v>
      </c>
      <c r="E6" s="145">
        <f>IF($A6="","",COUNTIFS(Sheet1!$H$2:$H$5214,$A6,Sheet1!$N$2:$N$5214,E$4,Sheet1!$F$2:$F$5214,"&gt;="&amp;'SELECCIÓN YAMI'!$B$4,Sheet1!$F$2:$F$5214,"&lt;="&amp;'SELECCIÓN YAMI'!$B$6))</f>
        <v>5</v>
      </c>
      <c r="F6" s="145">
        <f>IF($A6="","",COUNTIFS(Sheet1!$H$2:$H$5214,$A6,Sheet1!$N$2:$N$5214,F$4,Sheet1!$F$2:$F$5214,"&gt;="&amp;'SELECCIÓN YAMI'!$B$4,Sheet1!$F$2:$F$5214,"&lt;="&amp;'SELECCIÓN YAMI'!$B$6))</f>
        <v>5</v>
      </c>
      <c r="G6" s="145">
        <f>IF($A6="","",COUNTIFS(Sheet1!$H$2:$H$5214,$A6,Sheet1!$N$2:$N$5214,G$4,Sheet1!$F$2:$F$5214,"&gt;="&amp;'SELECCIÓN YAMI'!$B$4,Sheet1!$F$2:$F$5214,"&lt;="&amp;'SELECCIÓN YAMI'!$B$6))</f>
        <v>1</v>
      </c>
      <c r="H6" s="145">
        <f>IF($A6="","",COUNTIFS(Sheet1!$H$2:$H$5214,$A6,Sheet1!$N$2:$N$5214,H$4,Sheet1!$F$2:$F$5214,"&gt;="&amp;'SELECCIÓN YAMI'!$B$4,Sheet1!$F$2:$F$5214,"&lt;="&amp;'SELECCIÓN YAMI'!$B$6))</f>
        <v>3</v>
      </c>
      <c r="I6" s="145">
        <f>IF($A6="","",COUNTIFS(Sheet1!$H$2:$H$5214,$A6,Sheet1!$N$2:$N$5214,I$4,Sheet1!$F$2:$F$5214,"&gt;="&amp;'SELECCIÓN YAMI'!$B$4,Sheet1!$F$2:$F$5214,"&lt;="&amp;'SELECCIÓN YAMI'!$B$6))</f>
        <v>0</v>
      </c>
      <c r="J6" s="146">
        <f>IF($A6="","",SUM(B6:I6))</f>
        <v>54</v>
      </c>
      <c r="K6" s="147">
        <f>IF($A6="","",J6*'SELECCIÓN YAMI'!$B$7)</f>
        <v>540</v>
      </c>
      <c r="L6" s="145">
        <f>IF($A6="","",COUNTIFS(Sheet1!$H$2:$H$5214,$A6,Sheet1!$N$2:$N$5214,L$4,Sheet1!$F$2:$F$5214,"&gt;="&amp;'SELECCIÓN YAMI'!$B$4,Sheet1!$F$2:$F$5214,"&lt;="&amp;'SELECCIÓN YAMI'!$B$6))</f>
        <v>0</v>
      </c>
      <c r="M6" s="145">
        <f>IF($A6="","",COUNTIFS(Sheet1!$H$2:$H$5214,$A6,Sheet1!$N$2:$N$5214,M$4,Sheet1!$F$2:$F$5214,"&gt;="&amp;'SELECCIÓN YAMI'!$B$4,Sheet1!$F$2:$F$5214,"&lt;="&amp;'SELECCIÓN YAMI'!$B$6))</f>
        <v>5</v>
      </c>
      <c r="N6" s="145">
        <f>IF($A6="","",COUNTIFS(Sheet1!$H$2:$H$5214,$A6,Sheet1!$N$2:$N$5214,N$4,Sheet1!$F$2:$F$5214,"&gt;="&amp;'SELECCIÓN YAMI'!$B$4,Sheet1!$F$2:$F$5214,"&lt;="&amp;'SELECCIÓN YAMI'!$B$6))</f>
        <v>1</v>
      </c>
      <c r="O6" s="145">
        <f>IF($A6="","",COUNTIFS(Sheet1!$H$2:$H$5214,$A6,Sheet1!$F$2:$F$5214,"&gt;="&amp;'SELECCIÓN YAMI'!$B$4,Sheet1!$F$2:$F$5214,"&lt;="&amp;'SELECCIÓN YAMI'!$B$6))</f>
        <v>60</v>
      </c>
    </row>
    <row r="7" spans="1:15">
      <c r="A7" s="144" t="str">
        <v>LILIANA MARTINEZ SUR</v>
      </c>
      <c r="B7" s="145">
        <f>IF($A7="","",COUNTIFS(Sheet1!$H$2:$H$5214,$A7,Sheet1!$N$2:$N$5214,B$4,Sheet1!$F$2:$F$5214,"&gt;="&amp;'SELECCIÓN YAMI'!$B$4,Sheet1!$F$2:$F$5214,"&lt;="&amp;'SELECCIÓN YAMI'!$B$6))</f>
        <v>7</v>
      </c>
      <c r="C7" s="145">
        <f>IF($A7="","",COUNTIFS(Sheet1!$H$2:$H$5214,$A7,Sheet1!$N$2:$N$5214,C$4,Sheet1!$F$2:$F$5214,"&gt;="&amp;'SELECCIÓN YAMI'!$B$4,Sheet1!$F$2:$F$5214,"&lt;="&amp;'SELECCIÓN YAMI'!$B$6))</f>
        <v>8</v>
      </c>
      <c r="D7" s="145">
        <f>IF($A7="","",COUNTIFS(Sheet1!$H$2:$H$5214,$A7,Sheet1!$N$2:$N$5214,D$4,Sheet1!$F$2:$F$5214,"&gt;="&amp;'SELECCIÓN YAMI'!$B$4,Sheet1!$F$2:$F$5214,"&lt;="&amp;'SELECCIÓN YAMI'!$B$6))</f>
        <v>1</v>
      </c>
      <c r="E7" s="145">
        <f>IF($A7="","",COUNTIFS(Sheet1!$H$2:$H$5214,$A7,Sheet1!$N$2:$N$5214,E$4,Sheet1!$F$2:$F$5214,"&gt;="&amp;'SELECCIÓN YAMI'!$B$4,Sheet1!$F$2:$F$5214,"&lt;="&amp;'SELECCIÓN YAMI'!$B$6))</f>
        <v>1</v>
      </c>
      <c r="F7" s="145">
        <f>IF($A7="","",COUNTIFS(Sheet1!$H$2:$H$5214,$A7,Sheet1!$N$2:$N$5214,F$4,Sheet1!$F$2:$F$5214,"&gt;="&amp;'SELECCIÓN YAMI'!$B$4,Sheet1!$F$2:$F$5214,"&lt;="&amp;'SELECCIÓN YAMI'!$B$6))</f>
        <v>10</v>
      </c>
      <c r="G7" s="145">
        <f>IF($A7="","",COUNTIFS(Sheet1!$H$2:$H$5214,$A7,Sheet1!$N$2:$N$5214,G$4,Sheet1!$F$2:$F$5214,"&gt;="&amp;'SELECCIÓN YAMI'!$B$4,Sheet1!$F$2:$F$5214,"&lt;="&amp;'SELECCIÓN YAMI'!$B$6))</f>
        <v>2</v>
      </c>
      <c r="H7" s="145">
        <f>IF($A7="","",COUNTIFS(Sheet1!$H$2:$H$5214,$A7,Sheet1!$N$2:$N$5214,H$4,Sheet1!$F$2:$F$5214,"&gt;="&amp;'SELECCIÓN YAMI'!$B$4,Sheet1!$F$2:$F$5214,"&lt;="&amp;'SELECCIÓN YAMI'!$B$6))</f>
        <v>0</v>
      </c>
      <c r="I7" s="145">
        <f>IF($A7="","",COUNTIFS(Sheet1!$H$2:$H$5214,$A7,Sheet1!$N$2:$N$5214,I$4,Sheet1!$F$2:$F$5214,"&gt;="&amp;'SELECCIÓN YAMI'!$B$4,Sheet1!$F$2:$F$5214,"&lt;="&amp;'SELECCIÓN YAMI'!$B$6))</f>
        <v>0</v>
      </c>
      <c r="J7" s="146">
        <f>IF($A7="","",SUM(B7:I7))</f>
        <v>29</v>
      </c>
      <c r="K7" s="147">
        <f>IF($A7="","",J7*'SELECCIÓN YAMI'!$B$7)</f>
        <v>290</v>
      </c>
      <c r="L7" s="145">
        <f>IF($A7="","",COUNTIFS(Sheet1!$H$2:$H$5214,$A7,Sheet1!$N$2:$N$5214,L$4,Sheet1!$F$2:$F$5214,"&gt;="&amp;'SELECCIÓN YAMI'!$B$4,Sheet1!$F$2:$F$5214,"&lt;="&amp;'SELECCIÓN YAMI'!$B$6))</f>
        <v>0</v>
      </c>
      <c r="M7" s="145">
        <f>IF($A7="","",COUNTIFS(Sheet1!$H$2:$H$5214,$A7,Sheet1!$N$2:$N$5214,M$4,Sheet1!$F$2:$F$5214,"&gt;="&amp;'SELECCIÓN YAMI'!$B$4,Sheet1!$F$2:$F$5214,"&lt;="&amp;'SELECCIÓN YAMI'!$B$6))</f>
        <v>1</v>
      </c>
      <c r="N7" s="145">
        <f>IF($A7="","",COUNTIFS(Sheet1!$H$2:$H$5214,$A7,Sheet1!$N$2:$N$5214,N$4,Sheet1!$F$2:$F$5214,"&gt;="&amp;'SELECCIÓN YAMI'!$B$4,Sheet1!$F$2:$F$5214,"&lt;="&amp;'SELECCIÓN YAMI'!$B$6))</f>
        <v>0</v>
      </c>
      <c r="O7" s="145">
        <f>IF($A7="","",COUNTIFS(Sheet1!$H$2:$H$5214,$A7,Sheet1!$F$2:$F$5214,"&gt;="&amp;'SELECCIÓN YAMI'!$B$4,Sheet1!$F$2:$F$5214,"&lt;="&amp;'SELECCIÓN YAMI'!$B$6))</f>
        <v>30</v>
      </c>
    </row>
    <row r="8" spans="1:15">
      <c r="A8" s="144" t="str">
        <v>ROSA CASTRO SUR</v>
      </c>
      <c r="B8" s="145">
        <f>IF($A8="","",COUNTIFS(Sheet1!$H$2:$H$5214,$A8,Sheet1!$N$2:$N$5214,B$4,Sheet1!$F$2:$F$5214,"&gt;="&amp;'SELECCIÓN YAMI'!$B$4,Sheet1!$F$2:$F$5214,"&lt;="&amp;'SELECCIÓN YAMI'!$B$6))</f>
        <v>16</v>
      </c>
      <c r="C8" s="145">
        <f>IF($A8="","",COUNTIFS(Sheet1!$H$2:$H$5214,$A8,Sheet1!$N$2:$N$5214,C$4,Sheet1!$F$2:$F$5214,"&gt;="&amp;'SELECCIÓN YAMI'!$B$4,Sheet1!$F$2:$F$5214,"&lt;="&amp;'SELECCIÓN YAMI'!$B$6))</f>
        <v>29</v>
      </c>
      <c r="D8" s="145">
        <f>IF($A8="","",COUNTIFS(Sheet1!$H$2:$H$5214,$A8,Sheet1!$N$2:$N$5214,D$4,Sheet1!$F$2:$F$5214,"&gt;="&amp;'SELECCIÓN YAMI'!$B$4,Sheet1!$F$2:$F$5214,"&lt;="&amp;'SELECCIÓN YAMI'!$B$6))</f>
        <v>1</v>
      </c>
      <c r="E8" s="145">
        <f>IF($A8="","",COUNTIFS(Sheet1!$H$2:$H$5214,$A8,Sheet1!$N$2:$N$5214,E$4,Sheet1!$F$2:$F$5214,"&gt;="&amp;'SELECCIÓN YAMI'!$B$4,Sheet1!$F$2:$F$5214,"&lt;="&amp;'SELECCIÓN YAMI'!$B$6))</f>
        <v>6</v>
      </c>
      <c r="F8" s="145">
        <f>IF($A8="","",COUNTIFS(Sheet1!$H$2:$H$5214,$A8,Sheet1!$N$2:$N$5214,F$4,Sheet1!$F$2:$F$5214,"&gt;="&amp;'SELECCIÓN YAMI'!$B$4,Sheet1!$F$2:$F$5214,"&lt;="&amp;'SELECCIÓN YAMI'!$B$6))</f>
        <v>7</v>
      </c>
      <c r="G8" s="145">
        <f>IF($A8="","",COUNTIFS(Sheet1!$H$2:$H$5214,$A8,Sheet1!$N$2:$N$5214,G$4,Sheet1!$F$2:$F$5214,"&gt;="&amp;'SELECCIÓN YAMI'!$B$4,Sheet1!$F$2:$F$5214,"&lt;="&amp;'SELECCIÓN YAMI'!$B$6))</f>
        <v>2</v>
      </c>
      <c r="H8" s="145">
        <f>IF($A8="","",COUNTIFS(Sheet1!$H$2:$H$5214,$A8,Sheet1!$N$2:$N$5214,H$4,Sheet1!$F$2:$F$5214,"&gt;="&amp;'SELECCIÓN YAMI'!$B$4,Sheet1!$F$2:$F$5214,"&lt;="&amp;'SELECCIÓN YAMI'!$B$6))</f>
        <v>6</v>
      </c>
      <c r="I8" s="145">
        <f>IF($A8="","",COUNTIFS(Sheet1!$H$2:$H$5214,$A8,Sheet1!$N$2:$N$5214,I$4,Sheet1!$F$2:$F$5214,"&gt;="&amp;'SELECCIÓN YAMI'!$B$4,Sheet1!$F$2:$F$5214,"&lt;="&amp;'SELECCIÓN YAMI'!$B$6))</f>
        <v>0</v>
      </c>
      <c r="J8" s="146">
        <f>IF($A8="","",SUM(B8:I8))</f>
        <v>67</v>
      </c>
      <c r="K8" s="147">
        <f>IF($A8="","",J8*'SELECCIÓN YAMI'!$B$7)</f>
        <v>670</v>
      </c>
      <c r="L8" s="145">
        <f>IF($A8="","",COUNTIFS(Sheet1!$H$2:$H$5214,$A8,Sheet1!$N$2:$N$5214,L$4,Sheet1!$F$2:$F$5214,"&gt;="&amp;'SELECCIÓN YAMI'!$B$4,Sheet1!$F$2:$F$5214,"&lt;="&amp;'SELECCIÓN YAMI'!$B$6))</f>
        <v>0</v>
      </c>
      <c r="M8" s="145">
        <f>IF($A8="","",COUNTIFS(Sheet1!$H$2:$H$5214,$A8,Sheet1!$N$2:$N$5214,M$4,Sheet1!$F$2:$F$5214,"&gt;="&amp;'SELECCIÓN YAMI'!$B$4,Sheet1!$F$2:$F$5214,"&lt;="&amp;'SELECCIÓN YAMI'!$B$6))</f>
        <v>2</v>
      </c>
      <c r="N8" s="145">
        <f>IF($A8="","",COUNTIFS(Sheet1!$H$2:$H$5214,$A8,Sheet1!$N$2:$N$5214,N$4,Sheet1!$F$2:$F$5214,"&gt;="&amp;'SELECCIÓN YAMI'!$B$4,Sheet1!$F$2:$F$5214,"&lt;="&amp;'SELECCIÓN YAMI'!$B$6))</f>
        <v>0</v>
      </c>
      <c r="O8" s="145">
        <f>IF($A8="","",COUNTIFS(Sheet1!$H$2:$H$5214,$A8,Sheet1!$F$2:$F$5214,"&gt;="&amp;'SELECCIÓN YAMI'!$B$4,Sheet1!$F$2:$F$5214,"&lt;="&amp;'SELECCIÓN YAMI'!$B$6))</f>
        <v>69</v>
      </c>
    </row>
    <row r="9" spans="1:15">
      <c r="A9" s="144"/>
      <c r="B9" s="145" t="str">
        <f>IF($A9="","",COUNTIFS(Sheet1!$H$2:$H$5214,$A9,Sheet1!$N$2:$N$5214,B$4,Sheet1!$F$2:$F$5214,"&gt;="&amp;'SELECCIÓN YAMI'!$B$4,Sheet1!$F$2:$F$5214,"&lt;="&amp;'SELECCIÓN YAMI'!$B$6))</f>
        <v/>
      </c>
      <c r="C9" s="145" t="str">
        <f>IF($A9="","",COUNTIFS(Sheet1!$H$2:$H$5214,$A9,Sheet1!$N$2:$N$5214,C$4,Sheet1!$F$2:$F$5214,"&gt;="&amp;'SELECCIÓN YAMI'!$B$4,Sheet1!$F$2:$F$5214,"&lt;="&amp;'SELECCIÓN YAMI'!$B$6))</f>
        <v/>
      </c>
      <c r="D9" s="145" t="str">
        <f>IF($A9="","",COUNTIFS(Sheet1!$H$2:$H$5214,$A9,Sheet1!$N$2:$N$5214,D$4,Sheet1!$F$2:$F$5214,"&gt;="&amp;'SELECCIÓN YAMI'!$B$4,Sheet1!$F$2:$F$5214,"&lt;="&amp;'SELECCIÓN YAMI'!$B$6))</f>
        <v/>
      </c>
      <c r="E9" s="145" t="str">
        <f>IF($A9="","",COUNTIFS(Sheet1!$H$2:$H$5214,$A9,Sheet1!$N$2:$N$5214,E$4,Sheet1!$F$2:$F$5214,"&gt;="&amp;'SELECCIÓN YAMI'!$B$4,Sheet1!$F$2:$F$5214,"&lt;="&amp;'SELECCIÓN YAMI'!$B$6))</f>
        <v/>
      </c>
      <c r="F9" s="145" t="str">
        <f>IF($A9="","",COUNTIFS(Sheet1!$H$2:$H$5214,$A9,Sheet1!$N$2:$N$5214,F$4,Sheet1!$F$2:$F$5214,"&gt;="&amp;'SELECCIÓN YAMI'!$B$4,Sheet1!$F$2:$F$5214,"&lt;="&amp;'SELECCIÓN YAMI'!$B$6))</f>
        <v/>
      </c>
      <c r="G9" s="145" t="str">
        <f>IF($A9="","",COUNTIFS(Sheet1!$H$2:$H$5214,$A9,Sheet1!$N$2:$N$5214,G$4,Sheet1!$F$2:$F$5214,"&gt;="&amp;'SELECCIÓN YAMI'!$B$4,Sheet1!$F$2:$F$5214,"&lt;="&amp;'SELECCIÓN YAMI'!$B$6))</f>
        <v/>
      </c>
      <c r="H9" s="145" t="str">
        <f>IF($A9="","",COUNTIFS(Sheet1!$H$2:$H$5214,$A9,Sheet1!$N$2:$N$5214,H$4,Sheet1!$F$2:$F$5214,"&gt;="&amp;'SELECCIÓN YAMI'!$B$4,Sheet1!$F$2:$F$5214,"&lt;="&amp;'SELECCIÓN YAMI'!$B$6))</f>
        <v/>
      </c>
      <c r="I9" s="145" t="str">
        <f>IF($A9="","",COUNTIFS(Sheet1!$H$2:$H$5214,$A9,Sheet1!$N$2:$N$5214,I$4,Sheet1!$F$2:$F$5214,"&gt;="&amp;'SELECCIÓN YAMI'!$B$4,Sheet1!$F$2:$F$5214,"&lt;="&amp;'SELECCIÓN YAMI'!$B$6))</f>
        <v/>
      </c>
      <c r="J9" s="146" t="str">
        <f>IF($A9="","",SUM(B9:I9))</f>
        <v/>
      </c>
      <c r="K9" s="147" t="str">
        <f>IF($A9="","",J9*'SELECCIÓN YAMI'!$B$7)</f>
        <v/>
      </c>
      <c r="L9" s="145" t="str">
        <f>IF($A9="","",COUNTIFS(Sheet1!$H$2:$H$5214,$A9,Sheet1!$N$2:$N$5214,L$4,Sheet1!$F$2:$F$5214,"&gt;="&amp;'SELECCIÓN YAMI'!$B$4,Sheet1!$F$2:$F$5214,"&lt;="&amp;'SELECCIÓN YAMI'!$B$6))</f>
        <v/>
      </c>
      <c r="M9" s="145" t="str">
        <f>IF($A9="","",COUNTIFS(Sheet1!$H$2:$H$5214,$A9,Sheet1!$N$2:$N$5214,M$4,Sheet1!$F$2:$F$5214,"&gt;="&amp;'SELECCIÓN YAMI'!$B$4,Sheet1!$F$2:$F$5214,"&lt;="&amp;'SELECCIÓN YAMI'!$B$6))</f>
        <v/>
      </c>
      <c r="N9" s="145" t="str">
        <f>IF($A9="","",COUNTIFS(Sheet1!$H$2:$H$5214,$A9,Sheet1!$N$2:$N$5214,N$4,Sheet1!$F$2:$F$5214,"&gt;="&amp;'SELECCIÓN YAMI'!$B$4,Sheet1!$F$2:$F$5214,"&lt;="&amp;'SELECCIÓN YAMI'!$B$6))</f>
        <v/>
      </c>
      <c r="O9" s="145" t="str">
        <f>IF($A9="","",COUNTIFS(Sheet1!$H$2:$H$5214,$A9,Sheet1!$F$2:$F$5214,"&gt;="&amp;'SELECCIÓN YAMI'!$B$4,Sheet1!$F$2:$F$5214,"&lt;="&amp;'SELECCIÓN YAMI'!$B$6))</f>
        <v/>
      </c>
    </row>
    <row r="10" spans="1:15">
      <c r="A10" s="144"/>
      <c r="B10" s="145" t="str">
        <f>IF($A10="","",COUNTIFS(Sheet1!$H$2:$H$5214,$A10,Sheet1!$N$2:$N$5214,B$4,Sheet1!$F$2:$F$5214,"&gt;="&amp;'SELECCIÓN YAMI'!$B$4,Sheet1!$F$2:$F$5214,"&lt;="&amp;'SELECCIÓN YAMI'!$B$6))</f>
        <v/>
      </c>
      <c r="C10" s="145" t="str">
        <f>IF($A10="","",COUNTIFS(Sheet1!$H$2:$H$5214,$A10,Sheet1!$N$2:$N$5214,C$4,Sheet1!$F$2:$F$5214,"&gt;="&amp;'SELECCIÓN YAMI'!$B$4,Sheet1!$F$2:$F$5214,"&lt;="&amp;'SELECCIÓN YAMI'!$B$6))</f>
        <v/>
      </c>
      <c r="D10" s="145" t="str">
        <f>IF($A10="","",COUNTIFS(Sheet1!$H$2:$H$5214,$A10,Sheet1!$N$2:$N$5214,D$4,Sheet1!$F$2:$F$5214,"&gt;="&amp;'SELECCIÓN YAMI'!$B$4,Sheet1!$F$2:$F$5214,"&lt;="&amp;'SELECCIÓN YAMI'!$B$6))</f>
        <v/>
      </c>
      <c r="E10" s="145" t="str">
        <f>IF($A10="","",COUNTIFS(Sheet1!$H$2:$H$5214,$A10,Sheet1!$N$2:$N$5214,E$4,Sheet1!$F$2:$F$5214,"&gt;="&amp;'SELECCIÓN YAMI'!$B$4,Sheet1!$F$2:$F$5214,"&lt;="&amp;'SELECCIÓN YAMI'!$B$6))</f>
        <v/>
      </c>
      <c r="F10" s="145" t="str">
        <f>IF($A10="","",COUNTIFS(Sheet1!$H$2:$H$5214,$A10,Sheet1!$N$2:$N$5214,F$4,Sheet1!$F$2:$F$5214,"&gt;="&amp;'SELECCIÓN YAMI'!$B$4,Sheet1!$F$2:$F$5214,"&lt;="&amp;'SELECCIÓN YAMI'!$B$6))</f>
        <v/>
      </c>
      <c r="G10" s="145" t="str">
        <f>IF($A10="","",COUNTIFS(Sheet1!$H$2:$H$5214,$A10,Sheet1!$N$2:$N$5214,G$4,Sheet1!$F$2:$F$5214,"&gt;="&amp;'SELECCIÓN YAMI'!$B$4,Sheet1!$F$2:$F$5214,"&lt;="&amp;'SELECCIÓN YAMI'!$B$6))</f>
        <v/>
      </c>
      <c r="H10" s="145" t="str">
        <f>IF($A10="","",COUNTIFS(Sheet1!$H$2:$H$5214,$A10,Sheet1!$N$2:$N$5214,H$4,Sheet1!$F$2:$F$5214,"&gt;="&amp;'SELECCIÓN YAMI'!$B$4,Sheet1!$F$2:$F$5214,"&lt;="&amp;'SELECCIÓN YAMI'!$B$6))</f>
        <v/>
      </c>
      <c r="I10" s="145" t="str">
        <f>IF($A10="","",COUNTIFS(Sheet1!$H$2:$H$5214,$A10,Sheet1!$N$2:$N$5214,I$4,Sheet1!$F$2:$F$5214,"&gt;="&amp;'SELECCIÓN YAMI'!$B$4,Sheet1!$F$2:$F$5214,"&lt;="&amp;'SELECCIÓN YAMI'!$B$6))</f>
        <v/>
      </c>
      <c r="J10" s="146" t="str">
        <f>IF($A10="","",SUM(B10:I10))</f>
        <v/>
      </c>
      <c r="K10" s="147" t="str">
        <f>IF($A10="","",J10*'SELECCIÓN YAMI'!$B$7)</f>
        <v/>
      </c>
      <c r="L10" s="145" t="str">
        <f>IF($A10="","",COUNTIFS(Sheet1!$H$2:$H$5214,$A10,Sheet1!$N$2:$N$5214,L$4,Sheet1!$F$2:$F$5214,"&gt;="&amp;'SELECCIÓN YAMI'!$B$4,Sheet1!$F$2:$F$5214,"&lt;="&amp;'SELECCIÓN YAMI'!$B$6))</f>
        <v/>
      </c>
      <c r="M10" s="145" t="str">
        <f>IF($A10="","",COUNTIFS(Sheet1!$H$2:$H$5214,$A10,Sheet1!$N$2:$N$5214,M$4,Sheet1!$F$2:$F$5214,"&gt;="&amp;'SELECCIÓN YAMI'!$B$4,Sheet1!$F$2:$F$5214,"&lt;="&amp;'SELECCIÓN YAMI'!$B$6))</f>
        <v/>
      </c>
      <c r="N10" s="145" t="str">
        <f>IF($A10="","",COUNTIFS(Sheet1!$H$2:$H$5214,$A10,Sheet1!$N$2:$N$5214,N$4,Sheet1!$F$2:$F$5214,"&gt;="&amp;'SELECCIÓN YAMI'!$B$4,Sheet1!$F$2:$F$5214,"&lt;="&amp;'SELECCIÓN YAMI'!$B$6))</f>
        <v/>
      </c>
      <c r="O10" s="145" t="str">
        <f>IF($A10="","",COUNTIFS(Sheet1!$H$2:$H$5214,$A10,Sheet1!$F$2:$F$5214,"&gt;="&amp;'SELECCIÓN YAMI'!$B$4,Sheet1!$F$2:$F$5214,"&lt;="&amp;'SELECCIÓN YAMI'!$B$6))</f>
        <v/>
      </c>
    </row>
    <row r="11" spans="1:15">
      <c r="A11" s="144"/>
      <c r="B11" s="145" t="str">
        <f>IF($A11="","",COUNTIFS(Sheet1!$H$2:$H$5214,$A11,Sheet1!$N$2:$N$5214,B$4,Sheet1!$F$2:$F$5214,"&gt;="&amp;'SELECCIÓN YAMI'!$B$4,Sheet1!$F$2:$F$5214,"&lt;="&amp;'SELECCIÓN YAMI'!$B$6))</f>
        <v/>
      </c>
      <c r="C11" s="145" t="str">
        <f>IF($A11="","",COUNTIFS(Sheet1!$H$2:$H$5214,$A11,Sheet1!$N$2:$N$5214,C$4,Sheet1!$F$2:$F$5214,"&gt;="&amp;'SELECCIÓN YAMI'!$B$4,Sheet1!$F$2:$F$5214,"&lt;="&amp;'SELECCIÓN YAMI'!$B$6))</f>
        <v/>
      </c>
      <c r="D11" s="145" t="str">
        <f>IF($A11="","",COUNTIFS(Sheet1!$H$2:$H$5214,$A11,Sheet1!$N$2:$N$5214,D$4,Sheet1!$F$2:$F$5214,"&gt;="&amp;'SELECCIÓN YAMI'!$B$4,Sheet1!$F$2:$F$5214,"&lt;="&amp;'SELECCIÓN YAMI'!$B$6))</f>
        <v/>
      </c>
      <c r="E11" s="145" t="str">
        <f>IF($A11="","",COUNTIFS(Sheet1!$H$2:$H$5214,$A11,Sheet1!$N$2:$N$5214,E$4,Sheet1!$F$2:$F$5214,"&gt;="&amp;'SELECCIÓN YAMI'!$B$4,Sheet1!$F$2:$F$5214,"&lt;="&amp;'SELECCIÓN YAMI'!$B$6))</f>
        <v/>
      </c>
      <c r="F11" s="145" t="str">
        <f>IF($A11="","",COUNTIFS(Sheet1!$H$2:$H$5214,$A11,Sheet1!$N$2:$N$5214,F$4,Sheet1!$F$2:$F$5214,"&gt;="&amp;'SELECCIÓN YAMI'!$B$4,Sheet1!$F$2:$F$5214,"&lt;="&amp;'SELECCIÓN YAMI'!$B$6))</f>
        <v/>
      </c>
      <c r="G11" s="145" t="str">
        <f>IF($A11="","",COUNTIFS(Sheet1!$H$2:$H$5214,$A11,Sheet1!$N$2:$N$5214,G$4,Sheet1!$F$2:$F$5214,"&gt;="&amp;'SELECCIÓN YAMI'!$B$4,Sheet1!$F$2:$F$5214,"&lt;="&amp;'SELECCIÓN YAMI'!$B$6))</f>
        <v/>
      </c>
      <c r="H11" s="145" t="str">
        <f>IF($A11="","",COUNTIFS(Sheet1!$H$2:$H$5214,$A11,Sheet1!$N$2:$N$5214,H$4,Sheet1!$F$2:$F$5214,"&gt;="&amp;'SELECCIÓN YAMI'!$B$4,Sheet1!$F$2:$F$5214,"&lt;="&amp;'SELECCIÓN YAMI'!$B$6))</f>
        <v/>
      </c>
      <c r="I11" s="145" t="str">
        <f>IF($A11="","",COUNTIFS(Sheet1!$H$2:$H$5214,$A11,Sheet1!$N$2:$N$5214,I$4,Sheet1!$F$2:$F$5214,"&gt;="&amp;'SELECCIÓN YAMI'!$B$4,Sheet1!$F$2:$F$5214,"&lt;="&amp;'SELECCIÓN YAMI'!$B$6))</f>
        <v/>
      </c>
      <c r="J11" s="146" t="str">
        <f>IF($A11="","",SUM(B11:I11))</f>
        <v/>
      </c>
      <c r="K11" s="147" t="str">
        <f>IF($A11="","",J11*'SELECCIÓN YAMI'!$B$7)</f>
        <v/>
      </c>
      <c r="L11" s="145" t="str">
        <f>IF($A11="","",COUNTIFS(Sheet1!$H$2:$H$5214,$A11,Sheet1!$N$2:$N$5214,L$4,Sheet1!$F$2:$F$5214,"&gt;="&amp;'SELECCIÓN YAMI'!$B$4,Sheet1!$F$2:$F$5214,"&lt;="&amp;'SELECCIÓN YAMI'!$B$6))</f>
        <v/>
      </c>
      <c r="M11" s="145" t="str">
        <f>IF($A11="","",COUNTIFS(Sheet1!$H$2:$H$5214,$A11,Sheet1!$N$2:$N$5214,M$4,Sheet1!$F$2:$F$5214,"&gt;="&amp;'SELECCIÓN YAMI'!$B$4,Sheet1!$F$2:$F$5214,"&lt;="&amp;'SELECCIÓN YAMI'!$B$6))</f>
        <v/>
      </c>
      <c r="N11" s="145" t="str">
        <f>IF($A11="","",COUNTIFS(Sheet1!$H$2:$H$5214,$A11,Sheet1!$N$2:$N$5214,N$4,Sheet1!$F$2:$F$5214,"&gt;="&amp;'SELECCIÓN YAMI'!$B$4,Sheet1!$F$2:$F$5214,"&lt;="&amp;'SELECCIÓN YAMI'!$B$6))</f>
        <v/>
      </c>
      <c r="O11" s="145" t="str">
        <f>IF($A11="","",COUNTIFS(Sheet1!$H$2:$H$5214,$A11,Sheet1!$F$2:$F$5214,"&gt;="&amp;'SELECCIÓN YAMI'!$B$4,Sheet1!$F$2:$F$5214,"&lt;="&amp;'SELECCIÓN YAMI'!$B$6))</f>
        <v/>
      </c>
    </row>
    <row r="12" spans="1:15">
      <c r="A12" s="144"/>
      <c r="B12" s="145" t="str">
        <f>IF($A12="","",COUNTIFS(Sheet1!$H$2:$H$5214,$A12,Sheet1!$N$2:$N$5214,B$4,Sheet1!$F$2:$F$5214,"&gt;="&amp;'SELECCIÓN YAMI'!$B$4,Sheet1!$F$2:$F$5214,"&lt;="&amp;'SELECCIÓN YAMI'!$B$6))</f>
        <v/>
      </c>
      <c r="C12" s="145" t="str">
        <f>IF($A12="","",COUNTIFS(Sheet1!$H$2:$H$5214,$A12,Sheet1!$N$2:$N$5214,C$4,Sheet1!$F$2:$F$5214,"&gt;="&amp;'SELECCIÓN YAMI'!$B$4,Sheet1!$F$2:$F$5214,"&lt;="&amp;'SELECCIÓN YAMI'!$B$6))</f>
        <v/>
      </c>
      <c r="D12" s="145" t="str">
        <f>IF($A12="","",COUNTIFS(Sheet1!$H$2:$H$5214,$A12,Sheet1!$N$2:$N$5214,D$4,Sheet1!$F$2:$F$5214,"&gt;="&amp;'SELECCIÓN YAMI'!$B$4,Sheet1!$F$2:$F$5214,"&lt;="&amp;'SELECCIÓN YAMI'!$B$6))</f>
        <v/>
      </c>
      <c r="E12" s="145" t="str">
        <f>IF($A12="","",COUNTIFS(Sheet1!$H$2:$H$5214,$A12,Sheet1!$N$2:$N$5214,E$4,Sheet1!$F$2:$F$5214,"&gt;="&amp;'SELECCIÓN YAMI'!$B$4,Sheet1!$F$2:$F$5214,"&lt;="&amp;'SELECCIÓN YAMI'!$B$6))</f>
        <v/>
      </c>
      <c r="F12" s="145" t="str">
        <f>IF($A12="","",COUNTIFS(Sheet1!$H$2:$H$5214,$A12,Sheet1!$N$2:$N$5214,F$4,Sheet1!$F$2:$F$5214,"&gt;="&amp;'SELECCIÓN YAMI'!$B$4,Sheet1!$F$2:$F$5214,"&lt;="&amp;'SELECCIÓN YAMI'!$B$6))</f>
        <v/>
      </c>
      <c r="G12" s="145" t="str">
        <f>IF($A12="","",COUNTIFS(Sheet1!$H$2:$H$5214,$A12,Sheet1!$N$2:$N$5214,G$4,Sheet1!$F$2:$F$5214,"&gt;="&amp;'SELECCIÓN YAMI'!$B$4,Sheet1!$F$2:$F$5214,"&lt;="&amp;'SELECCIÓN YAMI'!$B$6))</f>
        <v/>
      </c>
      <c r="H12" s="145" t="str">
        <f>IF($A12="","",COUNTIFS(Sheet1!$H$2:$H$5214,$A12,Sheet1!$N$2:$N$5214,H$4,Sheet1!$F$2:$F$5214,"&gt;="&amp;'SELECCIÓN YAMI'!$B$4,Sheet1!$F$2:$F$5214,"&lt;="&amp;'SELECCIÓN YAMI'!$B$6))</f>
        <v/>
      </c>
      <c r="I12" s="145" t="str">
        <f>IF($A12="","",COUNTIFS(Sheet1!$H$2:$H$5214,$A12,Sheet1!$N$2:$N$5214,I$4,Sheet1!$F$2:$F$5214,"&gt;="&amp;'SELECCIÓN YAMI'!$B$4,Sheet1!$F$2:$F$5214,"&lt;="&amp;'SELECCIÓN YAMI'!$B$6))</f>
        <v/>
      </c>
      <c r="J12" s="146" t="str">
        <f>IF($A12="","",SUM(B12:I12))</f>
        <v/>
      </c>
      <c r="K12" s="147" t="str">
        <f>IF($A12="","",J12*'SELECCIÓN YAMI'!$B$7)</f>
        <v/>
      </c>
      <c r="L12" s="145" t="str">
        <f>IF($A12="","",COUNTIFS(Sheet1!$H$2:$H$5214,$A12,Sheet1!$N$2:$N$5214,L$4,Sheet1!$F$2:$F$5214,"&gt;="&amp;'SELECCIÓN YAMI'!$B$4,Sheet1!$F$2:$F$5214,"&lt;="&amp;'SELECCIÓN YAMI'!$B$6))</f>
        <v/>
      </c>
      <c r="M12" s="145" t="str">
        <f>IF($A12="","",COUNTIFS(Sheet1!$H$2:$H$5214,$A12,Sheet1!$N$2:$N$5214,M$4,Sheet1!$F$2:$F$5214,"&gt;="&amp;'SELECCIÓN YAMI'!$B$4,Sheet1!$F$2:$F$5214,"&lt;="&amp;'SELECCIÓN YAMI'!$B$6))</f>
        <v/>
      </c>
      <c r="N12" s="145" t="str">
        <f>IF($A12="","",COUNTIFS(Sheet1!$H$2:$H$5214,$A12,Sheet1!$N$2:$N$5214,N$4,Sheet1!$F$2:$F$5214,"&gt;="&amp;'SELECCIÓN YAMI'!$B$4,Sheet1!$F$2:$F$5214,"&lt;="&amp;'SELECCIÓN YAMI'!$B$6))</f>
        <v/>
      </c>
      <c r="O12" s="145" t="str">
        <f>IF($A12="","",COUNTIFS(Sheet1!$H$2:$H$5214,$A12,Sheet1!$F$2:$F$5214,"&gt;="&amp;'SELECCIÓN YAMI'!$B$4,Sheet1!$F$2:$F$5214,"&lt;="&amp;'SELECCIÓN YAMI'!$B$6))</f>
        <v/>
      </c>
    </row>
    <row r="13" spans="1:15">
      <c r="A13" s="144"/>
      <c r="B13" s="145" t="str">
        <f>IF($A13="","",COUNTIFS(Sheet1!$H$2:$H$5214,$A13,Sheet1!$N$2:$N$5214,B$4,Sheet1!$F$2:$F$5214,"&gt;="&amp;'SELECCIÓN YAMI'!$B$4,Sheet1!$F$2:$F$5214,"&lt;="&amp;'SELECCIÓN YAMI'!$B$6))</f>
        <v/>
      </c>
      <c r="C13" s="145" t="str">
        <f>IF($A13="","",COUNTIFS(Sheet1!$H$2:$H$5214,$A13,Sheet1!$N$2:$N$5214,C$4,Sheet1!$F$2:$F$5214,"&gt;="&amp;'SELECCIÓN YAMI'!$B$4,Sheet1!$F$2:$F$5214,"&lt;="&amp;'SELECCIÓN YAMI'!$B$6))</f>
        <v/>
      </c>
      <c r="D13" s="145" t="str">
        <f>IF($A13="","",COUNTIFS(Sheet1!$H$2:$H$5214,$A13,Sheet1!$N$2:$N$5214,D$4,Sheet1!$F$2:$F$5214,"&gt;="&amp;'SELECCIÓN YAMI'!$B$4,Sheet1!$F$2:$F$5214,"&lt;="&amp;'SELECCIÓN YAMI'!$B$6))</f>
        <v/>
      </c>
      <c r="E13" s="145" t="str">
        <f>IF($A13="","",COUNTIFS(Sheet1!$H$2:$H$5214,$A13,Sheet1!$N$2:$N$5214,E$4,Sheet1!$F$2:$F$5214,"&gt;="&amp;'SELECCIÓN YAMI'!$B$4,Sheet1!$F$2:$F$5214,"&lt;="&amp;'SELECCIÓN YAMI'!$B$6))</f>
        <v/>
      </c>
      <c r="F13" s="145" t="str">
        <f>IF($A13="","",COUNTIFS(Sheet1!$H$2:$H$5214,$A13,Sheet1!$N$2:$N$5214,F$4,Sheet1!$F$2:$F$5214,"&gt;="&amp;'SELECCIÓN YAMI'!$B$4,Sheet1!$F$2:$F$5214,"&lt;="&amp;'SELECCIÓN YAMI'!$B$6))</f>
        <v/>
      </c>
      <c r="G13" s="145" t="str">
        <f>IF($A13="","",COUNTIFS(Sheet1!$H$2:$H$5214,$A13,Sheet1!$N$2:$N$5214,G$4,Sheet1!$F$2:$F$5214,"&gt;="&amp;'SELECCIÓN YAMI'!$B$4,Sheet1!$F$2:$F$5214,"&lt;="&amp;'SELECCIÓN YAMI'!$B$6))</f>
        <v/>
      </c>
      <c r="H13" s="145" t="str">
        <f>IF($A13="","",COUNTIFS(Sheet1!$H$2:$H$5214,$A13,Sheet1!$N$2:$N$5214,H$4,Sheet1!$F$2:$F$5214,"&gt;="&amp;'SELECCIÓN YAMI'!$B$4,Sheet1!$F$2:$F$5214,"&lt;="&amp;'SELECCIÓN YAMI'!$B$6))</f>
        <v/>
      </c>
      <c r="I13" s="145" t="str">
        <f>IF($A13="","",COUNTIFS(Sheet1!$H$2:$H$5214,$A13,Sheet1!$N$2:$N$5214,I$4,Sheet1!$F$2:$F$5214,"&gt;="&amp;'SELECCIÓN YAMI'!$B$4,Sheet1!$F$2:$F$5214,"&lt;="&amp;'SELECCIÓN YAMI'!$B$6))</f>
        <v/>
      </c>
      <c r="J13" s="146" t="str">
        <f>IF($A13="","",SUM(B13:I13))</f>
        <v/>
      </c>
      <c r="K13" s="147" t="str">
        <f>IF($A13="","",J13*'SELECCIÓN YAMI'!$B$7)</f>
        <v/>
      </c>
      <c r="L13" s="145" t="str">
        <f>IF($A13="","",COUNTIFS(Sheet1!$H$2:$H$5214,$A13,Sheet1!$N$2:$N$5214,L$4,Sheet1!$F$2:$F$5214,"&gt;="&amp;'SELECCIÓN YAMI'!$B$4,Sheet1!$F$2:$F$5214,"&lt;="&amp;'SELECCIÓN YAMI'!$B$6))</f>
        <v/>
      </c>
      <c r="M13" s="145" t="str">
        <f>IF($A13="","",COUNTIFS(Sheet1!$H$2:$H$5214,$A13,Sheet1!$N$2:$N$5214,M$4,Sheet1!$F$2:$F$5214,"&gt;="&amp;'SELECCIÓN YAMI'!$B$4,Sheet1!$F$2:$F$5214,"&lt;="&amp;'SELECCIÓN YAMI'!$B$6))</f>
        <v/>
      </c>
      <c r="N13" s="145" t="str">
        <f>IF($A13="","",COUNTIFS(Sheet1!$H$2:$H$5214,$A13,Sheet1!$N$2:$N$5214,N$4,Sheet1!$F$2:$F$5214,"&gt;="&amp;'SELECCIÓN YAMI'!$B$4,Sheet1!$F$2:$F$5214,"&lt;="&amp;'SELECCIÓN YAMI'!$B$6))</f>
        <v/>
      </c>
      <c r="O13" s="145" t="str">
        <f>IF($A13="","",COUNTIFS(Sheet1!$H$2:$H$5214,$A13,Sheet1!$F$2:$F$5214,"&gt;="&amp;'SELECCIÓN YAMI'!$B$4,Sheet1!$F$2:$F$5214,"&lt;="&amp;'SELECCIÓN YAMI'!$B$6))</f>
        <v/>
      </c>
    </row>
    <row r="14" spans="1:15">
      <c r="A14" s="144"/>
      <c r="B14" s="145" t="str">
        <f>IF($A14="","",COUNTIFS(Sheet1!$H$2:$H$5214,$A14,Sheet1!$N$2:$N$5214,B$4,Sheet1!$F$2:$F$5214,"&gt;="&amp;'SELECCIÓN YAMI'!$B$4,Sheet1!$F$2:$F$5214,"&lt;="&amp;'SELECCIÓN YAMI'!$B$6))</f>
        <v/>
      </c>
      <c r="C14" s="145" t="str">
        <f>IF($A14="","",COUNTIFS(Sheet1!$H$2:$H$5214,$A14,Sheet1!$N$2:$N$5214,C$4,Sheet1!$F$2:$F$5214,"&gt;="&amp;'SELECCIÓN YAMI'!$B$4,Sheet1!$F$2:$F$5214,"&lt;="&amp;'SELECCIÓN YAMI'!$B$6))</f>
        <v/>
      </c>
      <c r="D14" s="145" t="str">
        <f>IF($A14="","",COUNTIFS(Sheet1!$H$2:$H$5214,$A14,Sheet1!$N$2:$N$5214,D$4,Sheet1!$F$2:$F$5214,"&gt;="&amp;'SELECCIÓN YAMI'!$B$4,Sheet1!$F$2:$F$5214,"&lt;="&amp;'SELECCIÓN YAMI'!$B$6))</f>
        <v/>
      </c>
      <c r="E14" s="145" t="str">
        <f>IF($A14="","",COUNTIFS(Sheet1!$H$2:$H$5214,$A14,Sheet1!$N$2:$N$5214,E$4,Sheet1!$F$2:$F$5214,"&gt;="&amp;'SELECCIÓN YAMI'!$B$4,Sheet1!$F$2:$F$5214,"&lt;="&amp;'SELECCIÓN YAMI'!$B$6))</f>
        <v/>
      </c>
      <c r="F14" s="145" t="str">
        <f>IF($A14="","",COUNTIFS(Sheet1!$H$2:$H$5214,$A14,Sheet1!$N$2:$N$5214,F$4,Sheet1!$F$2:$F$5214,"&gt;="&amp;'SELECCIÓN YAMI'!$B$4,Sheet1!$F$2:$F$5214,"&lt;="&amp;'SELECCIÓN YAMI'!$B$6))</f>
        <v/>
      </c>
      <c r="G14" s="145" t="str">
        <f>IF($A14="","",COUNTIFS(Sheet1!$H$2:$H$5214,$A14,Sheet1!$N$2:$N$5214,G$4,Sheet1!$F$2:$F$5214,"&gt;="&amp;'SELECCIÓN YAMI'!$B$4,Sheet1!$F$2:$F$5214,"&lt;="&amp;'SELECCIÓN YAMI'!$B$6))</f>
        <v/>
      </c>
      <c r="H14" s="145" t="str">
        <f>IF($A14="","",COUNTIFS(Sheet1!$H$2:$H$5214,$A14,Sheet1!$N$2:$N$5214,H$4,Sheet1!$F$2:$F$5214,"&gt;="&amp;'SELECCIÓN YAMI'!$B$4,Sheet1!$F$2:$F$5214,"&lt;="&amp;'SELECCIÓN YAMI'!$B$6))</f>
        <v/>
      </c>
      <c r="I14" s="145" t="str">
        <f>IF($A14="","",COUNTIFS(Sheet1!$H$2:$H$5214,$A14,Sheet1!$N$2:$N$5214,I$4,Sheet1!$F$2:$F$5214,"&gt;="&amp;'SELECCIÓN YAMI'!$B$4,Sheet1!$F$2:$F$5214,"&lt;="&amp;'SELECCIÓN YAMI'!$B$6))</f>
        <v/>
      </c>
      <c r="J14" s="146" t="str">
        <f>IF($A14="","",SUM(B14:I14))</f>
        <v/>
      </c>
      <c r="K14" s="147" t="str">
        <f>IF($A14="","",J14*'SELECCIÓN YAMI'!$B$7)</f>
        <v/>
      </c>
      <c r="L14" s="145" t="str">
        <f>IF($A14="","",COUNTIFS(Sheet1!$H$2:$H$5214,$A14,Sheet1!$N$2:$N$5214,L$4,Sheet1!$F$2:$F$5214,"&gt;="&amp;'SELECCIÓN YAMI'!$B$4,Sheet1!$F$2:$F$5214,"&lt;="&amp;'SELECCIÓN YAMI'!$B$6))</f>
        <v/>
      </c>
      <c r="M14" s="145" t="str">
        <f>IF($A14="","",COUNTIFS(Sheet1!$H$2:$H$5214,$A14,Sheet1!$N$2:$N$5214,M$4,Sheet1!$F$2:$F$5214,"&gt;="&amp;'SELECCIÓN YAMI'!$B$4,Sheet1!$F$2:$F$5214,"&lt;="&amp;'SELECCIÓN YAMI'!$B$6))</f>
        <v/>
      </c>
      <c r="N14" s="145" t="str">
        <f>IF($A14="","",COUNTIFS(Sheet1!$H$2:$H$5214,$A14,Sheet1!$N$2:$N$5214,N$4,Sheet1!$F$2:$F$5214,"&gt;="&amp;'SELECCIÓN YAMI'!$B$4,Sheet1!$F$2:$F$5214,"&lt;="&amp;'SELECCIÓN YAMI'!$B$6))</f>
        <v/>
      </c>
      <c r="O14" s="145" t="str">
        <f>IF($A14="","",COUNTIFS(Sheet1!$H$2:$H$5214,$A14,Sheet1!$F$2:$F$5214,"&gt;="&amp;'SELECCIÓN YAMI'!$B$4,Sheet1!$F$2:$F$5214,"&lt;="&amp;'SELECCIÓN YAMI'!$B$6))</f>
        <v/>
      </c>
    </row>
    <row r="15" spans="1:15">
      <c r="A15" s="144"/>
      <c r="B15" s="145" t="str">
        <f>IF($A15="","",COUNTIFS(Sheet1!$H$2:$H$5214,$A15,Sheet1!$N$2:$N$5214,B$4,Sheet1!$F$2:$F$5214,"&gt;="&amp;'SELECCIÓN YAMI'!$B$4,Sheet1!$F$2:$F$5214,"&lt;="&amp;'SELECCIÓN YAMI'!$B$6))</f>
        <v/>
      </c>
      <c r="C15" s="145" t="str">
        <f>IF($A15="","",COUNTIFS(Sheet1!$H$2:$H$5214,$A15,Sheet1!$N$2:$N$5214,C$4,Sheet1!$F$2:$F$5214,"&gt;="&amp;'SELECCIÓN YAMI'!$B$4,Sheet1!$F$2:$F$5214,"&lt;="&amp;'SELECCIÓN YAMI'!$B$6))</f>
        <v/>
      </c>
      <c r="D15" s="145" t="str">
        <f>IF($A15="","",COUNTIFS(Sheet1!$H$2:$H$5214,$A15,Sheet1!$N$2:$N$5214,D$4,Sheet1!$F$2:$F$5214,"&gt;="&amp;'SELECCIÓN YAMI'!$B$4,Sheet1!$F$2:$F$5214,"&lt;="&amp;'SELECCIÓN YAMI'!$B$6))</f>
        <v/>
      </c>
      <c r="E15" s="145" t="str">
        <f>IF($A15="","",COUNTIFS(Sheet1!$H$2:$H$5214,$A15,Sheet1!$N$2:$N$5214,E$4,Sheet1!$F$2:$F$5214,"&gt;="&amp;'SELECCIÓN YAMI'!$B$4,Sheet1!$F$2:$F$5214,"&lt;="&amp;'SELECCIÓN YAMI'!$B$6))</f>
        <v/>
      </c>
      <c r="F15" s="145" t="str">
        <f>IF($A15="","",COUNTIFS(Sheet1!$H$2:$H$5214,$A15,Sheet1!$N$2:$N$5214,F$4,Sheet1!$F$2:$F$5214,"&gt;="&amp;'SELECCIÓN YAMI'!$B$4,Sheet1!$F$2:$F$5214,"&lt;="&amp;'SELECCIÓN YAMI'!$B$6))</f>
        <v/>
      </c>
      <c r="G15" s="145" t="str">
        <f>IF($A15="","",COUNTIFS(Sheet1!$H$2:$H$5214,$A15,Sheet1!$N$2:$N$5214,G$4,Sheet1!$F$2:$F$5214,"&gt;="&amp;'SELECCIÓN YAMI'!$B$4,Sheet1!$F$2:$F$5214,"&lt;="&amp;'SELECCIÓN YAMI'!$B$6))</f>
        <v/>
      </c>
      <c r="H15" s="145" t="str">
        <f>IF($A15="","",COUNTIFS(Sheet1!$H$2:$H$5214,$A15,Sheet1!$N$2:$N$5214,H$4,Sheet1!$F$2:$F$5214,"&gt;="&amp;'SELECCIÓN YAMI'!$B$4,Sheet1!$F$2:$F$5214,"&lt;="&amp;'SELECCIÓN YAMI'!$B$6))</f>
        <v/>
      </c>
      <c r="I15" s="145" t="str">
        <f>IF($A15="","",COUNTIFS(Sheet1!$H$2:$H$5214,$A15,Sheet1!$N$2:$N$5214,I$4,Sheet1!$F$2:$F$5214,"&gt;="&amp;'SELECCIÓN YAMI'!$B$4,Sheet1!$F$2:$F$5214,"&lt;="&amp;'SELECCIÓN YAMI'!$B$6))</f>
        <v/>
      </c>
      <c r="J15" s="146" t="str">
        <f>IF($A15="","",SUM(B15:I15))</f>
        <v/>
      </c>
      <c r="K15" s="147" t="str">
        <f>IF($A15="","",J15*'SELECCIÓN YAMI'!$B$7)</f>
        <v/>
      </c>
      <c r="L15" s="145" t="str">
        <f>IF($A15="","",COUNTIFS(Sheet1!$H$2:$H$5214,$A15,Sheet1!$N$2:$N$5214,L$4,Sheet1!$F$2:$F$5214,"&gt;="&amp;'SELECCIÓN YAMI'!$B$4,Sheet1!$F$2:$F$5214,"&lt;="&amp;'SELECCIÓN YAMI'!$B$6))</f>
        <v/>
      </c>
      <c r="M15" s="145" t="str">
        <f>IF($A15="","",COUNTIFS(Sheet1!$H$2:$H$5214,$A15,Sheet1!$N$2:$N$5214,M$4,Sheet1!$F$2:$F$5214,"&gt;="&amp;'SELECCIÓN YAMI'!$B$4,Sheet1!$F$2:$F$5214,"&lt;="&amp;'SELECCIÓN YAMI'!$B$6))</f>
        <v/>
      </c>
      <c r="N15" s="145" t="str">
        <f>IF($A15="","",COUNTIFS(Sheet1!$H$2:$H$5214,$A15,Sheet1!$N$2:$N$5214,N$4,Sheet1!$F$2:$F$5214,"&gt;="&amp;'SELECCIÓN YAMI'!$B$4,Sheet1!$F$2:$F$5214,"&lt;="&amp;'SELECCIÓN YAMI'!$B$6))</f>
        <v/>
      </c>
      <c r="O15" s="145" t="str">
        <f>IF($A15="","",COUNTIFS(Sheet1!$H$2:$H$5214,$A15,Sheet1!$F$2:$F$5214,"&gt;="&amp;'SELECCIÓN YAMI'!$B$4,Sheet1!$F$2:$F$5214,"&lt;="&amp;'SELECCIÓN YAMI'!$B$6))</f>
        <v/>
      </c>
    </row>
    <row r="16" spans="1:15">
      <c r="A16" s="144"/>
      <c r="B16" s="145" t="str">
        <f>IF($A16="","",COUNTIFS(Sheet1!$H$2:$H$5214,$A16,Sheet1!$N$2:$N$5214,B$4,Sheet1!$F$2:$F$5214,"&gt;="&amp;'SELECCIÓN YAMI'!$B$4,Sheet1!$F$2:$F$5214,"&lt;="&amp;'SELECCIÓN YAMI'!$B$6))</f>
        <v/>
      </c>
      <c r="C16" s="145" t="str">
        <f>IF($A16="","",COUNTIFS(Sheet1!$H$2:$H$5214,$A16,Sheet1!$N$2:$N$5214,C$4,Sheet1!$F$2:$F$5214,"&gt;="&amp;'SELECCIÓN YAMI'!$B$4,Sheet1!$F$2:$F$5214,"&lt;="&amp;'SELECCIÓN YAMI'!$B$6))</f>
        <v/>
      </c>
      <c r="D16" s="145" t="str">
        <f>IF($A16="","",COUNTIFS(Sheet1!$H$2:$H$5214,$A16,Sheet1!$N$2:$N$5214,D$4,Sheet1!$F$2:$F$5214,"&gt;="&amp;'SELECCIÓN YAMI'!$B$4,Sheet1!$F$2:$F$5214,"&lt;="&amp;'SELECCIÓN YAMI'!$B$6))</f>
        <v/>
      </c>
      <c r="E16" s="145" t="str">
        <f>IF($A16="","",COUNTIFS(Sheet1!$H$2:$H$5214,$A16,Sheet1!$N$2:$N$5214,E$4,Sheet1!$F$2:$F$5214,"&gt;="&amp;'SELECCIÓN YAMI'!$B$4,Sheet1!$F$2:$F$5214,"&lt;="&amp;'SELECCIÓN YAMI'!$B$6))</f>
        <v/>
      </c>
      <c r="F16" s="145" t="str">
        <f>IF($A16="","",COUNTIFS(Sheet1!$H$2:$H$5214,$A16,Sheet1!$N$2:$N$5214,F$4,Sheet1!$F$2:$F$5214,"&gt;="&amp;'SELECCIÓN YAMI'!$B$4,Sheet1!$F$2:$F$5214,"&lt;="&amp;'SELECCIÓN YAMI'!$B$6))</f>
        <v/>
      </c>
      <c r="G16" s="145" t="str">
        <f>IF($A16="","",COUNTIFS(Sheet1!$H$2:$H$5214,$A16,Sheet1!$N$2:$N$5214,G$4,Sheet1!$F$2:$F$5214,"&gt;="&amp;'SELECCIÓN YAMI'!$B$4,Sheet1!$F$2:$F$5214,"&lt;="&amp;'SELECCIÓN YAMI'!$B$6))</f>
        <v/>
      </c>
      <c r="H16" s="145" t="str">
        <f>IF($A16="","",COUNTIFS(Sheet1!$H$2:$H$5214,$A16,Sheet1!$N$2:$N$5214,H$4,Sheet1!$F$2:$F$5214,"&gt;="&amp;'SELECCIÓN YAMI'!$B$4,Sheet1!$F$2:$F$5214,"&lt;="&amp;'SELECCIÓN YAMI'!$B$6))</f>
        <v/>
      </c>
      <c r="I16" s="145" t="str">
        <f>IF($A16="","",COUNTIFS(Sheet1!$H$2:$H$5214,$A16,Sheet1!$N$2:$N$5214,I$4,Sheet1!$F$2:$F$5214,"&gt;="&amp;'SELECCIÓN YAMI'!$B$4,Sheet1!$F$2:$F$5214,"&lt;="&amp;'SELECCIÓN YAMI'!$B$6))</f>
        <v/>
      </c>
      <c r="J16" s="146" t="str">
        <f>IF($A16="","",SUM(B16:I16))</f>
        <v/>
      </c>
      <c r="K16" s="147" t="str">
        <f>IF($A16="","",J16*'SELECCIÓN YAMI'!$B$7)</f>
        <v/>
      </c>
      <c r="L16" s="145" t="str">
        <f>IF($A16="","",COUNTIFS(Sheet1!$H$2:$H$5214,$A16,Sheet1!$N$2:$N$5214,L$4,Sheet1!$F$2:$F$5214,"&gt;="&amp;'SELECCIÓN YAMI'!$B$4,Sheet1!$F$2:$F$5214,"&lt;="&amp;'SELECCIÓN YAMI'!$B$6))</f>
        <v/>
      </c>
      <c r="M16" s="145" t="str">
        <f>IF($A16="","",COUNTIFS(Sheet1!$H$2:$H$5214,$A16,Sheet1!$N$2:$N$5214,M$4,Sheet1!$F$2:$F$5214,"&gt;="&amp;'SELECCIÓN YAMI'!$B$4,Sheet1!$F$2:$F$5214,"&lt;="&amp;'SELECCIÓN YAMI'!$B$6))</f>
        <v/>
      </c>
      <c r="N16" s="145" t="str">
        <f>IF($A16="","",COUNTIFS(Sheet1!$H$2:$H$5214,$A16,Sheet1!$N$2:$N$5214,N$4,Sheet1!$F$2:$F$5214,"&gt;="&amp;'SELECCIÓN YAMI'!$B$4,Sheet1!$F$2:$F$5214,"&lt;="&amp;'SELECCIÓN YAMI'!$B$6))</f>
        <v/>
      </c>
      <c r="O16" s="145" t="str">
        <f>IF($A16="","",COUNTIFS(Sheet1!$H$2:$H$5214,$A16,Sheet1!$F$2:$F$5214,"&gt;="&amp;'SELECCIÓN YAMI'!$B$4,Sheet1!$F$2:$F$5214,"&lt;="&amp;'SELECCIÓN YAMI'!$B$6))</f>
        <v/>
      </c>
    </row>
    <row r="17" spans="1:15">
      <c r="A17" s="144"/>
      <c r="B17" s="145" t="str">
        <f>IF($A17="","",COUNTIFS(Sheet1!$H$2:$H$5214,$A17,Sheet1!$N$2:$N$5214,B$4,Sheet1!$F$2:$F$5214,"&gt;="&amp;'SELECCIÓN YAMI'!$B$4,Sheet1!$F$2:$F$5214,"&lt;="&amp;'SELECCIÓN YAMI'!$B$6))</f>
        <v/>
      </c>
      <c r="C17" s="145" t="str">
        <f>IF($A17="","",COUNTIFS(Sheet1!$H$2:$H$5214,$A17,Sheet1!$N$2:$N$5214,C$4,Sheet1!$F$2:$F$5214,"&gt;="&amp;'SELECCIÓN YAMI'!$B$4,Sheet1!$F$2:$F$5214,"&lt;="&amp;'SELECCIÓN YAMI'!$B$6))</f>
        <v/>
      </c>
      <c r="D17" s="145" t="str">
        <f>IF($A17="","",COUNTIFS(Sheet1!$H$2:$H$5214,$A17,Sheet1!$N$2:$N$5214,D$4,Sheet1!$F$2:$F$5214,"&gt;="&amp;'SELECCIÓN YAMI'!$B$4,Sheet1!$F$2:$F$5214,"&lt;="&amp;'SELECCIÓN YAMI'!$B$6))</f>
        <v/>
      </c>
      <c r="E17" s="145" t="str">
        <f>IF($A17="","",COUNTIFS(Sheet1!$H$2:$H$5214,$A17,Sheet1!$N$2:$N$5214,E$4,Sheet1!$F$2:$F$5214,"&gt;="&amp;'SELECCIÓN YAMI'!$B$4,Sheet1!$F$2:$F$5214,"&lt;="&amp;'SELECCIÓN YAMI'!$B$6))</f>
        <v/>
      </c>
      <c r="F17" s="145" t="str">
        <f>IF($A17="","",COUNTIFS(Sheet1!$H$2:$H$5214,$A17,Sheet1!$N$2:$N$5214,F$4,Sheet1!$F$2:$F$5214,"&gt;="&amp;'SELECCIÓN YAMI'!$B$4,Sheet1!$F$2:$F$5214,"&lt;="&amp;'SELECCIÓN YAMI'!$B$6))</f>
        <v/>
      </c>
      <c r="G17" s="145" t="str">
        <f>IF($A17="","",COUNTIFS(Sheet1!$H$2:$H$5214,$A17,Sheet1!$N$2:$N$5214,G$4,Sheet1!$F$2:$F$5214,"&gt;="&amp;'SELECCIÓN YAMI'!$B$4,Sheet1!$F$2:$F$5214,"&lt;="&amp;'SELECCIÓN YAMI'!$B$6))</f>
        <v/>
      </c>
      <c r="H17" s="145" t="str">
        <f>IF($A17="","",COUNTIFS(Sheet1!$H$2:$H$5214,$A17,Sheet1!$N$2:$N$5214,H$4,Sheet1!$F$2:$F$5214,"&gt;="&amp;'SELECCIÓN YAMI'!$B$4,Sheet1!$F$2:$F$5214,"&lt;="&amp;'SELECCIÓN YAMI'!$B$6))</f>
        <v/>
      </c>
      <c r="I17" s="145" t="str">
        <f>IF($A17="","",COUNTIFS(Sheet1!$H$2:$H$5214,$A17,Sheet1!$N$2:$N$5214,I$4,Sheet1!$F$2:$F$5214,"&gt;="&amp;'SELECCIÓN YAMI'!$B$4,Sheet1!$F$2:$F$5214,"&lt;="&amp;'SELECCIÓN YAMI'!$B$6))</f>
        <v/>
      </c>
      <c r="J17" s="146" t="str">
        <f>IF($A17="","",SUM(B17:I17))</f>
        <v/>
      </c>
      <c r="K17" s="147" t="str">
        <f>IF($A17="","",J17*'SELECCIÓN YAMI'!$B$7)</f>
        <v/>
      </c>
      <c r="L17" s="145" t="str">
        <f>IF($A17="","",COUNTIFS(Sheet1!$H$2:$H$5214,$A17,Sheet1!$N$2:$N$5214,L$4,Sheet1!$F$2:$F$5214,"&gt;="&amp;'SELECCIÓN YAMI'!$B$4,Sheet1!$F$2:$F$5214,"&lt;="&amp;'SELECCIÓN YAMI'!$B$6))</f>
        <v/>
      </c>
      <c r="M17" s="145" t="str">
        <f>IF($A17="","",COUNTIFS(Sheet1!$H$2:$H$5214,$A17,Sheet1!$N$2:$N$5214,M$4,Sheet1!$F$2:$F$5214,"&gt;="&amp;'SELECCIÓN YAMI'!$B$4,Sheet1!$F$2:$F$5214,"&lt;="&amp;'SELECCIÓN YAMI'!$B$6))</f>
        <v/>
      </c>
      <c r="N17" s="145" t="str">
        <f>IF($A17="","",COUNTIFS(Sheet1!$H$2:$H$5214,$A17,Sheet1!$N$2:$N$5214,N$4,Sheet1!$F$2:$F$5214,"&gt;="&amp;'SELECCIÓN YAMI'!$B$4,Sheet1!$F$2:$F$5214,"&lt;="&amp;'SELECCIÓN YAMI'!$B$6))</f>
        <v/>
      </c>
      <c r="O17" s="145" t="str">
        <f>IF($A17="","",COUNTIFS(Sheet1!$H$2:$H$5214,$A17,Sheet1!$F$2:$F$5214,"&gt;="&amp;'SELECCIÓN YAMI'!$B$4,Sheet1!$F$2:$F$5214,"&lt;="&amp;'SELECCIÓN YAMI'!$B$6))</f>
        <v/>
      </c>
    </row>
    <row r="18" spans="1:15">
      <c r="A18" s="144"/>
      <c r="B18" s="145" t="str">
        <f>IF($A18="","",COUNTIFS(Sheet1!$H$2:$H$5214,$A18,Sheet1!$N$2:$N$5214,B$4,Sheet1!$F$2:$F$5214,"&gt;="&amp;'SELECCIÓN YAMI'!$B$4,Sheet1!$F$2:$F$5214,"&lt;="&amp;'SELECCIÓN YAMI'!$B$6))</f>
        <v/>
      </c>
      <c r="C18" s="145" t="str">
        <f>IF($A18="","",COUNTIFS(Sheet1!$H$2:$H$5214,$A18,Sheet1!$N$2:$N$5214,C$4,Sheet1!$F$2:$F$5214,"&gt;="&amp;'SELECCIÓN YAMI'!$B$4,Sheet1!$F$2:$F$5214,"&lt;="&amp;'SELECCIÓN YAMI'!$B$6))</f>
        <v/>
      </c>
      <c r="D18" s="145" t="str">
        <f>IF($A18="","",COUNTIFS(Sheet1!$H$2:$H$5214,$A18,Sheet1!$N$2:$N$5214,D$4,Sheet1!$F$2:$F$5214,"&gt;="&amp;'SELECCIÓN YAMI'!$B$4,Sheet1!$F$2:$F$5214,"&lt;="&amp;'SELECCIÓN YAMI'!$B$6))</f>
        <v/>
      </c>
      <c r="E18" s="145" t="str">
        <f>IF($A18="","",COUNTIFS(Sheet1!$H$2:$H$5214,$A18,Sheet1!$N$2:$N$5214,E$4,Sheet1!$F$2:$F$5214,"&gt;="&amp;'SELECCIÓN YAMI'!$B$4,Sheet1!$F$2:$F$5214,"&lt;="&amp;'SELECCIÓN YAMI'!$B$6))</f>
        <v/>
      </c>
      <c r="F18" s="145" t="str">
        <f>IF($A18="","",COUNTIFS(Sheet1!$H$2:$H$5214,$A18,Sheet1!$N$2:$N$5214,F$4,Sheet1!$F$2:$F$5214,"&gt;="&amp;'SELECCIÓN YAMI'!$B$4,Sheet1!$F$2:$F$5214,"&lt;="&amp;'SELECCIÓN YAMI'!$B$6))</f>
        <v/>
      </c>
      <c r="G18" s="145" t="str">
        <f>IF($A18="","",COUNTIFS(Sheet1!$H$2:$H$5214,$A18,Sheet1!$N$2:$N$5214,G$4,Sheet1!$F$2:$F$5214,"&gt;="&amp;'SELECCIÓN YAMI'!$B$4,Sheet1!$F$2:$F$5214,"&lt;="&amp;'SELECCIÓN YAMI'!$B$6))</f>
        <v/>
      </c>
      <c r="H18" s="145" t="str">
        <f>IF($A18="","",COUNTIFS(Sheet1!$H$2:$H$5214,$A18,Sheet1!$N$2:$N$5214,H$4,Sheet1!$F$2:$F$5214,"&gt;="&amp;'SELECCIÓN YAMI'!$B$4,Sheet1!$F$2:$F$5214,"&lt;="&amp;'SELECCIÓN YAMI'!$B$6))</f>
        <v/>
      </c>
      <c r="I18" s="145" t="str">
        <f>IF($A18="","",COUNTIFS(Sheet1!$H$2:$H$5214,$A18,Sheet1!$N$2:$N$5214,I$4,Sheet1!$F$2:$F$5214,"&gt;="&amp;'SELECCIÓN YAMI'!$B$4,Sheet1!$F$2:$F$5214,"&lt;="&amp;'SELECCIÓN YAMI'!$B$6))</f>
        <v/>
      </c>
      <c r="J18" s="146" t="str">
        <f>IF($A18="","",SUM(B18:I18))</f>
        <v/>
      </c>
      <c r="K18" s="147" t="str">
        <f>IF($A18="","",J18*'SELECCIÓN YAMI'!$B$7)</f>
        <v/>
      </c>
      <c r="L18" s="145" t="str">
        <f>IF($A18="","",COUNTIFS(Sheet1!$H$2:$H$5214,$A18,Sheet1!$N$2:$N$5214,L$4,Sheet1!$F$2:$F$5214,"&gt;="&amp;'SELECCIÓN YAMI'!$B$4,Sheet1!$F$2:$F$5214,"&lt;="&amp;'SELECCIÓN YAMI'!$B$6))</f>
        <v/>
      </c>
      <c r="M18" s="145" t="str">
        <f>IF($A18="","",COUNTIFS(Sheet1!$H$2:$H$5214,$A18,Sheet1!$N$2:$N$5214,M$4,Sheet1!$F$2:$F$5214,"&gt;="&amp;'SELECCIÓN YAMI'!$B$4,Sheet1!$F$2:$F$5214,"&lt;="&amp;'SELECCIÓN YAMI'!$B$6))</f>
        <v/>
      </c>
      <c r="N18" s="145" t="str">
        <f>IF($A18="","",COUNTIFS(Sheet1!$H$2:$H$5214,$A18,Sheet1!$N$2:$N$5214,N$4,Sheet1!$F$2:$F$5214,"&gt;="&amp;'SELECCIÓN YAMI'!$B$4,Sheet1!$F$2:$F$5214,"&lt;="&amp;'SELECCIÓN YAMI'!$B$6))</f>
        <v/>
      </c>
      <c r="O18" s="145" t="str">
        <f>IF($A18="","",COUNTIFS(Sheet1!$H$2:$H$5214,$A18,Sheet1!$F$2:$F$5214,"&gt;="&amp;'SELECCIÓN YAMI'!$B$4,Sheet1!$F$2:$F$5214,"&lt;="&amp;'SELECCIÓN YAMI'!$B$6))</f>
        <v/>
      </c>
    </row>
    <row r="19" spans="1:15">
      <c r="A19" s="144"/>
      <c r="B19" s="145" t="str">
        <f>IF($A19="","",COUNTIFS(Sheet1!$H$2:$H$5214,$A19,Sheet1!$N$2:$N$5214,B$4,Sheet1!$F$2:$F$5214,"&gt;="&amp;'SELECCIÓN YAMI'!$B$4,Sheet1!$F$2:$F$5214,"&lt;="&amp;'SELECCIÓN YAMI'!$B$6))</f>
        <v/>
      </c>
      <c r="C19" s="145" t="str">
        <f>IF($A19="","",COUNTIFS(Sheet1!$H$2:$H$5214,$A19,Sheet1!$N$2:$N$5214,C$4,Sheet1!$F$2:$F$5214,"&gt;="&amp;'SELECCIÓN YAMI'!$B$4,Sheet1!$F$2:$F$5214,"&lt;="&amp;'SELECCIÓN YAMI'!$B$6))</f>
        <v/>
      </c>
      <c r="D19" s="145" t="str">
        <f>IF($A19="","",COUNTIFS(Sheet1!$H$2:$H$5214,$A19,Sheet1!$N$2:$N$5214,D$4,Sheet1!$F$2:$F$5214,"&gt;="&amp;'SELECCIÓN YAMI'!$B$4,Sheet1!$F$2:$F$5214,"&lt;="&amp;'SELECCIÓN YAMI'!$B$6))</f>
        <v/>
      </c>
      <c r="E19" s="145" t="str">
        <f>IF($A19="","",COUNTIFS(Sheet1!$H$2:$H$5214,$A19,Sheet1!$N$2:$N$5214,E$4,Sheet1!$F$2:$F$5214,"&gt;="&amp;'SELECCIÓN YAMI'!$B$4,Sheet1!$F$2:$F$5214,"&lt;="&amp;'SELECCIÓN YAMI'!$B$6))</f>
        <v/>
      </c>
      <c r="F19" s="145" t="str">
        <f>IF($A19="","",COUNTIFS(Sheet1!$H$2:$H$5214,$A19,Sheet1!$N$2:$N$5214,F$4,Sheet1!$F$2:$F$5214,"&gt;="&amp;'SELECCIÓN YAMI'!$B$4,Sheet1!$F$2:$F$5214,"&lt;="&amp;'SELECCIÓN YAMI'!$B$6))</f>
        <v/>
      </c>
      <c r="G19" s="145" t="str">
        <f>IF($A19="","",COUNTIFS(Sheet1!$H$2:$H$5214,$A19,Sheet1!$N$2:$N$5214,G$4,Sheet1!$F$2:$F$5214,"&gt;="&amp;'SELECCIÓN YAMI'!$B$4,Sheet1!$F$2:$F$5214,"&lt;="&amp;'SELECCIÓN YAMI'!$B$6))</f>
        <v/>
      </c>
      <c r="H19" s="145" t="str">
        <f>IF($A19="","",COUNTIFS(Sheet1!$H$2:$H$5214,$A19,Sheet1!$N$2:$N$5214,H$4,Sheet1!$F$2:$F$5214,"&gt;="&amp;'SELECCIÓN YAMI'!$B$4,Sheet1!$F$2:$F$5214,"&lt;="&amp;'SELECCIÓN YAMI'!$B$6))</f>
        <v/>
      </c>
      <c r="I19" s="145" t="str">
        <f>IF($A19="","",COUNTIFS(Sheet1!$H$2:$H$5214,$A19,Sheet1!$N$2:$N$5214,I$4,Sheet1!$F$2:$F$5214,"&gt;="&amp;'SELECCIÓN YAMI'!$B$4,Sheet1!$F$2:$F$5214,"&lt;="&amp;'SELECCIÓN YAMI'!$B$6))</f>
        <v/>
      </c>
      <c r="J19" s="146" t="str">
        <f>IF($A19="","",SUM(B19:I19))</f>
        <v/>
      </c>
      <c r="K19" s="147" t="str">
        <f>IF($A19="","",J19*'SELECCIÓN YAMI'!$B$7)</f>
        <v/>
      </c>
      <c r="L19" s="145" t="str">
        <f>IF($A19="","",COUNTIFS(Sheet1!$H$2:$H$5214,$A19,Sheet1!$N$2:$N$5214,L$4,Sheet1!$F$2:$F$5214,"&gt;="&amp;'SELECCIÓN YAMI'!$B$4,Sheet1!$F$2:$F$5214,"&lt;="&amp;'SELECCIÓN YAMI'!$B$6))</f>
        <v/>
      </c>
      <c r="M19" s="145" t="str">
        <f>IF($A19="","",COUNTIFS(Sheet1!$H$2:$H$5214,$A19,Sheet1!$N$2:$N$5214,M$4,Sheet1!$F$2:$F$5214,"&gt;="&amp;'SELECCIÓN YAMI'!$B$4,Sheet1!$F$2:$F$5214,"&lt;="&amp;'SELECCIÓN YAMI'!$B$6))</f>
        <v/>
      </c>
      <c r="N19" s="145" t="str">
        <f>IF($A19="","",COUNTIFS(Sheet1!$H$2:$H$5214,$A19,Sheet1!$N$2:$N$5214,N$4,Sheet1!$F$2:$F$5214,"&gt;="&amp;'SELECCIÓN YAMI'!$B$4,Sheet1!$F$2:$F$5214,"&lt;="&amp;'SELECCIÓN YAMI'!$B$6))</f>
        <v/>
      </c>
      <c r="O19" s="145" t="str">
        <f>IF($A19="","",COUNTIFS(Sheet1!$H$2:$H$5214,$A19,Sheet1!$F$2:$F$5214,"&gt;="&amp;'SELECCIÓN YAMI'!$B$4,Sheet1!$F$2:$F$5214,"&lt;="&amp;'SELECCIÓN YAMI'!$B$6))</f>
        <v/>
      </c>
    </row>
    <row r="20" spans="1:15">
      <c r="A20" s="144"/>
      <c r="B20" s="145" t="str">
        <f>IF($A20="","",COUNTIFS(Sheet1!$H$2:$H$5214,$A20,Sheet1!$N$2:$N$5214,B$4,Sheet1!$F$2:$F$5214,"&gt;="&amp;'SELECCIÓN YAMI'!$B$4,Sheet1!$F$2:$F$5214,"&lt;="&amp;'SELECCIÓN YAMI'!$B$6))</f>
        <v/>
      </c>
      <c r="C20" s="145" t="str">
        <f>IF($A20="","",COUNTIFS(Sheet1!$H$2:$H$5214,$A20,Sheet1!$N$2:$N$5214,C$4,Sheet1!$F$2:$F$5214,"&gt;="&amp;'SELECCIÓN YAMI'!$B$4,Sheet1!$F$2:$F$5214,"&lt;="&amp;'SELECCIÓN YAMI'!$B$6))</f>
        <v/>
      </c>
      <c r="D20" s="145" t="str">
        <f>IF($A20="","",COUNTIFS(Sheet1!$H$2:$H$5214,$A20,Sheet1!$N$2:$N$5214,D$4,Sheet1!$F$2:$F$5214,"&gt;="&amp;'SELECCIÓN YAMI'!$B$4,Sheet1!$F$2:$F$5214,"&lt;="&amp;'SELECCIÓN YAMI'!$B$6))</f>
        <v/>
      </c>
      <c r="E20" s="145" t="str">
        <f>IF($A20="","",COUNTIFS(Sheet1!$H$2:$H$5214,$A20,Sheet1!$N$2:$N$5214,E$4,Sheet1!$F$2:$F$5214,"&gt;="&amp;'SELECCIÓN YAMI'!$B$4,Sheet1!$F$2:$F$5214,"&lt;="&amp;'SELECCIÓN YAMI'!$B$6))</f>
        <v/>
      </c>
      <c r="F20" s="145" t="str">
        <f>IF($A20="","",COUNTIFS(Sheet1!$H$2:$H$5214,$A20,Sheet1!$N$2:$N$5214,F$4,Sheet1!$F$2:$F$5214,"&gt;="&amp;'SELECCIÓN YAMI'!$B$4,Sheet1!$F$2:$F$5214,"&lt;="&amp;'SELECCIÓN YAMI'!$B$6))</f>
        <v/>
      </c>
      <c r="G20" s="145" t="str">
        <f>IF($A20="","",COUNTIFS(Sheet1!$H$2:$H$5214,$A20,Sheet1!$N$2:$N$5214,G$4,Sheet1!$F$2:$F$5214,"&gt;="&amp;'SELECCIÓN YAMI'!$B$4,Sheet1!$F$2:$F$5214,"&lt;="&amp;'SELECCIÓN YAMI'!$B$6))</f>
        <v/>
      </c>
      <c r="H20" s="145" t="str">
        <f>IF($A20="","",COUNTIFS(Sheet1!$H$2:$H$5214,$A20,Sheet1!$N$2:$N$5214,H$4,Sheet1!$F$2:$F$5214,"&gt;="&amp;'SELECCIÓN YAMI'!$B$4,Sheet1!$F$2:$F$5214,"&lt;="&amp;'SELECCIÓN YAMI'!$B$6))</f>
        <v/>
      </c>
      <c r="I20" s="145" t="str">
        <f>IF($A20="","",COUNTIFS(Sheet1!$H$2:$H$5214,$A20,Sheet1!$N$2:$N$5214,I$4,Sheet1!$F$2:$F$5214,"&gt;="&amp;'SELECCIÓN YAMI'!$B$4,Sheet1!$F$2:$F$5214,"&lt;="&amp;'SELECCIÓN YAMI'!$B$6))</f>
        <v/>
      </c>
      <c r="J20" s="146" t="str">
        <f>IF($A20="","",SUM(B20:I20))</f>
        <v/>
      </c>
      <c r="K20" s="147" t="str">
        <f>IF($A20="","",J20*'SELECCIÓN YAMI'!$B$7)</f>
        <v/>
      </c>
      <c r="L20" s="145" t="str">
        <f>IF($A20="","",COUNTIFS(Sheet1!$H$2:$H$5214,$A20,Sheet1!$N$2:$N$5214,L$4,Sheet1!$F$2:$F$5214,"&gt;="&amp;'SELECCIÓN YAMI'!$B$4,Sheet1!$F$2:$F$5214,"&lt;="&amp;'SELECCIÓN YAMI'!$B$6))</f>
        <v/>
      </c>
      <c r="M20" s="145" t="str">
        <f>IF($A20="","",COUNTIFS(Sheet1!$H$2:$H$5214,$A20,Sheet1!$N$2:$N$5214,M$4,Sheet1!$F$2:$F$5214,"&gt;="&amp;'SELECCIÓN YAMI'!$B$4,Sheet1!$F$2:$F$5214,"&lt;="&amp;'SELECCIÓN YAMI'!$B$6))</f>
        <v/>
      </c>
      <c r="N20" s="145" t="str">
        <f>IF($A20="","",COUNTIFS(Sheet1!$H$2:$H$5214,$A20,Sheet1!$N$2:$N$5214,N$4,Sheet1!$F$2:$F$5214,"&gt;="&amp;'SELECCIÓN YAMI'!$B$4,Sheet1!$F$2:$F$5214,"&lt;="&amp;'SELECCIÓN YAMI'!$B$6))</f>
        <v/>
      </c>
      <c r="O20" s="145" t="str">
        <f>IF($A20="","",COUNTIFS(Sheet1!$H$2:$H$5214,$A20,Sheet1!$F$2:$F$5214,"&gt;="&amp;'SELECCIÓN YAMI'!$B$4,Sheet1!$F$2:$F$5214,"&lt;="&amp;'SELECCIÓN YAMI'!$B$6))</f>
        <v/>
      </c>
    </row>
    <row r="21" spans="1:15">
      <c r="A21" s="144"/>
      <c r="B21" s="145" t="str">
        <f>IF($A21="","",COUNTIFS(Sheet1!$H$2:$H$5214,$A21,Sheet1!$N$2:$N$5214,B$4,Sheet1!$F$2:$F$5214,"&gt;="&amp;'SELECCIÓN YAMI'!$B$4,Sheet1!$F$2:$F$5214,"&lt;="&amp;'SELECCIÓN YAMI'!$B$6))</f>
        <v/>
      </c>
      <c r="C21" s="145" t="str">
        <f>IF($A21="","",COUNTIFS(Sheet1!$H$2:$H$5214,$A21,Sheet1!$N$2:$N$5214,C$4,Sheet1!$F$2:$F$5214,"&gt;="&amp;'SELECCIÓN YAMI'!$B$4,Sheet1!$F$2:$F$5214,"&lt;="&amp;'SELECCIÓN YAMI'!$B$6))</f>
        <v/>
      </c>
      <c r="D21" s="145" t="str">
        <f>IF($A21="","",COUNTIFS(Sheet1!$H$2:$H$5214,$A21,Sheet1!$N$2:$N$5214,D$4,Sheet1!$F$2:$F$5214,"&gt;="&amp;'SELECCIÓN YAMI'!$B$4,Sheet1!$F$2:$F$5214,"&lt;="&amp;'SELECCIÓN YAMI'!$B$6))</f>
        <v/>
      </c>
      <c r="E21" s="145" t="str">
        <f>IF($A21="","",COUNTIFS(Sheet1!$H$2:$H$5214,$A21,Sheet1!$N$2:$N$5214,E$4,Sheet1!$F$2:$F$5214,"&gt;="&amp;'SELECCIÓN YAMI'!$B$4,Sheet1!$F$2:$F$5214,"&lt;="&amp;'SELECCIÓN YAMI'!$B$6))</f>
        <v/>
      </c>
      <c r="F21" s="145" t="str">
        <f>IF($A21="","",COUNTIFS(Sheet1!$H$2:$H$5214,$A21,Sheet1!$N$2:$N$5214,F$4,Sheet1!$F$2:$F$5214,"&gt;="&amp;'SELECCIÓN YAMI'!$B$4,Sheet1!$F$2:$F$5214,"&lt;="&amp;'SELECCIÓN YAMI'!$B$6))</f>
        <v/>
      </c>
      <c r="G21" s="145" t="str">
        <f>IF($A21="","",COUNTIFS(Sheet1!$H$2:$H$5214,$A21,Sheet1!$N$2:$N$5214,G$4,Sheet1!$F$2:$F$5214,"&gt;="&amp;'SELECCIÓN YAMI'!$B$4,Sheet1!$F$2:$F$5214,"&lt;="&amp;'SELECCIÓN YAMI'!$B$6))</f>
        <v/>
      </c>
      <c r="H21" s="145" t="str">
        <f>IF($A21="","",COUNTIFS(Sheet1!$H$2:$H$5214,$A21,Sheet1!$N$2:$N$5214,H$4,Sheet1!$F$2:$F$5214,"&gt;="&amp;'SELECCIÓN YAMI'!$B$4,Sheet1!$F$2:$F$5214,"&lt;="&amp;'SELECCIÓN YAMI'!$B$6))</f>
        <v/>
      </c>
      <c r="I21" s="145" t="str">
        <f>IF($A21="","",COUNTIFS(Sheet1!$H$2:$H$5214,$A21,Sheet1!$N$2:$N$5214,I$4,Sheet1!$F$2:$F$5214,"&gt;="&amp;'SELECCIÓN YAMI'!$B$4,Sheet1!$F$2:$F$5214,"&lt;="&amp;'SELECCIÓN YAMI'!$B$6))</f>
        <v/>
      </c>
      <c r="J21" s="146" t="str">
        <f>IF($A21="","",SUM(B21:I21))</f>
        <v/>
      </c>
      <c r="K21" s="147" t="str">
        <f>IF($A21="","",J21*'SELECCIÓN YAMI'!$B$7)</f>
        <v/>
      </c>
      <c r="L21" s="145" t="str">
        <f>IF($A21="","",COUNTIFS(Sheet1!$H$2:$H$5214,$A21,Sheet1!$N$2:$N$5214,L$4,Sheet1!$F$2:$F$5214,"&gt;="&amp;'SELECCIÓN YAMI'!$B$4,Sheet1!$F$2:$F$5214,"&lt;="&amp;'SELECCIÓN YAMI'!$B$6))</f>
        <v/>
      </c>
      <c r="M21" s="145" t="str">
        <f>IF($A21="","",COUNTIFS(Sheet1!$H$2:$H$5214,$A21,Sheet1!$N$2:$N$5214,M$4,Sheet1!$F$2:$F$5214,"&gt;="&amp;'SELECCIÓN YAMI'!$B$4,Sheet1!$F$2:$F$5214,"&lt;="&amp;'SELECCIÓN YAMI'!$B$6))</f>
        <v/>
      </c>
      <c r="N21" s="145" t="str">
        <f>IF($A21="","",COUNTIFS(Sheet1!$H$2:$H$5214,$A21,Sheet1!$N$2:$N$5214,N$4,Sheet1!$F$2:$F$5214,"&gt;="&amp;'SELECCIÓN YAMI'!$B$4,Sheet1!$F$2:$F$5214,"&lt;="&amp;'SELECCIÓN YAMI'!$B$6))</f>
        <v/>
      </c>
      <c r="O21" s="145" t="str">
        <f>IF($A21="","",COUNTIFS(Sheet1!$H$2:$H$5214,$A21,Sheet1!$F$2:$F$5214,"&gt;="&amp;'SELECCIÓN YAMI'!$B$4,Sheet1!$F$2:$F$5214,"&lt;="&amp;'SELECCIÓN YAMI'!$B$6))</f>
        <v/>
      </c>
    </row>
    <row r="22" spans="1:15">
      <c r="A22" s="144"/>
      <c r="B22" s="145" t="str">
        <f>IF($A22="","",COUNTIFS(Sheet1!$H$2:$H$5214,$A22,Sheet1!$N$2:$N$5214,B$4,Sheet1!$F$2:$F$5214,"&gt;="&amp;'SELECCIÓN YAMI'!$B$4,Sheet1!$F$2:$F$5214,"&lt;="&amp;'SELECCIÓN YAMI'!$B$6))</f>
        <v/>
      </c>
      <c r="C22" s="145" t="str">
        <f>IF($A22="","",COUNTIFS(Sheet1!$H$2:$H$5214,$A22,Sheet1!$N$2:$N$5214,C$4,Sheet1!$F$2:$F$5214,"&gt;="&amp;'SELECCIÓN YAMI'!$B$4,Sheet1!$F$2:$F$5214,"&lt;="&amp;'SELECCIÓN YAMI'!$B$6))</f>
        <v/>
      </c>
      <c r="D22" s="145" t="str">
        <f>IF($A22="","",COUNTIFS(Sheet1!$H$2:$H$5214,$A22,Sheet1!$N$2:$N$5214,D$4,Sheet1!$F$2:$F$5214,"&gt;="&amp;'SELECCIÓN YAMI'!$B$4,Sheet1!$F$2:$F$5214,"&lt;="&amp;'SELECCIÓN YAMI'!$B$6))</f>
        <v/>
      </c>
      <c r="E22" s="145" t="str">
        <f>IF($A22="","",COUNTIFS(Sheet1!$H$2:$H$5214,$A22,Sheet1!$N$2:$N$5214,E$4,Sheet1!$F$2:$F$5214,"&gt;="&amp;'SELECCIÓN YAMI'!$B$4,Sheet1!$F$2:$F$5214,"&lt;="&amp;'SELECCIÓN YAMI'!$B$6))</f>
        <v/>
      </c>
      <c r="F22" s="145" t="str">
        <f>IF($A22="","",COUNTIFS(Sheet1!$H$2:$H$5214,$A22,Sheet1!$N$2:$N$5214,F$4,Sheet1!$F$2:$F$5214,"&gt;="&amp;'SELECCIÓN YAMI'!$B$4,Sheet1!$F$2:$F$5214,"&lt;="&amp;'SELECCIÓN YAMI'!$B$6))</f>
        <v/>
      </c>
      <c r="G22" s="145" t="str">
        <f>IF($A22="","",COUNTIFS(Sheet1!$H$2:$H$5214,$A22,Sheet1!$N$2:$N$5214,G$4,Sheet1!$F$2:$F$5214,"&gt;="&amp;'SELECCIÓN YAMI'!$B$4,Sheet1!$F$2:$F$5214,"&lt;="&amp;'SELECCIÓN YAMI'!$B$6))</f>
        <v/>
      </c>
      <c r="H22" s="145" t="str">
        <f>IF($A22="","",COUNTIFS(Sheet1!$H$2:$H$5214,$A22,Sheet1!$N$2:$N$5214,H$4,Sheet1!$F$2:$F$5214,"&gt;="&amp;'SELECCIÓN YAMI'!$B$4,Sheet1!$F$2:$F$5214,"&lt;="&amp;'SELECCIÓN YAMI'!$B$6))</f>
        <v/>
      </c>
      <c r="I22" s="145" t="str">
        <f>IF($A22="","",COUNTIFS(Sheet1!$H$2:$H$5214,$A22,Sheet1!$N$2:$N$5214,I$4,Sheet1!$F$2:$F$5214,"&gt;="&amp;'SELECCIÓN YAMI'!$B$4,Sheet1!$F$2:$F$5214,"&lt;="&amp;'SELECCIÓN YAMI'!$B$6))</f>
        <v/>
      </c>
      <c r="J22" s="146" t="str">
        <f>IF($A22="","",SUM(B22:I22))</f>
        <v/>
      </c>
      <c r="K22" s="147" t="str">
        <f>IF($A22="","",J22*'SELECCIÓN YAMI'!$B$7)</f>
        <v/>
      </c>
      <c r="L22" s="145" t="str">
        <f>IF($A22="","",COUNTIFS(Sheet1!$H$2:$H$5214,$A22,Sheet1!$N$2:$N$5214,L$4,Sheet1!$F$2:$F$5214,"&gt;="&amp;'SELECCIÓN YAMI'!$B$4,Sheet1!$F$2:$F$5214,"&lt;="&amp;'SELECCIÓN YAMI'!$B$6))</f>
        <v/>
      </c>
      <c r="M22" s="145" t="str">
        <f>IF($A22="","",COUNTIFS(Sheet1!$H$2:$H$5214,$A22,Sheet1!$N$2:$N$5214,M$4,Sheet1!$F$2:$F$5214,"&gt;="&amp;'SELECCIÓN YAMI'!$B$4,Sheet1!$F$2:$F$5214,"&lt;="&amp;'SELECCIÓN YAMI'!$B$6))</f>
        <v/>
      </c>
      <c r="N22" s="145" t="str">
        <f>IF($A22="","",COUNTIFS(Sheet1!$H$2:$H$5214,$A22,Sheet1!$N$2:$N$5214,N$4,Sheet1!$F$2:$F$5214,"&gt;="&amp;'SELECCIÓN YAMI'!$B$4,Sheet1!$F$2:$F$5214,"&lt;="&amp;'SELECCIÓN YAMI'!$B$6))</f>
        <v/>
      </c>
      <c r="O22" s="145" t="str">
        <f>IF($A22="","",COUNTIFS(Sheet1!$H$2:$H$5214,$A22,Sheet1!$F$2:$F$5214,"&gt;="&amp;'SELECCIÓN YAMI'!$B$4,Sheet1!$F$2:$F$5214,"&lt;="&amp;'SELECCIÓN YAMI'!$B$6))</f>
        <v/>
      </c>
    </row>
    <row r="23" spans="1:15">
      <c r="A23" s="144"/>
      <c r="B23" s="145" t="str">
        <f>IF($A23="","",COUNTIFS(Sheet1!$H$2:$H$5214,$A23,Sheet1!$N$2:$N$5214,B$4,Sheet1!$F$2:$F$5214,"&gt;="&amp;'SELECCIÓN YAMI'!$B$4,Sheet1!$F$2:$F$5214,"&lt;="&amp;'SELECCIÓN YAMI'!$B$6))</f>
        <v/>
      </c>
      <c r="C23" s="145" t="str">
        <f>IF($A23="","",COUNTIFS(Sheet1!$H$2:$H$5214,$A23,Sheet1!$N$2:$N$5214,C$4,Sheet1!$F$2:$F$5214,"&gt;="&amp;'SELECCIÓN YAMI'!$B$4,Sheet1!$F$2:$F$5214,"&lt;="&amp;'SELECCIÓN YAMI'!$B$6))</f>
        <v/>
      </c>
      <c r="D23" s="145"/>
      <c r="E23" s="145" t="str">
        <f>IF($A23="","",COUNTIFS(Sheet1!$H$2:$H$5214,$A23,Sheet1!$N$2:$N$5214,E$4,Sheet1!$F$2:$F$5214,"&gt;="&amp;'SELECCIÓN YAMI'!$B$4,Sheet1!$F$2:$F$5214,"&lt;="&amp;'SELECCIÓN YAMI'!$B$6))</f>
        <v/>
      </c>
      <c r="F23" s="145" t="str">
        <f>IF($A23="","",COUNTIFS(Sheet1!$H$2:$H$5214,$A23,Sheet1!$N$2:$N$5214,F$4,Sheet1!$F$2:$F$5214,"&gt;="&amp;'SELECCIÓN YAMI'!$B$4,Sheet1!$F$2:$F$5214,"&lt;="&amp;'SELECCIÓN YAMI'!$B$6))</f>
        <v/>
      </c>
      <c r="G23" s="145" t="str">
        <f>IF($A23="","",COUNTIFS(Sheet1!$H$2:$H$5214,$A23,Sheet1!$N$2:$N$5214,G$4,Sheet1!$F$2:$F$5214,"&gt;="&amp;'SELECCIÓN YAMI'!$B$4,Sheet1!$F$2:$F$5214,"&lt;="&amp;'SELECCIÓN YAMI'!$B$6))</f>
        <v/>
      </c>
      <c r="H23" s="145" t="str">
        <f>IF($A23="","",COUNTIFS(Sheet1!$H$2:$H$5214,$A23,Sheet1!$N$2:$N$5214,H$4,Sheet1!$F$2:$F$5214,"&gt;="&amp;'SELECCIÓN YAMI'!$B$4,Sheet1!$F$2:$F$5214,"&lt;="&amp;'SELECCIÓN YAMI'!$B$6))</f>
        <v/>
      </c>
      <c r="I23" s="145" t="str">
        <f>IF($A23="","",COUNTIFS(Sheet1!$H$2:$H$5214,$A23,Sheet1!$N$2:$N$5214,I$4,Sheet1!$F$2:$F$5214,"&gt;="&amp;'SELECCIÓN YAMI'!$B$4,Sheet1!$F$2:$F$5214,"&lt;="&amp;'SELECCIÓN YAMI'!$B$6))</f>
        <v/>
      </c>
      <c r="J23" s="146" t="str">
        <f>IF($A23="","",SUM(B23:I23))</f>
        <v/>
      </c>
      <c r="K23" s="147" t="str">
        <f>IF($A23="","",J23*'SELECCIÓN YAMI'!$B$7)</f>
        <v/>
      </c>
      <c r="L23" s="145" t="str">
        <f>IF($A23="","",COUNTIFS(Sheet1!$H$2:$H$5214,$A23,Sheet1!$N$2:$N$5214,L$4,Sheet1!$F$2:$F$5214,"&gt;="&amp;'SELECCIÓN YAMI'!$B$4,Sheet1!$F$2:$F$5214,"&lt;="&amp;'SELECCIÓN YAMI'!$B$6))</f>
        <v/>
      </c>
      <c r="M23" s="145" t="str">
        <f>IF($A23="","",COUNTIFS(Sheet1!$H$2:$H$5214,$A23,Sheet1!$N$2:$N$5214,M$4,Sheet1!$F$2:$F$5214,"&gt;="&amp;'SELECCIÓN YAMI'!$B$4,Sheet1!$F$2:$F$5214,"&lt;="&amp;'SELECCIÓN YAMI'!$B$6))</f>
        <v/>
      </c>
      <c r="N23" s="145" t="str">
        <f>IF($A23="","",COUNTIFS(Sheet1!$H$2:$H$5214,$A23,Sheet1!$N$2:$N$5214,N$4,Sheet1!$F$2:$F$5214,"&gt;="&amp;'SELECCIÓN YAMI'!$B$4,Sheet1!$F$2:$F$5214,"&lt;="&amp;'SELECCIÓN YAMI'!$B$6))</f>
        <v/>
      </c>
      <c r="O23" s="145" t="str">
        <f>IF($A23="","",COUNTIFS(Sheet1!$H$2:$H$5214,$A23,Sheet1!$F$2:$F$5214,"&gt;="&amp;'SELECCIÓN YAMI'!$B$4,Sheet1!$F$2:$F$5214,"&lt;="&amp;'SELECCIÓN YAMI'!$B$6))</f>
        <v/>
      </c>
    </row>
    <row r="24" spans="1:15">
      <c r="A24" s="144"/>
      <c r="B24" s="145" t="str">
        <f>IF($A24="","",COUNTIFS(Sheet1!$H$2:$H$5214,$A24,Sheet1!$N$2:$N$5214,B$4,Sheet1!$F$2:$F$5214,"&gt;="&amp;'SELECCIÓN YAMI'!$B$4,Sheet1!$F$2:$F$5214,"&lt;="&amp;'SELECCIÓN YAMI'!$B$6))</f>
        <v/>
      </c>
      <c r="C24" s="145" t="str">
        <f>IF($A24="","",COUNTIFS(Sheet1!$H$2:$H$5214,$A24,Sheet1!$N$2:$N$5214,C$4,Sheet1!$F$2:$F$5214,"&gt;="&amp;'SELECCIÓN YAMI'!$B$4,Sheet1!$F$2:$F$5214,"&lt;="&amp;'SELECCIÓN YAMI'!$B$6))</f>
        <v/>
      </c>
      <c r="D24" s="145" t="str">
        <f>IF($A24="","",COUNTIFS(Sheet1!$H$2:$H$5214,$A24,Sheet1!$N$2:$N$5214,D$4,Sheet1!$F$2:$F$5214,"&gt;="&amp;'SELECCIÓN YAMI'!$B$4,Sheet1!$F$2:$F$5214,"&lt;="&amp;'SELECCIÓN YAMI'!$B$6))</f>
        <v/>
      </c>
      <c r="E24" s="145" t="str">
        <f>IF($A24="","",COUNTIFS(Sheet1!$H$2:$H$5214,$A24,Sheet1!$N$2:$N$5214,E$4,Sheet1!$F$2:$F$5214,"&gt;="&amp;'SELECCIÓN YAMI'!$B$4,Sheet1!$F$2:$F$5214,"&lt;="&amp;'SELECCIÓN YAMI'!$B$6))</f>
        <v/>
      </c>
      <c r="F24" s="145" t="str">
        <f>IF($A24="","",COUNTIFS(Sheet1!$H$2:$H$5214,$A24,Sheet1!$N$2:$N$5214,F$4,Sheet1!$F$2:$F$5214,"&gt;="&amp;'SELECCIÓN YAMI'!$B$4,Sheet1!$F$2:$F$5214,"&lt;="&amp;'SELECCIÓN YAMI'!$B$6))</f>
        <v/>
      </c>
      <c r="G24" s="145" t="str">
        <f>IF($A24="","",COUNTIFS(Sheet1!$H$2:$H$5214,$A24,Sheet1!$N$2:$N$5214,G$4,Sheet1!$F$2:$F$5214,"&gt;="&amp;'SELECCIÓN YAMI'!$B$4,Sheet1!$F$2:$F$5214,"&lt;="&amp;'SELECCIÓN YAMI'!$B$6))</f>
        <v/>
      </c>
      <c r="H24" s="145" t="str">
        <f>IF($A24="","",COUNTIFS(Sheet1!$H$2:$H$5214,$A24,Sheet1!$N$2:$N$5214,H$4,Sheet1!$F$2:$F$5214,"&gt;="&amp;'SELECCIÓN YAMI'!$B$4,Sheet1!$F$2:$F$5214,"&lt;="&amp;'SELECCIÓN YAMI'!$B$6))</f>
        <v/>
      </c>
      <c r="I24" s="145" t="str">
        <f>IF($A24="","",COUNTIFS(Sheet1!$H$2:$H$5214,$A24,Sheet1!$N$2:$N$5214,I$4,Sheet1!$F$2:$F$5214,"&gt;="&amp;'SELECCIÓN YAMI'!$B$4,Sheet1!$F$2:$F$5214,"&lt;="&amp;'SELECCIÓN YAMI'!$B$6))</f>
        <v/>
      </c>
      <c r="J24" s="146" t="str">
        <f>IF($A24="","",SUM(B24:I24))</f>
        <v/>
      </c>
      <c r="K24" s="147" t="str">
        <f>IF($A24="","",J24*'SELECCIÓN YAMI'!$B$7)</f>
        <v/>
      </c>
      <c r="L24" s="145" t="str">
        <f>IF($A24="","",COUNTIFS(Sheet1!$H$2:$H$5214,$A24,Sheet1!$N$2:$N$5214,L$4,Sheet1!$F$2:$F$5214,"&gt;="&amp;'SELECCIÓN YAMI'!$B$4,Sheet1!$F$2:$F$5214,"&lt;="&amp;'SELECCIÓN YAMI'!$B$6))</f>
        <v/>
      </c>
      <c r="M24" s="145" t="str">
        <f>IF($A24="","",COUNTIFS(Sheet1!$H$2:$H$5214,$A24,Sheet1!$N$2:$N$5214,M$4,Sheet1!$F$2:$F$5214,"&gt;="&amp;'SELECCIÓN YAMI'!$B$4,Sheet1!$F$2:$F$5214,"&lt;="&amp;'SELECCIÓN YAMI'!$B$6))</f>
        <v/>
      </c>
      <c r="N24" s="145" t="str">
        <f>IF($A24="","",COUNTIFS(Sheet1!$H$2:$H$5214,$A24,Sheet1!$N$2:$N$5214,N$4,Sheet1!$F$2:$F$5214,"&gt;="&amp;'SELECCIÓN YAMI'!$B$4,Sheet1!$F$2:$F$5214,"&lt;="&amp;'SELECCIÓN YAMI'!$B$6))</f>
        <v/>
      </c>
      <c r="O24" s="145" t="str">
        <f>IF($A24="","",COUNTIFS(Sheet1!$H$2:$H$5214,$A24,Sheet1!$F$2:$F$5214,"&gt;="&amp;'SELECCIÓN YAMI'!$B$4,Sheet1!$F$2:$F$5214,"&lt;="&amp;'SELECCIÓN YAMI'!$B$6))</f>
        <v/>
      </c>
    </row>
    <row r="25" spans="1:15">
      <c r="A25" s="144"/>
      <c r="B25" s="145" t="str">
        <f>IF($A25="","",COUNTIFS(Sheet1!$H$2:$H$5214,$A25,Sheet1!$N$2:$N$5214,B$4,Sheet1!$F$2:$F$5214,"&gt;="&amp;'SELECCIÓN YAMI'!$B$4,Sheet1!$F$2:$F$5214,"&lt;="&amp;'SELECCIÓN YAMI'!$B$6))</f>
        <v/>
      </c>
      <c r="C25" s="145" t="str">
        <f>IF($A25="","",COUNTIFS(Sheet1!$H$2:$H$5214,$A25,Sheet1!$N$2:$N$5214,C$4,Sheet1!$F$2:$F$5214,"&gt;="&amp;'SELECCIÓN YAMI'!$B$4,Sheet1!$F$2:$F$5214,"&lt;="&amp;'SELECCIÓN YAMI'!$B$6))</f>
        <v/>
      </c>
      <c r="D25" s="145" t="str">
        <f>IF($A25="","",COUNTIFS(Sheet1!$H$2:$H$5214,$A25,Sheet1!$N$2:$N$5214,D$4,Sheet1!$F$2:$F$5214,"&gt;="&amp;'SELECCIÓN YAMI'!$B$4,Sheet1!$F$2:$F$5214,"&lt;="&amp;'SELECCIÓN YAMI'!$B$6))</f>
        <v/>
      </c>
      <c r="E25" s="145" t="str">
        <f>IF($A25="","",COUNTIFS(Sheet1!$H$2:$H$5214,$A25,Sheet1!$N$2:$N$5214,E$4,Sheet1!$F$2:$F$5214,"&gt;="&amp;'SELECCIÓN YAMI'!$B$4,Sheet1!$F$2:$F$5214,"&lt;="&amp;'SELECCIÓN YAMI'!$B$6))</f>
        <v/>
      </c>
      <c r="F25" s="145" t="str">
        <f>IF($A25="","",COUNTIFS(Sheet1!$H$2:$H$5214,$A25,Sheet1!$N$2:$N$5214,F$4,Sheet1!$F$2:$F$5214,"&gt;="&amp;'SELECCIÓN YAMI'!$B$4,Sheet1!$F$2:$F$5214,"&lt;="&amp;'SELECCIÓN YAMI'!$B$6))</f>
        <v/>
      </c>
      <c r="G25" s="145" t="str">
        <f>IF($A25="","",COUNTIFS(Sheet1!$H$2:$H$5214,$A25,Sheet1!$N$2:$N$5214,G$4,Sheet1!$F$2:$F$5214,"&gt;="&amp;'SELECCIÓN YAMI'!$B$4,Sheet1!$F$2:$F$5214,"&lt;="&amp;'SELECCIÓN YAMI'!$B$6))</f>
        <v/>
      </c>
      <c r="H25" s="145" t="str">
        <f>IF($A25="","",COUNTIFS(Sheet1!$H$2:$H$5214,$A25,Sheet1!$N$2:$N$5214,H$4,Sheet1!$F$2:$F$5214,"&gt;="&amp;'SELECCIÓN YAMI'!$B$4,Sheet1!$F$2:$F$5214,"&lt;="&amp;'SELECCIÓN YAMI'!$B$6))</f>
        <v/>
      </c>
      <c r="I25" s="145" t="str">
        <f>IF($A25="","",COUNTIFS(Sheet1!$H$2:$H$5214,$A25,Sheet1!$N$2:$N$5214,I$4,Sheet1!$F$2:$F$5214,"&gt;="&amp;'SELECCIÓN YAMI'!$B$4,Sheet1!$F$2:$F$5214,"&lt;="&amp;'SELECCIÓN YAMI'!$B$6))</f>
        <v/>
      </c>
      <c r="J25" s="146" t="str">
        <f>IF($A25="","",SUM(B25:I25))</f>
        <v/>
      </c>
      <c r="K25" s="147" t="str">
        <f>IF($A25="","",J25*'SELECCIÓN YAMI'!$B$7)</f>
        <v/>
      </c>
      <c r="L25" s="145" t="str">
        <f>IF($A25="","",COUNTIFS(Sheet1!$H$2:$H$5214,$A25,Sheet1!$N$2:$N$5214,L$4,Sheet1!$F$2:$F$5214,"&gt;="&amp;'SELECCIÓN YAMI'!$B$4,Sheet1!$F$2:$F$5214,"&lt;="&amp;'SELECCIÓN YAMI'!$B$6))</f>
        <v/>
      </c>
      <c r="M25" s="145" t="str">
        <f>IF($A25="","",COUNTIFS(Sheet1!$H$2:$H$5214,$A25,Sheet1!$N$2:$N$5214,M$4,Sheet1!$F$2:$F$5214,"&gt;="&amp;'SELECCIÓN YAMI'!$B$4,Sheet1!$F$2:$F$5214,"&lt;="&amp;'SELECCIÓN YAMI'!$B$6))</f>
        <v/>
      </c>
      <c r="N25" s="145" t="str">
        <f>IF($A25="","",COUNTIFS(Sheet1!$H$2:$H$5214,$A25,Sheet1!$N$2:$N$5214,N$4,Sheet1!$F$2:$F$5214,"&gt;="&amp;'SELECCIÓN YAMI'!$B$4,Sheet1!$F$2:$F$5214,"&lt;="&amp;'SELECCIÓN YAMI'!$B$6))</f>
        <v/>
      </c>
      <c r="O25" s="145" t="str">
        <f>IF($A25="","",COUNTIFS(Sheet1!$H$2:$H$5214,$A25,Sheet1!$F$2:$F$5214,"&gt;="&amp;'SELECCIÓN YAMI'!$B$4,Sheet1!$F$2:$F$5214,"&lt;="&amp;'SELECCIÓN YAMI'!$B$6))</f>
        <v/>
      </c>
    </row>
    <row r="26" spans="1:15">
      <c r="A26" s="144"/>
      <c r="B26" s="145" t="str">
        <f>IF($A26="","",COUNTIFS(Sheet1!$H$2:$H$5214,$A26,Sheet1!$N$2:$N$5214,B$4,Sheet1!$F$2:$F$5214,"&gt;="&amp;'SELECCIÓN YAMI'!$B$4,Sheet1!$F$2:$F$5214,"&lt;="&amp;'SELECCIÓN YAMI'!$B$6))</f>
        <v/>
      </c>
      <c r="C26" s="145" t="str">
        <f>IF($A26="","",COUNTIFS(Sheet1!$H$2:$H$5214,$A26,Sheet1!$N$2:$N$5214,C$4,Sheet1!$F$2:$F$5214,"&gt;="&amp;'SELECCIÓN YAMI'!$B$4,Sheet1!$F$2:$F$5214,"&lt;="&amp;'SELECCIÓN YAMI'!$B$6))</f>
        <v/>
      </c>
      <c r="D26" s="145" t="str">
        <f>IF($A26="","",COUNTIFS(Sheet1!$H$2:$H$5214,$A26,Sheet1!$N$2:$N$5214,D$4,Sheet1!$F$2:$F$5214,"&gt;="&amp;'SELECCIÓN YAMI'!$B$4,Sheet1!$F$2:$F$5214,"&lt;="&amp;'SELECCIÓN YAMI'!$B$6))</f>
        <v/>
      </c>
      <c r="E26" s="145" t="str">
        <f>IF($A26="","",COUNTIFS(Sheet1!$H$2:$H$5214,$A26,Sheet1!$N$2:$N$5214,E$4,Sheet1!$F$2:$F$5214,"&gt;="&amp;'SELECCIÓN YAMI'!$B$4,Sheet1!$F$2:$F$5214,"&lt;="&amp;'SELECCIÓN YAMI'!$B$6))</f>
        <v/>
      </c>
      <c r="F26" s="145" t="str">
        <f>IF($A26="","",COUNTIFS(Sheet1!$H$2:$H$5214,$A26,Sheet1!$N$2:$N$5214,F$4,Sheet1!$F$2:$F$5214,"&gt;="&amp;'SELECCIÓN YAMI'!$B$4,Sheet1!$F$2:$F$5214,"&lt;="&amp;'SELECCIÓN YAMI'!$B$6))</f>
        <v/>
      </c>
      <c r="G26" s="145" t="str">
        <f>IF($A26="","",COUNTIFS(Sheet1!$H$2:$H$5214,$A26,Sheet1!$N$2:$N$5214,G$4,Sheet1!$F$2:$F$5214,"&gt;="&amp;'SELECCIÓN YAMI'!$B$4,Sheet1!$F$2:$F$5214,"&lt;="&amp;'SELECCIÓN YAMI'!$B$6))</f>
        <v/>
      </c>
      <c r="H26" s="145" t="str">
        <f>IF($A26="","",COUNTIFS(Sheet1!$H$2:$H$5214,$A26,Sheet1!$N$2:$N$5214,H$4,Sheet1!$F$2:$F$5214,"&gt;="&amp;'SELECCIÓN YAMI'!$B$4,Sheet1!$F$2:$F$5214,"&lt;="&amp;'SELECCIÓN YAMI'!$B$6))</f>
        <v/>
      </c>
      <c r="I26" s="145" t="str">
        <f>IF($A26="","",COUNTIFS(Sheet1!$H$2:$H$5214,$A26,Sheet1!$N$2:$N$5214,I$4,Sheet1!$F$2:$F$5214,"&gt;="&amp;'SELECCIÓN YAMI'!$B$4,Sheet1!$F$2:$F$5214,"&lt;="&amp;'SELECCIÓN YAMI'!$B$6))</f>
        <v/>
      </c>
      <c r="J26" s="146" t="str">
        <f>IF($A26="","",SUM(B26:I26))</f>
        <v/>
      </c>
      <c r="K26" s="147" t="str">
        <f>IF($A26="","",J26*'SELECCIÓN YAMI'!$B$7)</f>
        <v/>
      </c>
      <c r="L26" s="145" t="str">
        <f>IF($A26="","",COUNTIFS(Sheet1!$H$2:$H$5214,$A26,Sheet1!$N$2:$N$5214,L$4,Sheet1!$F$2:$F$5214,"&gt;="&amp;'SELECCIÓN YAMI'!$B$4,Sheet1!$F$2:$F$5214,"&lt;="&amp;'SELECCIÓN YAMI'!$B$6))</f>
        <v/>
      </c>
      <c r="M26" s="145" t="str">
        <f>IF($A26="","",COUNTIFS(Sheet1!$H$2:$H$5214,$A26,Sheet1!$N$2:$N$5214,M$4,Sheet1!$F$2:$F$5214,"&gt;="&amp;'SELECCIÓN YAMI'!$B$4,Sheet1!$F$2:$F$5214,"&lt;="&amp;'SELECCIÓN YAMI'!$B$6))</f>
        <v/>
      </c>
      <c r="N26" s="145" t="str">
        <f>IF($A26="","",COUNTIFS(Sheet1!$H$2:$H$5214,$A26,Sheet1!$N$2:$N$5214,N$4,Sheet1!$F$2:$F$5214,"&gt;="&amp;'SELECCIÓN YAMI'!$B$4,Sheet1!$F$2:$F$5214,"&lt;="&amp;'SELECCIÓN YAMI'!$B$6))</f>
        <v/>
      </c>
      <c r="O26" s="145" t="str">
        <f>IF($A26="","",COUNTIFS(Sheet1!$H$2:$H$5214,$A26,Sheet1!$F$2:$F$5214,"&gt;="&amp;'SELECCIÓN YAMI'!$B$4,Sheet1!$F$2:$F$5214,"&lt;="&amp;'SELECCIÓN YAMI'!$B$6))</f>
        <v/>
      </c>
    </row>
    <row r="27" spans="1:15">
      <c r="A27" s="144"/>
      <c r="B27" s="145" t="str">
        <f>IF($A27="","",COUNTIFS(Sheet1!$H$2:$H$5214,$A27,Sheet1!$N$2:$N$5214,B$4,Sheet1!$F$2:$F$5214,"&gt;="&amp;'SELECCIÓN YAMI'!$B$4,Sheet1!$F$2:$F$5214,"&lt;="&amp;'SELECCIÓN YAMI'!$B$6))</f>
        <v/>
      </c>
      <c r="C27" s="145" t="str">
        <f>IF($A27="","",COUNTIFS(Sheet1!$H$2:$H$5214,$A27,Sheet1!$N$2:$N$5214,C$4,Sheet1!$F$2:$F$5214,"&gt;="&amp;'SELECCIÓN YAMI'!$B$4,Sheet1!$F$2:$F$5214,"&lt;="&amp;'SELECCIÓN YAMI'!$B$6))</f>
        <v/>
      </c>
      <c r="D27" s="145" t="str">
        <f>IF($A27="","",COUNTIFS(Sheet1!$H$2:$H$5214,$A27,Sheet1!$N$2:$N$5214,D$4,Sheet1!$F$2:$F$5214,"&gt;="&amp;'SELECCIÓN YAMI'!$B$4,Sheet1!$F$2:$F$5214,"&lt;="&amp;'SELECCIÓN YAMI'!$B$6))</f>
        <v/>
      </c>
      <c r="E27" s="145" t="str">
        <f>IF($A27="","",COUNTIFS(Sheet1!$H$2:$H$5214,$A27,Sheet1!$N$2:$N$5214,E$4,Sheet1!$F$2:$F$5214,"&gt;="&amp;'SELECCIÓN YAMI'!$B$4,Sheet1!$F$2:$F$5214,"&lt;="&amp;'SELECCIÓN YAMI'!$B$6))</f>
        <v/>
      </c>
      <c r="F27" s="145" t="str">
        <f>IF($A27="","",COUNTIFS(Sheet1!$H$2:$H$5214,$A27,Sheet1!$N$2:$N$5214,F$4,Sheet1!$F$2:$F$5214,"&gt;="&amp;'SELECCIÓN YAMI'!$B$4,Sheet1!$F$2:$F$5214,"&lt;="&amp;'SELECCIÓN YAMI'!$B$6))</f>
        <v/>
      </c>
      <c r="G27" s="145" t="str">
        <f>IF($A27="","",COUNTIFS(Sheet1!$H$2:$H$5214,$A27,Sheet1!$N$2:$N$5214,G$4,Sheet1!$F$2:$F$5214,"&gt;="&amp;'SELECCIÓN YAMI'!$B$4,Sheet1!$F$2:$F$5214,"&lt;="&amp;'SELECCIÓN YAMI'!$B$6))</f>
        <v/>
      </c>
      <c r="H27" s="145" t="str">
        <f>IF($A27="","",COUNTIFS(Sheet1!$H$2:$H$5214,$A27,Sheet1!$N$2:$N$5214,H$4,Sheet1!$F$2:$F$5214,"&gt;="&amp;'SELECCIÓN YAMI'!$B$4,Sheet1!$F$2:$F$5214,"&lt;="&amp;'SELECCIÓN YAMI'!$B$6))</f>
        <v/>
      </c>
      <c r="I27" s="145" t="str">
        <f>IF($A27="","",COUNTIFS(Sheet1!$H$2:$H$5214,$A27,Sheet1!$N$2:$N$5214,I$4,Sheet1!$F$2:$F$5214,"&gt;="&amp;'SELECCIÓN YAMI'!$B$4,Sheet1!$F$2:$F$5214,"&lt;="&amp;'SELECCIÓN YAMI'!$B$6))</f>
        <v/>
      </c>
      <c r="J27" s="146" t="str">
        <f>IF($A27="","",SUM(B27:I27))</f>
        <v/>
      </c>
      <c r="K27" s="147" t="str">
        <f>IF($A27="","",J27*'SELECCIÓN YAMI'!$B$7)</f>
        <v/>
      </c>
      <c r="L27" s="145" t="str">
        <f>IF($A27="","",COUNTIFS(Sheet1!$H$2:$H$5214,$A27,Sheet1!$N$2:$N$5214,L$4,Sheet1!$F$2:$F$5214,"&gt;="&amp;'SELECCIÓN YAMI'!$B$4,Sheet1!$F$2:$F$5214,"&lt;="&amp;'SELECCIÓN YAMI'!$B$6))</f>
        <v/>
      </c>
      <c r="M27" s="145" t="str">
        <f>IF($A27="","",COUNTIFS(Sheet1!$H$2:$H$5214,$A27,Sheet1!$N$2:$N$5214,M$4,Sheet1!$F$2:$F$5214,"&gt;="&amp;'SELECCIÓN YAMI'!$B$4,Sheet1!$F$2:$F$5214,"&lt;="&amp;'SELECCIÓN YAMI'!$B$6))</f>
        <v/>
      </c>
      <c r="N27" s="145" t="str">
        <f>IF($A27="","",COUNTIFS(Sheet1!$H$2:$H$5214,$A27,Sheet1!$N$2:$N$5214,N$4,Sheet1!$F$2:$F$5214,"&gt;="&amp;'SELECCIÓN YAMI'!$B$4,Sheet1!$F$2:$F$5214,"&lt;="&amp;'SELECCIÓN YAMI'!$B$6))</f>
        <v/>
      </c>
      <c r="O27" s="145" t="str">
        <f>IF($A27="","",COUNTIFS(Sheet1!$H$2:$H$5214,$A27,Sheet1!$F$2:$F$5214,"&gt;="&amp;'SELECCIÓN YAMI'!$B$4,Sheet1!$F$2:$F$5214,"&lt;="&amp;'SELECCIÓN YAMI'!$B$6))</f>
        <v/>
      </c>
    </row>
    <row r="28" spans="1:15">
      <c r="A28" s="144"/>
      <c r="B28" s="145" t="str">
        <f>IF($A28="","",COUNTIFS(Sheet1!$H$2:$H$5214,$A28,Sheet1!$N$2:$N$5214,B$4,Sheet1!$F$2:$F$5214,"&gt;="&amp;'SELECCIÓN YAMI'!$B$4,Sheet1!$F$2:$F$5214,"&lt;="&amp;'SELECCIÓN YAMI'!$B$6))</f>
        <v/>
      </c>
      <c r="C28" s="145" t="str">
        <f>IF($A28="","",COUNTIFS(Sheet1!$H$2:$H$5214,$A28,Sheet1!$N$2:$N$5214,C$4,Sheet1!$F$2:$F$5214,"&gt;="&amp;'SELECCIÓN YAMI'!$B$4,Sheet1!$F$2:$F$5214,"&lt;="&amp;'SELECCIÓN YAMI'!$B$6))</f>
        <v/>
      </c>
      <c r="D28" s="145" t="str">
        <f>IF($A28="","",COUNTIFS(Sheet1!$H$2:$H$5214,$A28,Sheet1!$N$2:$N$5214,D$4,Sheet1!$F$2:$F$5214,"&gt;="&amp;'SELECCIÓN YAMI'!$B$4,Sheet1!$F$2:$F$5214,"&lt;="&amp;'SELECCIÓN YAMI'!$B$6))</f>
        <v/>
      </c>
      <c r="E28" s="145" t="str">
        <f>IF($A28="","",COUNTIFS(Sheet1!$H$2:$H$5214,$A28,Sheet1!$N$2:$N$5214,E$4,Sheet1!$F$2:$F$5214,"&gt;="&amp;'SELECCIÓN YAMI'!$B$4,Sheet1!$F$2:$F$5214,"&lt;="&amp;'SELECCIÓN YAMI'!$B$6))</f>
        <v/>
      </c>
      <c r="F28" s="145" t="str">
        <f>IF($A28="","",COUNTIFS(Sheet1!$H$2:$H$5214,$A28,Sheet1!$N$2:$N$5214,F$4,Sheet1!$F$2:$F$5214,"&gt;="&amp;'SELECCIÓN YAMI'!$B$4,Sheet1!$F$2:$F$5214,"&lt;="&amp;'SELECCIÓN YAMI'!$B$6))</f>
        <v/>
      </c>
      <c r="G28" s="145" t="str">
        <f>IF($A28="","",COUNTIFS(Sheet1!$H$2:$H$5214,$A28,Sheet1!$N$2:$N$5214,G$4,Sheet1!$F$2:$F$5214,"&gt;="&amp;'SELECCIÓN YAMI'!$B$4,Sheet1!$F$2:$F$5214,"&lt;="&amp;'SELECCIÓN YAMI'!$B$6))</f>
        <v/>
      </c>
      <c r="H28" s="145" t="str">
        <f>IF($A28="","",COUNTIFS(Sheet1!$H$2:$H$5214,$A28,Sheet1!$N$2:$N$5214,H$4,Sheet1!$F$2:$F$5214,"&gt;="&amp;'SELECCIÓN YAMI'!$B$4,Sheet1!$F$2:$F$5214,"&lt;="&amp;'SELECCIÓN YAMI'!$B$6))</f>
        <v/>
      </c>
      <c r="I28" s="145" t="str">
        <f>IF($A28="","",COUNTIFS(Sheet1!$H$2:$H$5214,$A28,Sheet1!$N$2:$N$5214,I$4,Sheet1!$F$2:$F$5214,"&gt;="&amp;'SELECCIÓN YAMI'!$B$4,Sheet1!$F$2:$F$5214,"&lt;="&amp;'SELECCIÓN YAMI'!$B$6))</f>
        <v/>
      </c>
      <c r="J28" s="146" t="str">
        <f>IF($A28="","",SUM(B28:I28))</f>
        <v/>
      </c>
      <c r="K28" s="147" t="str">
        <f>IF($A28="","",J28*'SELECCIÓN YAMI'!$B$7)</f>
        <v/>
      </c>
      <c r="L28" s="145" t="str">
        <f>IF($A28="","",COUNTIFS(Sheet1!$H$2:$H$5214,$A28,Sheet1!$N$2:$N$5214,L$4,Sheet1!$F$2:$F$5214,"&gt;="&amp;'SELECCIÓN YAMI'!$B$4,Sheet1!$F$2:$F$5214,"&lt;="&amp;'SELECCIÓN YAMI'!$B$6))</f>
        <v/>
      </c>
      <c r="M28" s="145" t="str">
        <f>IF($A28="","",COUNTIFS(Sheet1!$H$2:$H$5214,$A28,Sheet1!$N$2:$N$5214,M$4,Sheet1!$F$2:$F$5214,"&gt;="&amp;'SELECCIÓN YAMI'!$B$4,Sheet1!$F$2:$F$5214,"&lt;="&amp;'SELECCIÓN YAMI'!$B$6))</f>
        <v/>
      </c>
      <c r="N28" s="145" t="str">
        <f>IF($A28="","",COUNTIFS(Sheet1!$H$2:$H$5214,$A28,Sheet1!$N$2:$N$5214,N$4,Sheet1!$F$2:$F$5214,"&gt;="&amp;'SELECCIÓN YAMI'!$B$4,Sheet1!$F$2:$F$5214,"&lt;="&amp;'SELECCIÓN YAMI'!$B$6))</f>
        <v/>
      </c>
      <c r="O28" s="145" t="str">
        <f>IF($A28="","",COUNTIFS(Sheet1!$H$2:$H$5214,$A28,Sheet1!$F$2:$F$5214,"&gt;="&amp;'SELECCIÓN YAMI'!$B$4,Sheet1!$F$2:$F$5214,"&lt;="&amp;'SELECCIÓN YAMI'!$B$6))</f>
        <v/>
      </c>
    </row>
    <row r="29" spans="1:15">
      <c r="A29" s="144"/>
      <c r="B29" s="145" t="str">
        <f>IF($A29="","",COUNTIFS(Sheet1!$H$2:$H$5214,$A29,Sheet1!$N$2:$N$5214,B$4,Sheet1!$F$2:$F$5214,"&gt;="&amp;'SELECCIÓN YAMI'!$B$4,Sheet1!$F$2:$F$5214,"&lt;="&amp;'SELECCIÓN YAMI'!$B$6))</f>
        <v/>
      </c>
      <c r="C29" s="145" t="str">
        <f>IF($A29="","",COUNTIFS(Sheet1!$H$2:$H$5214,$A29,Sheet1!$N$2:$N$5214,C$4,Sheet1!$F$2:$F$5214,"&gt;="&amp;'SELECCIÓN YAMI'!$B$4,Sheet1!$F$2:$F$5214,"&lt;="&amp;'SELECCIÓN YAMI'!$B$6))</f>
        <v/>
      </c>
      <c r="D29" s="145" t="str">
        <f>IF($A29="","",COUNTIFS(Sheet1!$H$2:$H$5214,$A29,Sheet1!$N$2:$N$5214,D$4,Sheet1!$F$2:$F$5214,"&gt;="&amp;'SELECCIÓN YAMI'!$B$4,Sheet1!$F$2:$F$5214,"&lt;="&amp;'SELECCIÓN YAMI'!$B$6))</f>
        <v/>
      </c>
      <c r="E29" s="145" t="str">
        <f>IF($A29="","",COUNTIFS(Sheet1!$H$2:$H$5214,$A29,Sheet1!$N$2:$N$5214,E$4,Sheet1!$F$2:$F$5214,"&gt;="&amp;'SELECCIÓN YAMI'!$B$4,Sheet1!$F$2:$F$5214,"&lt;="&amp;'SELECCIÓN YAMI'!$B$6))</f>
        <v/>
      </c>
      <c r="F29" s="145" t="str">
        <f>IF($A29="","",COUNTIFS(Sheet1!$H$2:$H$5214,$A29,Sheet1!$N$2:$N$5214,F$4,Sheet1!$F$2:$F$5214,"&gt;="&amp;'SELECCIÓN YAMI'!$B$4,Sheet1!$F$2:$F$5214,"&lt;="&amp;'SELECCIÓN YAMI'!$B$6))</f>
        <v/>
      </c>
      <c r="G29" s="145" t="str">
        <f>IF($A29="","",COUNTIFS(Sheet1!$H$2:$H$5214,$A29,Sheet1!$N$2:$N$5214,G$4,Sheet1!$F$2:$F$5214,"&gt;="&amp;'SELECCIÓN YAMI'!$B$4,Sheet1!$F$2:$F$5214,"&lt;="&amp;'SELECCIÓN YAMI'!$B$6))</f>
        <v/>
      </c>
      <c r="H29" s="145" t="str">
        <f>IF($A29="","",COUNTIFS(Sheet1!$H$2:$H$5214,$A29,Sheet1!$N$2:$N$5214,H$4,Sheet1!$F$2:$F$5214,"&gt;="&amp;'SELECCIÓN YAMI'!$B$4,Sheet1!$F$2:$F$5214,"&lt;="&amp;'SELECCIÓN YAMI'!$B$6))</f>
        <v/>
      </c>
      <c r="I29" s="145" t="str">
        <f>IF($A29="","",COUNTIFS(Sheet1!$H$2:$H$5214,$A29,Sheet1!$N$2:$N$5214,I$4,Sheet1!$F$2:$F$5214,"&gt;="&amp;'SELECCIÓN YAMI'!$B$4,Sheet1!$F$2:$F$5214,"&lt;="&amp;'SELECCIÓN YAMI'!$B$6))</f>
        <v/>
      </c>
      <c r="J29" s="146" t="str">
        <f>IF($A29="","",SUM(B29:I29))</f>
        <v/>
      </c>
      <c r="K29" s="147" t="str">
        <f>IF($A29="","",J29*'SELECCIÓN YAMI'!$B$7)</f>
        <v/>
      </c>
      <c r="L29" s="145" t="str">
        <f>IF($A29="","",COUNTIFS(Sheet1!$H$2:$H$5214,$A29,Sheet1!$N$2:$N$5214,L$4,Sheet1!$F$2:$F$5214,"&gt;="&amp;'SELECCIÓN YAMI'!$B$4,Sheet1!$F$2:$F$5214,"&lt;="&amp;'SELECCIÓN YAMI'!$B$6))</f>
        <v/>
      </c>
      <c r="M29" s="145" t="str">
        <f>IF($A29="","",COUNTIFS(Sheet1!$H$2:$H$5214,$A29,Sheet1!$N$2:$N$5214,M$4,Sheet1!$F$2:$F$5214,"&gt;="&amp;'SELECCIÓN YAMI'!$B$4,Sheet1!$F$2:$F$5214,"&lt;="&amp;'SELECCIÓN YAMI'!$B$6))</f>
        <v/>
      </c>
      <c r="N29" s="145" t="str">
        <f>IF($A29="","",COUNTIFS(Sheet1!$H$2:$H$5214,$A29,Sheet1!$N$2:$N$5214,N$4,Sheet1!$F$2:$F$5214,"&gt;="&amp;'SELECCIÓN YAMI'!$B$4,Sheet1!$F$2:$F$5214,"&lt;="&amp;'SELECCIÓN YAMI'!$B$6))</f>
        <v/>
      </c>
      <c r="O29" s="145" t="str">
        <f>IF($A29="","",COUNTIFS(Sheet1!$H$2:$H$5214,$A29,Sheet1!$F$2:$F$5214,"&gt;="&amp;'SELECCIÓN YAMI'!$B$4,Sheet1!$F$2:$F$5214,"&lt;="&amp;'SELECCIÓN YAMI'!$B$6))</f>
        <v/>
      </c>
    </row>
    <row r="30" spans="1:15">
      <c r="A30" s="144"/>
      <c r="B30" s="145" t="str">
        <f>IF($A30="","",COUNTIFS(Sheet1!$H$2:$H$5214,$A30,Sheet1!$N$2:$N$5214,B$4,Sheet1!$F$2:$F$5214,"&gt;="&amp;'SELECCIÓN YAMI'!$B$4,Sheet1!$F$2:$F$5214,"&lt;="&amp;'SELECCIÓN YAMI'!$B$6))</f>
        <v/>
      </c>
      <c r="C30" s="145" t="str">
        <f>IF($A30="","",COUNTIFS(Sheet1!$H$2:$H$5214,$A30,Sheet1!$N$2:$N$5214,C$4,Sheet1!$F$2:$F$5214,"&gt;="&amp;'SELECCIÓN YAMI'!$B$4,Sheet1!$F$2:$F$5214,"&lt;="&amp;'SELECCIÓN YAMI'!$B$6))</f>
        <v/>
      </c>
      <c r="D30" s="145" t="str">
        <f>IF($A30="","",COUNTIFS(Sheet1!$H$2:$H$5214,$A30,Sheet1!$N$2:$N$5214,D$4,Sheet1!$F$2:$F$5214,"&gt;="&amp;'SELECCIÓN YAMI'!$B$4,Sheet1!$F$2:$F$5214,"&lt;="&amp;'SELECCIÓN YAMI'!$B$6))</f>
        <v/>
      </c>
      <c r="E30" s="145" t="str">
        <f>IF($A30="","",COUNTIFS(Sheet1!$H$2:$H$5214,$A30,Sheet1!$N$2:$N$5214,E$4,Sheet1!$F$2:$F$5214,"&gt;="&amp;'SELECCIÓN YAMI'!$B$4,Sheet1!$F$2:$F$5214,"&lt;="&amp;'SELECCIÓN YAMI'!$B$6))</f>
        <v/>
      </c>
      <c r="F30" s="145" t="str">
        <f>IF($A30="","",COUNTIFS(Sheet1!$H$2:$H$5214,$A30,Sheet1!$N$2:$N$5214,F$4,Sheet1!$F$2:$F$5214,"&gt;="&amp;'SELECCIÓN YAMI'!$B$4,Sheet1!$F$2:$F$5214,"&lt;="&amp;'SELECCIÓN YAMI'!$B$6))</f>
        <v/>
      </c>
      <c r="G30" s="145" t="str">
        <f>IF($A30="","",COUNTIFS(Sheet1!$H$2:$H$5214,$A30,Sheet1!$N$2:$N$5214,G$4,Sheet1!$F$2:$F$5214,"&gt;="&amp;'SELECCIÓN YAMI'!$B$4,Sheet1!$F$2:$F$5214,"&lt;="&amp;'SELECCIÓN YAMI'!$B$6))</f>
        <v/>
      </c>
      <c r="H30" s="145" t="str">
        <f>IF($A30="","",COUNTIFS(Sheet1!$H$2:$H$5214,$A30,Sheet1!$N$2:$N$5214,H$4,Sheet1!$F$2:$F$5214,"&gt;="&amp;'SELECCIÓN YAMI'!$B$4,Sheet1!$F$2:$F$5214,"&lt;="&amp;'SELECCIÓN YAMI'!$B$6))</f>
        <v/>
      </c>
      <c r="I30" s="145" t="str">
        <f>IF($A30="","",COUNTIFS(Sheet1!$H$2:$H$5214,$A30,Sheet1!$N$2:$N$5214,I$4,Sheet1!$F$2:$F$5214,"&gt;="&amp;'SELECCIÓN YAMI'!$B$4,Sheet1!$F$2:$F$5214,"&lt;="&amp;'SELECCIÓN YAMI'!$B$6))</f>
        <v/>
      </c>
      <c r="J30" s="146" t="str">
        <f>IF($A30="","",SUM(B30:I30))</f>
        <v/>
      </c>
      <c r="K30" s="147" t="str">
        <f>IF($A30="","",J30*'SELECCIÓN YAMI'!$B$7)</f>
        <v/>
      </c>
      <c r="L30" s="145" t="str">
        <f>IF($A30="","",COUNTIFS(Sheet1!$H$2:$H$5214,$A30,Sheet1!$N$2:$N$5214,L$4,Sheet1!$F$2:$F$5214,"&gt;="&amp;'SELECCIÓN YAMI'!$B$4,Sheet1!$F$2:$F$5214,"&lt;="&amp;'SELECCIÓN YAMI'!$B$6))</f>
        <v/>
      </c>
      <c r="M30" s="145" t="str">
        <f>IF($A30="","",COUNTIFS(Sheet1!$H$2:$H$5214,$A30,Sheet1!$N$2:$N$5214,M$4,Sheet1!$F$2:$F$5214,"&gt;="&amp;'SELECCIÓN YAMI'!$B$4,Sheet1!$F$2:$F$5214,"&lt;="&amp;'SELECCIÓN YAMI'!$B$6))</f>
        <v/>
      </c>
      <c r="N30" s="145" t="str">
        <f>IF($A30="","",COUNTIFS(Sheet1!$H$2:$H$5214,$A30,Sheet1!$N$2:$N$5214,N$4,Sheet1!$F$2:$F$5214,"&gt;="&amp;'SELECCIÓN YAMI'!$B$4,Sheet1!$F$2:$F$5214,"&lt;="&amp;'SELECCIÓN YAMI'!$B$6))</f>
        <v/>
      </c>
      <c r="O30" s="145" t="str">
        <f>IF($A30="","",COUNTIFS(Sheet1!$H$2:$H$5214,$A30,Sheet1!$F$2:$F$5214,"&gt;="&amp;'SELECCIÓN YAMI'!$B$4,Sheet1!$F$2:$F$5214,"&lt;="&amp;'SELECCIÓN YAMI'!$B$6))</f>
        <v/>
      </c>
    </row>
    <row r="31" spans="1:15">
      <c r="A31" s="144"/>
      <c r="B31" s="145" t="str">
        <f>IF($A31="","",COUNTIFS(Sheet1!$H$2:$H$5214,$A31,Sheet1!$N$2:$N$5214,B$4,Sheet1!$F$2:$F$5214,"&gt;="&amp;'SELECCIÓN YAMI'!$B$4,Sheet1!$F$2:$F$5214,"&lt;="&amp;'SELECCIÓN YAMI'!$B$6))</f>
        <v/>
      </c>
      <c r="C31" s="145" t="str">
        <f>IF($A31="","",COUNTIFS(Sheet1!$H$2:$H$5214,$A31,Sheet1!$N$2:$N$5214,C$4,Sheet1!$F$2:$F$5214,"&gt;="&amp;'SELECCIÓN YAMI'!$B$4,Sheet1!$F$2:$F$5214,"&lt;="&amp;'SELECCIÓN YAMI'!$B$6))</f>
        <v/>
      </c>
      <c r="D31" s="145" t="str">
        <f>IF($A31="","",COUNTIFS(Sheet1!$H$2:$H$5214,$A31,Sheet1!$N$2:$N$5214,D$4,Sheet1!$F$2:$F$5214,"&gt;="&amp;'SELECCIÓN YAMI'!$B$4,Sheet1!$F$2:$F$5214,"&lt;="&amp;'SELECCIÓN YAMI'!$B$6))</f>
        <v/>
      </c>
      <c r="E31" s="145" t="str">
        <f>IF($A31="","",COUNTIFS(Sheet1!$H$2:$H$5214,$A31,Sheet1!$N$2:$N$5214,E$4,Sheet1!$F$2:$F$5214,"&gt;="&amp;'SELECCIÓN YAMI'!$B$4,Sheet1!$F$2:$F$5214,"&lt;="&amp;'SELECCIÓN YAMI'!$B$6))</f>
        <v/>
      </c>
      <c r="F31" s="145" t="str">
        <f>IF($A31="","",COUNTIFS(Sheet1!$H$2:$H$5214,$A31,Sheet1!$N$2:$N$5214,F$4,Sheet1!$F$2:$F$5214,"&gt;="&amp;'SELECCIÓN YAMI'!$B$4,Sheet1!$F$2:$F$5214,"&lt;="&amp;'SELECCIÓN YAMI'!$B$6))</f>
        <v/>
      </c>
      <c r="G31" s="145" t="str">
        <f>IF($A31="","",COUNTIFS(Sheet1!$H$2:$H$5214,$A31,Sheet1!$N$2:$N$5214,G$4,Sheet1!$F$2:$F$5214,"&gt;="&amp;'SELECCIÓN YAMI'!$B$4,Sheet1!$F$2:$F$5214,"&lt;="&amp;'SELECCIÓN YAMI'!$B$6))</f>
        <v/>
      </c>
      <c r="H31" s="145" t="str">
        <f>IF($A31="","",COUNTIFS(Sheet1!$H$2:$H$5214,$A31,Sheet1!$N$2:$N$5214,H$4,Sheet1!$F$2:$F$5214,"&gt;="&amp;'SELECCIÓN YAMI'!$B$4,Sheet1!$F$2:$F$5214,"&lt;="&amp;'SELECCIÓN YAMI'!$B$6))</f>
        <v/>
      </c>
      <c r="I31" s="145" t="str">
        <f>IF($A31="","",COUNTIFS(Sheet1!$H$2:$H$5214,$A31,Sheet1!$N$2:$N$5214,I$4,Sheet1!$F$2:$F$5214,"&gt;="&amp;'SELECCIÓN YAMI'!$B$4,Sheet1!$F$2:$F$5214,"&lt;="&amp;'SELECCIÓN YAMI'!$B$6))</f>
        <v/>
      </c>
      <c r="J31" s="146" t="str">
        <f>IF($A31="","",SUM(B31:I31))</f>
        <v/>
      </c>
      <c r="K31" s="147" t="str">
        <f>IF($A31="","",J31*'SELECCIÓN YAMI'!$B$7)</f>
        <v/>
      </c>
      <c r="L31" s="145" t="str">
        <f>IF($A31="","",COUNTIFS(Sheet1!$H$2:$H$5214,$A31,Sheet1!$N$2:$N$5214,L$4,Sheet1!$F$2:$F$5214,"&gt;="&amp;'SELECCIÓN YAMI'!$B$4,Sheet1!$F$2:$F$5214,"&lt;="&amp;'SELECCIÓN YAMI'!$B$6))</f>
        <v/>
      </c>
      <c r="M31" s="145" t="str">
        <f>IF($A31="","",COUNTIFS(Sheet1!$H$2:$H$5214,$A31,Sheet1!$N$2:$N$5214,M$4,Sheet1!$F$2:$F$5214,"&gt;="&amp;'SELECCIÓN YAMI'!$B$4,Sheet1!$F$2:$F$5214,"&lt;="&amp;'SELECCIÓN YAMI'!$B$6))</f>
        <v/>
      </c>
      <c r="N31" s="145" t="str">
        <f>IF($A31="","",COUNTIFS(Sheet1!$H$2:$H$5214,$A31,Sheet1!$N$2:$N$5214,N$4,Sheet1!$F$2:$F$5214,"&gt;="&amp;'SELECCIÓN YAMI'!$B$4,Sheet1!$F$2:$F$5214,"&lt;="&amp;'SELECCIÓN YAMI'!$B$6))</f>
        <v/>
      </c>
      <c r="O31" s="145" t="str">
        <f>IF($A31="","",COUNTIFS(Sheet1!$H$2:$H$5214,$A31,Sheet1!$F$2:$F$5214,"&gt;="&amp;'SELECCIÓN YAMI'!$B$4,Sheet1!$F$2:$F$5214,"&lt;="&amp;'SELECCIÓN YAMI'!$B$6))</f>
        <v/>
      </c>
    </row>
    <row r="32" spans="1:15">
      <c r="A32" s="144"/>
      <c r="B32" s="145" t="str">
        <f>IF($A32="","",COUNTIFS(Sheet1!$H$2:$H$5214,$A32,Sheet1!$N$2:$N$5214,B$4,Sheet1!$F$2:$F$5214,"&gt;="&amp;'SELECCIÓN YAMI'!$B$4,Sheet1!$F$2:$F$5214,"&lt;="&amp;'SELECCIÓN YAMI'!$B$6))</f>
        <v/>
      </c>
      <c r="C32" s="145" t="str">
        <f>IF($A32="","",COUNTIFS(Sheet1!$H$2:$H$5214,$A32,Sheet1!$N$2:$N$5214,C$4,Sheet1!$F$2:$F$5214,"&gt;="&amp;'SELECCIÓN YAMI'!$B$4,Sheet1!$F$2:$F$5214,"&lt;="&amp;'SELECCIÓN YAMI'!$B$6))</f>
        <v/>
      </c>
      <c r="D32" s="145" t="str">
        <f>IF($A32="","",COUNTIFS(Sheet1!$H$2:$H$5214,$A32,Sheet1!$N$2:$N$5214,D$4,Sheet1!$F$2:$F$5214,"&gt;="&amp;'SELECCIÓN YAMI'!$B$4,Sheet1!$F$2:$F$5214,"&lt;="&amp;'SELECCIÓN YAMI'!$B$6))</f>
        <v/>
      </c>
      <c r="E32" s="145" t="str">
        <f>IF($A32="","",COUNTIFS(Sheet1!$H$2:$H$5214,$A32,Sheet1!$N$2:$N$5214,E$4,Sheet1!$F$2:$F$5214,"&gt;="&amp;'SELECCIÓN YAMI'!$B$4,Sheet1!$F$2:$F$5214,"&lt;="&amp;'SELECCIÓN YAMI'!$B$6))</f>
        <v/>
      </c>
      <c r="F32" s="145" t="str">
        <f>IF($A32="","",COUNTIFS(Sheet1!$H$2:$H$5214,$A32,Sheet1!$N$2:$N$5214,F$4,Sheet1!$F$2:$F$5214,"&gt;="&amp;'SELECCIÓN YAMI'!$B$4,Sheet1!$F$2:$F$5214,"&lt;="&amp;'SELECCIÓN YAMI'!$B$6))</f>
        <v/>
      </c>
      <c r="G32" s="145" t="str">
        <f>IF($A32="","",COUNTIFS(Sheet1!$H$2:$H$5214,$A32,Sheet1!$N$2:$N$5214,G$4,Sheet1!$F$2:$F$5214,"&gt;="&amp;'SELECCIÓN YAMI'!$B$4,Sheet1!$F$2:$F$5214,"&lt;="&amp;'SELECCIÓN YAMI'!$B$6))</f>
        <v/>
      </c>
      <c r="H32" s="145" t="str">
        <f>IF($A32="","",COUNTIFS(Sheet1!$H$2:$H$5214,$A32,Sheet1!$N$2:$N$5214,H$4,Sheet1!$F$2:$F$5214,"&gt;="&amp;'SELECCIÓN YAMI'!$B$4,Sheet1!$F$2:$F$5214,"&lt;="&amp;'SELECCIÓN YAMI'!$B$6))</f>
        <v/>
      </c>
      <c r="I32" s="145" t="str">
        <f>IF($A32="","",COUNTIFS(Sheet1!$H$2:$H$5214,$A32,Sheet1!$N$2:$N$5214,I$4,Sheet1!$F$2:$F$5214,"&gt;="&amp;'SELECCIÓN YAMI'!$B$4,Sheet1!$F$2:$F$5214,"&lt;="&amp;'SELECCIÓN YAMI'!$B$6))</f>
        <v/>
      </c>
      <c r="J32" s="146" t="str">
        <f>IF($A32="","",SUM(B32:I32))</f>
        <v/>
      </c>
      <c r="K32" s="147" t="str">
        <f>IF($A32="","",J32*'SELECCIÓN YAMI'!$B$7)</f>
        <v/>
      </c>
      <c r="L32" s="145" t="str">
        <f>IF($A32="","",COUNTIFS(Sheet1!$H$2:$H$5214,$A32,Sheet1!$N$2:$N$5214,L$4,Sheet1!$F$2:$F$5214,"&gt;="&amp;'SELECCIÓN YAMI'!$B$4,Sheet1!$F$2:$F$5214,"&lt;="&amp;'SELECCIÓN YAMI'!$B$6))</f>
        <v/>
      </c>
      <c r="M32" s="145" t="str">
        <f>IF($A32="","",COUNTIFS(Sheet1!$H$2:$H$5214,$A32,Sheet1!$N$2:$N$5214,M$4,Sheet1!$F$2:$F$5214,"&gt;="&amp;'SELECCIÓN YAMI'!$B$4,Sheet1!$F$2:$F$5214,"&lt;="&amp;'SELECCIÓN YAMI'!$B$6))</f>
        <v/>
      </c>
      <c r="N32" s="145" t="str">
        <f>IF($A32="","",COUNTIFS(Sheet1!$H$2:$H$5214,$A32,Sheet1!$N$2:$N$5214,N$4,Sheet1!$F$2:$F$5214,"&gt;="&amp;'SELECCIÓN YAMI'!$B$4,Sheet1!$F$2:$F$5214,"&lt;="&amp;'SELECCIÓN YAMI'!$B$6))</f>
        <v/>
      </c>
      <c r="O32" s="145" t="str">
        <f>IF($A32="","",COUNTIFS(Sheet1!$H$2:$H$5214,$A32,Sheet1!$F$2:$F$5214,"&gt;="&amp;'SELECCIÓN YAMI'!$B$4,Sheet1!$F$2:$F$5214,"&lt;="&amp;'SELECCIÓN YAMI'!$B$6))</f>
        <v/>
      </c>
    </row>
    <row r="33" spans="1:15">
      <c r="A33" s="144"/>
      <c r="B33" s="145" t="str">
        <f>IF($A33="","",COUNTIFS(Sheet1!$H$2:$H$5214,$A33,Sheet1!$N$2:$N$5214,B$4,Sheet1!$F$2:$F$5214,"&gt;="&amp;'SELECCIÓN YAMI'!$B$4,Sheet1!$F$2:$F$5214,"&lt;="&amp;'SELECCIÓN YAMI'!$B$6))</f>
        <v/>
      </c>
      <c r="C33" s="145" t="str">
        <f>IF($A33="","",COUNTIFS(Sheet1!$H$2:$H$5214,$A33,Sheet1!$N$2:$N$5214,C$4,Sheet1!$F$2:$F$5214,"&gt;="&amp;'SELECCIÓN YAMI'!$B$4,Sheet1!$F$2:$F$5214,"&lt;="&amp;'SELECCIÓN YAMI'!$B$6))</f>
        <v/>
      </c>
      <c r="D33" s="145" t="str">
        <f>IF($A33="","",COUNTIFS(Sheet1!$H$2:$H$5214,$A33,Sheet1!$N$2:$N$5214,D$4,Sheet1!$F$2:$F$5214,"&gt;="&amp;'SELECCIÓN YAMI'!$B$4,Sheet1!$F$2:$F$5214,"&lt;="&amp;'SELECCIÓN YAMI'!$B$6))</f>
        <v/>
      </c>
      <c r="E33" s="145" t="str">
        <f>IF($A33="","",COUNTIFS(Sheet1!$H$2:$H$5214,$A33,Sheet1!$N$2:$N$5214,E$4,Sheet1!$F$2:$F$5214,"&gt;="&amp;'SELECCIÓN YAMI'!$B$4,Sheet1!$F$2:$F$5214,"&lt;="&amp;'SELECCIÓN YAMI'!$B$6))</f>
        <v/>
      </c>
      <c r="F33" s="145" t="str">
        <f>IF($A33="","",COUNTIFS(Sheet1!$H$2:$H$5214,$A33,Sheet1!$N$2:$N$5214,F$4,Sheet1!$F$2:$F$5214,"&gt;="&amp;'SELECCIÓN YAMI'!$B$4,Sheet1!$F$2:$F$5214,"&lt;="&amp;'SELECCIÓN YAMI'!$B$6))</f>
        <v/>
      </c>
      <c r="G33" s="145" t="str">
        <f>IF($A33="","",COUNTIFS(Sheet1!$H$2:$H$5214,$A33,Sheet1!$N$2:$N$5214,G$4,Sheet1!$F$2:$F$5214,"&gt;="&amp;'SELECCIÓN YAMI'!$B$4,Sheet1!$F$2:$F$5214,"&lt;="&amp;'SELECCIÓN YAMI'!$B$6))</f>
        <v/>
      </c>
      <c r="H33" s="145" t="str">
        <f>IF($A33="","",COUNTIFS(Sheet1!$H$2:$H$5214,$A33,Sheet1!$N$2:$N$5214,H$4,Sheet1!$F$2:$F$5214,"&gt;="&amp;'SELECCIÓN YAMI'!$B$4,Sheet1!$F$2:$F$5214,"&lt;="&amp;'SELECCIÓN YAMI'!$B$6))</f>
        <v/>
      </c>
      <c r="I33" s="145" t="str">
        <f>IF($A33="","",COUNTIFS(Sheet1!$H$2:$H$5214,$A33,Sheet1!$N$2:$N$5214,I$4,Sheet1!$F$2:$F$5214,"&gt;="&amp;'SELECCIÓN YAMI'!$B$4,Sheet1!$F$2:$F$5214,"&lt;="&amp;'SELECCIÓN YAMI'!$B$6))</f>
        <v/>
      </c>
      <c r="J33" s="146" t="str">
        <f>IF($A33="","",SUM(B33:I33))</f>
        <v/>
      </c>
      <c r="K33" s="147" t="str">
        <f>IF($A33="","",J33*'SELECCIÓN YAMI'!$B$7)</f>
        <v/>
      </c>
      <c r="L33" s="145" t="str">
        <f>IF($A33="","",COUNTIFS(Sheet1!$H$2:$H$5214,$A33,Sheet1!$N$2:$N$5214,L$4,Sheet1!$F$2:$F$5214,"&gt;="&amp;'SELECCIÓN YAMI'!$B$4,Sheet1!$F$2:$F$5214,"&lt;="&amp;'SELECCIÓN YAMI'!$B$6))</f>
        <v/>
      </c>
      <c r="M33" s="145" t="str">
        <f>IF($A33="","",COUNTIFS(Sheet1!$H$2:$H$5214,$A33,Sheet1!$N$2:$N$5214,M$4,Sheet1!$F$2:$F$5214,"&gt;="&amp;'SELECCIÓN YAMI'!$B$4,Sheet1!$F$2:$F$5214,"&lt;="&amp;'SELECCIÓN YAMI'!$B$6))</f>
        <v/>
      </c>
      <c r="N33" s="145" t="str">
        <f>IF($A33="","",COUNTIFS(Sheet1!$H$2:$H$5214,$A33,Sheet1!$N$2:$N$5214,N$4,Sheet1!$F$2:$F$5214,"&gt;="&amp;'SELECCIÓN YAMI'!$B$4,Sheet1!$F$2:$F$5214,"&lt;="&amp;'SELECCIÓN YAMI'!$B$6))</f>
        <v/>
      </c>
      <c r="O33" s="145" t="str">
        <f>IF($A33="","",COUNTIFS(Sheet1!$H$2:$H$5214,$A33,Sheet1!$F$2:$F$5214,"&gt;="&amp;'SELECCIÓN YAMI'!$B$4,Sheet1!$F$2:$F$5214,"&lt;="&amp;'SELECCIÓN YAMI'!$B$6))</f>
        <v/>
      </c>
    </row>
    <row r="34" spans="1:15">
      <c r="A34" s="144"/>
      <c r="B34" s="145" t="str">
        <f>IF($A34="","",COUNTIFS(Sheet1!$H$2:$H$5214,$A34,Sheet1!$N$2:$N$5214,B$4,Sheet1!$F$2:$F$5214,"&gt;="&amp;'SELECCIÓN YAMI'!$B$4,Sheet1!$F$2:$F$5214,"&lt;="&amp;'SELECCIÓN YAMI'!$B$6))</f>
        <v/>
      </c>
      <c r="C34" s="145" t="str">
        <f>IF($A34="","",COUNTIFS(Sheet1!$H$2:$H$5214,$A34,Sheet1!$N$2:$N$5214,C$4,Sheet1!$F$2:$F$5214,"&gt;="&amp;'SELECCIÓN YAMI'!$B$4,Sheet1!$F$2:$F$5214,"&lt;="&amp;'SELECCIÓN YAMI'!$B$6))</f>
        <v/>
      </c>
      <c r="D34" s="145" t="str">
        <f>IF($A34="","",COUNTIFS(Sheet1!$H$2:$H$5214,$A34,Sheet1!$N$2:$N$5214,D$4,Sheet1!$F$2:$F$5214,"&gt;="&amp;'SELECCIÓN YAMI'!$B$4,Sheet1!$F$2:$F$5214,"&lt;="&amp;'SELECCIÓN YAMI'!$B$6))</f>
        <v/>
      </c>
      <c r="E34" s="145" t="str">
        <f>IF($A34="","",COUNTIFS(Sheet1!$H$2:$H$5214,$A34,Sheet1!$N$2:$N$5214,E$4,Sheet1!$F$2:$F$5214,"&gt;="&amp;'SELECCIÓN YAMI'!$B$4,Sheet1!$F$2:$F$5214,"&lt;="&amp;'SELECCIÓN YAMI'!$B$6))</f>
        <v/>
      </c>
      <c r="F34" s="145" t="str">
        <f>IF($A34="","",COUNTIFS(Sheet1!$H$2:$H$5214,$A34,Sheet1!$N$2:$N$5214,F$4,Sheet1!$F$2:$F$5214,"&gt;="&amp;'SELECCIÓN YAMI'!$B$4,Sheet1!$F$2:$F$5214,"&lt;="&amp;'SELECCIÓN YAMI'!$B$6))</f>
        <v/>
      </c>
      <c r="G34" s="145" t="str">
        <f>IF($A34="","",COUNTIFS(Sheet1!$H$2:$H$5214,$A34,Sheet1!$N$2:$N$5214,G$4,Sheet1!$F$2:$F$5214,"&gt;="&amp;'SELECCIÓN YAMI'!$B$4,Sheet1!$F$2:$F$5214,"&lt;="&amp;'SELECCIÓN YAMI'!$B$6))</f>
        <v/>
      </c>
      <c r="H34" s="145" t="str">
        <f>IF($A34="","",COUNTIFS(Sheet1!$H$2:$H$5214,$A34,Sheet1!$N$2:$N$5214,H$4,Sheet1!$F$2:$F$5214,"&gt;="&amp;'SELECCIÓN YAMI'!$B$4,Sheet1!$F$2:$F$5214,"&lt;="&amp;'SELECCIÓN YAMI'!$B$6))</f>
        <v/>
      </c>
      <c r="I34" s="145" t="str">
        <f>IF($A34="","",COUNTIFS(Sheet1!$H$2:$H$5214,$A34,Sheet1!$N$2:$N$5214,I$4,Sheet1!$F$2:$F$5214,"&gt;="&amp;'SELECCIÓN YAMI'!$B$4,Sheet1!$F$2:$F$5214,"&lt;="&amp;'SELECCIÓN YAMI'!$B$6))</f>
        <v/>
      </c>
      <c r="J34" s="146" t="str">
        <f>IF($A34="","",SUM(B34:I34))</f>
        <v/>
      </c>
      <c r="K34" s="147" t="str">
        <f>IF($A34="","",J34*'SELECCIÓN YAMI'!$B$7)</f>
        <v/>
      </c>
      <c r="L34" s="145" t="str">
        <f>IF($A34="","",COUNTIFS(Sheet1!$H$2:$H$5214,$A34,Sheet1!$N$2:$N$5214,L$4,Sheet1!$F$2:$F$5214,"&gt;="&amp;'SELECCIÓN YAMI'!$B$4,Sheet1!$F$2:$F$5214,"&lt;="&amp;'SELECCIÓN YAMI'!$B$6))</f>
        <v/>
      </c>
      <c r="M34" s="145" t="str">
        <f>IF($A34="","",COUNTIFS(Sheet1!$H$2:$H$5214,$A34,Sheet1!$N$2:$N$5214,M$4,Sheet1!$F$2:$F$5214,"&gt;="&amp;'SELECCIÓN YAMI'!$B$4,Sheet1!$F$2:$F$5214,"&lt;="&amp;'SELECCIÓN YAMI'!$B$6))</f>
        <v/>
      </c>
      <c r="N34" s="145" t="str">
        <f>IF($A34="","",COUNTIFS(Sheet1!$H$2:$H$5214,$A34,Sheet1!$N$2:$N$5214,N$4,Sheet1!$F$2:$F$5214,"&gt;="&amp;'SELECCIÓN YAMI'!$B$4,Sheet1!$F$2:$F$5214,"&lt;="&amp;'SELECCIÓN YAMI'!$B$6))</f>
        <v/>
      </c>
      <c r="O34" s="145" t="str">
        <f>IF($A34="","",COUNTIFS(Sheet1!$H$2:$H$5214,$A34,Sheet1!$F$2:$F$5214,"&gt;="&amp;'SELECCIÓN YAMI'!$B$4,Sheet1!$F$2:$F$5214,"&lt;="&amp;'SELECCIÓN YAMI'!$B$6))</f>
        <v/>
      </c>
    </row>
    <row r="35" spans="1:15">
      <c r="A35" s="144"/>
      <c r="B35" s="145" t="str">
        <f>IF($A35="","",COUNTIFS(Sheet1!$H$2:$H$5214,$A35,Sheet1!$N$2:$N$5214,B$4,Sheet1!$F$2:$F$5214,"&gt;="&amp;'SELECCIÓN YAMI'!$B$4,Sheet1!$F$2:$F$5214,"&lt;="&amp;'SELECCIÓN YAMI'!$B$6))</f>
        <v/>
      </c>
      <c r="C35" s="145" t="str">
        <f>IF($A35="","",COUNTIFS(Sheet1!$H$2:$H$5214,$A35,Sheet1!$N$2:$N$5214,C$4,Sheet1!$F$2:$F$5214,"&gt;="&amp;'SELECCIÓN YAMI'!$B$4,Sheet1!$F$2:$F$5214,"&lt;="&amp;'SELECCIÓN YAMI'!$B$6))</f>
        <v/>
      </c>
      <c r="D35" s="145" t="str">
        <f>IF($A35="","",COUNTIFS(Sheet1!$H$2:$H$5214,$A35,Sheet1!$N$2:$N$5214,D$4,Sheet1!$F$2:$F$5214,"&gt;="&amp;'SELECCIÓN YAMI'!$B$4,Sheet1!$F$2:$F$5214,"&lt;="&amp;'SELECCIÓN YAMI'!$B$6))</f>
        <v/>
      </c>
      <c r="E35" s="145" t="str">
        <f>IF($A35="","",COUNTIFS(Sheet1!$H$2:$H$5214,$A35,Sheet1!$N$2:$N$5214,E$4,Sheet1!$F$2:$F$5214,"&gt;="&amp;'SELECCIÓN YAMI'!$B$4,Sheet1!$F$2:$F$5214,"&lt;="&amp;'SELECCIÓN YAMI'!$B$6))</f>
        <v/>
      </c>
      <c r="F35" s="145" t="str">
        <f>IF($A35="","",COUNTIFS(Sheet1!$H$2:$H$5214,$A35,Sheet1!$N$2:$N$5214,F$4,Sheet1!$F$2:$F$5214,"&gt;="&amp;'SELECCIÓN YAMI'!$B$4,Sheet1!$F$2:$F$5214,"&lt;="&amp;'SELECCIÓN YAMI'!$B$6))</f>
        <v/>
      </c>
      <c r="G35" s="145" t="str">
        <f>IF($A35="","",COUNTIFS(Sheet1!$H$2:$H$5214,$A35,Sheet1!$N$2:$N$5214,G$4,Sheet1!$F$2:$F$5214,"&gt;="&amp;'SELECCIÓN YAMI'!$B$4,Sheet1!$F$2:$F$5214,"&lt;="&amp;'SELECCIÓN YAMI'!$B$6))</f>
        <v/>
      </c>
      <c r="H35" s="145" t="str">
        <f>IF($A35="","",COUNTIFS(Sheet1!$H$2:$H$5214,$A35,Sheet1!$N$2:$N$5214,H$4,Sheet1!$F$2:$F$5214,"&gt;="&amp;'SELECCIÓN YAMI'!$B$4,Sheet1!$F$2:$F$5214,"&lt;="&amp;'SELECCIÓN YAMI'!$B$6))</f>
        <v/>
      </c>
      <c r="I35" s="145" t="str">
        <f>IF($A35="","",COUNTIFS(Sheet1!$H$2:$H$5214,$A35,Sheet1!$N$2:$N$5214,I$4,Sheet1!$F$2:$F$5214,"&gt;="&amp;'SELECCIÓN YAMI'!$B$4,Sheet1!$F$2:$F$5214,"&lt;="&amp;'SELECCIÓN YAMI'!$B$6))</f>
        <v/>
      </c>
      <c r="J35" s="146" t="str">
        <f>IF($A35="","",SUM(B35:I35))</f>
        <v/>
      </c>
      <c r="K35" s="147" t="str">
        <f>IF($A35="","",J35*'SELECCIÓN YAMI'!$B$7)</f>
        <v/>
      </c>
      <c r="L35" s="145" t="str">
        <f>IF($A35="","",COUNTIFS(Sheet1!$H$2:$H$5214,$A35,Sheet1!$N$2:$N$5214,L$4,Sheet1!$F$2:$F$5214,"&gt;="&amp;'SELECCIÓN YAMI'!$B$4,Sheet1!$F$2:$F$5214,"&lt;="&amp;'SELECCIÓN YAMI'!$B$6))</f>
        <v/>
      </c>
      <c r="M35" s="145" t="str">
        <f>IF($A35="","",COUNTIFS(Sheet1!$H$2:$H$5214,$A35,Sheet1!$N$2:$N$5214,M$4,Sheet1!$F$2:$F$5214,"&gt;="&amp;'SELECCIÓN YAMI'!$B$4,Sheet1!$F$2:$F$5214,"&lt;="&amp;'SELECCIÓN YAMI'!$B$6))</f>
        <v/>
      </c>
      <c r="N35" s="145" t="str">
        <f>IF($A35="","",COUNTIFS(Sheet1!$H$2:$H$5214,$A35,Sheet1!$N$2:$N$5214,N$4,Sheet1!$F$2:$F$5214,"&gt;="&amp;'SELECCIÓN YAMI'!$B$4,Sheet1!$F$2:$F$5214,"&lt;="&amp;'SELECCIÓN YAMI'!$B$6))</f>
        <v/>
      </c>
      <c r="O35" s="145" t="str">
        <f>IF($A35="","",COUNTIFS(Sheet1!$H$2:$H$5214,$A35,Sheet1!$F$2:$F$5214,"&gt;="&amp;'SELECCIÓN YAMI'!$B$4,Sheet1!$F$2:$F$5214,"&lt;="&amp;'SELECCIÓN YAMI'!$B$6))</f>
        <v/>
      </c>
    </row>
    <row r="36" spans="1:15">
      <c r="A36" s="144"/>
      <c r="B36" s="145" t="str">
        <f>IF($A36="","",COUNTIFS(Sheet1!$H$2:$H$5214,$A36,Sheet1!$N$2:$N$5214,B$4,Sheet1!$F$2:$F$5214,"&gt;="&amp;'SELECCIÓN YAMI'!$B$4,Sheet1!$F$2:$F$5214,"&lt;="&amp;'SELECCIÓN YAMI'!$B$6))</f>
        <v/>
      </c>
      <c r="C36" s="145" t="str">
        <f>IF($A36="","",COUNTIFS(Sheet1!$H$2:$H$5214,$A36,Sheet1!$N$2:$N$5214,C$4,Sheet1!$F$2:$F$5214,"&gt;="&amp;'SELECCIÓN YAMI'!$B$4,Sheet1!$F$2:$F$5214,"&lt;="&amp;'SELECCIÓN YAMI'!$B$6))</f>
        <v/>
      </c>
      <c r="D36" s="145" t="str">
        <f>IF($A36="","",COUNTIFS(Sheet1!$H$2:$H$5214,$A36,Sheet1!$N$2:$N$5214,D$4,Sheet1!$F$2:$F$5214,"&gt;="&amp;'SELECCIÓN YAMI'!$B$4,Sheet1!$F$2:$F$5214,"&lt;="&amp;'SELECCIÓN YAMI'!$B$6))</f>
        <v/>
      </c>
      <c r="E36" s="145" t="str">
        <f>IF($A36="","",COUNTIFS(Sheet1!$H$2:$H$5214,$A36,Sheet1!$N$2:$N$5214,E$4,Sheet1!$F$2:$F$5214,"&gt;="&amp;'SELECCIÓN YAMI'!$B$4,Sheet1!$F$2:$F$5214,"&lt;="&amp;'SELECCIÓN YAMI'!$B$6))</f>
        <v/>
      </c>
      <c r="F36" s="145" t="str">
        <f>IF($A36="","",COUNTIFS(Sheet1!$H$2:$H$5214,$A36,Sheet1!$N$2:$N$5214,F$4,Sheet1!$F$2:$F$5214,"&gt;="&amp;'SELECCIÓN YAMI'!$B$4,Sheet1!$F$2:$F$5214,"&lt;="&amp;'SELECCIÓN YAMI'!$B$6))</f>
        <v/>
      </c>
      <c r="G36" s="145" t="str">
        <f>IF($A36="","",COUNTIFS(Sheet1!$H$2:$H$5214,$A36,Sheet1!$N$2:$N$5214,G$4,Sheet1!$F$2:$F$5214,"&gt;="&amp;'SELECCIÓN YAMI'!$B$4,Sheet1!$F$2:$F$5214,"&lt;="&amp;'SELECCIÓN YAMI'!$B$6))</f>
        <v/>
      </c>
      <c r="H36" s="145" t="str">
        <f>IF($A36="","",COUNTIFS(Sheet1!$H$2:$H$5214,$A36,Sheet1!$N$2:$N$5214,H$4,Sheet1!$F$2:$F$5214,"&gt;="&amp;'SELECCIÓN YAMI'!$B$4,Sheet1!$F$2:$F$5214,"&lt;="&amp;'SELECCIÓN YAMI'!$B$6))</f>
        <v/>
      </c>
      <c r="I36" s="145" t="str">
        <f>IF($A36="","",COUNTIFS(Sheet1!$H$2:$H$5214,$A36,Sheet1!$N$2:$N$5214,I$4,Sheet1!$F$2:$F$5214,"&gt;="&amp;'SELECCIÓN YAMI'!$B$4,Sheet1!$F$2:$F$5214,"&lt;="&amp;'SELECCIÓN YAMI'!$B$6))</f>
        <v/>
      </c>
      <c r="J36" s="146" t="str">
        <f>IF($A36="","",SUM(B36:I36))</f>
        <v/>
      </c>
      <c r="K36" s="147" t="str">
        <f>IF($A36="","",J36*'SELECCIÓN YAMI'!$B$7)</f>
        <v/>
      </c>
      <c r="L36" s="145" t="str">
        <f>IF($A36="","",COUNTIFS(Sheet1!$H$2:$H$5214,$A36,Sheet1!$N$2:$N$5214,L$4,Sheet1!$F$2:$F$5214,"&gt;="&amp;'SELECCIÓN YAMI'!$B$4,Sheet1!$F$2:$F$5214,"&lt;="&amp;'SELECCIÓN YAMI'!$B$6))</f>
        <v/>
      </c>
      <c r="M36" s="145" t="str">
        <f>IF($A36="","",COUNTIFS(Sheet1!$H$2:$H$5214,$A36,Sheet1!$N$2:$N$5214,M$4,Sheet1!$F$2:$F$5214,"&gt;="&amp;'SELECCIÓN YAMI'!$B$4,Sheet1!$F$2:$F$5214,"&lt;="&amp;'SELECCIÓN YAMI'!$B$6))</f>
        <v/>
      </c>
      <c r="N36" s="145" t="str">
        <f>IF($A36="","",COUNTIFS(Sheet1!$H$2:$H$5214,$A36,Sheet1!$N$2:$N$5214,N$4,Sheet1!$F$2:$F$5214,"&gt;="&amp;'SELECCIÓN YAMI'!$B$4,Sheet1!$F$2:$F$5214,"&lt;="&amp;'SELECCIÓN YAMI'!$B$6))</f>
        <v/>
      </c>
      <c r="O36" s="145" t="str">
        <f>IF($A36="","",COUNTIFS(Sheet1!$H$2:$H$5214,$A36,Sheet1!$F$2:$F$5214,"&gt;="&amp;'SELECCIÓN YAMI'!$B$4,Sheet1!$F$2:$F$5214,"&lt;="&amp;'SELECCIÓN YAMI'!$B$6))</f>
        <v/>
      </c>
    </row>
    <row r="37" spans="1:15">
      <c r="A37" s="144"/>
      <c r="B37" s="145" t="str">
        <f>IF($A37="","",COUNTIFS(Sheet1!$H$2:$H$5214,$A37,Sheet1!$N$2:$N$5214,B$4,Sheet1!$F$2:$F$5214,"&gt;="&amp;'SELECCIÓN YAMI'!$B$4,Sheet1!$F$2:$F$5214,"&lt;="&amp;'SELECCIÓN YAMI'!$B$6))</f>
        <v/>
      </c>
      <c r="C37" s="145" t="str">
        <f>IF($A37="","",COUNTIFS(Sheet1!$H$2:$H$5214,$A37,Sheet1!$N$2:$N$5214,C$4,Sheet1!$F$2:$F$5214,"&gt;="&amp;'SELECCIÓN YAMI'!$B$4,Sheet1!$F$2:$F$5214,"&lt;="&amp;'SELECCIÓN YAMI'!$B$6))</f>
        <v/>
      </c>
      <c r="D37" s="145" t="str">
        <f>IF($A37="","",COUNTIFS(Sheet1!$H$2:$H$5214,$A37,Sheet1!$N$2:$N$5214,D$4,Sheet1!$F$2:$F$5214,"&gt;="&amp;'SELECCIÓN YAMI'!$B$4,Sheet1!$F$2:$F$5214,"&lt;="&amp;'SELECCIÓN YAMI'!$B$6))</f>
        <v/>
      </c>
      <c r="E37" s="145" t="str">
        <f>IF($A37="","",COUNTIFS(Sheet1!$H$2:$H$5214,$A37,Sheet1!$N$2:$N$5214,E$4,Sheet1!$F$2:$F$5214,"&gt;="&amp;'SELECCIÓN YAMI'!$B$4,Sheet1!$F$2:$F$5214,"&lt;="&amp;'SELECCIÓN YAMI'!$B$6))</f>
        <v/>
      </c>
      <c r="F37" s="145" t="str">
        <f>IF($A37="","",COUNTIFS(Sheet1!$H$2:$H$5214,$A37,Sheet1!$N$2:$N$5214,F$4,Sheet1!$F$2:$F$5214,"&gt;="&amp;'SELECCIÓN YAMI'!$B$4,Sheet1!$F$2:$F$5214,"&lt;="&amp;'SELECCIÓN YAMI'!$B$6))</f>
        <v/>
      </c>
      <c r="G37" s="145" t="str">
        <f>IF($A37="","",COUNTIFS(Sheet1!$H$2:$H$5214,$A37,Sheet1!$N$2:$N$5214,G$4,Sheet1!$F$2:$F$5214,"&gt;="&amp;'SELECCIÓN YAMI'!$B$4,Sheet1!$F$2:$F$5214,"&lt;="&amp;'SELECCIÓN YAMI'!$B$6))</f>
        <v/>
      </c>
      <c r="H37" s="145" t="str">
        <f>IF($A37="","",COUNTIFS(Sheet1!$H$2:$H$5214,$A37,Sheet1!$N$2:$N$5214,H$4,Sheet1!$F$2:$F$5214,"&gt;="&amp;'SELECCIÓN YAMI'!$B$4,Sheet1!$F$2:$F$5214,"&lt;="&amp;'SELECCIÓN YAMI'!$B$6))</f>
        <v/>
      </c>
      <c r="I37" s="145" t="str">
        <f>IF($A37="","",COUNTIFS(Sheet1!$H$2:$H$5214,$A37,Sheet1!$N$2:$N$5214,I$4,Sheet1!$F$2:$F$5214,"&gt;="&amp;'SELECCIÓN YAMI'!$B$4,Sheet1!$F$2:$F$5214,"&lt;="&amp;'SELECCIÓN YAMI'!$B$6))</f>
        <v/>
      </c>
      <c r="J37" s="146" t="str">
        <f>IF($A37="","",SUM(B37:I37))</f>
        <v/>
      </c>
      <c r="K37" s="147" t="str">
        <f>IF($A37="","",J37*'SELECCIÓN YAMI'!$B$7)</f>
        <v/>
      </c>
      <c r="L37" s="145" t="str">
        <f>IF($A37="","",COUNTIFS(Sheet1!$H$2:$H$5214,$A37,Sheet1!$N$2:$N$5214,L$4,Sheet1!$F$2:$F$5214,"&gt;="&amp;'SELECCIÓN YAMI'!$B$4,Sheet1!$F$2:$F$5214,"&lt;="&amp;'SELECCIÓN YAMI'!$B$6))</f>
        <v/>
      </c>
      <c r="M37" s="145" t="str">
        <f>IF($A37="","",COUNTIFS(Sheet1!$H$2:$H$5214,$A37,Sheet1!$N$2:$N$5214,M$4,Sheet1!$F$2:$F$5214,"&gt;="&amp;'SELECCIÓN YAMI'!$B$4,Sheet1!$F$2:$F$5214,"&lt;="&amp;'SELECCIÓN YAMI'!$B$6))</f>
        <v/>
      </c>
      <c r="N37" s="145" t="str">
        <f>IF($A37="","",COUNTIFS(Sheet1!$H$2:$H$5214,$A37,Sheet1!$N$2:$N$5214,N$4,Sheet1!$F$2:$F$5214,"&gt;="&amp;'SELECCIÓN YAMI'!$B$4,Sheet1!$F$2:$F$5214,"&lt;="&amp;'SELECCIÓN YAMI'!$B$6))</f>
        <v/>
      </c>
      <c r="O37" s="145" t="str">
        <f>IF($A37="","",COUNTIFS(Sheet1!$H$2:$H$5214,$A37,Sheet1!$F$2:$F$5214,"&gt;="&amp;'SELECCIÓN YAMI'!$B$4,Sheet1!$F$2:$F$5214,"&lt;="&amp;'SELECCIÓN YAMI'!$B$6))</f>
        <v/>
      </c>
    </row>
    <row r="38" spans="1:15">
      <c r="A38" s="144"/>
      <c r="B38" s="145" t="str">
        <f>IF($A38="","",COUNTIFS(Sheet1!$H$2:$H$5214,$A38,Sheet1!$N$2:$N$5214,B$4,Sheet1!$F$2:$F$5214,"&gt;="&amp;'SELECCIÓN YAMI'!$B$4,Sheet1!$F$2:$F$5214,"&lt;="&amp;'SELECCIÓN YAMI'!$B$6))</f>
        <v/>
      </c>
      <c r="C38" s="145" t="str">
        <f>IF($A38="","",COUNTIFS(Sheet1!$H$2:$H$5214,$A38,Sheet1!$N$2:$N$5214,C$4,Sheet1!$F$2:$F$5214,"&gt;="&amp;'SELECCIÓN YAMI'!$B$4,Sheet1!$F$2:$F$5214,"&lt;="&amp;'SELECCIÓN YAMI'!$B$6))</f>
        <v/>
      </c>
      <c r="D38" s="145" t="str">
        <f>IF($A38="","",COUNTIFS(Sheet1!$H$2:$H$5214,$A38,Sheet1!$N$2:$N$5214,D$4,Sheet1!$F$2:$F$5214,"&gt;="&amp;'SELECCIÓN YAMI'!$B$4,Sheet1!$F$2:$F$5214,"&lt;="&amp;'SELECCIÓN YAMI'!$B$6))</f>
        <v/>
      </c>
      <c r="E38" s="145" t="str">
        <f>IF($A38="","",COUNTIFS(Sheet1!$H$2:$H$5214,$A38,Sheet1!$N$2:$N$5214,E$4,Sheet1!$F$2:$F$5214,"&gt;="&amp;'SELECCIÓN YAMI'!$B$4,Sheet1!$F$2:$F$5214,"&lt;="&amp;'SELECCIÓN YAMI'!$B$6))</f>
        <v/>
      </c>
      <c r="F38" s="145" t="str">
        <f>IF($A38="","",COUNTIFS(Sheet1!$H$2:$H$5214,$A38,Sheet1!$N$2:$N$5214,F$4,Sheet1!$F$2:$F$5214,"&gt;="&amp;'SELECCIÓN YAMI'!$B$4,Sheet1!$F$2:$F$5214,"&lt;="&amp;'SELECCIÓN YAMI'!$B$6))</f>
        <v/>
      </c>
      <c r="G38" s="145" t="str">
        <f>IF($A38="","",COUNTIFS(Sheet1!$H$2:$H$5214,$A38,Sheet1!$N$2:$N$5214,G$4,Sheet1!$F$2:$F$5214,"&gt;="&amp;'SELECCIÓN YAMI'!$B$4,Sheet1!$F$2:$F$5214,"&lt;="&amp;'SELECCIÓN YAMI'!$B$6))</f>
        <v/>
      </c>
      <c r="H38" s="145" t="str">
        <f>IF($A38="","",COUNTIFS(Sheet1!$H$2:$H$5214,$A38,Sheet1!$N$2:$N$5214,H$4,Sheet1!$F$2:$F$5214,"&gt;="&amp;'SELECCIÓN YAMI'!$B$4,Sheet1!$F$2:$F$5214,"&lt;="&amp;'SELECCIÓN YAMI'!$B$6))</f>
        <v/>
      </c>
      <c r="I38" s="145" t="str">
        <f>IF($A38="","",COUNTIFS(Sheet1!$H$2:$H$5214,$A38,Sheet1!$N$2:$N$5214,I$4,Sheet1!$F$2:$F$5214,"&gt;="&amp;'SELECCIÓN YAMI'!$B$4,Sheet1!$F$2:$F$5214,"&lt;="&amp;'SELECCIÓN YAMI'!$B$6))</f>
        <v/>
      </c>
      <c r="J38" s="146" t="str">
        <f>IF($A38="","",SUM(B38:I38))</f>
        <v/>
      </c>
      <c r="K38" s="147" t="str">
        <f>IF($A38="","",J38*'SELECCIÓN YAMI'!$B$7)</f>
        <v/>
      </c>
      <c r="L38" s="145" t="str">
        <f>IF($A38="","",COUNTIFS(Sheet1!$H$2:$H$5214,$A38,Sheet1!$N$2:$N$5214,L$4,Sheet1!$F$2:$F$5214,"&gt;="&amp;'SELECCIÓN YAMI'!$B$4,Sheet1!$F$2:$F$5214,"&lt;="&amp;'SELECCIÓN YAMI'!$B$6))</f>
        <v/>
      </c>
      <c r="M38" s="145" t="str">
        <f>IF($A38="","",COUNTIFS(Sheet1!$H$2:$H$5214,$A38,Sheet1!$N$2:$N$5214,M$4,Sheet1!$F$2:$F$5214,"&gt;="&amp;'SELECCIÓN YAMI'!$B$4,Sheet1!$F$2:$F$5214,"&lt;="&amp;'SELECCIÓN YAMI'!$B$6))</f>
        <v/>
      </c>
      <c r="N38" s="145" t="str">
        <f>IF($A38="","",COUNTIFS(Sheet1!$H$2:$H$5214,$A38,Sheet1!$N$2:$N$5214,N$4,Sheet1!$F$2:$F$5214,"&gt;="&amp;'SELECCIÓN YAMI'!$B$4,Sheet1!$F$2:$F$5214,"&lt;="&amp;'SELECCIÓN YAMI'!$B$6))</f>
        <v/>
      </c>
      <c r="O38" s="145" t="str">
        <f>IF($A38="","",COUNTIFS(Sheet1!$H$2:$H$5214,$A38,Sheet1!$F$2:$F$5214,"&gt;="&amp;'SELECCIÓN YAMI'!$B$4,Sheet1!$F$2:$F$5214,"&lt;="&amp;'SELECCIÓN YAMI'!$B$6))</f>
        <v/>
      </c>
    </row>
    <row r="39" spans="1:15">
      <c r="A39" s="144"/>
      <c r="B39" s="145" t="str">
        <f>IF($A39="","",COUNTIFS(Sheet1!$H$2:$H$5214,$A39,Sheet1!$N$2:$N$5214,B$4,Sheet1!$F$2:$F$5214,"&gt;="&amp;'SELECCIÓN YAMI'!$B$4,Sheet1!$F$2:$F$5214,"&lt;="&amp;'SELECCIÓN YAMI'!$B$6))</f>
        <v/>
      </c>
      <c r="C39" s="145" t="str">
        <f>IF($A39="","",COUNTIFS(Sheet1!$H$2:$H$5214,$A39,Sheet1!$N$2:$N$5214,C$4,Sheet1!$F$2:$F$5214,"&gt;="&amp;'SELECCIÓN YAMI'!$B$4,Sheet1!$F$2:$F$5214,"&lt;="&amp;'SELECCIÓN YAMI'!$B$6))</f>
        <v/>
      </c>
      <c r="D39" s="145" t="str">
        <f>IF($A39="","",COUNTIFS(Sheet1!$H$2:$H$5214,$A39,Sheet1!$N$2:$N$5214,D$4,Sheet1!$F$2:$F$5214,"&gt;="&amp;'SELECCIÓN YAMI'!$B$4,Sheet1!$F$2:$F$5214,"&lt;="&amp;'SELECCIÓN YAMI'!$B$6))</f>
        <v/>
      </c>
      <c r="E39" s="145" t="str">
        <f>IF($A39="","",COUNTIFS(Sheet1!$H$2:$H$5214,$A39,Sheet1!$N$2:$N$5214,E$4,Sheet1!$F$2:$F$5214,"&gt;="&amp;'SELECCIÓN YAMI'!$B$4,Sheet1!$F$2:$F$5214,"&lt;="&amp;'SELECCIÓN YAMI'!$B$6))</f>
        <v/>
      </c>
      <c r="F39" s="145" t="str">
        <f>IF($A39="","",COUNTIFS(Sheet1!$H$2:$H$5214,$A39,Sheet1!$N$2:$N$5214,F$4,Sheet1!$F$2:$F$5214,"&gt;="&amp;'SELECCIÓN YAMI'!$B$4,Sheet1!$F$2:$F$5214,"&lt;="&amp;'SELECCIÓN YAMI'!$B$6))</f>
        <v/>
      </c>
      <c r="G39" s="145" t="str">
        <f>IF($A39="","",COUNTIFS(Sheet1!$H$2:$H$5214,$A39,Sheet1!$N$2:$N$5214,G$4,Sheet1!$F$2:$F$5214,"&gt;="&amp;'SELECCIÓN YAMI'!$B$4,Sheet1!$F$2:$F$5214,"&lt;="&amp;'SELECCIÓN YAMI'!$B$6))</f>
        <v/>
      </c>
      <c r="H39" s="145" t="str">
        <f>IF($A39="","",COUNTIFS(Sheet1!$H$2:$H$5214,$A39,Sheet1!$N$2:$N$5214,H$4,Sheet1!$F$2:$F$5214,"&gt;="&amp;'SELECCIÓN YAMI'!$B$4,Sheet1!$F$2:$F$5214,"&lt;="&amp;'SELECCIÓN YAMI'!$B$6))</f>
        <v/>
      </c>
      <c r="I39" s="145" t="str">
        <f>IF($A39="","",COUNTIFS(Sheet1!$H$2:$H$5214,$A39,Sheet1!$N$2:$N$5214,I$4,Sheet1!$F$2:$F$5214,"&gt;="&amp;'SELECCIÓN YAMI'!$B$4,Sheet1!$F$2:$F$5214,"&lt;="&amp;'SELECCIÓN YAMI'!$B$6))</f>
        <v/>
      </c>
      <c r="J39" s="146" t="str">
        <f>IF($A39="","",SUM(B39:I39))</f>
        <v/>
      </c>
      <c r="K39" s="147" t="str">
        <f>IF($A39="","",J39*'SELECCIÓN YAMI'!$B$7)</f>
        <v/>
      </c>
      <c r="L39" s="145" t="str">
        <f>IF($A39="","",COUNTIFS(Sheet1!$H$2:$H$5214,$A39,Sheet1!$N$2:$N$5214,L$4,Sheet1!$F$2:$F$5214,"&gt;="&amp;'SELECCIÓN YAMI'!$B$4,Sheet1!$F$2:$F$5214,"&lt;="&amp;'SELECCIÓN YAMI'!$B$6))</f>
        <v/>
      </c>
      <c r="M39" s="145" t="str">
        <f>IF($A39="","",COUNTIFS(Sheet1!$H$2:$H$5214,$A39,Sheet1!$N$2:$N$5214,M$4,Sheet1!$F$2:$F$5214,"&gt;="&amp;'SELECCIÓN YAMI'!$B$4,Sheet1!$F$2:$F$5214,"&lt;="&amp;'SELECCIÓN YAMI'!$B$6))</f>
        <v/>
      </c>
      <c r="N39" s="145" t="str">
        <f>IF($A39="","",COUNTIFS(Sheet1!$H$2:$H$5214,$A39,Sheet1!$N$2:$N$5214,N$4,Sheet1!$F$2:$F$5214,"&gt;="&amp;'SELECCIÓN YAMI'!$B$4,Sheet1!$F$2:$F$5214,"&lt;="&amp;'SELECCIÓN YAMI'!$B$6))</f>
        <v/>
      </c>
      <c r="O39" s="145" t="str">
        <f>IF($A39="","",COUNTIFS(Sheet1!$H$2:$H$5214,$A39,Sheet1!$F$2:$F$5214,"&gt;="&amp;'SELECCIÓN YAMI'!$B$4,Sheet1!$F$2:$F$5214,"&lt;="&amp;'SELECCIÓN YAMI'!$B$6))</f>
        <v/>
      </c>
    </row>
    <row r="40" spans="1:15">
      <c r="A40" s="144"/>
      <c r="B40" s="145" t="str">
        <f>IF($A40="","",COUNTIFS(Sheet1!$H$2:$H$5214,$A40,Sheet1!$N$2:$N$5214,B$4,Sheet1!$F$2:$F$5214,"&gt;="&amp;'SELECCIÓN YAMI'!$B$4,Sheet1!$F$2:$F$5214,"&lt;="&amp;'SELECCIÓN YAMI'!$B$6))</f>
        <v/>
      </c>
      <c r="C40" s="145" t="str">
        <f>IF($A40="","",COUNTIFS(Sheet1!$H$2:$H$5214,$A40,Sheet1!$N$2:$N$5214,C$4,Sheet1!$F$2:$F$5214,"&gt;="&amp;'SELECCIÓN YAMI'!$B$4,Sheet1!$F$2:$F$5214,"&lt;="&amp;'SELECCIÓN YAMI'!$B$6))</f>
        <v/>
      </c>
      <c r="D40" s="145" t="str">
        <f>IF($A40="","",COUNTIFS(Sheet1!$H$2:$H$5214,$A40,Sheet1!$N$2:$N$5214,D$4,Sheet1!$F$2:$F$5214,"&gt;="&amp;'SELECCIÓN YAMI'!$B$4,Sheet1!$F$2:$F$5214,"&lt;="&amp;'SELECCIÓN YAMI'!$B$6))</f>
        <v/>
      </c>
      <c r="E40" s="145" t="str">
        <f>IF($A40="","",COUNTIFS(Sheet1!$H$2:$H$5214,$A40,Sheet1!$N$2:$N$5214,E$4,Sheet1!$F$2:$F$5214,"&gt;="&amp;'SELECCIÓN YAMI'!$B$4,Sheet1!$F$2:$F$5214,"&lt;="&amp;'SELECCIÓN YAMI'!$B$6))</f>
        <v/>
      </c>
      <c r="F40" s="145" t="str">
        <f>IF($A40="","",COUNTIFS(Sheet1!$H$2:$H$5214,$A40,Sheet1!$N$2:$N$5214,F$4,Sheet1!$F$2:$F$5214,"&gt;="&amp;'SELECCIÓN YAMI'!$B$4,Sheet1!$F$2:$F$5214,"&lt;="&amp;'SELECCIÓN YAMI'!$B$6))</f>
        <v/>
      </c>
      <c r="G40" s="145" t="str">
        <f>IF($A40="","",COUNTIFS(Sheet1!$H$2:$H$5214,$A40,Sheet1!$N$2:$N$5214,G$4,Sheet1!$F$2:$F$5214,"&gt;="&amp;'SELECCIÓN YAMI'!$B$4,Sheet1!$F$2:$F$5214,"&lt;="&amp;'SELECCIÓN YAMI'!$B$6))</f>
        <v/>
      </c>
      <c r="H40" s="145" t="str">
        <f>IF($A40="","",COUNTIFS(Sheet1!$H$2:$H$5214,$A40,Sheet1!$N$2:$N$5214,H$4,Sheet1!$F$2:$F$5214,"&gt;="&amp;'SELECCIÓN YAMI'!$B$4,Sheet1!$F$2:$F$5214,"&lt;="&amp;'SELECCIÓN YAMI'!$B$6))</f>
        <v/>
      </c>
      <c r="I40" s="145" t="str">
        <f>IF($A40="","",COUNTIFS(Sheet1!$H$2:$H$5214,$A40,Sheet1!$N$2:$N$5214,I$4,Sheet1!$F$2:$F$5214,"&gt;="&amp;'SELECCIÓN YAMI'!$B$4,Sheet1!$F$2:$F$5214,"&lt;="&amp;'SELECCIÓN YAMI'!$B$6))</f>
        <v/>
      </c>
      <c r="J40" s="146" t="str">
        <f>IF($A40="","",SUM(B40:I40))</f>
        <v/>
      </c>
      <c r="K40" s="147" t="str">
        <f>IF($A40="","",J40*'SELECCIÓN YAMI'!$B$7)</f>
        <v/>
      </c>
      <c r="L40" s="145" t="str">
        <f>IF($A40="","",COUNTIFS(Sheet1!$H$2:$H$5214,$A40,Sheet1!$N$2:$N$5214,L$4,Sheet1!$F$2:$F$5214,"&gt;="&amp;'SELECCIÓN YAMI'!$B$4,Sheet1!$F$2:$F$5214,"&lt;="&amp;'SELECCIÓN YAMI'!$B$6))</f>
        <v/>
      </c>
      <c r="M40" s="145" t="str">
        <f>IF($A40="","",COUNTIFS(Sheet1!$H$2:$H$5214,$A40,Sheet1!$N$2:$N$5214,M$4,Sheet1!$F$2:$F$5214,"&gt;="&amp;'SELECCIÓN YAMI'!$B$4,Sheet1!$F$2:$F$5214,"&lt;="&amp;'SELECCIÓN YAMI'!$B$6))</f>
        <v/>
      </c>
      <c r="N40" s="145" t="str">
        <f>IF($A40="","",COUNTIFS(Sheet1!$H$2:$H$5214,$A40,Sheet1!$N$2:$N$5214,N$4,Sheet1!$F$2:$F$5214,"&gt;="&amp;'SELECCIÓN YAMI'!$B$4,Sheet1!$F$2:$F$5214,"&lt;="&amp;'SELECCIÓN YAMI'!$B$6))</f>
        <v/>
      </c>
      <c r="O40" s="145" t="str">
        <f>IF($A40="","",COUNTIFS(Sheet1!$H$2:$H$5214,$A40,Sheet1!$F$2:$F$5214,"&gt;="&amp;'SELECCIÓN YAMI'!$B$4,Sheet1!$F$2:$F$5214,"&lt;="&amp;'SELECCIÓN YAMI'!$B$6))</f>
        <v/>
      </c>
    </row>
    <row r="41" spans="1:15">
      <c r="A41" s="144"/>
      <c r="B41" s="145" t="str">
        <f>IF($A41="","",COUNTIFS(Sheet1!$H$2:$H$5214,$A41,Sheet1!$N$2:$N$5214,B$4,Sheet1!$F$2:$F$5214,"&gt;="&amp;'SELECCIÓN YAMI'!$B$4,Sheet1!$F$2:$F$5214,"&lt;="&amp;'SELECCIÓN YAMI'!$B$6))</f>
        <v/>
      </c>
      <c r="C41" s="145" t="str">
        <f>IF($A41="","",COUNTIFS(Sheet1!$H$2:$H$5214,$A41,Sheet1!$N$2:$N$5214,C$4,Sheet1!$F$2:$F$5214,"&gt;="&amp;'SELECCIÓN YAMI'!$B$4,Sheet1!$F$2:$F$5214,"&lt;="&amp;'SELECCIÓN YAMI'!$B$6))</f>
        <v/>
      </c>
      <c r="D41" s="145" t="str">
        <f>IF($A41="","",COUNTIFS(Sheet1!$H$2:$H$5214,$A41,Sheet1!$N$2:$N$5214,D$4,Sheet1!$F$2:$F$5214,"&gt;="&amp;'SELECCIÓN YAMI'!$B$4,Sheet1!$F$2:$F$5214,"&lt;="&amp;'SELECCIÓN YAMI'!$B$6))</f>
        <v/>
      </c>
      <c r="E41" s="145" t="str">
        <f>IF($A41="","",COUNTIFS(Sheet1!$H$2:$H$5214,$A41,Sheet1!$N$2:$N$5214,E$4,Sheet1!$F$2:$F$5214,"&gt;="&amp;'SELECCIÓN YAMI'!$B$4,Sheet1!$F$2:$F$5214,"&lt;="&amp;'SELECCIÓN YAMI'!$B$6))</f>
        <v/>
      </c>
      <c r="F41" s="145" t="str">
        <f>IF($A41="","",COUNTIFS(Sheet1!$H$2:$H$5214,$A41,Sheet1!$N$2:$N$5214,F$4,Sheet1!$F$2:$F$5214,"&gt;="&amp;'SELECCIÓN YAMI'!$B$4,Sheet1!$F$2:$F$5214,"&lt;="&amp;'SELECCIÓN YAMI'!$B$6))</f>
        <v/>
      </c>
      <c r="G41" s="145" t="str">
        <f>IF($A41="","",COUNTIFS(Sheet1!$H$2:$H$5214,$A41,Sheet1!$N$2:$N$5214,G$4,Sheet1!$F$2:$F$5214,"&gt;="&amp;'SELECCIÓN YAMI'!$B$4,Sheet1!$F$2:$F$5214,"&lt;="&amp;'SELECCIÓN YAMI'!$B$6))</f>
        <v/>
      </c>
      <c r="H41" s="145" t="str">
        <f>IF($A41="","",COUNTIFS(Sheet1!$H$2:$H$5214,$A41,Sheet1!$N$2:$N$5214,H$4,Sheet1!$F$2:$F$5214,"&gt;="&amp;'SELECCIÓN YAMI'!$B$4,Sheet1!$F$2:$F$5214,"&lt;="&amp;'SELECCIÓN YAMI'!$B$6))</f>
        <v/>
      </c>
      <c r="I41" s="145" t="str">
        <f>IF($A41="","",COUNTIFS(Sheet1!$H$2:$H$5214,$A41,Sheet1!$N$2:$N$5214,I$4,Sheet1!$F$2:$F$5214,"&gt;="&amp;'SELECCIÓN YAMI'!$B$4,Sheet1!$F$2:$F$5214,"&lt;="&amp;'SELECCIÓN YAMI'!$B$6))</f>
        <v/>
      </c>
      <c r="J41" s="146" t="str">
        <f>IF($A41="","",SUM(B41:I41))</f>
        <v/>
      </c>
      <c r="K41" s="147" t="str">
        <f>IF($A41="","",J41*'SELECCIÓN YAMI'!$B$7)</f>
        <v/>
      </c>
      <c r="L41" s="145" t="str">
        <f>IF($A41="","",COUNTIFS(Sheet1!$H$2:$H$5214,$A41,Sheet1!$N$2:$N$5214,L$4,Sheet1!$F$2:$F$5214,"&gt;="&amp;'SELECCIÓN YAMI'!$B$4,Sheet1!$F$2:$F$5214,"&lt;="&amp;'SELECCIÓN YAMI'!$B$6))</f>
        <v/>
      </c>
      <c r="M41" s="145" t="str">
        <f>IF($A41="","",COUNTIFS(Sheet1!$H$2:$H$5214,$A41,Sheet1!$N$2:$N$5214,M$4,Sheet1!$F$2:$F$5214,"&gt;="&amp;'SELECCIÓN YAMI'!$B$4,Sheet1!$F$2:$F$5214,"&lt;="&amp;'SELECCIÓN YAMI'!$B$6))</f>
        <v/>
      </c>
      <c r="N41" s="145" t="str">
        <f>IF($A41="","",COUNTIFS(Sheet1!$H$2:$H$5214,$A41,Sheet1!$N$2:$N$5214,N$4,Sheet1!$F$2:$F$5214,"&gt;="&amp;'SELECCIÓN YAMI'!$B$4,Sheet1!$F$2:$F$5214,"&lt;="&amp;'SELECCIÓN YAMI'!$B$6))</f>
        <v/>
      </c>
      <c r="O41" s="145" t="str">
        <f>IF($A41="","",COUNTIFS(Sheet1!$H$2:$H$5214,$A41,Sheet1!$F$2:$F$5214,"&gt;="&amp;'SELECCIÓN YAMI'!$B$4,Sheet1!$F$2:$F$5214,"&lt;="&amp;'SELECCIÓN YAMI'!$B$6))</f>
        <v/>
      </c>
    </row>
    <row r="42" spans="1:15">
      <c r="A42" s="144"/>
      <c r="B42" s="145" t="str">
        <f>IF($A42="","",COUNTIFS(Sheet1!$H$2:$H$5214,$A42,Sheet1!$N$2:$N$5214,B$4,Sheet1!$F$2:$F$5214,"&gt;="&amp;'SELECCIÓN YAMI'!$B$4,Sheet1!$F$2:$F$5214,"&lt;="&amp;'SELECCIÓN YAMI'!$B$6))</f>
        <v/>
      </c>
      <c r="C42" s="145" t="str">
        <f>IF($A42="","",COUNTIFS(Sheet1!$H$2:$H$5214,$A42,Sheet1!$N$2:$N$5214,C$4,Sheet1!$F$2:$F$5214,"&gt;="&amp;'SELECCIÓN YAMI'!$B$4,Sheet1!$F$2:$F$5214,"&lt;="&amp;'SELECCIÓN YAMI'!$B$6))</f>
        <v/>
      </c>
      <c r="D42" s="145" t="str">
        <f>IF($A42="","",COUNTIFS(Sheet1!$H$2:$H$5214,$A42,Sheet1!$N$2:$N$5214,D$4,Sheet1!$F$2:$F$5214,"&gt;="&amp;'SELECCIÓN YAMI'!$B$4,Sheet1!$F$2:$F$5214,"&lt;="&amp;'SELECCIÓN YAMI'!$B$6))</f>
        <v/>
      </c>
      <c r="E42" s="145" t="str">
        <f>IF($A42="","",COUNTIFS(Sheet1!$H$2:$H$5214,$A42,Sheet1!$N$2:$N$5214,E$4,Sheet1!$F$2:$F$5214,"&gt;="&amp;'SELECCIÓN YAMI'!$B$4,Sheet1!$F$2:$F$5214,"&lt;="&amp;'SELECCIÓN YAMI'!$B$6))</f>
        <v/>
      </c>
      <c r="F42" s="145" t="str">
        <f>IF($A42="","",COUNTIFS(Sheet1!$H$2:$H$5214,$A42,Sheet1!$N$2:$N$5214,F$4,Sheet1!$F$2:$F$5214,"&gt;="&amp;'SELECCIÓN YAMI'!$B$4,Sheet1!$F$2:$F$5214,"&lt;="&amp;'SELECCIÓN YAMI'!$B$6))</f>
        <v/>
      </c>
      <c r="G42" s="145" t="str">
        <f>IF($A42="","",COUNTIFS(Sheet1!$H$2:$H$5214,$A42,Sheet1!$N$2:$N$5214,G$4,Sheet1!$F$2:$F$5214,"&gt;="&amp;'SELECCIÓN YAMI'!$B$4,Sheet1!$F$2:$F$5214,"&lt;="&amp;'SELECCIÓN YAMI'!$B$6))</f>
        <v/>
      </c>
      <c r="H42" s="145" t="str">
        <f>IF($A42="","",COUNTIFS(Sheet1!$H$2:$H$5214,$A42,Sheet1!$N$2:$N$5214,H$4,Sheet1!$F$2:$F$5214,"&gt;="&amp;'SELECCIÓN YAMI'!$B$4,Sheet1!$F$2:$F$5214,"&lt;="&amp;'SELECCIÓN YAMI'!$B$6))</f>
        <v/>
      </c>
      <c r="I42" s="145" t="str">
        <f>IF($A42="","",COUNTIFS(Sheet1!$H$2:$H$5214,$A42,Sheet1!$N$2:$N$5214,I$4,Sheet1!$F$2:$F$5214,"&gt;="&amp;'SELECCIÓN YAMI'!$B$4,Sheet1!$F$2:$F$5214,"&lt;="&amp;'SELECCIÓN YAMI'!$B$6))</f>
        <v/>
      </c>
      <c r="J42" s="146" t="str">
        <f>IF($A42="","",SUM(B42:I42))</f>
        <v/>
      </c>
      <c r="K42" s="147" t="str">
        <f>IF($A42="","",J42*'SELECCIÓN YAMI'!$B$7)</f>
        <v/>
      </c>
      <c r="L42" s="145" t="str">
        <f>IF($A42="","",COUNTIFS(Sheet1!$H$2:$H$5214,$A42,Sheet1!$N$2:$N$5214,L$4,Sheet1!$F$2:$F$5214,"&gt;="&amp;'SELECCIÓN YAMI'!$B$4,Sheet1!$F$2:$F$5214,"&lt;="&amp;'SELECCIÓN YAMI'!$B$6))</f>
        <v/>
      </c>
      <c r="M42" s="145" t="str">
        <f>IF($A42="","",COUNTIFS(Sheet1!$H$2:$H$5214,$A42,Sheet1!$N$2:$N$5214,M$4,Sheet1!$F$2:$F$5214,"&gt;="&amp;'SELECCIÓN YAMI'!$B$4,Sheet1!$F$2:$F$5214,"&lt;="&amp;'SELECCIÓN YAMI'!$B$6))</f>
        <v/>
      </c>
      <c r="N42" s="145" t="str">
        <f>IF($A42="","",COUNTIFS(Sheet1!$H$2:$H$5214,$A42,Sheet1!$N$2:$N$5214,N$4,Sheet1!$F$2:$F$5214,"&gt;="&amp;'SELECCIÓN YAMI'!$B$4,Sheet1!$F$2:$F$5214,"&lt;="&amp;'SELECCIÓN YAMI'!$B$6))</f>
        <v/>
      </c>
      <c r="O42" s="145" t="str">
        <f>IF($A42="","",COUNTIFS(Sheet1!$H$2:$H$5214,$A42,Sheet1!$F$2:$F$5214,"&gt;="&amp;'SELECCIÓN YAMI'!$B$4,Sheet1!$F$2:$F$5214,"&lt;="&amp;'SELECCIÓN YAMI'!$B$6))</f>
        <v/>
      </c>
    </row>
    <row r="43" spans="1:15">
      <c r="A43" s="144"/>
      <c r="B43" s="145" t="str">
        <f>IF($A43="","",COUNTIFS(Sheet1!$H$2:$H$5214,$A43,Sheet1!$N$2:$N$5214,B$4,Sheet1!$F$2:$F$5214,"&gt;="&amp;'SELECCIÓN YAMI'!$B$4,Sheet1!$F$2:$F$5214,"&lt;="&amp;'SELECCIÓN YAMI'!$B$6))</f>
        <v/>
      </c>
      <c r="C43" s="145" t="str">
        <f>IF($A43="","",COUNTIFS(Sheet1!$H$2:$H$5214,$A43,Sheet1!$N$2:$N$5214,C$4,Sheet1!$F$2:$F$5214,"&gt;="&amp;'SELECCIÓN YAMI'!$B$4,Sheet1!$F$2:$F$5214,"&lt;="&amp;'SELECCIÓN YAMI'!$B$6))</f>
        <v/>
      </c>
      <c r="D43" s="145" t="str">
        <f>IF($A43="","",COUNTIFS(Sheet1!$H$2:$H$5214,$A43,Sheet1!$N$2:$N$5214,D$4,Sheet1!$F$2:$F$5214,"&gt;="&amp;'SELECCIÓN YAMI'!$B$4,Sheet1!$F$2:$F$5214,"&lt;="&amp;'SELECCIÓN YAMI'!$B$6))</f>
        <v/>
      </c>
      <c r="E43" s="145" t="str">
        <f>IF($A43="","",COUNTIFS(Sheet1!$H$2:$H$5214,$A43,Sheet1!$N$2:$N$5214,E$4,Sheet1!$F$2:$F$5214,"&gt;="&amp;'SELECCIÓN YAMI'!$B$4,Sheet1!$F$2:$F$5214,"&lt;="&amp;'SELECCIÓN YAMI'!$B$6))</f>
        <v/>
      </c>
      <c r="F43" s="145" t="str">
        <f>IF($A43="","",COUNTIFS(Sheet1!$H$2:$H$5214,$A43,Sheet1!$N$2:$N$5214,F$4,Sheet1!$F$2:$F$5214,"&gt;="&amp;'SELECCIÓN YAMI'!$B$4,Sheet1!$F$2:$F$5214,"&lt;="&amp;'SELECCIÓN YAMI'!$B$6))</f>
        <v/>
      </c>
      <c r="G43" s="145" t="str">
        <f>IF($A43="","",COUNTIFS(Sheet1!$H$2:$H$5214,$A43,Sheet1!$N$2:$N$5214,G$4,Sheet1!$F$2:$F$5214,"&gt;="&amp;'SELECCIÓN YAMI'!$B$4,Sheet1!$F$2:$F$5214,"&lt;="&amp;'SELECCIÓN YAMI'!$B$6))</f>
        <v/>
      </c>
      <c r="H43" s="145" t="str">
        <f>IF($A43="","",COUNTIFS(Sheet1!$H$2:$H$5214,$A43,Sheet1!$N$2:$N$5214,H$4,Sheet1!$F$2:$F$5214,"&gt;="&amp;'SELECCIÓN YAMI'!$B$4,Sheet1!$F$2:$F$5214,"&lt;="&amp;'SELECCIÓN YAMI'!$B$6))</f>
        <v/>
      </c>
      <c r="I43" s="145" t="str">
        <f>IF($A43="","",COUNTIFS(Sheet1!$H$2:$H$5214,$A43,Sheet1!$N$2:$N$5214,I$4,Sheet1!$F$2:$F$5214,"&gt;="&amp;'SELECCIÓN YAMI'!$B$4,Sheet1!$F$2:$F$5214,"&lt;="&amp;'SELECCIÓN YAMI'!$B$6))</f>
        <v/>
      </c>
      <c r="J43" s="146" t="str">
        <f>IF($A43="","",SUM(B43:I43))</f>
        <v/>
      </c>
      <c r="K43" s="147" t="str">
        <f>IF($A43="","",J43*'SELECCIÓN YAMI'!$B$7)</f>
        <v/>
      </c>
      <c r="L43" s="145" t="str">
        <f>IF($A43="","",COUNTIFS(Sheet1!$H$2:$H$5214,$A43,Sheet1!$N$2:$N$5214,L$4,Sheet1!$F$2:$F$5214,"&gt;="&amp;'SELECCIÓN YAMI'!$B$4,Sheet1!$F$2:$F$5214,"&lt;="&amp;'SELECCIÓN YAMI'!$B$6))</f>
        <v/>
      </c>
      <c r="M43" s="145" t="str">
        <f>IF($A43="","",COUNTIFS(Sheet1!$H$2:$H$5214,$A43,Sheet1!$N$2:$N$5214,M$4,Sheet1!$F$2:$F$5214,"&gt;="&amp;'SELECCIÓN YAMI'!$B$4,Sheet1!$F$2:$F$5214,"&lt;="&amp;'SELECCIÓN YAMI'!$B$6))</f>
        <v/>
      </c>
      <c r="N43" s="145" t="str">
        <f>IF($A43="","",COUNTIFS(Sheet1!$H$2:$H$5214,$A43,Sheet1!$N$2:$N$5214,N$4,Sheet1!$F$2:$F$5214,"&gt;="&amp;'SELECCIÓN YAMI'!$B$4,Sheet1!$F$2:$F$5214,"&lt;="&amp;'SELECCIÓN YAMI'!$B$6))</f>
        <v/>
      </c>
      <c r="O43" s="145" t="str">
        <f>IF($A43="","",COUNTIFS(Sheet1!$H$2:$H$5214,$A43,Sheet1!$F$2:$F$5214,"&gt;="&amp;'SELECCIÓN YAMI'!$B$4,Sheet1!$F$2:$F$5214,"&lt;="&amp;'SELECCIÓN YAMI'!$B$6))</f>
        <v/>
      </c>
    </row>
    <row r="44" spans="1:15">
      <c r="A44" s="144"/>
      <c r="B44" s="145" t="str">
        <f>IF($A44="","",COUNTIFS(Sheet1!$H$2:$H$5214,$A44,Sheet1!$N$2:$N$5214,B$4,Sheet1!$F$2:$F$5214,"&gt;="&amp;'SELECCIÓN YAMI'!$B$4,Sheet1!$F$2:$F$5214,"&lt;="&amp;'SELECCIÓN YAMI'!$B$6))</f>
        <v/>
      </c>
      <c r="C44" s="145" t="str">
        <f>IF($A44="","",COUNTIFS(Sheet1!$H$2:$H$5214,$A44,Sheet1!$N$2:$N$5214,C$4,Sheet1!$F$2:$F$5214,"&gt;="&amp;'SELECCIÓN YAMI'!$B$4,Sheet1!$F$2:$F$5214,"&lt;="&amp;'SELECCIÓN YAMI'!$B$6))</f>
        <v/>
      </c>
      <c r="D44" s="145" t="str">
        <f>IF($A44="","",COUNTIFS(Sheet1!$H$2:$H$5214,$A44,Sheet1!$N$2:$N$5214,D$4,Sheet1!$F$2:$F$5214,"&gt;="&amp;'SELECCIÓN YAMI'!$B$4,Sheet1!$F$2:$F$5214,"&lt;="&amp;'SELECCIÓN YAMI'!$B$6))</f>
        <v/>
      </c>
      <c r="E44" s="145" t="str">
        <f>IF($A44="","",COUNTIFS(Sheet1!$H$2:$H$5214,$A44,Sheet1!$N$2:$N$5214,E$4,Sheet1!$F$2:$F$5214,"&gt;="&amp;'SELECCIÓN YAMI'!$B$4,Sheet1!$F$2:$F$5214,"&lt;="&amp;'SELECCIÓN YAMI'!$B$6))</f>
        <v/>
      </c>
      <c r="F44" s="145" t="str">
        <f>IF($A44="","",COUNTIFS(Sheet1!$H$2:$H$5214,$A44,Sheet1!$N$2:$N$5214,F$4,Sheet1!$F$2:$F$5214,"&gt;="&amp;'SELECCIÓN YAMI'!$B$4,Sheet1!$F$2:$F$5214,"&lt;="&amp;'SELECCIÓN YAMI'!$B$6))</f>
        <v/>
      </c>
      <c r="G44" s="145" t="str">
        <f>IF($A44="","",COUNTIFS(Sheet1!$H$2:$H$5214,$A44,Sheet1!$N$2:$N$5214,G$4,Sheet1!$F$2:$F$5214,"&gt;="&amp;'SELECCIÓN YAMI'!$B$4,Sheet1!$F$2:$F$5214,"&lt;="&amp;'SELECCIÓN YAMI'!$B$6))</f>
        <v/>
      </c>
      <c r="H44" s="145" t="str">
        <f>IF($A44="","",COUNTIFS(Sheet1!$H$2:$H$5214,$A44,Sheet1!$N$2:$N$5214,H$4,Sheet1!$F$2:$F$5214,"&gt;="&amp;'SELECCIÓN YAMI'!$B$4,Sheet1!$F$2:$F$5214,"&lt;="&amp;'SELECCIÓN YAMI'!$B$6))</f>
        <v/>
      </c>
      <c r="I44" s="145" t="str">
        <f>IF($A44="","",COUNTIFS(Sheet1!$H$2:$H$5214,$A44,Sheet1!$N$2:$N$5214,I$4,Sheet1!$F$2:$F$5214,"&gt;="&amp;'SELECCIÓN YAMI'!$B$4,Sheet1!$F$2:$F$5214,"&lt;="&amp;'SELECCIÓN YAMI'!$B$6))</f>
        <v/>
      </c>
      <c r="J44" s="146" t="str">
        <f>IF($A44="","",SUM(B44:I44))</f>
        <v/>
      </c>
      <c r="K44" s="147" t="str">
        <f>IF($A44="","",J44*'SELECCIÓN YAMI'!$B$7)</f>
        <v/>
      </c>
      <c r="L44" s="145" t="str">
        <f>IF($A44="","",COUNTIFS(Sheet1!$H$2:$H$5214,$A44,Sheet1!$N$2:$N$5214,L$4,Sheet1!$F$2:$F$5214,"&gt;="&amp;'SELECCIÓN YAMI'!$B$4,Sheet1!$F$2:$F$5214,"&lt;="&amp;'SELECCIÓN YAMI'!$B$6))</f>
        <v/>
      </c>
      <c r="M44" s="145" t="str">
        <f>IF($A44="","",COUNTIFS(Sheet1!$H$2:$H$5214,$A44,Sheet1!$N$2:$N$5214,M$4,Sheet1!$F$2:$F$5214,"&gt;="&amp;'SELECCIÓN YAMI'!$B$4,Sheet1!$F$2:$F$5214,"&lt;="&amp;'SELECCIÓN YAMI'!$B$6))</f>
        <v/>
      </c>
      <c r="N44" s="145" t="str">
        <f>IF($A44="","",COUNTIFS(Sheet1!$H$2:$H$5214,$A44,Sheet1!$N$2:$N$5214,N$4,Sheet1!$F$2:$F$5214,"&gt;="&amp;'SELECCIÓN YAMI'!$B$4,Sheet1!$F$2:$F$5214,"&lt;="&amp;'SELECCIÓN YAMI'!$B$6))</f>
        <v/>
      </c>
      <c r="O44" s="145" t="str">
        <f>IF($A44="","",COUNTIFS(Sheet1!$H$2:$H$5214,$A44,Sheet1!$F$2:$F$5214,"&gt;="&amp;'SELECCIÓN YAMI'!$B$4,Sheet1!$F$2:$F$5214,"&lt;="&amp;'SELECCIÓN YAMI'!$B$6))</f>
        <v/>
      </c>
    </row>
    <row r="45" spans="1:15">
      <c r="A45" s="144"/>
      <c r="B45" s="145" t="str">
        <f>IF($A45="","",COUNTIFS(Sheet1!$H$2:$H$5214,$A45,Sheet1!$N$2:$N$5214,B$4,Sheet1!$F$2:$F$5214,"&gt;="&amp;'SELECCIÓN YAMI'!$B$4,Sheet1!$F$2:$F$5214,"&lt;="&amp;'SELECCIÓN YAMI'!$B$6))</f>
        <v/>
      </c>
      <c r="C45" s="145" t="str">
        <f>IF($A45="","",COUNTIFS(Sheet1!$H$2:$H$5214,$A45,Sheet1!$N$2:$N$5214,C$4,Sheet1!$F$2:$F$5214,"&gt;="&amp;'SELECCIÓN YAMI'!$B$4,Sheet1!$F$2:$F$5214,"&lt;="&amp;'SELECCIÓN YAMI'!$B$6))</f>
        <v/>
      </c>
      <c r="D45" s="145" t="str">
        <f>IF($A45="","",COUNTIFS(Sheet1!$H$2:$H$5214,$A45,Sheet1!$N$2:$N$5214,D$4,Sheet1!$F$2:$F$5214,"&gt;="&amp;'SELECCIÓN YAMI'!$B$4,Sheet1!$F$2:$F$5214,"&lt;="&amp;'SELECCIÓN YAMI'!$B$6))</f>
        <v/>
      </c>
      <c r="E45" s="145" t="str">
        <f>IF($A45="","",COUNTIFS(Sheet1!$H$2:$H$5214,$A45,Sheet1!$N$2:$N$5214,E$4,Sheet1!$F$2:$F$5214,"&gt;="&amp;'SELECCIÓN YAMI'!$B$4,Sheet1!$F$2:$F$5214,"&lt;="&amp;'SELECCIÓN YAMI'!$B$6))</f>
        <v/>
      </c>
      <c r="F45" s="145" t="str">
        <f>IF($A45="","",COUNTIFS(Sheet1!$H$2:$H$5214,$A45,Sheet1!$N$2:$N$5214,F$4,Sheet1!$F$2:$F$5214,"&gt;="&amp;'SELECCIÓN YAMI'!$B$4,Sheet1!$F$2:$F$5214,"&lt;="&amp;'SELECCIÓN YAMI'!$B$6))</f>
        <v/>
      </c>
      <c r="G45" s="145" t="str">
        <f>IF($A45="","",COUNTIFS(Sheet1!$H$2:$H$5214,$A45,Sheet1!$N$2:$N$5214,G$4,Sheet1!$F$2:$F$5214,"&gt;="&amp;'SELECCIÓN YAMI'!$B$4,Sheet1!$F$2:$F$5214,"&lt;="&amp;'SELECCIÓN YAMI'!$B$6))</f>
        <v/>
      </c>
      <c r="H45" s="145" t="str">
        <f>IF($A45="","",COUNTIFS(Sheet1!$H$2:$H$5214,$A45,Sheet1!$N$2:$N$5214,H$4,Sheet1!$F$2:$F$5214,"&gt;="&amp;'SELECCIÓN YAMI'!$B$4,Sheet1!$F$2:$F$5214,"&lt;="&amp;'SELECCIÓN YAMI'!$B$6))</f>
        <v/>
      </c>
      <c r="I45" s="145" t="str">
        <f>IF($A45="","",COUNTIFS(Sheet1!$H$2:$H$5214,$A45,Sheet1!$N$2:$N$5214,I$4,Sheet1!$F$2:$F$5214,"&gt;="&amp;'SELECCIÓN YAMI'!$B$4,Sheet1!$F$2:$F$5214,"&lt;="&amp;'SELECCIÓN YAMI'!$B$6))</f>
        <v/>
      </c>
      <c r="J45" s="146" t="str">
        <f>IF($A45="","",SUM(B45:I45))</f>
        <v/>
      </c>
      <c r="K45" s="147" t="str">
        <f>IF($A45="","",J45*'SELECCIÓN YAMI'!$B$7)</f>
        <v/>
      </c>
      <c r="L45" s="145" t="str">
        <f>IF($A45="","",COUNTIFS(Sheet1!$H$2:$H$5214,$A45,Sheet1!$N$2:$N$5214,L$4,Sheet1!$F$2:$F$5214,"&gt;="&amp;'SELECCIÓN YAMI'!$B$4,Sheet1!$F$2:$F$5214,"&lt;="&amp;'SELECCIÓN YAMI'!$B$6))</f>
        <v/>
      </c>
      <c r="M45" s="145" t="str">
        <f>IF($A45="","",COUNTIFS(Sheet1!$H$2:$H$5214,$A45,Sheet1!$N$2:$N$5214,M$4,Sheet1!$F$2:$F$5214,"&gt;="&amp;'SELECCIÓN YAMI'!$B$4,Sheet1!$F$2:$F$5214,"&lt;="&amp;'SELECCIÓN YAMI'!$B$6))</f>
        <v/>
      </c>
      <c r="N45" s="145" t="str">
        <f>IF($A45="","",COUNTIFS(Sheet1!$H$2:$H$5214,$A45,Sheet1!$N$2:$N$5214,N$4,Sheet1!$F$2:$F$5214,"&gt;="&amp;'SELECCIÓN YAMI'!$B$4,Sheet1!$F$2:$F$5214,"&lt;="&amp;'SELECCIÓN YAMI'!$B$6))</f>
        <v/>
      </c>
      <c r="O45" s="145" t="str">
        <f>IF($A45="","",COUNTIFS(Sheet1!$H$2:$H$5214,$A45,Sheet1!$F$2:$F$5214,"&gt;="&amp;'SELECCIÓN YAMI'!$B$4,Sheet1!$F$2:$F$5214,"&lt;="&amp;'SELECCIÓN YAMI'!$B$6))</f>
        <v/>
      </c>
    </row>
    <row r="46" spans="1:15">
      <c r="A46" s="144"/>
      <c r="B46" s="145" t="str">
        <f>IF($A46="","",COUNTIFS(Sheet1!$H$2:$H$5214,$A46,Sheet1!$N$2:$N$5214,B$4,Sheet1!$F$2:$F$5214,"&gt;="&amp;'SELECCIÓN YAMI'!$B$4,Sheet1!$F$2:$F$5214,"&lt;="&amp;'SELECCIÓN YAMI'!$B$6))</f>
        <v/>
      </c>
      <c r="C46" s="145" t="str">
        <f>IF($A46="","",COUNTIFS(Sheet1!$H$2:$H$5214,$A46,Sheet1!$N$2:$N$5214,C$4,Sheet1!$F$2:$F$5214,"&gt;="&amp;'SELECCIÓN YAMI'!$B$4,Sheet1!$F$2:$F$5214,"&lt;="&amp;'SELECCIÓN YAMI'!$B$6))</f>
        <v/>
      </c>
      <c r="D46" s="145" t="str">
        <f>IF($A46="","",COUNTIFS(Sheet1!$H$2:$H$5214,$A46,Sheet1!$N$2:$N$5214,D$4,Sheet1!$F$2:$F$5214,"&gt;="&amp;'SELECCIÓN YAMI'!$B$4,Sheet1!$F$2:$F$5214,"&lt;="&amp;'SELECCIÓN YAMI'!$B$6))</f>
        <v/>
      </c>
      <c r="E46" s="145" t="str">
        <f>IF($A46="","",COUNTIFS(Sheet1!$H$2:$H$5214,$A46,Sheet1!$N$2:$N$5214,E$4,Sheet1!$F$2:$F$5214,"&gt;="&amp;'SELECCIÓN YAMI'!$B$4,Sheet1!$F$2:$F$5214,"&lt;="&amp;'SELECCIÓN YAMI'!$B$6))</f>
        <v/>
      </c>
      <c r="F46" s="145" t="str">
        <f>IF($A46="","",COUNTIFS(Sheet1!$H$2:$H$5214,$A46,Sheet1!$N$2:$N$5214,F$4,Sheet1!$F$2:$F$5214,"&gt;="&amp;'SELECCIÓN YAMI'!$B$4,Sheet1!$F$2:$F$5214,"&lt;="&amp;'SELECCIÓN YAMI'!$B$6))</f>
        <v/>
      </c>
      <c r="G46" s="145" t="str">
        <f>IF($A46="","",COUNTIFS(Sheet1!$H$2:$H$5214,$A46,Sheet1!$N$2:$N$5214,G$4,Sheet1!$F$2:$F$5214,"&gt;="&amp;'SELECCIÓN YAMI'!$B$4,Sheet1!$F$2:$F$5214,"&lt;="&amp;'SELECCIÓN YAMI'!$B$6))</f>
        <v/>
      </c>
      <c r="H46" s="145" t="str">
        <f>IF($A46="","",COUNTIFS(Sheet1!$H$2:$H$5214,$A46,Sheet1!$N$2:$N$5214,H$4,Sheet1!$F$2:$F$5214,"&gt;="&amp;'SELECCIÓN YAMI'!$B$4,Sheet1!$F$2:$F$5214,"&lt;="&amp;'SELECCIÓN YAMI'!$B$6))</f>
        <v/>
      </c>
      <c r="I46" s="145" t="str">
        <f>IF($A46="","",COUNTIFS(Sheet1!$H$2:$H$5214,$A46,Sheet1!$N$2:$N$5214,I$4,Sheet1!$F$2:$F$5214,"&gt;="&amp;'SELECCIÓN YAMI'!$B$4,Sheet1!$F$2:$F$5214,"&lt;="&amp;'SELECCIÓN YAMI'!$B$6))</f>
        <v/>
      </c>
      <c r="J46" s="146" t="str">
        <f>IF($A46="","",SUM(B46:I46))</f>
        <v/>
      </c>
      <c r="K46" s="147" t="str">
        <f>IF($A46="","",J46*'SELECCIÓN YAMI'!$B$7)</f>
        <v/>
      </c>
      <c r="L46" s="145" t="str">
        <f>IF($A46="","",COUNTIFS(Sheet1!$H$2:$H$5214,$A46,Sheet1!$N$2:$N$5214,L$4,Sheet1!$F$2:$F$5214,"&gt;="&amp;'SELECCIÓN YAMI'!$B$4,Sheet1!$F$2:$F$5214,"&lt;="&amp;'SELECCIÓN YAMI'!$B$6))</f>
        <v/>
      </c>
      <c r="M46" s="145" t="str">
        <f>IF($A46="","",COUNTIFS(Sheet1!$H$2:$H$5214,$A46,Sheet1!$N$2:$N$5214,M$4,Sheet1!$F$2:$F$5214,"&gt;="&amp;'SELECCIÓN YAMI'!$B$4,Sheet1!$F$2:$F$5214,"&lt;="&amp;'SELECCIÓN YAMI'!$B$6))</f>
        <v/>
      </c>
      <c r="N46" s="145" t="str">
        <f>IF($A46="","",COUNTIFS(Sheet1!$H$2:$H$5214,$A46,Sheet1!$N$2:$N$5214,N$4,Sheet1!$F$2:$F$5214,"&gt;="&amp;'SELECCIÓN YAMI'!$B$4,Sheet1!$F$2:$F$5214,"&lt;="&amp;'SELECCIÓN YAMI'!$B$6))</f>
        <v/>
      </c>
      <c r="O46" s="145" t="str">
        <f>IF($A46="","",COUNTIFS(Sheet1!$H$2:$H$5214,$A46,Sheet1!$F$2:$F$5214,"&gt;="&amp;'SELECCIÓN YAMI'!$B$4,Sheet1!$F$2:$F$5214,"&lt;="&amp;'SELECCIÓN YAMI'!$B$6))</f>
        <v/>
      </c>
    </row>
    <row r="47" spans="1:15">
      <c r="A47" s="144"/>
      <c r="B47" s="145" t="str">
        <f>IF($A47="","",COUNTIFS(Sheet1!$H$2:$H$5214,$A47,Sheet1!$N$2:$N$5214,B$4,Sheet1!$F$2:$F$5214,"&gt;="&amp;'SELECCIÓN YAMI'!$B$4,Sheet1!$F$2:$F$5214,"&lt;="&amp;'SELECCIÓN YAMI'!$B$6))</f>
        <v/>
      </c>
      <c r="C47" s="145" t="str">
        <f>IF($A47="","",COUNTIFS(Sheet1!$H$2:$H$5214,$A47,Sheet1!$N$2:$N$5214,C$4,Sheet1!$F$2:$F$5214,"&gt;="&amp;'SELECCIÓN YAMI'!$B$4,Sheet1!$F$2:$F$5214,"&lt;="&amp;'SELECCIÓN YAMI'!$B$6))</f>
        <v/>
      </c>
      <c r="D47" s="145" t="str">
        <f>IF($A47="","",COUNTIFS(Sheet1!$H$2:$H$5214,$A47,Sheet1!$N$2:$N$5214,D$4,Sheet1!$F$2:$F$5214,"&gt;="&amp;'SELECCIÓN YAMI'!$B$4,Sheet1!$F$2:$F$5214,"&lt;="&amp;'SELECCIÓN YAMI'!$B$6))</f>
        <v/>
      </c>
      <c r="E47" s="145" t="str">
        <f>IF($A47="","",COUNTIFS(Sheet1!$H$2:$H$5214,$A47,Sheet1!$N$2:$N$5214,E$4,Sheet1!$F$2:$F$5214,"&gt;="&amp;'SELECCIÓN YAMI'!$B$4,Sheet1!$F$2:$F$5214,"&lt;="&amp;'SELECCIÓN YAMI'!$B$6))</f>
        <v/>
      </c>
      <c r="F47" s="145" t="str">
        <f>IF($A47="","",COUNTIFS(Sheet1!$H$2:$H$5214,$A47,Sheet1!$N$2:$N$5214,F$4,Sheet1!$F$2:$F$5214,"&gt;="&amp;'SELECCIÓN YAMI'!$B$4,Sheet1!$F$2:$F$5214,"&lt;="&amp;'SELECCIÓN YAMI'!$B$6))</f>
        <v/>
      </c>
      <c r="G47" s="145" t="str">
        <f>IF($A47="","",COUNTIFS(Sheet1!$H$2:$H$5214,$A47,Sheet1!$N$2:$N$5214,G$4,Sheet1!$F$2:$F$5214,"&gt;="&amp;'SELECCIÓN YAMI'!$B$4,Sheet1!$F$2:$F$5214,"&lt;="&amp;'SELECCIÓN YAMI'!$B$6))</f>
        <v/>
      </c>
      <c r="H47" s="145" t="str">
        <f>IF($A47="","",COUNTIFS(Sheet1!$H$2:$H$5214,$A47,Sheet1!$N$2:$N$5214,H$4,Sheet1!$F$2:$F$5214,"&gt;="&amp;'SELECCIÓN YAMI'!$B$4,Sheet1!$F$2:$F$5214,"&lt;="&amp;'SELECCIÓN YAMI'!$B$6))</f>
        <v/>
      </c>
      <c r="I47" s="145" t="str">
        <f>IF($A47="","",COUNTIFS(Sheet1!$H$2:$H$5214,$A47,Sheet1!$N$2:$N$5214,I$4,Sheet1!$F$2:$F$5214,"&gt;="&amp;'SELECCIÓN YAMI'!$B$4,Sheet1!$F$2:$F$5214,"&lt;="&amp;'SELECCIÓN YAMI'!$B$6))</f>
        <v/>
      </c>
      <c r="J47" s="146" t="str">
        <f>IF($A47="","",SUM(B47:I47))</f>
        <v/>
      </c>
      <c r="K47" s="147" t="str">
        <f>IF($A47="","",J47*'SELECCIÓN YAMI'!$B$7)</f>
        <v/>
      </c>
      <c r="L47" s="145" t="str">
        <f>IF($A47="","",COUNTIFS(Sheet1!$H$2:$H$5214,$A47,Sheet1!$N$2:$N$5214,L$4,Sheet1!$F$2:$F$5214,"&gt;="&amp;'SELECCIÓN YAMI'!$B$4,Sheet1!$F$2:$F$5214,"&lt;="&amp;'SELECCIÓN YAMI'!$B$6))</f>
        <v/>
      </c>
      <c r="M47" s="145" t="str">
        <f>IF($A47="","",COUNTIFS(Sheet1!$H$2:$H$5214,$A47,Sheet1!$N$2:$N$5214,M$4,Sheet1!$F$2:$F$5214,"&gt;="&amp;'SELECCIÓN YAMI'!$B$4,Sheet1!$F$2:$F$5214,"&lt;="&amp;'SELECCIÓN YAMI'!$B$6))</f>
        <v/>
      </c>
      <c r="N47" s="145" t="str">
        <f>IF($A47="","",COUNTIFS(Sheet1!$H$2:$H$5214,$A47,Sheet1!$N$2:$N$5214,N$4,Sheet1!$F$2:$F$5214,"&gt;="&amp;'SELECCIÓN YAMI'!$B$4,Sheet1!$F$2:$F$5214,"&lt;="&amp;'SELECCIÓN YAMI'!$B$6))</f>
        <v/>
      </c>
      <c r="O47" s="145" t="str">
        <f>IF($A47="","",COUNTIFS(Sheet1!$H$2:$H$5214,$A47,Sheet1!$F$2:$F$5214,"&gt;="&amp;'SELECCIÓN YAMI'!$B$4,Sheet1!$F$2:$F$5214,"&lt;="&amp;'SELECCIÓN YAMI'!$B$6))</f>
        <v/>
      </c>
    </row>
    <row r="48" spans="1:15">
      <c r="A48" s="144"/>
      <c r="B48" s="145" t="str">
        <f>IF($A48="","",COUNTIFS(Sheet1!$H$2:$H$5214,$A48,Sheet1!$N$2:$N$5214,B$4,Sheet1!$F$2:$F$5214,"&gt;="&amp;'SELECCIÓN YAMI'!$B$4,Sheet1!$F$2:$F$5214,"&lt;="&amp;'SELECCIÓN YAMI'!$B$6))</f>
        <v/>
      </c>
      <c r="C48" s="145" t="str">
        <f>IF($A48="","",COUNTIFS(Sheet1!$H$2:$H$5214,$A48,Sheet1!$N$2:$N$5214,C$4,Sheet1!$F$2:$F$5214,"&gt;="&amp;'SELECCIÓN YAMI'!$B$4,Sheet1!$F$2:$F$5214,"&lt;="&amp;'SELECCIÓN YAMI'!$B$6))</f>
        <v/>
      </c>
      <c r="D48" s="145" t="str">
        <f>IF($A48="","",COUNTIFS(Sheet1!$H$2:$H$5214,$A48,Sheet1!$N$2:$N$5214,D$4,Sheet1!$F$2:$F$5214,"&gt;="&amp;'SELECCIÓN YAMI'!$B$4,Sheet1!$F$2:$F$5214,"&lt;="&amp;'SELECCIÓN YAMI'!$B$6))</f>
        <v/>
      </c>
      <c r="E48" s="145" t="str">
        <f>IF($A48="","",COUNTIFS(Sheet1!$H$2:$H$5214,$A48,Sheet1!$N$2:$N$5214,E$4,Sheet1!$F$2:$F$5214,"&gt;="&amp;'SELECCIÓN YAMI'!$B$4,Sheet1!$F$2:$F$5214,"&lt;="&amp;'SELECCIÓN YAMI'!$B$6))</f>
        <v/>
      </c>
      <c r="F48" s="145" t="str">
        <f>IF($A48="","",COUNTIFS(Sheet1!$H$2:$H$5214,$A48,Sheet1!$N$2:$N$5214,F$4,Sheet1!$F$2:$F$5214,"&gt;="&amp;'SELECCIÓN YAMI'!$B$4,Sheet1!$F$2:$F$5214,"&lt;="&amp;'SELECCIÓN YAMI'!$B$6))</f>
        <v/>
      </c>
      <c r="G48" s="145" t="str">
        <f>IF($A48="","",COUNTIFS(Sheet1!$H$2:$H$5214,$A48,Sheet1!$N$2:$N$5214,G$4,Sheet1!$F$2:$F$5214,"&gt;="&amp;'SELECCIÓN YAMI'!$B$4,Sheet1!$F$2:$F$5214,"&lt;="&amp;'SELECCIÓN YAMI'!$B$6))</f>
        <v/>
      </c>
      <c r="H48" s="145" t="str">
        <f>IF($A48="","",COUNTIFS(Sheet1!$H$2:$H$5214,$A48,Sheet1!$N$2:$N$5214,H$4,Sheet1!$F$2:$F$5214,"&gt;="&amp;'SELECCIÓN YAMI'!$B$4,Sheet1!$F$2:$F$5214,"&lt;="&amp;'SELECCIÓN YAMI'!$B$6))</f>
        <v/>
      </c>
      <c r="I48" s="145" t="str">
        <f>IF($A48="","",COUNTIFS(Sheet1!$H$2:$H$5214,$A48,Sheet1!$N$2:$N$5214,I$4,Sheet1!$F$2:$F$5214,"&gt;="&amp;'SELECCIÓN YAMI'!$B$4,Sheet1!$F$2:$F$5214,"&lt;="&amp;'SELECCIÓN YAMI'!$B$6))</f>
        <v/>
      </c>
      <c r="J48" s="146" t="str">
        <f>IF($A48="","",SUM(B48:I48))</f>
        <v/>
      </c>
      <c r="K48" s="147" t="str">
        <f>IF($A48="","",J48*'SELECCIÓN YAMI'!$B$7)</f>
        <v/>
      </c>
      <c r="L48" s="145" t="str">
        <f>IF($A48="","",COUNTIFS(Sheet1!$H$2:$H$5214,$A48,Sheet1!$N$2:$N$5214,L$4,Sheet1!$F$2:$F$5214,"&gt;="&amp;'SELECCIÓN YAMI'!$B$4,Sheet1!$F$2:$F$5214,"&lt;="&amp;'SELECCIÓN YAMI'!$B$6))</f>
        <v/>
      </c>
      <c r="M48" s="145" t="str">
        <f>IF($A48="","",COUNTIFS(Sheet1!$H$2:$H$5214,$A48,Sheet1!$N$2:$N$5214,M$4,Sheet1!$F$2:$F$5214,"&gt;="&amp;'SELECCIÓN YAMI'!$B$4,Sheet1!$F$2:$F$5214,"&lt;="&amp;'SELECCIÓN YAMI'!$B$6))</f>
        <v/>
      </c>
      <c r="N48" s="145" t="str">
        <f>IF($A48="","",COUNTIFS(Sheet1!$H$2:$H$5214,$A48,Sheet1!$N$2:$N$5214,N$4,Sheet1!$F$2:$F$5214,"&gt;="&amp;'SELECCIÓN YAMI'!$B$4,Sheet1!$F$2:$F$5214,"&lt;="&amp;'SELECCIÓN YAMI'!$B$6))</f>
        <v/>
      </c>
      <c r="O48" s="145" t="str">
        <f>IF($A48="","",COUNTIFS(Sheet1!$H$2:$H$5214,$A48,Sheet1!$F$2:$F$5214,"&gt;="&amp;'SELECCIÓN YAMI'!$B$4,Sheet1!$F$2:$F$5214,"&lt;="&amp;'SELECCIÓN YAMI'!$B$6))</f>
        <v/>
      </c>
    </row>
    <row r="49" spans="1:15">
      <c r="A49" s="144"/>
      <c r="B49" s="145" t="str">
        <f>IF($A49="","",COUNTIFS(Sheet1!$H$2:$H$5214,$A49,Sheet1!$N$2:$N$5214,B$4,Sheet1!$F$2:$F$5214,"&gt;="&amp;'SELECCIÓN YAMI'!$B$4,Sheet1!$F$2:$F$5214,"&lt;="&amp;'SELECCIÓN YAMI'!$B$6))</f>
        <v/>
      </c>
      <c r="C49" s="145" t="str">
        <f>IF($A49="","",COUNTIFS(Sheet1!$H$2:$H$5214,$A49,Sheet1!$N$2:$N$5214,C$4,Sheet1!$F$2:$F$5214,"&gt;="&amp;'SELECCIÓN YAMI'!$B$4,Sheet1!$F$2:$F$5214,"&lt;="&amp;'SELECCIÓN YAMI'!$B$6))</f>
        <v/>
      </c>
      <c r="D49" s="145" t="str">
        <f>IF($A49="","",COUNTIFS(Sheet1!$H$2:$H$5214,$A49,Sheet1!$N$2:$N$5214,D$4,Sheet1!$F$2:$F$5214,"&gt;="&amp;'SELECCIÓN YAMI'!$B$4,Sheet1!$F$2:$F$5214,"&lt;="&amp;'SELECCIÓN YAMI'!$B$6))</f>
        <v/>
      </c>
      <c r="E49" s="145" t="str">
        <f>IF($A49="","",COUNTIFS(Sheet1!$H$2:$H$5214,$A49,Sheet1!$N$2:$N$5214,E$4,Sheet1!$F$2:$F$5214,"&gt;="&amp;'SELECCIÓN YAMI'!$B$4,Sheet1!$F$2:$F$5214,"&lt;="&amp;'SELECCIÓN YAMI'!$B$6))</f>
        <v/>
      </c>
      <c r="F49" s="145" t="str">
        <f>IF($A49="","",COUNTIFS(Sheet1!$H$2:$H$5214,$A49,Sheet1!$N$2:$N$5214,F$4,Sheet1!$F$2:$F$5214,"&gt;="&amp;'SELECCIÓN YAMI'!$B$4,Sheet1!$F$2:$F$5214,"&lt;="&amp;'SELECCIÓN YAMI'!$B$6))</f>
        <v/>
      </c>
      <c r="G49" s="145" t="str">
        <f>IF($A49="","",COUNTIFS(Sheet1!$H$2:$H$5214,$A49,Sheet1!$N$2:$N$5214,G$4,Sheet1!$F$2:$F$5214,"&gt;="&amp;'SELECCIÓN YAMI'!$B$4,Sheet1!$F$2:$F$5214,"&lt;="&amp;'SELECCIÓN YAMI'!$B$6))</f>
        <v/>
      </c>
      <c r="H49" s="145" t="str">
        <f>IF($A49="","",COUNTIFS(Sheet1!$H$2:$H$5214,$A49,Sheet1!$N$2:$N$5214,H$4,Sheet1!$F$2:$F$5214,"&gt;="&amp;'SELECCIÓN YAMI'!$B$4,Sheet1!$F$2:$F$5214,"&lt;="&amp;'SELECCIÓN YAMI'!$B$6))</f>
        <v/>
      </c>
      <c r="I49" s="145" t="str">
        <f>IF($A49="","",COUNTIFS(Sheet1!$H$2:$H$5214,$A49,Sheet1!$N$2:$N$5214,I$4,Sheet1!$F$2:$F$5214,"&gt;="&amp;'SELECCIÓN YAMI'!$B$4,Sheet1!$F$2:$F$5214,"&lt;="&amp;'SELECCIÓN YAMI'!$B$6))</f>
        <v/>
      </c>
      <c r="J49" s="146" t="str">
        <f>IF($A49="","",SUM(B49:I49))</f>
        <v/>
      </c>
      <c r="K49" s="147" t="str">
        <f>IF($A49="","",J49*'SELECCIÓN YAMI'!$B$7)</f>
        <v/>
      </c>
      <c r="L49" s="145" t="str">
        <f>IF($A49="","",COUNTIFS(Sheet1!$H$2:$H$5214,$A49,Sheet1!$N$2:$N$5214,L$4,Sheet1!$F$2:$F$5214,"&gt;="&amp;'SELECCIÓN YAMI'!$B$4,Sheet1!$F$2:$F$5214,"&lt;="&amp;'SELECCIÓN YAMI'!$B$6))</f>
        <v/>
      </c>
      <c r="M49" s="145" t="str">
        <f>IF($A49="","",COUNTIFS(Sheet1!$H$2:$H$5214,$A49,Sheet1!$N$2:$N$5214,M$4,Sheet1!$F$2:$F$5214,"&gt;="&amp;'SELECCIÓN YAMI'!$B$4,Sheet1!$F$2:$F$5214,"&lt;="&amp;'SELECCIÓN YAMI'!$B$6))</f>
        <v/>
      </c>
      <c r="N49" s="145" t="str">
        <f>IF($A49="","",COUNTIFS(Sheet1!$H$2:$H$5214,$A49,Sheet1!$N$2:$N$5214,N$4,Sheet1!$F$2:$F$5214,"&gt;="&amp;'SELECCIÓN YAMI'!$B$4,Sheet1!$F$2:$F$5214,"&lt;="&amp;'SELECCIÓN YAMI'!$B$6))</f>
        <v/>
      </c>
      <c r="O49" s="145" t="str">
        <f>IF($A49="","",COUNTIFS(Sheet1!$H$2:$H$5214,$A49,Sheet1!$F$2:$F$5214,"&gt;="&amp;'SELECCIÓN YAMI'!$B$4,Sheet1!$F$2:$F$5214,"&lt;="&amp;'SELECCIÓN YAMI'!$B$6))</f>
        <v/>
      </c>
    </row>
    <row r="50" spans="1:15">
      <c r="A50" s="144"/>
      <c r="B50" s="145" t="str">
        <f>IF($A50="","",COUNTIFS(Sheet1!$H$2:$H$5214,$A50,Sheet1!$N$2:$N$5214,B$4,Sheet1!$F$2:$F$5214,"&gt;="&amp;'SELECCIÓN YAMI'!$B$4,Sheet1!$F$2:$F$5214,"&lt;="&amp;'SELECCIÓN YAMI'!$B$6))</f>
        <v/>
      </c>
      <c r="C50" s="145" t="str">
        <f>IF($A50="","",COUNTIFS(Sheet1!$H$2:$H$5214,$A50,Sheet1!$N$2:$N$5214,C$4,Sheet1!$F$2:$F$5214,"&gt;="&amp;'SELECCIÓN YAMI'!$B$4,Sheet1!$F$2:$F$5214,"&lt;="&amp;'SELECCIÓN YAMI'!$B$6))</f>
        <v/>
      </c>
      <c r="D50" s="145" t="str">
        <f>IF($A50="","",COUNTIFS(Sheet1!$H$2:$H$5214,$A50,Sheet1!$N$2:$N$5214,D$4,Sheet1!$F$2:$F$5214,"&gt;="&amp;'SELECCIÓN YAMI'!$B$4,Sheet1!$F$2:$F$5214,"&lt;="&amp;'SELECCIÓN YAMI'!$B$6))</f>
        <v/>
      </c>
      <c r="E50" s="145" t="str">
        <f>IF($A50="","",COUNTIFS(Sheet1!$H$2:$H$5214,$A50,Sheet1!$N$2:$N$5214,E$4,Sheet1!$F$2:$F$5214,"&gt;="&amp;'SELECCIÓN YAMI'!$B$4,Sheet1!$F$2:$F$5214,"&lt;="&amp;'SELECCIÓN YAMI'!$B$6))</f>
        <v/>
      </c>
      <c r="F50" s="145" t="str">
        <f>IF($A50="","",COUNTIFS(Sheet1!$H$2:$H$5214,$A50,Sheet1!$N$2:$N$5214,F$4,Sheet1!$F$2:$F$5214,"&gt;="&amp;'SELECCIÓN YAMI'!$B$4,Sheet1!$F$2:$F$5214,"&lt;="&amp;'SELECCIÓN YAMI'!$B$6))</f>
        <v/>
      </c>
      <c r="G50" s="145" t="str">
        <f>IF($A50="","",COUNTIFS(Sheet1!$H$2:$H$5214,$A50,Sheet1!$N$2:$N$5214,G$4,Sheet1!$F$2:$F$5214,"&gt;="&amp;'SELECCIÓN YAMI'!$B$4,Sheet1!$F$2:$F$5214,"&lt;="&amp;'SELECCIÓN YAMI'!$B$6))</f>
        <v/>
      </c>
      <c r="H50" s="145" t="str">
        <f>IF($A50="","",COUNTIFS(Sheet1!$H$2:$H$5214,$A50,Sheet1!$N$2:$N$5214,H$4,Sheet1!$F$2:$F$5214,"&gt;="&amp;'SELECCIÓN YAMI'!$B$4,Sheet1!$F$2:$F$5214,"&lt;="&amp;'SELECCIÓN YAMI'!$B$6))</f>
        <v/>
      </c>
      <c r="I50" s="145" t="str">
        <f>IF($A50="","",COUNTIFS(Sheet1!$H$2:$H$5214,$A50,Sheet1!$N$2:$N$5214,I$4,Sheet1!$F$2:$F$5214,"&gt;="&amp;'SELECCIÓN YAMI'!$B$4,Sheet1!$F$2:$F$5214,"&lt;="&amp;'SELECCIÓN YAMI'!$B$6))</f>
        <v/>
      </c>
      <c r="J50" s="146" t="str">
        <f>IF($A50="","",SUM(B50:I50))</f>
        <v/>
      </c>
      <c r="K50" s="147" t="str">
        <f>IF($A50="","",J50*'SELECCIÓN YAMI'!$B$7)</f>
        <v/>
      </c>
      <c r="L50" s="145" t="str">
        <f>IF($A50="","",COUNTIFS(Sheet1!$H$2:$H$5214,$A50,Sheet1!$N$2:$N$5214,L$4,Sheet1!$F$2:$F$5214,"&gt;="&amp;'SELECCIÓN YAMI'!$B$4,Sheet1!$F$2:$F$5214,"&lt;="&amp;'SELECCIÓN YAMI'!$B$6))</f>
        <v/>
      </c>
      <c r="M50" s="145" t="str">
        <f>IF($A50="","",COUNTIFS(Sheet1!$H$2:$H$5214,$A50,Sheet1!$N$2:$N$5214,M$4,Sheet1!$F$2:$F$5214,"&gt;="&amp;'SELECCIÓN YAMI'!$B$4,Sheet1!$F$2:$F$5214,"&lt;="&amp;'SELECCIÓN YAMI'!$B$6))</f>
        <v/>
      </c>
      <c r="N50" s="145" t="str">
        <f>IF($A50="","",COUNTIFS(Sheet1!$H$2:$H$5214,$A50,Sheet1!$N$2:$N$5214,N$4,Sheet1!$F$2:$F$5214,"&gt;="&amp;'SELECCIÓN YAMI'!$B$4,Sheet1!$F$2:$F$5214,"&lt;="&amp;'SELECCIÓN YAMI'!$B$6))</f>
        <v/>
      </c>
      <c r="O50" s="145" t="str">
        <f>IF($A50="","",COUNTIFS(Sheet1!$H$2:$H$5214,$A50,Sheet1!$F$2:$F$5214,"&gt;="&amp;'SELECCIÓN YAMI'!$B$4,Sheet1!$F$2:$F$5214,"&lt;="&amp;'SELECCIÓN YAMI'!$B$6))</f>
        <v/>
      </c>
    </row>
    <row r="51" spans="1:15">
      <c r="A51" s="144"/>
      <c r="B51" s="145" t="str">
        <f>IF($A51="","",COUNTIFS(Sheet1!$H$2:$H$5214,$A51,Sheet1!$N$2:$N$5214,B$4,Sheet1!$F$2:$F$5214,"&gt;="&amp;'SELECCIÓN YAMI'!$B$4,Sheet1!$F$2:$F$5214,"&lt;="&amp;'SELECCIÓN YAMI'!$B$6))</f>
        <v/>
      </c>
      <c r="C51" s="145" t="str">
        <f>IF($A51="","",COUNTIFS(Sheet1!$H$2:$H$5214,$A51,Sheet1!$N$2:$N$5214,C$4,Sheet1!$F$2:$F$5214,"&gt;="&amp;'SELECCIÓN YAMI'!$B$4,Sheet1!$F$2:$F$5214,"&lt;="&amp;'SELECCIÓN YAMI'!$B$6))</f>
        <v/>
      </c>
      <c r="D51" s="145" t="str">
        <f>IF($A51="","",COUNTIFS(Sheet1!$H$2:$H$5214,$A51,Sheet1!$N$2:$N$5214,D$4,Sheet1!$F$2:$F$5214,"&gt;="&amp;'SELECCIÓN YAMI'!$B$4,Sheet1!$F$2:$F$5214,"&lt;="&amp;'SELECCIÓN YAMI'!$B$6))</f>
        <v/>
      </c>
      <c r="E51" s="145" t="str">
        <f>IF($A51="","",COUNTIFS(Sheet1!$H$2:$H$5214,$A51,Sheet1!$N$2:$N$5214,E$4,Sheet1!$F$2:$F$5214,"&gt;="&amp;'SELECCIÓN YAMI'!$B$4,Sheet1!$F$2:$F$5214,"&lt;="&amp;'SELECCIÓN YAMI'!$B$6))</f>
        <v/>
      </c>
      <c r="F51" s="145" t="str">
        <f>IF($A51="","",COUNTIFS(Sheet1!$H$2:$H$5214,$A51,Sheet1!$N$2:$N$5214,F$4,Sheet1!$F$2:$F$5214,"&gt;="&amp;'SELECCIÓN YAMI'!$B$4,Sheet1!$F$2:$F$5214,"&lt;="&amp;'SELECCIÓN YAMI'!$B$6))</f>
        <v/>
      </c>
      <c r="G51" s="145" t="str">
        <f>IF($A51="","",COUNTIFS(Sheet1!$H$2:$H$5214,$A51,Sheet1!$N$2:$N$5214,G$4,Sheet1!$F$2:$F$5214,"&gt;="&amp;'SELECCIÓN YAMI'!$B$4,Sheet1!$F$2:$F$5214,"&lt;="&amp;'SELECCIÓN YAMI'!$B$6))</f>
        <v/>
      </c>
      <c r="H51" s="145" t="str">
        <f>IF($A51="","",COUNTIFS(Sheet1!$H$2:$H$5214,$A51,Sheet1!$N$2:$N$5214,H$4,Sheet1!$F$2:$F$5214,"&gt;="&amp;'SELECCIÓN YAMI'!$B$4,Sheet1!$F$2:$F$5214,"&lt;="&amp;'SELECCIÓN YAMI'!$B$6))</f>
        <v/>
      </c>
      <c r="I51" s="145" t="str">
        <f>IF($A51="","",COUNTIFS(Sheet1!$H$2:$H$5214,$A51,Sheet1!$N$2:$N$5214,I$4,Sheet1!$F$2:$F$5214,"&gt;="&amp;'SELECCIÓN YAMI'!$B$4,Sheet1!$F$2:$F$5214,"&lt;="&amp;'SELECCIÓN YAMI'!$B$6))</f>
        <v/>
      </c>
      <c r="J51" s="146" t="str">
        <f>IF($A51="","",SUM(B51:I51))</f>
        <v/>
      </c>
      <c r="K51" s="147" t="str">
        <f>IF($A51="","",J51*'SELECCIÓN YAMI'!$B$7)</f>
        <v/>
      </c>
      <c r="L51" s="145" t="str">
        <f>IF($A51="","",COUNTIFS(Sheet1!$H$2:$H$5214,$A51,Sheet1!$N$2:$N$5214,L$4,Sheet1!$F$2:$F$5214,"&gt;="&amp;'SELECCIÓN YAMI'!$B$4,Sheet1!$F$2:$F$5214,"&lt;="&amp;'SELECCIÓN YAMI'!$B$6))</f>
        <v/>
      </c>
      <c r="M51" s="145" t="str">
        <f>IF($A51="","",COUNTIFS(Sheet1!$H$2:$H$5214,$A51,Sheet1!$N$2:$N$5214,M$4,Sheet1!$F$2:$F$5214,"&gt;="&amp;'SELECCIÓN YAMI'!$B$4,Sheet1!$F$2:$F$5214,"&lt;="&amp;'SELECCIÓN YAMI'!$B$6))</f>
        <v/>
      </c>
      <c r="N51" s="145" t="str">
        <f>IF($A51="","",COUNTIFS(Sheet1!$H$2:$H$5214,$A51,Sheet1!$N$2:$N$5214,N$4,Sheet1!$F$2:$F$5214,"&gt;="&amp;'SELECCIÓN YAMI'!$B$4,Sheet1!$F$2:$F$5214,"&lt;="&amp;'SELECCIÓN YAMI'!$B$6))</f>
        <v/>
      </c>
      <c r="O51" s="145" t="str">
        <f>IF($A51="","",COUNTIFS(Sheet1!$H$2:$H$5214,$A51,Sheet1!$F$2:$F$5214,"&gt;="&amp;'SELECCIÓN YAMI'!$B$4,Sheet1!$F$2:$F$5214,"&lt;="&amp;'SELECCIÓN YAMI'!$B$6))</f>
        <v/>
      </c>
    </row>
    <row r="52" spans="1:15">
      <c r="A52" s="144"/>
      <c r="B52" s="145" t="str">
        <f>IF($A52="","",COUNTIFS(Sheet1!$H$2:$H$5214,$A52,Sheet1!$N$2:$N$5214,B$4,Sheet1!$F$2:$F$5214,"&gt;="&amp;'SELECCIÓN YAMI'!$B$4,Sheet1!$F$2:$F$5214,"&lt;="&amp;'SELECCIÓN YAMI'!$B$6))</f>
        <v/>
      </c>
      <c r="C52" s="145" t="str">
        <f>IF($A52="","",COUNTIFS(Sheet1!$H$2:$H$5214,$A52,Sheet1!$N$2:$N$5214,C$4,Sheet1!$F$2:$F$5214,"&gt;="&amp;'SELECCIÓN YAMI'!$B$4,Sheet1!$F$2:$F$5214,"&lt;="&amp;'SELECCIÓN YAMI'!$B$6))</f>
        <v/>
      </c>
      <c r="D52" s="145" t="str">
        <f>IF($A52="","",COUNTIFS(Sheet1!$H$2:$H$5214,$A52,Sheet1!$N$2:$N$5214,D$4,Sheet1!$F$2:$F$5214,"&gt;="&amp;'SELECCIÓN YAMI'!$B$4,Sheet1!$F$2:$F$5214,"&lt;="&amp;'SELECCIÓN YAMI'!$B$6))</f>
        <v/>
      </c>
      <c r="E52" s="145" t="str">
        <f>IF($A52="","",COUNTIFS(Sheet1!$H$2:$H$5214,$A52,Sheet1!$N$2:$N$5214,E$4,Sheet1!$F$2:$F$5214,"&gt;="&amp;'SELECCIÓN YAMI'!$B$4,Sheet1!$F$2:$F$5214,"&lt;="&amp;'SELECCIÓN YAMI'!$B$6))</f>
        <v/>
      </c>
      <c r="F52" s="145" t="str">
        <f>IF($A52="","",COUNTIFS(Sheet1!$H$2:$H$5214,$A52,Sheet1!$N$2:$N$5214,F$4,Sheet1!$F$2:$F$5214,"&gt;="&amp;'SELECCIÓN YAMI'!$B$4,Sheet1!$F$2:$F$5214,"&lt;="&amp;'SELECCIÓN YAMI'!$B$6))</f>
        <v/>
      </c>
      <c r="G52" s="145" t="str">
        <f>IF($A52="","",COUNTIFS(Sheet1!$H$2:$H$5214,$A52,Sheet1!$N$2:$N$5214,G$4,Sheet1!$F$2:$F$5214,"&gt;="&amp;'SELECCIÓN YAMI'!$B$4,Sheet1!$F$2:$F$5214,"&lt;="&amp;'SELECCIÓN YAMI'!$B$6))</f>
        <v/>
      </c>
      <c r="H52" s="145" t="str">
        <f>IF($A52="","",COUNTIFS(Sheet1!$H$2:$H$5214,$A52,Sheet1!$N$2:$N$5214,H$4,Sheet1!$F$2:$F$5214,"&gt;="&amp;'SELECCIÓN YAMI'!$B$4,Sheet1!$F$2:$F$5214,"&lt;="&amp;'SELECCIÓN YAMI'!$B$6))</f>
        <v/>
      </c>
      <c r="I52" s="145" t="str">
        <f>IF($A52="","",COUNTIFS(Sheet1!$H$2:$H$5214,$A52,Sheet1!$N$2:$N$5214,I$4,Sheet1!$F$2:$F$5214,"&gt;="&amp;'SELECCIÓN YAMI'!$B$4,Sheet1!$F$2:$F$5214,"&lt;="&amp;'SELECCIÓN YAMI'!$B$6))</f>
        <v/>
      </c>
      <c r="J52" s="146" t="str">
        <f>IF($A52="","",SUM(B52:I52))</f>
        <v/>
      </c>
      <c r="K52" s="147" t="str">
        <f>IF($A52="","",J52*'SELECCIÓN YAMI'!$B$7)</f>
        <v/>
      </c>
      <c r="L52" s="145" t="str">
        <f>IF($A52="","",COUNTIFS(Sheet1!$H$2:$H$5214,$A52,Sheet1!$N$2:$N$5214,L$4,Sheet1!$F$2:$F$5214,"&gt;="&amp;'SELECCIÓN YAMI'!$B$4,Sheet1!$F$2:$F$5214,"&lt;="&amp;'SELECCIÓN YAMI'!$B$6))</f>
        <v/>
      </c>
      <c r="M52" s="145" t="str">
        <f>IF($A52="","",COUNTIFS(Sheet1!$H$2:$H$5214,$A52,Sheet1!$N$2:$N$5214,M$4,Sheet1!$F$2:$F$5214,"&gt;="&amp;'SELECCIÓN YAMI'!$B$4,Sheet1!$F$2:$F$5214,"&lt;="&amp;'SELECCIÓN YAMI'!$B$6))</f>
        <v/>
      </c>
      <c r="N52" s="145" t="str">
        <f>IF($A52="","",COUNTIFS(Sheet1!$H$2:$H$5214,$A52,Sheet1!$N$2:$N$5214,N$4,Sheet1!$F$2:$F$5214,"&gt;="&amp;'SELECCIÓN YAMI'!$B$4,Sheet1!$F$2:$F$5214,"&lt;="&amp;'SELECCIÓN YAMI'!$B$6))</f>
        <v/>
      </c>
      <c r="O52" s="145" t="str">
        <f>IF($A52="","",COUNTIFS(Sheet1!$H$2:$H$5214,$A52,Sheet1!$F$2:$F$5214,"&gt;="&amp;'SELECCIÓN YAMI'!$B$4,Sheet1!$F$2:$F$5214,"&lt;="&amp;'SELECCIÓN YAMI'!$B$6))</f>
        <v/>
      </c>
    </row>
    <row r="53" spans="1:15">
      <c r="A53" s="144"/>
      <c r="B53" s="145" t="str">
        <f>IF($A53="","",COUNTIFS(Sheet1!$H$2:$H$5214,$A53,Sheet1!$N$2:$N$5214,B$4,Sheet1!$F$2:$F$5214,"&gt;="&amp;'SELECCIÓN YAMI'!$B$4,Sheet1!$F$2:$F$5214,"&lt;="&amp;'SELECCIÓN YAMI'!$B$6))</f>
        <v/>
      </c>
      <c r="C53" s="145" t="str">
        <f>IF($A53="","",COUNTIFS(Sheet1!$H$2:$H$5214,$A53,Sheet1!$N$2:$N$5214,C$4,Sheet1!$F$2:$F$5214,"&gt;="&amp;'SELECCIÓN YAMI'!$B$4,Sheet1!$F$2:$F$5214,"&lt;="&amp;'SELECCIÓN YAMI'!$B$6))</f>
        <v/>
      </c>
      <c r="D53" s="145" t="str">
        <f>IF($A53="","",COUNTIFS(Sheet1!$H$2:$H$5214,$A53,Sheet1!$N$2:$N$5214,D$4,Sheet1!$F$2:$F$5214,"&gt;="&amp;'SELECCIÓN YAMI'!$B$4,Sheet1!$F$2:$F$5214,"&lt;="&amp;'SELECCIÓN YAMI'!$B$6))</f>
        <v/>
      </c>
      <c r="E53" s="145" t="str">
        <f>IF($A53="","",COUNTIFS(Sheet1!$H$2:$H$5214,$A53,Sheet1!$N$2:$N$5214,E$4,Sheet1!$F$2:$F$5214,"&gt;="&amp;'SELECCIÓN YAMI'!$B$4,Sheet1!$F$2:$F$5214,"&lt;="&amp;'SELECCIÓN YAMI'!$B$6))</f>
        <v/>
      </c>
      <c r="F53" s="145" t="str">
        <f>IF($A53="","",COUNTIFS(Sheet1!$H$2:$H$5214,$A53,Sheet1!$N$2:$N$5214,F$4,Sheet1!$F$2:$F$5214,"&gt;="&amp;'SELECCIÓN YAMI'!$B$4,Sheet1!$F$2:$F$5214,"&lt;="&amp;'SELECCIÓN YAMI'!$B$6))</f>
        <v/>
      </c>
      <c r="G53" s="145" t="str">
        <f>IF($A53="","",COUNTIFS(Sheet1!$H$2:$H$5214,$A53,Sheet1!$N$2:$N$5214,G$4,Sheet1!$F$2:$F$5214,"&gt;="&amp;'SELECCIÓN YAMI'!$B$4,Sheet1!$F$2:$F$5214,"&lt;="&amp;'SELECCIÓN YAMI'!$B$6))</f>
        <v/>
      </c>
      <c r="H53" s="145" t="str">
        <f>IF($A53="","",COUNTIFS(Sheet1!$H$2:$H$5214,$A53,Sheet1!$N$2:$N$5214,H$4,Sheet1!$F$2:$F$5214,"&gt;="&amp;'SELECCIÓN YAMI'!$B$4,Sheet1!$F$2:$F$5214,"&lt;="&amp;'SELECCIÓN YAMI'!$B$6))</f>
        <v/>
      </c>
      <c r="I53" s="145" t="str">
        <f>IF($A53="","",COUNTIFS(Sheet1!$H$2:$H$5214,$A53,Sheet1!$N$2:$N$5214,I$4,Sheet1!$F$2:$F$5214,"&gt;="&amp;'SELECCIÓN YAMI'!$B$4,Sheet1!$F$2:$F$5214,"&lt;="&amp;'SELECCIÓN YAMI'!$B$6))</f>
        <v/>
      </c>
      <c r="J53" s="146" t="str">
        <f>IF($A53="","",SUM(B53:I53))</f>
        <v/>
      </c>
      <c r="K53" s="147" t="str">
        <f>IF($A53="","",J53*'SELECCIÓN YAMI'!$B$7)</f>
        <v/>
      </c>
      <c r="L53" s="145" t="str">
        <f>IF($A53="","",COUNTIFS(Sheet1!$H$2:$H$5214,$A53,Sheet1!$N$2:$N$5214,L$4,Sheet1!$F$2:$F$5214,"&gt;="&amp;'SELECCIÓN YAMI'!$B$4,Sheet1!$F$2:$F$5214,"&lt;="&amp;'SELECCIÓN YAMI'!$B$6))</f>
        <v/>
      </c>
      <c r="M53" s="145" t="str">
        <f>IF($A53="","",COUNTIFS(Sheet1!$H$2:$H$5214,$A53,Sheet1!$N$2:$N$5214,M$4,Sheet1!$F$2:$F$5214,"&gt;="&amp;'SELECCIÓN YAMI'!$B$4,Sheet1!$F$2:$F$5214,"&lt;="&amp;'SELECCIÓN YAMI'!$B$6))</f>
        <v/>
      </c>
      <c r="N53" s="145" t="str">
        <f>IF($A53="","",COUNTIFS(Sheet1!$H$2:$H$5214,$A53,Sheet1!$N$2:$N$5214,N$4,Sheet1!$F$2:$F$5214,"&gt;="&amp;'SELECCIÓN YAMI'!$B$4,Sheet1!$F$2:$F$5214,"&lt;="&amp;'SELECCIÓN YAMI'!$B$6))</f>
        <v/>
      </c>
      <c r="O53" s="145" t="str">
        <f>IF($A53="","",COUNTIFS(Sheet1!$H$2:$H$5214,$A53,Sheet1!$F$2:$F$5214,"&gt;="&amp;'SELECCIÓN YAMI'!$B$4,Sheet1!$F$2:$F$5214,"&lt;="&amp;'SELECCIÓN YAMI'!$B$6))</f>
        <v/>
      </c>
    </row>
    <row r="54" spans="1:15">
      <c r="A54" s="144"/>
      <c r="B54" s="145" t="str">
        <f>IF($A54="","",COUNTIFS(Sheet1!$H$2:$H$5214,$A54,Sheet1!$N$2:$N$5214,B$4,Sheet1!$F$2:$F$5214,"&gt;="&amp;'SELECCIÓN YAMI'!$B$4,Sheet1!$F$2:$F$5214,"&lt;="&amp;'SELECCIÓN YAMI'!$B$6))</f>
        <v/>
      </c>
      <c r="C54" s="145" t="str">
        <f>IF($A54="","",COUNTIFS(Sheet1!$H$2:$H$5214,$A54,Sheet1!$N$2:$N$5214,C$4,Sheet1!$F$2:$F$5214,"&gt;="&amp;'SELECCIÓN YAMI'!$B$4,Sheet1!$F$2:$F$5214,"&lt;="&amp;'SELECCIÓN YAMI'!$B$6))</f>
        <v/>
      </c>
      <c r="D54" s="145" t="str">
        <f>IF($A54="","",COUNTIFS(Sheet1!$H$2:$H$5214,$A54,Sheet1!$N$2:$N$5214,D$4,Sheet1!$F$2:$F$5214,"&gt;="&amp;'SELECCIÓN YAMI'!$B$4,Sheet1!$F$2:$F$5214,"&lt;="&amp;'SELECCIÓN YAMI'!$B$6))</f>
        <v/>
      </c>
      <c r="E54" s="145" t="str">
        <f>IF($A54="","",COUNTIFS(Sheet1!$H$2:$H$5214,$A54,Sheet1!$N$2:$N$5214,E$4,Sheet1!$F$2:$F$5214,"&gt;="&amp;'SELECCIÓN YAMI'!$B$4,Sheet1!$F$2:$F$5214,"&lt;="&amp;'SELECCIÓN YAMI'!$B$6))</f>
        <v/>
      </c>
      <c r="F54" s="145" t="str">
        <f>IF($A54="","",COUNTIFS(Sheet1!$H$2:$H$5214,$A54,Sheet1!$N$2:$N$5214,F$4,Sheet1!$F$2:$F$5214,"&gt;="&amp;'SELECCIÓN YAMI'!$B$4,Sheet1!$F$2:$F$5214,"&lt;="&amp;'SELECCIÓN YAMI'!$B$6))</f>
        <v/>
      </c>
      <c r="G54" s="145" t="str">
        <f>IF($A54="","",COUNTIFS(Sheet1!$H$2:$H$5214,$A54,Sheet1!$N$2:$N$5214,G$4,Sheet1!$F$2:$F$5214,"&gt;="&amp;'SELECCIÓN YAMI'!$B$4,Sheet1!$F$2:$F$5214,"&lt;="&amp;'SELECCIÓN YAMI'!$B$6))</f>
        <v/>
      </c>
      <c r="H54" s="145" t="str">
        <f>IF($A54="","",COUNTIFS(Sheet1!$H$2:$H$5214,$A54,Sheet1!$N$2:$N$5214,H$4,Sheet1!$F$2:$F$5214,"&gt;="&amp;'SELECCIÓN YAMI'!$B$4,Sheet1!$F$2:$F$5214,"&lt;="&amp;'SELECCIÓN YAMI'!$B$6))</f>
        <v/>
      </c>
      <c r="I54" s="145" t="str">
        <f>IF($A54="","",COUNTIFS(Sheet1!$H$2:$H$5214,$A54,Sheet1!$N$2:$N$5214,I$4,Sheet1!$F$2:$F$5214,"&gt;="&amp;'SELECCIÓN YAMI'!$B$4,Sheet1!$F$2:$F$5214,"&lt;="&amp;'SELECCIÓN YAMI'!$B$6))</f>
        <v/>
      </c>
      <c r="J54" s="146" t="str">
        <f>IF($A54="","",SUM(B54:I54))</f>
        <v/>
      </c>
      <c r="K54" s="147" t="str">
        <f>IF($A54="","",J54*'SELECCIÓN YAMI'!$B$7)</f>
        <v/>
      </c>
      <c r="L54" s="145" t="str">
        <f>IF($A54="","",COUNTIFS(Sheet1!$H$2:$H$5214,$A54,Sheet1!$N$2:$N$5214,L$4,Sheet1!$F$2:$F$5214,"&gt;="&amp;'SELECCIÓN YAMI'!$B$4,Sheet1!$F$2:$F$5214,"&lt;="&amp;'SELECCIÓN YAMI'!$B$6))</f>
        <v/>
      </c>
      <c r="M54" s="145" t="str">
        <f>IF($A54="","",COUNTIFS(Sheet1!$H$2:$H$5214,$A54,Sheet1!$N$2:$N$5214,M$4,Sheet1!$F$2:$F$5214,"&gt;="&amp;'SELECCIÓN YAMI'!$B$4,Sheet1!$F$2:$F$5214,"&lt;="&amp;'SELECCIÓN YAMI'!$B$6))</f>
        <v/>
      </c>
      <c r="N54" s="145" t="str">
        <f>IF($A54="","",COUNTIFS(Sheet1!$H$2:$H$5214,$A54,Sheet1!$N$2:$N$5214,N$4,Sheet1!$F$2:$F$5214,"&gt;="&amp;'SELECCIÓN YAMI'!$B$4,Sheet1!$F$2:$F$5214,"&lt;="&amp;'SELECCIÓN YAMI'!$B$6))</f>
        <v/>
      </c>
      <c r="O54" s="145" t="str">
        <f>IF($A54="","",COUNTIFS(Sheet1!$H$2:$H$5214,$A54,Sheet1!$F$2:$F$5214,"&gt;="&amp;'SELECCIÓN YAMI'!$B$4,Sheet1!$F$2:$F$5214,"&lt;="&amp;'SELECCIÓN YAMI'!$B$6))</f>
        <v/>
      </c>
    </row>
    <row r="55" spans="1:15">
      <c r="A55" s="144"/>
      <c r="B55" s="145" t="str">
        <f>IF($A55="","",COUNTIFS(Sheet1!$H$2:$H$5214,$A55,Sheet1!$N$2:$N$5214,B$4,Sheet1!$F$2:$F$5214,"&gt;="&amp;'SELECCIÓN YAMI'!$B$4,Sheet1!$F$2:$F$5214,"&lt;="&amp;'SELECCIÓN YAMI'!$B$6))</f>
        <v/>
      </c>
      <c r="C55" s="145" t="str">
        <f>IF($A55="","",COUNTIFS(Sheet1!$H$2:$H$5214,$A55,Sheet1!$N$2:$N$5214,C$4,Sheet1!$F$2:$F$5214,"&gt;="&amp;'SELECCIÓN YAMI'!$B$4,Sheet1!$F$2:$F$5214,"&lt;="&amp;'SELECCIÓN YAMI'!$B$6))</f>
        <v/>
      </c>
      <c r="D55" s="145" t="str">
        <f>IF($A55="","",COUNTIFS(Sheet1!$H$2:$H$5214,$A55,Sheet1!$N$2:$N$5214,D$4,Sheet1!$F$2:$F$5214,"&gt;="&amp;'SELECCIÓN YAMI'!$B$4,Sheet1!$F$2:$F$5214,"&lt;="&amp;'SELECCIÓN YAMI'!$B$6))</f>
        <v/>
      </c>
      <c r="E55" s="145" t="str">
        <f>IF($A55="","",COUNTIFS(Sheet1!$H$2:$H$5214,$A55,Sheet1!$N$2:$N$5214,E$4,Sheet1!$F$2:$F$5214,"&gt;="&amp;'SELECCIÓN YAMI'!$B$4,Sheet1!$F$2:$F$5214,"&lt;="&amp;'SELECCIÓN YAMI'!$B$6))</f>
        <v/>
      </c>
      <c r="F55" s="145" t="str">
        <f>IF($A55="","",COUNTIFS(Sheet1!$H$2:$H$5214,$A55,Sheet1!$N$2:$N$5214,F$4,Sheet1!$F$2:$F$5214,"&gt;="&amp;'SELECCIÓN YAMI'!$B$4,Sheet1!$F$2:$F$5214,"&lt;="&amp;'SELECCIÓN YAMI'!$B$6))</f>
        <v/>
      </c>
      <c r="G55" s="145" t="str">
        <f>IF($A55="","",COUNTIFS(Sheet1!$H$2:$H$5214,$A55,Sheet1!$N$2:$N$5214,G$4,Sheet1!$F$2:$F$5214,"&gt;="&amp;'SELECCIÓN YAMI'!$B$4,Sheet1!$F$2:$F$5214,"&lt;="&amp;'SELECCIÓN YAMI'!$B$6))</f>
        <v/>
      </c>
      <c r="H55" s="145" t="str">
        <f>IF($A55="","",COUNTIFS(Sheet1!$H$2:$H$5214,$A55,Sheet1!$N$2:$N$5214,H$4,Sheet1!$F$2:$F$5214,"&gt;="&amp;'SELECCIÓN YAMI'!$B$4,Sheet1!$F$2:$F$5214,"&lt;="&amp;'SELECCIÓN YAMI'!$B$6))</f>
        <v/>
      </c>
      <c r="I55" s="145" t="str">
        <f>IF($A55="","",COUNTIFS(Sheet1!$H$2:$H$5214,$A55,Sheet1!$N$2:$N$5214,I$4,Sheet1!$F$2:$F$5214,"&gt;="&amp;'SELECCIÓN YAMI'!$B$4,Sheet1!$F$2:$F$5214,"&lt;="&amp;'SELECCIÓN YAMI'!$B$6))</f>
        <v/>
      </c>
      <c r="J55" s="146" t="str">
        <f>IF($A55="","",SUM(B55:I55))</f>
        <v/>
      </c>
      <c r="K55" s="147" t="str">
        <f>IF($A55="","",J55*'SELECCIÓN YAMI'!$B$7)</f>
        <v/>
      </c>
      <c r="L55" s="145" t="str">
        <f>IF($A55="","",COUNTIFS(Sheet1!$H$2:$H$5214,$A55,Sheet1!$N$2:$N$5214,L$4,Sheet1!$F$2:$F$5214,"&gt;="&amp;'SELECCIÓN YAMI'!$B$4,Sheet1!$F$2:$F$5214,"&lt;="&amp;'SELECCIÓN YAMI'!$B$6))</f>
        <v/>
      </c>
      <c r="M55" s="145" t="str">
        <f>IF($A55="","",COUNTIFS(Sheet1!$H$2:$H$5214,$A55,Sheet1!$N$2:$N$5214,M$4,Sheet1!$F$2:$F$5214,"&gt;="&amp;'SELECCIÓN YAMI'!$B$4,Sheet1!$F$2:$F$5214,"&lt;="&amp;'SELECCIÓN YAMI'!$B$6))</f>
        <v/>
      </c>
      <c r="N55" s="145" t="str">
        <f>IF($A55="","",COUNTIFS(Sheet1!$H$2:$H$5214,$A55,Sheet1!$N$2:$N$5214,N$4,Sheet1!$F$2:$F$5214,"&gt;="&amp;'SELECCIÓN YAMI'!$B$4,Sheet1!$F$2:$F$5214,"&lt;="&amp;'SELECCIÓN YAMI'!$B$6))</f>
        <v/>
      </c>
      <c r="O55" s="145" t="str">
        <f>IF($A55="","",COUNTIFS(Sheet1!$H$2:$H$5214,$A55,Sheet1!$F$2:$F$5214,"&gt;="&amp;'SELECCIÓN YAMI'!$B$4,Sheet1!$F$2:$F$5214,"&lt;="&amp;'SELECCIÓN YAMI'!$B$6))</f>
        <v/>
      </c>
    </row>
    <row r="56" spans="1:15">
      <c r="A56" s="144"/>
      <c r="B56" s="145" t="str">
        <f>IF($A56="","",COUNTIFS(Sheet1!$H$2:$H$5214,$A56,Sheet1!$N$2:$N$5214,B$4,Sheet1!$F$2:$F$5214,"&gt;="&amp;'SELECCIÓN YAMI'!$B$4,Sheet1!$F$2:$F$5214,"&lt;="&amp;'SELECCIÓN YAMI'!$B$6))</f>
        <v/>
      </c>
      <c r="C56" s="145" t="str">
        <f>IF($A56="","",COUNTIFS(Sheet1!$H$2:$H$5214,$A56,Sheet1!$N$2:$N$5214,C$4,Sheet1!$F$2:$F$5214,"&gt;="&amp;'SELECCIÓN YAMI'!$B$4,Sheet1!$F$2:$F$5214,"&lt;="&amp;'SELECCIÓN YAMI'!$B$6))</f>
        <v/>
      </c>
      <c r="D56" s="145" t="str">
        <f>IF($A56="","",COUNTIFS(Sheet1!$H$2:$H$5214,$A56,Sheet1!$N$2:$N$5214,D$4,Sheet1!$F$2:$F$5214,"&gt;="&amp;'SELECCIÓN YAMI'!$B$4,Sheet1!$F$2:$F$5214,"&lt;="&amp;'SELECCIÓN YAMI'!$B$6))</f>
        <v/>
      </c>
      <c r="E56" s="145" t="str">
        <f>IF($A56="","",COUNTIFS(Sheet1!$H$2:$H$5214,$A56,Sheet1!$N$2:$N$5214,E$4,Sheet1!$F$2:$F$5214,"&gt;="&amp;'SELECCIÓN YAMI'!$B$4,Sheet1!$F$2:$F$5214,"&lt;="&amp;'SELECCIÓN YAMI'!$B$6))</f>
        <v/>
      </c>
      <c r="F56" s="145" t="str">
        <f>IF($A56="","",COUNTIFS(Sheet1!$H$2:$H$5214,$A56,Sheet1!$N$2:$N$5214,F$4,Sheet1!$F$2:$F$5214,"&gt;="&amp;'SELECCIÓN YAMI'!$B$4,Sheet1!$F$2:$F$5214,"&lt;="&amp;'SELECCIÓN YAMI'!$B$6))</f>
        <v/>
      </c>
      <c r="G56" s="145" t="str">
        <f>IF($A56="","",COUNTIFS(Sheet1!$H$2:$H$5214,$A56,Sheet1!$N$2:$N$5214,G$4,Sheet1!$F$2:$F$5214,"&gt;="&amp;'SELECCIÓN YAMI'!$B$4,Sheet1!$F$2:$F$5214,"&lt;="&amp;'SELECCIÓN YAMI'!$B$6))</f>
        <v/>
      </c>
      <c r="H56" s="145" t="str">
        <f>IF($A56="","",COUNTIFS(Sheet1!$H$2:$H$5214,$A56,Sheet1!$N$2:$N$5214,H$4,Sheet1!$F$2:$F$5214,"&gt;="&amp;'SELECCIÓN YAMI'!$B$4,Sheet1!$F$2:$F$5214,"&lt;="&amp;'SELECCIÓN YAMI'!$B$6))</f>
        <v/>
      </c>
      <c r="I56" s="145" t="str">
        <f>IF($A56="","",COUNTIFS(Sheet1!$H$2:$H$5214,$A56,Sheet1!$N$2:$N$5214,I$4,Sheet1!$F$2:$F$5214,"&gt;="&amp;'SELECCIÓN YAMI'!$B$4,Sheet1!$F$2:$F$5214,"&lt;="&amp;'SELECCIÓN YAMI'!$B$6))</f>
        <v/>
      </c>
      <c r="J56" s="146" t="str">
        <f>IF($A56="","",SUM(B56:I56))</f>
        <v/>
      </c>
      <c r="K56" s="147" t="str">
        <f>IF($A56="","",J56*'SELECCIÓN YAMI'!$B$7)</f>
        <v/>
      </c>
      <c r="L56" s="145" t="str">
        <f>IF($A56="","",COUNTIFS(Sheet1!$H$2:$H$5214,$A56,Sheet1!$N$2:$N$5214,L$4,Sheet1!$F$2:$F$5214,"&gt;="&amp;'SELECCIÓN YAMI'!$B$4,Sheet1!$F$2:$F$5214,"&lt;="&amp;'SELECCIÓN YAMI'!$B$6))</f>
        <v/>
      </c>
      <c r="M56" s="145" t="str">
        <f>IF($A56="","",COUNTIFS(Sheet1!$H$2:$H$5214,$A56,Sheet1!$N$2:$N$5214,M$4,Sheet1!$F$2:$F$5214,"&gt;="&amp;'SELECCIÓN YAMI'!$B$4,Sheet1!$F$2:$F$5214,"&lt;="&amp;'SELECCIÓN YAMI'!$B$6))</f>
        <v/>
      </c>
      <c r="N56" s="145" t="str">
        <f>IF($A56="","",COUNTIFS(Sheet1!$H$2:$H$5214,$A56,Sheet1!$N$2:$N$5214,N$4,Sheet1!$F$2:$F$5214,"&gt;="&amp;'SELECCIÓN YAMI'!$B$4,Sheet1!$F$2:$F$5214,"&lt;="&amp;'SELECCIÓN YAMI'!$B$6))</f>
        <v/>
      </c>
      <c r="O56" s="145" t="str">
        <f>IF($A56="","",COUNTIFS(Sheet1!$H$2:$H$5214,$A56,Sheet1!$F$2:$F$5214,"&gt;="&amp;'SELECCIÓN YAMI'!$B$4,Sheet1!$F$2:$F$5214,"&lt;="&amp;'SELECCIÓN YAMI'!$B$6))</f>
        <v/>
      </c>
    </row>
    <row r="57" spans="1:15">
      <c r="A57" s="144"/>
      <c r="B57" s="145" t="str">
        <f>IF($A57="","",COUNTIFS(Sheet1!$H$2:$H$5214,$A57,Sheet1!$N$2:$N$5214,B$4,Sheet1!$F$2:$F$5214,"&gt;="&amp;'SELECCIÓN YAMI'!$B$4,Sheet1!$F$2:$F$5214,"&lt;="&amp;'SELECCIÓN YAMI'!$B$6))</f>
        <v/>
      </c>
      <c r="C57" s="145" t="str">
        <f>IF($A57="","",COUNTIFS(Sheet1!$H$2:$H$5214,$A57,Sheet1!$N$2:$N$5214,C$4,Sheet1!$F$2:$F$5214,"&gt;="&amp;'SELECCIÓN YAMI'!$B$4,Sheet1!$F$2:$F$5214,"&lt;="&amp;'SELECCIÓN YAMI'!$B$6))</f>
        <v/>
      </c>
      <c r="D57" s="145" t="str">
        <f>IF($A57="","",COUNTIFS(Sheet1!$H$2:$H$5214,$A57,Sheet1!$N$2:$N$5214,D$4,Sheet1!$F$2:$F$5214,"&gt;="&amp;'SELECCIÓN YAMI'!$B$4,Sheet1!$F$2:$F$5214,"&lt;="&amp;'SELECCIÓN YAMI'!$B$6))</f>
        <v/>
      </c>
      <c r="E57" s="145" t="str">
        <f>IF($A57="","",COUNTIFS(Sheet1!$H$2:$H$5214,$A57,Sheet1!$N$2:$N$5214,E$4,Sheet1!$F$2:$F$5214,"&gt;="&amp;'SELECCIÓN YAMI'!$B$4,Sheet1!$F$2:$F$5214,"&lt;="&amp;'SELECCIÓN YAMI'!$B$6))</f>
        <v/>
      </c>
      <c r="F57" s="145" t="str">
        <f>IF($A57="","",COUNTIFS(Sheet1!$H$2:$H$5214,$A57,Sheet1!$N$2:$N$5214,F$4,Sheet1!$F$2:$F$5214,"&gt;="&amp;'SELECCIÓN YAMI'!$B$4,Sheet1!$F$2:$F$5214,"&lt;="&amp;'SELECCIÓN YAMI'!$B$6))</f>
        <v/>
      </c>
      <c r="G57" s="145" t="str">
        <f>IF($A57="","",COUNTIFS(Sheet1!$H$2:$H$5214,$A57,Sheet1!$N$2:$N$5214,G$4,Sheet1!$F$2:$F$5214,"&gt;="&amp;'SELECCIÓN YAMI'!$B$4,Sheet1!$F$2:$F$5214,"&lt;="&amp;'SELECCIÓN YAMI'!$B$6))</f>
        <v/>
      </c>
      <c r="H57" s="145" t="str">
        <f>IF($A57="","",COUNTIFS(Sheet1!$H$2:$H$5214,$A57,Sheet1!$N$2:$N$5214,H$4,Sheet1!$F$2:$F$5214,"&gt;="&amp;'SELECCIÓN YAMI'!$B$4,Sheet1!$F$2:$F$5214,"&lt;="&amp;'SELECCIÓN YAMI'!$B$6))</f>
        <v/>
      </c>
      <c r="I57" s="145" t="str">
        <f>IF($A57="","",COUNTIFS(Sheet1!$H$2:$H$5214,$A57,Sheet1!$N$2:$N$5214,I$4,Sheet1!$F$2:$F$5214,"&gt;="&amp;'SELECCIÓN YAMI'!$B$4,Sheet1!$F$2:$F$5214,"&lt;="&amp;'SELECCIÓN YAMI'!$B$6))</f>
        <v/>
      </c>
      <c r="J57" s="146" t="str">
        <f>IF($A57="","",SUM(B57:I57))</f>
        <v/>
      </c>
      <c r="K57" s="147" t="str">
        <f>IF($A57="","",J57*'SELECCIÓN YAMI'!$B$7)</f>
        <v/>
      </c>
      <c r="L57" s="145" t="str">
        <f>IF($A57="","",COUNTIFS(Sheet1!$H$2:$H$5214,$A57,Sheet1!$N$2:$N$5214,L$4,Sheet1!$F$2:$F$5214,"&gt;="&amp;'SELECCIÓN YAMI'!$B$4,Sheet1!$F$2:$F$5214,"&lt;="&amp;'SELECCIÓN YAMI'!$B$6))</f>
        <v/>
      </c>
      <c r="M57" s="145" t="str">
        <f>IF($A57="","",COUNTIFS(Sheet1!$H$2:$H$5214,$A57,Sheet1!$N$2:$N$5214,M$4,Sheet1!$F$2:$F$5214,"&gt;="&amp;'SELECCIÓN YAMI'!$B$4,Sheet1!$F$2:$F$5214,"&lt;="&amp;'SELECCIÓN YAMI'!$B$6))</f>
        <v/>
      </c>
      <c r="N57" s="145" t="str">
        <f>IF($A57="","",COUNTIFS(Sheet1!$H$2:$H$5214,$A57,Sheet1!$N$2:$N$5214,N$4,Sheet1!$F$2:$F$5214,"&gt;="&amp;'SELECCIÓN YAMI'!$B$4,Sheet1!$F$2:$F$5214,"&lt;="&amp;'SELECCIÓN YAMI'!$B$6))</f>
        <v/>
      </c>
      <c r="O57" s="145" t="str">
        <f>IF($A57="","",COUNTIFS(Sheet1!$H$2:$H$5214,$A57,Sheet1!$F$2:$F$5214,"&gt;="&amp;'SELECCIÓN YAMI'!$B$4,Sheet1!$F$2:$F$5214,"&lt;="&amp;'SELECCIÓN YAMI'!$B$6))</f>
        <v/>
      </c>
    </row>
    <row r="58" spans="1:15">
      <c r="A58" s="144"/>
      <c r="B58" s="145" t="str">
        <f>IF($A58="","",COUNTIFS(Sheet1!$H$2:$H$5214,$A58,Sheet1!$N$2:$N$5214,B$4,Sheet1!$F$2:$F$5214,"&gt;="&amp;'SELECCIÓN YAMI'!$B$4,Sheet1!$F$2:$F$5214,"&lt;="&amp;'SELECCIÓN YAMI'!$B$6))</f>
        <v/>
      </c>
      <c r="C58" s="145" t="str">
        <f>IF($A58="","",COUNTIFS(Sheet1!$H$2:$H$5214,$A58,Sheet1!$N$2:$N$5214,C$4,Sheet1!$F$2:$F$5214,"&gt;="&amp;'SELECCIÓN YAMI'!$B$4,Sheet1!$F$2:$F$5214,"&lt;="&amp;'SELECCIÓN YAMI'!$B$6))</f>
        <v/>
      </c>
      <c r="D58" s="145" t="str">
        <f>IF($A58="","",COUNTIFS(Sheet1!$H$2:$H$5214,$A58,Sheet1!$N$2:$N$5214,D$4,Sheet1!$F$2:$F$5214,"&gt;="&amp;'SELECCIÓN YAMI'!$B$4,Sheet1!$F$2:$F$5214,"&lt;="&amp;'SELECCIÓN YAMI'!$B$6))</f>
        <v/>
      </c>
      <c r="E58" s="145" t="str">
        <f>IF($A58="","",COUNTIFS(Sheet1!$H$2:$H$5214,$A58,Sheet1!$N$2:$N$5214,E$4,Sheet1!$F$2:$F$5214,"&gt;="&amp;'SELECCIÓN YAMI'!$B$4,Sheet1!$F$2:$F$5214,"&lt;="&amp;'SELECCIÓN YAMI'!$B$6))</f>
        <v/>
      </c>
      <c r="F58" s="145" t="str">
        <f>IF($A58="","",COUNTIFS(Sheet1!$H$2:$H$5214,$A58,Sheet1!$N$2:$N$5214,F$4,Sheet1!$F$2:$F$5214,"&gt;="&amp;'SELECCIÓN YAMI'!$B$4,Sheet1!$F$2:$F$5214,"&lt;="&amp;'SELECCIÓN YAMI'!$B$6))</f>
        <v/>
      </c>
      <c r="G58" s="145" t="str">
        <f>IF($A58="","",COUNTIFS(Sheet1!$H$2:$H$5214,$A58,Sheet1!$N$2:$N$5214,G$4,Sheet1!$F$2:$F$5214,"&gt;="&amp;'SELECCIÓN YAMI'!$B$4,Sheet1!$F$2:$F$5214,"&lt;="&amp;'SELECCIÓN YAMI'!$B$6))</f>
        <v/>
      </c>
      <c r="H58" s="145" t="str">
        <f>IF($A58="","",COUNTIFS(Sheet1!$H$2:$H$5214,$A58,Sheet1!$N$2:$N$5214,H$4,Sheet1!$F$2:$F$5214,"&gt;="&amp;'SELECCIÓN YAMI'!$B$4,Sheet1!$F$2:$F$5214,"&lt;="&amp;'SELECCIÓN YAMI'!$B$6))</f>
        <v/>
      </c>
      <c r="I58" s="145" t="str">
        <f>IF($A58="","",COUNTIFS(Sheet1!$H$2:$H$5214,$A58,Sheet1!$N$2:$N$5214,I$4,Sheet1!$F$2:$F$5214,"&gt;="&amp;'SELECCIÓN YAMI'!$B$4,Sheet1!$F$2:$F$5214,"&lt;="&amp;'SELECCIÓN YAMI'!$B$6))</f>
        <v/>
      </c>
      <c r="J58" s="146" t="str">
        <f>IF($A58="","",SUM(B58:I58))</f>
        <v/>
      </c>
      <c r="K58" s="147" t="str">
        <f>IF($A58="","",J58*'SELECCIÓN YAMI'!$B$7)</f>
        <v/>
      </c>
      <c r="L58" s="145" t="str">
        <f>IF($A58="","",COUNTIFS(Sheet1!$H$2:$H$5214,$A58,Sheet1!$N$2:$N$5214,L$4,Sheet1!$F$2:$F$5214,"&gt;="&amp;'SELECCIÓN YAMI'!$B$4,Sheet1!$F$2:$F$5214,"&lt;="&amp;'SELECCIÓN YAMI'!$B$6))</f>
        <v/>
      </c>
      <c r="M58" s="145" t="str">
        <f>IF($A58="","",COUNTIFS(Sheet1!$H$2:$H$5214,$A58,Sheet1!$N$2:$N$5214,M$4,Sheet1!$F$2:$F$5214,"&gt;="&amp;'SELECCIÓN YAMI'!$B$4,Sheet1!$F$2:$F$5214,"&lt;="&amp;'SELECCIÓN YAMI'!$B$6))</f>
        <v/>
      </c>
      <c r="N58" s="145" t="str">
        <f>IF($A58="","",COUNTIFS(Sheet1!$H$2:$H$5214,$A58,Sheet1!$N$2:$N$5214,N$4,Sheet1!$F$2:$F$5214,"&gt;="&amp;'SELECCIÓN YAMI'!$B$4,Sheet1!$F$2:$F$5214,"&lt;="&amp;'SELECCIÓN YAMI'!$B$6))</f>
        <v/>
      </c>
      <c r="O58" s="145" t="str">
        <f>IF($A58="","",COUNTIFS(Sheet1!$H$2:$H$5214,$A58,Sheet1!$F$2:$F$5214,"&gt;="&amp;'SELECCIÓN YAMI'!$B$4,Sheet1!$F$2:$F$5214,"&lt;="&amp;'SELECCIÓN YAMI'!$B$6))</f>
        <v/>
      </c>
    </row>
    <row r="59" spans="1:15">
      <c r="A59" s="144"/>
      <c r="B59" s="145" t="str">
        <f>IF($A59="","",COUNTIFS(Sheet1!$H$2:$H$5214,$A59,Sheet1!$N$2:$N$5214,B$4,Sheet1!$F$2:$F$5214,"&gt;="&amp;'SELECCIÓN YAMI'!$B$4,Sheet1!$F$2:$F$5214,"&lt;="&amp;'SELECCIÓN YAMI'!$B$6))</f>
        <v/>
      </c>
      <c r="C59" s="145" t="str">
        <f>IF($A59="","",COUNTIFS(Sheet1!$H$2:$H$5214,$A59,Sheet1!$N$2:$N$5214,C$4,Sheet1!$F$2:$F$5214,"&gt;="&amp;'SELECCIÓN YAMI'!$B$4,Sheet1!$F$2:$F$5214,"&lt;="&amp;'SELECCIÓN YAMI'!$B$6))</f>
        <v/>
      </c>
      <c r="D59" s="145" t="str">
        <f>IF($A59="","",COUNTIFS(Sheet1!$H$2:$H$5214,$A59,Sheet1!$N$2:$N$5214,D$4,Sheet1!$F$2:$F$5214,"&gt;="&amp;'SELECCIÓN YAMI'!$B$4,Sheet1!$F$2:$F$5214,"&lt;="&amp;'SELECCIÓN YAMI'!$B$6))</f>
        <v/>
      </c>
      <c r="E59" s="145" t="str">
        <f>IF($A59="","",COUNTIFS(Sheet1!$H$2:$H$5214,$A59,Sheet1!$N$2:$N$5214,E$4,Sheet1!$F$2:$F$5214,"&gt;="&amp;'SELECCIÓN YAMI'!$B$4,Sheet1!$F$2:$F$5214,"&lt;="&amp;'SELECCIÓN YAMI'!$B$6))</f>
        <v/>
      </c>
      <c r="F59" s="145" t="str">
        <f>IF($A59="","",COUNTIFS(Sheet1!$H$2:$H$5214,$A59,Sheet1!$N$2:$N$5214,F$4,Sheet1!$F$2:$F$5214,"&gt;="&amp;'SELECCIÓN YAMI'!$B$4,Sheet1!$F$2:$F$5214,"&lt;="&amp;'SELECCIÓN YAMI'!$B$6))</f>
        <v/>
      </c>
      <c r="G59" s="145" t="str">
        <f>IF($A59="","",COUNTIFS(Sheet1!$H$2:$H$5214,$A59,Sheet1!$N$2:$N$5214,G$4,Sheet1!$F$2:$F$5214,"&gt;="&amp;'SELECCIÓN YAMI'!$B$4,Sheet1!$F$2:$F$5214,"&lt;="&amp;'SELECCIÓN YAMI'!$B$6))</f>
        <v/>
      </c>
      <c r="H59" s="145" t="str">
        <f>IF($A59="","",COUNTIFS(Sheet1!$H$2:$H$5214,$A59,Sheet1!$N$2:$N$5214,H$4,Sheet1!$F$2:$F$5214,"&gt;="&amp;'SELECCIÓN YAMI'!$B$4,Sheet1!$F$2:$F$5214,"&lt;="&amp;'SELECCIÓN YAMI'!$B$6))</f>
        <v/>
      </c>
      <c r="I59" s="145" t="str">
        <f>IF($A59="","",COUNTIFS(Sheet1!$H$2:$H$5214,$A59,Sheet1!$N$2:$N$5214,I$4,Sheet1!$F$2:$F$5214,"&gt;="&amp;'SELECCIÓN YAMI'!$B$4,Sheet1!$F$2:$F$5214,"&lt;="&amp;'SELECCIÓN YAMI'!$B$6))</f>
        <v/>
      </c>
      <c r="J59" s="146" t="str">
        <f>IF($A59="","",SUM(B59:I59))</f>
        <v/>
      </c>
      <c r="K59" s="147" t="str">
        <f>IF($A59="","",J59*'SELECCIÓN YAMI'!$B$7)</f>
        <v/>
      </c>
      <c r="L59" s="145" t="str">
        <f>IF($A59="","",COUNTIFS(Sheet1!$H$2:$H$5214,$A59,Sheet1!$N$2:$N$5214,L$4,Sheet1!$F$2:$F$5214,"&gt;="&amp;'SELECCIÓN YAMI'!$B$4,Sheet1!$F$2:$F$5214,"&lt;="&amp;'SELECCIÓN YAMI'!$B$6))</f>
        <v/>
      </c>
      <c r="M59" s="145" t="str">
        <f>IF($A59="","",COUNTIFS(Sheet1!$H$2:$H$5214,$A59,Sheet1!$N$2:$N$5214,M$4,Sheet1!$F$2:$F$5214,"&gt;="&amp;'SELECCIÓN YAMI'!$B$4,Sheet1!$F$2:$F$5214,"&lt;="&amp;'SELECCIÓN YAMI'!$B$6))</f>
        <v/>
      </c>
      <c r="N59" s="145" t="str">
        <f>IF($A59="","",COUNTIFS(Sheet1!$H$2:$H$5214,$A59,Sheet1!$N$2:$N$5214,N$4,Sheet1!$F$2:$F$5214,"&gt;="&amp;'SELECCIÓN YAMI'!$B$4,Sheet1!$F$2:$F$5214,"&lt;="&amp;'SELECCIÓN YAMI'!$B$6))</f>
        <v/>
      </c>
      <c r="O59" s="145" t="str">
        <f>IF($A59="","",COUNTIFS(Sheet1!$H$2:$H$5214,$A59,Sheet1!$F$2:$F$5214,"&gt;="&amp;'SELECCIÓN YAMI'!$B$4,Sheet1!$F$2:$F$5214,"&lt;="&amp;'SELECCIÓN YAMI'!$B$6))</f>
        <v/>
      </c>
    </row>
    <row r="60" spans="1:15">
      <c r="A60" s="144"/>
      <c r="B60" s="145" t="str">
        <f>IF($A60="","",COUNTIFS(Sheet1!$H$2:$H$5214,$A60,Sheet1!$N$2:$N$5214,B$4,Sheet1!$F$2:$F$5214,"&gt;="&amp;'SELECCIÓN YAMI'!$B$4,Sheet1!$F$2:$F$5214,"&lt;="&amp;'SELECCIÓN YAMI'!$B$6))</f>
        <v/>
      </c>
      <c r="C60" s="145" t="str">
        <f>IF($A60="","",COUNTIFS(Sheet1!$H$2:$H$5214,$A60,Sheet1!$N$2:$N$5214,C$4,Sheet1!$F$2:$F$5214,"&gt;="&amp;'SELECCIÓN YAMI'!$B$4,Sheet1!$F$2:$F$5214,"&lt;="&amp;'SELECCIÓN YAMI'!$B$6))</f>
        <v/>
      </c>
      <c r="D60" s="145" t="str">
        <f>IF($A60="","",COUNTIFS(Sheet1!$H$2:$H$5214,$A60,Sheet1!$N$2:$N$5214,D$4,Sheet1!$F$2:$F$5214,"&gt;="&amp;'SELECCIÓN YAMI'!$B$4,Sheet1!$F$2:$F$5214,"&lt;="&amp;'SELECCIÓN YAMI'!$B$6))</f>
        <v/>
      </c>
      <c r="E60" s="145" t="str">
        <f>IF($A60="","",COUNTIFS(Sheet1!$H$2:$H$5214,$A60,Sheet1!$N$2:$N$5214,E$4,Sheet1!$F$2:$F$5214,"&gt;="&amp;'SELECCIÓN YAMI'!$B$4,Sheet1!$F$2:$F$5214,"&lt;="&amp;'SELECCIÓN YAMI'!$B$6))</f>
        <v/>
      </c>
      <c r="F60" s="145" t="str">
        <f>IF($A60="","",COUNTIFS(Sheet1!$H$2:$H$5214,$A60,Sheet1!$N$2:$N$5214,F$4,Sheet1!$F$2:$F$5214,"&gt;="&amp;'SELECCIÓN YAMI'!$B$4,Sheet1!$F$2:$F$5214,"&lt;="&amp;'SELECCIÓN YAMI'!$B$6))</f>
        <v/>
      </c>
      <c r="G60" s="145" t="str">
        <f>IF($A60="","",COUNTIFS(Sheet1!$H$2:$H$5214,$A60,Sheet1!$N$2:$N$5214,G$4,Sheet1!$F$2:$F$5214,"&gt;="&amp;'SELECCIÓN YAMI'!$B$4,Sheet1!$F$2:$F$5214,"&lt;="&amp;'SELECCIÓN YAMI'!$B$6))</f>
        <v/>
      </c>
      <c r="H60" s="145" t="str">
        <f>IF($A60="","",COUNTIFS(Sheet1!$H$2:$H$5214,$A60,Sheet1!$N$2:$N$5214,H$4,Sheet1!$F$2:$F$5214,"&gt;="&amp;'SELECCIÓN YAMI'!$B$4,Sheet1!$F$2:$F$5214,"&lt;="&amp;'SELECCIÓN YAMI'!$B$6))</f>
        <v/>
      </c>
      <c r="I60" s="145" t="str">
        <f>IF($A60="","",COUNTIFS(Sheet1!$H$2:$H$5214,$A60,Sheet1!$N$2:$N$5214,I$4,Sheet1!$F$2:$F$5214,"&gt;="&amp;'SELECCIÓN YAMI'!$B$4,Sheet1!$F$2:$F$5214,"&lt;="&amp;'SELECCIÓN YAMI'!$B$6))</f>
        <v/>
      </c>
      <c r="J60" s="146" t="str">
        <f>IF($A60="","",SUM(B60:I60))</f>
        <v/>
      </c>
      <c r="K60" s="147" t="str">
        <f>IF($A60="","",J60*'SELECCIÓN YAMI'!$B$7)</f>
        <v/>
      </c>
      <c r="L60" s="145" t="str">
        <f>IF($A60="","",COUNTIFS(Sheet1!$H$2:$H$5214,$A60,Sheet1!$N$2:$N$5214,L$4,Sheet1!$F$2:$F$5214,"&gt;="&amp;'SELECCIÓN YAMI'!$B$4,Sheet1!$F$2:$F$5214,"&lt;="&amp;'SELECCIÓN YAMI'!$B$6))</f>
        <v/>
      </c>
      <c r="M60" s="145" t="str">
        <f>IF($A60="","",COUNTIFS(Sheet1!$H$2:$H$5214,$A60,Sheet1!$N$2:$N$5214,M$4,Sheet1!$F$2:$F$5214,"&gt;="&amp;'SELECCIÓN YAMI'!$B$4,Sheet1!$F$2:$F$5214,"&lt;="&amp;'SELECCIÓN YAMI'!$B$6))</f>
        <v/>
      </c>
      <c r="N60" s="145" t="str">
        <f>IF($A60="","",COUNTIFS(Sheet1!$H$2:$H$5214,$A60,Sheet1!$N$2:$N$5214,N$4,Sheet1!$F$2:$F$5214,"&gt;="&amp;'SELECCIÓN YAMI'!$B$4,Sheet1!$F$2:$F$5214,"&lt;="&amp;'SELECCIÓN YAMI'!$B$6))</f>
        <v/>
      </c>
      <c r="O60" s="145" t="str">
        <f>IF($A60="","",COUNTIFS(Sheet1!$H$2:$H$5214,$A60,Sheet1!$F$2:$F$5214,"&gt;="&amp;'SELECCIÓN YAMI'!$B$4,Sheet1!$F$2:$F$5214,"&lt;="&amp;'SELECCIÓN YAMI'!$B$6))</f>
        <v/>
      </c>
    </row>
    <row r="61" spans="1:15">
      <c r="A61" s="144"/>
      <c r="B61" s="145" t="str">
        <f>IF($A61="","",COUNTIFS(Sheet1!$H$2:$H$5214,$A61,Sheet1!$N$2:$N$5214,B$4,Sheet1!$F$2:$F$5214,"&gt;="&amp;'SELECCIÓN YAMI'!$B$4,Sheet1!$F$2:$F$5214,"&lt;="&amp;'SELECCIÓN YAMI'!$B$6))</f>
        <v/>
      </c>
      <c r="C61" s="145" t="str">
        <f>IF($A61="","",COUNTIFS(Sheet1!$H$2:$H$5214,$A61,Sheet1!$N$2:$N$5214,C$4,Sheet1!$F$2:$F$5214,"&gt;="&amp;'SELECCIÓN YAMI'!$B$4,Sheet1!$F$2:$F$5214,"&lt;="&amp;'SELECCIÓN YAMI'!$B$6))</f>
        <v/>
      </c>
      <c r="D61" s="145" t="str">
        <f>IF($A61="","",COUNTIFS(Sheet1!$H$2:$H$5214,$A61,Sheet1!$N$2:$N$5214,D$4,Sheet1!$F$2:$F$5214,"&gt;="&amp;'SELECCIÓN YAMI'!$B$4,Sheet1!$F$2:$F$5214,"&lt;="&amp;'SELECCIÓN YAMI'!$B$6))</f>
        <v/>
      </c>
      <c r="E61" s="145" t="str">
        <f>IF($A61="","",COUNTIFS(Sheet1!$H$2:$H$5214,$A61,Sheet1!$N$2:$N$5214,E$4,Sheet1!$F$2:$F$5214,"&gt;="&amp;'SELECCIÓN YAMI'!$B$4,Sheet1!$F$2:$F$5214,"&lt;="&amp;'SELECCIÓN YAMI'!$B$6))</f>
        <v/>
      </c>
      <c r="F61" s="145" t="str">
        <f>IF($A61="","",COUNTIFS(Sheet1!$H$2:$H$5214,$A61,Sheet1!$N$2:$N$5214,F$4,Sheet1!$F$2:$F$5214,"&gt;="&amp;'SELECCIÓN YAMI'!$B$4,Sheet1!$F$2:$F$5214,"&lt;="&amp;'SELECCIÓN YAMI'!$B$6))</f>
        <v/>
      </c>
      <c r="G61" s="145" t="str">
        <f>IF($A61="","",COUNTIFS(Sheet1!$H$2:$H$5214,$A61,Sheet1!$N$2:$N$5214,G$4,Sheet1!$F$2:$F$5214,"&gt;="&amp;'SELECCIÓN YAMI'!$B$4,Sheet1!$F$2:$F$5214,"&lt;="&amp;'SELECCIÓN YAMI'!$B$6))</f>
        <v/>
      </c>
      <c r="H61" s="145" t="str">
        <f>IF($A61="","",COUNTIFS(Sheet1!$H$2:$H$5214,$A61,Sheet1!$N$2:$N$5214,H$4,Sheet1!$F$2:$F$5214,"&gt;="&amp;'SELECCIÓN YAMI'!$B$4,Sheet1!$F$2:$F$5214,"&lt;="&amp;'SELECCIÓN YAMI'!$B$6))</f>
        <v/>
      </c>
      <c r="I61" s="145" t="str">
        <f>IF($A61="","",COUNTIFS(Sheet1!$H$2:$H$5214,$A61,Sheet1!$N$2:$N$5214,I$4,Sheet1!$F$2:$F$5214,"&gt;="&amp;'SELECCIÓN YAMI'!$B$4,Sheet1!$F$2:$F$5214,"&lt;="&amp;'SELECCIÓN YAMI'!$B$6))</f>
        <v/>
      </c>
      <c r="J61" s="146" t="str">
        <f>IF($A61="","",SUM(B61:I61))</f>
        <v/>
      </c>
      <c r="K61" s="147" t="str">
        <f>IF($A61="","",J61*'SELECCIÓN YAMI'!$B$7)</f>
        <v/>
      </c>
      <c r="L61" s="145" t="str">
        <f>IF($A61="","",COUNTIFS(Sheet1!$H$2:$H$5214,$A61,Sheet1!$N$2:$N$5214,L$4,Sheet1!$F$2:$F$5214,"&gt;="&amp;'SELECCIÓN YAMI'!$B$4,Sheet1!$F$2:$F$5214,"&lt;="&amp;'SELECCIÓN YAMI'!$B$6))</f>
        <v/>
      </c>
      <c r="M61" s="145" t="str">
        <f>IF($A61="","",COUNTIFS(Sheet1!$H$2:$H$5214,$A61,Sheet1!$N$2:$N$5214,M$4,Sheet1!$F$2:$F$5214,"&gt;="&amp;'SELECCIÓN YAMI'!$B$4,Sheet1!$F$2:$F$5214,"&lt;="&amp;'SELECCIÓN YAMI'!$B$6))</f>
        <v/>
      </c>
      <c r="N61" s="145" t="str">
        <f>IF($A61="","",COUNTIFS(Sheet1!$H$2:$H$5214,$A61,Sheet1!$N$2:$N$5214,N$4,Sheet1!$F$2:$F$5214,"&gt;="&amp;'SELECCIÓN YAMI'!$B$4,Sheet1!$F$2:$F$5214,"&lt;="&amp;'SELECCIÓN YAMI'!$B$6))</f>
        <v/>
      </c>
      <c r="O61" s="145" t="str">
        <f>IF($A61="","",COUNTIFS(Sheet1!$H$2:$H$5214,$A61,Sheet1!$F$2:$F$5214,"&gt;="&amp;'SELECCIÓN YAMI'!$B$4,Sheet1!$F$2:$F$5214,"&lt;="&amp;'SELECCIÓN YAMI'!$B$6))</f>
        <v/>
      </c>
    </row>
    <row r="62" spans="1:15">
      <c r="A62" s="144"/>
      <c r="B62" s="145" t="str">
        <f>IF($A62="","",COUNTIFS(Sheet1!$H$2:$H$5214,$A62,Sheet1!$N$2:$N$5214,B$4,Sheet1!$F$2:$F$5214,"&gt;="&amp;'SELECCIÓN YAMI'!$B$4,Sheet1!$F$2:$F$5214,"&lt;="&amp;'SELECCIÓN YAMI'!$B$6))</f>
        <v/>
      </c>
      <c r="C62" s="145" t="str">
        <f>IF($A62="","",COUNTIFS(Sheet1!$H$2:$H$5214,$A62,Sheet1!$N$2:$N$5214,C$4,Sheet1!$F$2:$F$5214,"&gt;="&amp;'SELECCIÓN YAMI'!$B$4,Sheet1!$F$2:$F$5214,"&lt;="&amp;'SELECCIÓN YAMI'!$B$6))</f>
        <v/>
      </c>
      <c r="D62" s="145" t="str">
        <f>IF($A62="","",COUNTIFS(Sheet1!$H$2:$H$5214,$A62,Sheet1!$N$2:$N$5214,D$4,Sheet1!$F$2:$F$5214,"&gt;="&amp;'SELECCIÓN YAMI'!$B$4,Sheet1!$F$2:$F$5214,"&lt;="&amp;'SELECCIÓN YAMI'!$B$6))</f>
        <v/>
      </c>
      <c r="E62" s="145" t="str">
        <f>IF($A62="","",COUNTIFS(Sheet1!$H$2:$H$5214,$A62,Sheet1!$N$2:$N$5214,E$4,Sheet1!$F$2:$F$5214,"&gt;="&amp;'SELECCIÓN YAMI'!$B$4,Sheet1!$F$2:$F$5214,"&lt;="&amp;'SELECCIÓN YAMI'!$B$6))</f>
        <v/>
      </c>
      <c r="F62" s="145" t="str">
        <f>IF($A62="","",COUNTIFS(Sheet1!$H$2:$H$5214,$A62,Sheet1!$N$2:$N$5214,F$4,Sheet1!$F$2:$F$5214,"&gt;="&amp;'SELECCIÓN YAMI'!$B$4,Sheet1!$F$2:$F$5214,"&lt;="&amp;'SELECCIÓN YAMI'!$B$6))</f>
        <v/>
      </c>
      <c r="G62" s="145" t="str">
        <f>IF($A62="","",COUNTIFS(Sheet1!$H$2:$H$5214,$A62,Sheet1!$N$2:$N$5214,G$4,Sheet1!$F$2:$F$5214,"&gt;="&amp;'SELECCIÓN YAMI'!$B$4,Sheet1!$F$2:$F$5214,"&lt;="&amp;'SELECCIÓN YAMI'!$B$6))</f>
        <v/>
      </c>
      <c r="H62" s="145" t="str">
        <f>IF($A62="","",COUNTIFS(Sheet1!$H$2:$H$5214,$A62,Sheet1!$N$2:$N$5214,H$4,Sheet1!$F$2:$F$5214,"&gt;="&amp;'SELECCIÓN YAMI'!$B$4,Sheet1!$F$2:$F$5214,"&lt;="&amp;'SELECCIÓN YAMI'!$B$6))</f>
        <v/>
      </c>
      <c r="I62" s="145" t="str">
        <f>IF($A62="","",COUNTIFS(Sheet1!$H$2:$H$5214,$A62,Sheet1!$N$2:$N$5214,I$4,Sheet1!$F$2:$F$5214,"&gt;="&amp;'SELECCIÓN YAMI'!$B$4,Sheet1!$F$2:$F$5214,"&lt;="&amp;'SELECCIÓN YAMI'!$B$6))</f>
        <v/>
      </c>
      <c r="J62" s="146" t="str">
        <f>IF($A62="","",SUM(B62:I62))</f>
        <v/>
      </c>
      <c r="K62" s="147" t="str">
        <f>IF($A62="","",J62*'SELECCIÓN YAMI'!$B$7)</f>
        <v/>
      </c>
      <c r="L62" s="145" t="str">
        <f>IF($A62="","",COUNTIFS(Sheet1!$H$2:$H$5214,$A62,Sheet1!$N$2:$N$5214,L$4,Sheet1!$F$2:$F$5214,"&gt;="&amp;'SELECCIÓN YAMI'!$B$4,Sheet1!$F$2:$F$5214,"&lt;="&amp;'SELECCIÓN YAMI'!$B$6))</f>
        <v/>
      </c>
      <c r="M62" s="145" t="str">
        <f>IF($A62="","",COUNTIFS(Sheet1!$H$2:$H$5214,$A62,Sheet1!$N$2:$N$5214,M$4,Sheet1!$F$2:$F$5214,"&gt;="&amp;'SELECCIÓN YAMI'!$B$4,Sheet1!$F$2:$F$5214,"&lt;="&amp;'SELECCIÓN YAMI'!$B$6))</f>
        <v/>
      </c>
      <c r="N62" s="145" t="str">
        <f>IF($A62="","",COUNTIFS(Sheet1!$H$2:$H$5214,$A62,Sheet1!$N$2:$N$5214,N$4,Sheet1!$F$2:$F$5214,"&gt;="&amp;'SELECCIÓN YAMI'!$B$4,Sheet1!$F$2:$F$5214,"&lt;="&amp;'SELECCIÓN YAMI'!$B$6))</f>
        <v/>
      </c>
      <c r="O62" s="145" t="str">
        <f>IF($A62="","",COUNTIFS(Sheet1!$H$2:$H$5214,$A62,Sheet1!$F$2:$F$5214,"&gt;="&amp;'SELECCIÓN YAMI'!$B$4,Sheet1!$F$2:$F$5214,"&lt;="&amp;'SELECCIÓN YAMI'!$B$6))</f>
        <v/>
      </c>
    </row>
    <row r="63" spans="1:15">
      <c r="A63" s="144"/>
      <c r="B63" s="145" t="str">
        <f>IF($A63="","",COUNTIFS(Sheet1!$H$2:$H$5214,$A63,Sheet1!$N$2:$N$5214,B$4,Sheet1!$F$2:$F$5214,"&gt;="&amp;'SELECCIÓN YAMI'!$B$4,Sheet1!$F$2:$F$5214,"&lt;="&amp;'SELECCIÓN YAMI'!$B$6))</f>
        <v/>
      </c>
      <c r="C63" s="145" t="str">
        <f>IF($A63="","",COUNTIFS(Sheet1!$H$2:$H$5214,$A63,Sheet1!$N$2:$N$5214,C$4,Sheet1!$F$2:$F$5214,"&gt;="&amp;'SELECCIÓN YAMI'!$B$4,Sheet1!$F$2:$F$5214,"&lt;="&amp;'SELECCIÓN YAMI'!$B$6))</f>
        <v/>
      </c>
      <c r="D63" s="145" t="str">
        <f>IF($A63="","",COUNTIFS(Sheet1!$H$2:$H$5214,$A63,Sheet1!$N$2:$N$5214,D$4,Sheet1!$F$2:$F$5214,"&gt;="&amp;'SELECCIÓN YAMI'!$B$4,Sheet1!$F$2:$F$5214,"&lt;="&amp;'SELECCIÓN YAMI'!$B$6))</f>
        <v/>
      </c>
      <c r="E63" s="145" t="str">
        <f>IF($A63="","",COUNTIFS(Sheet1!$H$2:$H$5214,$A63,Sheet1!$N$2:$N$5214,E$4,Sheet1!$F$2:$F$5214,"&gt;="&amp;'SELECCIÓN YAMI'!$B$4,Sheet1!$F$2:$F$5214,"&lt;="&amp;'SELECCIÓN YAMI'!$B$6))</f>
        <v/>
      </c>
      <c r="F63" s="145" t="str">
        <f>IF($A63="","",COUNTIFS(Sheet1!$H$2:$H$5214,$A63,Sheet1!$N$2:$N$5214,F$4,Sheet1!$F$2:$F$5214,"&gt;="&amp;'SELECCIÓN YAMI'!$B$4,Sheet1!$F$2:$F$5214,"&lt;="&amp;'SELECCIÓN YAMI'!$B$6))</f>
        <v/>
      </c>
      <c r="G63" s="145" t="str">
        <f>IF($A63="","",COUNTIFS(Sheet1!$H$2:$H$5214,$A63,Sheet1!$N$2:$N$5214,G$4,Sheet1!$F$2:$F$5214,"&gt;="&amp;'SELECCIÓN YAMI'!$B$4,Sheet1!$F$2:$F$5214,"&lt;="&amp;'SELECCIÓN YAMI'!$B$6))</f>
        <v/>
      </c>
      <c r="H63" s="145" t="str">
        <f>IF($A63="","",COUNTIFS(Sheet1!$H$2:$H$5214,$A63,Sheet1!$N$2:$N$5214,H$4,Sheet1!$F$2:$F$5214,"&gt;="&amp;'SELECCIÓN YAMI'!$B$4,Sheet1!$F$2:$F$5214,"&lt;="&amp;'SELECCIÓN YAMI'!$B$6))</f>
        <v/>
      </c>
      <c r="I63" s="145" t="str">
        <f>IF($A63="","",COUNTIFS(Sheet1!$H$2:$H$5214,$A63,Sheet1!$N$2:$N$5214,I$4,Sheet1!$F$2:$F$5214,"&gt;="&amp;'SELECCIÓN YAMI'!$B$4,Sheet1!$F$2:$F$5214,"&lt;="&amp;'SELECCIÓN YAMI'!$B$6))</f>
        <v/>
      </c>
      <c r="J63" s="146" t="str">
        <f>IF($A63="","",SUM(B63:I63))</f>
        <v/>
      </c>
      <c r="K63" s="147" t="str">
        <f>IF($A63="","",J63*'SELECCIÓN YAMI'!$B$7)</f>
        <v/>
      </c>
      <c r="L63" s="145" t="str">
        <f>IF($A63="","",COUNTIFS(Sheet1!$H$2:$H$5214,$A63,Sheet1!$N$2:$N$5214,L$4,Sheet1!$F$2:$F$5214,"&gt;="&amp;'SELECCIÓN YAMI'!$B$4,Sheet1!$F$2:$F$5214,"&lt;="&amp;'SELECCIÓN YAMI'!$B$6))</f>
        <v/>
      </c>
      <c r="M63" s="145" t="str">
        <f>IF($A63="","",COUNTIFS(Sheet1!$H$2:$H$5214,$A63,Sheet1!$N$2:$N$5214,M$4,Sheet1!$F$2:$F$5214,"&gt;="&amp;'SELECCIÓN YAMI'!$B$4,Sheet1!$F$2:$F$5214,"&lt;="&amp;'SELECCIÓN YAMI'!$B$6))</f>
        <v/>
      </c>
      <c r="N63" s="145" t="str">
        <f>IF($A63="","",COUNTIFS(Sheet1!$H$2:$H$5214,$A63,Sheet1!$N$2:$N$5214,N$4,Sheet1!$F$2:$F$5214,"&gt;="&amp;'SELECCIÓN YAMI'!$B$4,Sheet1!$F$2:$F$5214,"&lt;="&amp;'SELECCIÓN YAMI'!$B$6))</f>
        <v/>
      </c>
      <c r="O63" s="145" t="str">
        <f>IF($A63="","",COUNTIFS(Sheet1!$H$2:$H$5214,$A63,Sheet1!$F$2:$F$5214,"&gt;="&amp;'SELECCIÓN YAMI'!$B$4,Sheet1!$F$2:$F$5214,"&lt;="&amp;'SELECCIÓN YAMI'!$B$6))</f>
        <v/>
      </c>
    </row>
    <row r="64" spans="1:15">
      <c r="A64" s="144"/>
      <c r="B64" s="145" t="str">
        <f>IF($A64="","",COUNTIFS(Sheet1!$H$2:$H$5214,$A64,Sheet1!$N$2:$N$5214,B$4,Sheet1!$F$2:$F$5214,"&gt;="&amp;'SELECCIÓN YAMI'!$B$4,Sheet1!$F$2:$F$5214,"&lt;="&amp;'SELECCIÓN YAMI'!$B$6))</f>
        <v/>
      </c>
      <c r="C64" s="145" t="str">
        <f>IF($A64="","",COUNTIFS(Sheet1!$H$2:$H$5214,$A64,Sheet1!$N$2:$N$5214,C$4,Sheet1!$F$2:$F$5214,"&gt;="&amp;'SELECCIÓN YAMI'!$B$4,Sheet1!$F$2:$F$5214,"&lt;="&amp;'SELECCIÓN YAMI'!$B$6))</f>
        <v/>
      </c>
      <c r="D64" s="145" t="str">
        <f>IF($A64="","",COUNTIFS(Sheet1!$H$2:$H$5214,$A64,Sheet1!$N$2:$N$5214,D$4,Sheet1!$F$2:$F$5214,"&gt;="&amp;'SELECCIÓN YAMI'!$B$4,Sheet1!$F$2:$F$5214,"&lt;="&amp;'SELECCIÓN YAMI'!$B$6))</f>
        <v/>
      </c>
      <c r="E64" s="145" t="str">
        <f>IF($A64="","",COUNTIFS(Sheet1!$H$2:$H$5214,$A64,Sheet1!$N$2:$N$5214,E$4,Sheet1!$F$2:$F$5214,"&gt;="&amp;'SELECCIÓN YAMI'!$B$4,Sheet1!$F$2:$F$5214,"&lt;="&amp;'SELECCIÓN YAMI'!$B$6))</f>
        <v/>
      </c>
      <c r="F64" s="145" t="str">
        <f>IF($A64="","",COUNTIFS(Sheet1!$H$2:$H$5214,$A64,Sheet1!$N$2:$N$5214,F$4,Sheet1!$F$2:$F$5214,"&gt;="&amp;'SELECCIÓN YAMI'!$B$4,Sheet1!$F$2:$F$5214,"&lt;="&amp;'SELECCIÓN YAMI'!$B$6))</f>
        <v/>
      </c>
      <c r="G64" s="145" t="str">
        <f>IF($A64="","",COUNTIFS(Sheet1!$H$2:$H$5214,$A64,Sheet1!$N$2:$N$5214,G$4,Sheet1!$F$2:$F$5214,"&gt;="&amp;'SELECCIÓN YAMI'!$B$4,Sheet1!$F$2:$F$5214,"&lt;="&amp;'SELECCIÓN YAMI'!$B$6))</f>
        <v/>
      </c>
      <c r="H64" s="145" t="str">
        <f>IF($A64="","",COUNTIFS(Sheet1!$H$2:$H$5214,$A64,Sheet1!$N$2:$N$5214,H$4,Sheet1!$F$2:$F$5214,"&gt;="&amp;'SELECCIÓN YAMI'!$B$4,Sheet1!$F$2:$F$5214,"&lt;="&amp;'SELECCIÓN YAMI'!$B$6))</f>
        <v/>
      </c>
      <c r="I64" s="145" t="str">
        <f>IF($A64="","",COUNTIFS(Sheet1!$H$2:$H$5214,$A64,Sheet1!$N$2:$N$5214,I$4,Sheet1!$F$2:$F$5214,"&gt;="&amp;'SELECCIÓN YAMI'!$B$4,Sheet1!$F$2:$F$5214,"&lt;="&amp;'SELECCIÓN YAMI'!$B$6))</f>
        <v/>
      </c>
      <c r="J64" s="146" t="str">
        <f>IF($A64="","",SUM(B64:I64))</f>
        <v/>
      </c>
      <c r="K64" s="147" t="str">
        <f>IF($A64="","",J64*'SELECCIÓN YAMI'!$B$7)</f>
        <v/>
      </c>
      <c r="L64" s="145" t="str">
        <f>IF($A64="","",COUNTIFS(Sheet1!$H$2:$H$5214,$A64,Sheet1!$N$2:$N$5214,L$4,Sheet1!$F$2:$F$5214,"&gt;="&amp;'SELECCIÓN YAMI'!$B$4,Sheet1!$F$2:$F$5214,"&lt;="&amp;'SELECCIÓN YAMI'!$B$6))</f>
        <v/>
      </c>
      <c r="M64" s="145" t="str">
        <f>IF($A64="","",COUNTIFS(Sheet1!$H$2:$H$5214,$A64,Sheet1!$N$2:$N$5214,M$4,Sheet1!$F$2:$F$5214,"&gt;="&amp;'SELECCIÓN YAMI'!$B$4,Sheet1!$F$2:$F$5214,"&lt;="&amp;'SELECCIÓN YAMI'!$B$6))</f>
        <v/>
      </c>
      <c r="N64" s="145" t="str">
        <f>IF($A64="","",COUNTIFS(Sheet1!$H$2:$H$5214,$A64,Sheet1!$N$2:$N$5214,N$4,Sheet1!$F$2:$F$5214,"&gt;="&amp;'SELECCIÓN YAMI'!$B$4,Sheet1!$F$2:$F$5214,"&lt;="&amp;'SELECCIÓN YAMI'!$B$6))</f>
        <v/>
      </c>
      <c r="O64" s="145" t="str">
        <f>IF($A64="","",COUNTIFS(Sheet1!$H$2:$H$5214,$A64,Sheet1!$F$2:$F$5214,"&gt;="&amp;'SELECCIÓN YAMI'!$B$4,Sheet1!$F$2:$F$5214,"&lt;="&amp;'SELECCIÓN YAMI'!$B$6))</f>
        <v/>
      </c>
    </row>
    <row r="65" spans="1:15">
      <c r="A65" s="144"/>
      <c r="B65" s="145" t="str">
        <f>IF($A65="","",COUNTIFS(Sheet1!$H$2:$H$5214,$A65,Sheet1!$N$2:$N$5214,B$4,Sheet1!$F$2:$F$5214,"&gt;="&amp;'SELECCIÓN YAMI'!$B$4,Sheet1!$F$2:$F$5214,"&lt;="&amp;'SELECCIÓN YAMI'!$B$6))</f>
        <v/>
      </c>
      <c r="C65" s="145" t="str">
        <f>IF($A65="","",COUNTIFS(Sheet1!$H$2:$H$5214,$A65,Sheet1!$N$2:$N$5214,C$4,Sheet1!$F$2:$F$5214,"&gt;="&amp;'SELECCIÓN YAMI'!$B$4,Sheet1!$F$2:$F$5214,"&lt;="&amp;'SELECCIÓN YAMI'!$B$6))</f>
        <v/>
      </c>
      <c r="D65" s="145" t="str">
        <f>IF($A65="","",COUNTIFS(Sheet1!$H$2:$H$5214,$A65,Sheet1!$N$2:$N$5214,D$4,Sheet1!$F$2:$F$5214,"&gt;="&amp;'SELECCIÓN YAMI'!$B$4,Sheet1!$F$2:$F$5214,"&lt;="&amp;'SELECCIÓN YAMI'!$B$6))</f>
        <v/>
      </c>
      <c r="E65" s="145" t="str">
        <f>IF($A65="","",COUNTIFS(Sheet1!$H$2:$H$5214,$A65,Sheet1!$N$2:$N$5214,E$4,Sheet1!$F$2:$F$5214,"&gt;="&amp;'SELECCIÓN YAMI'!$B$4,Sheet1!$F$2:$F$5214,"&lt;="&amp;'SELECCIÓN YAMI'!$B$6))</f>
        <v/>
      </c>
      <c r="F65" s="145" t="str">
        <f>IF($A65="","",COUNTIFS(Sheet1!$H$2:$H$5214,$A65,Sheet1!$N$2:$N$5214,F$4,Sheet1!$F$2:$F$5214,"&gt;="&amp;'SELECCIÓN YAMI'!$B$4,Sheet1!$F$2:$F$5214,"&lt;="&amp;'SELECCIÓN YAMI'!$B$6))</f>
        <v/>
      </c>
      <c r="G65" s="145" t="str">
        <f>IF($A65="","",COUNTIFS(Sheet1!$H$2:$H$5214,$A65,Sheet1!$N$2:$N$5214,G$4,Sheet1!$F$2:$F$5214,"&gt;="&amp;'SELECCIÓN YAMI'!$B$4,Sheet1!$F$2:$F$5214,"&lt;="&amp;'SELECCIÓN YAMI'!$B$6))</f>
        <v/>
      </c>
      <c r="H65" s="145" t="str">
        <f>IF($A65="","",COUNTIFS(Sheet1!$H$2:$H$5214,$A65,Sheet1!$N$2:$N$5214,H$4,Sheet1!$F$2:$F$5214,"&gt;="&amp;'SELECCIÓN YAMI'!$B$4,Sheet1!$F$2:$F$5214,"&lt;="&amp;'SELECCIÓN YAMI'!$B$6))</f>
        <v/>
      </c>
      <c r="I65" s="145" t="str">
        <f>IF($A65="","",COUNTIFS(Sheet1!$H$2:$H$5214,$A65,Sheet1!$N$2:$N$5214,I$4,Sheet1!$F$2:$F$5214,"&gt;="&amp;'SELECCIÓN YAMI'!$B$4,Sheet1!$F$2:$F$5214,"&lt;="&amp;'SELECCIÓN YAMI'!$B$6))</f>
        <v/>
      </c>
      <c r="J65" s="146" t="str">
        <f>IF($A65="","",SUM(B65:I65))</f>
        <v/>
      </c>
      <c r="K65" s="147" t="str">
        <f>IF($A65="","",J65*'SELECCIÓN YAMI'!$B$7)</f>
        <v/>
      </c>
      <c r="L65" s="145" t="str">
        <f>IF($A65="","",COUNTIFS(Sheet1!$H$2:$H$5214,$A65,Sheet1!$N$2:$N$5214,L$4,Sheet1!$F$2:$F$5214,"&gt;="&amp;'SELECCIÓN YAMI'!$B$4,Sheet1!$F$2:$F$5214,"&lt;="&amp;'SELECCIÓN YAMI'!$B$6))</f>
        <v/>
      </c>
      <c r="M65" s="145" t="str">
        <f>IF($A65="","",COUNTIFS(Sheet1!$H$2:$H$5214,$A65,Sheet1!$N$2:$N$5214,M$4,Sheet1!$F$2:$F$5214,"&gt;="&amp;'SELECCIÓN YAMI'!$B$4,Sheet1!$F$2:$F$5214,"&lt;="&amp;'SELECCIÓN YAMI'!$B$6))</f>
        <v/>
      </c>
      <c r="N65" s="145" t="str">
        <f>IF($A65="","",COUNTIFS(Sheet1!$H$2:$H$5214,$A65,Sheet1!$N$2:$N$5214,N$4,Sheet1!$F$2:$F$5214,"&gt;="&amp;'SELECCIÓN YAMI'!$B$4,Sheet1!$F$2:$F$5214,"&lt;="&amp;'SELECCIÓN YAMI'!$B$6))</f>
        <v/>
      </c>
      <c r="O65" s="145" t="str">
        <f>IF($A65="","",COUNTIFS(Sheet1!$H$2:$H$5214,$A65,Sheet1!$F$2:$F$5214,"&gt;="&amp;'SELECCIÓN YAMI'!$B$4,Sheet1!$F$2:$F$5214,"&lt;="&amp;'SELECCIÓN YAMI'!$B$6))</f>
        <v/>
      </c>
    </row>
    <row r="66" spans="1:15">
      <c r="A66" s="144"/>
      <c r="B66" s="145" t="str">
        <f>IF($A66="","",COUNTIFS(Sheet1!$H$2:$H$5214,$A66,Sheet1!$N$2:$N$5214,B$4,Sheet1!$F$2:$F$5214,"&gt;="&amp;'SELECCIÓN YAMI'!$B$4,Sheet1!$F$2:$F$5214,"&lt;="&amp;'SELECCIÓN YAMI'!$B$6))</f>
        <v/>
      </c>
      <c r="C66" s="145" t="str">
        <f>IF($A66="","",COUNTIFS(Sheet1!$H$2:$H$5214,$A66,Sheet1!$N$2:$N$5214,C$4,Sheet1!$F$2:$F$5214,"&gt;="&amp;'SELECCIÓN YAMI'!$B$4,Sheet1!$F$2:$F$5214,"&lt;="&amp;'SELECCIÓN YAMI'!$B$6))</f>
        <v/>
      </c>
      <c r="D66" s="145" t="str">
        <f>IF($A66="","",COUNTIFS(Sheet1!$H$2:$H$5214,$A66,Sheet1!$N$2:$N$5214,D$4,Sheet1!$F$2:$F$5214,"&gt;="&amp;'SELECCIÓN YAMI'!$B$4,Sheet1!$F$2:$F$5214,"&lt;="&amp;'SELECCIÓN YAMI'!$B$6))</f>
        <v/>
      </c>
      <c r="E66" s="145" t="str">
        <f>IF($A66="","",COUNTIFS(Sheet1!$H$2:$H$5214,$A66,Sheet1!$N$2:$N$5214,E$4,Sheet1!$F$2:$F$5214,"&gt;="&amp;'SELECCIÓN YAMI'!$B$4,Sheet1!$F$2:$F$5214,"&lt;="&amp;'SELECCIÓN YAMI'!$B$6))</f>
        <v/>
      </c>
      <c r="F66" s="145" t="str">
        <f>IF($A66="","",COUNTIFS(Sheet1!$H$2:$H$5214,$A66,Sheet1!$N$2:$N$5214,F$4,Sheet1!$F$2:$F$5214,"&gt;="&amp;'SELECCIÓN YAMI'!$B$4,Sheet1!$F$2:$F$5214,"&lt;="&amp;'SELECCIÓN YAMI'!$B$6))</f>
        <v/>
      </c>
      <c r="G66" s="145" t="str">
        <f>IF($A66="","",COUNTIFS(Sheet1!$H$2:$H$5214,$A66,Sheet1!$N$2:$N$5214,G$4,Sheet1!$F$2:$F$5214,"&gt;="&amp;'SELECCIÓN YAMI'!$B$4,Sheet1!$F$2:$F$5214,"&lt;="&amp;'SELECCIÓN YAMI'!$B$6))</f>
        <v/>
      </c>
      <c r="H66" s="145" t="str">
        <f>IF($A66="","",COUNTIFS(Sheet1!$H$2:$H$5214,$A66,Sheet1!$N$2:$N$5214,H$4,Sheet1!$F$2:$F$5214,"&gt;="&amp;'SELECCIÓN YAMI'!$B$4,Sheet1!$F$2:$F$5214,"&lt;="&amp;'SELECCIÓN YAMI'!$B$6))</f>
        <v/>
      </c>
      <c r="I66" s="145" t="str">
        <f>IF($A66="","",COUNTIFS(Sheet1!$H$2:$H$5214,$A66,Sheet1!$N$2:$N$5214,I$4,Sheet1!$F$2:$F$5214,"&gt;="&amp;'SELECCIÓN YAMI'!$B$4,Sheet1!$F$2:$F$5214,"&lt;="&amp;'SELECCIÓN YAMI'!$B$6))</f>
        <v/>
      </c>
      <c r="J66" s="146" t="str">
        <f>IF($A66="","",SUM(B66:I66))</f>
        <v/>
      </c>
      <c r="K66" s="147" t="str">
        <f>IF($A66="","",J66*'SELECCIÓN YAMI'!$B$7)</f>
        <v/>
      </c>
      <c r="L66" s="145" t="str">
        <f>IF($A66="","",COUNTIFS(Sheet1!$H$2:$H$5214,$A66,Sheet1!$N$2:$N$5214,L$4,Sheet1!$F$2:$F$5214,"&gt;="&amp;'SELECCIÓN YAMI'!$B$4,Sheet1!$F$2:$F$5214,"&lt;="&amp;'SELECCIÓN YAMI'!$B$6))</f>
        <v/>
      </c>
      <c r="M66" s="145" t="str">
        <f>IF($A66="","",COUNTIFS(Sheet1!$H$2:$H$5214,$A66,Sheet1!$N$2:$N$5214,M$4,Sheet1!$F$2:$F$5214,"&gt;="&amp;'SELECCIÓN YAMI'!$B$4,Sheet1!$F$2:$F$5214,"&lt;="&amp;'SELECCIÓN YAMI'!$B$6))</f>
        <v/>
      </c>
      <c r="N66" s="145" t="str">
        <f>IF($A66="","",COUNTIFS(Sheet1!$H$2:$H$5214,$A66,Sheet1!$N$2:$N$5214,N$4,Sheet1!$F$2:$F$5214,"&gt;="&amp;'SELECCIÓN YAMI'!$B$4,Sheet1!$F$2:$F$5214,"&lt;="&amp;'SELECCIÓN YAMI'!$B$6))</f>
        <v/>
      </c>
      <c r="O66" s="145" t="str">
        <f>IF($A66="","",COUNTIFS(Sheet1!$H$2:$H$5214,$A66,Sheet1!$F$2:$F$5214,"&gt;="&amp;'SELECCIÓN YAMI'!$B$4,Sheet1!$F$2:$F$5214,"&lt;="&amp;'SELECCIÓN YAMI'!$B$6))</f>
        <v/>
      </c>
    </row>
    <row r="67" spans="1:15">
      <c r="A67" s="144"/>
      <c r="B67" s="145" t="str">
        <f>IF($A67="","",COUNTIFS(Sheet1!$H$2:$H$5214,$A67,Sheet1!$N$2:$N$5214,B$4,Sheet1!$F$2:$F$5214,"&gt;="&amp;'SELECCIÓN YAMI'!$B$4,Sheet1!$F$2:$F$5214,"&lt;="&amp;'SELECCIÓN YAMI'!$B$6))</f>
        <v/>
      </c>
      <c r="C67" s="145" t="str">
        <f>IF($A67="","",COUNTIFS(Sheet1!$H$2:$H$5214,$A67,Sheet1!$N$2:$N$5214,C$4,Sheet1!$F$2:$F$5214,"&gt;="&amp;'SELECCIÓN YAMI'!$B$4,Sheet1!$F$2:$F$5214,"&lt;="&amp;'SELECCIÓN YAMI'!$B$6))</f>
        <v/>
      </c>
      <c r="D67" s="145" t="str">
        <f>IF($A67="","",COUNTIFS(Sheet1!$H$2:$H$5214,$A67,Sheet1!$N$2:$N$5214,D$4,Sheet1!$F$2:$F$5214,"&gt;="&amp;'SELECCIÓN YAMI'!$B$4,Sheet1!$F$2:$F$5214,"&lt;="&amp;'SELECCIÓN YAMI'!$B$6))</f>
        <v/>
      </c>
      <c r="E67" s="145" t="str">
        <f>IF($A67="","",COUNTIFS(Sheet1!$H$2:$H$5214,$A67,Sheet1!$N$2:$N$5214,E$4,Sheet1!$F$2:$F$5214,"&gt;="&amp;'SELECCIÓN YAMI'!$B$4,Sheet1!$F$2:$F$5214,"&lt;="&amp;'SELECCIÓN YAMI'!$B$6))</f>
        <v/>
      </c>
      <c r="F67" s="145" t="str">
        <f>IF($A67="","",COUNTIFS(Sheet1!$H$2:$H$5214,$A67,Sheet1!$N$2:$N$5214,F$4,Sheet1!$F$2:$F$5214,"&gt;="&amp;'SELECCIÓN YAMI'!$B$4,Sheet1!$F$2:$F$5214,"&lt;="&amp;'SELECCIÓN YAMI'!$B$6))</f>
        <v/>
      </c>
      <c r="G67" s="145" t="str">
        <f>IF($A67="","",COUNTIFS(Sheet1!$H$2:$H$5214,$A67,Sheet1!$N$2:$N$5214,G$4,Sheet1!$F$2:$F$5214,"&gt;="&amp;'SELECCIÓN YAMI'!$B$4,Sheet1!$F$2:$F$5214,"&lt;="&amp;'SELECCIÓN YAMI'!$B$6))</f>
        <v/>
      </c>
      <c r="H67" s="145" t="str">
        <f>IF($A67="","",COUNTIFS(Sheet1!$H$2:$H$5214,$A67,Sheet1!$N$2:$N$5214,H$4,Sheet1!$F$2:$F$5214,"&gt;="&amp;'SELECCIÓN YAMI'!$B$4,Sheet1!$F$2:$F$5214,"&lt;="&amp;'SELECCIÓN YAMI'!$B$6))</f>
        <v/>
      </c>
      <c r="I67" s="145" t="str">
        <f>IF($A67="","",COUNTIFS(Sheet1!$H$2:$H$5214,$A67,Sheet1!$N$2:$N$5214,I$4,Sheet1!$F$2:$F$5214,"&gt;="&amp;'SELECCIÓN YAMI'!$B$4,Sheet1!$F$2:$F$5214,"&lt;="&amp;'SELECCIÓN YAMI'!$B$6))</f>
        <v/>
      </c>
      <c r="J67" s="146" t="str">
        <f>IF($A67="","",SUM(B67:I67))</f>
        <v/>
      </c>
      <c r="K67" s="147" t="str">
        <f>IF($A67="","",J67*'SELECCIÓN YAMI'!$B$7)</f>
        <v/>
      </c>
      <c r="L67" s="145" t="str">
        <f>IF($A67="","",COUNTIFS(Sheet1!$H$2:$H$5214,$A67,Sheet1!$N$2:$N$5214,L$4,Sheet1!$F$2:$F$5214,"&gt;="&amp;'SELECCIÓN YAMI'!$B$4,Sheet1!$F$2:$F$5214,"&lt;="&amp;'SELECCIÓN YAMI'!$B$6))</f>
        <v/>
      </c>
      <c r="M67" s="145" t="str">
        <f>IF($A67="","",COUNTIFS(Sheet1!$H$2:$H$5214,$A67,Sheet1!$N$2:$N$5214,M$4,Sheet1!$F$2:$F$5214,"&gt;="&amp;'SELECCIÓN YAMI'!$B$4,Sheet1!$F$2:$F$5214,"&lt;="&amp;'SELECCIÓN YAMI'!$B$6))</f>
        <v/>
      </c>
      <c r="N67" s="145" t="str">
        <f>IF($A67="","",COUNTIFS(Sheet1!$H$2:$H$5214,$A67,Sheet1!$N$2:$N$5214,N$4,Sheet1!$F$2:$F$5214,"&gt;="&amp;'SELECCIÓN YAMI'!$B$4,Sheet1!$F$2:$F$5214,"&lt;="&amp;'SELECCIÓN YAMI'!$B$6))</f>
        <v/>
      </c>
      <c r="O67" s="145" t="str">
        <f>IF($A67="","",COUNTIFS(Sheet1!$H$2:$H$5214,$A67,Sheet1!$F$2:$F$5214,"&gt;="&amp;'SELECCIÓN YAMI'!$B$4,Sheet1!$F$2:$F$5214,"&lt;="&amp;'SELECCIÓN YAMI'!$B$6))</f>
        <v/>
      </c>
    </row>
    <row r="68" spans="1:15">
      <c r="A68" s="144"/>
      <c r="B68" s="145" t="str">
        <f>IF($A68="","",COUNTIFS(Sheet1!$H$2:$H$5214,$A68,Sheet1!$N$2:$N$5214,B$4,Sheet1!$F$2:$F$5214,"&gt;="&amp;'SELECCIÓN YAMI'!$B$4,Sheet1!$F$2:$F$5214,"&lt;="&amp;'SELECCIÓN YAMI'!$B$6))</f>
        <v/>
      </c>
      <c r="C68" s="145" t="str">
        <f>IF($A68="","",COUNTIFS(Sheet1!$H$2:$H$5214,$A68,Sheet1!$N$2:$N$5214,C$4,Sheet1!$F$2:$F$5214,"&gt;="&amp;'SELECCIÓN YAMI'!$B$4,Sheet1!$F$2:$F$5214,"&lt;="&amp;'SELECCIÓN YAMI'!$B$6))</f>
        <v/>
      </c>
      <c r="D68" s="145" t="str">
        <f>IF($A68="","",COUNTIFS(Sheet1!$H$2:$H$5214,$A68,Sheet1!$N$2:$N$5214,D$4,Sheet1!$F$2:$F$5214,"&gt;="&amp;'SELECCIÓN YAMI'!$B$4,Sheet1!$F$2:$F$5214,"&lt;="&amp;'SELECCIÓN YAMI'!$B$6))</f>
        <v/>
      </c>
      <c r="E68" s="145" t="str">
        <f>IF($A68="","",COUNTIFS(Sheet1!$H$2:$H$5214,$A68,Sheet1!$N$2:$N$5214,E$4,Sheet1!$F$2:$F$5214,"&gt;="&amp;'SELECCIÓN YAMI'!$B$4,Sheet1!$F$2:$F$5214,"&lt;="&amp;'SELECCIÓN YAMI'!$B$6))</f>
        <v/>
      </c>
      <c r="F68" s="145" t="str">
        <f>IF($A68="","",COUNTIFS(Sheet1!$H$2:$H$5214,$A68,Sheet1!$N$2:$N$5214,F$4,Sheet1!$F$2:$F$5214,"&gt;="&amp;'SELECCIÓN YAMI'!$B$4,Sheet1!$F$2:$F$5214,"&lt;="&amp;'SELECCIÓN YAMI'!$B$6))</f>
        <v/>
      </c>
      <c r="G68" s="145" t="str">
        <f>IF($A68="","",COUNTIFS(Sheet1!$H$2:$H$5214,$A68,Sheet1!$N$2:$N$5214,G$4,Sheet1!$F$2:$F$5214,"&gt;="&amp;'SELECCIÓN YAMI'!$B$4,Sheet1!$F$2:$F$5214,"&lt;="&amp;'SELECCIÓN YAMI'!$B$6))</f>
        <v/>
      </c>
      <c r="H68" s="145" t="str">
        <f>IF($A68="","",COUNTIFS(Sheet1!$H$2:$H$5214,$A68,Sheet1!$N$2:$N$5214,H$4,Sheet1!$F$2:$F$5214,"&gt;="&amp;'SELECCIÓN YAMI'!$B$4,Sheet1!$F$2:$F$5214,"&lt;="&amp;'SELECCIÓN YAMI'!$B$6))</f>
        <v/>
      </c>
      <c r="I68" s="145" t="str">
        <f>IF($A68="","",COUNTIFS(Sheet1!$H$2:$H$5214,$A68,Sheet1!$N$2:$N$5214,I$4,Sheet1!$F$2:$F$5214,"&gt;="&amp;'SELECCIÓN YAMI'!$B$4,Sheet1!$F$2:$F$5214,"&lt;="&amp;'SELECCIÓN YAMI'!$B$6))</f>
        <v/>
      </c>
      <c r="J68" s="146" t="str">
        <f>IF($A68="","",SUM(B68:I68))</f>
        <v/>
      </c>
      <c r="K68" s="147" t="str">
        <f>IF($A68="","",J68*'SELECCIÓN YAMI'!$B$7)</f>
        <v/>
      </c>
      <c r="L68" s="145" t="str">
        <f>IF($A68="","",COUNTIFS(Sheet1!$H$2:$H$5214,$A68,Sheet1!$N$2:$N$5214,L$4,Sheet1!$F$2:$F$5214,"&gt;="&amp;'SELECCIÓN YAMI'!$B$4,Sheet1!$F$2:$F$5214,"&lt;="&amp;'SELECCIÓN YAMI'!$B$6))</f>
        <v/>
      </c>
      <c r="M68" s="145" t="str">
        <f>IF($A68="","",COUNTIFS(Sheet1!$H$2:$H$5214,$A68,Sheet1!$N$2:$N$5214,M$4,Sheet1!$F$2:$F$5214,"&gt;="&amp;'SELECCIÓN YAMI'!$B$4,Sheet1!$F$2:$F$5214,"&lt;="&amp;'SELECCIÓN YAMI'!$B$6))</f>
        <v/>
      </c>
      <c r="N68" s="145" t="str">
        <f>IF($A68="","",COUNTIFS(Sheet1!$H$2:$H$5214,$A68,Sheet1!$N$2:$N$5214,N$4,Sheet1!$F$2:$F$5214,"&gt;="&amp;'SELECCIÓN YAMI'!$B$4,Sheet1!$F$2:$F$5214,"&lt;="&amp;'SELECCIÓN YAMI'!$B$6))</f>
        <v/>
      </c>
      <c r="O68" s="145" t="str">
        <f>IF($A68="","",COUNTIFS(Sheet1!$H$2:$H$5214,$A68,Sheet1!$F$2:$F$5214,"&gt;="&amp;'SELECCIÓN YAMI'!$B$4,Sheet1!$F$2:$F$5214,"&lt;="&amp;'SELECCIÓN YAMI'!$B$6))</f>
        <v/>
      </c>
    </row>
    <row r="69" spans="1:15">
      <c r="A69" s="144"/>
      <c r="B69" s="145" t="str">
        <f>IF($A69="","",COUNTIFS(Sheet1!$H$2:$H$5214,$A69,Sheet1!$N$2:$N$5214,B$4,Sheet1!$F$2:$F$5214,"&gt;="&amp;'SELECCIÓN YAMI'!$B$4,Sheet1!$F$2:$F$5214,"&lt;="&amp;'SELECCIÓN YAMI'!$B$6))</f>
        <v/>
      </c>
      <c r="C69" s="145" t="str">
        <f>IF($A69="","",COUNTIFS(Sheet1!$H$2:$H$5214,$A69,Sheet1!$N$2:$N$5214,C$4,Sheet1!$F$2:$F$5214,"&gt;="&amp;'SELECCIÓN YAMI'!$B$4,Sheet1!$F$2:$F$5214,"&lt;="&amp;'SELECCIÓN YAMI'!$B$6))</f>
        <v/>
      </c>
      <c r="D69" s="145" t="str">
        <f>IF($A69="","",COUNTIFS(Sheet1!$H$2:$H$5214,$A69,Sheet1!$N$2:$N$5214,D$4,Sheet1!$F$2:$F$5214,"&gt;="&amp;'SELECCIÓN YAMI'!$B$4,Sheet1!$F$2:$F$5214,"&lt;="&amp;'SELECCIÓN YAMI'!$B$6))</f>
        <v/>
      </c>
      <c r="E69" s="145" t="str">
        <f>IF($A69="","",COUNTIFS(Sheet1!$H$2:$H$5214,$A69,Sheet1!$N$2:$N$5214,E$4,Sheet1!$F$2:$F$5214,"&gt;="&amp;'SELECCIÓN YAMI'!$B$4,Sheet1!$F$2:$F$5214,"&lt;="&amp;'SELECCIÓN YAMI'!$B$6))</f>
        <v/>
      </c>
      <c r="F69" s="145" t="str">
        <f>IF($A69="","",COUNTIFS(Sheet1!$H$2:$H$5214,$A69,Sheet1!$N$2:$N$5214,F$4,Sheet1!$F$2:$F$5214,"&gt;="&amp;'SELECCIÓN YAMI'!$B$4,Sheet1!$F$2:$F$5214,"&lt;="&amp;'SELECCIÓN YAMI'!$B$6))</f>
        <v/>
      </c>
      <c r="G69" s="145" t="str">
        <f>IF($A69="","",COUNTIFS(Sheet1!$H$2:$H$5214,$A69,Sheet1!$N$2:$N$5214,G$4,Sheet1!$F$2:$F$5214,"&gt;="&amp;'SELECCIÓN YAMI'!$B$4,Sheet1!$F$2:$F$5214,"&lt;="&amp;'SELECCIÓN YAMI'!$B$6))</f>
        <v/>
      </c>
      <c r="H69" s="145" t="str">
        <f>IF($A69="","",COUNTIFS(Sheet1!$H$2:$H$5214,$A69,Sheet1!$N$2:$N$5214,H$4,Sheet1!$F$2:$F$5214,"&gt;="&amp;'SELECCIÓN YAMI'!$B$4,Sheet1!$F$2:$F$5214,"&lt;="&amp;'SELECCIÓN YAMI'!$B$6))</f>
        <v/>
      </c>
      <c r="I69" s="145" t="str">
        <f>IF($A69="","",COUNTIFS(Sheet1!$H$2:$H$5214,$A69,Sheet1!$N$2:$N$5214,I$4,Sheet1!$F$2:$F$5214,"&gt;="&amp;'SELECCIÓN YAMI'!$B$4,Sheet1!$F$2:$F$5214,"&lt;="&amp;'SELECCIÓN YAMI'!$B$6))</f>
        <v/>
      </c>
      <c r="J69" s="146" t="str">
        <f>IF($A69="","",SUM(B69:I69))</f>
        <v/>
      </c>
      <c r="K69" s="147" t="str">
        <f>IF($A69="","",J69*'SELECCIÓN YAMI'!$B$7)</f>
        <v/>
      </c>
      <c r="L69" s="145" t="str">
        <f>IF($A69="","",COUNTIFS(Sheet1!$H$2:$H$5214,$A69,Sheet1!$N$2:$N$5214,L$4,Sheet1!$F$2:$F$5214,"&gt;="&amp;'SELECCIÓN YAMI'!$B$4,Sheet1!$F$2:$F$5214,"&lt;="&amp;'SELECCIÓN YAMI'!$B$6))</f>
        <v/>
      </c>
      <c r="M69" s="145" t="str">
        <f>IF($A69="","",COUNTIFS(Sheet1!$H$2:$H$5214,$A69,Sheet1!$N$2:$N$5214,M$4,Sheet1!$F$2:$F$5214,"&gt;="&amp;'SELECCIÓN YAMI'!$B$4,Sheet1!$F$2:$F$5214,"&lt;="&amp;'SELECCIÓN YAMI'!$B$6))</f>
        <v/>
      </c>
      <c r="N69" s="145" t="str">
        <f>IF($A69="","",COUNTIFS(Sheet1!$H$2:$H$5214,$A69,Sheet1!$N$2:$N$5214,N$4,Sheet1!$F$2:$F$5214,"&gt;="&amp;'SELECCIÓN YAMI'!$B$4,Sheet1!$F$2:$F$5214,"&lt;="&amp;'SELECCIÓN YAMI'!$B$6))</f>
        <v/>
      </c>
      <c r="O69" s="145" t="str">
        <f>IF($A69="","",COUNTIFS(Sheet1!$H$2:$H$5214,$A69,Sheet1!$F$2:$F$5214,"&gt;="&amp;'SELECCIÓN YAMI'!$B$4,Sheet1!$F$2:$F$5214,"&lt;="&amp;'SELECCIÓN YAMI'!$B$6))</f>
        <v/>
      </c>
    </row>
    <row r="70" spans="1:15">
      <c r="A70" s="144"/>
      <c r="B70" s="145" t="str">
        <f>IF($A70="","",COUNTIFS(Sheet1!$H$2:$H$5214,$A70,Sheet1!$N$2:$N$5214,B$4,Sheet1!$F$2:$F$5214,"&gt;="&amp;'SELECCIÓN YAMI'!$B$4,Sheet1!$F$2:$F$5214,"&lt;="&amp;'SELECCIÓN YAMI'!$B$6))</f>
        <v/>
      </c>
      <c r="C70" s="145" t="str">
        <f>IF($A70="","",COUNTIFS(Sheet1!$H$2:$H$5214,$A70,Sheet1!$N$2:$N$5214,C$4,Sheet1!$F$2:$F$5214,"&gt;="&amp;'SELECCIÓN YAMI'!$B$4,Sheet1!$F$2:$F$5214,"&lt;="&amp;'SELECCIÓN YAMI'!$B$6))</f>
        <v/>
      </c>
      <c r="D70" s="145" t="str">
        <f>IF($A70="","",COUNTIFS(Sheet1!$H$2:$H$5214,$A70,Sheet1!$N$2:$N$5214,D$4,Sheet1!$F$2:$F$5214,"&gt;="&amp;'SELECCIÓN YAMI'!$B$4,Sheet1!$F$2:$F$5214,"&lt;="&amp;'SELECCIÓN YAMI'!$B$6))</f>
        <v/>
      </c>
      <c r="E70" s="145" t="str">
        <f>IF($A70="","",COUNTIFS(Sheet1!$H$2:$H$5214,$A70,Sheet1!$N$2:$N$5214,E$4,Sheet1!$F$2:$F$5214,"&gt;="&amp;'SELECCIÓN YAMI'!$B$4,Sheet1!$F$2:$F$5214,"&lt;="&amp;'SELECCIÓN YAMI'!$B$6))</f>
        <v/>
      </c>
      <c r="F70" s="145" t="str">
        <f>IF($A70="","",COUNTIFS(Sheet1!$H$2:$H$5214,$A70,Sheet1!$N$2:$N$5214,F$4,Sheet1!$F$2:$F$5214,"&gt;="&amp;'SELECCIÓN YAMI'!$B$4,Sheet1!$F$2:$F$5214,"&lt;="&amp;'SELECCIÓN YAMI'!$B$6))</f>
        <v/>
      </c>
      <c r="G70" s="145" t="str">
        <f>IF($A70="","",COUNTIFS(Sheet1!$H$2:$H$5214,$A70,Sheet1!$N$2:$N$5214,G$4,Sheet1!$F$2:$F$5214,"&gt;="&amp;'SELECCIÓN YAMI'!$B$4,Sheet1!$F$2:$F$5214,"&lt;="&amp;'SELECCIÓN YAMI'!$B$6))</f>
        <v/>
      </c>
      <c r="H70" s="145" t="str">
        <f>IF($A70="","",COUNTIFS(Sheet1!$H$2:$H$5214,$A70,Sheet1!$N$2:$N$5214,H$4,Sheet1!$F$2:$F$5214,"&gt;="&amp;'SELECCIÓN YAMI'!$B$4,Sheet1!$F$2:$F$5214,"&lt;="&amp;'SELECCIÓN YAMI'!$B$6))</f>
        <v/>
      </c>
      <c r="I70" s="145" t="str">
        <f>IF($A70="","",COUNTIFS(Sheet1!$H$2:$H$5214,$A70,Sheet1!$N$2:$N$5214,I$4,Sheet1!$F$2:$F$5214,"&gt;="&amp;'SELECCIÓN YAMI'!$B$4,Sheet1!$F$2:$F$5214,"&lt;="&amp;'SELECCIÓN YAMI'!$B$6))</f>
        <v/>
      </c>
      <c r="J70" s="146" t="str">
        <f>IF($A70="","",SUM(B70:I70))</f>
        <v/>
      </c>
      <c r="K70" s="147" t="str">
        <f>IF($A70="","",J70*'SELECCIÓN YAMI'!$B$7)</f>
        <v/>
      </c>
      <c r="L70" s="145" t="str">
        <f>IF($A70="","",COUNTIFS(Sheet1!$H$2:$H$5214,$A70,Sheet1!$N$2:$N$5214,L$4,Sheet1!$F$2:$F$5214,"&gt;="&amp;'SELECCIÓN YAMI'!$B$4,Sheet1!$F$2:$F$5214,"&lt;="&amp;'SELECCIÓN YAMI'!$B$6))</f>
        <v/>
      </c>
      <c r="M70" s="145" t="str">
        <f>IF($A70="","",COUNTIFS(Sheet1!$H$2:$H$5214,$A70,Sheet1!$N$2:$N$5214,M$4,Sheet1!$F$2:$F$5214,"&gt;="&amp;'SELECCIÓN YAMI'!$B$4,Sheet1!$F$2:$F$5214,"&lt;="&amp;'SELECCIÓN YAMI'!$B$6))</f>
        <v/>
      </c>
      <c r="N70" s="145" t="str">
        <f>IF($A70="","",COUNTIFS(Sheet1!$H$2:$H$5214,$A70,Sheet1!$N$2:$N$5214,N$4,Sheet1!$F$2:$F$5214,"&gt;="&amp;'SELECCIÓN YAMI'!$B$4,Sheet1!$F$2:$F$5214,"&lt;="&amp;'SELECCIÓN YAMI'!$B$6))</f>
        <v/>
      </c>
      <c r="O70" s="145" t="str">
        <f>IF($A70="","",COUNTIFS(Sheet1!$H$2:$H$5214,$A70,Sheet1!$F$2:$F$5214,"&gt;="&amp;'SELECCIÓN YAMI'!$B$4,Sheet1!$F$2:$F$5214,"&lt;="&amp;'SELECCIÓN YAMI'!$B$6))</f>
        <v/>
      </c>
    </row>
    <row r="71" spans="1:15">
      <c r="A71" s="144"/>
      <c r="B71" s="145" t="str">
        <f>IF($A71="","",COUNTIFS(Sheet1!$H$2:$H$5214,$A71,Sheet1!$N$2:$N$5214,B$4,Sheet1!$F$2:$F$5214,"&gt;="&amp;'SELECCIÓN YAMI'!$B$4,Sheet1!$F$2:$F$5214,"&lt;="&amp;'SELECCIÓN YAMI'!$B$6))</f>
        <v/>
      </c>
      <c r="C71" s="145" t="str">
        <f>IF($A71="","",COUNTIFS(Sheet1!$H$2:$H$5214,$A71,Sheet1!$N$2:$N$5214,C$4,Sheet1!$F$2:$F$5214,"&gt;="&amp;'SELECCIÓN YAMI'!$B$4,Sheet1!$F$2:$F$5214,"&lt;="&amp;'SELECCIÓN YAMI'!$B$6))</f>
        <v/>
      </c>
      <c r="D71" s="145" t="str">
        <f>IF($A71="","",COUNTIFS(Sheet1!$H$2:$H$5214,$A71,Sheet1!$N$2:$N$5214,D$4,Sheet1!$F$2:$F$5214,"&gt;="&amp;'SELECCIÓN YAMI'!$B$4,Sheet1!$F$2:$F$5214,"&lt;="&amp;'SELECCIÓN YAMI'!$B$6))</f>
        <v/>
      </c>
      <c r="E71" s="145" t="str">
        <f>IF($A71="","",COUNTIFS(Sheet1!$H$2:$H$5214,$A71,Sheet1!$N$2:$N$5214,E$4,Sheet1!$F$2:$F$5214,"&gt;="&amp;'SELECCIÓN YAMI'!$B$4,Sheet1!$F$2:$F$5214,"&lt;="&amp;'SELECCIÓN YAMI'!$B$6))</f>
        <v/>
      </c>
      <c r="F71" s="145" t="str">
        <f>IF($A71="","",COUNTIFS(Sheet1!$H$2:$H$5214,$A71,Sheet1!$N$2:$N$5214,F$4,Sheet1!$F$2:$F$5214,"&gt;="&amp;'SELECCIÓN YAMI'!$B$4,Sheet1!$F$2:$F$5214,"&lt;="&amp;'SELECCIÓN YAMI'!$B$6))</f>
        <v/>
      </c>
      <c r="G71" s="145" t="str">
        <f>IF($A71="","",COUNTIFS(Sheet1!$H$2:$H$5214,$A71,Sheet1!$N$2:$N$5214,G$4,Sheet1!$F$2:$F$5214,"&gt;="&amp;'SELECCIÓN YAMI'!$B$4,Sheet1!$F$2:$F$5214,"&lt;="&amp;'SELECCIÓN YAMI'!$B$6))</f>
        <v/>
      </c>
      <c r="H71" s="145" t="str">
        <f>IF($A71="","",COUNTIFS(Sheet1!$H$2:$H$5214,$A71,Sheet1!$N$2:$N$5214,H$4,Sheet1!$F$2:$F$5214,"&gt;="&amp;'SELECCIÓN YAMI'!$B$4,Sheet1!$F$2:$F$5214,"&lt;="&amp;'SELECCIÓN YAMI'!$B$6))</f>
        <v/>
      </c>
      <c r="I71" s="145" t="str">
        <f>IF($A71="","",COUNTIFS(Sheet1!$H$2:$H$5214,$A71,Sheet1!$N$2:$N$5214,I$4,Sheet1!$F$2:$F$5214,"&gt;="&amp;'SELECCIÓN YAMI'!$B$4,Sheet1!$F$2:$F$5214,"&lt;="&amp;'SELECCIÓN YAMI'!$B$6))</f>
        <v/>
      </c>
      <c r="J71" s="146" t="str">
        <f>IF($A71="","",SUM(B71:I71))</f>
        <v/>
      </c>
      <c r="K71" s="147" t="str">
        <f>IF($A71="","",J71*'SELECCIÓN YAMI'!$B$7)</f>
        <v/>
      </c>
      <c r="L71" s="145" t="str">
        <f>IF($A71="","",COUNTIFS(Sheet1!$H$2:$H$5214,$A71,Sheet1!$N$2:$N$5214,L$4,Sheet1!$F$2:$F$5214,"&gt;="&amp;'SELECCIÓN YAMI'!$B$4,Sheet1!$F$2:$F$5214,"&lt;="&amp;'SELECCIÓN YAMI'!$B$6))</f>
        <v/>
      </c>
      <c r="M71" s="145" t="str">
        <f>IF($A71="","",COUNTIFS(Sheet1!$H$2:$H$5214,$A71,Sheet1!$N$2:$N$5214,M$4,Sheet1!$F$2:$F$5214,"&gt;="&amp;'SELECCIÓN YAMI'!$B$4,Sheet1!$F$2:$F$5214,"&lt;="&amp;'SELECCIÓN YAMI'!$B$6))</f>
        <v/>
      </c>
      <c r="N71" s="145" t="str">
        <f>IF($A71="","",COUNTIFS(Sheet1!$H$2:$H$5214,$A71,Sheet1!$N$2:$N$5214,N$4,Sheet1!$F$2:$F$5214,"&gt;="&amp;'SELECCIÓN YAMI'!$B$4,Sheet1!$F$2:$F$5214,"&lt;="&amp;'SELECCIÓN YAMI'!$B$6))</f>
        <v/>
      </c>
      <c r="O71" s="145" t="str">
        <f>IF($A71="","",COUNTIFS(Sheet1!$H$2:$H$5214,$A71,Sheet1!$F$2:$F$5214,"&gt;="&amp;'SELECCIÓN YAMI'!$B$4,Sheet1!$F$2:$F$5214,"&lt;="&amp;'SELECCIÓN YAMI'!$B$6))</f>
        <v/>
      </c>
    </row>
    <row r="72" spans="1:15">
      <c r="A72" s="144"/>
      <c r="B72" s="145" t="str">
        <f>IF($A72="","",COUNTIFS(Sheet1!$H$2:$H$5214,$A72,Sheet1!$N$2:$N$5214,B$4,Sheet1!$F$2:$F$5214,"&gt;="&amp;'SELECCIÓN YAMI'!$B$4,Sheet1!$F$2:$F$5214,"&lt;="&amp;'SELECCIÓN YAMI'!$B$6))</f>
        <v/>
      </c>
      <c r="C72" s="145" t="str">
        <f>IF($A72="","",COUNTIFS(Sheet1!$H$2:$H$5214,$A72,Sheet1!$N$2:$N$5214,C$4,Sheet1!$F$2:$F$5214,"&gt;="&amp;'SELECCIÓN YAMI'!$B$4,Sheet1!$F$2:$F$5214,"&lt;="&amp;'SELECCIÓN YAMI'!$B$6))</f>
        <v/>
      </c>
      <c r="D72" s="145" t="str">
        <f>IF($A72="","",COUNTIFS(Sheet1!$H$2:$H$5214,$A72,Sheet1!$N$2:$N$5214,D$4,Sheet1!$F$2:$F$5214,"&gt;="&amp;'SELECCIÓN YAMI'!$B$4,Sheet1!$F$2:$F$5214,"&lt;="&amp;'SELECCIÓN YAMI'!$B$6))</f>
        <v/>
      </c>
      <c r="E72" s="145" t="str">
        <f>IF($A72="","",COUNTIFS(Sheet1!$H$2:$H$5214,$A72,Sheet1!$N$2:$N$5214,E$4,Sheet1!$F$2:$F$5214,"&gt;="&amp;'SELECCIÓN YAMI'!$B$4,Sheet1!$F$2:$F$5214,"&lt;="&amp;'SELECCIÓN YAMI'!$B$6))</f>
        <v/>
      </c>
      <c r="F72" s="145" t="str">
        <f>IF($A72="","",COUNTIFS(Sheet1!$H$2:$H$5214,$A72,Sheet1!$N$2:$N$5214,F$4,Sheet1!$F$2:$F$5214,"&gt;="&amp;'SELECCIÓN YAMI'!$B$4,Sheet1!$F$2:$F$5214,"&lt;="&amp;'SELECCIÓN YAMI'!$B$6))</f>
        <v/>
      </c>
      <c r="G72" s="145" t="str">
        <f>IF($A72="","",COUNTIFS(Sheet1!$H$2:$H$5214,$A72,Sheet1!$N$2:$N$5214,G$4,Sheet1!$F$2:$F$5214,"&gt;="&amp;'SELECCIÓN YAMI'!$B$4,Sheet1!$F$2:$F$5214,"&lt;="&amp;'SELECCIÓN YAMI'!$B$6))</f>
        <v/>
      </c>
      <c r="H72" s="145" t="str">
        <f>IF($A72="","",COUNTIFS(Sheet1!$H$2:$H$5214,$A72,Sheet1!$N$2:$N$5214,H$4,Sheet1!$F$2:$F$5214,"&gt;="&amp;'SELECCIÓN YAMI'!$B$4,Sheet1!$F$2:$F$5214,"&lt;="&amp;'SELECCIÓN YAMI'!$B$6))</f>
        <v/>
      </c>
      <c r="I72" s="145" t="str">
        <f>IF($A72="","",COUNTIFS(Sheet1!$H$2:$H$5214,$A72,Sheet1!$N$2:$N$5214,I$4,Sheet1!$F$2:$F$5214,"&gt;="&amp;'SELECCIÓN YAMI'!$B$4,Sheet1!$F$2:$F$5214,"&lt;="&amp;'SELECCIÓN YAMI'!$B$6))</f>
        <v/>
      </c>
      <c r="J72" s="146" t="str">
        <f>IF($A72="","",SUM(B72:I72))</f>
        <v/>
      </c>
      <c r="K72" s="147" t="str">
        <f>IF($A72="","",J72*'SELECCIÓN YAMI'!$B$7)</f>
        <v/>
      </c>
      <c r="L72" s="145" t="str">
        <f>IF($A72="","",COUNTIFS(Sheet1!$H$2:$H$5214,$A72,Sheet1!$N$2:$N$5214,L$4,Sheet1!$F$2:$F$5214,"&gt;="&amp;'SELECCIÓN YAMI'!$B$4,Sheet1!$F$2:$F$5214,"&lt;="&amp;'SELECCIÓN YAMI'!$B$6))</f>
        <v/>
      </c>
      <c r="M72" s="145" t="str">
        <f>IF($A72="","",COUNTIFS(Sheet1!$H$2:$H$5214,$A72,Sheet1!$N$2:$N$5214,M$4,Sheet1!$F$2:$F$5214,"&gt;="&amp;'SELECCIÓN YAMI'!$B$4,Sheet1!$F$2:$F$5214,"&lt;="&amp;'SELECCIÓN YAMI'!$B$6))</f>
        <v/>
      </c>
      <c r="N72" s="145" t="str">
        <f>IF($A72="","",COUNTIFS(Sheet1!$H$2:$H$5214,$A72,Sheet1!$N$2:$N$5214,N$4,Sheet1!$F$2:$F$5214,"&gt;="&amp;'SELECCIÓN YAMI'!$B$4,Sheet1!$F$2:$F$5214,"&lt;="&amp;'SELECCIÓN YAMI'!$B$6))</f>
        <v/>
      </c>
      <c r="O72" s="145" t="str">
        <f>IF($A72="","",COUNTIFS(Sheet1!$H$2:$H$5214,$A72,Sheet1!$F$2:$F$5214,"&gt;="&amp;'SELECCIÓN YAMI'!$B$4,Sheet1!$F$2:$F$5214,"&lt;="&amp;'SELECCIÓN YAMI'!$B$6))</f>
        <v/>
      </c>
    </row>
    <row r="75" spans="1:15" ht="15.75">
      <c r="A75" s="134" t="s">
        <v>11631</v>
      </c>
    </row>
    <row r="76" spans="1:15" ht="24" customHeight="1">
      <c r="A76" s="133" t="s">
        <v>5</v>
      </c>
      <c r="B76" s="133" t="s">
        <v>11626</v>
      </c>
      <c r="C76" s="133" t="s">
        <v>8</v>
      </c>
      <c r="D76" s="133" t="s">
        <v>9</v>
      </c>
      <c r="E76" s="133" t="s">
        <v>10</v>
      </c>
      <c r="F76" s="133" t="s">
        <v>11</v>
      </c>
      <c r="G76" s="133" t="s">
        <v>12</v>
      </c>
      <c r="H76" s="133" t="s">
        <v>13</v>
      </c>
      <c r="I76" s="137" t="s">
        <v>11632</v>
      </c>
      <c r="J76" s="137" t="s">
        <v>11628</v>
      </c>
    </row>
    <row r="77" spans="1:15">
      <c r="A77" s="88" t="str" cm="1">
        <f t="array" ref="A77">IFERROR(_xlfn._xlws.SORT(_xlfn._xlws.FILTER(CHOOSE({0,0,0,0,0,0,0,0,0,0},Sheet1!$F$2:$F$5214,Sheet1!$H$2:$H$5214,IF(Sheet1!$I$2:$I$5214="","",Sheet1!$I$2:$I$5214),IF(Sheet1!$J$2:$J$5214="","",Sheet1!$J$2:$J$5214),IF(Sheet1!$K$2:$K$5214="","",Sheet1!$K$2:$K$5214),IF(Sheet1!$L$2:$L$5214="","",Sheet1!$L$2:$L$5214),IF(Sheet1!$M$2:$M$5214="","",Sheet1!$M$2:$M$5214),IF(Sheet1!$N$2:$N$5214="","",Sheet1!$N$2:$N$5214),IF(ISNUMBER(MATCH(Sheet1!$N$2:$N$5214,$B$4:$I$4,0)),"SÍ","NO"),IF(ISNUMBER(MATCH(Sheet1!$N$2:$N$5214,$B$4:$I$4,0)),'SELECCIÓN YAMI'!$B$7,0)),(Sheet1!$F$2:$F$5214&gt;='SELECCIÓN YAMI'!$B$4)*(Sheet1!$F$2:$F$5214&lt;='SELECCIÓN YAMI'!$B$6)*(COUNTIF(_xlfn.ANCHORARRAY($A$6),Sheet1!$H$2:$H$5214)&gt;0)),{0,0},{0,0}),"Sin resultados")</f>
        <v>Sin resultados</v>
      </c>
      <c r="D77" s="82"/>
      <c r="E77" s="82"/>
      <c r="F77" s="82"/>
      <c r="G77" s="82"/>
      <c r="I77" s="77"/>
      <c r="J77" s="89"/>
    </row>
    <row r="78" spans="1:15">
      <c r="A78" s="88"/>
      <c r="D78" s="82"/>
      <c r="E78" s="82"/>
      <c r="F78" s="82"/>
      <c r="G78" s="82"/>
      <c r="I78" s="77"/>
      <c r="J78" s="89"/>
    </row>
    <row r="79" spans="1:15">
      <c r="A79" s="88"/>
      <c r="D79" s="82"/>
      <c r="E79" s="82"/>
      <c r="F79" s="82"/>
      <c r="G79" s="82"/>
      <c r="I79" s="77"/>
      <c r="J79" s="89"/>
    </row>
    <row r="80" spans="1:15">
      <c r="A80" s="88"/>
      <c r="D80" s="82"/>
      <c r="E80" s="82"/>
      <c r="F80" s="82"/>
      <c r="G80" s="82"/>
      <c r="I80" s="77"/>
      <c r="J80" s="89"/>
    </row>
    <row r="81" spans="1:10">
      <c r="A81" s="88"/>
      <c r="D81" s="82"/>
      <c r="E81" s="82"/>
      <c r="F81" s="82"/>
      <c r="G81" s="82"/>
      <c r="I81" s="77"/>
      <c r="J81" s="89"/>
    </row>
    <row r="82" spans="1:10">
      <c r="A82" s="88"/>
      <c r="D82" s="82"/>
      <c r="E82" s="82"/>
      <c r="F82" s="82"/>
      <c r="G82" s="82"/>
      <c r="I82" s="77"/>
      <c r="J82" s="89"/>
    </row>
    <row r="83" spans="1:10">
      <c r="A83" s="88"/>
      <c r="D83" s="82"/>
      <c r="E83" s="82"/>
      <c r="F83" s="82"/>
      <c r="G83" s="82"/>
      <c r="I83" s="77"/>
      <c r="J83" s="89"/>
    </row>
    <row r="84" spans="1:10">
      <c r="A84" s="88"/>
      <c r="D84" s="82"/>
      <c r="E84" s="82"/>
      <c r="F84" s="82"/>
      <c r="G84" s="82"/>
      <c r="I84" s="77"/>
      <c r="J84" s="89"/>
    </row>
    <row r="85" spans="1:10">
      <c r="A85" s="88"/>
      <c r="D85" s="82"/>
      <c r="E85" s="82"/>
      <c r="F85" s="82"/>
      <c r="G85" s="82"/>
      <c r="I85" s="77"/>
      <c r="J85" s="89"/>
    </row>
    <row r="86" spans="1:10">
      <c r="A86" s="88"/>
      <c r="D86" s="82"/>
      <c r="E86" s="82"/>
      <c r="F86" s="82"/>
      <c r="G86" s="82"/>
      <c r="I86" s="77"/>
      <c r="J86" s="89"/>
    </row>
    <row r="87" spans="1:10">
      <c r="A87" s="88"/>
      <c r="D87" s="82"/>
      <c r="E87" s="82"/>
      <c r="F87" s="82"/>
      <c r="G87" s="82"/>
      <c r="I87" s="77"/>
      <c r="J87" s="89"/>
    </row>
    <row r="88" spans="1:10">
      <c r="A88" s="88"/>
      <c r="D88" s="82"/>
      <c r="E88" s="82"/>
      <c r="F88" s="82"/>
      <c r="G88" s="82"/>
      <c r="I88" s="77"/>
      <c r="J88" s="89"/>
    </row>
    <row r="89" spans="1:10">
      <c r="A89" s="88"/>
      <c r="D89" s="82"/>
      <c r="E89" s="82"/>
      <c r="F89" s="82"/>
      <c r="G89" s="82"/>
      <c r="I89" s="77"/>
      <c r="J89" s="89"/>
    </row>
    <row r="90" spans="1:10">
      <c r="A90" s="88"/>
      <c r="D90" s="82"/>
      <c r="E90" s="82"/>
      <c r="F90" s="82"/>
      <c r="G90" s="82"/>
      <c r="I90" s="77"/>
      <c r="J90" s="89"/>
    </row>
    <row r="91" spans="1:10">
      <c r="A91" s="88"/>
      <c r="D91" s="82"/>
      <c r="E91" s="82"/>
      <c r="F91" s="82"/>
      <c r="G91" s="82"/>
      <c r="I91" s="77"/>
      <c r="J91" s="89"/>
    </row>
    <row r="92" spans="1:10">
      <c r="A92" s="88"/>
      <c r="D92" s="82"/>
      <c r="E92" s="82"/>
      <c r="F92" s="82"/>
      <c r="G92" s="82"/>
      <c r="I92" s="77"/>
      <c r="J92" s="89"/>
    </row>
    <row r="93" spans="1:10">
      <c r="A93" s="88"/>
      <c r="D93" s="82"/>
      <c r="E93" s="82"/>
      <c r="F93" s="82"/>
      <c r="G93" s="82"/>
      <c r="I93" s="77"/>
      <c r="J93" s="89"/>
    </row>
    <row r="94" spans="1:10">
      <c r="A94" s="88"/>
      <c r="D94" s="82"/>
      <c r="E94" s="82"/>
      <c r="F94" s="82"/>
      <c r="G94" s="82"/>
      <c r="I94" s="77"/>
      <c r="J94" s="89"/>
    </row>
    <row r="95" spans="1:10">
      <c r="A95" s="88"/>
      <c r="D95" s="82"/>
      <c r="E95" s="82"/>
      <c r="F95" s="82"/>
      <c r="G95" s="82"/>
      <c r="I95" s="77"/>
      <c r="J95" s="89"/>
    </row>
    <row r="96" spans="1:10">
      <c r="A96" s="88"/>
      <c r="D96" s="82"/>
      <c r="E96" s="82"/>
      <c r="F96" s="82"/>
      <c r="G96" s="82"/>
      <c r="I96" s="77"/>
      <c r="J96" s="89"/>
    </row>
    <row r="97" spans="1:10">
      <c r="A97" s="88"/>
      <c r="D97" s="82"/>
      <c r="E97" s="82"/>
      <c r="F97" s="82"/>
      <c r="G97" s="82"/>
      <c r="I97" s="77"/>
      <c r="J97" s="89"/>
    </row>
    <row r="98" spans="1:10">
      <c r="A98" s="88"/>
      <c r="D98" s="82"/>
      <c r="E98" s="82"/>
      <c r="F98" s="82"/>
      <c r="G98" s="82"/>
      <c r="I98" s="77"/>
      <c r="J98" s="89"/>
    </row>
    <row r="99" spans="1:10">
      <c r="A99" s="88"/>
      <c r="D99" s="82"/>
      <c r="E99" s="82"/>
      <c r="F99" s="82"/>
      <c r="G99" s="82"/>
      <c r="I99" s="77"/>
      <c r="J99" s="89"/>
    </row>
    <row r="100" spans="1:10">
      <c r="A100" s="88"/>
      <c r="D100" s="82"/>
      <c r="E100" s="82"/>
      <c r="F100" s="82"/>
      <c r="G100" s="82"/>
      <c r="I100" s="77"/>
      <c r="J100" s="89"/>
    </row>
    <row r="101" spans="1:10">
      <c r="A101" s="88"/>
      <c r="D101" s="82"/>
      <c r="E101" s="82"/>
      <c r="F101" s="82"/>
      <c r="G101" s="82"/>
      <c r="I101" s="77"/>
      <c r="J101" s="89"/>
    </row>
    <row r="102" spans="1:10">
      <c r="A102" s="88"/>
      <c r="D102" s="82"/>
      <c r="E102" s="82"/>
      <c r="F102" s="82"/>
      <c r="G102" s="82"/>
      <c r="I102" s="77"/>
      <c r="J102" s="89"/>
    </row>
    <row r="103" spans="1:10">
      <c r="A103" s="88"/>
      <c r="D103" s="82"/>
      <c r="E103" s="82"/>
      <c r="F103" s="82"/>
      <c r="G103" s="82"/>
      <c r="I103" s="77"/>
      <c r="J103" s="89"/>
    </row>
    <row r="104" spans="1:10">
      <c r="A104" s="88"/>
      <c r="D104" s="82"/>
      <c r="E104" s="82"/>
      <c r="F104" s="82"/>
      <c r="G104" s="82"/>
      <c r="I104" s="77"/>
      <c r="J104" s="89"/>
    </row>
    <row r="105" spans="1:10">
      <c r="A105" s="88"/>
      <c r="D105" s="82"/>
      <c r="E105" s="82"/>
      <c r="F105" s="82"/>
      <c r="G105" s="82"/>
      <c r="I105" s="77"/>
      <c r="J105" s="89"/>
    </row>
    <row r="106" spans="1:10">
      <c r="A106" s="88"/>
      <c r="D106" s="82"/>
      <c r="E106" s="82"/>
      <c r="F106" s="82"/>
      <c r="G106" s="82"/>
      <c r="I106" s="77"/>
      <c r="J106" s="89"/>
    </row>
    <row r="107" spans="1:10">
      <c r="A107" s="88"/>
      <c r="D107" s="82"/>
      <c r="E107" s="82"/>
      <c r="F107" s="82"/>
      <c r="G107" s="82"/>
      <c r="I107" s="77"/>
      <c r="J107" s="89"/>
    </row>
    <row r="108" spans="1:10">
      <c r="A108" s="88"/>
      <c r="D108" s="82"/>
      <c r="E108" s="82"/>
      <c r="F108" s="82"/>
      <c r="G108" s="82"/>
      <c r="I108" s="77"/>
      <c r="J108" s="89"/>
    </row>
    <row r="109" spans="1:10">
      <c r="A109" s="88"/>
      <c r="D109" s="82"/>
      <c r="E109" s="82"/>
      <c r="F109" s="82"/>
      <c r="G109" s="82"/>
      <c r="I109" s="77"/>
      <c r="J109" s="89"/>
    </row>
    <row r="110" spans="1:10">
      <c r="A110" s="88"/>
      <c r="D110" s="82"/>
      <c r="E110" s="82"/>
      <c r="F110" s="82"/>
      <c r="G110" s="82"/>
      <c r="I110" s="77"/>
      <c r="J110" s="89"/>
    </row>
    <row r="111" spans="1:10">
      <c r="A111" s="88"/>
      <c r="D111" s="82"/>
      <c r="E111" s="82"/>
      <c r="F111" s="82"/>
      <c r="G111" s="82"/>
      <c r="I111" s="77"/>
      <c r="J111" s="89"/>
    </row>
    <row r="112" spans="1:10">
      <c r="A112" s="88"/>
      <c r="D112" s="82"/>
      <c r="E112" s="82"/>
      <c r="F112" s="82"/>
      <c r="G112" s="82"/>
      <c r="I112" s="77"/>
      <c r="J112" s="89"/>
    </row>
    <row r="113" spans="1:10">
      <c r="A113" s="88"/>
      <c r="D113" s="82"/>
      <c r="E113" s="82"/>
      <c r="F113" s="82"/>
      <c r="G113" s="82"/>
      <c r="I113" s="77"/>
      <c r="J113" s="89"/>
    </row>
    <row r="114" spans="1:10">
      <c r="A114" s="88"/>
      <c r="D114" s="82"/>
      <c r="E114" s="82"/>
      <c r="F114" s="82"/>
      <c r="G114" s="82"/>
      <c r="I114" s="77"/>
      <c r="J114" s="89"/>
    </row>
    <row r="115" spans="1:10">
      <c r="A115" s="88"/>
      <c r="D115" s="82"/>
      <c r="E115" s="82"/>
      <c r="F115" s="82"/>
      <c r="G115" s="82"/>
      <c r="I115" s="77"/>
      <c r="J115" s="89"/>
    </row>
    <row r="116" spans="1:10">
      <c r="A116" s="88"/>
      <c r="D116" s="82"/>
      <c r="E116" s="82"/>
      <c r="F116" s="82"/>
      <c r="G116" s="82"/>
      <c r="I116" s="77"/>
      <c r="J116" s="89"/>
    </row>
    <row r="117" spans="1:10">
      <c r="A117" s="88"/>
      <c r="D117" s="82"/>
      <c r="E117" s="82"/>
      <c r="F117" s="82"/>
      <c r="G117" s="82"/>
      <c r="I117" s="77"/>
      <c r="J117" s="89"/>
    </row>
    <row r="118" spans="1:10">
      <c r="A118" s="88"/>
      <c r="D118" s="82"/>
      <c r="E118" s="82"/>
      <c r="F118" s="82"/>
      <c r="G118" s="82"/>
      <c r="I118" s="77"/>
      <c r="J118" s="89"/>
    </row>
    <row r="119" spans="1:10">
      <c r="A119" s="88"/>
      <c r="D119" s="82"/>
      <c r="E119" s="82"/>
      <c r="F119" s="82"/>
      <c r="G119" s="82"/>
      <c r="I119" s="77"/>
      <c r="J119" s="89"/>
    </row>
    <row r="120" spans="1:10">
      <c r="A120" s="88"/>
      <c r="D120" s="82"/>
      <c r="E120" s="82"/>
      <c r="F120" s="82"/>
      <c r="G120" s="82"/>
      <c r="I120" s="77"/>
      <c r="J120" s="89"/>
    </row>
    <row r="121" spans="1:10">
      <c r="A121" s="88"/>
      <c r="D121" s="82"/>
      <c r="E121" s="82"/>
      <c r="F121" s="82"/>
      <c r="G121" s="82"/>
      <c r="I121" s="77"/>
      <c r="J121" s="89"/>
    </row>
    <row r="122" spans="1:10">
      <c r="A122" s="88"/>
      <c r="D122" s="82"/>
      <c r="E122" s="82"/>
      <c r="F122" s="82"/>
      <c r="G122" s="82"/>
      <c r="I122" s="77"/>
      <c r="J122" s="89"/>
    </row>
    <row r="123" spans="1:10">
      <c r="A123" s="88"/>
      <c r="D123" s="82"/>
      <c r="E123" s="82"/>
      <c r="F123" s="82"/>
      <c r="G123" s="82"/>
      <c r="I123" s="77"/>
      <c r="J123" s="89"/>
    </row>
    <row r="124" spans="1:10">
      <c r="A124" s="88"/>
      <c r="D124" s="82"/>
      <c r="E124" s="82"/>
      <c r="F124" s="82"/>
      <c r="G124" s="82"/>
      <c r="I124" s="77"/>
      <c r="J124" s="89"/>
    </row>
    <row r="125" spans="1:10">
      <c r="A125" s="88"/>
      <c r="D125" s="82"/>
      <c r="E125" s="82"/>
      <c r="F125" s="82"/>
      <c r="G125" s="82"/>
      <c r="I125" s="77"/>
      <c r="J125" s="89"/>
    </row>
    <row r="126" spans="1:10">
      <c r="A126" s="88"/>
      <c r="D126" s="82"/>
      <c r="E126" s="82"/>
      <c r="F126" s="82"/>
      <c r="G126" s="82"/>
      <c r="I126" s="77"/>
      <c r="J126" s="89"/>
    </row>
    <row r="127" spans="1:10">
      <c r="A127" s="88"/>
      <c r="D127" s="82"/>
      <c r="E127" s="82"/>
      <c r="F127" s="82"/>
      <c r="G127" s="82"/>
      <c r="I127" s="77"/>
      <c r="J127" s="89"/>
    </row>
    <row r="128" spans="1:10">
      <c r="A128" s="88"/>
      <c r="D128" s="82"/>
      <c r="E128" s="82"/>
      <c r="F128" s="82"/>
      <c r="G128" s="82"/>
      <c r="I128" s="77"/>
      <c r="J128" s="89"/>
    </row>
    <row r="129" spans="1:10">
      <c r="A129" s="88"/>
      <c r="D129" s="82"/>
      <c r="E129" s="82"/>
      <c r="F129" s="82"/>
      <c r="G129" s="82"/>
      <c r="I129" s="77"/>
      <c r="J129" s="89"/>
    </row>
    <row r="130" spans="1:10">
      <c r="A130" s="88"/>
      <c r="D130" s="82"/>
      <c r="E130" s="82"/>
      <c r="F130" s="82"/>
      <c r="G130" s="82"/>
      <c r="I130" s="77"/>
      <c r="J130" s="89"/>
    </row>
    <row r="131" spans="1:10">
      <c r="A131" s="88"/>
      <c r="D131" s="82"/>
      <c r="E131" s="82"/>
      <c r="F131" s="82"/>
      <c r="G131" s="82"/>
      <c r="I131" s="77"/>
      <c r="J131" s="89"/>
    </row>
    <row r="132" spans="1:10">
      <c r="A132" s="88"/>
      <c r="D132" s="82"/>
      <c r="E132" s="82"/>
      <c r="F132" s="82"/>
      <c r="G132" s="82"/>
      <c r="I132" s="77"/>
      <c r="J132" s="89"/>
    </row>
    <row r="133" spans="1:10">
      <c r="A133" s="88"/>
      <c r="D133" s="82"/>
      <c r="E133" s="82"/>
      <c r="F133" s="82"/>
      <c r="G133" s="82"/>
      <c r="I133" s="77"/>
      <c r="J133" s="89"/>
    </row>
    <row r="134" spans="1:10">
      <c r="A134" s="88"/>
      <c r="D134" s="82"/>
      <c r="E134" s="82"/>
      <c r="F134" s="82"/>
      <c r="G134" s="82"/>
      <c r="I134" s="77"/>
      <c r="J134" s="89"/>
    </row>
    <row r="135" spans="1:10">
      <c r="A135" s="88"/>
      <c r="D135" s="82"/>
      <c r="E135" s="82"/>
      <c r="F135" s="82"/>
      <c r="G135" s="82"/>
      <c r="I135" s="77"/>
      <c r="J135" s="89"/>
    </row>
    <row r="136" spans="1:10">
      <c r="A136" s="88"/>
      <c r="D136" s="82"/>
      <c r="E136" s="82"/>
      <c r="F136" s="82"/>
      <c r="G136" s="82"/>
      <c r="I136" s="77"/>
      <c r="J136" s="89"/>
    </row>
    <row r="137" spans="1:10">
      <c r="A137" s="88"/>
      <c r="D137" s="82"/>
      <c r="E137" s="82"/>
      <c r="F137" s="82"/>
      <c r="G137" s="82"/>
      <c r="I137" s="77"/>
      <c r="J137" s="89"/>
    </row>
    <row r="138" spans="1:10">
      <c r="A138" s="88"/>
      <c r="D138" s="82"/>
      <c r="E138" s="82"/>
      <c r="F138" s="82"/>
      <c r="G138" s="82"/>
      <c r="I138" s="77"/>
      <c r="J138" s="89"/>
    </row>
    <row r="139" spans="1:10">
      <c r="A139" s="88"/>
      <c r="D139" s="82"/>
      <c r="E139" s="82"/>
      <c r="F139" s="82"/>
      <c r="G139" s="82"/>
      <c r="I139" s="77"/>
      <c r="J139" s="89"/>
    </row>
    <row r="140" spans="1:10">
      <c r="A140" s="88"/>
      <c r="D140" s="82"/>
      <c r="E140" s="82"/>
      <c r="F140" s="82"/>
      <c r="G140" s="82"/>
      <c r="I140" s="77"/>
      <c r="J140" s="89"/>
    </row>
    <row r="141" spans="1:10">
      <c r="A141" s="88"/>
      <c r="D141" s="82"/>
      <c r="E141" s="82"/>
      <c r="F141" s="82"/>
      <c r="G141" s="82"/>
      <c r="I141" s="77"/>
      <c r="J141" s="89"/>
    </row>
    <row r="142" spans="1:10">
      <c r="A142" s="88"/>
      <c r="D142" s="82"/>
      <c r="E142" s="82"/>
      <c r="F142" s="82"/>
      <c r="G142" s="82"/>
      <c r="I142" s="77"/>
      <c r="J142" s="89"/>
    </row>
    <row r="143" spans="1:10">
      <c r="A143" s="88"/>
      <c r="D143" s="82"/>
      <c r="E143" s="82"/>
      <c r="F143" s="82"/>
      <c r="G143" s="82"/>
      <c r="I143" s="77"/>
      <c r="J143" s="89"/>
    </row>
    <row r="144" spans="1:10">
      <c r="A144" s="88"/>
      <c r="D144" s="82"/>
      <c r="E144" s="82"/>
      <c r="F144" s="82"/>
      <c r="G144" s="82"/>
      <c r="I144" s="77"/>
      <c r="J144" s="89"/>
    </row>
    <row r="145" spans="1:10">
      <c r="A145" s="88"/>
      <c r="D145" s="82"/>
      <c r="E145" s="82"/>
      <c r="F145" s="82"/>
      <c r="G145" s="82"/>
      <c r="I145" s="77"/>
      <c r="J145" s="89"/>
    </row>
    <row r="146" spans="1:10">
      <c r="A146" s="88"/>
      <c r="D146" s="82"/>
      <c r="E146" s="82"/>
      <c r="F146" s="82"/>
      <c r="G146" s="82"/>
      <c r="I146" s="77"/>
      <c r="J146" s="89"/>
    </row>
    <row r="147" spans="1:10">
      <c r="A147" s="88"/>
      <c r="D147" s="82"/>
      <c r="E147" s="82"/>
      <c r="F147" s="82"/>
      <c r="G147" s="82"/>
      <c r="I147" s="77"/>
      <c r="J147" s="89"/>
    </row>
    <row r="148" spans="1:10">
      <c r="A148" s="88"/>
      <c r="D148" s="82"/>
      <c r="E148" s="82"/>
      <c r="F148" s="82"/>
      <c r="G148" s="82"/>
      <c r="I148" s="77"/>
      <c r="J148" s="89"/>
    </row>
    <row r="149" spans="1:10">
      <c r="A149" s="88"/>
      <c r="D149" s="82"/>
      <c r="E149" s="82"/>
      <c r="F149" s="82"/>
      <c r="G149" s="82"/>
      <c r="I149" s="77"/>
      <c r="J149" s="89"/>
    </row>
    <row r="150" spans="1:10">
      <c r="A150" s="88"/>
      <c r="D150" s="82"/>
      <c r="E150" s="82"/>
      <c r="F150" s="82"/>
      <c r="G150" s="82"/>
      <c r="I150" s="77"/>
      <c r="J150" s="89"/>
    </row>
    <row r="151" spans="1:10">
      <c r="A151" s="88"/>
      <c r="D151" s="82"/>
      <c r="E151" s="82"/>
      <c r="F151" s="82"/>
      <c r="G151" s="82"/>
      <c r="I151" s="77"/>
      <c r="J151" s="89"/>
    </row>
    <row r="152" spans="1:10">
      <c r="A152" s="88"/>
      <c r="D152" s="82"/>
      <c r="E152" s="82"/>
      <c r="F152" s="82"/>
      <c r="G152" s="82"/>
      <c r="I152" s="77"/>
      <c r="J152" s="89"/>
    </row>
    <row r="153" spans="1:10">
      <c r="A153" s="88"/>
      <c r="D153" s="82"/>
      <c r="E153" s="82"/>
      <c r="F153" s="82"/>
      <c r="G153" s="82"/>
      <c r="I153" s="77"/>
      <c r="J153" s="89"/>
    </row>
    <row r="154" spans="1:10">
      <c r="A154" s="88"/>
      <c r="D154" s="82"/>
      <c r="E154" s="82"/>
      <c r="F154" s="82"/>
      <c r="G154" s="82"/>
      <c r="I154" s="77"/>
      <c r="J154" s="89"/>
    </row>
    <row r="155" spans="1:10">
      <c r="A155" s="88"/>
      <c r="D155" s="82"/>
      <c r="E155" s="82"/>
      <c r="F155" s="82"/>
      <c r="G155" s="82"/>
      <c r="I155" s="77"/>
      <c r="J155" s="89"/>
    </row>
    <row r="156" spans="1:10">
      <c r="A156" s="88"/>
      <c r="D156" s="82"/>
      <c r="E156" s="82"/>
      <c r="F156" s="82"/>
      <c r="G156" s="82"/>
      <c r="I156" s="77"/>
      <c r="J156" s="89"/>
    </row>
    <row r="157" spans="1:10">
      <c r="A157" s="88"/>
      <c r="D157" s="82"/>
      <c r="E157" s="82"/>
      <c r="F157" s="82"/>
      <c r="G157" s="82"/>
      <c r="I157" s="77"/>
      <c r="J157" s="89"/>
    </row>
    <row r="158" spans="1:10">
      <c r="A158" s="88"/>
      <c r="D158" s="82"/>
      <c r="E158" s="82"/>
      <c r="F158" s="82"/>
      <c r="G158" s="82"/>
      <c r="I158" s="77"/>
      <c r="J158" s="89"/>
    </row>
    <row r="159" spans="1:10">
      <c r="A159" s="88"/>
      <c r="D159" s="82"/>
      <c r="E159" s="82"/>
      <c r="F159" s="82"/>
      <c r="G159" s="82"/>
      <c r="I159" s="77"/>
      <c r="J159" s="89"/>
    </row>
    <row r="160" spans="1:10">
      <c r="A160" s="88"/>
      <c r="D160" s="82"/>
      <c r="E160" s="82"/>
      <c r="F160" s="82"/>
      <c r="G160" s="82"/>
      <c r="I160" s="77"/>
      <c r="J160" s="89"/>
    </row>
    <row r="161" spans="1:10">
      <c r="A161" s="88"/>
      <c r="D161" s="82"/>
      <c r="E161" s="82"/>
      <c r="F161" s="82"/>
      <c r="G161" s="82"/>
      <c r="I161" s="77"/>
      <c r="J161" s="89"/>
    </row>
    <row r="162" spans="1:10">
      <c r="A162" s="88"/>
      <c r="D162" s="82"/>
      <c r="E162" s="82"/>
      <c r="F162" s="82"/>
      <c r="G162" s="82"/>
      <c r="I162" s="77"/>
      <c r="J162" s="89"/>
    </row>
    <row r="163" spans="1:10">
      <c r="A163" s="88"/>
      <c r="D163" s="82"/>
      <c r="E163" s="82"/>
      <c r="F163" s="82"/>
      <c r="G163" s="82"/>
      <c r="I163" s="77"/>
      <c r="J163" s="89"/>
    </row>
    <row r="164" spans="1:10">
      <c r="A164" s="88"/>
      <c r="D164" s="82"/>
      <c r="E164" s="82"/>
      <c r="F164" s="82"/>
      <c r="G164" s="82"/>
      <c r="I164" s="77"/>
      <c r="J164" s="89"/>
    </row>
    <row r="165" spans="1:10">
      <c r="A165" s="88"/>
      <c r="D165" s="82"/>
      <c r="E165" s="82"/>
      <c r="F165" s="82"/>
      <c r="G165" s="82"/>
      <c r="I165" s="77"/>
      <c r="J165" s="89"/>
    </row>
    <row r="166" spans="1:10">
      <c r="A166" s="88"/>
      <c r="D166" s="82"/>
      <c r="E166" s="82"/>
      <c r="F166" s="82"/>
      <c r="G166" s="82"/>
      <c r="I166" s="77"/>
      <c r="J166" s="89"/>
    </row>
    <row r="167" spans="1:10">
      <c r="A167" s="88"/>
      <c r="D167" s="82"/>
      <c r="E167" s="82"/>
      <c r="F167" s="82"/>
      <c r="G167" s="82"/>
      <c r="I167" s="77"/>
      <c r="J167" s="89"/>
    </row>
    <row r="168" spans="1:10">
      <c r="A168" s="88"/>
      <c r="D168" s="82"/>
      <c r="E168" s="82"/>
      <c r="F168" s="82"/>
      <c r="G168" s="82"/>
      <c r="I168" s="77"/>
      <c r="J168" s="89"/>
    </row>
    <row r="169" spans="1:10">
      <c r="A169" s="88"/>
      <c r="D169" s="82"/>
      <c r="E169" s="82"/>
      <c r="F169" s="82"/>
      <c r="G169" s="82"/>
      <c r="I169" s="77"/>
      <c r="J169" s="89"/>
    </row>
    <row r="170" spans="1:10">
      <c r="A170" s="88"/>
      <c r="D170" s="82"/>
      <c r="E170" s="82"/>
      <c r="F170" s="82"/>
      <c r="G170" s="82"/>
      <c r="I170" s="77"/>
      <c r="J170" s="89"/>
    </row>
    <row r="171" spans="1:10">
      <c r="A171" s="88"/>
      <c r="D171" s="82"/>
      <c r="E171" s="82"/>
      <c r="F171" s="82"/>
      <c r="G171" s="82"/>
      <c r="I171" s="77"/>
      <c r="J171" s="89"/>
    </row>
    <row r="172" spans="1:10">
      <c r="A172" s="88"/>
      <c r="D172" s="82"/>
      <c r="E172" s="82"/>
      <c r="F172" s="82"/>
      <c r="G172" s="82"/>
      <c r="I172" s="77"/>
      <c r="J172" s="89"/>
    </row>
    <row r="173" spans="1:10">
      <c r="A173" s="88"/>
      <c r="D173" s="82"/>
      <c r="E173" s="82"/>
      <c r="F173" s="82"/>
      <c r="G173" s="82"/>
      <c r="I173" s="77"/>
      <c r="J173" s="89"/>
    </row>
    <row r="174" spans="1:10">
      <c r="A174" s="88"/>
      <c r="D174" s="82"/>
      <c r="E174" s="82"/>
      <c r="F174" s="82"/>
      <c r="G174" s="82"/>
      <c r="I174" s="77"/>
      <c r="J174" s="89"/>
    </row>
    <row r="175" spans="1:10">
      <c r="A175" s="88"/>
      <c r="D175" s="82"/>
      <c r="E175" s="82"/>
      <c r="F175" s="82"/>
      <c r="G175" s="82"/>
      <c r="I175" s="77"/>
      <c r="J175" s="89"/>
    </row>
    <row r="176" spans="1:10">
      <c r="A176" s="88"/>
      <c r="D176" s="82"/>
      <c r="E176" s="82"/>
      <c r="F176" s="82"/>
      <c r="G176" s="82"/>
      <c r="I176" s="77"/>
      <c r="J176" s="89"/>
    </row>
    <row r="177" spans="1:10">
      <c r="A177" s="88"/>
      <c r="D177" s="82"/>
      <c r="E177" s="82"/>
      <c r="F177" s="82"/>
      <c r="G177" s="82"/>
      <c r="I177" s="77"/>
      <c r="J177" s="89"/>
    </row>
    <row r="178" spans="1:10">
      <c r="A178" s="88"/>
      <c r="D178" s="82"/>
      <c r="E178" s="82"/>
      <c r="F178" s="82"/>
      <c r="G178" s="82"/>
      <c r="I178" s="77"/>
      <c r="J178" s="89"/>
    </row>
    <row r="179" spans="1:10">
      <c r="A179" s="88"/>
      <c r="D179" s="82"/>
      <c r="E179" s="82"/>
      <c r="F179" s="82"/>
      <c r="G179" s="82"/>
      <c r="I179" s="77"/>
      <c r="J179" s="89"/>
    </row>
    <row r="180" spans="1:10">
      <c r="A180" s="88"/>
      <c r="D180" s="82"/>
      <c r="E180" s="82"/>
      <c r="F180" s="82"/>
      <c r="G180" s="82"/>
      <c r="I180" s="77"/>
      <c r="J180" s="89"/>
    </row>
    <row r="181" spans="1:10">
      <c r="A181" s="88"/>
      <c r="D181" s="82"/>
      <c r="E181" s="82"/>
      <c r="F181" s="82"/>
      <c r="G181" s="82"/>
      <c r="I181" s="77"/>
      <c r="J181" s="89"/>
    </row>
    <row r="182" spans="1:10">
      <c r="A182" s="88"/>
      <c r="D182" s="82"/>
      <c r="E182" s="82"/>
      <c r="F182" s="82"/>
      <c r="G182" s="82"/>
      <c r="I182" s="77"/>
      <c r="J182" s="89"/>
    </row>
    <row r="183" spans="1:10">
      <c r="A183" s="88"/>
      <c r="D183" s="82"/>
      <c r="E183" s="82"/>
      <c r="F183" s="82"/>
      <c r="G183" s="82"/>
      <c r="I183" s="77"/>
      <c r="J183" s="89"/>
    </row>
    <row r="184" spans="1:10">
      <c r="A184" s="88"/>
      <c r="D184" s="82"/>
      <c r="E184" s="82"/>
      <c r="F184" s="82"/>
      <c r="G184" s="82"/>
      <c r="I184" s="77"/>
      <c r="J184" s="89"/>
    </row>
    <row r="185" spans="1:10">
      <c r="A185" s="88"/>
      <c r="D185" s="82"/>
      <c r="E185" s="82"/>
      <c r="F185" s="82"/>
      <c r="G185" s="82"/>
      <c r="I185" s="77"/>
      <c r="J185" s="89"/>
    </row>
    <row r="186" spans="1:10">
      <c r="A186" s="88"/>
      <c r="D186" s="82"/>
      <c r="E186" s="82"/>
      <c r="F186" s="82"/>
      <c r="G186" s="82"/>
      <c r="I186" s="77"/>
      <c r="J186" s="89"/>
    </row>
    <row r="187" spans="1:10">
      <c r="A187" s="88"/>
      <c r="D187" s="82"/>
      <c r="E187" s="82"/>
      <c r="F187" s="82"/>
      <c r="G187" s="82"/>
      <c r="I187" s="77"/>
      <c r="J187" s="89"/>
    </row>
    <row r="188" spans="1:10">
      <c r="A188" s="88"/>
      <c r="D188" s="82"/>
      <c r="E188" s="82"/>
      <c r="F188" s="82"/>
      <c r="G188" s="82"/>
      <c r="I188" s="77"/>
      <c r="J188" s="89"/>
    </row>
    <row r="189" spans="1:10">
      <c r="A189" s="88"/>
      <c r="D189" s="82"/>
      <c r="E189" s="82"/>
      <c r="F189" s="82"/>
      <c r="G189" s="82"/>
      <c r="I189" s="77"/>
      <c r="J189" s="89"/>
    </row>
    <row r="190" spans="1:10">
      <c r="A190" s="88"/>
      <c r="D190" s="82"/>
      <c r="E190" s="82"/>
      <c r="F190" s="82"/>
      <c r="G190" s="82"/>
      <c r="I190" s="77"/>
      <c r="J190" s="89"/>
    </row>
    <row r="191" spans="1:10">
      <c r="A191" s="88"/>
      <c r="D191" s="82"/>
      <c r="E191" s="82"/>
      <c r="F191" s="82"/>
      <c r="G191" s="82"/>
      <c r="I191" s="77"/>
      <c r="J191" s="89"/>
    </row>
    <row r="192" spans="1:10">
      <c r="A192" s="88"/>
      <c r="D192" s="82"/>
      <c r="E192" s="82"/>
      <c r="F192" s="82"/>
      <c r="G192" s="82"/>
      <c r="I192" s="77"/>
      <c r="J192" s="89"/>
    </row>
    <row r="193" spans="1:10">
      <c r="A193" s="88"/>
      <c r="D193" s="82"/>
      <c r="E193" s="82"/>
      <c r="F193" s="82"/>
      <c r="G193" s="82"/>
      <c r="I193" s="77"/>
      <c r="J193" s="89"/>
    </row>
    <row r="194" spans="1:10">
      <c r="A194" s="88"/>
      <c r="D194" s="82"/>
      <c r="E194" s="82"/>
      <c r="F194" s="82"/>
      <c r="G194" s="82"/>
      <c r="I194" s="77"/>
      <c r="J194" s="89"/>
    </row>
    <row r="195" spans="1:10">
      <c r="A195" s="88"/>
      <c r="D195" s="82"/>
      <c r="E195" s="82"/>
      <c r="F195" s="82"/>
      <c r="G195" s="82"/>
      <c r="I195" s="77"/>
      <c r="J195" s="89"/>
    </row>
    <row r="196" spans="1:10">
      <c r="A196" s="88"/>
      <c r="D196" s="82"/>
      <c r="E196" s="82"/>
      <c r="F196" s="82"/>
      <c r="G196" s="82"/>
      <c r="I196" s="77"/>
      <c r="J196" s="89"/>
    </row>
    <row r="197" spans="1:10">
      <c r="A197" s="88"/>
      <c r="D197" s="82"/>
      <c r="E197" s="82"/>
      <c r="F197" s="82"/>
      <c r="G197" s="82"/>
      <c r="I197" s="77"/>
      <c r="J197" s="89"/>
    </row>
    <row r="198" spans="1:10">
      <c r="A198" s="88"/>
      <c r="D198" s="82"/>
      <c r="E198" s="82"/>
      <c r="F198" s="82"/>
      <c r="G198" s="82"/>
      <c r="I198" s="77"/>
      <c r="J198" s="89"/>
    </row>
    <row r="199" spans="1:10">
      <c r="A199" s="88"/>
      <c r="D199" s="82"/>
      <c r="E199" s="82"/>
      <c r="F199" s="82"/>
      <c r="G199" s="82"/>
      <c r="I199" s="77"/>
      <c r="J199" s="89"/>
    </row>
    <row r="200" spans="1:10">
      <c r="A200" s="88"/>
      <c r="D200" s="82"/>
      <c r="E200" s="82"/>
      <c r="F200" s="82"/>
      <c r="G200" s="82"/>
      <c r="I200" s="77"/>
      <c r="J200" s="89"/>
    </row>
    <row r="201" spans="1:10">
      <c r="A201" s="88"/>
      <c r="D201" s="82"/>
      <c r="E201" s="82"/>
      <c r="F201" s="82"/>
      <c r="G201" s="82"/>
      <c r="I201" s="77"/>
      <c r="J201" s="89"/>
    </row>
    <row r="202" spans="1:10">
      <c r="A202" s="88"/>
      <c r="D202" s="82"/>
      <c r="E202" s="82"/>
      <c r="F202" s="82"/>
      <c r="G202" s="82"/>
      <c r="I202" s="77"/>
      <c r="J202" s="89"/>
    </row>
    <row r="203" spans="1:10">
      <c r="A203" s="88"/>
      <c r="D203" s="82"/>
      <c r="E203" s="82"/>
      <c r="F203" s="82"/>
      <c r="G203" s="82"/>
      <c r="I203" s="77"/>
      <c r="J203" s="89"/>
    </row>
    <row r="204" spans="1:10">
      <c r="A204" s="88"/>
      <c r="D204" s="82"/>
      <c r="E204" s="82"/>
      <c r="F204" s="82"/>
      <c r="G204" s="82"/>
      <c r="I204" s="77"/>
      <c r="J204" s="89"/>
    </row>
    <row r="205" spans="1:10">
      <c r="A205" s="88"/>
      <c r="D205" s="82"/>
      <c r="E205" s="82"/>
      <c r="F205" s="82"/>
      <c r="G205" s="82"/>
      <c r="I205" s="77"/>
      <c r="J205" s="89"/>
    </row>
    <row r="206" spans="1:10">
      <c r="A206" s="88"/>
      <c r="D206" s="82"/>
      <c r="E206" s="82"/>
      <c r="F206" s="82"/>
      <c r="G206" s="82"/>
      <c r="I206" s="77"/>
      <c r="J206" s="89"/>
    </row>
    <row r="207" spans="1:10">
      <c r="A207" s="88"/>
      <c r="D207" s="82"/>
      <c r="E207" s="82"/>
      <c r="F207" s="82"/>
      <c r="G207" s="82"/>
      <c r="I207" s="77"/>
      <c r="J207" s="89"/>
    </row>
    <row r="208" spans="1:10">
      <c r="A208" s="88"/>
      <c r="D208" s="82"/>
      <c r="E208" s="82"/>
      <c r="F208" s="82"/>
      <c r="G208" s="82"/>
      <c r="I208" s="77"/>
      <c r="J208" s="89"/>
    </row>
    <row r="209" spans="1:10">
      <c r="A209" s="88"/>
      <c r="D209" s="82"/>
      <c r="E209" s="82"/>
      <c r="F209" s="82"/>
      <c r="G209" s="82"/>
      <c r="I209" s="77"/>
      <c r="J209" s="89"/>
    </row>
    <row r="210" spans="1:10">
      <c r="A210" s="88"/>
      <c r="D210" s="82"/>
      <c r="E210" s="82"/>
      <c r="F210" s="82"/>
      <c r="G210" s="82"/>
      <c r="I210" s="77"/>
      <c r="J210" s="89"/>
    </row>
    <row r="211" spans="1:10">
      <c r="A211" s="88"/>
      <c r="D211" s="82"/>
      <c r="E211" s="82"/>
      <c r="F211" s="82"/>
      <c r="G211" s="82"/>
      <c r="I211" s="77"/>
      <c r="J211" s="89"/>
    </row>
    <row r="212" spans="1:10">
      <c r="A212" s="88"/>
      <c r="D212" s="82"/>
      <c r="E212" s="82"/>
      <c r="F212" s="82"/>
      <c r="G212" s="82"/>
      <c r="I212" s="77"/>
      <c r="J212" s="89"/>
    </row>
    <row r="213" spans="1:10">
      <c r="A213" s="88"/>
      <c r="D213" s="82"/>
      <c r="E213" s="82"/>
      <c r="F213" s="82"/>
      <c r="G213" s="82"/>
      <c r="I213" s="77"/>
      <c r="J213" s="89"/>
    </row>
    <row r="214" spans="1:10">
      <c r="A214" s="88"/>
      <c r="D214" s="82"/>
      <c r="E214" s="82"/>
      <c r="F214" s="82"/>
      <c r="G214" s="82"/>
      <c r="I214" s="77"/>
      <c r="J214" s="89"/>
    </row>
    <row r="215" spans="1:10">
      <c r="A215" s="88"/>
      <c r="D215" s="82"/>
      <c r="E215" s="82"/>
      <c r="F215" s="82"/>
      <c r="G215" s="82"/>
      <c r="I215" s="77"/>
      <c r="J215" s="89"/>
    </row>
    <row r="216" spans="1:10">
      <c r="A216" s="88"/>
      <c r="D216" s="82"/>
      <c r="E216" s="82"/>
      <c r="F216" s="82"/>
      <c r="G216" s="82"/>
      <c r="I216" s="77"/>
      <c r="J216" s="89"/>
    </row>
    <row r="217" spans="1:10">
      <c r="A217" s="88"/>
      <c r="D217" s="82"/>
      <c r="E217" s="82"/>
      <c r="F217" s="82"/>
      <c r="G217" s="82"/>
      <c r="I217" s="77"/>
      <c r="J217" s="89"/>
    </row>
    <row r="218" spans="1:10">
      <c r="A218" s="88"/>
      <c r="D218" s="82"/>
      <c r="E218" s="82"/>
      <c r="F218" s="82"/>
      <c r="G218" s="82"/>
      <c r="I218" s="77"/>
      <c r="J218" s="89"/>
    </row>
    <row r="219" spans="1:10">
      <c r="A219" s="88"/>
      <c r="D219" s="82"/>
      <c r="E219" s="82"/>
      <c r="F219" s="82"/>
      <c r="G219" s="82"/>
      <c r="I219" s="77"/>
      <c r="J219" s="89"/>
    </row>
    <row r="220" spans="1:10">
      <c r="A220" s="88"/>
      <c r="D220" s="82"/>
      <c r="E220" s="82"/>
      <c r="F220" s="82"/>
      <c r="G220" s="82"/>
      <c r="I220" s="77"/>
      <c r="J220" s="89"/>
    </row>
    <row r="221" spans="1:10">
      <c r="A221" s="88"/>
      <c r="D221" s="82"/>
      <c r="E221" s="82"/>
      <c r="F221" s="82"/>
      <c r="G221" s="82"/>
      <c r="I221" s="77"/>
      <c r="J221" s="89"/>
    </row>
    <row r="222" spans="1:10">
      <c r="A222" s="88"/>
      <c r="D222" s="82"/>
      <c r="E222" s="82"/>
      <c r="F222" s="82"/>
      <c r="G222" s="82"/>
      <c r="I222" s="77"/>
      <c r="J222" s="89"/>
    </row>
    <row r="223" spans="1:10">
      <c r="A223" s="88"/>
      <c r="D223" s="82"/>
      <c r="E223" s="82"/>
      <c r="F223" s="82"/>
      <c r="G223" s="82"/>
      <c r="I223" s="77"/>
      <c r="J223" s="89"/>
    </row>
    <row r="224" spans="1:10">
      <c r="A224" s="88"/>
      <c r="D224" s="82"/>
      <c r="E224" s="82"/>
      <c r="F224" s="82"/>
      <c r="G224" s="82"/>
      <c r="I224" s="77"/>
      <c r="J224" s="89"/>
    </row>
    <row r="225" spans="1:10">
      <c r="A225" s="88"/>
      <c r="D225" s="82"/>
      <c r="E225" s="82"/>
      <c r="F225" s="82"/>
      <c r="G225" s="82"/>
      <c r="I225" s="77"/>
      <c r="J225" s="89"/>
    </row>
    <row r="226" spans="1:10">
      <c r="A226" s="88"/>
      <c r="D226" s="82"/>
      <c r="E226" s="82"/>
      <c r="F226" s="82"/>
      <c r="G226" s="82"/>
      <c r="I226" s="77"/>
      <c r="J226" s="89"/>
    </row>
    <row r="227" spans="1:10">
      <c r="A227" s="88"/>
      <c r="D227" s="82"/>
      <c r="E227" s="82"/>
      <c r="F227" s="82"/>
      <c r="G227" s="82"/>
      <c r="I227" s="77"/>
      <c r="J227" s="89"/>
    </row>
    <row r="228" spans="1:10">
      <c r="A228" s="88"/>
      <c r="D228" s="82"/>
      <c r="E228" s="82"/>
      <c r="F228" s="82"/>
      <c r="G228" s="82"/>
      <c r="I228" s="77"/>
      <c r="J228" s="89"/>
    </row>
    <row r="229" spans="1:10">
      <c r="A229" s="88"/>
      <c r="D229" s="82"/>
      <c r="E229" s="82"/>
      <c r="F229" s="82"/>
      <c r="G229" s="82"/>
      <c r="I229" s="77"/>
      <c r="J229" s="89"/>
    </row>
    <row r="230" spans="1:10">
      <c r="A230" s="88"/>
      <c r="D230" s="82"/>
      <c r="E230" s="82"/>
      <c r="F230" s="82"/>
      <c r="G230" s="82"/>
      <c r="I230" s="77"/>
      <c r="J230" s="89"/>
    </row>
    <row r="231" spans="1:10">
      <c r="A231" s="88"/>
      <c r="D231" s="82"/>
      <c r="E231" s="82"/>
      <c r="F231" s="82"/>
      <c r="G231" s="82"/>
      <c r="I231" s="77"/>
      <c r="J231" s="89"/>
    </row>
    <row r="232" spans="1:10">
      <c r="A232" s="88"/>
      <c r="D232" s="82"/>
      <c r="E232" s="82"/>
      <c r="F232" s="82"/>
      <c r="G232" s="82"/>
      <c r="I232" s="77"/>
      <c r="J232" s="89"/>
    </row>
    <row r="233" spans="1:10">
      <c r="A233" s="88"/>
      <c r="D233" s="82"/>
      <c r="E233" s="82"/>
      <c r="F233" s="82"/>
      <c r="G233" s="82"/>
      <c r="I233" s="77"/>
      <c r="J233" s="89"/>
    </row>
    <row r="234" spans="1:10">
      <c r="A234" s="88"/>
      <c r="D234" s="82"/>
      <c r="E234" s="82"/>
      <c r="F234" s="82"/>
      <c r="G234" s="82"/>
      <c r="I234" s="77"/>
      <c r="J234" s="89"/>
    </row>
    <row r="235" spans="1:10">
      <c r="A235" s="88"/>
      <c r="D235" s="82"/>
      <c r="E235" s="82"/>
      <c r="F235" s="82"/>
      <c r="G235" s="82"/>
      <c r="I235" s="77"/>
      <c r="J235" s="89"/>
    </row>
    <row r="236" spans="1:10">
      <c r="A236" s="88"/>
      <c r="D236" s="82"/>
      <c r="E236" s="82"/>
      <c r="F236" s="82"/>
      <c r="G236" s="82"/>
      <c r="I236" s="77"/>
      <c r="J236" s="89"/>
    </row>
    <row r="237" spans="1:10">
      <c r="A237" s="88"/>
      <c r="D237" s="82"/>
      <c r="E237" s="82"/>
      <c r="F237" s="82"/>
      <c r="G237" s="82"/>
      <c r="I237" s="77"/>
      <c r="J237" s="89"/>
    </row>
    <row r="238" spans="1:10">
      <c r="A238" s="88"/>
      <c r="D238" s="82"/>
      <c r="E238" s="82"/>
      <c r="F238" s="82"/>
      <c r="G238" s="82"/>
      <c r="I238" s="77"/>
      <c r="J238" s="89"/>
    </row>
    <row r="239" spans="1:10">
      <c r="A239" s="88"/>
      <c r="D239" s="82"/>
      <c r="E239" s="82"/>
      <c r="F239" s="82"/>
      <c r="G239" s="82"/>
      <c r="I239" s="77"/>
      <c r="J239" s="89"/>
    </row>
    <row r="240" spans="1:10">
      <c r="A240" s="88"/>
      <c r="D240" s="82"/>
      <c r="E240" s="82"/>
      <c r="F240" s="82"/>
      <c r="G240" s="82"/>
      <c r="I240" s="77"/>
      <c r="J240" s="89"/>
    </row>
    <row r="241" spans="1:10">
      <c r="A241" s="88"/>
      <c r="D241" s="82"/>
      <c r="E241" s="82"/>
      <c r="F241" s="82"/>
      <c r="G241" s="82"/>
      <c r="I241" s="77"/>
      <c r="J241" s="89"/>
    </row>
    <row r="242" spans="1:10">
      <c r="A242" s="88"/>
      <c r="D242" s="82"/>
      <c r="E242" s="82"/>
      <c r="F242" s="82"/>
      <c r="G242" s="82"/>
      <c r="I242" s="77"/>
      <c r="J242" s="89"/>
    </row>
    <row r="243" spans="1:10">
      <c r="A243" s="88"/>
      <c r="D243" s="82"/>
      <c r="E243" s="82"/>
      <c r="F243" s="82"/>
      <c r="G243" s="82"/>
      <c r="I243" s="77"/>
      <c r="J243" s="89"/>
    </row>
    <row r="244" spans="1:10">
      <c r="A244" s="88"/>
      <c r="D244" s="82"/>
      <c r="E244" s="82"/>
      <c r="F244" s="82"/>
      <c r="G244" s="82"/>
      <c r="I244" s="77"/>
      <c r="J244" s="89"/>
    </row>
    <row r="245" spans="1:10">
      <c r="A245" s="88"/>
      <c r="D245" s="82"/>
      <c r="E245" s="82"/>
      <c r="F245" s="82"/>
      <c r="G245" s="82"/>
      <c r="I245" s="77"/>
      <c r="J245" s="89"/>
    </row>
    <row r="246" spans="1:10">
      <c r="A246" s="88"/>
      <c r="D246" s="82"/>
      <c r="E246" s="82"/>
      <c r="F246" s="82"/>
      <c r="G246" s="82"/>
      <c r="I246" s="77"/>
      <c r="J246" s="89"/>
    </row>
    <row r="247" spans="1:10">
      <c r="A247" s="88"/>
      <c r="D247" s="82"/>
      <c r="E247" s="82"/>
      <c r="F247" s="82"/>
      <c r="G247" s="82"/>
      <c r="I247" s="77"/>
      <c r="J247" s="89"/>
    </row>
    <row r="248" spans="1:10">
      <c r="A248" s="88"/>
      <c r="D248" s="82"/>
      <c r="E248" s="82"/>
      <c r="F248" s="82"/>
      <c r="G248" s="82"/>
      <c r="I248" s="77"/>
      <c r="J248" s="89"/>
    </row>
    <row r="249" spans="1:10">
      <c r="A249" s="88"/>
      <c r="D249" s="82"/>
      <c r="E249" s="82"/>
      <c r="F249" s="82"/>
      <c r="G249" s="82"/>
      <c r="I249" s="77"/>
      <c r="J249" s="89"/>
    </row>
    <row r="250" spans="1:10">
      <c r="A250" s="88"/>
      <c r="D250" s="82"/>
      <c r="E250" s="82"/>
      <c r="F250" s="82"/>
      <c r="G250" s="82"/>
      <c r="I250" s="77"/>
      <c r="J250" s="89"/>
    </row>
    <row r="251" spans="1:10">
      <c r="A251" s="88"/>
      <c r="D251" s="82"/>
      <c r="E251" s="82"/>
      <c r="F251" s="82"/>
      <c r="G251" s="82"/>
      <c r="I251" s="77"/>
      <c r="J251" s="89"/>
    </row>
    <row r="252" spans="1:10">
      <c r="A252" s="88"/>
      <c r="D252" s="82"/>
      <c r="E252" s="82"/>
      <c r="F252" s="82"/>
      <c r="G252" s="82"/>
      <c r="I252" s="77"/>
      <c r="J252" s="89"/>
    </row>
    <row r="253" spans="1:10">
      <c r="A253" s="88"/>
      <c r="D253" s="82"/>
      <c r="E253" s="82"/>
      <c r="F253" s="82"/>
      <c r="G253" s="82"/>
      <c r="I253" s="77"/>
      <c r="J253" s="89"/>
    </row>
    <row r="254" spans="1:10">
      <c r="A254" s="88"/>
      <c r="D254" s="82"/>
      <c r="E254" s="82"/>
      <c r="F254" s="82"/>
      <c r="G254" s="82"/>
      <c r="I254" s="77"/>
      <c r="J254" s="89"/>
    </row>
    <row r="255" spans="1:10">
      <c r="A255" s="88"/>
      <c r="D255" s="82"/>
      <c r="E255" s="82"/>
      <c r="F255" s="82"/>
      <c r="G255" s="82"/>
      <c r="I255" s="77"/>
      <c r="J255" s="89"/>
    </row>
    <row r="256" spans="1:10">
      <c r="A256" s="88"/>
      <c r="D256" s="82"/>
      <c r="E256" s="82"/>
      <c r="F256" s="82"/>
      <c r="G256" s="82"/>
      <c r="I256" s="77"/>
      <c r="J256" s="89"/>
    </row>
    <row r="257" spans="1:10">
      <c r="A257" s="88"/>
      <c r="D257" s="82"/>
      <c r="E257" s="82"/>
      <c r="F257" s="82"/>
      <c r="G257" s="82"/>
      <c r="I257" s="77"/>
      <c r="J257" s="89"/>
    </row>
    <row r="258" spans="1:10">
      <c r="A258" s="88"/>
      <c r="D258" s="82"/>
      <c r="E258" s="82"/>
      <c r="F258" s="82"/>
      <c r="G258" s="82"/>
      <c r="I258" s="77"/>
      <c r="J258" s="89"/>
    </row>
    <row r="259" spans="1:10">
      <c r="A259" s="88"/>
      <c r="D259" s="82"/>
      <c r="E259" s="82"/>
      <c r="F259" s="82"/>
      <c r="G259" s="82"/>
      <c r="I259" s="77"/>
      <c r="J259" s="89"/>
    </row>
    <row r="260" spans="1:10">
      <c r="A260" s="88"/>
      <c r="D260" s="82"/>
      <c r="E260" s="82"/>
      <c r="F260" s="82"/>
      <c r="G260" s="82"/>
      <c r="I260" s="77"/>
      <c r="J260" s="89"/>
    </row>
    <row r="261" spans="1:10">
      <c r="A261" s="88"/>
      <c r="D261" s="82"/>
      <c r="E261" s="82"/>
      <c r="F261" s="82"/>
      <c r="G261" s="82"/>
      <c r="I261" s="77"/>
      <c r="J261" s="89"/>
    </row>
    <row r="262" spans="1:10">
      <c r="A262" s="88"/>
      <c r="D262" s="82"/>
      <c r="E262" s="82"/>
      <c r="F262" s="82"/>
      <c r="G262" s="82"/>
      <c r="I262" s="77"/>
      <c r="J262" s="89"/>
    </row>
    <row r="263" spans="1:10">
      <c r="A263" s="88"/>
      <c r="D263" s="82"/>
      <c r="E263" s="82"/>
      <c r="F263" s="82"/>
      <c r="G263" s="82"/>
      <c r="I263" s="77"/>
      <c r="J263" s="89"/>
    </row>
    <row r="264" spans="1:10">
      <c r="A264" s="88"/>
      <c r="D264" s="82"/>
      <c r="E264" s="82"/>
      <c r="F264" s="82"/>
      <c r="G264" s="82"/>
      <c r="I264" s="77"/>
      <c r="J264" s="89"/>
    </row>
    <row r="265" spans="1:10">
      <c r="A265" s="88"/>
      <c r="D265" s="82"/>
      <c r="E265" s="82"/>
      <c r="F265" s="82"/>
      <c r="G265" s="82"/>
      <c r="I265" s="77"/>
      <c r="J265" s="89"/>
    </row>
    <row r="266" spans="1:10">
      <c r="A266" s="88"/>
      <c r="D266" s="82"/>
      <c r="E266" s="82"/>
      <c r="F266" s="82"/>
      <c r="G266" s="82"/>
      <c r="I266" s="77"/>
      <c r="J266" s="89"/>
    </row>
    <row r="267" spans="1:10">
      <c r="A267" s="88"/>
      <c r="D267" s="82"/>
      <c r="E267" s="82"/>
      <c r="F267" s="82"/>
      <c r="G267" s="82"/>
      <c r="I267" s="77"/>
      <c r="J267" s="89"/>
    </row>
    <row r="268" spans="1:10">
      <c r="A268" s="88"/>
      <c r="D268" s="82"/>
      <c r="E268" s="82"/>
      <c r="F268" s="82"/>
      <c r="G268" s="82"/>
      <c r="I268" s="77"/>
      <c r="J268" s="89"/>
    </row>
    <row r="269" spans="1:10">
      <c r="A269" s="88"/>
      <c r="D269" s="82"/>
      <c r="E269" s="82"/>
      <c r="F269" s="82"/>
      <c r="G269" s="82"/>
      <c r="I269" s="77"/>
      <c r="J269" s="89"/>
    </row>
    <row r="270" spans="1:10">
      <c r="A270" s="88"/>
      <c r="D270" s="82"/>
      <c r="E270" s="82"/>
      <c r="F270" s="82"/>
      <c r="G270" s="82"/>
      <c r="I270" s="77"/>
      <c r="J270" s="89"/>
    </row>
    <row r="271" spans="1:10">
      <c r="A271" s="88"/>
      <c r="D271" s="82"/>
      <c r="E271" s="82"/>
      <c r="F271" s="82"/>
      <c r="G271" s="82"/>
      <c r="I271" s="77"/>
      <c r="J271" s="89"/>
    </row>
    <row r="272" spans="1:10">
      <c r="A272" s="88"/>
      <c r="D272" s="82"/>
      <c r="E272" s="82"/>
      <c r="F272" s="82"/>
      <c r="G272" s="82"/>
      <c r="I272" s="77"/>
      <c r="J272" s="89"/>
    </row>
    <row r="273" spans="1:10">
      <c r="A273" s="88"/>
      <c r="D273" s="82"/>
      <c r="E273" s="82"/>
      <c r="F273" s="82"/>
      <c r="G273" s="82"/>
      <c r="I273" s="77"/>
      <c r="J273" s="89"/>
    </row>
    <row r="274" spans="1:10">
      <c r="A274" s="88"/>
      <c r="D274" s="82"/>
      <c r="E274" s="82"/>
      <c r="F274" s="82"/>
      <c r="G274" s="82"/>
      <c r="I274" s="77"/>
      <c r="J274" s="89"/>
    </row>
    <row r="275" spans="1:10">
      <c r="A275" s="88"/>
      <c r="D275" s="82"/>
      <c r="E275" s="82"/>
      <c r="F275" s="82"/>
      <c r="G275" s="82"/>
      <c r="I275" s="77"/>
      <c r="J275" s="89"/>
    </row>
    <row r="276" spans="1:10">
      <c r="A276" s="88"/>
      <c r="D276" s="82"/>
      <c r="E276" s="82"/>
      <c r="F276" s="82"/>
      <c r="G276" s="82"/>
      <c r="I276" s="77"/>
      <c r="J276" s="89"/>
    </row>
    <row r="277" spans="1:10">
      <c r="A277" s="88"/>
      <c r="D277" s="82"/>
      <c r="E277" s="82"/>
      <c r="F277" s="82"/>
      <c r="G277" s="82"/>
      <c r="I277" s="77"/>
      <c r="J277" s="89"/>
    </row>
    <row r="278" spans="1:10">
      <c r="A278" s="88"/>
      <c r="D278" s="82"/>
      <c r="E278" s="82"/>
      <c r="F278" s="82"/>
      <c r="G278" s="82"/>
      <c r="I278" s="77"/>
      <c r="J278" s="89"/>
    </row>
    <row r="279" spans="1:10">
      <c r="A279" s="88"/>
      <c r="D279" s="82"/>
      <c r="E279" s="82"/>
      <c r="F279" s="82"/>
      <c r="G279" s="82"/>
      <c r="I279" s="77"/>
      <c r="J279" s="89"/>
    </row>
    <row r="280" spans="1:10">
      <c r="A280" s="88"/>
      <c r="D280" s="82"/>
      <c r="E280" s="82"/>
      <c r="F280" s="82"/>
      <c r="G280" s="82"/>
      <c r="I280" s="77"/>
      <c r="J280" s="89"/>
    </row>
    <row r="281" spans="1:10">
      <c r="A281" s="88"/>
      <c r="D281" s="82"/>
      <c r="E281" s="82"/>
      <c r="F281" s="82"/>
      <c r="G281" s="82"/>
      <c r="I281" s="77"/>
      <c r="J281" s="89"/>
    </row>
    <row r="282" spans="1:10">
      <c r="A282" s="88"/>
      <c r="D282" s="82"/>
      <c r="E282" s="82"/>
      <c r="F282" s="82"/>
      <c r="G282" s="82"/>
      <c r="I282" s="77"/>
      <c r="J282" s="89"/>
    </row>
    <row r="283" spans="1:10">
      <c r="A283" s="88"/>
      <c r="D283" s="82"/>
      <c r="E283" s="82"/>
      <c r="F283" s="82"/>
      <c r="G283" s="82"/>
      <c r="I283" s="77"/>
      <c r="J283" s="89"/>
    </row>
    <row r="284" spans="1:10">
      <c r="A284" s="88"/>
      <c r="D284" s="82"/>
      <c r="E284" s="82"/>
      <c r="F284" s="82"/>
      <c r="G284" s="82"/>
      <c r="I284" s="77"/>
      <c r="J284" s="89"/>
    </row>
    <row r="285" spans="1:10">
      <c r="A285" s="88"/>
      <c r="D285" s="82"/>
      <c r="E285" s="82"/>
      <c r="F285" s="82"/>
      <c r="G285" s="82"/>
      <c r="I285" s="77"/>
      <c r="J285" s="89"/>
    </row>
    <row r="286" spans="1:10">
      <c r="A286" s="88"/>
      <c r="D286" s="82"/>
      <c r="E286" s="82"/>
      <c r="F286" s="82"/>
      <c r="G286" s="82"/>
      <c r="I286" s="77"/>
      <c r="J286" s="89"/>
    </row>
    <row r="287" spans="1:10">
      <c r="A287" s="88"/>
      <c r="D287" s="82"/>
      <c r="E287" s="82"/>
      <c r="F287" s="82"/>
      <c r="G287" s="82"/>
      <c r="I287" s="77"/>
      <c r="J287" s="89"/>
    </row>
    <row r="288" spans="1:10">
      <c r="A288" s="88"/>
      <c r="D288" s="82"/>
      <c r="E288" s="82"/>
      <c r="F288" s="82"/>
      <c r="G288" s="82"/>
      <c r="I288" s="77"/>
      <c r="J288" s="89"/>
    </row>
    <row r="289" spans="1:10">
      <c r="A289" s="88"/>
      <c r="D289" s="82"/>
      <c r="E289" s="82"/>
      <c r="F289" s="82"/>
      <c r="G289" s="82"/>
      <c r="I289" s="77"/>
      <c r="J289" s="89"/>
    </row>
    <row r="290" spans="1:10">
      <c r="A290" s="88"/>
      <c r="D290" s="82"/>
      <c r="E290" s="82"/>
      <c r="F290" s="82"/>
      <c r="G290" s="82"/>
      <c r="I290" s="77"/>
      <c r="J290" s="89"/>
    </row>
    <row r="291" spans="1:10">
      <c r="A291" s="88"/>
      <c r="D291" s="82"/>
      <c r="E291" s="82"/>
      <c r="F291" s="82"/>
      <c r="G291" s="82"/>
      <c r="I291" s="77"/>
      <c r="J291" s="89"/>
    </row>
    <row r="292" spans="1:10">
      <c r="A292" s="88"/>
      <c r="D292" s="82"/>
      <c r="E292" s="82"/>
      <c r="F292" s="82"/>
      <c r="G292" s="82"/>
      <c r="I292" s="77"/>
      <c r="J292" s="89"/>
    </row>
    <row r="293" spans="1:10">
      <c r="A293" s="88"/>
      <c r="D293" s="82"/>
      <c r="E293" s="82"/>
      <c r="F293" s="82"/>
      <c r="G293" s="82"/>
      <c r="I293" s="77"/>
      <c r="J293" s="89"/>
    </row>
    <row r="294" spans="1:10">
      <c r="A294" s="88"/>
      <c r="D294" s="82"/>
      <c r="E294" s="82"/>
      <c r="F294" s="82"/>
      <c r="G294" s="82"/>
      <c r="I294" s="77"/>
      <c r="J294" s="89"/>
    </row>
    <row r="295" spans="1:10">
      <c r="A295" s="88"/>
      <c r="D295" s="82"/>
      <c r="E295" s="82"/>
      <c r="F295" s="82"/>
      <c r="G295" s="82"/>
      <c r="I295" s="77"/>
      <c r="J295" s="89"/>
    </row>
    <row r="296" spans="1:10">
      <c r="A296" s="88"/>
      <c r="D296" s="82"/>
      <c r="E296" s="82"/>
      <c r="F296" s="82"/>
      <c r="G296" s="82"/>
      <c r="I296" s="77"/>
      <c r="J296" s="89"/>
    </row>
    <row r="297" spans="1:10">
      <c r="A297" s="88"/>
      <c r="D297" s="82"/>
      <c r="E297" s="82"/>
      <c r="F297" s="82"/>
      <c r="G297" s="82"/>
      <c r="I297" s="77"/>
      <c r="J297" s="89"/>
    </row>
    <row r="298" spans="1:10">
      <c r="A298" s="88"/>
      <c r="D298" s="82"/>
      <c r="E298" s="82"/>
      <c r="F298" s="82"/>
      <c r="G298" s="82"/>
      <c r="I298" s="77"/>
      <c r="J298" s="89"/>
    </row>
    <row r="299" spans="1:10">
      <c r="A299" s="88"/>
      <c r="D299" s="82"/>
      <c r="E299" s="82"/>
      <c r="F299" s="82"/>
      <c r="G299" s="82"/>
      <c r="I299" s="77"/>
      <c r="J299" s="89"/>
    </row>
    <row r="300" spans="1:10">
      <c r="A300" s="88"/>
      <c r="D300" s="82"/>
      <c r="E300" s="82"/>
      <c r="F300" s="82"/>
      <c r="G300" s="82"/>
      <c r="I300" s="77"/>
      <c r="J300" s="89"/>
    </row>
    <row r="301" spans="1:10">
      <c r="A301" s="88"/>
      <c r="D301" s="82"/>
      <c r="E301" s="82"/>
      <c r="F301" s="82"/>
      <c r="G301" s="82"/>
      <c r="I301" s="77"/>
      <c r="J301" s="89"/>
    </row>
    <row r="302" spans="1:10">
      <c r="A302" s="88"/>
      <c r="D302" s="82"/>
      <c r="E302" s="82"/>
      <c r="F302" s="82"/>
      <c r="G302" s="82"/>
      <c r="I302" s="77"/>
      <c r="J302" s="89"/>
    </row>
    <row r="303" spans="1:10">
      <c r="A303" s="88"/>
      <c r="D303" s="82"/>
      <c r="E303" s="82"/>
      <c r="F303" s="82"/>
      <c r="G303" s="82"/>
      <c r="I303" s="77"/>
      <c r="J303" s="89"/>
    </row>
    <row r="304" spans="1:10">
      <c r="A304" s="88"/>
      <c r="D304" s="82"/>
      <c r="E304" s="82"/>
      <c r="F304" s="82"/>
      <c r="G304" s="82"/>
      <c r="I304" s="77"/>
      <c r="J304" s="89"/>
    </row>
    <row r="305" spans="1:10">
      <c r="A305" s="88"/>
      <c r="D305" s="82"/>
      <c r="E305" s="82"/>
      <c r="F305" s="82"/>
      <c r="G305" s="82"/>
      <c r="I305" s="77"/>
      <c r="J305" s="89"/>
    </row>
    <row r="306" spans="1:10">
      <c r="A306" s="88"/>
      <c r="D306" s="82"/>
      <c r="E306" s="82"/>
      <c r="F306" s="82"/>
      <c r="G306" s="82"/>
      <c r="I306" s="77"/>
      <c r="J306" s="89"/>
    </row>
    <row r="307" spans="1:10">
      <c r="A307" s="88"/>
      <c r="D307" s="82"/>
      <c r="E307" s="82"/>
      <c r="F307" s="82"/>
      <c r="G307" s="82"/>
      <c r="I307" s="77"/>
      <c r="J307" s="89"/>
    </row>
    <row r="308" spans="1:10">
      <c r="A308" s="88"/>
      <c r="D308" s="82"/>
      <c r="E308" s="82"/>
      <c r="F308" s="82"/>
      <c r="G308" s="82"/>
      <c r="I308" s="77"/>
      <c r="J308" s="89"/>
    </row>
    <row r="309" spans="1:10">
      <c r="A309" s="88"/>
      <c r="D309" s="82"/>
      <c r="E309" s="82"/>
      <c r="F309" s="82"/>
      <c r="G309" s="82"/>
      <c r="I309" s="77"/>
      <c r="J309" s="89"/>
    </row>
    <row r="310" spans="1:10">
      <c r="A310" s="88"/>
      <c r="D310" s="82"/>
      <c r="E310" s="82"/>
      <c r="F310" s="82"/>
      <c r="G310" s="82"/>
      <c r="I310" s="77"/>
      <c r="J310" s="89"/>
    </row>
    <row r="311" spans="1:10">
      <c r="A311" s="88"/>
      <c r="D311" s="82"/>
      <c r="E311" s="82"/>
      <c r="F311" s="82"/>
      <c r="G311" s="82"/>
      <c r="I311" s="77"/>
      <c r="J311" s="89"/>
    </row>
    <row r="312" spans="1:10">
      <c r="A312" s="88"/>
      <c r="D312" s="82"/>
      <c r="E312" s="82"/>
      <c r="F312" s="82"/>
      <c r="G312" s="82"/>
      <c r="I312" s="77"/>
      <c r="J312" s="89"/>
    </row>
    <row r="313" spans="1:10">
      <c r="A313" s="88"/>
      <c r="D313" s="82"/>
      <c r="E313" s="82"/>
      <c r="F313" s="82"/>
      <c r="G313" s="82"/>
      <c r="I313" s="77"/>
      <c r="J313" s="89"/>
    </row>
    <row r="314" spans="1:10">
      <c r="A314" s="88"/>
      <c r="D314" s="82"/>
      <c r="E314" s="82"/>
      <c r="F314" s="82"/>
      <c r="G314" s="82"/>
      <c r="I314" s="77"/>
      <c r="J314" s="89"/>
    </row>
    <row r="315" spans="1:10">
      <c r="A315" s="88"/>
      <c r="D315" s="82"/>
      <c r="E315" s="82"/>
      <c r="F315" s="82"/>
      <c r="G315" s="82"/>
      <c r="I315" s="77"/>
      <c r="J315" s="89"/>
    </row>
    <row r="316" spans="1:10">
      <c r="A316" s="88"/>
      <c r="D316" s="82"/>
      <c r="E316" s="82"/>
      <c r="F316" s="82"/>
      <c r="G316" s="82"/>
      <c r="I316" s="77"/>
      <c r="J316" s="89"/>
    </row>
    <row r="317" spans="1:10">
      <c r="A317" s="88"/>
      <c r="D317" s="82"/>
      <c r="E317" s="82"/>
      <c r="F317" s="82"/>
      <c r="G317" s="82"/>
      <c r="I317" s="77"/>
      <c r="J317" s="89"/>
    </row>
    <row r="318" spans="1:10">
      <c r="A318" s="88"/>
      <c r="D318" s="82"/>
      <c r="E318" s="82"/>
      <c r="F318" s="82"/>
      <c r="G318" s="82"/>
      <c r="I318" s="77"/>
      <c r="J318" s="89"/>
    </row>
    <row r="319" spans="1:10">
      <c r="A319" s="88"/>
      <c r="D319" s="82"/>
      <c r="E319" s="82"/>
      <c r="F319" s="82"/>
      <c r="G319" s="82"/>
      <c r="I319" s="77"/>
      <c r="J319" s="89"/>
    </row>
    <row r="320" spans="1:10">
      <c r="A320" s="88"/>
      <c r="D320" s="82"/>
      <c r="E320" s="82"/>
      <c r="F320" s="82"/>
      <c r="G320" s="82"/>
      <c r="I320" s="77"/>
      <c r="J320" s="89"/>
    </row>
    <row r="321" spans="1:10">
      <c r="A321" s="88"/>
      <c r="D321" s="82"/>
      <c r="E321" s="82"/>
      <c r="F321" s="82"/>
      <c r="G321" s="82"/>
      <c r="I321" s="77"/>
      <c r="J321" s="89"/>
    </row>
    <row r="322" spans="1:10">
      <c r="A322" s="88"/>
      <c r="D322" s="82"/>
      <c r="E322" s="82"/>
      <c r="F322" s="82"/>
      <c r="G322" s="82"/>
      <c r="I322" s="77"/>
      <c r="J322" s="89"/>
    </row>
    <row r="323" spans="1:10">
      <c r="A323" s="88"/>
      <c r="D323" s="82"/>
      <c r="E323" s="82"/>
      <c r="F323" s="82"/>
      <c r="G323" s="82"/>
      <c r="I323" s="77"/>
      <c r="J323" s="89"/>
    </row>
    <row r="324" spans="1:10">
      <c r="A324" s="88"/>
      <c r="D324" s="82"/>
      <c r="E324" s="82"/>
      <c r="F324" s="82"/>
      <c r="G324" s="82"/>
      <c r="I324" s="77"/>
      <c r="J324" s="89"/>
    </row>
    <row r="325" spans="1:10">
      <c r="A325" s="88"/>
      <c r="D325" s="82"/>
      <c r="E325" s="82"/>
      <c r="F325" s="82"/>
      <c r="G325" s="82"/>
      <c r="I325" s="77"/>
      <c r="J325" s="89"/>
    </row>
    <row r="326" spans="1:10">
      <c r="A326" s="88"/>
      <c r="D326" s="82"/>
      <c r="E326" s="82"/>
      <c r="F326" s="82"/>
      <c r="G326" s="82"/>
      <c r="I326" s="77"/>
      <c r="J326" s="89"/>
    </row>
    <row r="327" spans="1:10">
      <c r="A327" s="88"/>
      <c r="D327" s="82"/>
      <c r="E327" s="82"/>
      <c r="F327" s="82"/>
      <c r="G327" s="82"/>
      <c r="I327" s="77"/>
      <c r="J327" s="89"/>
    </row>
    <row r="328" spans="1:10">
      <c r="A328" s="88"/>
      <c r="D328" s="82"/>
      <c r="E328" s="82"/>
      <c r="F328" s="82"/>
      <c r="G328" s="82"/>
      <c r="I328" s="77"/>
      <c r="J328" s="89"/>
    </row>
    <row r="329" spans="1:10">
      <c r="A329" s="88"/>
      <c r="D329" s="82"/>
      <c r="E329" s="82"/>
      <c r="F329" s="82"/>
      <c r="G329" s="82"/>
      <c r="I329" s="77"/>
      <c r="J329" s="89"/>
    </row>
    <row r="330" spans="1:10">
      <c r="A330" s="88"/>
      <c r="D330" s="82"/>
      <c r="E330" s="82"/>
      <c r="F330" s="82"/>
      <c r="G330" s="82"/>
      <c r="I330" s="77"/>
      <c r="J330" s="89"/>
    </row>
    <row r="331" spans="1:10">
      <c r="A331" s="88"/>
      <c r="D331" s="82"/>
      <c r="E331" s="82"/>
      <c r="F331" s="82"/>
      <c r="G331" s="82"/>
      <c r="I331" s="77"/>
      <c r="J331" s="89"/>
    </row>
    <row r="332" spans="1:10">
      <c r="A332" s="88"/>
      <c r="D332" s="82"/>
      <c r="E332" s="82"/>
      <c r="F332" s="82"/>
      <c r="G332" s="82"/>
      <c r="I332" s="77"/>
      <c r="J332" s="89"/>
    </row>
    <row r="333" spans="1:10">
      <c r="A333" s="88"/>
      <c r="D333" s="82"/>
      <c r="E333" s="82"/>
      <c r="F333" s="82"/>
      <c r="G333" s="82"/>
      <c r="I333" s="77"/>
      <c r="J333" s="89"/>
    </row>
    <row r="334" spans="1:10">
      <c r="A334" s="88"/>
      <c r="D334" s="82"/>
      <c r="E334" s="82"/>
      <c r="F334" s="82"/>
      <c r="G334" s="82"/>
      <c r="I334" s="77"/>
      <c r="J334" s="89"/>
    </row>
    <row r="335" spans="1:10">
      <c r="A335" s="88"/>
      <c r="D335" s="82"/>
      <c r="E335" s="82"/>
      <c r="F335" s="82"/>
      <c r="G335" s="82"/>
      <c r="I335" s="77"/>
      <c r="J335" s="89"/>
    </row>
    <row r="336" spans="1:10">
      <c r="A336" s="88"/>
      <c r="D336" s="82"/>
      <c r="E336" s="82"/>
      <c r="F336" s="82"/>
      <c r="G336" s="82"/>
      <c r="I336" s="77"/>
      <c r="J336" s="89"/>
    </row>
    <row r="337" spans="1:10">
      <c r="A337" s="88"/>
      <c r="D337" s="82"/>
      <c r="E337" s="82"/>
      <c r="F337" s="82"/>
      <c r="G337" s="82"/>
      <c r="I337" s="77"/>
      <c r="J337" s="89"/>
    </row>
    <row r="338" spans="1:10">
      <c r="A338" s="88"/>
      <c r="D338" s="82"/>
      <c r="E338" s="82"/>
      <c r="F338" s="82"/>
      <c r="G338" s="82"/>
      <c r="I338" s="77"/>
      <c r="J338" s="89"/>
    </row>
    <row r="339" spans="1:10">
      <c r="A339" s="88"/>
      <c r="D339" s="82"/>
      <c r="E339" s="82"/>
      <c r="F339" s="82"/>
      <c r="G339" s="82"/>
      <c r="I339" s="77"/>
      <c r="J339" s="89"/>
    </row>
    <row r="340" spans="1:10">
      <c r="A340" s="88"/>
      <c r="D340" s="82"/>
      <c r="E340" s="82"/>
      <c r="F340" s="82"/>
      <c r="G340" s="82"/>
      <c r="I340" s="77"/>
      <c r="J340" s="89"/>
    </row>
    <row r="341" spans="1:10">
      <c r="A341" s="88"/>
      <c r="D341" s="82"/>
      <c r="E341" s="82"/>
      <c r="F341" s="82"/>
      <c r="G341" s="82"/>
      <c r="I341" s="77"/>
      <c r="J341" s="89"/>
    </row>
    <row r="342" spans="1:10">
      <c r="A342" s="88"/>
      <c r="D342" s="82"/>
      <c r="E342" s="82"/>
      <c r="F342" s="82"/>
      <c r="G342" s="82"/>
      <c r="I342" s="77"/>
      <c r="J342" s="89"/>
    </row>
    <row r="343" spans="1:10">
      <c r="A343" s="88"/>
      <c r="D343" s="82"/>
      <c r="E343" s="82"/>
      <c r="F343" s="82"/>
      <c r="G343" s="82"/>
      <c r="I343" s="77"/>
      <c r="J343" s="89"/>
    </row>
    <row r="344" spans="1:10">
      <c r="A344" s="88"/>
      <c r="D344" s="82"/>
      <c r="E344" s="82"/>
      <c r="F344" s="82"/>
      <c r="G344" s="82"/>
      <c r="I344" s="77"/>
      <c r="J344" s="89"/>
    </row>
    <row r="345" spans="1:10">
      <c r="A345" s="88"/>
      <c r="D345" s="82"/>
      <c r="E345" s="82"/>
      <c r="F345" s="82"/>
      <c r="G345" s="82"/>
      <c r="I345" s="77"/>
      <c r="J345" s="89"/>
    </row>
    <row r="346" spans="1:10">
      <c r="A346" s="88"/>
      <c r="D346" s="82"/>
      <c r="E346" s="82"/>
      <c r="F346" s="82"/>
      <c r="G346" s="82"/>
      <c r="I346" s="77"/>
      <c r="J346" s="89"/>
    </row>
    <row r="347" spans="1:10">
      <c r="A347" s="88"/>
      <c r="D347" s="82"/>
      <c r="E347" s="82"/>
      <c r="F347" s="82"/>
      <c r="G347" s="82"/>
      <c r="I347" s="77"/>
      <c r="J347" s="89"/>
    </row>
    <row r="348" spans="1:10">
      <c r="A348" s="88"/>
      <c r="D348" s="82"/>
      <c r="E348" s="82"/>
      <c r="F348" s="82"/>
      <c r="G348" s="82"/>
      <c r="I348" s="77"/>
      <c r="J348" s="89"/>
    </row>
    <row r="349" spans="1:10">
      <c r="A349" s="88"/>
      <c r="D349" s="82"/>
      <c r="E349" s="82"/>
      <c r="F349" s="82"/>
      <c r="G349" s="82"/>
      <c r="I349" s="77"/>
      <c r="J349" s="89"/>
    </row>
    <row r="350" spans="1:10">
      <c r="A350" s="88"/>
      <c r="D350" s="82"/>
      <c r="E350" s="82"/>
      <c r="F350" s="82"/>
      <c r="G350" s="82"/>
      <c r="I350" s="77"/>
      <c r="J350" s="89"/>
    </row>
    <row r="351" spans="1:10">
      <c r="A351" s="88"/>
      <c r="D351" s="82"/>
      <c r="E351" s="82"/>
      <c r="F351" s="82"/>
      <c r="G351" s="82"/>
      <c r="I351" s="77"/>
      <c r="J351" s="89"/>
    </row>
    <row r="352" spans="1:10">
      <c r="A352" s="88"/>
      <c r="D352" s="82"/>
      <c r="E352" s="82"/>
      <c r="F352" s="82"/>
      <c r="G352" s="82"/>
      <c r="I352" s="77"/>
      <c r="J352" s="89"/>
    </row>
    <row r="353" spans="1:10">
      <c r="A353" s="88"/>
      <c r="D353" s="82"/>
      <c r="E353" s="82"/>
      <c r="F353" s="82"/>
      <c r="G353" s="82"/>
      <c r="I353" s="77"/>
      <c r="J353" s="89"/>
    </row>
    <row r="354" spans="1:10">
      <c r="A354" s="88"/>
      <c r="D354" s="82"/>
      <c r="E354" s="82"/>
      <c r="F354" s="82"/>
      <c r="G354" s="82"/>
      <c r="I354" s="77"/>
      <c r="J354" s="89"/>
    </row>
    <row r="355" spans="1:10">
      <c r="A355" s="88"/>
      <c r="D355" s="82"/>
      <c r="E355" s="82"/>
      <c r="F355" s="82"/>
      <c r="G355" s="82"/>
      <c r="I355" s="77"/>
      <c r="J355" s="89"/>
    </row>
    <row r="356" spans="1:10">
      <c r="A356" s="88"/>
      <c r="D356" s="82"/>
      <c r="E356" s="82"/>
      <c r="F356" s="82"/>
      <c r="G356" s="82"/>
      <c r="I356" s="77"/>
      <c r="J356" s="89"/>
    </row>
    <row r="357" spans="1:10">
      <c r="A357" s="88"/>
      <c r="D357" s="82"/>
      <c r="E357" s="82"/>
      <c r="F357" s="82"/>
      <c r="G357" s="82"/>
      <c r="I357" s="77"/>
      <c r="J357" s="89"/>
    </row>
    <row r="358" spans="1:10">
      <c r="A358" s="88"/>
      <c r="D358" s="82"/>
      <c r="E358" s="82"/>
      <c r="F358" s="82"/>
      <c r="G358" s="82"/>
      <c r="I358" s="77"/>
      <c r="J358" s="89"/>
    </row>
    <row r="359" spans="1:10">
      <c r="A359" s="88"/>
      <c r="D359" s="82"/>
      <c r="E359" s="82"/>
      <c r="F359" s="82"/>
      <c r="G359" s="82"/>
      <c r="I359" s="77"/>
      <c r="J359" s="89"/>
    </row>
    <row r="360" spans="1:10">
      <c r="A360" s="88"/>
      <c r="D360" s="82"/>
      <c r="E360" s="82"/>
      <c r="F360" s="82"/>
      <c r="G360" s="82"/>
      <c r="I360" s="77"/>
      <c r="J360" s="89"/>
    </row>
    <row r="361" spans="1:10">
      <c r="A361" s="88"/>
      <c r="D361" s="82"/>
      <c r="E361" s="82"/>
      <c r="F361" s="82"/>
      <c r="G361" s="82"/>
      <c r="I361" s="77"/>
      <c r="J361" s="89"/>
    </row>
    <row r="362" spans="1:10">
      <c r="A362" s="88"/>
      <c r="D362" s="82"/>
      <c r="E362" s="82"/>
      <c r="F362" s="82"/>
      <c r="G362" s="82"/>
      <c r="I362" s="77"/>
      <c r="J362" s="89"/>
    </row>
    <row r="363" spans="1:10">
      <c r="A363" s="88"/>
      <c r="D363" s="82"/>
      <c r="E363" s="82"/>
      <c r="F363" s="82"/>
      <c r="G363" s="82"/>
      <c r="I363" s="77"/>
      <c r="J363" s="89"/>
    </row>
    <row r="364" spans="1:10">
      <c r="A364" s="88"/>
      <c r="D364" s="82"/>
      <c r="E364" s="82"/>
      <c r="F364" s="82"/>
      <c r="G364" s="82"/>
      <c r="I364" s="77"/>
      <c r="J364" s="89"/>
    </row>
    <row r="365" spans="1:10">
      <c r="A365" s="88"/>
      <c r="D365" s="82"/>
      <c r="E365" s="82"/>
      <c r="F365" s="82"/>
      <c r="G365" s="82"/>
      <c r="I365" s="77"/>
      <c r="J365" s="89"/>
    </row>
    <row r="366" spans="1:10">
      <c r="A366" s="88"/>
      <c r="D366" s="82"/>
      <c r="E366" s="82"/>
      <c r="F366" s="82"/>
      <c r="G366" s="82"/>
      <c r="I366" s="77"/>
      <c r="J366" s="89"/>
    </row>
    <row r="367" spans="1:10">
      <c r="A367" s="88"/>
      <c r="D367" s="82"/>
      <c r="E367" s="82"/>
      <c r="F367" s="82"/>
      <c r="G367" s="82"/>
      <c r="I367" s="77"/>
      <c r="J367" s="89"/>
    </row>
    <row r="368" spans="1:10">
      <c r="A368" s="88"/>
      <c r="D368" s="82"/>
      <c r="E368" s="82"/>
      <c r="F368" s="82"/>
      <c r="G368" s="82"/>
      <c r="I368" s="77"/>
      <c r="J368" s="89"/>
    </row>
    <row r="369" spans="1:10">
      <c r="A369" s="88"/>
      <c r="D369" s="82"/>
      <c r="E369" s="82"/>
      <c r="F369" s="82"/>
      <c r="G369" s="82"/>
      <c r="I369" s="77"/>
      <c r="J369" s="89"/>
    </row>
    <row r="370" spans="1:10">
      <c r="A370" s="88"/>
      <c r="D370" s="82"/>
      <c r="E370" s="82"/>
      <c r="F370" s="82"/>
      <c r="G370" s="82"/>
      <c r="I370" s="77"/>
      <c r="J370" s="89"/>
    </row>
    <row r="371" spans="1:10">
      <c r="A371" s="88"/>
      <c r="D371" s="82"/>
      <c r="E371" s="82"/>
      <c r="F371" s="82"/>
      <c r="G371" s="82"/>
      <c r="I371" s="77"/>
      <c r="J371" s="89"/>
    </row>
    <row r="372" spans="1:10">
      <c r="A372" s="88"/>
      <c r="D372" s="82"/>
      <c r="E372" s="82"/>
      <c r="F372" s="82"/>
      <c r="G372" s="82"/>
      <c r="I372" s="77"/>
      <c r="J372" s="89"/>
    </row>
    <row r="373" spans="1:10">
      <c r="A373" s="88"/>
      <c r="D373" s="82"/>
      <c r="E373" s="82"/>
      <c r="F373" s="82"/>
      <c r="G373" s="82"/>
      <c r="I373" s="77"/>
      <c r="J373" s="89"/>
    </row>
    <row r="374" spans="1:10">
      <c r="A374" s="88"/>
      <c r="D374" s="82"/>
      <c r="E374" s="82"/>
      <c r="F374" s="82"/>
      <c r="G374" s="82"/>
      <c r="I374" s="77"/>
      <c r="J374" s="89"/>
    </row>
    <row r="375" spans="1:10">
      <c r="A375" s="88"/>
      <c r="D375" s="82"/>
      <c r="E375" s="82"/>
      <c r="F375" s="82"/>
      <c r="G375" s="82"/>
      <c r="I375" s="77"/>
      <c r="J375" s="89"/>
    </row>
    <row r="376" spans="1:10">
      <c r="A376" s="88"/>
      <c r="D376" s="82"/>
      <c r="E376" s="82"/>
      <c r="F376" s="82"/>
      <c r="G376" s="82"/>
      <c r="I376" s="77"/>
      <c r="J376" s="89"/>
    </row>
    <row r="377" spans="1:10">
      <c r="A377" s="88"/>
      <c r="D377" s="82"/>
      <c r="E377" s="82"/>
      <c r="F377" s="82"/>
      <c r="G377" s="82"/>
      <c r="I377" s="77"/>
      <c r="J377" s="89"/>
    </row>
    <row r="378" spans="1:10">
      <c r="A378" s="88"/>
      <c r="D378" s="82"/>
      <c r="E378" s="82"/>
      <c r="F378" s="82"/>
      <c r="G378" s="82"/>
      <c r="I378" s="77"/>
      <c r="J378" s="89"/>
    </row>
    <row r="379" spans="1:10">
      <c r="A379" s="88"/>
      <c r="D379" s="82"/>
      <c r="E379" s="82"/>
      <c r="F379" s="82"/>
      <c r="G379" s="82"/>
      <c r="I379" s="77"/>
      <c r="J379" s="89"/>
    </row>
    <row r="380" spans="1:10">
      <c r="A380" s="88"/>
      <c r="D380" s="82"/>
      <c r="E380" s="82"/>
      <c r="F380" s="82"/>
      <c r="G380" s="82"/>
      <c r="I380" s="77"/>
      <c r="J380" s="89"/>
    </row>
    <row r="381" spans="1:10">
      <c r="A381" s="88"/>
      <c r="D381" s="82"/>
      <c r="E381" s="82"/>
      <c r="F381" s="82"/>
      <c r="G381" s="82"/>
      <c r="I381" s="77"/>
      <c r="J381" s="89"/>
    </row>
    <row r="382" spans="1:10">
      <c r="A382" s="88"/>
      <c r="D382" s="82"/>
      <c r="E382" s="82"/>
      <c r="F382" s="82"/>
      <c r="G382" s="82"/>
      <c r="I382" s="77"/>
      <c r="J382" s="89"/>
    </row>
    <row r="383" spans="1:10">
      <c r="A383" s="88"/>
      <c r="D383" s="82"/>
      <c r="E383" s="82"/>
      <c r="F383" s="82"/>
      <c r="G383" s="82"/>
      <c r="I383" s="77"/>
      <c r="J383" s="89"/>
    </row>
    <row r="384" spans="1:10">
      <c r="A384" s="88"/>
      <c r="D384" s="82"/>
      <c r="E384" s="82"/>
      <c r="F384" s="82"/>
      <c r="G384" s="82"/>
      <c r="I384" s="77"/>
      <c r="J384" s="89"/>
    </row>
    <row r="385" spans="1:10">
      <c r="A385" s="88"/>
      <c r="D385" s="82"/>
      <c r="E385" s="82"/>
      <c r="F385" s="82"/>
      <c r="G385" s="82"/>
      <c r="I385" s="77"/>
      <c r="J385" s="89"/>
    </row>
    <row r="386" spans="1:10">
      <c r="A386" s="88"/>
      <c r="D386" s="82"/>
      <c r="E386" s="82"/>
      <c r="F386" s="82"/>
      <c r="G386" s="82"/>
      <c r="I386" s="77"/>
      <c r="J386" s="89"/>
    </row>
    <row r="387" spans="1:10">
      <c r="A387" s="88"/>
      <c r="D387" s="82"/>
      <c r="E387" s="82"/>
      <c r="F387" s="82"/>
      <c r="G387" s="82"/>
      <c r="I387" s="77"/>
      <c r="J387" s="89"/>
    </row>
    <row r="388" spans="1:10">
      <c r="A388" s="88"/>
      <c r="D388" s="82"/>
      <c r="E388" s="82"/>
      <c r="F388" s="82"/>
      <c r="G388" s="82"/>
      <c r="I388" s="77"/>
      <c r="J388" s="89"/>
    </row>
    <row r="389" spans="1:10">
      <c r="A389" s="88"/>
      <c r="D389" s="82"/>
      <c r="E389" s="82"/>
      <c r="F389" s="82"/>
      <c r="G389" s="82"/>
      <c r="I389" s="77"/>
      <c r="J389" s="89"/>
    </row>
    <row r="390" spans="1:10">
      <c r="A390" s="88"/>
      <c r="D390" s="82"/>
      <c r="E390" s="82"/>
      <c r="F390" s="82"/>
      <c r="G390" s="82"/>
      <c r="I390" s="77"/>
      <c r="J390" s="89"/>
    </row>
    <row r="391" spans="1:10">
      <c r="A391" s="88"/>
      <c r="D391" s="82"/>
      <c r="E391" s="82"/>
      <c r="F391" s="82"/>
      <c r="G391" s="82"/>
      <c r="I391" s="77"/>
      <c r="J391" s="89"/>
    </row>
    <row r="392" spans="1:10">
      <c r="A392" s="88"/>
      <c r="D392" s="82"/>
      <c r="E392" s="82"/>
      <c r="F392" s="82"/>
      <c r="G392" s="82"/>
      <c r="I392" s="77"/>
      <c r="J392" s="89"/>
    </row>
    <row r="393" spans="1:10">
      <c r="A393" s="88"/>
      <c r="D393" s="82"/>
      <c r="E393" s="82"/>
      <c r="F393" s="82"/>
      <c r="G393" s="82"/>
      <c r="I393" s="77"/>
      <c r="J393" s="89"/>
    </row>
    <row r="394" spans="1:10">
      <c r="A394" s="88"/>
      <c r="D394" s="82"/>
      <c r="E394" s="82"/>
      <c r="F394" s="82"/>
      <c r="G394" s="82"/>
      <c r="I394" s="77"/>
      <c r="J394" s="89"/>
    </row>
    <row r="395" spans="1:10">
      <c r="A395" s="88"/>
      <c r="D395" s="82"/>
      <c r="E395" s="82"/>
      <c r="F395" s="82"/>
      <c r="G395" s="82"/>
      <c r="I395" s="77"/>
      <c r="J395" s="89"/>
    </row>
    <row r="396" spans="1:10">
      <c r="A396" s="88"/>
      <c r="D396" s="82"/>
      <c r="E396" s="82"/>
      <c r="F396" s="82"/>
      <c r="G396" s="82"/>
      <c r="I396" s="77"/>
      <c r="J396" s="89"/>
    </row>
    <row r="397" spans="1:10">
      <c r="A397" s="88"/>
      <c r="D397" s="82"/>
      <c r="E397" s="82"/>
      <c r="F397" s="82"/>
      <c r="G397" s="82"/>
      <c r="I397" s="77"/>
      <c r="J397" s="89"/>
    </row>
    <row r="398" spans="1:10">
      <c r="A398" s="88"/>
      <c r="D398" s="82"/>
      <c r="E398" s="82"/>
      <c r="F398" s="82"/>
      <c r="G398" s="82"/>
      <c r="I398" s="77"/>
      <c r="J398" s="89"/>
    </row>
    <row r="399" spans="1:10">
      <c r="A399" s="88"/>
      <c r="D399" s="82"/>
      <c r="E399" s="82"/>
      <c r="F399" s="82"/>
      <c r="G399" s="82"/>
      <c r="I399" s="77"/>
      <c r="J399" s="89"/>
    </row>
    <row r="400" spans="1:10">
      <c r="A400" s="88"/>
      <c r="D400" s="82"/>
      <c r="E400" s="82"/>
      <c r="F400" s="82"/>
      <c r="G400" s="82"/>
      <c r="I400" s="77"/>
      <c r="J400" s="89"/>
    </row>
    <row r="401" spans="1:10">
      <c r="A401" s="88"/>
      <c r="D401" s="82"/>
      <c r="E401" s="82"/>
      <c r="F401" s="82"/>
      <c r="G401" s="82"/>
      <c r="I401" s="77"/>
      <c r="J401" s="89"/>
    </row>
    <row r="402" spans="1:10">
      <c r="A402" s="88"/>
      <c r="D402" s="82"/>
      <c r="E402" s="82"/>
      <c r="F402" s="82"/>
      <c r="G402" s="82"/>
      <c r="I402" s="77"/>
      <c r="J402" s="89"/>
    </row>
    <row r="403" spans="1:10">
      <c r="A403" s="88"/>
      <c r="D403" s="82"/>
      <c r="E403" s="82"/>
      <c r="F403" s="82"/>
      <c r="G403" s="82"/>
      <c r="I403" s="77"/>
      <c r="J403" s="89"/>
    </row>
    <row r="404" spans="1:10">
      <c r="A404" s="88"/>
      <c r="D404" s="82"/>
      <c r="E404" s="82"/>
      <c r="F404" s="82"/>
      <c r="G404" s="82"/>
      <c r="I404" s="77"/>
      <c r="J404" s="89"/>
    </row>
    <row r="405" spans="1:10">
      <c r="A405" s="88"/>
      <c r="D405" s="82"/>
      <c r="E405" s="82"/>
      <c r="F405" s="82"/>
      <c r="G405" s="82"/>
      <c r="I405" s="77"/>
      <c r="J405" s="89"/>
    </row>
    <row r="406" spans="1:10">
      <c r="A406" s="88"/>
      <c r="D406" s="82"/>
      <c r="E406" s="82"/>
      <c r="F406" s="82"/>
      <c r="G406" s="82"/>
      <c r="I406" s="77"/>
      <c r="J406" s="89"/>
    </row>
    <row r="407" spans="1:10">
      <c r="A407" s="88"/>
      <c r="D407" s="82"/>
      <c r="E407" s="82"/>
      <c r="F407" s="82"/>
      <c r="G407" s="82"/>
      <c r="I407" s="77"/>
      <c r="J407" s="89"/>
    </row>
    <row r="408" spans="1:10">
      <c r="A408" s="88"/>
      <c r="D408" s="82"/>
      <c r="E408" s="82"/>
      <c r="F408" s="82"/>
      <c r="G408" s="82"/>
      <c r="I408" s="77"/>
      <c r="J408" s="89"/>
    </row>
    <row r="409" spans="1:10">
      <c r="A409" s="88"/>
      <c r="D409" s="82"/>
      <c r="E409" s="82"/>
      <c r="F409" s="82"/>
      <c r="G409" s="82"/>
      <c r="I409" s="77"/>
      <c r="J409" s="89"/>
    </row>
    <row r="410" spans="1:10">
      <c r="A410" s="88"/>
      <c r="D410" s="82"/>
      <c r="E410" s="82"/>
      <c r="F410" s="82"/>
      <c r="G410" s="82"/>
      <c r="I410" s="77"/>
      <c r="J410" s="89"/>
    </row>
    <row r="411" spans="1:10">
      <c r="A411" s="88"/>
      <c r="D411" s="82"/>
      <c r="E411" s="82"/>
      <c r="F411" s="82"/>
      <c r="G411" s="82"/>
      <c r="I411" s="77"/>
      <c r="J411" s="89"/>
    </row>
    <row r="412" spans="1:10">
      <c r="A412" s="88"/>
      <c r="D412" s="82"/>
      <c r="E412" s="82"/>
      <c r="F412" s="82"/>
      <c r="G412" s="82"/>
      <c r="I412" s="77"/>
      <c r="J412" s="89"/>
    </row>
    <row r="413" spans="1:10">
      <c r="A413" s="88"/>
      <c r="D413" s="82"/>
      <c r="E413" s="82"/>
      <c r="F413" s="82"/>
      <c r="G413" s="82"/>
      <c r="I413" s="77"/>
      <c r="J413" s="89"/>
    </row>
    <row r="414" spans="1:10">
      <c r="A414" s="88"/>
      <c r="D414" s="82"/>
      <c r="E414" s="82"/>
      <c r="F414" s="82"/>
      <c r="G414" s="82"/>
      <c r="I414" s="77"/>
      <c r="J414" s="89"/>
    </row>
    <row r="415" spans="1:10">
      <c r="A415" s="88"/>
      <c r="D415" s="82"/>
      <c r="E415" s="82"/>
      <c r="F415" s="82"/>
      <c r="G415" s="82"/>
      <c r="I415" s="77"/>
      <c r="J415" s="89"/>
    </row>
    <row r="416" spans="1:10">
      <c r="A416" s="88"/>
      <c r="D416" s="82"/>
      <c r="E416" s="82"/>
      <c r="F416" s="82"/>
      <c r="G416" s="82"/>
      <c r="I416" s="77"/>
      <c r="J416" s="89"/>
    </row>
    <row r="417" spans="1:10">
      <c r="A417" s="88"/>
      <c r="D417" s="82"/>
      <c r="E417" s="82"/>
      <c r="F417" s="82"/>
      <c r="G417" s="82"/>
      <c r="I417" s="77"/>
      <c r="J417" s="89"/>
    </row>
    <row r="418" spans="1:10">
      <c r="A418" s="88"/>
      <c r="D418" s="82"/>
      <c r="E418" s="82"/>
      <c r="F418" s="82"/>
      <c r="G418" s="82"/>
      <c r="I418" s="77"/>
      <c r="J418" s="89"/>
    </row>
    <row r="419" spans="1:10">
      <c r="A419" s="88"/>
      <c r="D419" s="82"/>
      <c r="E419" s="82"/>
      <c r="F419" s="82"/>
      <c r="G419" s="82"/>
      <c r="I419" s="77"/>
      <c r="J419" s="89"/>
    </row>
    <row r="420" spans="1:10">
      <c r="A420" s="88"/>
      <c r="D420" s="82"/>
      <c r="E420" s="82"/>
      <c r="F420" s="82"/>
      <c r="G420" s="82"/>
      <c r="I420" s="77"/>
      <c r="J420" s="89"/>
    </row>
    <row r="421" spans="1:10">
      <c r="A421" s="88"/>
      <c r="D421" s="82"/>
      <c r="E421" s="82"/>
      <c r="F421" s="82"/>
      <c r="G421" s="82"/>
      <c r="I421" s="77"/>
      <c r="J421" s="89"/>
    </row>
    <row r="422" spans="1:10">
      <c r="A422" s="88"/>
      <c r="D422" s="82"/>
      <c r="E422" s="82"/>
      <c r="F422" s="82"/>
      <c r="G422" s="82"/>
      <c r="I422" s="77"/>
      <c r="J422" s="89"/>
    </row>
    <row r="423" spans="1:10">
      <c r="A423" s="88"/>
      <c r="D423" s="82"/>
      <c r="E423" s="82"/>
      <c r="F423" s="82"/>
      <c r="G423" s="82"/>
      <c r="I423" s="77"/>
      <c r="J423" s="89"/>
    </row>
    <row r="424" spans="1:10">
      <c r="A424" s="88"/>
      <c r="D424" s="82"/>
      <c r="E424" s="82"/>
      <c r="F424" s="82"/>
      <c r="G424" s="82"/>
      <c r="I424" s="77"/>
      <c r="J424" s="89"/>
    </row>
    <row r="425" spans="1:10">
      <c r="A425" s="88"/>
      <c r="D425" s="82"/>
      <c r="E425" s="82"/>
      <c r="F425" s="82"/>
      <c r="G425" s="82"/>
      <c r="I425" s="77"/>
      <c r="J425" s="89"/>
    </row>
    <row r="426" spans="1:10">
      <c r="A426" s="88"/>
      <c r="D426" s="82"/>
      <c r="E426" s="82"/>
      <c r="F426" s="82"/>
      <c r="G426" s="82"/>
      <c r="I426" s="77"/>
      <c r="J426" s="89"/>
    </row>
    <row r="427" spans="1:10">
      <c r="A427" s="88"/>
      <c r="D427" s="82"/>
      <c r="E427" s="82"/>
      <c r="F427" s="82"/>
      <c r="G427" s="82"/>
      <c r="I427" s="77"/>
      <c r="J427" s="89"/>
    </row>
    <row r="428" spans="1:10">
      <c r="A428" s="88"/>
      <c r="D428" s="82"/>
      <c r="E428" s="82"/>
      <c r="F428" s="82"/>
      <c r="G428" s="82"/>
      <c r="I428" s="77"/>
      <c r="J428" s="89"/>
    </row>
    <row r="429" spans="1:10">
      <c r="A429" s="88"/>
      <c r="D429" s="82"/>
      <c r="E429" s="82"/>
      <c r="F429" s="82"/>
      <c r="G429" s="82"/>
      <c r="I429" s="77"/>
      <c r="J429" s="89"/>
    </row>
    <row r="430" spans="1:10">
      <c r="A430" s="88"/>
      <c r="D430" s="82"/>
      <c r="E430" s="82"/>
      <c r="F430" s="82"/>
      <c r="G430" s="82"/>
      <c r="I430" s="77"/>
      <c r="J430" s="89"/>
    </row>
    <row r="431" spans="1:10">
      <c r="A431" s="88"/>
      <c r="D431" s="82"/>
      <c r="E431" s="82"/>
      <c r="F431" s="82"/>
      <c r="G431" s="82"/>
      <c r="I431" s="77"/>
      <c r="J431" s="89"/>
    </row>
    <row r="432" spans="1:10">
      <c r="A432" s="88"/>
      <c r="D432" s="82"/>
      <c r="E432" s="82"/>
      <c r="F432" s="82"/>
      <c r="G432" s="82"/>
      <c r="I432" s="77"/>
      <c r="J432" s="89"/>
    </row>
    <row r="433" spans="1:10">
      <c r="A433" s="88"/>
      <c r="D433" s="82"/>
      <c r="E433" s="82"/>
      <c r="F433" s="82"/>
      <c r="G433" s="82"/>
      <c r="I433" s="77"/>
      <c r="J433" s="89"/>
    </row>
    <row r="434" spans="1:10">
      <c r="A434" s="88"/>
      <c r="D434" s="82"/>
      <c r="E434" s="82"/>
      <c r="F434" s="82"/>
      <c r="G434" s="82"/>
      <c r="I434" s="77"/>
      <c r="J434" s="89"/>
    </row>
    <row r="435" spans="1:10">
      <c r="A435" s="88"/>
      <c r="D435" s="82"/>
      <c r="E435" s="82"/>
      <c r="F435" s="82"/>
      <c r="G435" s="82"/>
      <c r="I435" s="77"/>
      <c r="J435" s="89"/>
    </row>
    <row r="436" spans="1:10">
      <c r="A436" s="88"/>
      <c r="D436" s="82"/>
      <c r="E436" s="82"/>
      <c r="F436" s="82"/>
      <c r="G436" s="82"/>
      <c r="I436" s="77"/>
      <c r="J436" s="89"/>
    </row>
    <row r="437" spans="1:10">
      <c r="A437" s="88"/>
      <c r="D437" s="82"/>
      <c r="E437" s="82"/>
      <c r="F437" s="82"/>
      <c r="G437" s="82"/>
      <c r="I437" s="77"/>
      <c r="J437" s="89"/>
    </row>
    <row r="438" spans="1:10">
      <c r="A438" s="88"/>
      <c r="D438" s="82"/>
      <c r="E438" s="82"/>
      <c r="F438" s="82"/>
      <c r="G438" s="82"/>
      <c r="I438" s="77"/>
      <c r="J438" s="89"/>
    </row>
    <row r="439" spans="1:10">
      <c r="A439" s="88"/>
      <c r="D439" s="82"/>
      <c r="E439" s="82"/>
      <c r="F439" s="82"/>
      <c r="G439" s="82"/>
      <c r="I439" s="77"/>
      <c r="J439" s="89"/>
    </row>
    <row r="440" spans="1:10">
      <c r="A440" s="88"/>
      <c r="D440" s="82"/>
      <c r="E440" s="82"/>
      <c r="F440" s="82"/>
      <c r="G440" s="82"/>
      <c r="I440" s="77"/>
      <c r="J440" s="89"/>
    </row>
    <row r="441" spans="1:10">
      <c r="A441" s="88"/>
      <c r="D441" s="82"/>
      <c r="E441" s="82"/>
      <c r="F441" s="82"/>
      <c r="G441" s="82"/>
      <c r="I441" s="77"/>
      <c r="J441" s="89"/>
    </row>
    <row r="442" spans="1:10">
      <c r="A442" s="88"/>
      <c r="D442" s="82"/>
      <c r="E442" s="82"/>
      <c r="F442" s="82"/>
      <c r="G442" s="82"/>
      <c r="I442" s="77"/>
      <c r="J442" s="89"/>
    </row>
    <row r="443" spans="1:10">
      <c r="A443" s="88"/>
      <c r="D443" s="82"/>
      <c r="E443" s="82"/>
      <c r="F443" s="82"/>
      <c r="G443" s="82"/>
      <c r="I443" s="77"/>
      <c r="J443" s="89"/>
    </row>
    <row r="444" spans="1:10">
      <c r="A444" s="88"/>
      <c r="D444" s="82"/>
      <c r="E444" s="82"/>
      <c r="F444" s="82"/>
      <c r="G444" s="82"/>
      <c r="I444" s="77"/>
      <c r="J444" s="89"/>
    </row>
    <row r="445" spans="1:10">
      <c r="A445" s="88"/>
      <c r="D445" s="82"/>
      <c r="E445" s="82"/>
      <c r="F445" s="82"/>
      <c r="G445" s="82"/>
      <c r="I445" s="77"/>
      <c r="J445" s="89"/>
    </row>
    <row r="446" spans="1:10">
      <c r="A446" s="88"/>
      <c r="D446" s="82"/>
      <c r="E446" s="82"/>
      <c r="F446" s="82"/>
      <c r="G446" s="82"/>
      <c r="I446" s="77"/>
      <c r="J446" s="89"/>
    </row>
    <row r="447" spans="1:10">
      <c r="A447" s="88"/>
      <c r="D447" s="82"/>
      <c r="E447" s="82"/>
      <c r="F447" s="82"/>
      <c r="G447" s="82"/>
      <c r="I447" s="77"/>
      <c r="J447" s="89"/>
    </row>
    <row r="448" spans="1:10">
      <c r="A448" s="88"/>
      <c r="D448" s="82"/>
      <c r="E448" s="82"/>
      <c r="F448" s="82"/>
      <c r="G448" s="82"/>
      <c r="I448" s="77"/>
      <c r="J448" s="89"/>
    </row>
    <row r="449" spans="1:10">
      <c r="A449" s="88"/>
      <c r="D449" s="82"/>
      <c r="E449" s="82"/>
      <c r="F449" s="82"/>
      <c r="G449" s="82"/>
      <c r="I449" s="77"/>
      <c r="J449" s="89"/>
    </row>
    <row r="450" spans="1:10">
      <c r="A450" s="88"/>
      <c r="D450" s="82"/>
      <c r="E450" s="82"/>
      <c r="F450" s="82"/>
      <c r="G450" s="82"/>
      <c r="I450" s="77"/>
      <c r="J450" s="89"/>
    </row>
    <row r="451" spans="1:10">
      <c r="A451" s="88"/>
      <c r="D451" s="82"/>
      <c r="E451" s="82"/>
      <c r="F451" s="82"/>
      <c r="G451" s="82"/>
      <c r="I451" s="77"/>
      <c r="J451" s="89"/>
    </row>
    <row r="452" spans="1:10">
      <c r="A452" s="88"/>
      <c r="D452" s="82"/>
      <c r="E452" s="82"/>
      <c r="F452" s="82"/>
      <c r="G452" s="82"/>
      <c r="I452" s="77"/>
      <c r="J452" s="89"/>
    </row>
    <row r="453" spans="1:10">
      <c r="A453" s="88"/>
      <c r="D453" s="82"/>
      <c r="E453" s="82"/>
      <c r="F453" s="82"/>
      <c r="G453" s="82"/>
      <c r="I453" s="77"/>
      <c r="J453" s="89"/>
    </row>
    <row r="454" spans="1:10">
      <c r="A454" s="88"/>
      <c r="D454" s="82"/>
      <c r="E454" s="82"/>
      <c r="F454" s="82"/>
      <c r="G454" s="82"/>
      <c r="I454" s="77"/>
      <c r="J454" s="89"/>
    </row>
    <row r="455" spans="1:10">
      <c r="A455" s="88"/>
      <c r="D455" s="82"/>
      <c r="E455" s="82"/>
      <c r="F455" s="82"/>
      <c r="G455" s="82"/>
      <c r="I455" s="77"/>
      <c r="J455" s="89"/>
    </row>
    <row r="456" spans="1:10">
      <c r="A456" s="88"/>
      <c r="D456" s="82"/>
      <c r="E456" s="82"/>
      <c r="F456" s="82"/>
      <c r="G456" s="82"/>
      <c r="I456" s="77"/>
      <c r="J456" s="89"/>
    </row>
    <row r="457" spans="1:10">
      <c r="A457" s="88"/>
      <c r="D457" s="82"/>
      <c r="E457" s="82"/>
      <c r="F457" s="82"/>
      <c r="G457" s="82"/>
      <c r="I457" s="77"/>
      <c r="J457" s="89"/>
    </row>
    <row r="458" spans="1:10">
      <c r="A458" s="88"/>
      <c r="D458" s="82"/>
      <c r="E458" s="82"/>
      <c r="F458" s="82"/>
      <c r="G458" s="82"/>
      <c r="I458" s="77"/>
      <c r="J458" s="89"/>
    </row>
    <row r="459" spans="1:10">
      <c r="A459" s="88"/>
      <c r="D459" s="82"/>
      <c r="E459" s="82"/>
      <c r="F459" s="82"/>
      <c r="G459" s="82"/>
      <c r="I459" s="77"/>
      <c r="J459" s="89"/>
    </row>
    <row r="460" spans="1:10">
      <c r="A460" s="88"/>
      <c r="D460" s="82"/>
      <c r="E460" s="82"/>
      <c r="F460" s="82"/>
      <c r="G460" s="82"/>
      <c r="I460" s="77"/>
      <c r="J460" s="89"/>
    </row>
    <row r="461" spans="1:10">
      <c r="A461" s="88"/>
      <c r="D461" s="82"/>
      <c r="E461" s="82"/>
      <c r="F461" s="82"/>
      <c r="G461" s="82"/>
      <c r="I461" s="77"/>
      <c r="J461" s="89"/>
    </row>
    <row r="462" spans="1:10">
      <c r="A462" s="88"/>
      <c r="D462" s="82"/>
      <c r="E462" s="82"/>
      <c r="F462" s="82"/>
      <c r="G462" s="82"/>
      <c r="I462" s="77"/>
      <c r="J462" s="89"/>
    </row>
    <row r="463" spans="1:10">
      <c r="A463" s="88"/>
      <c r="D463" s="82"/>
      <c r="E463" s="82"/>
      <c r="F463" s="82"/>
      <c r="G463" s="82"/>
      <c r="I463" s="77"/>
      <c r="J463" s="89"/>
    </row>
    <row r="464" spans="1:10">
      <c r="A464" s="88"/>
      <c r="D464" s="82"/>
      <c r="E464" s="82"/>
      <c r="F464" s="82"/>
      <c r="G464" s="82"/>
      <c r="I464" s="77"/>
      <c r="J464" s="89"/>
    </row>
    <row r="465" spans="1:10">
      <c r="A465" s="88"/>
      <c r="D465" s="82"/>
      <c r="E465" s="82"/>
      <c r="F465" s="82"/>
      <c r="G465" s="82"/>
      <c r="I465" s="77"/>
      <c r="J465" s="89"/>
    </row>
    <row r="466" spans="1:10">
      <c r="A466" s="88"/>
      <c r="D466" s="82"/>
      <c r="E466" s="82"/>
      <c r="F466" s="82"/>
      <c r="G466" s="82"/>
      <c r="I466" s="77"/>
      <c r="J466" s="89"/>
    </row>
    <row r="467" spans="1:10">
      <c r="A467" s="88"/>
      <c r="D467" s="82"/>
      <c r="E467" s="82"/>
      <c r="F467" s="82"/>
      <c r="G467" s="82"/>
      <c r="I467" s="77"/>
      <c r="J467" s="89"/>
    </row>
    <row r="468" spans="1:10">
      <c r="A468" s="88"/>
      <c r="D468" s="82"/>
      <c r="E468" s="82"/>
      <c r="F468" s="82"/>
      <c r="G468" s="82"/>
      <c r="I468" s="77"/>
      <c r="J468" s="89"/>
    </row>
    <row r="469" spans="1:10">
      <c r="A469" s="88"/>
      <c r="D469" s="82"/>
      <c r="E469" s="82"/>
      <c r="F469" s="82"/>
      <c r="G469" s="82"/>
      <c r="I469" s="77"/>
      <c r="J469" s="89"/>
    </row>
    <row r="470" spans="1:10">
      <c r="A470" s="88"/>
      <c r="D470" s="82"/>
      <c r="E470" s="82"/>
      <c r="F470" s="82"/>
      <c r="G470" s="82"/>
      <c r="I470" s="77"/>
      <c r="J470" s="89"/>
    </row>
    <row r="471" spans="1:10">
      <c r="A471" s="88"/>
      <c r="D471" s="82"/>
      <c r="E471" s="82"/>
      <c r="F471" s="82"/>
      <c r="G471" s="82"/>
      <c r="I471" s="77"/>
      <c r="J471" s="89"/>
    </row>
    <row r="472" spans="1:10">
      <c r="A472" s="88"/>
      <c r="D472" s="82"/>
      <c r="E472" s="82"/>
      <c r="F472" s="82"/>
      <c r="G472" s="82"/>
      <c r="I472" s="77"/>
      <c r="J472" s="89"/>
    </row>
    <row r="473" spans="1:10">
      <c r="A473" s="88"/>
      <c r="D473" s="82"/>
      <c r="E473" s="82"/>
      <c r="F473" s="82"/>
      <c r="G473" s="82"/>
      <c r="I473" s="77"/>
      <c r="J473" s="89"/>
    </row>
    <row r="474" spans="1:10">
      <c r="A474" s="88"/>
      <c r="D474" s="82"/>
      <c r="E474" s="82"/>
      <c r="F474" s="82"/>
      <c r="G474" s="82"/>
      <c r="I474" s="77"/>
      <c r="J474" s="89"/>
    </row>
    <row r="475" spans="1:10">
      <c r="A475" s="88"/>
      <c r="D475" s="82"/>
      <c r="E475" s="82"/>
      <c r="F475" s="82"/>
      <c r="G475" s="82"/>
      <c r="I475" s="77"/>
      <c r="J475" s="89"/>
    </row>
    <row r="476" spans="1:10">
      <c r="A476" s="88"/>
      <c r="D476" s="82"/>
      <c r="E476" s="82"/>
      <c r="F476" s="82"/>
      <c r="G476" s="82"/>
      <c r="I476" s="77"/>
      <c r="J476" s="89"/>
    </row>
    <row r="477" spans="1:10">
      <c r="A477" s="88"/>
      <c r="D477" s="82"/>
      <c r="E477" s="82"/>
      <c r="F477" s="82"/>
      <c r="G477" s="82"/>
      <c r="I477" s="77"/>
      <c r="J477" s="89"/>
    </row>
    <row r="478" spans="1:10">
      <c r="A478" s="88"/>
      <c r="D478" s="82"/>
      <c r="E478" s="82"/>
      <c r="F478" s="82"/>
      <c r="G478" s="82"/>
      <c r="I478" s="77"/>
      <c r="J478" s="89"/>
    </row>
    <row r="479" spans="1:10">
      <c r="A479" s="88"/>
      <c r="D479" s="82"/>
      <c r="E479" s="82"/>
      <c r="F479" s="82"/>
      <c r="G479" s="82"/>
      <c r="I479" s="77"/>
      <c r="J479" s="89"/>
    </row>
    <row r="480" spans="1:10">
      <c r="A480" s="88"/>
      <c r="D480" s="82"/>
      <c r="E480" s="82"/>
      <c r="F480" s="82"/>
      <c r="G480" s="82"/>
      <c r="I480" s="77"/>
      <c r="J480" s="89"/>
    </row>
    <row r="481" spans="1:10">
      <c r="A481" s="88"/>
      <c r="D481" s="82"/>
      <c r="E481" s="82"/>
      <c r="F481" s="82"/>
      <c r="G481" s="82"/>
      <c r="I481" s="77"/>
      <c r="J481" s="89"/>
    </row>
    <row r="482" spans="1:10">
      <c r="A482" s="88"/>
      <c r="D482" s="82"/>
      <c r="E482" s="82"/>
      <c r="F482" s="82"/>
      <c r="G482" s="82"/>
      <c r="I482" s="77"/>
      <c r="J482" s="89"/>
    </row>
    <row r="483" spans="1:10">
      <c r="A483" s="88"/>
      <c r="D483" s="82"/>
      <c r="E483" s="82"/>
      <c r="F483" s="82"/>
      <c r="G483" s="82"/>
      <c r="I483" s="77"/>
      <c r="J483" s="89"/>
    </row>
    <row r="484" spans="1:10">
      <c r="A484" s="88"/>
      <c r="D484" s="82"/>
      <c r="E484" s="82"/>
      <c r="F484" s="82"/>
      <c r="G484" s="82"/>
      <c r="I484" s="77"/>
      <c r="J484" s="89"/>
    </row>
    <row r="485" spans="1:10">
      <c r="A485" s="88"/>
      <c r="D485" s="82"/>
      <c r="E485" s="82"/>
      <c r="F485" s="82"/>
      <c r="G485" s="82"/>
      <c r="I485" s="77"/>
      <c r="J485" s="89"/>
    </row>
    <row r="486" spans="1:10">
      <c r="A486" s="88"/>
      <c r="D486" s="82"/>
      <c r="E486" s="82"/>
      <c r="F486" s="82"/>
      <c r="G486" s="82"/>
      <c r="I486" s="77"/>
      <c r="J486" s="89"/>
    </row>
    <row r="487" spans="1:10">
      <c r="A487" s="88"/>
      <c r="D487" s="82"/>
      <c r="E487" s="82"/>
      <c r="F487" s="82"/>
      <c r="G487" s="82"/>
      <c r="I487" s="77"/>
      <c r="J487" s="89"/>
    </row>
    <row r="488" spans="1:10">
      <c r="A488" s="88"/>
      <c r="D488" s="82"/>
      <c r="E488" s="82"/>
      <c r="F488" s="82"/>
      <c r="G488" s="82"/>
      <c r="I488" s="77"/>
      <c r="J488" s="89"/>
    </row>
    <row r="489" spans="1:10">
      <c r="A489" s="88"/>
      <c r="D489" s="82"/>
      <c r="E489" s="82"/>
      <c r="F489" s="82"/>
      <c r="G489" s="82"/>
      <c r="I489" s="77"/>
      <c r="J489" s="89"/>
    </row>
    <row r="490" spans="1:10">
      <c r="A490" s="88"/>
      <c r="D490" s="82"/>
      <c r="E490" s="82"/>
      <c r="F490" s="82"/>
      <c r="G490" s="82"/>
      <c r="I490" s="77"/>
      <c r="J490" s="89"/>
    </row>
    <row r="491" spans="1:10">
      <c r="A491" s="88"/>
      <c r="D491" s="82"/>
      <c r="E491" s="82"/>
      <c r="F491" s="82"/>
      <c r="G491" s="82"/>
      <c r="I491" s="77"/>
      <c r="J491" s="89"/>
    </row>
    <row r="492" spans="1:10">
      <c r="A492" s="88"/>
      <c r="D492" s="82"/>
      <c r="E492" s="82"/>
      <c r="F492" s="82"/>
      <c r="G492" s="82"/>
      <c r="I492" s="77"/>
      <c r="J492" s="89"/>
    </row>
    <row r="493" spans="1:10">
      <c r="A493" s="88"/>
      <c r="D493" s="82"/>
      <c r="E493" s="82"/>
      <c r="F493" s="82"/>
      <c r="G493" s="82"/>
      <c r="I493" s="77"/>
      <c r="J493" s="89"/>
    </row>
    <row r="494" spans="1:10">
      <c r="A494" s="88"/>
      <c r="D494" s="82"/>
      <c r="E494" s="82"/>
      <c r="F494" s="82"/>
      <c r="G494" s="82"/>
      <c r="I494" s="77"/>
      <c r="J494" s="89"/>
    </row>
    <row r="495" spans="1:10">
      <c r="A495" s="88"/>
      <c r="D495" s="82"/>
      <c r="E495" s="82"/>
      <c r="F495" s="82"/>
      <c r="G495" s="82"/>
      <c r="I495" s="77"/>
      <c r="J495" s="89"/>
    </row>
    <row r="496" spans="1:10">
      <c r="A496" s="88"/>
      <c r="D496" s="82"/>
      <c r="E496" s="82"/>
      <c r="F496" s="82"/>
      <c r="G496" s="82"/>
      <c r="I496" s="77"/>
      <c r="J496" s="89"/>
    </row>
    <row r="497" spans="1:10">
      <c r="A497" s="88"/>
      <c r="D497" s="82"/>
      <c r="E497" s="82"/>
      <c r="F497" s="82"/>
      <c r="G497" s="82"/>
      <c r="I497" s="77"/>
      <c r="J497" s="89"/>
    </row>
    <row r="498" spans="1:10">
      <c r="A498" s="88"/>
      <c r="D498" s="82"/>
      <c r="E498" s="82"/>
      <c r="F498" s="82"/>
      <c r="G498" s="82"/>
      <c r="I498" s="77"/>
      <c r="J498" s="89"/>
    </row>
    <row r="499" spans="1:10">
      <c r="A499" s="88"/>
      <c r="D499" s="82"/>
      <c r="E499" s="82"/>
      <c r="F499" s="82"/>
      <c r="G499" s="82"/>
      <c r="I499" s="77"/>
      <c r="J499" s="89"/>
    </row>
    <row r="500" spans="1:10">
      <c r="A500" s="88"/>
      <c r="D500" s="82"/>
      <c r="E500" s="82"/>
      <c r="F500" s="82"/>
      <c r="G500" s="82"/>
      <c r="I500" s="77"/>
      <c r="J500" s="89"/>
    </row>
    <row r="501" spans="1:10">
      <c r="A501" s="88"/>
      <c r="D501" s="82"/>
      <c r="E501" s="82"/>
      <c r="F501" s="82"/>
      <c r="G501" s="82"/>
      <c r="I501" s="77"/>
      <c r="J501" s="89"/>
    </row>
    <row r="502" spans="1:10">
      <c r="A502" s="88"/>
      <c r="D502" s="82"/>
      <c r="E502" s="82"/>
      <c r="F502" s="82"/>
      <c r="G502" s="82"/>
      <c r="I502" s="77"/>
      <c r="J502" s="89"/>
    </row>
    <row r="503" spans="1:10">
      <c r="A503" s="88"/>
      <c r="D503" s="82"/>
      <c r="E503" s="82"/>
      <c r="F503" s="82"/>
      <c r="G503" s="82"/>
      <c r="I503" s="77"/>
      <c r="J503" s="89"/>
    </row>
    <row r="504" spans="1:10">
      <c r="A504" s="88"/>
      <c r="D504" s="82"/>
      <c r="E504" s="82"/>
      <c r="F504" s="82"/>
      <c r="G504" s="82"/>
      <c r="I504" s="77"/>
      <c r="J504" s="89"/>
    </row>
    <row r="505" spans="1:10">
      <c r="A505" s="88"/>
      <c r="D505" s="82"/>
      <c r="E505" s="82"/>
      <c r="F505" s="82"/>
      <c r="G505" s="82"/>
      <c r="I505" s="77"/>
      <c r="J505" s="89"/>
    </row>
    <row r="506" spans="1:10">
      <c r="A506" s="88"/>
      <c r="D506" s="82"/>
      <c r="E506" s="82"/>
      <c r="F506" s="82"/>
      <c r="G506" s="82"/>
      <c r="I506" s="77"/>
      <c r="J506" s="89"/>
    </row>
    <row r="507" spans="1:10">
      <c r="A507" s="88"/>
      <c r="D507" s="82"/>
      <c r="E507" s="82"/>
      <c r="F507" s="82"/>
      <c r="G507" s="82"/>
      <c r="I507" s="77"/>
      <c r="J507" s="89"/>
    </row>
    <row r="508" spans="1:10">
      <c r="A508" s="88"/>
      <c r="D508" s="82"/>
      <c r="E508" s="82"/>
      <c r="F508" s="82"/>
      <c r="G508" s="82"/>
      <c r="I508" s="77"/>
      <c r="J508" s="89"/>
    </row>
    <row r="509" spans="1:10">
      <c r="A509" s="88"/>
      <c r="D509" s="82"/>
      <c r="E509" s="82"/>
      <c r="F509" s="82"/>
      <c r="G509" s="82"/>
      <c r="I509" s="77"/>
      <c r="J509" s="89"/>
    </row>
    <row r="510" spans="1:10">
      <c r="A510" s="88"/>
      <c r="D510" s="82"/>
      <c r="E510" s="82"/>
      <c r="F510" s="82"/>
      <c r="G510" s="82"/>
      <c r="I510" s="77"/>
      <c r="J510" s="89"/>
    </row>
    <row r="511" spans="1:10">
      <c r="A511" s="88"/>
      <c r="D511" s="82"/>
      <c r="E511" s="82"/>
      <c r="F511" s="82"/>
      <c r="G511" s="82"/>
      <c r="I511" s="77"/>
      <c r="J511" s="89"/>
    </row>
    <row r="512" spans="1:10">
      <c r="A512" s="88"/>
      <c r="D512" s="82"/>
      <c r="E512" s="82"/>
      <c r="F512" s="82"/>
      <c r="G512" s="82"/>
      <c r="I512" s="77"/>
      <c r="J512" s="89"/>
    </row>
    <row r="513" spans="1:10">
      <c r="A513" s="88"/>
      <c r="D513" s="82"/>
      <c r="E513" s="82"/>
      <c r="F513" s="82"/>
      <c r="G513" s="82"/>
      <c r="I513" s="77"/>
      <c r="J513" s="89"/>
    </row>
    <row r="514" spans="1:10">
      <c r="A514" s="88"/>
      <c r="D514" s="82"/>
      <c r="E514" s="82"/>
      <c r="F514" s="82"/>
      <c r="G514" s="82"/>
      <c r="I514" s="77"/>
      <c r="J514" s="89"/>
    </row>
    <row r="515" spans="1:10">
      <c r="A515" s="88"/>
      <c r="D515" s="82"/>
      <c r="E515" s="82"/>
      <c r="F515" s="82"/>
      <c r="G515" s="82"/>
      <c r="I515" s="77"/>
      <c r="J515" s="89"/>
    </row>
    <row r="516" spans="1:10">
      <c r="A516" s="88"/>
      <c r="D516" s="82"/>
      <c r="E516" s="82"/>
      <c r="F516" s="82"/>
      <c r="G516" s="82"/>
      <c r="I516" s="77"/>
      <c r="J516" s="89"/>
    </row>
    <row r="517" spans="1:10">
      <c r="A517" s="88"/>
      <c r="D517" s="82"/>
      <c r="E517" s="82"/>
      <c r="F517" s="82"/>
      <c r="G517" s="82"/>
      <c r="I517" s="77"/>
      <c r="J517" s="89"/>
    </row>
    <row r="518" spans="1:10">
      <c r="A518" s="88"/>
      <c r="D518" s="82"/>
      <c r="E518" s="82"/>
      <c r="F518" s="82"/>
      <c r="G518" s="82"/>
      <c r="I518" s="77"/>
      <c r="J518" s="89"/>
    </row>
    <row r="519" spans="1:10">
      <c r="A519" s="88"/>
      <c r="D519" s="82"/>
      <c r="E519" s="82"/>
      <c r="F519" s="82"/>
      <c r="G519" s="82"/>
      <c r="I519" s="77"/>
      <c r="J519" s="89"/>
    </row>
    <row r="520" spans="1:10">
      <c r="A520" s="88"/>
      <c r="D520" s="82"/>
      <c r="E520" s="82"/>
      <c r="F520" s="82"/>
      <c r="G520" s="82"/>
      <c r="I520" s="77"/>
      <c r="J520" s="89"/>
    </row>
    <row r="521" spans="1:10">
      <c r="A521" s="88"/>
      <c r="D521" s="82"/>
      <c r="E521" s="82"/>
      <c r="F521" s="82"/>
      <c r="G521" s="82"/>
      <c r="I521" s="77"/>
      <c r="J521" s="89"/>
    </row>
    <row r="522" spans="1:10">
      <c r="A522" s="88"/>
      <c r="D522" s="82"/>
      <c r="E522" s="82"/>
      <c r="F522" s="82"/>
      <c r="G522" s="82"/>
      <c r="I522" s="77"/>
      <c r="J522" s="89"/>
    </row>
    <row r="523" spans="1:10">
      <c r="A523" s="88"/>
      <c r="D523" s="82"/>
      <c r="E523" s="82"/>
      <c r="F523" s="82"/>
      <c r="G523" s="82"/>
      <c r="I523" s="77"/>
      <c r="J523" s="89"/>
    </row>
    <row r="524" spans="1:10">
      <c r="A524" s="88"/>
      <c r="D524" s="82"/>
      <c r="E524" s="82"/>
      <c r="F524" s="82"/>
      <c r="G524" s="82"/>
      <c r="I524" s="77"/>
      <c r="J524" s="89"/>
    </row>
    <row r="525" spans="1:10">
      <c r="A525" s="88"/>
      <c r="D525" s="82"/>
      <c r="E525" s="82"/>
      <c r="F525" s="82"/>
      <c r="G525" s="82"/>
      <c r="I525" s="77"/>
      <c r="J525" s="89"/>
    </row>
    <row r="526" spans="1:10">
      <c r="A526" s="88"/>
      <c r="D526" s="82"/>
      <c r="E526" s="82"/>
      <c r="F526" s="82"/>
      <c r="G526" s="82"/>
      <c r="I526" s="77"/>
      <c r="J526" s="89"/>
    </row>
    <row r="527" spans="1:10">
      <c r="A527" s="88"/>
      <c r="D527" s="82"/>
      <c r="E527" s="82"/>
      <c r="F527" s="82"/>
      <c r="G527" s="82"/>
      <c r="I527" s="77"/>
      <c r="J527" s="89"/>
    </row>
    <row r="528" spans="1:10">
      <c r="A528" s="88"/>
      <c r="D528" s="82"/>
      <c r="E528" s="82"/>
      <c r="F528" s="82"/>
      <c r="G528" s="82"/>
      <c r="I528" s="77"/>
      <c r="J528" s="89"/>
    </row>
    <row r="529" spans="1:10">
      <c r="A529" s="88"/>
      <c r="D529" s="82"/>
      <c r="E529" s="82"/>
      <c r="F529" s="82"/>
      <c r="G529" s="82"/>
      <c r="I529" s="77"/>
      <c r="J529" s="89"/>
    </row>
    <row r="530" spans="1:10">
      <c r="A530" s="88"/>
      <c r="D530" s="82"/>
      <c r="E530" s="82"/>
      <c r="F530" s="82"/>
      <c r="G530" s="82"/>
      <c r="I530" s="77"/>
      <c r="J530" s="89"/>
    </row>
    <row r="531" spans="1:10">
      <c r="A531" s="88"/>
      <c r="D531" s="82"/>
      <c r="E531" s="82"/>
      <c r="F531" s="82"/>
      <c r="G531" s="82"/>
      <c r="I531" s="77"/>
      <c r="J531" s="89"/>
    </row>
    <row r="532" spans="1:10">
      <c r="A532" s="88"/>
      <c r="D532" s="82"/>
      <c r="E532" s="82"/>
      <c r="F532" s="82"/>
      <c r="G532" s="82"/>
      <c r="I532" s="77"/>
      <c r="J532" s="89"/>
    </row>
    <row r="533" spans="1:10">
      <c r="A533" s="88"/>
      <c r="D533" s="82"/>
      <c r="E533" s="82"/>
      <c r="F533" s="82"/>
      <c r="G533" s="82"/>
      <c r="I533" s="77"/>
      <c r="J533" s="89"/>
    </row>
    <row r="534" spans="1:10">
      <c r="A534" s="88"/>
      <c r="D534" s="82"/>
      <c r="E534" s="82"/>
      <c r="F534" s="82"/>
      <c r="G534" s="82"/>
      <c r="I534" s="77"/>
      <c r="J534" s="89"/>
    </row>
    <row r="535" spans="1:10">
      <c r="A535" s="88"/>
      <c r="D535" s="82"/>
      <c r="E535" s="82"/>
      <c r="F535" s="82"/>
      <c r="G535" s="82"/>
      <c r="I535" s="77"/>
      <c r="J535" s="89"/>
    </row>
    <row r="536" spans="1:10">
      <c r="A536" s="88"/>
      <c r="D536" s="82"/>
      <c r="E536" s="82"/>
      <c r="F536" s="82"/>
      <c r="G536" s="82"/>
      <c r="I536" s="77"/>
      <c r="J536" s="89"/>
    </row>
    <row r="537" spans="1:10">
      <c r="A537" s="88"/>
      <c r="D537" s="82"/>
      <c r="E537" s="82"/>
      <c r="F537" s="82"/>
      <c r="G537" s="82"/>
      <c r="I537" s="77"/>
      <c r="J537" s="89"/>
    </row>
    <row r="538" spans="1:10">
      <c r="A538" s="88"/>
      <c r="D538" s="82"/>
      <c r="E538" s="82"/>
      <c r="F538" s="82"/>
      <c r="G538" s="82"/>
      <c r="I538" s="77"/>
      <c r="J538" s="89"/>
    </row>
    <row r="539" spans="1:10">
      <c r="A539" s="88"/>
      <c r="D539" s="82"/>
      <c r="E539" s="82"/>
      <c r="F539" s="82"/>
      <c r="G539" s="82"/>
      <c r="I539" s="77"/>
      <c r="J539" s="89"/>
    </row>
    <row r="540" spans="1:10">
      <c r="A540" s="88"/>
      <c r="D540" s="82"/>
      <c r="E540" s="82"/>
      <c r="F540" s="82"/>
      <c r="G540" s="82"/>
      <c r="I540" s="77"/>
      <c r="J540" s="89"/>
    </row>
    <row r="541" spans="1:10">
      <c r="A541" s="88"/>
      <c r="D541" s="82"/>
      <c r="E541" s="82"/>
      <c r="F541" s="82"/>
      <c r="G541" s="82"/>
      <c r="I541" s="77"/>
      <c r="J541" s="89"/>
    </row>
    <row r="542" spans="1:10">
      <c r="A542" s="88"/>
      <c r="D542" s="82"/>
      <c r="E542" s="82"/>
      <c r="F542" s="82"/>
      <c r="G542" s="82"/>
      <c r="I542" s="77"/>
      <c r="J542" s="89"/>
    </row>
    <row r="543" spans="1:10">
      <c r="A543" s="88"/>
      <c r="D543" s="82"/>
      <c r="E543" s="82"/>
      <c r="F543" s="82"/>
      <c r="G543" s="82"/>
      <c r="I543" s="77"/>
      <c r="J543" s="89"/>
    </row>
    <row r="544" spans="1:10">
      <c r="A544" s="88"/>
      <c r="D544" s="82"/>
      <c r="E544" s="82"/>
      <c r="F544" s="82"/>
      <c r="G544" s="82"/>
      <c r="I544" s="77"/>
      <c r="J544" s="89"/>
    </row>
    <row r="545" spans="1:10">
      <c r="A545" s="88"/>
      <c r="D545" s="82"/>
      <c r="E545" s="82"/>
      <c r="F545" s="82"/>
      <c r="G545" s="82"/>
      <c r="I545" s="77"/>
      <c r="J545" s="89"/>
    </row>
    <row r="546" spans="1:10">
      <c r="A546" s="88"/>
      <c r="D546" s="82"/>
      <c r="E546" s="82"/>
      <c r="F546" s="82"/>
      <c r="G546" s="82"/>
      <c r="I546" s="77"/>
      <c r="J546" s="89"/>
    </row>
    <row r="547" spans="1:10">
      <c r="A547" s="88"/>
      <c r="D547" s="82"/>
      <c r="E547" s="82"/>
      <c r="F547" s="82"/>
      <c r="G547" s="82"/>
      <c r="I547" s="77"/>
      <c r="J547" s="89"/>
    </row>
    <row r="548" spans="1:10">
      <c r="A548" s="88"/>
      <c r="D548" s="82"/>
      <c r="E548" s="82"/>
      <c r="F548" s="82"/>
      <c r="G548" s="82"/>
      <c r="I548" s="77"/>
      <c r="J548" s="89"/>
    </row>
    <row r="549" spans="1:10">
      <c r="A549" s="88"/>
      <c r="D549" s="82"/>
      <c r="E549" s="82"/>
      <c r="F549" s="82"/>
      <c r="G549" s="82"/>
      <c r="I549" s="77"/>
      <c r="J549" s="89"/>
    </row>
    <row r="550" spans="1:10">
      <c r="A550" s="88"/>
      <c r="D550" s="82"/>
      <c r="E550" s="82"/>
      <c r="F550" s="82"/>
      <c r="G550" s="82"/>
      <c r="I550" s="77"/>
      <c r="J550" s="89"/>
    </row>
    <row r="551" spans="1:10">
      <c r="A551" s="88"/>
      <c r="D551" s="82"/>
      <c r="E551" s="82"/>
      <c r="F551" s="82"/>
      <c r="G551" s="82"/>
      <c r="I551" s="77"/>
      <c r="J551" s="89"/>
    </row>
    <row r="552" spans="1:10">
      <c r="A552" s="88"/>
      <c r="D552" s="82"/>
      <c r="E552" s="82"/>
      <c r="F552" s="82"/>
      <c r="G552" s="82"/>
      <c r="I552" s="77"/>
      <c r="J552" s="89"/>
    </row>
    <row r="553" spans="1:10">
      <c r="A553" s="88"/>
      <c r="D553" s="82"/>
      <c r="E553" s="82"/>
      <c r="F553" s="82"/>
      <c r="G553" s="82"/>
      <c r="I553" s="77"/>
      <c r="J553" s="89"/>
    </row>
    <row r="554" spans="1:10">
      <c r="A554" s="88"/>
      <c r="D554" s="82"/>
      <c r="E554" s="82"/>
      <c r="F554" s="82"/>
      <c r="G554" s="82"/>
      <c r="I554" s="77"/>
      <c r="J554" s="89"/>
    </row>
    <row r="555" spans="1:10">
      <c r="A555" s="88"/>
      <c r="D555" s="82"/>
      <c r="E555" s="82"/>
      <c r="F555" s="82"/>
      <c r="G555" s="82"/>
      <c r="I555" s="77"/>
      <c r="J555" s="89"/>
    </row>
    <row r="556" spans="1:10">
      <c r="A556" s="88"/>
      <c r="D556" s="82"/>
      <c r="E556" s="82"/>
      <c r="F556" s="82"/>
      <c r="G556" s="82"/>
      <c r="I556" s="77"/>
      <c r="J556" s="89"/>
    </row>
    <row r="557" spans="1:10">
      <c r="A557" s="88"/>
      <c r="D557" s="82"/>
      <c r="E557" s="82"/>
      <c r="F557" s="82"/>
      <c r="G557" s="82"/>
      <c r="I557" s="77"/>
      <c r="J557" s="89"/>
    </row>
    <row r="558" spans="1:10">
      <c r="A558" s="88"/>
      <c r="D558" s="82"/>
      <c r="E558" s="82"/>
      <c r="F558" s="82"/>
      <c r="G558" s="82"/>
      <c r="I558" s="77"/>
      <c r="J558" s="89"/>
    </row>
    <row r="559" spans="1:10">
      <c r="A559" s="88"/>
      <c r="D559" s="82"/>
      <c r="E559" s="82"/>
      <c r="F559" s="82"/>
      <c r="G559" s="82"/>
      <c r="I559" s="77"/>
      <c r="J559" s="89"/>
    </row>
    <row r="560" spans="1:10">
      <c r="A560" s="88"/>
      <c r="D560" s="82"/>
      <c r="E560" s="82"/>
      <c r="F560" s="82"/>
      <c r="G560" s="82"/>
      <c r="I560" s="77"/>
      <c r="J560" s="89"/>
    </row>
    <row r="561" spans="1:10">
      <c r="A561" s="88"/>
      <c r="D561" s="82"/>
      <c r="E561" s="82"/>
      <c r="F561" s="82"/>
      <c r="G561" s="82"/>
      <c r="I561" s="77"/>
      <c r="J561" s="89"/>
    </row>
    <row r="562" spans="1:10">
      <c r="A562" s="88"/>
      <c r="D562" s="82"/>
      <c r="E562" s="82"/>
      <c r="F562" s="82"/>
      <c r="G562" s="82"/>
      <c r="I562" s="77"/>
      <c r="J562" s="89"/>
    </row>
    <row r="563" spans="1:10">
      <c r="A563" s="88"/>
      <c r="D563" s="82"/>
      <c r="E563" s="82"/>
      <c r="F563" s="82"/>
      <c r="G563" s="82"/>
      <c r="I563" s="77"/>
      <c r="J563" s="89"/>
    </row>
    <row r="564" spans="1:10">
      <c r="A564" s="88"/>
      <c r="D564" s="82"/>
      <c r="E564" s="82"/>
      <c r="F564" s="82"/>
      <c r="G564" s="82"/>
      <c r="I564" s="77"/>
      <c r="J564" s="89"/>
    </row>
    <row r="565" spans="1:10">
      <c r="A565" s="88"/>
      <c r="D565" s="82"/>
      <c r="E565" s="82"/>
      <c r="F565" s="82"/>
      <c r="G565" s="82"/>
      <c r="I565" s="77"/>
      <c r="J565" s="89"/>
    </row>
    <row r="566" spans="1:10">
      <c r="A566" s="88"/>
      <c r="D566" s="82"/>
      <c r="E566" s="82"/>
      <c r="F566" s="82"/>
      <c r="G566" s="82"/>
      <c r="I566" s="77"/>
      <c r="J566" s="89"/>
    </row>
    <row r="567" spans="1:10">
      <c r="A567" s="88"/>
      <c r="D567" s="82"/>
      <c r="E567" s="82"/>
      <c r="F567" s="82"/>
      <c r="G567" s="82"/>
      <c r="I567" s="77"/>
      <c r="J567" s="89"/>
    </row>
    <row r="568" spans="1:10">
      <c r="A568" s="88"/>
      <c r="D568" s="82"/>
      <c r="E568" s="82"/>
      <c r="F568" s="82"/>
      <c r="G568" s="82"/>
      <c r="I568" s="77"/>
      <c r="J568" s="89"/>
    </row>
    <row r="569" spans="1:10">
      <c r="A569" s="88"/>
      <c r="D569" s="82"/>
      <c r="E569" s="82"/>
      <c r="F569" s="82"/>
      <c r="G569" s="82"/>
      <c r="I569" s="77"/>
      <c r="J569" s="89"/>
    </row>
    <row r="570" spans="1:10">
      <c r="A570" s="88"/>
      <c r="D570" s="82"/>
      <c r="E570" s="82"/>
      <c r="F570" s="82"/>
      <c r="G570" s="82"/>
      <c r="I570" s="77"/>
      <c r="J570" s="89"/>
    </row>
    <row r="571" spans="1:10">
      <c r="A571" s="88"/>
      <c r="D571" s="82"/>
      <c r="E571" s="82"/>
      <c r="F571" s="82"/>
      <c r="G571" s="82"/>
      <c r="I571" s="77"/>
      <c r="J571" s="89"/>
    </row>
    <row r="572" spans="1:10">
      <c r="A572" s="88"/>
      <c r="D572" s="82"/>
      <c r="E572" s="82"/>
      <c r="F572" s="82"/>
      <c r="G572" s="82"/>
      <c r="I572" s="77"/>
      <c r="J572" s="89"/>
    </row>
    <row r="573" spans="1:10">
      <c r="A573" s="88"/>
      <c r="D573" s="82"/>
      <c r="E573" s="82"/>
      <c r="F573" s="82"/>
      <c r="G573" s="82"/>
      <c r="I573" s="77"/>
      <c r="J573" s="89"/>
    </row>
    <row r="574" spans="1:10">
      <c r="A574" s="88"/>
      <c r="D574" s="82"/>
      <c r="E574" s="82"/>
      <c r="F574" s="82"/>
      <c r="G574" s="82"/>
      <c r="I574" s="77"/>
      <c r="J574" s="89"/>
    </row>
    <row r="575" spans="1:10">
      <c r="A575" s="88"/>
      <c r="D575" s="82"/>
      <c r="E575" s="82"/>
      <c r="F575" s="82"/>
      <c r="G575" s="82"/>
      <c r="I575" s="77"/>
      <c r="J575" s="89"/>
    </row>
    <row r="576" spans="1:10">
      <c r="A576" s="88"/>
      <c r="D576" s="82"/>
      <c r="E576" s="82"/>
      <c r="F576" s="82"/>
      <c r="G576" s="82"/>
      <c r="I576" s="77"/>
      <c r="J576" s="89"/>
    </row>
    <row r="577" spans="1:10">
      <c r="A577" s="88"/>
      <c r="D577" s="82"/>
      <c r="E577" s="82"/>
      <c r="F577" s="82"/>
      <c r="G577" s="82"/>
      <c r="I577" s="77"/>
      <c r="J577" s="89"/>
    </row>
    <row r="578" spans="1:10">
      <c r="A578" s="88"/>
      <c r="D578" s="82"/>
      <c r="E578" s="82"/>
      <c r="F578" s="82"/>
      <c r="G578" s="82"/>
      <c r="I578" s="77"/>
      <c r="J578" s="89"/>
    </row>
    <row r="579" spans="1:10">
      <c r="A579" s="88"/>
      <c r="D579" s="82"/>
      <c r="E579" s="82"/>
      <c r="F579" s="82"/>
      <c r="G579" s="82"/>
      <c r="I579" s="77"/>
      <c r="J579" s="89"/>
    </row>
    <row r="580" spans="1:10">
      <c r="A580" s="88"/>
      <c r="D580" s="82"/>
      <c r="E580" s="82"/>
      <c r="F580" s="82"/>
      <c r="G580" s="82"/>
      <c r="I580" s="77"/>
      <c r="J580" s="89"/>
    </row>
    <row r="581" spans="1:10">
      <c r="A581" s="88"/>
      <c r="D581" s="82"/>
      <c r="E581" s="82"/>
      <c r="F581" s="82"/>
      <c r="G581" s="82"/>
      <c r="I581" s="77"/>
      <c r="J581" s="89"/>
    </row>
    <row r="582" spans="1:10">
      <c r="A582" s="88"/>
      <c r="D582" s="82"/>
      <c r="E582" s="82"/>
      <c r="F582" s="82"/>
      <c r="G582" s="82"/>
      <c r="I582" s="77"/>
      <c r="J582" s="89"/>
    </row>
    <row r="583" spans="1:10">
      <c r="A583" s="88"/>
      <c r="D583" s="82"/>
      <c r="E583" s="82"/>
      <c r="F583" s="82"/>
      <c r="G583" s="82"/>
      <c r="I583" s="77"/>
      <c r="J583" s="89"/>
    </row>
    <row r="584" spans="1:10">
      <c r="A584" s="88"/>
      <c r="D584" s="82"/>
      <c r="E584" s="82"/>
      <c r="F584" s="82"/>
      <c r="G584" s="82"/>
      <c r="I584" s="77"/>
      <c r="J584" s="89"/>
    </row>
    <row r="585" spans="1:10">
      <c r="A585" s="88"/>
      <c r="D585" s="82"/>
      <c r="E585" s="82"/>
      <c r="F585" s="82"/>
      <c r="G585" s="82"/>
      <c r="I585" s="77"/>
      <c r="J585" s="89"/>
    </row>
    <row r="586" spans="1:10">
      <c r="A586" s="88"/>
      <c r="D586" s="82"/>
      <c r="E586" s="82"/>
      <c r="F586" s="82"/>
      <c r="G586" s="82"/>
      <c r="I586" s="77"/>
      <c r="J586" s="89"/>
    </row>
    <row r="587" spans="1:10">
      <c r="A587" s="88"/>
      <c r="D587" s="82"/>
      <c r="E587" s="82"/>
      <c r="F587" s="82"/>
      <c r="G587" s="82"/>
      <c r="I587" s="77"/>
      <c r="J587" s="89"/>
    </row>
    <row r="588" spans="1:10">
      <c r="A588" s="88"/>
      <c r="D588" s="82"/>
      <c r="E588" s="82"/>
      <c r="F588" s="82"/>
      <c r="G588" s="82"/>
      <c r="I588" s="77"/>
      <c r="J588" s="89"/>
    </row>
    <row r="589" spans="1:10">
      <c r="A589" s="88"/>
      <c r="D589" s="82"/>
      <c r="E589" s="82"/>
      <c r="F589" s="82"/>
      <c r="G589" s="82"/>
      <c r="I589" s="77"/>
      <c r="J589" s="89"/>
    </row>
    <row r="590" spans="1:10">
      <c r="A590" s="88"/>
      <c r="D590" s="82"/>
      <c r="E590" s="82"/>
      <c r="F590" s="82"/>
      <c r="G590" s="82"/>
      <c r="I590" s="77"/>
      <c r="J590" s="89"/>
    </row>
    <row r="591" spans="1:10">
      <c r="A591" s="88"/>
      <c r="D591" s="82"/>
      <c r="E591" s="82"/>
      <c r="F591" s="82"/>
      <c r="G591" s="82"/>
      <c r="I591" s="77"/>
      <c r="J591" s="89"/>
    </row>
    <row r="592" spans="1:10">
      <c r="A592" s="88"/>
      <c r="D592" s="82"/>
      <c r="E592" s="82"/>
      <c r="F592" s="82"/>
      <c r="G592" s="82"/>
      <c r="I592" s="77"/>
      <c r="J592" s="89"/>
    </row>
    <row r="593" spans="1:10">
      <c r="A593" s="88"/>
      <c r="D593" s="82"/>
      <c r="E593" s="82"/>
      <c r="F593" s="82"/>
      <c r="G593" s="82"/>
      <c r="I593" s="77"/>
      <c r="J593" s="89"/>
    </row>
    <row r="594" spans="1:10">
      <c r="A594" s="88"/>
      <c r="D594" s="82"/>
      <c r="E594" s="82"/>
      <c r="F594" s="82"/>
      <c r="G594" s="82"/>
      <c r="I594" s="77"/>
      <c r="J594" s="89"/>
    </row>
    <row r="595" spans="1:10">
      <c r="A595" s="88"/>
      <c r="D595" s="82"/>
      <c r="E595" s="82"/>
      <c r="F595" s="82"/>
      <c r="G595" s="82"/>
      <c r="I595" s="77"/>
      <c r="J595" s="89"/>
    </row>
    <row r="596" spans="1:10">
      <c r="A596" s="88"/>
      <c r="D596" s="82"/>
      <c r="E596" s="82"/>
      <c r="F596" s="82"/>
      <c r="G596" s="82"/>
      <c r="I596" s="77"/>
      <c r="J596" s="89"/>
    </row>
    <row r="597" spans="1:10">
      <c r="A597" s="88"/>
      <c r="D597" s="82"/>
      <c r="E597" s="82"/>
      <c r="F597" s="82"/>
      <c r="G597" s="82"/>
      <c r="I597" s="77"/>
      <c r="J597" s="89"/>
    </row>
    <row r="598" spans="1:10">
      <c r="A598" s="88"/>
      <c r="D598" s="82"/>
      <c r="E598" s="82"/>
      <c r="F598" s="82"/>
      <c r="G598" s="82"/>
      <c r="I598" s="77"/>
      <c r="J598" s="89"/>
    </row>
    <row r="599" spans="1:10">
      <c r="A599" s="88"/>
      <c r="D599" s="82"/>
      <c r="E599" s="82"/>
      <c r="F599" s="82"/>
      <c r="G599" s="82"/>
      <c r="I599" s="77"/>
      <c r="J599" s="89"/>
    </row>
    <row r="600" spans="1:10">
      <c r="A600" s="88"/>
      <c r="D600" s="82"/>
      <c r="E600" s="82"/>
      <c r="F600" s="82"/>
      <c r="G600" s="82"/>
      <c r="I600" s="77"/>
      <c r="J600" s="89"/>
    </row>
    <row r="601" spans="1:10">
      <c r="A601" s="88"/>
      <c r="D601" s="82"/>
      <c r="E601" s="82"/>
      <c r="F601" s="82"/>
      <c r="G601" s="82"/>
      <c r="I601" s="77"/>
      <c r="J601" s="89"/>
    </row>
    <row r="602" spans="1:10">
      <c r="A602" s="88"/>
      <c r="D602" s="82"/>
      <c r="E602" s="82"/>
      <c r="F602" s="82"/>
      <c r="G602" s="82"/>
      <c r="I602" s="77"/>
      <c r="J602" s="89"/>
    </row>
    <row r="603" spans="1:10">
      <c r="A603" s="88"/>
      <c r="D603" s="82"/>
      <c r="E603" s="82"/>
      <c r="F603" s="82"/>
      <c r="G603" s="82"/>
      <c r="I603" s="77"/>
      <c r="J603" s="89"/>
    </row>
    <row r="604" spans="1:10">
      <c r="A604" s="88"/>
      <c r="D604" s="82"/>
      <c r="E604" s="82"/>
      <c r="F604" s="82"/>
      <c r="G604" s="82"/>
      <c r="I604" s="77"/>
      <c r="J604" s="89"/>
    </row>
    <row r="605" spans="1:10">
      <c r="A605" s="88"/>
      <c r="D605" s="82"/>
      <c r="E605" s="82"/>
      <c r="F605" s="82"/>
      <c r="G605" s="82"/>
      <c r="I605" s="77"/>
      <c r="J605" s="89"/>
    </row>
    <row r="606" spans="1:10">
      <c r="A606" s="88"/>
      <c r="D606" s="82"/>
      <c r="E606" s="82"/>
      <c r="F606" s="82"/>
      <c r="G606" s="82"/>
      <c r="I606" s="77"/>
      <c r="J606" s="89"/>
    </row>
    <row r="607" spans="1:10">
      <c r="A607" s="88"/>
      <c r="D607" s="82"/>
      <c r="E607" s="82"/>
      <c r="F607" s="82"/>
      <c r="G607" s="82"/>
      <c r="I607" s="77"/>
      <c r="J607" s="89"/>
    </row>
    <row r="608" spans="1:10">
      <c r="A608" s="88"/>
      <c r="D608" s="82"/>
      <c r="E608" s="82"/>
      <c r="F608" s="82"/>
      <c r="G608" s="82"/>
      <c r="I608" s="77"/>
      <c r="J608" s="89"/>
    </row>
    <row r="609" spans="1:10">
      <c r="A609" s="88"/>
      <c r="D609" s="82"/>
      <c r="E609" s="82"/>
      <c r="F609" s="82"/>
      <c r="G609" s="82"/>
      <c r="I609" s="77"/>
      <c r="J609" s="89"/>
    </row>
    <row r="610" spans="1:10">
      <c r="A610" s="88"/>
      <c r="D610" s="82"/>
      <c r="E610" s="82"/>
      <c r="F610" s="82"/>
      <c r="G610" s="82"/>
      <c r="I610" s="77"/>
      <c r="J610" s="89"/>
    </row>
    <row r="611" spans="1:10">
      <c r="A611" s="88"/>
      <c r="D611" s="82"/>
      <c r="E611" s="82"/>
      <c r="F611" s="82"/>
      <c r="G611" s="82"/>
      <c r="I611" s="77"/>
      <c r="J611" s="89"/>
    </row>
    <row r="612" spans="1:10">
      <c r="A612" s="88"/>
      <c r="D612" s="82"/>
      <c r="E612" s="82"/>
      <c r="F612" s="82"/>
      <c r="G612" s="82"/>
      <c r="I612" s="77"/>
      <c r="J612" s="89"/>
    </row>
    <row r="613" spans="1:10">
      <c r="A613" s="88"/>
      <c r="D613" s="82"/>
      <c r="E613" s="82"/>
      <c r="F613" s="82"/>
      <c r="G613" s="82"/>
      <c r="I613" s="77"/>
      <c r="J613" s="89"/>
    </row>
    <row r="614" spans="1:10">
      <c r="A614" s="88"/>
      <c r="D614" s="82"/>
      <c r="E614" s="82"/>
      <c r="F614" s="82"/>
      <c r="G614" s="82"/>
      <c r="I614" s="77"/>
      <c r="J614" s="89"/>
    </row>
    <row r="615" spans="1:10">
      <c r="A615" s="88"/>
      <c r="D615" s="82"/>
      <c r="E615" s="82"/>
      <c r="F615" s="82"/>
      <c r="G615" s="82"/>
      <c r="I615" s="77"/>
      <c r="J615" s="89"/>
    </row>
    <row r="616" spans="1:10">
      <c r="A616" s="88"/>
      <c r="D616" s="82"/>
      <c r="E616" s="82"/>
      <c r="F616" s="82"/>
      <c r="G616" s="82"/>
      <c r="I616" s="77"/>
      <c r="J616" s="89"/>
    </row>
    <row r="617" spans="1:10">
      <c r="A617" s="88"/>
      <c r="D617" s="82"/>
      <c r="E617" s="82"/>
      <c r="F617" s="82"/>
      <c r="G617" s="82"/>
      <c r="I617" s="77"/>
      <c r="J617" s="89"/>
    </row>
    <row r="618" spans="1:10">
      <c r="A618" s="88"/>
      <c r="D618" s="82"/>
      <c r="E618" s="82"/>
      <c r="F618" s="82"/>
      <c r="G618" s="82"/>
      <c r="I618" s="77"/>
      <c r="J618" s="89"/>
    </row>
    <row r="619" spans="1:10">
      <c r="A619" s="88"/>
      <c r="D619" s="82"/>
      <c r="E619" s="82"/>
      <c r="F619" s="82"/>
      <c r="G619" s="82"/>
      <c r="I619" s="77"/>
      <c r="J619" s="89"/>
    </row>
    <row r="620" spans="1:10">
      <c r="A620" s="88"/>
      <c r="D620" s="82"/>
      <c r="E620" s="82"/>
      <c r="F620" s="82"/>
      <c r="G620" s="82"/>
      <c r="I620" s="77"/>
      <c r="J620" s="89"/>
    </row>
    <row r="621" spans="1:10">
      <c r="A621" s="88"/>
      <c r="D621" s="82"/>
      <c r="E621" s="82"/>
      <c r="F621" s="82"/>
      <c r="G621" s="82"/>
      <c r="I621" s="77"/>
      <c r="J621" s="89"/>
    </row>
    <row r="622" spans="1:10">
      <c r="A622" s="88"/>
      <c r="D622" s="82"/>
      <c r="E622" s="82"/>
      <c r="F622" s="82"/>
      <c r="G622" s="82"/>
      <c r="I622" s="77"/>
      <c r="J622" s="89"/>
    </row>
    <row r="623" spans="1:10">
      <c r="A623" s="88"/>
      <c r="D623" s="82"/>
      <c r="E623" s="82"/>
      <c r="F623" s="82"/>
      <c r="G623" s="82"/>
      <c r="I623" s="77"/>
      <c r="J623" s="89"/>
    </row>
    <row r="624" spans="1:10">
      <c r="A624" s="88"/>
      <c r="D624" s="82"/>
      <c r="E624" s="82"/>
      <c r="F624" s="82"/>
      <c r="G624" s="82"/>
      <c r="I624" s="77"/>
      <c r="J624" s="89"/>
    </row>
    <row r="625" spans="1:10">
      <c r="A625" s="88"/>
      <c r="D625" s="82"/>
      <c r="E625" s="82"/>
      <c r="F625" s="82"/>
      <c r="G625" s="82"/>
      <c r="I625" s="77"/>
      <c r="J625" s="89"/>
    </row>
    <row r="626" spans="1:10">
      <c r="A626" s="88"/>
      <c r="D626" s="82"/>
      <c r="E626" s="82"/>
      <c r="F626" s="82"/>
      <c r="G626" s="82"/>
      <c r="I626" s="77"/>
      <c r="J626" s="89"/>
    </row>
    <row r="627" spans="1:10">
      <c r="A627" s="88"/>
      <c r="D627" s="82"/>
      <c r="E627" s="82"/>
      <c r="F627" s="82"/>
      <c r="G627" s="82"/>
      <c r="I627" s="77"/>
      <c r="J627" s="89"/>
    </row>
    <row r="628" spans="1:10">
      <c r="A628" s="88"/>
      <c r="D628" s="82"/>
      <c r="E628" s="82"/>
      <c r="F628" s="82"/>
      <c r="G628" s="82"/>
      <c r="I628" s="77"/>
      <c r="J628" s="89"/>
    </row>
    <row r="629" spans="1:10">
      <c r="A629" s="88"/>
      <c r="D629" s="82"/>
      <c r="E629" s="82"/>
      <c r="F629" s="82"/>
      <c r="G629" s="82"/>
      <c r="I629" s="77"/>
      <c r="J629" s="89"/>
    </row>
    <row r="630" spans="1:10">
      <c r="A630" s="88"/>
      <c r="D630" s="82"/>
      <c r="E630" s="82"/>
      <c r="F630" s="82"/>
      <c r="G630" s="82"/>
      <c r="I630" s="77"/>
      <c r="J630" s="89"/>
    </row>
    <row r="631" spans="1:10">
      <c r="A631" s="88"/>
      <c r="D631" s="82"/>
      <c r="E631" s="82"/>
      <c r="F631" s="82"/>
      <c r="G631" s="82"/>
      <c r="I631" s="77"/>
      <c r="J631" s="89"/>
    </row>
    <row r="632" spans="1:10">
      <c r="A632" s="88"/>
      <c r="D632" s="82"/>
      <c r="E632" s="82"/>
      <c r="F632" s="82"/>
      <c r="G632" s="82"/>
      <c r="I632" s="77"/>
      <c r="J632" s="89"/>
    </row>
    <row r="633" spans="1:10">
      <c r="A633" s="88"/>
      <c r="D633" s="82"/>
      <c r="E633" s="82"/>
      <c r="F633" s="82"/>
      <c r="G633" s="82"/>
      <c r="I633" s="77"/>
      <c r="J633" s="89"/>
    </row>
    <row r="634" spans="1:10">
      <c r="A634" s="88"/>
      <c r="D634" s="82"/>
      <c r="E634" s="82"/>
      <c r="F634" s="82"/>
      <c r="G634" s="82"/>
      <c r="I634" s="77"/>
      <c r="J634" s="89"/>
    </row>
    <row r="635" spans="1:10">
      <c r="A635" s="88"/>
      <c r="D635" s="82"/>
      <c r="E635" s="82"/>
      <c r="F635" s="82"/>
      <c r="G635" s="82"/>
      <c r="I635" s="77"/>
      <c r="J635" s="89"/>
    </row>
    <row r="636" spans="1:10">
      <c r="A636" s="88"/>
      <c r="D636" s="82"/>
      <c r="E636" s="82"/>
      <c r="F636" s="82"/>
      <c r="G636" s="82"/>
      <c r="I636" s="77"/>
      <c r="J636" s="89"/>
    </row>
    <row r="637" spans="1:10">
      <c r="A637" s="88"/>
      <c r="D637" s="82"/>
      <c r="E637" s="82"/>
      <c r="F637" s="82"/>
      <c r="G637" s="82"/>
      <c r="I637" s="77"/>
      <c r="J637" s="89"/>
    </row>
    <row r="638" spans="1:10">
      <c r="A638" s="88"/>
      <c r="D638" s="82"/>
      <c r="E638" s="82"/>
      <c r="F638" s="82"/>
      <c r="G638" s="82"/>
      <c r="I638" s="77"/>
      <c r="J638" s="89"/>
    </row>
    <row r="639" spans="1:10">
      <c r="A639" s="88"/>
      <c r="D639" s="82"/>
      <c r="E639" s="82"/>
      <c r="F639" s="82"/>
      <c r="G639" s="82"/>
      <c r="I639" s="77"/>
      <c r="J639" s="89"/>
    </row>
    <row r="640" spans="1:10">
      <c r="A640" s="88"/>
      <c r="D640" s="82"/>
      <c r="E640" s="82"/>
      <c r="F640" s="82"/>
      <c r="G640" s="82"/>
      <c r="I640" s="77"/>
      <c r="J640" s="89"/>
    </row>
    <row r="641" spans="1:10">
      <c r="A641" s="88"/>
      <c r="D641" s="82"/>
      <c r="E641" s="82"/>
      <c r="F641" s="82"/>
      <c r="G641" s="82"/>
      <c r="I641" s="77"/>
      <c r="J641" s="89"/>
    </row>
    <row r="642" spans="1:10">
      <c r="A642" s="88"/>
      <c r="D642" s="82"/>
      <c r="E642" s="82"/>
      <c r="F642" s="82"/>
      <c r="G642" s="82"/>
      <c r="I642" s="77"/>
      <c r="J642" s="89"/>
    </row>
    <row r="643" spans="1:10">
      <c r="A643" s="88"/>
      <c r="D643" s="82"/>
      <c r="E643" s="82"/>
      <c r="F643" s="82"/>
      <c r="G643" s="82"/>
      <c r="I643" s="77"/>
      <c r="J643" s="89"/>
    </row>
    <row r="644" spans="1:10">
      <c r="A644" s="88"/>
      <c r="D644" s="82"/>
      <c r="E644" s="82"/>
      <c r="F644" s="82"/>
      <c r="G644" s="82"/>
      <c r="I644" s="77"/>
      <c r="J644" s="89"/>
    </row>
    <row r="645" spans="1:10">
      <c r="A645" s="88"/>
      <c r="D645" s="82"/>
      <c r="E645" s="82"/>
      <c r="F645" s="82"/>
      <c r="G645" s="82"/>
      <c r="I645" s="77"/>
      <c r="J645" s="89"/>
    </row>
    <row r="646" spans="1:10">
      <c r="A646" s="88"/>
      <c r="D646" s="82"/>
      <c r="E646" s="82"/>
      <c r="F646" s="82"/>
      <c r="G646" s="82"/>
      <c r="I646" s="77"/>
      <c r="J646" s="89"/>
    </row>
    <row r="647" spans="1:10">
      <c r="A647" s="88"/>
      <c r="D647" s="82"/>
      <c r="E647" s="82"/>
      <c r="F647" s="82"/>
      <c r="G647" s="82"/>
      <c r="I647" s="77"/>
      <c r="J647" s="89"/>
    </row>
    <row r="648" spans="1:10">
      <c r="A648" s="88"/>
      <c r="D648" s="82"/>
      <c r="E648" s="82"/>
      <c r="F648" s="82"/>
      <c r="G648" s="82"/>
      <c r="I648" s="77"/>
      <c r="J648" s="89"/>
    </row>
    <row r="649" spans="1:10">
      <c r="A649" s="88"/>
      <c r="D649" s="82"/>
      <c r="E649" s="82"/>
      <c r="F649" s="82"/>
      <c r="G649" s="82"/>
      <c r="I649" s="77"/>
      <c r="J649" s="89"/>
    </row>
    <row r="650" spans="1:10">
      <c r="A650" s="88"/>
      <c r="D650" s="82"/>
      <c r="E650" s="82"/>
      <c r="F650" s="82"/>
      <c r="G650" s="82"/>
      <c r="I650" s="77"/>
      <c r="J650" s="89"/>
    </row>
    <row r="651" spans="1:10">
      <c r="A651" s="88"/>
      <c r="D651" s="82"/>
      <c r="E651" s="82"/>
      <c r="F651" s="82"/>
      <c r="G651" s="82"/>
      <c r="I651" s="77"/>
      <c r="J651" s="89"/>
    </row>
    <row r="652" spans="1:10">
      <c r="A652" s="88"/>
      <c r="D652" s="82"/>
      <c r="E652" s="82"/>
      <c r="F652" s="82"/>
      <c r="G652" s="82"/>
      <c r="I652" s="77"/>
      <c r="J652" s="89"/>
    </row>
    <row r="653" spans="1:10">
      <c r="A653" s="88"/>
      <c r="D653" s="82"/>
      <c r="E653" s="82"/>
      <c r="F653" s="82"/>
      <c r="G653" s="82"/>
      <c r="I653" s="77"/>
      <c r="J653" s="89"/>
    </row>
    <row r="654" spans="1:10">
      <c r="A654" s="88"/>
      <c r="D654" s="82"/>
      <c r="E654" s="82"/>
      <c r="F654" s="82"/>
      <c r="G654" s="82"/>
      <c r="I654" s="77"/>
      <c r="J654" s="89"/>
    </row>
    <row r="655" spans="1:10">
      <c r="A655" s="88"/>
      <c r="D655" s="82"/>
      <c r="E655" s="82"/>
      <c r="F655" s="82"/>
      <c r="G655" s="82"/>
      <c r="I655" s="77"/>
      <c r="J655" s="89"/>
    </row>
    <row r="656" spans="1:10">
      <c r="A656" s="88"/>
      <c r="D656" s="82"/>
      <c r="E656" s="82"/>
      <c r="F656" s="82"/>
      <c r="G656" s="82"/>
      <c r="I656" s="77"/>
      <c r="J656" s="89"/>
    </row>
    <row r="657" spans="1:10">
      <c r="A657" s="88"/>
      <c r="D657" s="82"/>
      <c r="E657" s="82"/>
      <c r="F657" s="82"/>
      <c r="G657" s="82"/>
      <c r="I657" s="77"/>
      <c r="J657" s="89"/>
    </row>
    <row r="658" spans="1:10">
      <c r="A658" s="88"/>
      <c r="D658" s="82"/>
      <c r="E658" s="82"/>
      <c r="F658" s="82"/>
      <c r="G658" s="82"/>
      <c r="I658" s="77"/>
      <c r="J658" s="89"/>
    </row>
    <row r="659" spans="1:10">
      <c r="A659" s="88"/>
      <c r="D659" s="82"/>
      <c r="E659" s="82"/>
      <c r="F659" s="82"/>
      <c r="G659" s="82"/>
      <c r="I659" s="77"/>
      <c r="J659" s="89"/>
    </row>
    <row r="660" spans="1:10">
      <c r="A660" s="88"/>
      <c r="D660" s="82"/>
      <c r="E660" s="82"/>
      <c r="F660" s="82"/>
      <c r="G660" s="82"/>
      <c r="I660" s="77"/>
      <c r="J660" s="89"/>
    </row>
    <row r="661" spans="1:10">
      <c r="A661" s="88"/>
      <c r="D661" s="82"/>
      <c r="E661" s="82"/>
      <c r="F661" s="82"/>
      <c r="G661" s="82"/>
      <c r="I661" s="77"/>
      <c r="J661" s="89"/>
    </row>
    <row r="662" spans="1:10">
      <c r="A662" s="88"/>
      <c r="D662" s="82"/>
      <c r="E662" s="82"/>
      <c r="F662" s="82"/>
      <c r="G662" s="82"/>
      <c r="I662" s="77"/>
      <c r="J662" s="89"/>
    </row>
    <row r="663" spans="1:10">
      <c r="A663" s="88"/>
      <c r="D663" s="82"/>
      <c r="E663" s="82"/>
      <c r="F663" s="82"/>
      <c r="G663" s="82"/>
      <c r="I663" s="77"/>
      <c r="J663" s="89"/>
    </row>
    <row r="664" spans="1:10">
      <c r="A664" s="88"/>
      <c r="D664" s="82"/>
      <c r="E664" s="82"/>
      <c r="F664" s="82"/>
      <c r="G664" s="82"/>
      <c r="I664" s="77"/>
      <c r="J664" s="89"/>
    </row>
    <row r="665" spans="1:10">
      <c r="A665" s="88"/>
      <c r="D665" s="82"/>
      <c r="E665" s="82"/>
      <c r="F665" s="82"/>
      <c r="G665" s="82"/>
      <c r="I665" s="77"/>
      <c r="J665" s="89"/>
    </row>
    <row r="666" spans="1:10">
      <c r="A666" s="88"/>
      <c r="D666" s="82"/>
      <c r="E666" s="82"/>
      <c r="F666" s="82"/>
      <c r="G666" s="82"/>
      <c r="I666" s="77"/>
      <c r="J666" s="89"/>
    </row>
    <row r="667" spans="1:10">
      <c r="A667" s="88"/>
      <c r="D667" s="82"/>
      <c r="E667" s="82"/>
      <c r="F667" s="82"/>
      <c r="G667" s="82"/>
      <c r="I667" s="77"/>
      <c r="J667" s="89"/>
    </row>
    <row r="668" spans="1:10">
      <c r="A668" s="88"/>
      <c r="D668" s="82"/>
      <c r="E668" s="82"/>
      <c r="F668" s="82"/>
      <c r="G668" s="82"/>
      <c r="I668" s="77"/>
      <c r="J668" s="89"/>
    </row>
    <row r="669" spans="1:10">
      <c r="A669" s="88"/>
      <c r="D669" s="82"/>
      <c r="E669" s="82"/>
      <c r="F669" s="82"/>
      <c r="G669" s="82"/>
      <c r="I669" s="77"/>
      <c r="J669" s="89"/>
    </row>
    <row r="670" spans="1:10">
      <c r="A670" s="88"/>
      <c r="D670" s="82"/>
      <c r="E670" s="82"/>
      <c r="F670" s="82"/>
      <c r="G670" s="82"/>
      <c r="I670" s="77"/>
      <c r="J670" s="89"/>
    </row>
    <row r="671" spans="1:10">
      <c r="A671" s="88"/>
      <c r="D671" s="82"/>
      <c r="E671" s="82"/>
      <c r="F671" s="82"/>
      <c r="G671" s="82"/>
      <c r="I671" s="77"/>
      <c r="J671" s="89"/>
    </row>
    <row r="672" spans="1:10">
      <c r="A672" s="88"/>
      <c r="D672" s="82"/>
      <c r="E672" s="82"/>
      <c r="F672" s="82"/>
      <c r="G672" s="82"/>
      <c r="I672" s="77"/>
      <c r="J672" s="89"/>
    </row>
    <row r="673" spans="1:10">
      <c r="A673" s="88"/>
      <c r="D673" s="82"/>
      <c r="E673" s="82"/>
      <c r="F673" s="82"/>
      <c r="G673" s="82"/>
      <c r="I673" s="77"/>
      <c r="J673" s="89"/>
    </row>
    <row r="674" spans="1:10">
      <c r="A674" s="88"/>
      <c r="D674" s="82"/>
      <c r="E674" s="82"/>
      <c r="F674" s="82"/>
      <c r="G674" s="82"/>
      <c r="I674" s="77"/>
      <c r="J674" s="89"/>
    </row>
    <row r="675" spans="1:10">
      <c r="A675" s="88"/>
      <c r="D675" s="82"/>
      <c r="E675" s="82"/>
      <c r="F675" s="82"/>
      <c r="G675" s="82"/>
      <c r="I675" s="77"/>
      <c r="J675" s="89"/>
    </row>
    <row r="676" spans="1:10">
      <c r="A676" s="88"/>
      <c r="D676" s="82"/>
      <c r="E676" s="82"/>
      <c r="F676" s="82"/>
      <c r="G676" s="82"/>
      <c r="I676" s="77"/>
      <c r="J676" s="89"/>
    </row>
    <row r="677" spans="1:10">
      <c r="A677" s="88"/>
      <c r="D677" s="82"/>
      <c r="E677" s="82"/>
      <c r="F677" s="82"/>
      <c r="G677" s="82"/>
      <c r="I677" s="77"/>
      <c r="J677" s="89"/>
    </row>
    <row r="678" spans="1:10">
      <c r="A678" s="88"/>
      <c r="D678" s="82"/>
      <c r="E678" s="82"/>
      <c r="F678" s="82"/>
      <c r="G678" s="82"/>
      <c r="I678" s="77"/>
      <c r="J678" s="89"/>
    </row>
    <row r="679" spans="1:10">
      <c r="A679" s="88"/>
      <c r="D679" s="82"/>
      <c r="E679" s="82"/>
      <c r="F679" s="82"/>
      <c r="G679" s="82"/>
      <c r="I679" s="77"/>
      <c r="J679" s="89"/>
    </row>
    <row r="680" spans="1:10">
      <c r="A680" s="88"/>
      <c r="D680" s="82"/>
      <c r="E680" s="82"/>
      <c r="F680" s="82"/>
      <c r="G680" s="82"/>
      <c r="I680" s="77"/>
      <c r="J680" s="89"/>
    </row>
    <row r="681" spans="1:10">
      <c r="A681" s="88"/>
      <c r="D681" s="82"/>
      <c r="E681" s="82"/>
      <c r="F681" s="82"/>
      <c r="G681" s="82"/>
      <c r="I681" s="77"/>
      <c r="J681" s="89"/>
    </row>
    <row r="682" spans="1:10">
      <c r="A682" s="88"/>
      <c r="D682" s="82"/>
      <c r="E682" s="82"/>
      <c r="F682" s="82"/>
      <c r="G682" s="82"/>
      <c r="I682" s="77"/>
      <c r="J682" s="89"/>
    </row>
    <row r="683" spans="1:10">
      <c r="A683" s="88"/>
      <c r="D683" s="82"/>
      <c r="E683" s="82"/>
      <c r="F683" s="82"/>
      <c r="G683" s="82"/>
      <c r="I683" s="77"/>
      <c r="J683" s="89"/>
    </row>
    <row r="684" spans="1:10">
      <c r="A684" s="88"/>
      <c r="D684" s="82"/>
      <c r="E684" s="82"/>
      <c r="F684" s="82"/>
      <c r="G684" s="82"/>
      <c r="I684" s="77"/>
      <c r="J684" s="89"/>
    </row>
    <row r="685" spans="1:10">
      <c r="A685" s="88"/>
      <c r="D685" s="82"/>
      <c r="E685" s="82"/>
      <c r="F685" s="82"/>
      <c r="G685" s="82"/>
      <c r="I685" s="77"/>
      <c r="J685" s="89"/>
    </row>
    <row r="686" spans="1:10">
      <c r="A686" s="88"/>
      <c r="D686" s="82"/>
      <c r="E686" s="82"/>
      <c r="F686" s="82"/>
      <c r="G686" s="82"/>
      <c r="I686" s="77"/>
      <c r="J686" s="89"/>
    </row>
    <row r="687" spans="1:10">
      <c r="A687" s="88"/>
      <c r="D687" s="82"/>
      <c r="E687" s="82"/>
      <c r="F687" s="82"/>
      <c r="G687" s="82"/>
      <c r="I687" s="77"/>
      <c r="J687" s="89"/>
    </row>
    <row r="688" spans="1:10">
      <c r="A688" s="88"/>
      <c r="D688" s="82"/>
      <c r="E688" s="82"/>
      <c r="F688" s="82"/>
      <c r="G688" s="82"/>
      <c r="I688" s="77"/>
      <c r="J688" s="89"/>
    </row>
    <row r="689" spans="1:10">
      <c r="A689" s="88"/>
      <c r="D689" s="82"/>
      <c r="E689" s="82"/>
      <c r="F689" s="82"/>
      <c r="G689" s="82"/>
      <c r="I689" s="77"/>
      <c r="J689" s="89"/>
    </row>
    <row r="690" spans="1:10">
      <c r="A690" s="88"/>
      <c r="D690" s="82"/>
      <c r="E690" s="82"/>
      <c r="F690" s="82"/>
      <c r="G690" s="82"/>
      <c r="I690" s="77"/>
      <c r="J690" s="89"/>
    </row>
    <row r="691" spans="1:10">
      <c r="A691" s="88"/>
      <c r="D691" s="82"/>
      <c r="E691" s="82"/>
      <c r="F691" s="82"/>
      <c r="G691" s="82"/>
      <c r="I691" s="77"/>
      <c r="J691" s="89"/>
    </row>
    <row r="692" spans="1:10">
      <c r="A692" s="88"/>
      <c r="D692" s="82"/>
      <c r="E692" s="82"/>
      <c r="F692" s="82"/>
      <c r="G692" s="82"/>
      <c r="I692" s="77"/>
      <c r="J692" s="89"/>
    </row>
    <row r="693" spans="1:10">
      <c r="A693" s="88"/>
      <c r="D693" s="82"/>
      <c r="E693" s="82"/>
      <c r="F693" s="82"/>
      <c r="G693" s="82"/>
      <c r="I693" s="77"/>
      <c r="J693" s="89"/>
    </row>
    <row r="694" spans="1:10">
      <c r="A694" s="88"/>
      <c r="D694" s="82"/>
      <c r="E694" s="82"/>
      <c r="F694" s="82"/>
      <c r="G694" s="82"/>
      <c r="I694" s="77"/>
      <c r="J694" s="89"/>
    </row>
    <row r="695" spans="1:10">
      <c r="A695" s="88"/>
      <c r="D695" s="82"/>
      <c r="E695" s="82"/>
      <c r="F695" s="82"/>
      <c r="G695" s="82"/>
      <c r="I695" s="77"/>
      <c r="J695" s="89"/>
    </row>
    <row r="696" spans="1:10">
      <c r="A696" s="88"/>
      <c r="D696" s="82"/>
      <c r="E696" s="82"/>
      <c r="F696" s="82"/>
      <c r="G696" s="82"/>
      <c r="I696" s="77"/>
      <c r="J696" s="89"/>
    </row>
    <row r="697" spans="1:10">
      <c r="A697" s="88"/>
      <c r="D697" s="82"/>
      <c r="E697" s="82"/>
      <c r="F697" s="82"/>
      <c r="G697" s="82"/>
      <c r="I697" s="77"/>
      <c r="J697" s="89"/>
    </row>
    <row r="698" spans="1:10">
      <c r="A698" s="88"/>
      <c r="D698" s="82"/>
      <c r="E698" s="82"/>
      <c r="F698" s="82"/>
      <c r="G698" s="82"/>
      <c r="I698" s="77"/>
      <c r="J698" s="89"/>
    </row>
    <row r="699" spans="1:10">
      <c r="A699" s="88"/>
      <c r="D699" s="82"/>
      <c r="E699" s="82"/>
      <c r="F699" s="82"/>
      <c r="G699" s="82"/>
      <c r="I699" s="77"/>
      <c r="J699" s="89"/>
    </row>
    <row r="700" spans="1:10">
      <c r="A700" s="88"/>
      <c r="D700" s="82"/>
      <c r="E700" s="82"/>
      <c r="F700" s="82"/>
      <c r="G700" s="82"/>
      <c r="I700" s="77"/>
      <c r="J700" s="89"/>
    </row>
    <row r="701" spans="1:10">
      <c r="A701" s="88"/>
      <c r="D701" s="82"/>
      <c r="E701" s="82"/>
      <c r="F701" s="82"/>
      <c r="G701" s="82"/>
      <c r="I701" s="77"/>
      <c r="J701" s="89"/>
    </row>
    <row r="702" spans="1:10">
      <c r="A702" s="88"/>
      <c r="D702" s="82"/>
      <c r="E702" s="82"/>
      <c r="F702" s="82"/>
      <c r="G702" s="82"/>
      <c r="I702" s="77"/>
      <c r="J702" s="89"/>
    </row>
    <row r="703" spans="1:10">
      <c r="A703" s="88"/>
      <c r="D703" s="82"/>
      <c r="E703" s="82"/>
      <c r="F703" s="82"/>
      <c r="G703" s="82"/>
      <c r="I703" s="77"/>
      <c r="J703" s="89"/>
    </row>
    <row r="704" spans="1:10">
      <c r="A704" s="88"/>
      <c r="D704" s="82"/>
      <c r="E704" s="82"/>
      <c r="F704" s="82"/>
      <c r="G704" s="82"/>
      <c r="I704" s="77"/>
      <c r="J704" s="89"/>
    </row>
    <row r="705" spans="1:10">
      <c r="A705" s="88"/>
      <c r="D705" s="82"/>
      <c r="E705" s="82"/>
      <c r="F705" s="82"/>
      <c r="G705" s="82"/>
      <c r="I705" s="77"/>
      <c r="J705" s="89"/>
    </row>
    <row r="706" spans="1:10">
      <c r="A706" s="88"/>
      <c r="D706" s="82"/>
      <c r="E706" s="82"/>
      <c r="F706" s="82"/>
      <c r="G706" s="82"/>
      <c r="I706" s="77"/>
      <c r="J706" s="89"/>
    </row>
    <row r="707" spans="1:10">
      <c r="A707" s="88"/>
      <c r="D707" s="82"/>
      <c r="E707" s="82"/>
      <c r="F707" s="82"/>
      <c r="G707" s="82"/>
      <c r="I707" s="77"/>
      <c r="J707" s="89"/>
    </row>
    <row r="708" spans="1:10">
      <c r="A708" s="88"/>
      <c r="D708" s="82"/>
      <c r="E708" s="82"/>
      <c r="F708" s="82"/>
      <c r="G708" s="82"/>
      <c r="I708" s="77"/>
      <c r="J708" s="89"/>
    </row>
    <row r="709" spans="1:10">
      <c r="A709" s="88"/>
      <c r="D709" s="82"/>
      <c r="E709" s="82"/>
      <c r="F709" s="82"/>
      <c r="G709" s="82"/>
      <c r="I709" s="77"/>
      <c r="J709" s="89"/>
    </row>
    <row r="710" spans="1:10">
      <c r="A710" s="88"/>
      <c r="D710" s="82"/>
      <c r="E710" s="82"/>
      <c r="F710" s="82"/>
      <c r="G710" s="82"/>
      <c r="I710" s="77"/>
      <c r="J710" s="89"/>
    </row>
    <row r="711" spans="1:10">
      <c r="A711" s="88"/>
      <c r="D711" s="82"/>
      <c r="E711" s="82"/>
      <c r="F711" s="82"/>
      <c r="G711" s="82"/>
      <c r="I711" s="77"/>
      <c r="J711" s="89"/>
    </row>
    <row r="712" spans="1:10">
      <c r="A712" s="88"/>
      <c r="D712" s="82"/>
      <c r="E712" s="82"/>
      <c r="F712" s="82"/>
      <c r="G712" s="82"/>
      <c r="I712" s="77"/>
      <c r="J712" s="89"/>
    </row>
    <row r="713" spans="1:10">
      <c r="A713" s="88"/>
      <c r="D713" s="82"/>
      <c r="E713" s="82"/>
      <c r="F713" s="82"/>
      <c r="G713" s="82"/>
      <c r="I713" s="77"/>
      <c r="J713" s="89"/>
    </row>
    <row r="714" spans="1:10">
      <c r="A714" s="88"/>
      <c r="D714" s="82"/>
      <c r="E714" s="82"/>
      <c r="F714" s="82"/>
      <c r="G714" s="82"/>
      <c r="I714" s="77"/>
      <c r="J714" s="89"/>
    </row>
    <row r="715" spans="1:10">
      <c r="A715" s="88"/>
      <c r="D715" s="82"/>
      <c r="E715" s="82"/>
      <c r="F715" s="82"/>
      <c r="G715" s="82"/>
      <c r="I715" s="77"/>
      <c r="J715" s="89"/>
    </row>
    <row r="716" spans="1:10">
      <c r="A716" s="88"/>
      <c r="D716" s="82"/>
      <c r="E716" s="82"/>
      <c r="F716" s="82"/>
      <c r="G716" s="82"/>
      <c r="I716" s="77"/>
      <c r="J716" s="89"/>
    </row>
    <row r="717" spans="1:10">
      <c r="A717" s="88"/>
      <c r="D717" s="82"/>
      <c r="E717" s="82"/>
      <c r="F717" s="82"/>
      <c r="G717" s="82"/>
      <c r="I717" s="77"/>
      <c r="J717" s="89"/>
    </row>
    <row r="718" spans="1:10">
      <c r="A718" s="88"/>
      <c r="D718" s="82"/>
      <c r="E718" s="82"/>
      <c r="F718" s="82"/>
      <c r="G718" s="82"/>
      <c r="I718" s="77"/>
      <c r="J718" s="89"/>
    </row>
    <row r="719" spans="1:10">
      <c r="A719" s="88"/>
      <c r="D719" s="82"/>
      <c r="E719" s="82"/>
      <c r="F719" s="82"/>
      <c r="G719" s="82"/>
      <c r="I719" s="77"/>
      <c r="J719" s="89"/>
    </row>
    <row r="720" spans="1:10">
      <c r="A720" s="88"/>
      <c r="D720" s="82"/>
      <c r="E720" s="82"/>
      <c r="F720" s="82"/>
      <c r="G720" s="82"/>
      <c r="I720" s="77"/>
      <c r="J720" s="89"/>
    </row>
    <row r="721" spans="1:10">
      <c r="A721" s="88"/>
      <c r="D721" s="82"/>
      <c r="E721" s="82"/>
      <c r="F721" s="82"/>
      <c r="G721" s="82"/>
      <c r="I721" s="77"/>
      <c r="J721" s="89"/>
    </row>
    <row r="722" spans="1:10">
      <c r="A722" s="88"/>
      <c r="D722" s="82"/>
      <c r="E722" s="82"/>
      <c r="F722" s="82"/>
      <c r="G722" s="82"/>
      <c r="I722" s="77"/>
      <c r="J722" s="89"/>
    </row>
    <row r="723" spans="1:10">
      <c r="A723" s="88"/>
      <c r="D723" s="82"/>
      <c r="E723" s="82"/>
      <c r="F723" s="82"/>
      <c r="G723" s="82"/>
      <c r="I723" s="77"/>
      <c r="J723" s="89"/>
    </row>
    <row r="724" spans="1:10">
      <c r="A724" s="88"/>
      <c r="D724" s="82"/>
      <c r="E724" s="82"/>
      <c r="F724" s="82"/>
      <c r="G724" s="82"/>
      <c r="I724" s="77"/>
      <c r="J724" s="89"/>
    </row>
    <row r="725" spans="1:10">
      <c r="A725" s="88"/>
      <c r="D725" s="82"/>
      <c r="E725" s="82"/>
      <c r="F725" s="82"/>
      <c r="G725" s="82"/>
      <c r="I725" s="77"/>
      <c r="J725" s="89"/>
    </row>
    <row r="726" spans="1:10">
      <c r="A726" s="88"/>
      <c r="D726" s="82"/>
      <c r="E726" s="82"/>
      <c r="F726" s="82"/>
      <c r="G726" s="82"/>
      <c r="I726" s="77"/>
      <c r="J726" s="89"/>
    </row>
    <row r="727" spans="1:10">
      <c r="A727" s="88"/>
      <c r="D727" s="82"/>
      <c r="E727" s="82"/>
      <c r="F727" s="82"/>
      <c r="G727" s="82"/>
      <c r="I727" s="77"/>
      <c r="J727" s="89"/>
    </row>
    <row r="728" spans="1:10">
      <c r="A728" s="88"/>
      <c r="D728" s="82"/>
      <c r="E728" s="82"/>
      <c r="F728" s="82"/>
      <c r="G728" s="82"/>
      <c r="I728" s="77"/>
      <c r="J728" s="89"/>
    </row>
    <row r="729" spans="1:10">
      <c r="A729" s="88"/>
      <c r="D729" s="82"/>
      <c r="E729" s="82"/>
      <c r="F729" s="82"/>
      <c r="G729" s="82"/>
      <c r="I729" s="77"/>
      <c r="J729" s="89"/>
    </row>
    <row r="730" spans="1:10">
      <c r="A730" s="88"/>
      <c r="D730" s="82"/>
      <c r="E730" s="82"/>
      <c r="F730" s="82"/>
      <c r="G730" s="82"/>
      <c r="I730" s="77"/>
      <c r="J730" s="89"/>
    </row>
    <row r="731" spans="1:10">
      <c r="A731" s="88"/>
      <c r="D731" s="82"/>
      <c r="E731" s="82"/>
      <c r="F731" s="82"/>
      <c r="G731" s="82"/>
      <c r="I731" s="77"/>
      <c r="J731" s="89"/>
    </row>
    <row r="732" spans="1:10">
      <c r="A732" s="88"/>
      <c r="D732" s="82"/>
      <c r="E732" s="82"/>
      <c r="F732" s="82"/>
      <c r="G732" s="82"/>
      <c r="I732" s="77"/>
      <c r="J732" s="89"/>
    </row>
    <row r="733" spans="1:10">
      <c r="A733" s="88"/>
      <c r="D733" s="82"/>
      <c r="E733" s="82"/>
      <c r="F733" s="82"/>
      <c r="G733" s="82"/>
      <c r="I733" s="77"/>
      <c r="J733" s="89"/>
    </row>
    <row r="734" spans="1:10">
      <c r="A734" s="88"/>
      <c r="D734" s="82"/>
      <c r="E734" s="82"/>
      <c r="F734" s="82"/>
      <c r="G734" s="82"/>
      <c r="I734" s="77"/>
      <c r="J734" s="89"/>
    </row>
    <row r="735" spans="1:10">
      <c r="A735" s="88"/>
      <c r="D735" s="82"/>
      <c r="E735" s="82"/>
      <c r="F735" s="82"/>
      <c r="G735" s="82"/>
      <c r="I735" s="77"/>
      <c r="J735" s="89"/>
    </row>
    <row r="736" spans="1:10">
      <c r="A736" s="88"/>
      <c r="D736" s="82"/>
      <c r="E736" s="82"/>
      <c r="F736" s="82"/>
      <c r="G736" s="82"/>
      <c r="I736" s="77"/>
      <c r="J736" s="89"/>
    </row>
    <row r="737" spans="1:10">
      <c r="A737" s="88"/>
      <c r="D737" s="82"/>
      <c r="E737" s="82"/>
      <c r="F737" s="82"/>
      <c r="G737" s="82"/>
      <c r="I737" s="77"/>
      <c r="J737" s="89"/>
    </row>
    <row r="738" spans="1:10">
      <c r="A738" s="88"/>
      <c r="D738" s="82"/>
      <c r="E738" s="82"/>
      <c r="F738" s="82"/>
      <c r="G738" s="82"/>
      <c r="I738" s="77"/>
      <c r="J738" s="89"/>
    </row>
    <row r="739" spans="1:10">
      <c r="A739" s="88"/>
      <c r="D739" s="82"/>
      <c r="E739" s="82"/>
      <c r="F739" s="82"/>
      <c r="G739" s="82"/>
      <c r="I739" s="77"/>
      <c r="J739" s="89"/>
    </row>
    <row r="740" spans="1:10">
      <c r="A740" s="88"/>
      <c r="D740" s="82"/>
      <c r="E740" s="82"/>
      <c r="F740" s="82"/>
      <c r="G740" s="82"/>
      <c r="I740" s="77"/>
      <c r="J740" s="89"/>
    </row>
    <row r="741" spans="1:10">
      <c r="A741" s="88"/>
      <c r="D741" s="82"/>
      <c r="E741" s="82"/>
      <c r="F741" s="82"/>
      <c r="G741" s="82"/>
      <c r="I741" s="77"/>
      <c r="J741" s="89"/>
    </row>
    <row r="742" spans="1:10">
      <c r="A742" s="88"/>
      <c r="D742" s="82"/>
      <c r="E742" s="82"/>
      <c r="F742" s="82"/>
      <c r="G742" s="82"/>
      <c r="I742" s="77"/>
      <c r="J742" s="89"/>
    </row>
    <row r="743" spans="1:10">
      <c r="A743" s="88"/>
      <c r="D743" s="82"/>
      <c r="E743" s="82"/>
      <c r="F743" s="82"/>
      <c r="G743" s="82"/>
      <c r="I743" s="77"/>
      <c r="J743" s="89"/>
    </row>
    <row r="744" spans="1:10">
      <c r="A744" s="88"/>
      <c r="D744" s="82"/>
      <c r="E744" s="82"/>
      <c r="F744" s="82"/>
      <c r="G744" s="82"/>
      <c r="I744" s="77"/>
      <c r="J744" s="89"/>
    </row>
    <row r="745" spans="1:10">
      <c r="A745" s="88"/>
      <c r="D745" s="82"/>
      <c r="E745" s="82"/>
      <c r="F745" s="82"/>
      <c r="G745" s="82"/>
      <c r="I745" s="77"/>
      <c r="J745" s="89"/>
    </row>
    <row r="746" spans="1:10">
      <c r="A746" s="88"/>
      <c r="D746" s="82"/>
      <c r="E746" s="82"/>
      <c r="F746" s="82"/>
      <c r="G746" s="82"/>
      <c r="I746" s="77"/>
      <c r="J746" s="89"/>
    </row>
    <row r="747" spans="1:10">
      <c r="A747" s="88"/>
      <c r="D747" s="82"/>
      <c r="E747" s="82"/>
      <c r="F747" s="82"/>
      <c r="G747" s="82"/>
      <c r="I747" s="77"/>
      <c r="J747" s="89"/>
    </row>
    <row r="748" spans="1:10">
      <c r="A748" s="88"/>
      <c r="D748" s="82"/>
      <c r="E748" s="82"/>
      <c r="F748" s="82"/>
      <c r="G748" s="82"/>
      <c r="I748" s="77"/>
      <c r="J748" s="89"/>
    </row>
    <row r="749" spans="1:10">
      <c r="A749" s="88"/>
      <c r="D749" s="82"/>
      <c r="E749" s="82"/>
      <c r="F749" s="82"/>
      <c r="G749" s="82"/>
      <c r="I749" s="77"/>
      <c r="J749" s="89"/>
    </row>
    <row r="750" spans="1:10">
      <c r="A750" s="88"/>
      <c r="D750" s="82"/>
      <c r="E750" s="82"/>
      <c r="F750" s="82"/>
      <c r="G750" s="82"/>
      <c r="I750" s="77"/>
      <c r="J750" s="89"/>
    </row>
    <row r="751" spans="1:10">
      <c r="A751" s="88"/>
      <c r="D751" s="82"/>
      <c r="E751" s="82"/>
      <c r="F751" s="82"/>
      <c r="G751" s="82"/>
      <c r="I751" s="77"/>
      <c r="J751" s="89"/>
    </row>
    <row r="752" spans="1:10">
      <c r="A752" s="88"/>
      <c r="D752" s="82"/>
      <c r="E752" s="82"/>
      <c r="F752" s="82"/>
      <c r="G752" s="82"/>
      <c r="I752" s="77"/>
      <c r="J752" s="89"/>
    </row>
    <row r="753" spans="1:10">
      <c r="A753" s="88"/>
      <c r="D753" s="82"/>
      <c r="E753" s="82"/>
      <c r="F753" s="82"/>
      <c r="G753" s="82"/>
      <c r="I753" s="77"/>
      <c r="J753" s="89"/>
    </row>
    <row r="754" spans="1:10">
      <c r="A754" s="88"/>
      <c r="D754" s="82"/>
      <c r="E754" s="82"/>
      <c r="F754" s="82"/>
      <c r="G754" s="82"/>
      <c r="I754" s="77"/>
      <c r="J754" s="89"/>
    </row>
    <row r="755" spans="1:10">
      <c r="A755" s="88"/>
      <c r="D755" s="82"/>
      <c r="E755" s="82"/>
      <c r="F755" s="82"/>
      <c r="G755" s="82"/>
      <c r="I755" s="77"/>
      <c r="J755" s="89"/>
    </row>
    <row r="756" spans="1:10">
      <c r="A756" s="88"/>
      <c r="D756" s="82"/>
      <c r="E756" s="82"/>
      <c r="F756" s="82"/>
      <c r="G756" s="82"/>
      <c r="I756" s="77"/>
      <c r="J756" s="89"/>
    </row>
    <row r="757" spans="1:10">
      <c r="A757" s="88"/>
      <c r="D757" s="82"/>
      <c r="E757" s="82"/>
      <c r="F757" s="82"/>
      <c r="G757" s="82"/>
      <c r="I757" s="77"/>
      <c r="J757" s="89"/>
    </row>
    <row r="758" spans="1:10">
      <c r="A758" s="88"/>
      <c r="D758" s="82"/>
      <c r="E758" s="82"/>
      <c r="F758" s="82"/>
      <c r="G758" s="82"/>
      <c r="I758" s="77"/>
      <c r="J758" s="89"/>
    </row>
    <row r="759" spans="1:10">
      <c r="A759" s="88"/>
      <c r="D759" s="82"/>
      <c r="E759" s="82"/>
      <c r="F759" s="82"/>
      <c r="G759" s="82"/>
      <c r="I759" s="77"/>
      <c r="J759" s="89"/>
    </row>
    <row r="760" spans="1:10">
      <c r="A760" s="88"/>
      <c r="D760" s="82"/>
      <c r="E760" s="82"/>
      <c r="F760" s="82"/>
      <c r="G760" s="82"/>
      <c r="I760" s="77"/>
      <c r="J760" s="89"/>
    </row>
    <row r="761" spans="1:10">
      <c r="A761" s="88"/>
      <c r="D761" s="82"/>
      <c r="E761" s="82"/>
      <c r="F761" s="82"/>
      <c r="G761" s="82"/>
      <c r="I761" s="77"/>
      <c r="J761" s="89"/>
    </row>
    <row r="762" spans="1:10">
      <c r="A762" s="88"/>
      <c r="D762" s="82"/>
      <c r="E762" s="82"/>
      <c r="F762" s="82"/>
      <c r="G762" s="82"/>
      <c r="I762" s="77"/>
      <c r="J762" s="89"/>
    </row>
    <row r="763" spans="1:10">
      <c r="A763" s="88"/>
      <c r="D763" s="82"/>
      <c r="E763" s="82"/>
      <c r="F763" s="82"/>
      <c r="G763" s="82"/>
      <c r="I763" s="77"/>
      <c r="J763" s="89"/>
    </row>
    <row r="764" spans="1:10">
      <c r="A764" s="88"/>
      <c r="D764" s="82"/>
      <c r="E764" s="82"/>
      <c r="F764" s="82"/>
      <c r="G764" s="82"/>
      <c r="I764" s="77"/>
      <c r="J764" s="89"/>
    </row>
    <row r="765" spans="1:10">
      <c r="A765" s="88"/>
      <c r="D765" s="82"/>
      <c r="E765" s="82"/>
      <c r="F765" s="82"/>
      <c r="G765" s="82"/>
      <c r="I765" s="77"/>
      <c r="J765" s="89"/>
    </row>
    <row r="766" spans="1:10">
      <c r="A766" s="88"/>
      <c r="D766" s="82"/>
      <c r="E766" s="82"/>
      <c r="F766" s="82"/>
      <c r="G766" s="82"/>
      <c r="I766" s="77"/>
      <c r="J766" s="89"/>
    </row>
    <row r="767" spans="1:10">
      <c r="A767" s="88"/>
      <c r="D767" s="82"/>
      <c r="E767" s="82"/>
      <c r="F767" s="82"/>
      <c r="G767" s="82"/>
      <c r="I767" s="77"/>
      <c r="J767" s="89"/>
    </row>
    <row r="768" spans="1:10">
      <c r="A768" s="88"/>
      <c r="D768" s="82"/>
      <c r="E768" s="82"/>
      <c r="F768" s="82"/>
      <c r="G768" s="82"/>
      <c r="I768" s="77"/>
      <c r="J768" s="89"/>
    </row>
    <row r="769" spans="1:10">
      <c r="A769" s="88"/>
      <c r="D769" s="82"/>
      <c r="E769" s="82"/>
      <c r="F769" s="82"/>
      <c r="G769" s="82"/>
      <c r="I769" s="77"/>
      <c r="J769" s="89"/>
    </row>
    <row r="770" spans="1:10">
      <c r="A770" s="88"/>
      <c r="D770" s="82"/>
      <c r="E770" s="82"/>
      <c r="F770" s="82"/>
      <c r="G770" s="82"/>
      <c r="I770" s="77"/>
      <c r="J770" s="89"/>
    </row>
    <row r="771" spans="1:10">
      <c r="A771" s="88"/>
      <c r="D771" s="82"/>
      <c r="E771" s="82"/>
      <c r="F771" s="82"/>
      <c r="G771" s="82"/>
      <c r="I771" s="77"/>
      <c r="J771" s="89"/>
    </row>
    <row r="772" spans="1:10">
      <c r="A772" s="88"/>
      <c r="D772" s="82"/>
      <c r="E772" s="82"/>
      <c r="F772" s="82"/>
      <c r="G772" s="82"/>
      <c r="I772" s="77"/>
      <c r="J772" s="89"/>
    </row>
    <row r="773" spans="1:10">
      <c r="A773" s="88"/>
      <c r="D773" s="82"/>
      <c r="E773" s="82"/>
      <c r="F773" s="82"/>
      <c r="G773" s="82"/>
      <c r="I773" s="77"/>
      <c r="J773" s="89"/>
    </row>
    <row r="774" spans="1:10">
      <c r="A774" s="88"/>
      <c r="D774" s="82"/>
      <c r="E774" s="82"/>
      <c r="F774" s="82"/>
      <c r="G774" s="82"/>
      <c r="I774" s="77"/>
      <c r="J774" s="89"/>
    </row>
    <row r="775" spans="1:10">
      <c r="A775" s="88"/>
      <c r="D775" s="82"/>
      <c r="E775" s="82"/>
      <c r="F775" s="82"/>
      <c r="G775" s="82"/>
      <c r="I775" s="77"/>
      <c r="J775" s="89"/>
    </row>
    <row r="776" spans="1:10">
      <c r="A776" s="88"/>
      <c r="D776" s="82"/>
      <c r="E776" s="82"/>
      <c r="F776" s="82"/>
      <c r="G776" s="82"/>
      <c r="I776" s="77"/>
      <c r="J776" s="89"/>
    </row>
    <row r="777" spans="1:10">
      <c r="A777" s="88"/>
      <c r="D777" s="82"/>
      <c r="E777" s="82"/>
      <c r="F777" s="82"/>
      <c r="G777" s="82"/>
      <c r="I777" s="77"/>
      <c r="J777" s="89"/>
    </row>
    <row r="778" spans="1:10">
      <c r="A778" s="88"/>
      <c r="D778" s="82"/>
      <c r="E778" s="82"/>
      <c r="F778" s="82"/>
      <c r="G778" s="82"/>
      <c r="I778" s="77"/>
      <c r="J778" s="89"/>
    </row>
    <row r="779" spans="1:10">
      <c r="A779" s="88"/>
      <c r="D779" s="82"/>
      <c r="E779" s="82"/>
      <c r="F779" s="82"/>
      <c r="G779" s="82"/>
      <c r="I779" s="77"/>
      <c r="J779" s="89"/>
    </row>
    <row r="780" spans="1:10">
      <c r="A780" s="88"/>
      <c r="D780" s="82"/>
      <c r="E780" s="82"/>
      <c r="F780" s="82"/>
      <c r="G780" s="82"/>
      <c r="I780" s="77"/>
      <c r="J780" s="89"/>
    </row>
    <row r="781" spans="1:10">
      <c r="A781" s="88"/>
      <c r="D781" s="82"/>
      <c r="E781" s="82"/>
      <c r="F781" s="82"/>
      <c r="G781" s="82"/>
      <c r="I781" s="77"/>
      <c r="J781" s="89"/>
    </row>
    <row r="782" spans="1:10">
      <c r="A782" s="88"/>
      <c r="D782" s="82"/>
      <c r="E782" s="82"/>
      <c r="F782" s="82"/>
      <c r="G782" s="82"/>
      <c r="I782" s="77"/>
      <c r="J782" s="89"/>
    </row>
    <row r="783" spans="1:10">
      <c r="A783" s="88"/>
      <c r="D783" s="82"/>
      <c r="E783" s="82"/>
      <c r="F783" s="82"/>
      <c r="G783" s="82"/>
      <c r="I783" s="77"/>
      <c r="J783" s="89"/>
    </row>
    <row r="784" spans="1:10">
      <c r="A784" s="88"/>
      <c r="D784" s="82"/>
      <c r="E784" s="82"/>
      <c r="F784" s="82"/>
      <c r="G784" s="82"/>
      <c r="I784" s="77"/>
      <c r="J784" s="89"/>
    </row>
    <row r="785" spans="1:10">
      <c r="A785" s="88"/>
      <c r="D785" s="82"/>
      <c r="E785" s="82"/>
      <c r="F785" s="82"/>
      <c r="G785" s="82"/>
      <c r="I785" s="77"/>
      <c r="J785" s="89"/>
    </row>
    <row r="786" spans="1:10">
      <c r="A786" s="88"/>
      <c r="D786" s="82"/>
      <c r="E786" s="82"/>
      <c r="F786" s="82"/>
      <c r="G786" s="82"/>
      <c r="I786" s="77"/>
      <c r="J786" s="89"/>
    </row>
    <row r="787" spans="1:10">
      <c r="A787" s="88"/>
      <c r="D787" s="82"/>
      <c r="E787" s="82"/>
      <c r="F787" s="82"/>
      <c r="G787" s="82"/>
      <c r="I787" s="77"/>
      <c r="J787" s="89"/>
    </row>
    <row r="788" spans="1:10">
      <c r="A788" s="88"/>
      <c r="D788" s="82"/>
      <c r="E788" s="82"/>
      <c r="F788" s="82"/>
      <c r="G788" s="82"/>
      <c r="I788" s="77"/>
      <c r="J788" s="89"/>
    </row>
    <row r="789" spans="1:10">
      <c r="A789" s="88"/>
      <c r="D789" s="82"/>
      <c r="E789" s="82"/>
      <c r="F789" s="82"/>
      <c r="G789" s="82"/>
      <c r="I789" s="77"/>
      <c r="J789" s="89"/>
    </row>
    <row r="790" spans="1:10">
      <c r="A790" s="88"/>
      <c r="D790" s="82"/>
      <c r="E790" s="82"/>
      <c r="F790" s="82"/>
      <c r="G790" s="82"/>
      <c r="I790" s="77"/>
      <c r="J790" s="89"/>
    </row>
    <row r="791" spans="1:10">
      <c r="A791" s="88"/>
      <c r="D791" s="82"/>
      <c r="E791" s="82"/>
      <c r="F791" s="82"/>
      <c r="G791" s="82"/>
      <c r="I791" s="77"/>
      <c r="J791" s="89"/>
    </row>
    <row r="792" spans="1:10">
      <c r="A792" s="88"/>
      <c r="D792" s="82"/>
      <c r="E792" s="82"/>
      <c r="F792" s="82"/>
      <c r="G792" s="82"/>
      <c r="I792" s="77"/>
      <c r="J792" s="89"/>
    </row>
    <row r="793" spans="1:10">
      <c r="A793" s="88"/>
      <c r="D793" s="82"/>
      <c r="E793" s="82"/>
      <c r="F793" s="82"/>
      <c r="G793" s="82"/>
      <c r="I793" s="77"/>
      <c r="J793" s="89"/>
    </row>
    <row r="794" spans="1:10">
      <c r="A794" s="88"/>
      <c r="D794" s="82"/>
      <c r="E794" s="82"/>
      <c r="F794" s="82"/>
      <c r="G794" s="82"/>
      <c r="I794" s="77"/>
      <c r="J794" s="89"/>
    </row>
    <row r="795" spans="1:10">
      <c r="A795" s="88"/>
      <c r="D795" s="82"/>
      <c r="E795" s="82"/>
      <c r="F795" s="82"/>
      <c r="G795" s="82"/>
      <c r="I795" s="77"/>
      <c r="J795" s="89"/>
    </row>
    <row r="796" spans="1:10">
      <c r="A796" s="88"/>
      <c r="D796" s="82"/>
      <c r="E796" s="82"/>
      <c r="F796" s="82"/>
      <c r="G796" s="82"/>
      <c r="I796" s="77"/>
      <c r="J796" s="89"/>
    </row>
    <row r="797" spans="1:10">
      <c r="A797" s="88"/>
      <c r="D797" s="82"/>
      <c r="E797" s="82"/>
      <c r="F797" s="82"/>
      <c r="G797" s="82"/>
      <c r="I797" s="77"/>
      <c r="J797" s="89"/>
    </row>
    <row r="798" spans="1:10">
      <c r="A798" s="88"/>
      <c r="D798" s="82"/>
      <c r="E798" s="82"/>
      <c r="F798" s="82"/>
      <c r="G798" s="82"/>
      <c r="I798" s="77"/>
      <c r="J798" s="89"/>
    </row>
    <row r="799" spans="1:10">
      <c r="A799" s="88"/>
      <c r="D799" s="82"/>
      <c r="E799" s="82"/>
      <c r="F799" s="82"/>
      <c r="G799" s="82"/>
      <c r="I799" s="77"/>
      <c r="J799" s="89"/>
    </row>
    <row r="800" spans="1:10">
      <c r="A800" s="88"/>
      <c r="D800" s="82"/>
      <c r="E800" s="82"/>
      <c r="F800" s="82"/>
      <c r="G800" s="82"/>
      <c r="I800" s="77"/>
      <c r="J800" s="89"/>
    </row>
    <row r="801" spans="1:10">
      <c r="A801" s="88"/>
      <c r="D801" s="82"/>
      <c r="E801" s="82"/>
      <c r="F801" s="82"/>
      <c r="G801" s="82"/>
      <c r="I801" s="77"/>
      <c r="J801" s="89"/>
    </row>
    <row r="802" spans="1:10">
      <c r="A802" s="88"/>
      <c r="D802" s="82"/>
      <c r="E802" s="82"/>
      <c r="F802" s="82"/>
      <c r="G802" s="82"/>
      <c r="I802" s="77"/>
      <c r="J802" s="89"/>
    </row>
    <row r="803" spans="1:10">
      <c r="A803" s="88"/>
      <c r="D803" s="82"/>
      <c r="E803" s="82"/>
      <c r="F803" s="82"/>
      <c r="G803" s="82"/>
      <c r="I803" s="77"/>
      <c r="J803" s="89"/>
    </row>
    <row r="804" spans="1:10">
      <c r="A804" s="88"/>
      <c r="D804" s="82"/>
      <c r="E804" s="82"/>
      <c r="F804" s="82"/>
      <c r="G804" s="82"/>
      <c r="I804" s="77"/>
      <c r="J804" s="89"/>
    </row>
    <row r="805" spans="1:10">
      <c r="A805" s="88"/>
      <c r="D805" s="82"/>
      <c r="E805" s="82"/>
      <c r="F805" s="82"/>
      <c r="G805" s="82"/>
      <c r="I805" s="77"/>
      <c r="J805" s="89"/>
    </row>
    <row r="806" spans="1:10">
      <c r="A806" s="88"/>
      <c r="D806" s="82"/>
      <c r="E806" s="82"/>
      <c r="F806" s="82"/>
      <c r="G806" s="82"/>
      <c r="I806" s="77"/>
      <c r="J806" s="89"/>
    </row>
    <row r="807" spans="1:10">
      <c r="A807" s="88"/>
      <c r="D807" s="82"/>
      <c r="E807" s="82"/>
      <c r="F807" s="82"/>
      <c r="G807" s="82"/>
      <c r="I807" s="77"/>
      <c r="J807" s="89"/>
    </row>
    <row r="808" spans="1:10">
      <c r="A808" s="88"/>
      <c r="D808" s="82"/>
      <c r="E808" s="82"/>
      <c r="F808" s="82"/>
      <c r="G808" s="82"/>
      <c r="I808" s="77"/>
      <c r="J808" s="89"/>
    </row>
    <row r="809" spans="1:10">
      <c r="A809" s="88"/>
      <c r="D809" s="82"/>
      <c r="E809" s="82"/>
      <c r="F809" s="82"/>
      <c r="G809" s="82"/>
      <c r="I809" s="77"/>
      <c r="J809" s="89"/>
    </row>
    <row r="810" spans="1:10">
      <c r="A810" s="88"/>
      <c r="D810" s="82"/>
      <c r="E810" s="82"/>
      <c r="F810" s="82"/>
      <c r="G810" s="82"/>
      <c r="I810" s="77"/>
      <c r="J810" s="89"/>
    </row>
    <row r="811" spans="1:10">
      <c r="A811" s="88"/>
      <c r="D811" s="82"/>
      <c r="E811" s="82"/>
      <c r="F811" s="82"/>
      <c r="G811" s="82"/>
      <c r="I811" s="77"/>
      <c r="J811" s="89"/>
    </row>
    <row r="812" spans="1:10">
      <c r="A812" s="88"/>
      <c r="D812" s="82"/>
      <c r="E812" s="82"/>
      <c r="F812" s="82"/>
      <c r="G812" s="82"/>
      <c r="I812" s="77"/>
      <c r="J812" s="89"/>
    </row>
    <row r="813" spans="1:10">
      <c r="A813" s="88"/>
      <c r="D813" s="82"/>
      <c r="E813" s="82"/>
      <c r="F813" s="82"/>
      <c r="G813" s="82"/>
      <c r="I813" s="77"/>
      <c r="J813" s="89"/>
    </row>
    <row r="814" spans="1:10">
      <c r="A814" s="88"/>
      <c r="D814" s="82"/>
      <c r="E814" s="82"/>
      <c r="F814" s="82"/>
      <c r="G814" s="82"/>
      <c r="I814" s="77"/>
      <c r="J814" s="89"/>
    </row>
    <row r="815" spans="1:10">
      <c r="A815" s="88"/>
      <c r="D815" s="82"/>
      <c r="E815" s="82"/>
      <c r="F815" s="82"/>
      <c r="G815" s="82"/>
      <c r="I815" s="77"/>
      <c r="J815" s="89"/>
    </row>
    <row r="816" spans="1:10">
      <c r="A816" s="88"/>
      <c r="D816" s="82"/>
      <c r="E816" s="82"/>
      <c r="F816" s="82"/>
      <c r="G816" s="82"/>
      <c r="I816" s="77"/>
      <c r="J816" s="89"/>
    </row>
    <row r="817" spans="1:10">
      <c r="A817" s="88"/>
      <c r="D817" s="82"/>
      <c r="E817" s="82"/>
      <c r="F817" s="82"/>
      <c r="G817" s="82"/>
      <c r="I817" s="77"/>
      <c r="J817" s="89"/>
    </row>
    <row r="818" spans="1:10">
      <c r="A818" s="88"/>
      <c r="D818" s="82"/>
      <c r="E818" s="82"/>
      <c r="F818" s="82"/>
      <c r="G818" s="82"/>
      <c r="I818" s="77"/>
      <c r="J818" s="89"/>
    </row>
    <row r="819" spans="1:10">
      <c r="A819" s="88"/>
      <c r="D819" s="82"/>
      <c r="E819" s="82"/>
      <c r="F819" s="82"/>
      <c r="G819" s="82"/>
      <c r="I819" s="77"/>
      <c r="J819" s="89"/>
    </row>
    <row r="820" spans="1:10">
      <c r="A820" s="88"/>
      <c r="D820" s="82"/>
      <c r="E820" s="82"/>
      <c r="F820" s="82"/>
      <c r="G820" s="82"/>
      <c r="I820" s="77"/>
      <c r="J820" s="89"/>
    </row>
    <row r="821" spans="1:10">
      <c r="A821" s="88"/>
      <c r="D821" s="82"/>
      <c r="E821" s="82"/>
      <c r="F821" s="82"/>
      <c r="G821" s="82"/>
      <c r="I821" s="77"/>
      <c r="J821" s="89"/>
    </row>
    <row r="822" spans="1:10">
      <c r="A822" s="88"/>
      <c r="D822" s="82"/>
      <c r="E822" s="82"/>
      <c r="F822" s="82"/>
      <c r="G822" s="82"/>
      <c r="I822" s="77"/>
      <c r="J822" s="89"/>
    </row>
    <row r="823" spans="1:10">
      <c r="A823" s="88"/>
      <c r="D823" s="82"/>
      <c r="E823" s="82"/>
      <c r="F823" s="82"/>
      <c r="G823" s="82"/>
      <c r="I823" s="77"/>
      <c r="J823" s="89"/>
    </row>
    <row r="824" spans="1:10">
      <c r="A824" s="88"/>
      <c r="D824" s="82"/>
      <c r="E824" s="82"/>
      <c r="F824" s="82"/>
      <c r="G824" s="82"/>
      <c r="I824" s="77"/>
      <c r="J824" s="89"/>
    </row>
    <row r="825" spans="1:10">
      <c r="A825" s="88"/>
      <c r="D825" s="82"/>
      <c r="E825" s="82"/>
      <c r="F825" s="82"/>
      <c r="G825" s="82"/>
      <c r="I825" s="77"/>
      <c r="J825" s="89"/>
    </row>
    <row r="826" spans="1:10">
      <c r="A826" s="88"/>
      <c r="D826" s="82"/>
      <c r="E826" s="82"/>
      <c r="F826" s="82"/>
      <c r="G826" s="82"/>
      <c r="I826" s="77"/>
      <c r="J826" s="89"/>
    </row>
    <row r="827" spans="1:10">
      <c r="A827" s="88"/>
      <c r="D827" s="82"/>
      <c r="E827" s="82"/>
      <c r="F827" s="82"/>
      <c r="G827" s="82"/>
      <c r="I827" s="77"/>
      <c r="J827" s="89"/>
    </row>
    <row r="828" spans="1:10">
      <c r="A828" s="88"/>
      <c r="D828" s="82"/>
      <c r="E828" s="82"/>
      <c r="F828" s="82"/>
      <c r="G828" s="82"/>
      <c r="I828" s="77"/>
      <c r="J828" s="89"/>
    </row>
    <row r="829" spans="1:10">
      <c r="A829" s="88"/>
      <c r="D829" s="82"/>
      <c r="E829" s="82"/>
      <c r="F829" s="82"/>
      <c r="G829" s="82"/>
      <c r="I829" s="77"/>
      <c r="J829" s="89"/>
    </row>
    <row r="830" spans="1:10">
      <c r="A830" s="88"/>
      <c r="D830" s="82"/>
      <c r="E830" s="82"/>
      <c r="F830" s="82"/>
      <c r="G830" s="82"/>
      <c r="I830" s="77"/>
      <c r="J830" s="89"/>
    </row>
    <row r="831" spans="1:10">
      <c r="A831" s="88"/>
      <c r="D831" s="82"/>
      <c r="E831" s="82"/>
      <c r="F831" s="82"/>
      <c r="G831" s="82"/>
      <c r="I831" s="77"/>
      <c r="J831" s="89"/>
    </row>
    <row r="832" spans="1:10">
      <c r="A832" s="88"/>
      <c r="D832" s="82"/>
      <c r="E832" s="82"/>
      <c r="F832" s="82"/>
      <c r="G832" s="82"/>
      <c r="I832" s="77"/>
      <c r="J832" s="89"/>
    </row>
    <row r="833" spans="1:10">
      <c r="A833" s="88"/>
      <c r="D833" s="82"/>
      <c r="E833" s="82"/>
      <c r="F833" s="82"/>
      <c r="G833" s="82"/>
      <c r="I833" s="77"/>
      <c r="J833" s="89"/>
    </row>
    <row r="834" spans="1:10">
      <c r="A834" s="88"/>
      <c r="D834" s="82"/>
      <c r="E834" s="82"/>
      <c r="F834" s="82"/>
      <c r="G834" s="82"/>
      <c r="I834" s="77"/>
      <c r="J834" s="89"/>
    </row>
    <row r="835" spans="1:10">
      <c r="A835" s="88"/>
      <c r="D835" s="82"/>
      <c r="E835" s="82"/>
      <c r="F835" s="82"/>
      <c r="G835" s="82"/>
      <c r="I835" s="77"/>
      <c r="J835" s="89"/>
    </row>
    <row r="836" spans="1:10">
      <c r="A836" s="88"/>
      <c r="D836" s="82"/>
      <c r="E836" s="82"/>
      <c r="F836" s="82"/>
      <c r="G836" s="82"/>
      <c r="I836" s="77"/>
      <c r="J836" s="89"/>
    </row>
    <row r="837" spans="1:10">
      <c r="A837" s="88"/>
      <c r="D837" s="82"/>
      <c r="E837" s="82"/>
      <c r="F837" s="82"/>
      <c r="G837" s="82"/>
      <c r="I837" s="77"/>
      <c r="J837" s="89"/>
    </row>
    <row r="838" spans="1:10">
      <c r="A838" s="88"/>
      <c r="D838" s="82"/>
      <c r="E838" s="82"/>
      <c r="F838" s="82"/>
      <c r="G838" s="82"/>
      <c r="I838" s="77"/>
      <c r="J838" s="89"/>
    </row>
    <row r="839" spans="1:10">
      <c r="A839" s="88"/>
      <c r="D839" s="82"/>
      <c r="E839" s="82"/>
      <c r="F839" s="82"/>
      <c r="G839" s="82"/>
      <c r="I839" s="77"/>
      <c r="J839" s="89"/>
    </row>
    <row r="840" spans="1:10">
      <c r="A840" s="88"/>
      <c r="D840" s="82"/>
      <c r="E840" s="82"/>
      <c r="F840" s="82"/>
      <c r="G840" s="82"/>
      <c r="I840" s="77"/>
      <c r="J840" s="89"/>
    </row>
    <row r="841" spans="1:10">
      <c r="A841" s="88"/>
      <c r="D841" s="82"/>
      <c r="E841" s="82"/>
      <c r="F841" s="82"/>
      <c r="G841" s="82"/>
      <c r="I841" s="77"/>
      <c r="J841" s="89"/>
    </row>
    <row r="842" spans="1:10">
      <c r="A842" s="88"/>
      <c r="D842" s="82"/>
      <c r="E842" s="82"/>
      <c r="F842" s="82"/>
      <c r="G842" s="82"/>
      <c r="I842" s="77"/>
      <c r="J842" s="89"/>
    </row>
    <row r="843" spans="1:10">
      <c r="A843" s="88"/>
      <c r="D843" s="82"/>
      <c r="E843" s="82"/>
      <c r="F843" s="82"/>
      <c r="G843" s="82"/>
      <c r="I843" s="77"/>
      <c r="J843" s="89"/>
    </row>
    <row r="844" spans="1:10">
      <c r="A844" s="88"/>
      <c r="D844" s="82"/>
      <c r="E844" s="82"/>
      <c r="F844" s="82"/>
      <c r="G844" s="82"/>
      <c r="I844" s="77"/>
      <c r="J844" s="89"/>
    </row>
    <row r="845" spans="1:10">
      <c r="A845" s="88"/>
      <c r="D845" s="82"/>
      <c r="E845" s="82"/>
      <c r="F845" s="82"/>
      <c r="G845" s="82"/>
      <c r="I845" s="77"/>
      <c r="J845" s="89"/>
    </row>
    <row r="846" spans="1:10">
      <c r="A846" s="88"/>
      <c r="D846" s="82"/>
      <c r="E846" s="82"/>
      <c r="F846" s="82"/>
      <c r="G846" s="82"/>
      <c r="I846" s="77"/>
      <c r="J846" s="89"/>
    </row>
    <row r="847" spans="1:10">
      <c r="A847" s="88"/>
      <c r="D847" s="82"/>
      <c r="E847" s="82"/>
      <c r="F847" s="82"/>
      <c r="G847" s="82"/>
      <c r="I847" s="77"/>
      <c r="J847" s="89"/>
    </row>
    <row r="848" spans="1:10">
      <c r="A848" s="88"/>
      <c r="D848" s="82"/>
      <c r="E848" s="82"/>
      <c r="F848" s="82"/>
      <c r="G848" s="82"/>
      <c r="I848" s="77"/>
      <c r="J848" s="89"/>
    </row>
    <row r="849" spans="1:10">
      <c r="A849" s="88"/>
      <c r="D849" s="82"/>
      <c r="E849" s="82"/>
      <c r="F849" s="82"/>
      <c r="G849" s="82"/>
      <c r="I849" s="77"/>
      <c r="J849" s="89"/>
    </row>
    <row r="850" spans="1:10">
      <c r="A850" s="88"/>
      <c r="D850" s="82"/>
      <c r="E850" s="82"/>
      <c r="F850" s="82"/>
      <c r="G850" s="82"/>
      <c r="I850" s="77"/>
      <c r="J850" s="89"/>
    </row>
    <row r="851" spans="1:10">
      <c r="A851" s="88"/>
      <c r="D851" s="82"/>
      <c r="E851" s="82"/>
      <c r="F851" s="82"/>
      <c r="G851" s="82"/>
      <c r="I851" s="77"/>
      <c r="J851" s="89"/>
    </row>
    <row r="852" spans="1:10">
      <c r="A852" s="88"/>
      <c r="D852" s="82"/>
      <c r="E852" s="82"/>
      <c r="F852" s="82"/>
      <c r="G852" s="82"/>
      <c r="I852" s="77"/>
      <c r="J852" s="89"/>
    </row>
    <row r="853" spans="1:10">
      <c r="A853" s="88"/>
      <c r="D853" s="82"/>
      <c r="E853" s="82"/>
      <c r="F853" s="82"/>
      <c r="G853" s="82"/>
      <c r="I853" s="77"/>
      <c r="J853" s="89"/>
    </row>
    <row r="854" spans="1:10">
      <c r="A854" s="88"/>
      <c r="D854" s="82"/>
      <c r="E854" s="82"/>
      <c r="F854" s="82"/>
      <c r="G854" s="82"/>
      <c r="I854" s="77"/>
      <c r="J854" s="89"/>
    </row>
    <row r="855" spans="1:10">
      <c r="A855" s="88"/>
      <c r="D855" s="82"/>
      <c r="E855" s="82"/>
      <c r="F855" s="82"/>
      <c r="G855" s="82"/>
      <c r="I855" s="77"/>
      <c r="J855" s="89"/>
    </row>
    <row r="856" spans="1:10">
      <c r="A856" s="88"/>
      <c r="D856" s="82"/>
      <c r="E856" s="82"/>
      <c r="F856" s="82"/>
      <c r="G856" s="82"/>
      <c r="I856" s="77"/>
      <c r="J856" s="89"/>
    </row>
    <row r="857" spans="1:10">
      <c r="A857" s="88"/>
      <c r="D857" s="82"/>
      <c r="E857" s="82"/>
      <c r="F857" s="82"/>
      <c r="G857" s="82"/>
      <c r="I857" s="77"/>
      <c r="J857" s="89"/>
    </row>
    <row r="858" spans="1:10">
      <c r="A858" s="88"/>
      <c r="D858" s="82"/>
      <c r="E858" s="82"/>
      <c r="F858" s="82"/>
      <c r="G858" s="82"/>
      <c r="I858" s="77"/>
      <c r="J858" s="89"/>
    </row>
    <row r="859" spans="1:10">
      <c r="A859" s="88"/>
      <c r="D859" s="82"/>
      <c r="E859" s="82"/>
      <c r="F859" s="82"/>
      <c r="G859" s="82"/>
      <c r="I859" s="77"/>
      <c r="J859" s="89"/>
    </row>
    <row r="860" spans="1:10">
      <c r="A860" s="88"/>
      <c r="D860" s="82"/>
      <c r="E860" s="82"/>
      <c r="F860" s="82"/>
      <c r="G860" s="82"/>
      <c r="I860" s="77"/>
      <c r="J860" s="89"/>
    </row>
    <row r="861" spans="1:10">
      <c r="A861" s="88"/>
      <c r="D861" s="82"/>
      <c r="E861" s="82"/>
      <c r="F861" s="82"/>
      <c r="G861" s="82"/>
      <c r="I861" s="77"/>
      <c r="J861" s="89"/>
    </row>
    <row r="862" spans="1:10">
      <c r="A862" s="88"/>
      <c r="D862" s="82"/>
      <c r="E862" s="82"/>
      <c r="F862" s="82"/>
      <c r="G862" s="82"/>
      <c r="I862" s="77"/>
      <c r="J862" s="89"/>
    </row>
    <row r="863" spans="1:10">
      <c r="A863" s="88"/>
      <c r="D863" s="82"/>
      <c r="E863" s="82"/>
      <c r="F863" s="82"/>
      <c r="G863" s="82"/>
      <c r="I863" s="77"/>
      <c r="J863" s="89"/>
    </row>
    <row r="864" spans="1:10">
      <c r="A864" s="88"/>
      <c r="D864" s="82"/>
      <c r="E864" s="82"/>
      <c r="F864" s="82"/>
      <c r="G864" s="82"/>
      <c r="I864" s="77"/>
      <c r="J864" s="89"/>
    </row>
    <row r="865" spans="1:10">
      <c r="A865" s="88"/>
      <c r="D865" s="82"/>
      <c r="E865" s="82"/>
      <c r="F865" s="82"/>
      <c r="G865" s="82"/>
      <c r="I865" s="77"/>
      <c r="J865" s="89"/>
    </row>
    <row r="866" spans="1:10">
      <c r="A866" s="88"/>
      <c r="D866" s="82"/>
      <c r="E866" s="82"/>
      <c r="F866" s="82"/>
      <c r="G866" s="82"/>
      <c r="I866" s="77"/>
      <c r="J866" s="89"/>
    </row>
    <row r="867" spans="1:10">
      <c r="A867" s="88"/>
      <c r="D867" s="82"/>
      <c r="E867" s="82"/>
      <c r="F867" s="82"/>
      <c r="G867" s="82"/>
      <c r="I867" s="77"/>
      <c r="J867" s="89"/>
    </row>
    <row r="868" spans="1:10">
      <c r="A868" s="88"/>
      <c r="D868" s="82"/>
      <c r="E868" s="82"/>
      <c r="F868" s="82"/>
      <c r="G868" s="82"/>
      <c r="I868" s="77"/>
      <c r="J868" s="89"/>
    </row>
    <row r="869" spans="1:10">
      <c r="A869" s="88"/>
      <c r="D869" s="82"/>
      <c r="E869" s="82"/>
      <c r="F869" s="82"/>
      <c r="G869" s="82"/>
      <c r="I869" s="77"/>
      <c r="J869" s="89"/>
    </row>
    <row r="870" spans="1:10">
      <c r="A870" s="88"/>
      <c r="D870" s="82"/>
      <c r="E870" s="82"/>
      <c r="F870" s="82"/>
      <c r="G870" s="82"/>
      <c r="I870" s="77"/>
      <c r="J870" s="89"/>
    </row>
    <row r="871" spans="1:10">
      <c r="A871" s="88"/>
      <c r="D871" s="82"/>
      <c r="E871" s="82"/>
      <c r="F871" s="82"/>
      <c r="G871" s="82"/>
      <c r="I871" s="77"/>
      <c r="J871" s="89"/>
    </row>
    <row r="872" spans="1:10">
      <c r="A872" s="88"/>
      <c r="D872" s="82"/>
      <c r="E872" s="82"/>
      <c r="F872" s="82"/>
      <c r="G872" s="82"/>
      <c r="I872" s="77"/>
      <c r="J872" s="89"/>
    </row>
    <row r="873" spans="1:10">
      <c r="A873" s="88"/>
      <c r="D873" s="82"/>
      <c r="E873" s="82"/>
      <c r="F873" s="82"/>
      <c r="G873" s="82"/>
      <c r="I873" s="77"/>
      <c r="J873" s="89"/>
    </row>
    <row r="874" spans="1:10">
      <c r="A874" s="88"/>
      <c r="D874" s="82"/>
      <c r="E874" s="82"/>
      <c r="F874" s="82"/>
      <c r="G874" s="82"/>
      <c r="I874" s="77"/>
      <c r="J874" s="89"/>
    </row>
    <row r="875" spans="1:10">
      <c r="A875" s="88"/>
      <c r="D875" s="82"/>
      <c r="E875" s="82"/>
      <c r="F875" s="82"/>
      <c r="G875" s="82"/>
      <c r="I875" s="77"/>
      <c r="J875" s="89"/>
    </row>
    <row r="876" spans="1:10">
      <c r="A876" s="88"/>
      <c r="D876" s="82"/>
      <c r="E876" s="82"/>
      <c r="F876" s="82"/>
      <c r="G876" s="82"/>
      <c r="I876" s="77"/>
      <c r="J876" s="89"/>
    </row>
    <row r="877" spans="1:10">
      <c r="A877" s="88"/>
      <c r="D877" s="82"/>
      <c r="E877" s="82"/>
      <c r="F877" s="82"/>
      <c r="G877" s="82"/>
      <c r="I877" s="77"/>
      <c r="J877" s="89"/>
    </row>
    <row r="878" spans="1:10">
      <c r="A878" s="88"/>
      <c r="D878" s="82"/>
      <c r="E878" s="82"/>
      <c r="F878" s="82"/>
      <c r="G878" s="82"/>
      <c r="I878" s="77"/>
      <c r="J878" s="89"/>
    </row>
    <row r="879" spans="1:10">
      <c r="A879" s="88"/>
      <c r="D879" s="82"/>
      <c r="E879" s="82"/>
      <c r="F879" s="82"/>
      <c r="G879" s="82"/>
      <c r="I879" s="77"/>
      <c r="J879" s="89"/>
    </row>
    <row r="880" spans="1:10">
      <c r="A880" s="88"/>
      <c r="D880" s="82"/>
      <c r="E880" s="82"/>
      <c r="F880" s="82"/>
      <c r="G880" s="82"/>
      <c r="I880" s="77"/>
      <c r="J880" s="89"/>
    </row>
    <row r="881" spans="1:10">
      <c r="A881" s="88"/>
      <c r="D881" s="82"/>
      <c r="E881" s="82"/>
      <c r="F881" s="82"/>
      <c r="G881" s="82"/>
      <c r="I881" s="77"/>
      <c r="J881" s="89"/>
    </row>
    <row r="882" spans="1:10">
      <c r="A882" s="88"/>
      <c r="D882" s="82"/>
      <c r="E882" s="82"/>
      <c r="F882" s="82"/>
      <c r="G882" s="82"/>
      <c r="I882" s="77"/>
      <c r="J882" s="89"/>
    </row>
    <row r="883" spans="1:10">
      <c r="A883" s="88"/>
      <c r="D883" s="82"/>
      <c r="E883" s="82"/>
      <c r="F883" s="82"/>
      <c r="G883" s="82"/>
      <c r="I883" s="77"/>
      <c r="J883" s="89"/>
    </row>
    <row r="884" spans="1:10">
      <c r="A884" s="88"/>
      <c r="D884" s="82"/>
      <c r="E884" s="82"/>
      <c r="F884" s="82"/>
      <c r="G884" s="82"/>
      <c r="I884" s="77"/>
      <c r="J884" s="89"/>
    </row>
    <row r="885" spans="1:10">
      <c r="A885" s="88"/>
      <c r="D885" s="82"/>
      <c r="E885" s="82"/>
      <c r="F885" s="82"/>
      <c r="G885" s="82"/>
      <c r="I885" s="77"/>
      <c r="J885" s="89"/>
    </row>
    <row r="886" spans="1:10">
      <c r="A886" s="88"/>
      <c r="D886" s="82"/>
      <c r="E886" s="82"/>
      <c r="F886" s="82"/>
      <c r="G886" s="82"/>
      <c r="I886" s="77"/>
      <c r="J886" s="89"/>
    </row>
    <row r="887" spans="1:10">
      <c r="A887" s="88"/>
      <c r="D887" s="82"/>
      <c r="E887" s="82"/>
      <c r="F887" s="82"/>
      <c r="G887" s="82"/>
      <c r="I887" s="77"/>
      <c r="J887" s="89"/>
    </row>
    <row r="888" spans="1:10">
      <c r="A888" s="88"/>
      <c r="D888" s="82"/>
      <c r="E888" s="82"/>
      <c r="F888" s="82"/>
      <c r="G888" s="82"/>
      <c r="I888" s="77"/>
      <c r="J888" s="89"/>
    </row>
    <row r="889" spans="1:10">
      <c r="A889" s="88"/>
      <c r="D889" s="82"/>
      <c r="E889" s="82"/>
      <c r="F889" s="82"/>
      <c r="G889" s="82"/>
      <c r="I889" s="77"/>
      <c r="J889" s="89"/>
    </row>
    <row r="890" spans="1:10">
      <c r="A890" s="88"/>
      <c r="D890" s="82"/>
      <c r="E890" s="82"/>
      <c r="F890" s="82"/>
      <c r="G890" s="82"/>
      <c r="I890" s="77"/>
      <c r="J890" s="89"/>
    </row>
    <row r="891" spans="1:10">
      <c r="A891" s="88"/>
      <c r="D891" s="82"/>
      <c r="E891" s="82"/>
      <c r="F891" s="82"/>
      <c r="G891" s="82"/>
      <c r="I891" s="77"/>
      <c r="J891" s="89"/>
    </row>
    <row r="892" spans="1:10">
      <c r="A892" s="88"/>
      <c r="D892" s="82"/>
      <c r="E892" s="82"/>
      <c r="F892" s="82"/>
      <c r="G892" s="82"/>
      <c r="I892" s="77"/>
      <c r="J892" s="8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D0D3-F6B5-4237-B7CF-20F37077A2D9}">
  <dimension ref="A1:E81"/>
  <sheetViews>
    <sheetView topLeftCell="A5" workbookViewId="0">
      <selection activeCell="D27" sqref="D27"/>
    </sheetView>
  </sheetViews>
  <sheetFormatPr defaultRowHeight="15"/>
  <cols>
    <col min="1" max="1" width="43.85546875" customWidth="1"/>
    <col min="2" max="4" width="22.85546875" customWidth="1"/>
    <col min="5" max="5" width="9.85546875" bestFit="1" customWidth="1"/>
  </cols>
  <sheetData>
    <row r="1" spans="1:5" ht="21">
      <c r="A1" s="128" t="s">
        <v>11633</v>
      </c>
    </row>
    <row r="2" spans="1:5">
      <c r="A2" s="129" t="s">
        <v>11634</v>
      </c>
    </row>
    <row r="4" spans="1:5">
      <c r="A4" s="79" t="s">
        <v>11635</v>
      </c>
      <c r="B4" s="130">
        <v>46233</v>
      </c>
      <c r="D4" s="79" t="s">
        <v>11636</v>
      </c>
      <c r="E4" s="148">
        <f>IF(COUNTIF($B$14:$B$81,"X")=0,"TODAS",COUNTIF($B$14:$B$81,"X"))</f>
        <v>3</v>
      </c>
    </row>
    <row r="5" spans="1:5">
      <c r="A5" s="79" t="s">
        <v>11637</v>
      </c>
      <c r="B5" s="131">
        <v>7</v>
      </c>
      <c r="D5" s="79" t="s">
        <v>11638</v>
      </c>
      <c r="E5" s="151">
        <f>'REPORT YAMI'!J5</f>
        <v>150</v>
      </c>
    </row>
    <row r="6" spans="1:5">
      <c r="A6" s="79" t="s">
        <v>11639</v>
      </c>
      <c r="B6" s="132">
        <f>B4+B5-1</f>
        <v>46239</v>
      </c>
      <c r="D6" s="79" t="s">
        <v>11640</v>
      </c>
      <c r="E6" s="152">
        <f>'REPORT YAMI'!K5</f>
        <v>1500</v>
      </c>
    </row>
    <row r="7" spans="1:5">
      <c r="A7" s="79" t="s">
        <v>11641</v>
      </c>
      <c r="B7" s="135">
        <v>10</v>
      </c>
    </row>
    <row r="12" spans="1:5">
      <c r="A12" s="136" t="s">
        <v>11642</v>
      </c>
    </row>
    <row r="13" spans="1:5" ht="30" customHeight="1">
      <c r="A13" s="138" t="s">
        <v>11643</v>
      </c>
      <c r="B13" s="139" t="s">
        <v>11644</v>
      </c>
      <c r="C13" s="138" t="s">
        <v>11645</v>
      </c>
      <c r="D13" s="138" t="s">
        <v>11628</v>
      </c>
    </row>
    <row r="14" spans="1:5">
      <c r="A14" s="144" t="str" cm="1">
        <f t="array" ref="A14">IFERROR(INDEX(_xlfn._xlws.SORT(_xlfn.UNIQUE(_xlfn._xlws.FILTER(Sheet1!$H$2:$H$5214,(Sheet1!$F$2:$F$5214&gt;=$B$4)*(Sheet1!$F$2:$F$5214&lt;=$B$6)*(Sheet1!$H$2:$H$5214&lt;&gt;"")))),ROW()-13),"")</f>
        <v>ALAN ALTAMIRANO EXT</v>
      </c>
      <c r="B14" s="149"/>
      <c r="C14" s="145" cm="1">
        <f t="array" ref="C14">IF($A14="","",SUMPRODUCT(COUNTIFS(Sheet1!$H$2:$H$5214,$A14,Sheet1!$F$2:$F$5214,"&gt;="&amp;$B$4,Sheet1!$F$2:$F$5214,"&lt;="&amp;$B$6,Sheet1!$N$2:$N$5214,'REPORT YAMI'!$B$4:$I$4)))</f>
        <v>6</v>
      </c>
      <c r="D14" s="153">
        <f>IF($A14="","",C14*$B$7)</f>
        <v>60</v>
      </c>
    </row>
    <row r="15" spans="1:5">
      <c r="A15" s="144" t="str" cm="1">
        <f t="array" ref="A15">IFERROR(INDEX(_xlfn._xlws.SORT(_xlfn.UNIQUE(_xlfn._xlws.FILTER(Sheet1!$H$2:$H$5214,(Sheet1!$F$2:$F$5214&gt;=$B$4)*(Sheet1!$F$2:$F$5214&lt;=$B$6)*(Sheet1!$H$2:$H$5214&lt;&gt;"")))),ROW()-13),"")</f>
        <v>ANA VILLEGAS C/C</v>
      </c>
      <c r="B15" s="149"/>
      <c r="C15" s="145" cm="1">
        <f t="array" ref="C15">IF($A15="","",SUMPRODUCT(COUNTIFS(Sheet1!$H$2:$H$5214,$A15,Sheet1!$F$2:$F$5214,"&gt;="&amp;$B$4,Sheet1!$F$2:$F$5214,"&lt;="&amp;$B$6,Sheet1!$N$2:$N$5214,'REPORT YAMI'!$B$4:$I$4)))</f>
        <v>23</v>
      </c>
      <c r="D15" s="153">
        <f t="shared" ref="D15:D78" si="0">IF($A15="","",C15*$B$7)</f>
        <v>230</v>
      </c>
    </row>
    <row r="16" spans="1:5">
      <c r="A16" s="144" t="str" cm="1">
        <f t="array" ref="A16">IFERROR(INDEX(_xlfn._xlws.SORT(_xlfn.UNIQUE(_xlfn._xlws.FILTER(Sheet1!$H$2:$H$5214,(Sheet1!$F$2:$F$5214&gt;=$B$4)*(Sheet1!$F$2:$F$5214&lt;=$B$6)*(Sheet1!$H$2:$H$5214&lt;&gt;"")))),ROW()-13),"")</f>
        <v>CAROLINA RAMIREZ C/C</v>
      </c>
      <c r="B16" s="149"/>
      <c r="C16" s="145" cm="1">
        <f t="array" ref="C16">IF($A16="","",SUMPRODUCT(COUNTIFS(Sheet1!$H$2:$H$5214,$A16,Sheet1!$F$2:$F$5214,"&gt;="&amp;$B$4,Sheet1!$F$2:$F$5214,"&lt;="&amp;$B$6,Sheet1!$N$2:$N$5214,'REPORT YAMI'!$B$4:$I$4)))</f>
        <v>20</v>
      </c>
      <c r="D16" s="153">
        <f t="shared" si="0"/>
        <v>200</v>
      </c>
    </row>
    <row r="17" spans="1:4">
      <c r="A17" s="144" t="str" cm="1">
        <f t="array" ref="A17">IFERROR(INDEX(_xlfn._xlws.SORT(_xlfn.UNIQUE(_xlfn._xlws.FILTER(Sheet1!$H$2:$H$5214,(Sheet1!$F$2:$F$5214&gt;=$B$4)*(Sheet1!$F$2:$F$5214&lt;=$B$6)*(Sheet1!$H$2:$H$5214&lt;&gt;"")))),ROW()-13),"")</f>
        <v>CARRANZA SARDINA C/C</v>
      </c>
      <c r="B17" s="149"/>
      <c r="C17" s="145" cm="1">
        <f t="array" ref="C17">IF($A17="","",SUMPRODUCT(COUNTIFS(Sheet1!$H$2:$H$5214,$A17,Sheet1!$F$2:$F$5214,"&gt;="&amp;$B$4,Sheet1!$F$2:$F$5214,"&lt;="&amp;$B$6,Sheet1!$N$2:$N$5214,'REPORT YAMI'!$B$4:$I$4)))</f>
        <v>8</v>
      </c>
      <c r="D17" s="153">
        <f t="shared" si="0"/>
        <v>80</v>
      </c>
    </row>
    <row r="18" spans="1:4">
      <c r="A18" s="144" t="str" cm="1">
        <f t="array" ref="A18">IFERROR(INDEX(_xlfn._xlws.SORT(_xlfn.UNIQUE(_xlfn._xlws.FILTER(Sheet1!$H$2:$H$5214,(Sheet1!$F$2:$F$5214&gt;=$B$4)*(Sheet1!$F$2:$F$5214&lt;=$B$6)*(Sheet1!$H$2:$H$5214&lt;&gt;"")))),ROW()-13),"")</f>
        <v>DEYANIRA CORDOVA C/C</v>
      </c>
      <c r="B18" s="149"/>
      <c r="C18" s="145" cm="1">
        <f t="array" ref="C18">IF($A18="","",SUMPRODUCT(COUNTIFS(Sheet1!$H$2:$H$5214,$A18,Sheet1!$F$2:$F$5214,"&gt;="&amp;$B$4,Sheet1!$F$2:$F$5214,"&lt;="&amp;$B$6,Sheet1!$N$2:$N$5214,'REPORT YAMI'!$B$4:$I$4)))</f>
        <v>12</v>
      </c>
      <c r="D18" s="153">
        <f t="shared" si="0"/>
        <v>120</v>
      </c>
    </row>
    <row r="19" spans="1:4">
      <c r="A19" s="144" t="str" cm="1">
        <f t="array" ref="A19">IFERROR(INDEX(_xlfn._xlws.SORT(_xlfn.UNIQUE(_xlfn._xlws.FILTER(Sheet1!$H$2:$H$5214,(Sheet1!$F$2:$F$5214&gt;=$B$4)*(Sheet1!$F$2:$F$5214&lt;=$B$6)*(Sheet1!$H$2:$H$5214&lt;&gt;"")))),ROW()-13),"")</f>
        <v>DULCE FRANCO C/C</v>
      </c>
      <c r="B19" s="149"/>
      <c r="C19" s="145" cm="1">
        <f t="array" ref="C19">IF($A19="","",SUMPRODUCT(COUNTIFS(Sheet1!$H$2:$H$5214,$A19,Sheet1!$F$2:$F$5214,"&gt;="&amp;$B$4,Sheet1!$F$2:$F$5214,"&lt;="&amp;$B$6,Sheet1!$N$2:$N$5214,'REPORT YAMI'!$B$4:$I$4)))</f>
        <v>13</v>
      </c>
      <c r="D19" s="153">
        <f t="shared" si="0"/>
        <v>130</v>
      </c>
    </row>
    <row r="20" spans="1:4">
      <c r="A20" s="144" t="str" cm="1">
        <f t="array" ref="A20">IFERROR(INDEX(_xlfn._xlws.SORT(_xlfn.UNIQUE(_xlfn._xlws.FILTER(Sheet1!$H$2:$H$5214,(Sheet1!$F$2:$F$5214&gt;=$B$4)*(Sheet1!$F$2:$F$5214&lt;=$B$6)*(Sheet1!$H$2:$H$5214&lt;&gt;"")))),ROW()-13),"")</f>
        <v>FERNANDA CASTILLO C/C</v>
      </c>
      <c r="B20" s="149"/>
      <c r="C20" s="145" cm="1">
        <f t="array" ref="C20">IF($A20="","",SUMPRODUCT(COUNTIFS(Sheet1!$H$2:$H$5214,$A20,Sheet1!$F$2:$F$5214,"&gt;="&amp;$B$4,Sheet1!$F$2:$F$5214,"&lt;="&amp;$B$6,Sheet1!$N$2:$N$5214,'REPORT YAMI'!$B$4:$I$4)))</f>
        <v>7</v>
      </c>
      <c r="D20" s="153">
        <f t="shared" si="0"/>
        <v>70</v>
      </c>
    </row>
    <row r="21" spans="1:4">
      <c r="A21" s="144" t="str" cm="1">
        <f t="array" ref="A21">IFERROR(INDEX(_xlfn._xlws.SORT(_xlfn.UNIQUE(_xlfn._xlws.FILTER(Sheet1!$H$2:$H$5214,(Sheet1!$F$2:$F$5214&gt;=$B$4)*(Sheet1!$F$2:$F$5214&lt;=$B$6)*(Sheet1!$H$2:$H$5214&lt;&gt;"")))),ROW()-13),"")</f>
        <v>GIOVANNI MELGAR</v>
      </c>
      <c r="B21" s="149" t="s">
        <v>11646</v>
      </c>
      <c r="C21" s="145" cm="1">
        <f t="array" ref="C21">IF($A21="","",SUMPRODUCT(COUNTIFS(Sheet1!$H$2:$H$5214,$A21,Sheet1!$F$2:$F$5214,"&gt;="&amp;$B$4,Sheet1!$F$2:$F$5214,"&lt;="&amp;$B$6,Sheet1!$N$2:$N$5214,'REPORT YAMI'!$B$4:$I$4)))</f>
        <v>54</v>
      </c>
      <c r="D21" s="153">
        <f t="shared" si="0"/>
        <v>540</v>
      </c>
    </row>
    <row r="22" spans="1:4">
      <c r="A22" s="144" t="str" cm="1">
        <f t="array" ref="A22">IFERROR(INDEX(_xlfn._xlws.SORT(_xlfn.UNIQUE(_xlfn._xlws.FILTER(Sheet1!$H$2:$H$5214,(Sheet1!$F$2:$F$5214&gt;=$B$4)*(Sheet1!$F$2:$F$5214&lt;=$B$6)*(Sheet1!$H$2:$H$5214&lt;&gt;"")))),ROW()-13),"")</f>
        <v>GLORIA ORTIZ C/C</v>
      </c>
      <c r="B22" s="149"/>
      <c r="C22" s="145" cm="1">
        <f t="array" ref="C22">IF($A22="","",SUMPRODUCT(COUNTIFS(Sheet1!$H$2:$H$5214,$A22,Sheet1!$F$2:$F$5214,"&gt;="&amp;$B$4,Sheet1!$F$2:$F$5214,"&lt;="&amp;$B$6,Sheet1!$N$2:$N$5214,'REPORT YAMI'!$B$4:$I$4)))</f>
        <v>24</v>
      </c>
      <c r="D22" s="153">
        <f t="shared" si="0"/>
        <v>240</v>
      </c>
    </row>
    <row r="23" spans="1:4">
      <c r="A23" s="144" t="str" cm="1">
        <f t="array" ref="A23">IFERROR(INDEX(_xlfn._xlws.SORT(_xlfn.UNIQUE(_xlfn._xlws.FILTER(Sheet1!$H$2:$H$5214,(Sheet1!$F$2:$F$5214&gt;=$B$4)*(Sheet1!$F$2:$F$5214&lt;=$B$6)*(Sheet1!$H$2:$H$5214&lt;&gt;"")))),ROW()-13),"")</f>
        <v>GUADALUPE BECERRA C/C</v>
      </c>
      <c r="B23" s="149"/>
      <c r="C23" s="145" cm="1">
        <f t="array" ref="C23">IF($A23="","",SUMPRODUCT(COUNTIFS(Sheet1!$H$2:$H$5214,$A23,Sheet1!$F$2:$F$5214,"&gt;="&amp;$B$4,Sheet1!$F$2:$F$5214,"&lt;="&amp;$B$6,Sheet1!$N$2:$N$5214,'REPORT YAMI'!$B$4:$I$4)))</f>
        <v>19</v>
      </c>
      <c r="D23" s="153">
        <f t="shared" si="0"/>
        <v>190</v>
      </c>
    </row>
    <row r="24" spans="1:4">
      <c r="A24" s="144" t="str" cm="1">
        <f t="array" ref="A24">IFERROR(INDEX(_xlfn._xlws.SORT(_xlfn.UNIQUE(_xlfn._xlws.FILTER(Sheet1!$H$2:$H$5214,(Sheet1!$F$2:$F$5214&gt;=$B$4)*(Sheet1!$F$2:$F$5214&lt;=$B$6)*(Sheet1!$H$2:$H$5214&lt;&gt;"")))),ROW()-13),"")</f>
        <v>HANIA GARCIA C/C</v>
      </c>
      <c r="B24" s="149"/>
      <c r="C24" s="145" cm="1">
        <f t="array" ref="C24">IF($A24="","",SUMPRODUCT(COUNTIFS(Sheet1!$H$2:$H$5214,$A24,Sheet1!$F$2:$F$5214,"&gt;="&amp;$B$4,Sheet1!$F$2:$F$5214,"&lt;="&amp;$B$6,Sheet1!$N$2:$N$5214,'REPORT YAMI'!$B$4:$I$4)))</f>
        <v>13</v>
      </c>
      <c r="D24" s="153">
        <f t="shared" si="0"/>
        <v>130</v>
      </c>
    </row>
    <row r="25" spans="1:4">
      <c r="A25" s="144" t="str" cm="1">
        <f t="array" ref="A25">IFERROR(INDEX(_xlfn._xlws.SORT(_xlfn.UNIQUE(_xlfn._xlws.FILTER(Sheet1!$H$2:$H$5214,(Sheet1!$F$2:$F$5214&gt;=$B$4)*(Sheet1!$F$2:$F$5214&lt;=$B$6)*(Sheet1!$H$2:$H$5214&lt;&gt;"")))),ROW()-13),"")</f>
        <v>JENNIFER AVENDAÑO SUR</v>
      </c>
      <c r="B25" s="149"/>
      <c r="C25" s="145" cm="1">
        <f t="array" ref="C25">IF($A25="","",SUMPRODUCT(COUNTIFS(Sheet1!$H$2:$H$5214,$A25,Sheet1!$F$2:$F$5214,"&gt;="&amp;$B$4,Sheet1!$F$2:$F$5214,"&lt;="&amp;$B$6,Sheet1!$N$2:$N$5214,'REPORT YAMI'!$B$4:$I$4)))</f>
        <v>46</v>
      </c>
      <c r="D25" s="153">
        <f t="shared" si="0"/>
        <v>460</v>
      </c>
    </row>
    <row r="26" spans="1:4">
      <c r="A26" s="144" t="str" cm="1">
        <f t="array" ref="A26">IFERROR(INDEX(_xlfn._xlws.SORT(_xlfn.UNIQUE(_xlfn._xlws.FILTER(Sheet1!$H$2:$H$5214,(Sheet1!$F$2:$F$5214&gt;=$B$4)*(Sheet1!$F$2:$F$5214&lt;=$B$6)*(Sheet1!$H$2:$H$5214&lt;&gt;"")))),ROW()-13),"")</f>
        <v>KARINA MATA C/C</v>
      </c>
      <c r="B26" s="149"/>
      <c r="C26" s="145" cm="1">
        <f t="array" ref="C26">IF($A26="","",SUMPRODUCT(COUNTIFS(Sheet1!$H$2:$H$5214,$A26,Sheet1!$F$2:$F$5214,"&gt;="&amp;$B$4,Sheet1!$F$2:$F$5214,"&lt;="&amp;$B$6,Sheet1!$N$2:$N$5214,'REPORT YAMI'!$B$4:$I$4)))</f>
        <v>8</v>
      </c>
      <c r="D26" s="153">
        <f t="shared" si="0"/>
        <v>80</v>
      </c>
    </row>
    <row r="27" spans="1:4">
      <c r="A27" s="144" t="str" cm="1">
        <f t="array" ref="A27">IFERROR(INDEX(_xlfn._xlws.SORT(_xlfn.UNIQUE(_xlfn._xlws.FILTER(Sheet1!$H$2:$H$5214,(Sheet1!$F$2:$F$5214&gt;=$B$4)*(Sheet1!$F$2:$F$5214&lt;=$B$6)*(Sheet1!$H$2:$H$5214&lt;&gt;"")))),ROW()-13),"")</f>
        <v>LILIANA MARTINEZ SUR</v>
      </c>
      <c r="B27" s="149" t="s">
        <v>11646</v>
      </c>
      <c r="C27" s="145" cm="1">
        <f t="array" ref="C27">IF($A27="","",SUMPRODUCT(COUNTIFS(Sheet1!$H$2:$H$5214,$A27,Sheet1!$F$2:$F$5214,"&gt;="&amp;$B$4,Sheet1!$F$2:$F$5214,"&lt;="&amp;$B$6,Sheet1!$N$2:$N$5214,'REPORT YAMI'!$B$4:$I$4)))</f>
        <v>29</v>
      </c>
      <c r="D27" s="153">
        <f t="shared" si="0"/>
        <v>290</v>
      </c>
    </row>
    <row r="28" spans="1:4">
      <c r="A28" s="144" t="str" cm="1">
        <f t="array" ref="A28">IFERROR(INDEX(_xlfn._xlws.SORT(_xlfn.UNIQUE(_xlfn._xlws.FILTER(Sheet1!$H$2:$H$5214,(Sheet1!$F$2:$F$5214&gt;=$B$4)*(Sheet1!$F$2:$F$5214&lt;=$B$6)*(Sheet1!$H$2:$H$5214&lt;&gt;"")))),ROW()-13),"")</f>
        <v>LITZY MARTINEZ C/C</v>
      </c>
      <c r="B28" s="149"/>
      <c r="C28" s="145" cm="1">
        <f t="array" ref="C28">IF($A28="","",SUMPRODUCT(COUNTIFS(Sheet1!$H$2:$H$5214,$A28,Sheet1!$F$2:$F$5214,"&gt;="&amp;$B$4,Sheet1!$F$2:$F$5214,"&lt;="&amp;$B$6,Sheet1!$N$2:$N$5214,'REPORT YAMI'!$B$4:$I$4)))</f>
        <v>24</v>
      </c>
      <c r="D28" s="153">
        <f t="shared" si="0"/>
        <v>240</v>
      </c>
    </row>
    <row r="29" spans="1:4">
      <c r="A29" s="144" t="str" cm="1">
        <f t="array" ref="A29">IFERROR(INDEX(_xlfn._xlws.SORT(_xlfn.UNIQUE(_xlfn._xlws.FILTER(Sheet1!$H$2:$H$5214,(Sheet1!$F$2:$F$5214&gt;=$B$4)*(Sheet1!$F$2:$F$5214&lt;=$B$6)*(Sheet1!$H$2:$H$5214&lt;&gt;"")))),ROW()-13),"")</f>
        <v>LUIS DAVILA C/C</v>
      </c>
      <c r="B29" s="149"/>
      <c r="C29" s="145" cm="1">
        <f t="array" ref="C29">IF($A29="","",SUMPRODUCT(COUNTIFS(Sheet1!$H$2:$H$5214,$A29,Sheet1!$F$2:$F$5214,"&gt;="&amp;$B$4,Sheet1!$F$2:$F$5214,"&lt;="&amp;$B$6,Sheet1!$N$2:$N$5214,'REPORT YAMI'!$B$4:$I$4)))</f>
        <v>3</v>
      </c>
      <c r="D29" s="153">
        <f t="shared" si="0"/>
        <v>30</v>
      </c>
    </row>
    <row r="30" spans="1:4">
      <c r="A30" s="144" t="str" cm="1">
        <f t="array" ref="A30">IFERROR(INDEX(_xlfn._xlws.SORT(_xlfn.UNIQUE(_xlfn._xlws.FILTER(Sheet1!$H$2:$H$5214,(Sheet1!$F$2:$F$5214&gt;=$B$4)*(Sheet1!$F$2:$F$5214&lt;=$B$6)*(Sheet1!$H$2:$H$5214&lt;&gt;"")))),ROW()-13),"")</f>
        <v>LUISA LARA SUR</v>
      </c>
      <c r="B30" s="149"/>
      <c r="C30" s="145" cm="1">
        <f t="array" ref="C30">IF($A30="","",SUMPRODUCT(COUNTIFS(Sheet1!$H$2:$H$5214,$A30,Sheet1!$F$2:$F$5214,"&gt;="&amp;$B$4,Sheet1!$F$2:$F$5214,"&lt;="&amp;$B$6,Sheet1!$N$2:$N$5214,'REPORT YAMI'!$B$4:$I$4)))</f>
        <v>3</v>
      </c>
      <c r="D30" s="153">
        <f t="shared" si="0"/>
        <v>30</v>
      </c>
    </row>
    <row r="31" spans="1:4">
      <c r="A31" s="144" t="str" cm="1">
        <f t="array" ref="A31">IFERROR(INDEX(_xlfn._xlws.SORT(_xlfn.UNIQUE(_xlfn._xlws.FILTER(Sheet1!$H$2:$H$5214,(Sheet1!$F$2:$F$5214&gt;=$B$4)*(Sheet1!$F$2:$F$5214&lt;=$B$6)*(Sheet1!$H$2:$H$5214&lt;&gt;"")))),ROW()-13),"")</f>
        <v>MAGALI HERNANDEZ C/C</v>
      </c>
      <c r="B31" s="149"/>
      <c r="C31" s="145" cm="1">
        <f t="array" ref="C31">IF($A31="","",SUMPRODUCT(COUNTIFS(Sheet1!$H$2:$H$5214,$A31,Sheet1!$F$2:$F$5214,"&gt;="&amp;$B$4,Sheet1!$F$2:$F$5214,"&lt;="&amp;$B$6,Sheet1!$N$2:$N$5214,'REPORT YAMI'!$B$4:$I$4)))</f>
        <v>11</v>
      </c>
      <c r="D31" s="153">
        <f t="shared" si="0"/>
        <v>110</v>
      </c>
    </row>
    <row r="32" spans="1:4">
      <c r="A32" s="144" t="str" cm="1">
        <f t="array" ref="A32">IFERROR(INDEX(_xlfn._xlws.SORT(_xlfn.UNIQUE(_xlfn._xlws.FILTER(Sheet1!$H$2:$H$5214,(Sheet1!$F$2:$F$5214&gt;=$B$4)*(Sheet1!$F$2:$F$5214&lt;=$B$6)*(Sheet1!$H$2:$H$5214&lt;&gt;"")))),ROW()-13),"")</f>
        <v>MAGALI MARTINEZ EXT 2</v>
      </c>
      <c r="B32" s="149"/>
      <c r="C32" s="145" cm="1">
        <f t="array" ref="C32">IF($A32="","",SUMPRODUCT(COUNTIFS(Sheet1!$H$2:$H$5214,$A32,Sheet1!$F$2:$F$5214,"&gt;="&amp;$B$4,Sheet1!$F$2:$F$5214,"&lt;="&amp;$B$6,Sheet1!$N$2:$N$5214,'REPORT YAMI'!$B$4:$I$4)))</f>
        <v>21</v>
      </c>
      <c r="D32" s="153">
        <f t="shared" si="0"/>
        <v>210</v>
      </c>
    </row>
    <row r="33" spans="1:4">
      <c r="A33" s="144" t="str" cm="1">
        <f t="array" ref="A33">IFERROR(INDEX(_xlfn._xlws.SORT(_xlfn.UNIQUE(_xlfn._xlws.FILTER(Sheet1!$H$2:$H$5214,(Sheet1!$F$2:$F$5214&gt;=$B$4)*(Sheet1!$F$2:$F$5214&lt;=$B$6)*(Sheet1!$H$2:$H$5214&lt;&gt;"")))),ROW()-13),"")</f>
        <v>MARA HERNANDEZ SUR</v>
      </c>
      <c r="B33" s="149"/>
      <c r="C33" s="145" cm="1">
        <f t="array" ref="C33">IF($A33="","",SUMPRODUCT(COUNTIFS(Sheet1!$H$2:$H$5214,$A33,Sheet1!$F$2:$F$5214,"&gt;="&amp;$B$4,Sheet1!$F$2:$F$5214,"&lt;="&amp;$B$6,Sheet1!$N$2:$N$5214,'REPORT YAMI'!$B$4:$I$4)))</f>
        <v>5</v>
      </c>
      <c r="D33" s="153">
        <f t="shared" si="0"/>
        <v>50</v>
      </c>
    </row>
    <row r="34" spans="1:4">
      <c r="A34" s="144" t="str" cm="1">
        <f t="array" ref="A34">IFERROR(INDEX(_xlfn._xlws.SORT(_xlfn.UNIQUE(_xlfn._xlws.FILTER(Sheet1!$H$2:$H$5214,(Sheet1!$F$2:$F$5214&gt;=$B$4)*(Sheet1!$F$2:$F$5214&lt;=$B$6)*(Sheet1!$H$2:$H$5214&lt;&gt;"")))),ROW()-13),"")</f>
        <v>MARISOL HERNANDEZ C/C</v>
      </c>
      <c r="B34" s="149"/>
      <c r="C34" s="145" cm="1">
        <f t="array" ref="C34">IF($A34="","",SUMPRODUCT(COUNTIFS(Sheet1!$H$2:$H$5214,$A34,Sheet1!$F$2:$F$5214,"&gt;="&amp;$B$4,Sheet1!$F$2:$F$5214,"&lt;="&amp;$B$6,Sheet1!$N$2:$N$5214,'REPORT YAMI'!$B$4:$I$4)))</f>
        <v>13</v>
      </c>
      <c r="D34" s="153">
        <f t="shared" si="0"/>
        <v>130</v>
      </c>
    </row>
    <row r="35" spans="1:4">
      <c r="A35" s="144" t="str" cm="1">
        <f t="array" ref="A35">IFERROR(INDEX(_xlfn._xlws.SORT(_xlfn.UNIQUE(_xlfn._xlws.FILTER(Sheet1!$H$2:$H$5214,(Sheet1!$F$2:$F$5214&gt;=$B$4)*(Sheet1!$F$2:$F$5214&lt;=$B$6)*(Sheet1!$H$2:$H$5214&lt;&gt;"")))),ROW()-13),"")</f>
        <v>MELANIE CIBRIAN C/C</v>
      </c>
      <c r="B35" s="149"/>
      <c r="C35" s="145" cm="1">
        <f t="array" ref="C35">IF($A35="","",SUMPRODUCT(COUNTIFS(Sheet1!$H$2:$H$5214,$A35,Sheet1!$F$2:$F$5214,"&gt;="&amp;$B$4,Sheet1!$F$2:$F$5214,"&lt;="&amp;$B$6,Sheet1!$N$2:$N$5214,'REPORT YAMI'!$B$4:$I$4)))</f>
        <v>11</v>
      </c>
      <c r="D35" s="153">
        <f t="shared" si="0"/>
        <v>110</v>
      </c>
    </row>
    <row r="36" spans="1:4">
      <c r="A36" s="144" t="str" cm="1">
        <f t="array" ref="A36">IFERROR(INDEX(_xlfn._xlws.SORT(_xlfn.UNIQUE(_xlfn._xlws.FILTER(Sheet1!$H$2:$H$5214,(Sheet1!$F$2:$F$5214&gt;=$B$4)*(Sheet1!$F$2:$F$5214&lt;=$B$6)*(Sheet1!$H$2:$H$5214&lt;&gt;"")))),ROW()-13),"")</f>
        <v>PAOLA RODRIGUEZ C/C</v>
      </c>
      <c r="B36" s="149"/>
      <c r="C36" s="145" cm="1">
        <f t="array" ref="C36">IF($A36="","",SUMPRODUCT(COUNTIFS(Sheet1!$H$2:$H$5214,$A36,Sheet1!$F$2:$F$5214,"&gt;="&amp;$B$4,Sheet1!$F$2:$F$5214,"&lt;="&amp;$B$6,Sheet1!$N$2:$N$5214,'REPORT YAMI'!$B$4:$I$4)))</f>
        <v>18</v>
      </c>
      <c r="D36" s="153">
        <f t="shared" si="0"/>
        <v>180</v>
      </c>
    </row>
    <row r="37" spans="1:4">
      <c r="A37" s="144" t="str" cm="1">
        <f t="array" ref="A37">IFERROR(INDEX(_xlfn._xlws.SORT(_xlfn.UNIQUE(_xlfn._xlws.FILTER(Sheet1!$H$2:$H$5214,(Sheet1!$F$2:$F$5214&gt;=$B$4)*(Sheet1!$F$2:$F$5214&lt;=$B$6)*(Sheet1!$H$2:$H$5214&lt;&gt;"")))),ROW()-13),"")</f>
        <v>ROSA CASTRO SUR</v>
      </c>
      <c r="B37" s="149" t="s">
        <v>11646</v>
      </c>
      <c r="C37" s="145" cm="1">
        <f t="array" ref="C37">IF($A37="","",SUMPRODUCT(COUNTIFS(Sheet1!$H$2:$H$5214,$A37,Sheet1!$F$2:$F$5214,"&gt;="&amp;$B$4,Sheet1!$F$2:$F$5214,"&lt;="&amp;$B$6,Sheet1!$N$2:$N$5214,'REPORT YAMI'!$B$4:$I$4)))</f>
        <v>67</v>
      </c>
      <c r="D37" s="153">
        <f t="shared" si="0"/>
        <v>670</v>
      </c>
    </row>
    <row r="38" spans="1:4">
      <c r="A38" s="144" t="str" cm="1">
        <f t="array" ref="A38">IFERROR(INDEX(_xlfn._xlws.SORT(_xlfn.UNIQUE(_xlfn._xlws.FILTER(Sheet1!$H$2:$H$5214,(Sheet1!$F$2:$F$5214&gt;=$B$4)*(Sheet1!$F$2:$F$5214&lt;=$B$6)*(Sheet1!$H$2:$H$5214&lt;&gt;"")))),ROW()-13),"")</f>
        <v>XIMENA RIVERA SUR</v>
      </c>
      <c r="B38" s="149"/>
      <c r="C38" s="145" cm="1">
        <f t="array" ref="C38">IF($A38="","",SUMPRODUCT(COUNTIFS(Sheet1!$H$2:$H$5214,$A38,Sheet1!$F$2:$F$5214,"&gt;="&amp;$B$4,Sheet1!$F$2:$F$5214,"&lt;="&amp;$B$6,Sheet1!$N$2:$N$5214,'REPORT YAMI'!$B$4:$I$4)))</f>
        <v>37</v>
      </c>
      <c r="D38" s="153">
        <f t="shared" si="0"/>
        <v>370</v>
      </c>
    </row>
    <row r="39" spans="1:4">
      <c r="A39" s="144" t="str" cm="1">
        <f t="array" ref="A39">IFERROR(INDEX(_xlfn._xlws.SORT(_xlfn.UNIQUE(_xlfn._xlws.FILTER(Sheet1!$H$2:$H$5214,(Sheet1!$F$2:$F$5214&gt;=$B$4)*(Sheet1!$F$2:$F$5214&lt;=$B$6)*(Sheet1!$H$2:$H$5214&lt;&gt;"")))),ROW()-13),"")</f>
        <v>YAJAHIRA GONZALEZ EXT 2</v>
      </c>
      <c r="B39" s="149"/>
      <c r="C39" s="145" cm="1">
        <f t="array" ref="C39">IF($A39="","",SUMPRODUCT(COUNTIFS(Sheet1!$H$2:$H$5214,$A39,Sheet1!$F$2:$F$5214,"&gt;="&amp;$B$4,Sheet1!$F$2:$F$5214,"&lt;="&amp;$B$6,Sheet1!$N$2:$N$5214,'REPORT YAMI'!$B$4:$I$4)))</f>
        <v>7</v>
      </c>
      <c r="D39" s="153">
        <f t="shared" si="0"/>
        <v>70</v>
      </c>
    </row>
    <row r="40" spans="1:4">
      <c r="A40" s="144" t="str" cm="1">
        <f t="array" ref="A40">IFERROR(INDEX(_xlfn._xlws.SORT(_xlfn.UNIQUE(_xlfn._xlws.FILTER(Sheet1!$H$2:$H$5214,(Sheet1!$F$2:$F$5214&gt;=$B$4)*(Sheet1!$F$2:$F$5214&lt;=$B$6)*(Sheet1!$H$2:$H$5214&lt;&gt;"")))),ROW()-13),"")</f>
        <v>YAMILETH CARDONA EXT 2</v>
      </c>
      <c r="B40" s="149"/>
      <c r="C40" s="145" cm="1">
        <f t="array" ref="C40">IF($A40="","",SUMPRODUCT(COUNTIFS(Sheet1!$H$2:$H$5214,$A40,Sheet1!$F$2:$F$5214,"&gt;="&amp;$B$4,Sheet1!$F$2:$F$5214,"&lt;="&amp;$B$6,Sheet1!$N$2:$N$5214,'REPORT YAMI'!$B$4:$I$4)))</f>
        <v>28</v>
      </c>
      <c r="D40" s="153">
        <f t="shared" si="0"/>
        <v>280</v>
      </c>
    </row>
    <row r="41" spans="1:4">
      <c r="A41" s="144" t="str" cm="1">
        <f t="array" ref="A41">IFERROR(INDEX(_xlfn._xlws.SORT(_xlfn.UNIQUE(_xlfn._xlws.FILTER(Sheet1!$H$2:$H$5214,(Sheet1!$F$2:$F$5214&gt;=$B$4)*(Sheet1!$F$2:$F$5214&lt;=$B$6)*(Sheet1!$H$2:$H$5214&lt;&gt;"")))),ROW()-13),"")</f>
        <v>YESSENIA ESPINO</v>
      </c>
      <c r="B41" s="149"/>
      <c r="C41" s="145" cm="1">
        <f t="array" ref="C41">IF($A41="","",SUMPRODUCT(COUNTIFS(Sheet1!$H$2:$H$5214,$A41,Sheet1!$F$2:$F$5214,"&gt;="&amp;$B$4,Sheet1!$F$2:$F$5214,"&lt;="&amp;$B$6,Sheet1!$N$2:$N$5214,'REPORT YAMI'!$B$4:$I$4)))</f>
        <v>8</v>
      </c>
      <c r="D41" s="153">
        <f t="shared" si="0"/>
        <v>80</v>
      </c>
    </row>
    <row r="42" spans="1:4">
      <c r="A42" s="144" t="str" cm="1">
        <f t="array" ref="A42">IFERROR(INDEX(_xlfn._xlws.SORT(_xlfn.UNIQUE(_xlfn._xlws.FILTER(Sheet1!$H$2:$H$5214,(Sheet1!$F$2:$F$5214&gt;=$B$4)*(Sheet1!$F$2:$F$5214&lt;=$B$6)*(Sheet1!$H$2:$H$5214&lt;&gt;"")))),ROW()-13),"")</f>
        <v/>
      </c>
      <c r="B42" s="149"/>
      <c r="C42" s="145" t="str" cm="1">
        <f t="array" ref="C42">IF($A42="","",SUMPRODUCT(COUNTIFS(Sheet1!$H$2:$H$5214,$A42,Sheet1!$F$2:$F$5214,"&gt;="&amp;$B$4,Sheet1!$F$2:$F$5214,"&lt;="&amp;$B$6,Sheet1!$N$2:$N$5214,'REPORT YAMI'!$B$4:$I$4)))</f>
        <v/>
      </c>
      <c r="D42" s="153" t="str">
        <f t="shared" si="0"/>
        <v/>
      </c>
    </row>
    <row r="43" spans="1:4">
      <c r="A43" s="144" t="str" cm="1">
        <f t="array" ref="A43">IFERROR(INDEX(_xlfn._xlws.SORT(_xlfn.UNIQUE(_xlfn._xlws.FILTER(Sheet1!$H$2:$H$5214,(Sheet1!$F$2:$F$5214&gt;=$B$4)*(Sheet1!$F$2:$F$5214&lt;=$B$6)*(Sheet1!$H$2:$H$5214&lt;&gt;"")))),ROW()-13),"")</f>
        <v/>
      </c>
      <c r="B43" s="149"/>
      <c r="C43" s="145" t="str" cm="1">
        <f t="array" ref="C43">IF($A43="","",SUMPRODUCT(COUNTIFS(Sheet1!$H$2:$H$5214,$A43,Sheet1!$F$2:$F$5214,"&gt;="&amp;$B$4,Sheet1!$F$2:$F$5214,"&lt;="&amp;$B$6,Sheet1!$N$2:$N$5214,'REPORT YAMI'!$B$4:$I$4)))</f>
        <v/>
      </c>
      <c r="D43" s="153" t="str">
        <f t="shared" si="0"/>
        <v/>
      </c>
    </row>
    <row r="44" spans="1:4">
      <c r="A44" s="144" t="str" cm="1">
        <f t="array" ref="A44">IFERROR(INDEX(_xlfn._xlws.SORT(_xlfn.UNIQUE(_xlfn._xlws.FILTER(Sheet1!$H$2:$H$5214,(Sheet1!$F$2:$F$5214&gt;=$B$4)*(Sheet1!$F$2:$F$5214&lt;=$B$6)*(Sheet1!$H$2:$H$5214&lt;&gt;"")))),ROW()-13),"")</f>
        <v/>
      </c>
      <c r="B44" s="149"/>
      <c r="C44" s="145" t="str" cm="1">
        <f t="array" ref="C44">IF($A44="","",SUMPRODUCT(COUNTIFS(Sheet1!$H$2:$H$5214,$A44,Sheet1!$F$2:$F$5214,"&gt;="&amp;$B$4,Sheet1!$F$2:$F$5214,"&lt;="&amp;$B$6,Sheet1!$N$2:$N$5214,'REPORT YAMI'!$B$4:$I$4)))</f>
        <v/>
      </c>
      <c r="D44" s="153" t="str">
        <f t="shared" si="0"/>
        <v/>
      </c>
    </row>
    <row r="45" spans="1:4">
      <c r="A45" s="144" t="str" cm="1">
        <f t="array" ref="A45">IFERROR(INDEX(_xlfn._xlws.SORT(_xlfn.UNIQUE(_xlfn._xlws.FILTER(Sheet1!$H$2:$H$5214,(Sheet1!$F$2:$F$5214&gt;=$B$4)*(Sheet1!$F$2:$F$5214&lt;=$B$6)*(Sheet1!$H$2:$H$5214&lt;&gt;"")))),ROW()-13),"")</f>
        <v/>
      </c>
      <c r="B45" s="149"/>
      <c r="C45" s="145" t="str" cm="1">
        <f t="array" ref="C45">IF($A45="","",SUMPRODUCT(COUNTIFS(Sheet1!$H$2:$H$5214,$A45,Sheet1!$F$2:$F$5214,"&gt;="&amp;$B$4,Sheet1!$F$2:$F$5214,"&lt;="&amp;$B$6,Sheet1!$N$2:$N$5214,'REPORT YAMI'!$B$4:$I$4)))</f>
        <v/>
      </c>
      <c r="D45" s="153" t="str">
        <f t="shared" si="0"/>
        <v/>
      </c>
    </row>
    <row r="46" spans="1:4">
      <c r="A46" s="144" t="str" cm="1">
        <f t="array" ref="A46">IFERROR(INDEX(_xlfn._xlws.SORT(_xlfn.UNIQUE(_xlfn._xlws.FILTER(Sheet1!$H$2:$H$5214,(Sheet1!$F$2:$F$5214&gt;=$B$4)*(Sheet1!$F$2:$F$5214&lt;=$B$6)*(Sheet1!$H$2:$H$5214&lt;&gt;"")))),ROW()-13),"")</f>
        <v/>
      </c>
      <c r="B46" s="149"/>
      <c r="C46" s="145" t="str" cm="1">
        <f t="array" ref="C46">IF($A46="","",SUMPRODUCT(COUNTIFS(Sheet1!$H$2:$H$5214,$A46,Sheet1!$F$2:$F$5214,"&gt;="&amp;$B$4,Sheet1!$F$2:$F$5214,"&lt;="&amp;$B$6,Sheet1!$N$2:$N$5214,'REPORT YAMI'!$B$4:$I$4)))</f>
        <v/>
      </c>
      <c r="D46" s="153" t="str">
        <f t="shared" si="0"/>
        <v/>
      </c>
    </row>
    <row r="47" spans="1:4">
      <c r="A47" s="144" t="str" cm="1">
        <f t="array" ref="A47">IFERROR(INDEX(_xlfn._xlws.SORT(_xlfn.UNIQUE(_xlfn._xlws.FILTER(Sheet1!$H$2:$H$5214,(Sheet1!$F$2:$F$5214&gt;=$B$4)*(Sheet1!$F$2:$F$5214&lt;=$B$6)*(Sheet1!$H$2:$H$5214&lt;&gt;"")))),ROW()-13),"")</f>
        <v/>
      </c>
      <c r="B47" s="149"/>
      <c r="C47" s="145" t="str" cm="1">
        <f t="array" ref="C47">IF($A47="","",SUMPRODUCT(COUNTIFS(Sheet1!$H$2:$H$5214,$A47,Sheet1!$F$2:$F$5214,"&gt;="&amp;$B$4,Sheet1!$F$2:$F$5214,"&lt;="&amp;$B$6,Sheet1!$N$2:$N$5214,'REPORT YAMI'!$B$4:$I$4)))</f>
        <v/>
      </c>
      <c r="D47" s="153" t="str">
        <f t="shared" si="0"/>
        <v/>
      </c>
    </row>
    <row r="48" spans="1:4">
      <c r="A48" s="144" t="str" cm="1">
        <f t="array" ref="A48">IFERROR(INDEX(_xlfn._xlws.SORT(_xlfn.UNIQUE(_xlfn._xlws.FILTER(Sheet1!$H$2:$H$5214,(Sheet1!$F$2:$F$5214&gt;=$B$4)*(Sheet1!$F$2:$F$5214&lt;=$B$6)*(Sheet1!$H$2:$H$5214&lt;&gt;"")))),ROW()-13),"")</f>
        <v/>
      </c>
      <c r="B48" s="149"/>
      <c r="C48" s="145" t="str" cm="1">
        <f t="array" ref="C48">IF($A48="","",SUMPRODUCT(COUNTIFS(Sheet1!$H$2:$H$5214,$A48,Sheet1!$F$2:$F$5214,"&gt;="&amp;$B$4,Sheet1!$F$2:$F$5214,"&lt;="&amp;$B$6,Sheet1!$N$2:$N$5214,'REPORT YAMI'!$B$4:$I$4)))</f>
        <v/>
      </c>
      <c r="D48" s="153" t="str">
        <f t="shared" si="0"/>
        <v/>
      </c>
    </row>
    <row r="49" spans="1:4">
      <c r="A49" s="144" t="str" cm="1">
        <f t="array" ref="A49">IFERROR(INDEX(_xlfn._xlws.SORT(_xlfn.UNIQUE(_xlfn._xlws.FILTER(Sheet1!$H$2:$H$5214,(Sheet1!$F$2:$F$5214&gt;=$B$4)*(Sheet1!$F$2:$F$5214&lt;=$B$6)*(Sheet1!$H$2:$H$5214&lt;&gt;"")))),ROW()-13),"")</f>
        <v/>
      </c>
      <c r="B49" s="149"/>
      <c r="C49" s="145" t="str" cm="1">
        <f t="array" ref="C49">IF($A49="","",SUMPRODUCT(COUNTIFS(Sheet1!$H$2:$H$5214,$A49,Sheet1!$F$2:$F$5214,"&gt;="&amp;$B$4,Sheet1!$F$2:$F$5214,"&lt;="&amp;$B$6,Sheet1!$N$2:$N$5214,'REPORT YAMI'!$B$4:$I$4)))</f>
        <v/>
      </c>
      <c r="D49" s="153" t="str">
        <f t="shared" si="0"/>
        <v/>
      </c>
    </row>
    <row r="50" spans="1:4">
      <c r="A50" s="144" t="str" cm="1">
        <f t="array" ref="A50">IFERROR(INDEX(_xlfn._xlws.SORT(_xlfn.UNIQUE(_xlfn._xlws.FILTER(Sheet1!$H$2:$H$5214,(Sheet1!$F$2:$F$5214&gt;=$B$4)*(Sheet1!$F$2:$F$5214&lt;=$B$6)*(Sheet1!$H$2:$H$5214&lt;&gt;"")))),ROW()-13),"")</f>
        <v/>
      </c>
      <c r="B50" s="149"/>
      <c r="C50" s="145" t="str" cm="1">
        <f t="array" ref="C50">IF($A50="","",SUMPRODUCT(COUNTIFS(Sheet1!$H$2:$H$5214,$A50,Sheet1!$F$2:$F$5214,"&gt;="&amp;$B$4,Sheet1!$F$2:$F$5214,"&lt;="&amp;$B$6,Sheet1!$N$2:$N$5214,'REPORT YAMI'!$B$4:$I$4)))</f>
        <v/>
      </c>
      <c r="D50" s="153" t="str">
        <f t="shared" si="0"/>
        <v/>
      </c>
    </row>
    <row r="51" spans="1:4">
      <c r="A51" s="144" t="str" cm="1">
        <f t="array" ref="A51">IFERROR(INDEX(_xlfn._xlws.SORT(_xlfn.UNIQUE(_xlfn._xlws.FILTER(Sheet1!$H$2:$H$5214,(Sheet1!$F$2:$F$5214&gt;=$B$4)*(Sheet1!$F$2:$F$5214&lt;=$B$6)*(Sheet1!$H$2:$H$5214&lt;&gt;"")))),ROW()-13),"")</f>
        <v/>
      </c>
      <c r="B51" s="149"/>
      <c r="C51" s="145" t="str" cm="1">
        <f t="array" ref="C51">IF($A51="","",SUMPRODUCT(COUNTIFS(Sheet1!$H$2:$H$5214,$A51,Sheet1!$F$2:$F$5214,"&gt;="&amp;$B$4,Sheet1!$F$2:$F$5214,"&lt;="&amp;$B$6,Sheet1!$N$2:$N$5214,'REPORT YAMI'!$B$4:$I$4)))</f>
        <v/>
      </c>
      <c r="D51" s="153" t="str">
        <f t="shared" si="0"/>
        <v/>
      </c>
    </row>
    <row r="52" spans="1:4">
      <c r="A52" s="144" t="str" cm="1">
        <f t="array" ref="A52">IFERROR(INDEX(_xlfn._xlws.SORT(_xlfn.UNIQUE(_xlfn._xlws.FILTER(Sheet1!$H$2:$H$5214,(Sheet1!$F$2:$F$5214&gt;=$B$4)*(Sheet1!$F$2:$F$5214&lt;=$B$6)*(Sheet1!$H$2:$H$5214&lt;&gt;"")))),ROW()-13),"")</f>
        <v/>
      </c>
      <c r="B52" s="149"/>
      <c r="C52" s="145" t="str" cm="1">
        <f t="array" ref="C52">IF($A52="","",SUMPRODUCT(COUNTIFS(Sheet1!$H$2:$H$5214,$A52,Sheet1!$F$2:$F$5214,"&gt;="&amp;$B$4,Sheet1!$F$2:$F$5214,"&lt;="&amp;$B$6,Sheet1!$N$2:$N$5214,'REPORT YAMI'!$B$4:$I$4)))</f>
        <v/>
      </c>
      <c r="D52" s="153" t="str">
        <f t="shared" si="0"/>
        <v/>
      </c>
    </row>
    <row r="53" spans="1:4">
      <c r="A53" s="144" t="str" cm="1">
        <f t="array" ref="A53">IFERROR(INDEX(_xlfn._xlws.SORT(_xlfn.UNIQUE(_xlfn._xlws.FILTER(Sheet1!$H$2:$H$5214,(Sheet1!$F$2:$F$5214&gt;=$B$4)*(Sheet1!$F$2:$F$5214&lt;=$B$6)*(Sheet1!$H$2:$H$5214&lt;&gt;"")))),ROW()-13),"")</f>
        <v/>
      </c>
      <c r="B53" s="149"/>
      <c r="C53" s="145" t="str" cm="1">
        <f t="array" ref="C53">IF($A53="","",SUMPRODUCT(COUNTIFS(Sheet1!$H$2:$H$5214,$A53,Sheet1!$F$2:$F$5214,"&gt;="&amp;$B$4,Sheet1!$F$2:$F$5214,"&lt;="&amp;$B$6,Sheet1!$N$2:$N$5214,'REPORT YAMI'!$B$4:$I$4)))</f>
        <v/>
      </c>
      <c r="D53" s="153" t="str">
        <f t="shared" si="0"/>
        <v/>
      </c>
    </row>
    <row r="54" spans="1:4">
      <c r="A54" s="144" t="str" cm="1">
        <f t="array" ref="A54">IFERROR(INDEX(_xlfn._xlws.SORT(_xlfn.UNIQUE(_xlfn._xlws.FILTER(Sheet1!$H$2:$H$5214,(Sheet1!$F$2:$F$5214&gt;=$B$4)*(Sheet1!$F$2:$F$5214&lt;=$B$6)*(Sheet1!$H$2:$H$5214&lt;&gt;"")))),ROW()-13),"")</f>
        <v/>
      </c>
      <c r="B54" s="149"/>
      <c r="C54" s="145" t="str" cm="1">
        <f t="array" ref="C54">IF($A54="","",SUMPRODUCT(COUNTIFS(Sheet1!$H$2:$H$5214,$A54,Sheet1!$F$2:$F$5214,"&gt;="&amp;$B$4,Sheet1!$F$2:$F$5214,"&lt;="&amp;$B$6,Sheet1!$N$2:$N$5214,'REPORT YAMI'!$B$4:$I$4)))</f>
        <v/>
      </c>
      <c r="D54" s="153" t="str">
        <f t="shared" si="0"/>
        <v/>
      </c>
    </row>
    <row r="55" spans="1:4">
      <c r="A55" s="144" t="str" cm="1">
        <f t="array" ref="A55">IFERROR(INDEX(_xlfn._xlws.SORT(_xlfn.UNIQUE(_xlfn._xlws.FILTER(Sheet1!$H$2:$H$5214,(Sheet1!$F$2:$F$5214&gt;=$B$4)*(Sheet1!$F$2:$F$5214&lt;=$B$6)*(Sheet1!$H$2:$H$5214&lt;&gt;"")))),ROW()-13),"")</f>
        <v/>
      </c>
      <c r="B55" s="149"/>
      <c r="C55" s="145" t="str" cm="1">
        <f t="array" ref="C55">IF($A55="","",SUMPRODUCT(COUNTIFS(Sheet1!$H$2:$H$5214,$A55,Sheet1!$F$2:$F$5214,"&gt;="&amp;$B$4,Sheet1!$F$2:$F$5214,"&lt;="&amp;$B$6,Sheet1!$N$2:$N$5214,'REPORT YAMI'!$B$4:$I$4)))</f>
        <v/>
      </c>
      <c r="D55" s="153" t="str">
        <f t="shared" si="0"/>
        <v/>
      </c>
    </row>
    <row r="56" spans="1:4">
      <c r="A56" s="144" t="str" cm="1">
        <f t="array" ref="A56">IFERROR(INDEX(_xlfn._xlws.SORT(_xlfn.UNIQUE(_xlfn._xlws.FILTER(Sheet1!$H$2:$H$5214,(Sheet1!$F$2:$F$5214&gt;=$B$4)*(Sheet1!$F$2:$F$5214&lt;=$B$6)*(Sheet1!$H$2:$H$5214&lt;&gt;"")))),ROW()-13),"")</f>
        <v/>
      </c>
      <c r="B56" s="149"/>
      <c r="C56" s="145" t="str" cm="1">
        <f t="array" ref="C56">IF($A56="","",SUMPRODUCT(COUNTIFS(Sheet1!$H$2:$H$5214,$A56,Sheet1!$F$2:$F$5214,"&gt;="&amp;$B$4,Sheet1!$F$2:$F$5214,"&lt;="&amp;$B$6,Sheet1!$N$2:$N$5214,'REPORT YAMI'!$B$4:$I$4)))</f>
        <v/>
      </c>
      <c r="D56" s="153" t="str">
        <f t="shared" si="0"/>
        <v/>
      </c>
    </row>
    <row r="57" spans="1:4">
      <c r="A57" s="144" t="str" cm="1">
        <f t="array" ref="A57">IFERROR(INDEX(_xlfn._xlws.SORT(_xlfn.UNIQUE(_xlfn._xlws.FILTER(Sheet1!$H$2:$H$5214,(Sheet1!$F$2:$F$5214&gt;=$B$4)*(Sheet1!$F$2:$F$5214&lt;=$B$6)*(Sheet1!$H$2:$H$5214&lt;&gt;"")))),ROW()-13),"")</f>
        <v/>
      </c>
      <c r="B57" s="149"/>
      <c r="C57" s="145" t="str" cm="1">
        <f t="array" ref="C57">IF($A57="","",SUMPRODUCT(COUNTIFS(Sheet1!$H$2:$H$5214,$A57,Sheet1!$F$2:$F$5214,"&gt;="&amp;$B$4,Sheet1!$F$2:$F$5214,"&lt;="&amp;$B$6,Sheet1!$N$2:$N$5214,'REPORT YAMI'!$B$4:$I$4)))</f>
        <v/>
      </c>
      <c r="D57" s="153" t="str">
        <f t="shared" si="0"/>
        <v/>
      </c>
    </row>
    <row r="58" spans="1:4">
      <c r="A58" s="144" t="str" cm="1">
        <f t="array" ref="A58">IFERROR(INDEX(_xlfn._xlws.SORT(_xlfn.UNIQUE(_xlfn._xlws.FILTER(Sheet1!$H$2:$H$5214,(Sheet1!$F$2:$F$5214&gt;=$B$4)*(Sheet1!$F$2:$F$5214&lt;=$B$6)*(Sheet1!$H$2:$H$5214&lt;&gt;"")))),ROW()-13),"")</f>
        <v/>
      </c>
      <c r="B58" s="149"/>
      <c r="C58" s="145" t="str" cm="1">
        <f t="array" ref="C58">IF($A58="","",SUMPRODUCT(COUNTIFS(Sheet1!$H$2:$H$5214,$A58,Sheet1!$F$2:$F$5214,"&gt;="&amp;$B$4,Sheet1!$F$2:$F$5214,"&lt;="&amp;$B$6,Sheet1!$N$2:$N$5214,'REPORT YAMI'!$B$4:$I$4)))</f>
        <v/>
      </c>
      <c r="D58" s="153" t="str">
        <f t="shared" si="0"/>
        <v/>
      </c>
    </row>
    <row r="59" spans="1:4">
      <c r="A59" s="144" t="str" cm="1">
        <f t="array" ref="A59">IFERROR(INDEX(_xlfn._xlws.SORT(_xlfn.UNIQUE(_xlfn._xlws.FILTER(Sheet1!$H$2:$H$5214,(Sheet1!$F$2:$F$5214&gt;=$B$4)*(Sheet1!$F$2:$F$5214&lt;=$B$6)*(Sheet1!$H$2:$H$5214&lt;&gt;"")))),ROW()-13),"")</f>
        <v/>
      </c>
      <c r="B59" s="149"/>
      <c r="C59" s="145" t="str" cm="1">
        <f t="array" ref="C59">IF($A59="","",SUMPRODUCT(COUNTIFS(Sheet1!$H$2:$H$5214,$A59,Sheet1!$F$2:$F$5214,"&gt;="&amp;$B$4,Sheet1!$F$2:$F$5214,"&lt;="&amp;$B$6,Sheet1!$N$2:$N$5214,'REPORT YAMI'!$B$4:$I$4)))</f>
        <v/>
      </c>
      <c r="D59" s="153" t="str">
        <f t="shared" si="0"/>
        <v/>
      </c>
    </row>
    <row r="60" spans="1:4">
      <c r="A60" s="144" t="str" cm="1">
        <f t="array" ref="A60">IFERROR(INDEX(_xlfn._xlws.SORT(_xlfn.UNIQUE(_xlfn._xlws.FILTER(Sheet1!$H$2:$H$5214,(Sheet1!$F$2:$F$5214&gt;=$B$4)*(Sheet1!$F$2:$F$5214&lt;=$B$6)*(Sheet1!$H$2:$H$5214&lt;&gt;"")))),ROW()-13),"")</f>
        <v/>
      </c>
      <c r="B60" s="149"/>
      <c r="C60" s="145" t="str" cm="1">
        <f t="array" ref="C60">IF($A60="","",SUMPRODUCT(COUNTIFS(Sheet1!$H$2:$H$5214,$A60,Sheet1!$F$2:$F$5214,"&gt;="&amp;$B$4,Sheet1!$F$2:$F$5214,"&lt;="&amp;$B$6,Sheet1!$N$2:$N$5214,'REPORT YAMI'!$B$4:$I$4)))</f>
        <v/>
      </c>
      <c r="D60" s="153" t="str">
        <f t="shared" si="0"/>
        <v/>
      </c>
    </row>
    <row r="61" spans="1:4">
      <c r="A61" s="144" t="str" cm="1">
        <f t="array" ref="A61">IFERROR(INDEX(_xlfn._xlws.SORT(_xlfn.UNIQUE(_xlfn._xlws.FILTER(Sheet1!$H$2:$H$5214,(Sheet1!$F$2:$F$5214&gt;=$B$4)*(Sheet1!$F$2:$F$5214&lt;=$B$6)*(Sheet1!$H$2:$H$5214&lt;&gt;"")))),ROW()-13),"")</f>
        <v/>
      </c>
      <c r="B61" s="149"/>
      <c r="C61" s="145" t="str" cm="1">
        <f t="array" ref="C61">IF($A61="","",SUMPRODUCT(COUNTIFS(Sheet1!$H$2:$H$5214,$A61,Sheet1!$F$2:$F$5214,"&gt;="&amp;$B$4,Sheet1!$F$2:$F$5214,"&lt;="&amp;$B$6,Sheet1!$N$2:$N$5214,'REPORT YAMI'!$B$4:$I$4)))</f>
        <v/>
      </c>
      <c r="D61" s="153" t="str">
        <f t="shared" si="0"/>
        <v/>
      </c>
    </row>
    <row r="62" spans="1:4">
      <c r="A62" s="144" t="str" cm="1">
        <f t="array" ref="A62">IFERROR(INDEX(_xlfn._xlws.SORT(_xlfn.UNIQUE(_xlfn._xlws.FILTER(Sheet1!$H$2:$H$5214,(Sheet1!$F$2:$F$5214&gt;=$B$4)*(Sheet1!$F$2:$F$5214&lt;=$B$6)*(Sheet1!$H$2:$H$5214&lt;&gt;"")))),ROW()-13),"")</f>
        <v/>
      </c>
      <c r="B62" s="149"/>
      <c r="C62" s="145" t="str" cm="1">
        <f t="array" ref="C62">IF($A62="","",SUMPRODUCT(COUNTIFS(Sheet1!$H$2:$H$5214,$A62,Sheet1!$F$2:$F$5214,"&gt;="&amp;$B$4,Sheet1!$F$2:$F$5214,"&lt;="&amp;$B$6,Sheet1!$N$2:$N$5214,'REPORT YAMI'!$B$4:$I$4)))</f>
        <v/>
      </c>
      <c r="D62" s="153" t="str">
        <f t="shared" si="0"/>
        <v/>
      </c>
    </row>
    <row r="63" spans="1:4">
      <c r="A63" s="144" t="str" cm="1">
        <f t="array" ref="A63">IFERROR(INDEX(_xlfn._xlws.SORT(_xlfn.UNIQUE(_xlfn._xlws.FILTER(Sheet1!$H$2:$H$5214,(Sheet1!$F$2:$F$5214&gt;=$B$4)*(Sheet1!$F$2:$F$5214&lt;=$B$6)*(Sheet1!$H$2:$H$5214&lt;&gt;"")))),ROW()-13),"")</f>
        <v/>
      </c>
      <c r="B63" s="149"/>
      <c r="C63" s="145" t="str" cm="1">
        <f t="array" ref="C63">IF($A63="","",SUMPRODUCT(COUNTIFS(Sheet1!$H$2:$H$5214,$A63,Sheet1!$F$2:$F$5214,"&gt;="&amp;$B$4,Sheet1!$F$2:$F$5214,"&lt;="&amp;$B$6,Sheet1!$N$2:$N$5214,'REPORT YAMI'!$B$4:$I$4)))</f>
        <v/>
      </c>
      <c r="D63" s="153" t="str">
        <f t="shared" si="0"/>
        <v/>
      </c>
    </row>
    <row r="64" spans="1:4">
      <c r="A64" s="144" t="str" cm="1">
        <f t="array" ref="A64">IFERROR(INDEX(_xlfn._xlws.SORT(_xlfn.UNIQUE(_xlfn._xlws.FILTER(Sheet1!$H$2:$H$5214,(Sheet1!$F$2:$F$5214&gt;=$B$4)*(Sheet1!$F$2:$F$5214&lt;=$B$6)*(Sheet1!$H$2:$H$5214&lt;&gt;"")))),ROW()-13),"")</f>
        <v/>
      </c>
      <c r="B64" s="149"/>
      <c r="C64" s="145" t="str" cm="1">
        <f t="array" ref="C64">IF($A64="","",SUMPRODUCT(COUNTIFS(Sheet1!$H$2:$H$5214,$A64,Sheet1!$F$2:$F$5214,"&gt;="&amp;$B$4,Sheet1!$F$2:$F$5214,"&lt;="&amp;$B$6,Sheet1!$N$2:$N$5214,'REPORT YAMI'!$B$4:$I$4)))</f>
        <v/>
      </c>
      <c r="D64" s="153" t="str">
        <f t="shared" si="0"/>
        <v/>
      </c>
    </row>
    <row r="65" spans="1:4">
      <c r="A65" s="144" t="str" cm="1">
        <f t="array" ref="A65">IFERROR(INDEX(_xlfn._xlws.SORT(_xlfn.UNIQUE(_xlfn._xlws.FILTER(Sheet1!$H$2:$H$5214,(Sheet1!$F$2:$F$5214&gt;=$B$4)*(Sheet1!$F$2:$F$5214&lt;=$B$6)*(Sheet1!$H$2:$H$5214&lt;&gt;"")))),ROW()-13),"")</f>
        <v/>
      </c>
      <c r="B65" s="149"/>
      <c r="C65" s="145" t="str" cm="1">
        <f t="array" ref="C65">IF($A65="","",SUMPRODUCT(COUNTIFS(Sheet1!$H$2:$H$5214,$A65,Sheet1!$F$2:$F$5214,"&gt;="&amp;$B$4,Sheet1!$F$2:$F$5214,"&lt;="&amp;$B$6,Sheet1!$N$2:$N$5214,'REPORT YAMI'!$B$4:$I$4)))</f>
        <v/>
      </c>
      <c r="D65" s="153" t="str">
        <f t="shared" si="0"/>
        <v/>
      </c>
    </row>
    <row r="66" spans="1:4">
      <c r="A66" s="144" t="str" cm="1">
        <f t="array" ref="A66">IFERROR(INDEX(_xlfn._xlws.SORT(_xlfn.UNIQUE(_xlfn._xlws.FILTER(Sheet1!$H$2:$H$5214,(Sheet1!$F$2:$F$5214&gt;=$B$4)*(Sheet1!$F$2:$F$5214&lt;=$B$6)*(Sheet1!$H$2:$H$5214&lt;&gt;"")))),ROW()-13),"")</f>
        <v/>
      </c>
      <c r="B66" s="149"/>
      <c r="C66" s="145" t="str" cm="1">
        <f t="array" ref="C66">IF($A66="","",SUMPRODUCT(COUNTIFS(Sheet1!$H$2:$H$5214,$A66,Sheet1!$F$2:$F$5214,"&gt;="&amp;$B$4,Sheet1!$F$2:$F$5214,"&lt;="&amp;$B$6,Sheet1!$N$2:$N$5214,'REPORT YAMI'!$B$4:$I$4)))</f>
        <v/>
      </c>
      <c r="D66" s="153" t="str">
        <f t="shared" si="0"/>
        <v/>
      </c>
    </row>
    <row r="67" spans="1:4">
      <c r="A67" s="144" t="str" cm="1">
        <f t="array" ref="A67">IFERROR(INDEX(_xlfn._xlws.SORT(_xlfn.UNIQUE(_xlfn._xlws.FILTER(Sheet1!$H$2:$H$5214,(Sheet1!$F$2:$F$5214&gt;=$B$4)*(Sheet1!$F$2:$F$5214&lt;=$B$6)*(Sheet1!$H$2:$H$5214&lt;&gt;"")))),ROW()-13),"")</f>
        <v/>
      </c>
      <c r="B67" s="149"/>
      <c r="C67" s="145" t="str" cm="1">
        <f t="array" ref="C67">IF($A67="","",SUMPRODUCT(COUNTIFS(Sheet1!$H$2:$H$5214,$A67,Sheet1!$F$2:$F$5214,"&gt;="&amp;$B$4,Sheet1!$F$2:$F$5214,"&lt;="&amp;$B$6,Sheet1!$N$2:$N$5214,'REPORT YAMI'!$B$4:$I$4)))</f>
        <v/>
      </c>
      <c r="D67" s="153" t="str">
        <f t="shared" si="0"/>
        <v/>
      </c>
    </row>
    <row r="68" spans="1:4">
      <c r="A68" s="144" t="str" cm="1">
        <f t="array" ref="A68">IFERROR(INDEX(_xlfn._xlws.SORT(_xlfn.UNIQUE(_xlfn._xlws.FILTER(Sheet1!$H$2:$H$5214,(Sheet1!$F$2:$F$5214&gt;=$B$4)*(Sheet1!$F$2:$F$5214&lt;=$B$6)*(Sheet1!$H$2:$H$5214&lt;&gt;"")))),ROW()-13),"")</f>
        <v/>
      </c>
      <c r="B68" s="149"/>
      <c r="C68" s="145" t="str" cm="1">
        <f t="array" ref="C68">IF($A68="","",SUMPRODUCT(COUNTIFS(Sheet1!$H$2:$H$5214,$A68,Sheet1!$F$2:$F$5214,"&gt;="&amp;$B$4,Sheet1!$F$2:$F$5214,"&lt;="&amp;$B$6,Sheet1!$N$2:$N$5214,'REPORT YAMI'!$B$4:$I$4)))</f>
        <v/>
      </c>
      <c r="D68" s="153" t="str">
        <f t="shared" si="0"/>
        <v/>
      </c>
    </row>
    <row r="69" spans="1:4">
      <c r="A69" s="144" t="str" cm="1">
        <f t="array" ref="A69">IFERROR(INDEX(_xlfn._xlws.SORT(_xlfn.UNIQUE(_xlfn._xlws.FILTER(Sheet1!$H$2:$H$5214,(Sheet1!$F$2:$F$5214&gt;=$B$4)*(Sheet1!$F$2:$F$5214&lt;=$B$6)*(Sheet1!$H$2:$H$5214&lt;&gt;"")))),ROW()-13),"")</f>
        <v/>
      </c>
      <c r="B69" s="149"/>
      <c r="C69" s="145" t="str" cm="1">
        <f t="array" ref="C69">IF($A69="","",SUMPRODUCT(COUNTIFS(Sheet1!$H$2:$H$5214,$A69,Sheet1!$F$2:$F$5214,"&gt;="&amp;$B$4,Sheet1!$F$2:$F$5214,"&lt;="&amp;$B$6,Sheet1!$N$2:$N$5214,'REPORT YAMI'!$B$4:$I$4)))</f>
        <v/>
      </c>
      <c r="D69" s="153" t="str">
        <f t="shared" si="0"/>
        <v/>
      </c>
    </row>
    <row r="70" spans="1:4">
      <c r="A70" s="144" t="str" cm="1">
        <f t="array" ref="A70">IFERROR(INDEX(_xlfn._xlws.SORT(_xlfn.UNIQUE(_xlfn._xlws.FILTER(Sheet1!$H$2:$H$5214,(Sheet1!$F$2:$F$5214&gt;=$B$4)*(Sheet1!$F$2:$F$5214&lt;=$B$6)*(Sheet1!$H$2:$H$5214&lt;&gt;"")))),ROW()-13),"")</f>
        <v/>
      </c>
      <c r="B70" s="149"/>
      <c r="C70" s="145" t="str" cm="1">
        <f t="array" ref="C70">IF($A70="","",SUMPRODUCT(COUNTIFS(Sheet1!$H$2:$H$5214,$A70,Sheet1!$F$2:$F$5214,"&gt;="&amp;$B$4,Sheet1!$F$2:$F$5214,"&lt;="&amp;$B$6,Sheet1!$N$2:$N$5214,'REPORT YAMI'!$B$4:$I$4)))</f>
        <v/>
      </c>
      <c r="D70" s="153" t="str">
        <f t="shared" si="0"/>
        <v/>
      </c>
    </row>
    <row r="71" spans="1:4">
      <c r="A71" s="144" t="str" cm="1">
        <f t="array" ref="A71">IFERROR(INDEX(_xlfn._xlws.SORT(_xlfn.UNIQUE(_xlfn._xlws.FILTER(Sheet1!$H$2:$H$5214,(Sheet1!$F$2:$F$5214&gt;=$B$4)*(Sheet1!$F$2:$F$5214&lt;=$B$6)*(Sheet1!$H$2:$H$5214&lt;&gt;"")))),ROW()-13),"")</f>
        <v/>
      </c>
      <c r="B71" s="149"/>
      <c r="C71" s="145" t="str" cm="1">
        <f t="array" ref="C71">IF($A71="","",SUMPRODUCT(COUNTIFS(Sheet1!$H$2:$H$5214,$A71,Sheet1!$F$2:$F$5214,"&gt;="&amp;$B$4,Sheet1!$F$2:$F$5214,"&lt;="&amp;$B$6,Sheet1!$N$2:$N$5214,'REPORT YAMI'!$B$4:$I$4)))</f>
        <v/>
      </c>
      <c r="D71" s="153" t="str">
        <f t="shared" si="0"/>
        <v/>
      </c>
    </row>
    <row r="72" spans="1:4">
      <c r="A72" s="144" t="str" cm="1">
        <f t="array" ref="A72">IFERROR(INDEX(_xlfn._xlws.SORT(_xlfn.UNIQUE(_xlfn._xlws.FILTER(Sheet1!$H$2:$H$5214,(Sheet1!$F$2:$F$5214&gt;=$B$4)*(Sheet1!$F$2:$F$5214&lt;=$B$6)*(Sheet1!$H$2:$H$5214&lt;&gt;"")))),ROW()-13),"")</f>
        <v/>
      </c>
      <c r="B72" s="149"/>
      <c r="C72" s="145" t="str" cm="1">
        <f t="array" ref="C72">IF($A72="","",SUMPRODUCT(COUNTIFS(Sheet1!$H$2:$H$5214,$A72,Sheet1!$F$2:$F$5214,"&gt;="&amp;$B$4,Sheet1!$F$2:$F$5214,"&lt;="&amp;$B$6,Sheet1!$N$2:$N$5214,'REPORT YAMI'!$B$4:$I$4)))</f>
        <v/>
      </c>
      <c r="D72" s="153" t="str">
        <f t="shared" si="0"/>
        <v/>
      </c>
    </row>
    <row r="73" spans="1:4">
      <c r="A73" s="144" t="str" cm="1">
        <f t="array" ref="A73">IFERROR(INDEX(_xlfn._xlws.SORT(_xlfn.UNIQUE(_xlfn._xlws.FILTER(Sheet1!$H$2:$H$5214,(Sheet1!$F$2:$F$5214&gt;=$B$4)*(Sheet1!$F$2:$F$5214&lt;=$B$6)*(Sheet1!$H$2:$H$5214&lt;&gt;"")))),ROW()-13),"")</f>
        <v/>
      </c>
      <c r="B73" s="149"/>
      <c r="C73" s="145" t="str" cm="1">
        <f t="array" ref="C73">IF($A73="","",SUMPRODUCT(COUNTIFS(Sheet1!$H$2:$H$5214,$A73,Sheet1!$F$2:$F$5214,"&gt;="&amp;$B$4,Sheet1!$F$2:$F$5214,"&lt;="&amp;$B$6,Sheet1!$N$2:$N$5214,'REPORT YAMI'!$B$4:$I$4)))</f>
        <v/>
      </c>
      <c r="D73" s="153" t="str">
        <f t="shared" si="0"/>
        <v/>
      </c>
    </row>
    <row r="74" spans="1:4">
      <c r="A74" s="144" t="str" cm="1">
        <f t="array" ref="A74">IFERROR(INDEX(_xlfn._xlws.SORT(_xlfn.UNIQUE(_xlfn._xlws.FILTER(Sheet1!$H$2:$H$5214,(Sheet1!$F$2:$F$5214&gt;=$B$4)*(Sheet1!$F$2:$F$5214&lt;=$B$6)*(Sheet1!$H$2:$H$5214&lt;&gt;"")))),ROW()-13),"")</f>
        <v/>
      </c>
      <c r="B74" s="149"/>
      <c r="C74" s="145" t="str" cm="1">
        <f t="array" ref="C74">IF($A74="","",SUMPRODUCT(COUNTIFS(Sheet1!$H$2:$H$5214,$A74,Sheet1!$F$2:$F$5214,"&gt;="&amp;$B$4,Sheet1!$F$2:$F$5214,"&lt;="&amp;$B$6,Sheet1!$N$2:$N$5214,'REPORT YAMI'!$B$4:$I$4)))</f>
        <v/>
      </c>
      <c r="D74" s="153" t="str">
        <f t="shared" si="0"/>
        <v/>
      </c>
    </row>
    <row r="75" spans="1:4">
      <c r="A75" s="144" t="str" cm="1">
        <f t="array" ref="A75">IFERROR(INDEX(_xlfn._xlws.SORT(_xlfn.UNIQUE(_xlfn._xlws.FILTER(Sheet1!$H$2:$H$5214,(Sheet1!$F$2:$F$5214&gt;=$B$4)*(Sheet1!$F$2:$F$5214&lt;=$B$6)*(Sheet1!$H$2:$H$5214&lt;&gt;"")))),ROW()-13),"")</f>
        <v/>
      </c>
      <c r="B75" s="149"/>
      <c r="C75" s="145" t="str" cm="1">
        <f t="array" ref="C75">IF($A75="","",SUMPRODUCT(COUNTIFS(Sheet1!$H$2:$H$5214,$A75,Sheet1!$F$2:$F$5214,"&gt;="&amp;$B$4,Sheet1!$F$2:$F$5214,"&lt;="&amp;$B$6,Sheet1!$N$2:$N$5214,'REPORT YAMI'!$B$4:$I$4)))</f>
        <v/>
      </c>
      <c r="D75" s="153" t="str">
        <f t="shared" si="0"/>
        <v/>
      </c>
    </row>
    <row r="76" spans="1:4">
      <c r="A76" s="144" t="str" cm="1">
        <f t="array" ref="A76">IFERROR(INDEX(_xlfn._xlws.SORT(_xlfn.UNIQUE(_xlfn._xlws.FILTER(Sheet1!$H$2:$H$5214,(Sheet1!$F$2:$F$5214&gt;=$B$4)*(Sheet1!$F$2:$F$5214&lt;=$B$6)*(Sheet1!$H$2:$H$5214&lt;&gt;"")))),ROW()-13),"")</f>
        <v/>
      </c>
      <c r="B76" s="149"/>
      <c r="C76" s="145" t="str" cm="1">
        <f t="array" ref="C76">IF($A76="","",SUMPRODUCT(COUNTIFS(Sheet1!$H$2:$H$5214,$A76,Sheet1!$F$2:$F$5214,"&gt;="&amp;$B$4,Sheet1!$F$2:$F$5214,"&lt;="&amp;$B$6,Sheet1!$N$2:$N$5214,'REPORT YAMI'!$B$4:$I$4)))</f>
        <v/>
      </c>
      <c r="D76" s="153" t="str">
        <f t="shared" si="0"/>
        <v/>
      </c>
    </row>
    <row r="77" spans="1:4">
      <c r="A77" s="144" t="str" cm="1">
        <f t="array" ref="A77">IFERROR(INDEX(_xlfn._xlws.SORT(_xlfn.UNIQUE(_xlfn._xlws.FILTER(Sheet1!$H$2:$H$5214,(Sheet1!$F$2:$F$5214&gt;=$B$4)*(Sheet1!$F$2:$F$5214&lt;=$B$6)*(Sheet1!$H$2:$H$5214&lt;&gt;"")))),ROW()-13),"")</f>
        <v/>
      </c>
      <c r="B77" s="149"/>
      <c r="C77" s="145" t="str" cm="1">
        <f t="array" ref="C77">IF($A77="","",SUMPRODUCT(COUNTIFS(Sheet1!$H$2:$H$5214,$A77,Sheet1!$F$2:$F$5214,"&gt;="&amp;$B$4,Sheet1!$F$2:$F$5214,"&lt;="&amp;$B$6,Sheet1!$N$2:$N$5214,'REPORT YAMI'!$B$4:$I$4)))</f>
        <v/>
      </c>
      <c r="D77" s="153" t="str">
        <f t="shared" si="0"/>
        <v/>
      </c>
    </row>
    <row r="78" spans="1:4">
      <c r="A78" s="144" t="str" cm="1">
        <f t="array" ref="A78">IFERROR(INDEX(_xlfn._xlws.SORT(_xlfn.UNIQUE(_xlfn._xlws.FILTER(Sheet1!$H$2:$H$5214,(Sheet1!$F$2:$F$5214&gt;=$B$4)*(Sheet1!$F$2:$F$5214&lt;=$B$6)*(Sheet1!$H$2:$H$5214&lt;&gt;"")))),ROW()-13),"")</f>
        <v/>
      </c>
      <c r="B78" s="149"/>
      <c r="C78" s="145" t="str" cm="1">
        <f t="array" ref="C78">IF($A78="","",SUMPRODUCT(COUNTIFS(Sheet1!$H$2:$H$5214,$A78,Sheet1!$F$2:$F$5214,"&gt;="&amp;$B$4,Sheet1!$F$2:$F$5214,"&lt;="&amp;$B$6,Sheet1!$N$2:$N$5214,'REPORT YAMI'!$B$4:$I$4)))</f>
        <v/>
      </c>
      <c r="D78" s="153" t="str">
        <f t="shared" si="0"/>
        <v/>
      </c>
    </row>
    <row r="79" spans="1:4">
      <c r="A79" s="144" t="str" cm="1">
        <f t="array" ref="A79">IFERROR(INDEX(_xlfn._xlws.SORT(_xlfn.UNIQUE(_xlfn._xlws.FILTER(Sheet1!$H$2:$H$5214,(Sheet1!$F$2:$F$5214&gt;=$B$4)*(Sheet1!$F$2:$F$5214&lt;=$B$6)*(Sheet1!$H$2:$H$5214&lt;&gt;"")))),ROW()-13),"")</f>
        <v/>
      </c>
      <c r="B79" s="149"/>
      <c r="C79" s="145" t="str" cm="1">
        <f t="array" ref="C79">IF($A79="","",SUMPRODUCT(COUNTIFS(Sheet1!$H$2:$H$5214,$A79,Sheet1!$F$2:$F$5214,"&gt;="&amp;$B$4,Sheet1!$F$2:$F$5214,"&lt;="&amp;$B$6,Sheet1!$N$2:$N$5214,'REPORT YAMI'!$B$4:$I$4)))</f>
        <v/>
      </c>
      <c r="D79" s="153" t="str">
        <f t="shared" ref="D79:D81" si="1">IF($A79="","",C79*$B$7)</f>
        <v/>
      </c>
    </row>
    <row r="80" spans="1:4">
      <c r="A80" s="144" t="str" cm="1">
        <f t="array" ref="A80">IFERROR(INDEX(_xlfn._xlws.SORT(_xlfn.UNIQUE(_xlfn._xlws.FILTER(Sheet1!$H$2:$H$5214,(Sheet1!$F$2:$F$5214&gt;=$B$4)*(Sheet1!$F$2:$F$5214&lt;=$B$6)*(Sheet1!$H$2:$H$5214&lt;&gt;"")))),ROW()-13),"")</f>
        <v/>
      </c>
      <c r="B80" s="149"/>
      <c r="C80" s="145" t="str" cm="1">
        <f t="array" ref="C80">IF($A80="","",SUMPRODUCT(COUNTIFS(Sheet1!$H$2:$H$5214,$A80,Sheet1!$F$2:$F$5214,"&gt;="&amp;$B$4,Sheet1!$F$2:$F$5214,"&lt;="&amp;$B$6,Sheet1!$N$2:$N$5214,'REPORT YAMI'!$B$4:$I$4)))</f>
        <v/>
      </c>
      <c r="D80" s="153" t="str">
        <f t="shared" si="1"/>
        <v/>
      </c>
    </row>
    <row r="81" spans="1:4">
      <c r="A81" s="144" t="str" cm="1">
        <f t="array" ref="A81">IFERROR(INDEX(_xlfn._xlws.SORT(_xlfn.UNIQUE(_xlfn._xlws.FILTER(Sheet1!$H$2:$H$5214,(Sheet1!$F$2:$F$5214&gt;=$B$4)*(Sheet1!$F$2:$F$5214&lt;=$B$6)*(Sheet1!$H$2:$H$5214&lt;&gt;"")))),ROW()-13),"")</f>
        <v/>
      </c>
      <c r="B81" s="149"/>
      <c r="C81" s="145" t="str" cm="1">
        <f t="array" ref="C81">IF($A81="","",SUMPRODUCT(COUNTIFS(Sheet1!$H$2:$H$5214,$A81,Sheet1!$F$2:$F$5214,"&gt;="&amp;$B$4,Sheet1!$F$2:$F$5214,"&lt;="&amp;$B$6,Sheet1!$N$2:$N$5214,'REPORT YAMI'!$B$4:$I$4)))</f>
        <v/>
      </c>
      <c r="D81" s="153" t="str">
        <f t="shared" si="1"/>
        <v/>
      </c>
    </row>
  </sheetData>
  <dataValidations count="1">
    <dataValidation type="list" allowBlank="1" showInputMessage="1" showErrorMessage="1" sqref="B14:B81" xr:uid="{4BCF5BCD-1B52-4EB0-905E-0A98EAD7E7AF}">
      <formula1>"X"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Edna Yukari Rodriguez Bautista</cp:lastModifiedBy>
  <cp:revision/>
  <dcterms:created xsi:type="dcterms:W3CDTF">2026-07-23T23:04:16Z</dcterms:created>
  <dcterms:modified xsi:type="dcterms:W3CDTF">2026-09-29T20:33:27Z</dcterms:modified>
  <cp:category/>
  <cp:contentStatus/>
</cp:coreProperties>
</file>